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theme/themeOverride8.xml" ContentType="application/vnd.openxmlformats-officedocument.themeOverride+xml"/>
  <Override PartName="/xl/charts/chart16.xml" ContentType="application/vnd.openxmlformats-officedocument.drawingml.chart+xml"/>
  <Override PartName="/xl/theme/themeOverride9.xml" ContentType="application/vnd.openxmlformats-officedocument.themeOverride+xml"/>
  <Override PartName="/xl/charts/chart17.xml" ContentType="application/vnd.openxmlformats-officedocument.drawingml.chart+xml"/>
  <Override PartName="/xl/theme/themeOverride10.xml" ContentType="application/vnd.openxmlformats-officedocument.themeOverride+xml"/>
  <Override PartName="/xl/charts/chart18.xml" ContentType="application/vnd.openxmlformats-officedocument.drawingml.chart+xml"/>
  <Override PartName="/xl/theme/themeOverride11.xml" ContentType="application/vnd.openxmlformats-officedocument.themeOverride+xml"/>
  <Override PartName="/xl/charts/chart19.xml" ContentType="application/vnd.openxmlformats-officedocument.drawingml.chart+xml"/>
  <Override PartName="/xl/theme/themeOverride12.xml" ContentType="application/vnd.openxmlformats-officedocument.themeOverride+xml"/>
  <Override PartName="/xl/charts/chart20.xml" ContentType="application/vnd.openxmlformats-officedocument.drawingml.chart+xml"/>
  <Override PartName="/xl/theme/themeOverride13.xml" ContentType="application/vnd.openxmlformats-officedocument.themeOverride+xml"/>
  <Override PartName="/xl/charts/chart21.xml" ContentType="application/vnd.openxmlformats-officedocument.drawingml.chart+xml"/>
  <Override PartName="/xl/theme/themeOverride14.xml" ContentType="application/vnd.openxmlformats-officedocument.themeOverrid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5.xml" ContentType="application/vnd.openxmlformats-officedocument.themeOverride+xml"/>
  <Override PartName="/xl/charts/chart23.xml" ContentType="application/vnd.openxmlformats-officedocument.drawingml.chart+xml"/>
  <Override PartName="/xl/theme/themeOverride16.xml" ContentType="application/vnd.openxmlformats-officedocument.themeOverride+xml"/>
  <Override PartName="/xl/charts/chart24.xml" ContentType="application/vnd.openxmlformats-officedocument.drawingml.chart+xml"/>
  <Override PartName="/xl/theme/themeOverride17.xml" ContentType="application/vnd.openxmlformats-officedocument.themeOverride+xml"/>
  <Override PartName="/xl/charts/chart25.xml" ContentType="application/vnd.openxmlformats-officedocument.drawingml.chart+xml"/>
  <Override PartName="/xl/theme/themeOverride18.xml" ContentType="application/vnd.openxmlformats-officedocument.themeOverride+xml"/>
  <Override PartName="/xl/charts/chart26.xml" ContentType="application/vnd.openxmlformats-officedocument.drawingml.chart+xml"/>
  <Override PartName="/xl/theme/themeOverride19.xml" ContentType="application/vnd.openxmlformats-officedocument.themeOverride+xml"/>
  <Override PartName="/xl/charts/chart27.xml" ContentType="application/vnd.openxmlformats-officedocument.drawingml.chart+xml"/>
  <Override PartName="/xl/theme/themeOverride20.xml" ContentType="application/vnd.openxmlformats-officedocument.themeOverride+xml"/>
  <Override PartName="/xl/charts/chart28.xml" ContentType="application/vnd.openxmlformats-officedocument.drawingml.chart+xml"/>
  <Override PartName="/xl/theme/themeOverride21.xml" ContentType="application/vnd.openxmlformats-officedocument.themeOverride+xml"/>
  <Override PartName="/xl/drawings/drawing8.xml" ContentType="application/vnd.openxmlformats-officedocument.drawing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10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1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2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13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4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5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16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17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18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19.xml" ContentType="application/vnd.openxmlformats-officedocument.drawing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20.xml" ContentType="application/vnd.openxmlformats-officedocument.drawing+xml"/>
  <Override PartName="/xl/charts/chart9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1.xml" ContentType="application/vnd.openxmlformats-officedocument.drawing+xml"/>
  <Override PartName="/xl/tables/table2.xml" ContentType="application/vnd.openxmlformats-officedocument.spreadsheetml.table+xml"/>
  <Override PartName="/xl/charts/chart95.xml" ContentType="application/vnd.openxmlformats-officedocument.drawingml.chart+xml"/>
  <Override PartName="/xl/theme/themeOverride22.xml" ContentType="application/vnd.openxmlformats-officedocument.themeOverride+xml"/>
  <Override PartName="/xl/charts/chart96.xml" ContentType="application/vnd.openxmlformats-officedocument.drawingml.chart+xml"/>
  <Override PartName="/xl/theme/themeOverride23.xml" ContentType="application/vnd.openxmlformats-officedocument.themeOverride+xml"/>
  <Override PartName="/xl/charts/chart97.xml" ContentType="application/vnd.openxmlformats-officedocument.drawingml.chart+xml"/>
  <Override PartName="/xl/theme/themeOverride24.xml" ContentType="application/vnd.openxmlformats-officedocument.themeOverride+xml"/>
  <Override PartName="/xl/drawings/drawing22.xml" ContentType="application/vnd.openxmlformats-officedocument.drawing+xml"/>
  <Override PartName="/xl/tables/table3.xml" ContentType="application/vnd.openxmlformats-officedocument.spreadsheetml.table+xml"/>
  <Override PartName="/xl/charts/chart98.xml" ContentType="application/vnd.openxmlformats-officedocument.drawingml.chart+xml"/>
  <Override PartName="/xl/theme/themeOverride25.xml" ContentType="application/vnd.openxmlformats-officedocument.themeOverride+xml"/>
  <Override PartName="/xl/charts/chart99.xml" ContentType="application/vnd.openxmlformats-officedocument.drawingml.chart+xml"/>
  <Override PartName="/xl/theme/themeOverride26.xml" ContentType="application/vnd.openxmlformats-officedocument.themeOverride+xml"/>
  <Override PartName="/xl/charts/chart100.xml" ContentType="application/vnd.openxmlformats-officedocument.drawingml.chart+xml"/>
  <Override PartName="/xl/theme/themeOverride27.xml" ContentType="application/vnd.openxmlformats-officedocument.themeOverrid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3.xml" ContentType="application/vnd.openxmlformats-officedocument.drawing+xml"/>
  <Override PartName="/xl/tables/table6.xml" ContentType="application/vnd.openxmlformats-officedocument.spreadsheetml.table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drawings/drawing24.xml" ContentType="application/vnd.openxmlformats-officedocument.drawing+xml"/>
  <Override PartName="/xl/charts/chart12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25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drawings/drawing26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t.Turner\Desktop\Trading MI - New Packs\250815\"/>
    </mc:Choice>
  </mc:AlternateContent>
  <xr:revisionPtr revIDLastSave="0" documentId="13_ncr:1_{38DBC561-3966-42D2-94EA-C256784BD39B}" xr6:coauthVersionLast="47" xr6:coauthVersionMax="47" xr10:uidLastSave="{00000000-0000-0000-0000-000000000000}"/>
  <bookViews>
    <workbookView xWindow="-120" yWindow="-120" windowWidth="29040" windowHeight="15720" tabRatio="697" firstSheet="4" activeTab="4" xr2:uid="{EC3AFCC4-E052-415B-91D0-427286A98D35}"/>
  </bookViews>
  <sheets>
    <sheet name="Title Sheet" sheetId="39" r:id="rId1"/>
    <sheet name="Plan" sheetId="21" state="hidden" r:id="rId2"/>
    <sheet name="Summary - Reserving" sheetId="76" r:id="rId3"/>
    <sheet name="Total Sales Figures &gt;&gt;" sheetId="6" r:id="rId4"/>
    <sheet name="Headline - Sales, NWP, GWP" sheetId="3" r:id="rId5"/>
    <sheet name="Headline - MGA and MPM" sheetId="63" state="hidden" r:id="rId6"/>
    <sheet name="Current - Sales, NWP, GWP" sheetId="57" r:id="rId7"/>
    <sheet name="Current - MGA and MPM" sheetId="61" state="hidden" r:id="rId8"/>
    <sheet name="Current - MGA only" sheetId="64" state="hidden" r:id="rId9"/>
    <sheet name="Current - MPM only" sheetId="65" state="hidden" r:id="rId10"/>
    <sheet name="Ultimate - Sales, NWP, GWP" sheetId="58" r:id="rId11"/>
    <sheet name="Ultimate - MGA and MPM" sheetId="62" state="hidden" r:id="rId12"/>
    <sheet name="Ultimate - MGA only" sheetId="66" state="hidden" r:id="rId13"/>
    <sheet name="Ultimate - MPM only" sheetId="67" state="hidden" r:id="rId14"/>
    <sheet name="Dev Patterns (OG Code)" sheetId="68" state="hidden" r:id="rId15"/>
    <sheet name="NB Sales Figures &gt;&gt;" sheetId="12" state="hidden" r:id="rId16"/>
    <sheet name="NB - Sales, NWP, GWP" sheetId="35" state="hidden" r:id="rId17"/>
    <sheet name="REN Sales Figures &gt;&gt;" sheetId="16" state="hidden" r:id="rId18"/>
    <sheet name="RN - Sales, NWP, GWP" sheetId="60" state="hidden" r:id="rId19"/>
    <sheet name="Scored Loss Ratios &gt;&gt;" sheetId="40" state="hidden" r:id="rId20"/>
    <sheet name="MICL Direct" sheetId="41" state="hidden" r:id="rId21"/>
    <sheet name="MICL Direct SLRs" sheetId="42" state="hidden" r:id="rId22"/>
    <sheet name="Charts &gt;&gt;" sheetId="11" r:id="rId23"/>
    <sheet name="Policies" sheetId="25" r:id="rId24"/>
    <sheet name="Policies NBREN" sheetId="33" r:id="rId25"/>
    <sheet name="Premium" sheetId="30" r:id="rId26"/>
    <sheet name="Premium NBREN" sheetId="34" r:id="rId27"/>
    <sheet name="Distributions &gt; &gt;" sheetId="72" r:id="rId28"/>
    <sheet name="Premium Distribution" sheetId="70" r:id="rId29"/>
    <sheet name="Commission Distribution" sheetId="71" r:id="rId30"/>
    <sheet name="Cancellation Triangles NWP" sheetId="77" r:id="rId31"/>
    <sheet name="Cancellation Triangles Pols %" sheetId="78" r:id="rId32"/>
    <sheet name="Risk Mix Tracking &gt;&gt;" sheetId="45" r:id="rId33"/>
    <sheet name="Proposer Age" sheetId="46" r:id="rId34"/>
    <sheet name="Proportion Aged u25" sheetId="50" r:id="rId35"/>
    <sheet name="Average Mileage" sheetId="51" r:id="rId36"/>
    <sheet name="Vehicle Value" sheetId="52" r:id="rId37"/>
    <sheet name="Vehicle Value Over £25k" sheetId="53" r:id="rId38"/>
    <sheet name="NCD" sheetId="47" r:id="rId39"/>
    <sheet name="Monthly Payments" sheetId="49" state="hidden" r:id="rId40"/>
    <sheet name="Area Rating" sheetId="48" r:id="rId41"/>
    <sheet name="Dev Patterns" sheetId="43" state="hidden" r:id="rId42"/>
    <sheet name="Data &gt;&gt;" sheetId="38" state="hidden" r:id="rId43"/>
    <sheet name="PolCount" sheetId="26" state="hidden" r:id="rId44"/>
    <sheet name="PolCount NBREN" sheetId="31" state="hidden" r:id="rId45"/>
    <sheet name="NWP" sheetId="28" state="hidden" r:id="rId46"/>
    <sheet name="NWP NBREN" sheetId="32" state="hidden" r:id="rId47"/>
    <sheet name="Averages Graph Data" sheetId="54" state="hidden" r:id="rId48"/>
    <sheet name="Plan Figures" sheetId="55" state="hidden" r:id="rId49"/>
    <sheet name="Dist Graph Data" sheetId="69" state="hidden" r:id="rId50"/>
    <sheet name="Reserving Static Data" sheetId="74" state="hidden" r:id="rId51"/>
    <sheet name="Reserving Table Data" sheetId="75" state="hidden" r:id="rId5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4" i="58" l="1"/>
  <c r="AU4" i="57"/>
  <c r="AU4" i="3"/>
  <c r="BC5" i="32" l="1"/>
  <c r="BB5" i="32"/>
  <c r="AZ5" i="32"/>
  <c r="AY5" i="32"/>
  <c r="AU5" i="32"/>
  <c r="AT5" i="32"/>
  <c r="AR5" i="32"/>
  <c r="AQ5" i="32"/>
  <c r="AM5" i="32"/>
  <c r="AL5" i="32"/>
  <c r="AJ5" i="32"/>
  <c r="AI5" i="32"/>
  <c r="AE5" i="32"/>
  <c r="AD5" i="32"/>
  <c r="AB5" i="32"/>
  <c r="AA5" i="32"/>
  <c r="W5" i="32"/>
  <c r="V5" i="32"/>
  <c r="T5" i="32"/>
  <c r="S5" i="32"/>
  <c r="O5" i="32"/>
  <c r="N5" i="32"/>
  <c r="L5" i="32"/>
  <c r="K5" i="32"/>
  <c r="G5" i="32"/>
  <c r="F5" i="32"/>
  <c r="D5" i="32"/>
  <c r="C5" i="32"/>
  <c r="AK4" i="31"/>
  <c r="AI4" i="31"/>
  <c r="AG4" i="31"/>
  <c r="AE4" i="31"/>
  <c r="AC4" i="31"/>
  <c r="AA4" i="31"/>
  <c r="Y4" i="31"/>
  <c r="W4" i="31"/>
  <c r="U4" i="31"/>
  <c r="S4" i="31"/>
  <c r="Q4" i="31"/>
  <c r="O4" i="31"/>
  <c r="M4" i="31"/>
  <c r="K4" i="31"/>
  <c r="I4" i="31"/>
  <c r="G4" i="31"/>
  <c r="E4" i="31"/>
  <c r="C4" i="31"/>
  <c r="CR3" i="28" l="1"/>
  <c r="CP3" i="28"/>
  <c r="CN3" i="28"/>
  <c r="CL3" i="28"/>
  <c r="CJ3" i="28"/>
  <c r="CH3" i="28"/>
  <c r="CF3" i="28"/>
  <c r="CD3" i="28"/>
  <c r="CB3" i="28"/>
  <c r="BZ3" i="28"/>
  <c r="BX3" i="28"/>
  <c r="BV3" i="28"/>
  <c r="BT3" i="28"/>
  <c r="BR3" i="28"/>
  <c r="BP3" i="28"/>
  <c r="BN3" i="28"/>
  <c r="BD3" i="28"/>
  <c r="BB3" i="28"/>
  <c r="AZ3" i="28"/>
  <c r="AX3" i="28"/>
  <c r="AV3" i="28"/>
  <c r="AT3" i="28"/>
  <c r="AR3" i="28"/>
  <c r="AP3" i="28"/>
  <c r="O82" i="76"/>
  <c r="N82" i="76"/>
  <c r="M82" i="76"/>
  <c r="L82" i="76"/>
  <c r="K82" i="76"/>
  <c r="J82" i="76"/>
  <c r="I82" i="76"/>
  <c r="H82" i="76"/>
  <c r="G82" i="76"/>
  <c r="F82" i="76"/>
  <c r="E82" i="76"/>
  <c r="D82" i="76"/>
  <c r="O81" i="76"/>
  <c r="N81" i="76"/>
  <c r="M81" i="76"/>
  <c r="L81" i="76"/>
  <c r="K81" i="76"/>
  <c r="J81" i="76"/>
  <c r="I81" i="76"/>
  <c r="H81" i="76"/>
  <c r="G81" i="76"/>
  <c r="F81" i="76"/>
  <c r="E81" i="76"/>
  <c r="D81" i="76"/>
  <c r="O80" i="76"/>
  <c r="N80" i="76"/>
  <c r="M80" i="76"/>
  <c r="L80" i="76"/>
  <c r="K80" i="76"/>
  <c r="J80" i="76"/>
  <c r="I80" i="76"/>
  <c r="H80" i="76"/>
  <c r="G80" i="76"/>
  <c r="F80" i="76"/>
  <c r="E80" i="76"/>
  <c r="D80" i="76"/>
  <c r="N78" i="76"/>
  <c r="M78" i="76"/>
  <c r="F78" i="76"/>
  <c r="E78" i="76"/>
  <c r="I77" i="76"/>
  <c r="D67" i="76" a="1"/>
  <c r="D67" i="76" s="1"/>
  <c r="D66" i="76" a="1"/>
  <c r="D66" i="76" s="1"/>
  <c r="D65" i="76" a="1"/>
  <c r="D65" i="76" s="1"/>
  <c r="D63" i="76" a="1"/>
  <c r="D63" i="76" s="1"/>
  <c r="D78" i="76" s="1"/>
  <c r="D62" i="76" a="1"/>
  <c r="D62" i="76" s="1"/>
  <c r="D77" i="76" s="1"/>
  <c r="D61" i="76" a="1"/>
  <c r="D61" i="76" s="1"/>
  <c r="D76" i="76" s="1"/>
  <c r="G76" i="76" l="1"/>
  <c r="O76" i="76"/>
  <c r="K77" i="76"/>
  <c r="G78" i="76"/>
  <c r="O78" i="76"/>
  <c r="E76" i="76"/>
  <c r="H76" i="76"/>
  <c r="L77" i="76"/>
  <c r="H78" i="76"/>
  <c r="N76" i="76"/>
  <c r="I76" i="76"/>
  <c r="E77" i="76"/>
  <c r="M77" i="76"/>
  <c r="I78" i="76"/>
  <c r="M76" i="76"/>
  <c r="J77" i="76"/>
  <c r="J76" i="76"/>
  <c r="F77" i="76"/>
  <c r="N77" i="76"/>
  <c r="J78" i="76"/>
  <c r="K76" i="76"/>
  <c r="G77" i="76"/>
  <c r="O77" i="76"/>
  <c r="K78" i="76"/>
  <c r="F76" i="76"/>
  <c r="L76" i="76"/>
  <c r="H77" i="76"/>
  <c r="L78" i="76"/>
  <c r="E78" i="75" a="1"/>
  <c r="E78" i="75" s="1"/>
  <c r="B78" i="75"/>
  <c r="E77" i="75" a="1"/>
  <c r="E77" i="75" s="1"/>
  <c r="B77" i="75"/>
  <c r="E76" i="75" a="1"/>
  <c r="E76" i="75" s="1"/>
  <c r="B76" i="75"/>
  <c r="E75" i="75" a="1"/>
  <c r="E75" i="75" s="1"/>
  <c r="B75" i="75"/>
  <c r="E74" i="75" a="1"/>
  <c r="E74" i="75" s="1"/>
  <c r="B74" i="75"/>
  <c r="E73" i="75" a="1"/>
  <c r="E73" i="75" s="1"/>
  <c r="B73" i="75"/>
  <c r="E72" i="75"/>
  <c r="E72" i="75" a="1"/>
  <c r="B72" i="75"/>
  <c r="E71" i="75" a="1"/>
  <c r="E71" i="75" s="1"/>
  <c r="B71" i="75"/>
  <c r="E70" i="75" a="1"/>
  <c r="E70" i="75" s="1"/>
  <c r="B70" i="75"/>
  <c r="E69" i="75" a="1"/>
  <c r="E69" i="75" s="1"/>
  <c r="B69" i="75"/>
  <c r="E68" i="75" a="1"/>
  <c r="E68" i="75" s="1"/>
  <c r="B68" i="75"/>
  <c r="E67" i="75" a="1"/>
  <c r="E67" i="75" s="1"/>
  <c r="B67" i="75"/>
  <c r="K78" i="75" a="1"/>
  <c r="K78" i="75" s="1"/>
  <c r="J78" i="75" a="1"/>
  <c r="J78" i="75" s="1"/>
  <c r="C78" i="75"/>
  <c r="F78" i="75" s="1"/>
  <c r="K77" i="75" a="1"/>
  <c r="K77" i="75" s="1"/>
  <c r="J77" i="75" a="1"/>
  <c r="J77" i="75" s="1"/>
  <c r="C77" i="75"/>
  <c r="K76" i="75" a="1"/>
  <c r="K76" i="75" s="1"/>
  <c r="J76" i="75" a="1"/>
  <c r="J76" i="75" s="1"/>
  <c r="C76" i="75"/>
  <c r="K75" i="75" a="1"/>
  <c r="K75" i="75" s="1"/>
  <c r="J75" i="75" a="1"/>
  <c r="J75" i="75" s="1"/>
  <c r="C75" i="75"/>
  <c r="K74" i="75" a="1"/>
  <c r="K74" i="75" s="1"/>
  <c r="J74" i="75" a="1"/>
  <c r="J74" i="75" s="1"/>
  <c r="C74" i="75"/>
  <c r="F74" i="75" s="1"/>
  <c r="K73" i="75" a="1"/>
  <c r="K73" i="75" s="1"/>
  <c r="J73" i="75" a="1"/>
  <c r="J73" i="75" s="1"/>
  <c r="C73" i="75"/>
  <c r="K72" i="75" a="1"/>
  <c r="K72" i="75" s="1"/>
  <c r="J72" i="75" a="1"/>
  <c r="J72" i="75" s="1"/>
  <c r="C72" i="75"/>
  <c r="F72" i="75" s="1"/>
  <c r="K71" i="75" a="1"/>
  <c r="K71" i="75" s="1"/>
  <c r="J71" i="75" a="1"/>
  <c r="J71" i="75" s="1"/>
  <c r="C71" i="75"/>
  <c r="F71" i="75" s="1"/>
  <c r="K70" i="75" a="1"/>
  <c r="K70" i="75" s="1"/>
  <c r="J70" i="75" a="1"/>
  <c r="J70" i="75" s="1"/>
  <c r="C70" i="75"/>
  <c r="K69" i="75" a="1"/>
  <c r="K69" i="75" s="1"/>
  <c r="J69" i="75" a="1"/>
  <c r="J69" i="75" s="1"/>
  <c r="C69" i="75"/>
  <c r="K68" i="75" a="1"/>
  <c r="K68" i="75" s="1"/>
  <c r="J68" i="75"/>
  <c r="J68" i="75" a="1"/>
  <c r="C68" i="75"/>
  <c r="K67" i="75" a="1"/>
  <c r="K67" i="75" s="1"/>
  <c r="J67" i="75" a="1"/>
  <c r="J67" i="75" s="1"/>
  <c r="C67" i="75"/>
  <c r="F77" i="75"/>
  <c r="F76" i="75"/>
  <c r="D76" i="75"/>
  <c r="F75" i="75"/>
  <c r="D75" i="75"/>
  <c r="D74" i="75"/>
  <c r="F73" i="75"/>
  <c r="D73" i="75"/>
  <c r="D72" i="75"/>
  <c r="P71" i="76"/>
  <c r="O71" i="76"/>
  <c r="N71" i="76"/>
  <c r="M71" i="76"/>
  <c r="L71" i="76"/>
  <c r="K71" i="76"/>
  <c r="J71" i="76"/>
  <c r="I71" i="76"/>
  <c r="H71" i="76"/>
  <c r="G71" i="76"/>
  <c r="F71" i="76"/>
  <c r="E71" i="76"/>
  <c r="D71" i="76"/>
  <c r="O60" i="76"/>
  <c r="N60" i="76"/>
  <c r="M60" i="76"/>
  <c r="L60" i="76"/>
  <c r="K60" i="76"/>
  <c r="J60" i="76"/>
  <c r="I60" i="76"/>
  <c r="H60" i="76"/>
  <c r="G60" i="76"/>
  <c r="F60" i="76"/>
  <c r="E60" i="76"/>
  <c r="D60" i="76"/>
  <c r="O44" i="76"/>
  <c r="N44" i="76"/>
  <c r="M44" i="76"/>
  <c r="L44" i="76"/>
  <c r="K44" i="76"/>
  <c r="J44" i="76"/>
  <c r="I44" i="76"/>
  <c r="H44" i="76"/>
  <c r="G44" i="76"/>
  <c r="F44" i="76"/>
  <c r="E44" i="76"/>
  <c r="D44" i="76"/>
  <c r="O33" i="76"/>
  <c r="N33" i="76"/>
  <c r="M33" i="76"/>
  <c r="L33" i="76"/>
  <c r="K33" i="76"/>
  <c r="J33" i="76"/>
  <c r="I33" i="76"/>
  <c r="H33" i="76"/>
  <c r="G33" i="76"/>
  <c r="F33" i="76"/>
  <c r="E33" i="76"/>
  <c r="O17" i="76"/>
  <c r="N17" i="76"/>
  <c r="M17" i="76"/>
  <c r="L17" i="76"/>
  <c r="K17" i="76"/>
  <c r="J17" i="76"/>
  <c r="I17" i="76"/>
  <c r="H17" i="76"/>
  <c r="G17" i="76"/>
  <c r="F17" i="76"/>
  <c r="E17" i="76"/>
  <c r="D17" i="76"/>
  <c r="D33" i="76"/>
  <c r="P44" i="76"/>
  <c r="I48" i="75"/>
  <c r="I49" i="75"/>
  <c r="B42" i="75"/>
  <c r="C42" i="75"/>
  <c r="E42" i="75" a="1"/>
  <c r="E42" i="75" s="1"/>
  <c r="J42" i="75" a="1"/>
  <c r="J42" i="75" s="1"/>
  <c r="K42" i="75" a="1"/>
  <c r="K42" i="75" s="1"/>
  <c r="B43" i="75"/>
  <c r="C43" i="75"/>
  <c r="E43" i="75" a="1"/>
  <c r="E43" i="75" s="1"/>
  <c r="J43" i="75" a="1"/>
  <c r="J43" i="75" s="1"/>
  <c r="K43" i="75" a="1"/>
  <c r="K43" i="75" s="1"/>
  <c r="B44" i="75"/>
  <c r="C44" i="75"/>
  <c r="E44" i="75" a="1"/>
  <c r="E44" i="75" s="1"/>
  <c r="J44" i="75" a="1"/>
  <c r="J44" i="75" s="1"/>
  <c r="K44" i="75" a="1"/>
  <c r="K44" i="75" s="1"/>
  <c r="B45" i="75"/>
  <c r="C45" i="75"/>
  <c r="F45" i="75" s="1"/>
  <c r="E45" i="75" a="1"/>
  <c r="E45" i="75" s="1"/>
  <c r="J45" i="75" a="1"/>
  <c r="J45" i="75" s="1"/>
  <c r="K45" i="75" a="1"/>
  <c r="K45" i="75" s="1"/>
  <c r="B46" i="75"/>
  <c r="C46" i="75"/>
  <c r="F46" i="75" s="1"/>
  <c r="E46" i="75" a="1"/>
  <c r="E46" i="75" s="1"/>
  <c r="J46" i="75" a="1"/>
  <c r="J46" i="75" s="1"/>
  <c r="K46" i="75" a="1"/>
  <c r="K46" i="75" s="1"/>
  <c r="B47" i="75"/>
  <c r="C47" i="75"/>
  <c r="F47" i="75" s="1"/>
  <c r="E47" i="75" a="1"/>
  <c r="E47" i="75" s="1"/>
  <c r="J47" i="75" a="1"/>
  <c r="J47" i="75" s="1"/>
  <c r="K47" i="75" a="1"/>
  <c r="K47" i="75"/>
  <c r="B48" i="75"/>
  <c r="D48" i="75" s="1"/>
  <c r="C48" i="75"/>
  <c r="F48" i="75" s="1"/>
  <c r="E48" i="75" a="1"/>
  <c r="E48" i="75" s="1"/>
  <c r="J48" i="75" a="1"/>
  <c r="J48" i="75" s="1"/>
  <c r="K48" i="75" a="1"/>
  <c r="K48" i="75" s="1"/>
  <c r="B49" i="75"/>
  <c r="C49" i="75"/>
  <c r="F49" i="75" s="1"/>
  <c r="E49" i="75" a="1"/>
  <c r="E49" i="75" s="1"/>
  <c r="J49" i="75" a="1"/>
  <c r="J49" i="75"/>
  <c r="K49" i="75" a="1"/>
  <c r="K49" i="75" s="1"/>
  <c r="B50" i="75"/>
  <c r="D50" i="75" s="1"/>
  <c r="C50" i="75"/>
  <c r="F50" i="75" s="1"/>
  <c r="E50" i="75" a="1"/>
  <c r="E50" i="75" s="1"/>
  <c r="J50" i="75" a="1"/>
  <c r="J50" i="75" s="1"/>
  <c r="K50" i="75" a="1"/>
  <c r="K50" i="75" s="1"/>
  <c r="B51" i="75"/>
  <c r="C51" i="75"/>
  <c r="F51" i="75" s="1"/>
  <c r="E51" i="75" a="1"/>
  <c r="E51" i="75" s="1"/>
  <c r="J51" i="75" a="1"/>
  <c r="J51" i="75" s="1"/>
  <c r="K51" i="75" a="1"/>
  <c r="K51" i="75" s="1"/>
  <c r="B52" i="75"/>
  <c r="D52" i="75" s="1"/>
  <c r="C52" i="75"/>
  <c r="F52" i="75" s="1"/>
  <c r="E52" i="75" a="1"/>
  <c r="E52" i="75"/>
  <c r="J52" i="75" a="1"/>
  <c r="J52" i="75" s="1"/>
  <c r="K52" i="75" a="1"/>
  <c r="K52" i="75"/>
  <c r="K41" i="75" a="1"/>
  <c r="K41" i="75"/>
  <c r="J41" i="75" a="1"/>
  <c r="J41" i="75" s="1"/>
  <c r="E41" i="75" a="1"/>
  <c r="E41" i="75" s="1"/>
  <c r="D38" i="76" s="1" a="1"/>
  <c r="D38" i="76" s="1"/>
  <c r="C41" i="75"/>
  <c r="D35" i="76" s="1" a="1"/>
  <c r="B41" i="75"/>
  <c r="B26" i="75"/>
  <c r="B25" i="75"/>
  <c r="D25" i="75" s="1"/>
  <c r="B24" i="75"/>
  <c r="B23" i="75"/>
  <c r="D23" i="75" s="1"/>
  <c r="B22" i="75"/>
  <c r="B21" i="75"/>
  <c r="B20" i="75"/>
  <c r="D20" i="75" s="1"/>
  <c r="B19" i="75"/>
  <c r="B18" i="75"/>
  <c r="B17" i="75"/>
  <c r="B16" i="75"/>
  <c r="B15" i="75"/>
  <c r="E26" i="75" a="1"/>
  <c r="E26" i="75" s="1"/>
  <c r="E25" i="75" a="1"/>
  <c r="E25" i="75" s="1"/>
  <c r="E24" i="75" a="1"/>
  <c r="E24" i="75" s="1"/>
  <c r="E23" i="75" a="1"/>
  <c r="E23" i="75" s="1"/>
  <c r="E22" i="75" a="1"/>
  <c r="E22" i="75" s="1"/>
  <c r="E21" i="75" a="1"/>
  <c r="E21" i="75" s="1"/>
  <c r="E20" i="75" a="1"/>
  <c r="E20" i="75" s="1"/>
  <c r="E19" i="75" a="1"/>
  <c r="E19" i="75"/>
  <c r="E18" i="75" a="1"/>
  <c r="E18" i="75"/>
  <c r="E17" i="75" a="1"/>
  <c r="E17" i="75" s="1"/>
  <c r="E16" i="75" a="1"/>
  <c r="E16" i="75" s="1"/>
  <c r="E15" i="75" a="1"/>
  <c r="E15" i="75" s="1"/>
  <c r="P17" i="76"/>
  <c r="D26" i="75"/>
  <c r="D24" i="75"/>
  <c r="N77" i="69"/>
  <c r="M77" i="69"/>
  <c r="L77" i="69"/>
  <c r="K77" i="69"/>
  <c r="F77" i="69"/>
  <c r="I77" i="69"/>
  <c r="H77" i="69"/>
  <c r="G77" i="69"/>
  <c r="K47" i="69"/>
  <c r="J47" i="69"/>
  <c r="I47" i="69"/>
  <c r="E47" i="69"/>
  <c r="G47" i="69"/>
  <c r="F47" i="69"/>
  <c r="D77" i="69"/>
  <c r="C77" i="69"/>
  <c r="B77" i="69"/>
  <c r="C47" i="69"/>
  <c r="B47" i="69"/>
  <c r="H50" i="76" l="1"/>
  <c r="J50" i="76"/>
  <c r="O50" i="76"/>
  <c r="N50" i="76"/>
  <c r="I50" i="76"/>
  <c r="M50" i="76"/>
  <c r="M54" i="76" s="1"/>
  <c r="L50" i="76"/>
  <c r="L54" i="76" s="1"/>
  <c r="K50" i="76"/>
  <c r="D35" i="76"/>
  <c r="I46" i="76"/>
  <c r="H46" i="76"/>
  <c r="O46" i="76"/>
  <c r="N46" i="76"/>
  <c r="M46" i="76"/>
  <c r="L46" i="76"/>
  <c r="K46" i="76"/>
  <c r="J46" i="76"/>
  <c r="I43" i="75"/>
  <c r="I47" i="75"/>
  <c r="I46" i="75"/>
  <c r="D42" i="75"/>
  <c r="I42" i="75"/>
  <c r="I45" i="75"/>
  <c r="I41" i="75"/>
  <c r="I52" i="75"/>
  <c r="D34" i="76" a="1"/>
  <c r="I51" i="75"/>
  <c r="G73" i="75"/>
  <c r="I50" i="75"/>
  <c r="I44" i="75"/>
  <c r="G72" i="75"/>
  <c r="D68" i="75"/>
  <c r="G68" i="75" s="1"/>
  <c r="F68" i="75" s="1"/>
  <c r="G75" i="75"/>
  <c r="G74" i="75"/>
  <c r="G76" i="75"/>
  <c r="D71" i="75"/>
  <c r="G71" i="75" s="1"/>
  <c r="D70" i="75"/>
  <c r="G70" i="75" s="1"/>
  <c r="F70" i="75" s="1"/>
  <c r="D78" i="75"/>
  <c r="G78" i="75" s="1"/>
  <c r="D69" i="75"/>
  <c r="G69" i="75" s="1"/>
  <c r="F69" i="75" s="1"/>
  <c r="D77" i="75"/>
  <c r="G77" i="75" s="1"/>
  <c r="D67" i="75"/>
  <c r="G67" i="75" s="1"/>
  <c r="F67" i="75" s="1"/>
  <c r="K73" i="76"/>
  <c r="I72" i="76"/>
  <c r="L73" i="76"/>
  <c r="N73" i="76"/>
  <c r="L72" i="76"/>
  <c r="O73" i="76"/>
  <c r="M72" i="76"/>
  <c r="H73" i="76"/>
  <c r="N72" i="76"/>
  <c r="I73" i="76"/>
  <c r="G47" i="75"/>
  <c r="D49" i="75"/>
  <c r="D45" i="75"/>
  <c r="G49" i="75"/>
  <c r="D47" i="75"/>
  <c r="G45" i="75"/>
  <c r="D44" i="75"/>
  <c r="G44" i="75" s="1"/>
  <c r="F44" i="75" s="1"/>
  <c r="D46" i="75"/>
  <c r="G46" i="75" s="1"/>
  <c r="G42" i="75"/>
  <c r="F42" i="75" s="1"/>
  <c r="G50" i="75"/>
  <c r="G48" i="75"/>
  <c r="G52" i="75"/>
  <c r="D51" i="75"/>
  <c r="G51" i="75" s="1"/>
  <c r="D43" i="75"/>
  <c r="G43" i="75" s="1"/>
  <c r="F43" i="75" s="1"/>
  <c r="D41" i="75"/>
  <c r="D19" i="75"/>
  <c r="D11" i="76" a="1"/>
  <c r="D22" i="75"/>
  <c r="D7" i="76" a="1"/>
  <c r="D21" i="75"/>
  <c r="E3" i="69"/>
  <c r="I3" i="69"/>
  <c r="K25" i="69"/>
  <c r="F25" i="69"/>
  <c r="N25" i="69"/>
  <c r="M25" i="69"/>
  <c r="L25" i="69"/>
  <c r="I25" i="69"/>
  <c r="H25" i="69"/>
  <c r="G25" i="69"/>
  <c r="D25" i="69"/>
  <c r="C25" i="69"/>
  <c r="B25" i="69"/>
  <c r="K3" i="69"/>
  <c r="J3" i="69"/>
  <c r="G3" i="69"/>
  <c r="F3" i="69"/>
  <c r="D37" i="76" l="1" a="1"/>
  <c r="D37" i="76" s="1"/>
  <c r="D48" i="76" s="1"/>
  <c r="D10" i="76" a="1"/>
  <c r="D64" i="76" a="1"/>
  <c r="I54" i="76"/>
  <c r="N54" i="76"/>
  <c r="O54" i="76"/>
  <c r="J54" i="76"/>
  <c r="H54" i="76"/>
  <c r="K54" i="76"/>
  <c r="D46" i="76"/>
  <c r="E46" i="76" s="1"/>
  <c r="F46" i="76" s="1"/>
  <c r="G46" i="76" s="1"/>
  <c r="L49" i="76"/>
  <c r="N49" i="76"/>
  <c r="K49" i="76"/>
  <c r="J49" i="76"/>
  <c r="J53" i="76" s="1"/>
  <c r="I49" i="76"/>
  <c r="H49" i="76"/>
  <c r="M49" i="76"/>
  <c r="M53" i="76" s="1"/>
  <c r="O49" i="76"/>
  <c r="J22" i="76"/>
  <c r="I22" i="76"/>
  <c r="O22" i="76"/>
  <c r="N22" i="76"/>
  <c r="M22" i="76"/>
  <c r="L22" i="76"/>
  <c r="K22" i="76"/>
  <c r="H22" i="76"/>
  <c r="P35" i="76"/>
  <c r="P46" i="76" s="1"/>
  <c r="P41" i="76"/>
  <c r="P56" i="76" s="1"/>
  <c r="D68" i="76" a="1"/>
  <c r="D68" i="76" s="1"/>
  <c r="P68" i="76"/>
  <c r="P83" i="76" s="1"/>
  <c r="D34" i="76"/>
  <c r="D49" i="76" s="1"/>
  <c r="L45" i="76"/>
  <c r="K45" i="76"/>
  <c r="J45" i="76"/>
  <c r="I45" i="76"/>
  <c r="H45" i="76"/>
  <c r="O45" i="76"/>
  <c r="N45" i="76"/>
  <c r="M45" i="76"/>
  <c r="O72" i="76"/>
  <c r="K72" i="76"/>
  <c r="J72" i="76"/>
  <c r="H72" i="76"/>
  <c r="D41" i="76" a="1"/>
  <c r="D41" i="76" s="1"/>
  <c r="J73" i="76"/>
  <c r="M73" i="76"/>
  <c r="G41" i="75"/>
  <c r="D36" i="76" a="1"/>
  <c r="P61" i="76"/>
  <c r="P65" i="76" s="1"/>
  <c r="D72" i="76"/>
  <c r="E72" i="76" s="1"/>
  <c r="F72" i="76" s="1"/>
  <c r="G72" i="76" s="1"/>
  <c r="P62" i="76"/>
  <c r="P73" i="76" s="1"/>
  <c r="D73" i="76"/>
  <c r="E73" i="76" s="1"/>
  <c r="F73" i="76" s="1"/>
  <c r="G73" i="76" s="1"/>
  <c r="D11" i="76"/>
  <c r="N18" i="76"/>
  <c r="M18" i="76"/>
  <c r="K18" i="76"/>
  <c r="J18" i="76"/>
  <c r="I18" i="76"/>
  <c r="H18" i="76"/>
  <c r="D7" i="76"/>
  <c r="O18" i="76"/>
  <c r="L18" i="76"/>
  <c r="P14" i="76"/>
  <c r="D14" i="76" a="1"/>
  <c r="C3" i="69"/>
  <c r="B3" i="69"/>
  <c r="N48" i="76" l="1"/>
  <c r="H48" i="76"/>
  <c r="M48" i="76"/>
  <c r="O52" i="76"/>
  <c r="L48" i="76"/>
  <c r="M52" i="76"/>
  <c r="J52" i="76"/>
  <c r="O48" i="76"/>
  <c r="E48" i="76"/>
  <c r="F48" i="76" s="1"/>
  <c r="G48" i="76" s="1"/>
  <c r="K52" i="76"/>
  <c r="H52" i="76"/>
  <c r="I48" i="76"/>
  <c r="N52" i="76"/>
  <c r="J48" i="76"/>
  <c r="I52" i="76"/>
  <c r="K48" i="76"/>
  <c r="L52" i="76"/>
  <c r="D64" i="76"/>
  <c r="D75" i="76" s="1"/>
  <c r="E75" i="76" s="1"/>
  <c r="F75" i="76" s="1"/>
  <c r="G75" i="76" s="1"/>
  <c r="J79" i="76"/>
  <c r="I75" i="76"/>
  <c r="J75" i="76"/>
  <c r="I79" i="76"/>
  <c r="L79" i="76"/>
  <c r="M79" i="76"/>
  <c r="N79" i="76"/>
  <c r="H75" i="76"/>
  <c r="O75" i="76"/>
  <c r="K79" i="76"/>
  <c r="H79" i="76"/>
  <c r="M75" i="76"/>
  <c r="N75" i="76"/>
  <c r="K75" i="76"/>
  <c r="O79" i="76"/>
  <c r="L75" i="76"/>
  <c r="O25" i="76"/>
  <c r="J21" i="76"/>
  <c r="D10" i="76"/>
  <c r="H25" i="76"/>
  <c r="J25" i="76"/>
  <c r="N21" i="76"/>
  <c r="N25" i="76"/>
  <c r="K21" i="76"/>
  <c r="K25" i="76"/>
  <c r="L21" i="76"/>
  <c r="L25" i="76"/>
  <c r="M21" i="76"/>
  <c r="M25" i="76"/>
  <c r="I21" i="76"/>
  <c r="O21" i="76"/>
  <c r="H21" i="76"/>
  <c r="I25" i="76"/>
  <c r="N53" i="76"/>
  <c r="L53" i="76"/>
  <c r="O53" i="76"/>
  <c r="H53" i="76"/>
  <c r="I53" i="76"/>
  <c r="K53" i="76"/>
  <c r="D52" i="76"/>
  <c r="E52" i="76"/>
  <c r="G52" i="76"/>
  <c r="F52" i="76"/>
  <c r="I26" i="76"/>
  <c r="L51" i="76"/>
  <c r="L55" i="76" s="1"/>
  <c r="N51" i="76"/>
  <c r="M51" i="76"/>
  <c r="K51" i="76"/>
  <c r="J51" i="76"/>
  <c r="J55" i="76" s="1"/>
  <c r="I51" i="76"/>
  <c r="H51" i="76"/>
  <c r="O51" i="76"/>
  <c r="G49" i="76"/>
  <c r="G53" i="76" s="1"/>
  <c r="F49" i="76"/>
  <c r="F53" i="76" s="1"/>
  <c r="E49" i="76"/>
  <c r="K26" i="76"/>
  <c r="F22" i="76"/>
  <c r="E22" i="76"/>
  <c r="M26" i="76"/>
  <c r="D22" i="76"/>
  <c r="N26" i="76"/>
  <c r="G22" i="76"/>
  <c r="H26" i="76"/>
  <c r="O26" i="76"/>
  <c r="L26" i="76"/>
  <c r="J26" i="76"/>
  <c r="M74" i="76"/>
  <c r="H74" i="76"/>
  <c r="K74" i="76"/>
  <c r="N74" i="76"/>
  <c r="J74" i="76"/>
  <c r="O74" i="76"/>
  <c r="L74" i="76"/>
  <c r="I74" i="76"/>
  <c r="D45" i="76"/>
  <c r="E45" i="76" s="1"/>
  <c r="F45" i="76" s="1"/>
  <c r="G45" i="76" s="1"/>
  <c r="P34" i="76"/>
  <c r="O47" i="76"/>
  <c r="N47" i="76"/>
  <c r="M47" i="76"/>
  <c r="L47" i="76"/>
  <c r="K47" i="76"/>
  <c r="J47" i="76"/>
  <c r="I47" i="76"/>
  <c r="H47" i="76"/>
  <c r="D36" i="76"/>
  <c r="F41" i="75"/>
  <c r="D40" i="76" a="1"/>
  <c r="P72" i="76"/>
  <c r="P80" i="76"/>
  <c r="D14" i="76"/>
  <c r="P29" i="76"/>
  <c r="P7" i="76"/>
  <c r="D18" i="76"/>
  <c r="AN4" i="58"/>
  <c r="AM4" i="58" s="1"/>
  <c r="AL4" i="58" s="1"/>
  <c r="AK4" i="58" s="1"/>
  <c r="AJ4" i="58" s="1"/>
  <c r="AI4" i="58" s="1"/>
  <c r="AH4" i="58" s="1"/>
  <c r="AG4" i="58" s="1"/>
  <c r="AF4" i="58" s="1"/>
  <c r="AE4" i="58" s="1"/>
  <c r="AD4" i="58" s="1"/>
  <c r="AM4" i="57"/>
  <c r="AL4" i="57" s="1"/>
  <c r="AK4" i="57" s="1"/>
  <c r="AJ4" i="57" s="1"/>
  <c r="AI4" i="57" s="1"/>
  <c r="AH4" i="57" s="1"/>
  <c r="AG4" i="57" s="1"/>
  <c r="AF4" i="57" s="1"/>
  <c r="AE4" i="57" s="1"/>
  <c r="AD4" i="57" s="1"/>
  <c r="AC4" i="57" s="1"/>
  <c r="AB4" i="57" s="1"/>
  <c r="AA4" i="57" s="1"/>
  <c r="Z4" i="57" s="1"/>
  <c r="Y4" i="57" s="1"/>
  <c r="X4" i="57" s="1"/>
  <c r="W4" i="57" s="1"/>
  <c r="V4" i="57" s="1"/>
  <c r="U4" i="57" s="1"/>
  <c r="T4" i="57" s="1"/>
  <c r="S4" i="57" s="1"/>
  <c r="R4" i="57" s="1"/>
  <c r="Q4" i="57" s="1"/>
  <c r="P4" i="57" s="1"/>
  <c r="O4" i="57" s="1"/>
  <c r="N4" i="57" s="1"/>
  <c r="M4" i="57" s="1"/>
  <c r="L4" i="57" s="1"/>
  <c r="K4" i="57" s="1"/>
  <c r="J4" i="57" s="1"/>
  <c r="I4" i="57" s="1"/>
  <c r="H4" i="57" s="1"/>
  <c r="G4" i="57" s="1"/>
  <c r="F4" i="57" s="1"/>
  <c r="E4" i="57" s="1"/>
  <c r="D21" i="76" l="1"/>
  <c r="L56" i="76"/>
  <c r="L57" i="76" s="1"/>
  <c r="M56" i="76"/>
  <c r="F79" i="76"/>
  <c r="F83" i="76" s="1"/>
  <c r="F84" i="76" s="1"/>
  <c r="N56" i="76"/>
  <c r="H56" i="76"/>
  <c r="L83" i="76"/>
  <c r="L84" i="76" s="1"/>
  <c r="J56" i="76"/>
  <c r="J57" i="76" s="1"/>
  <c r="L29" i="76"/>
  <c r="D79" i="76"/>
  <c r="D83" i="76" s="1"/>
  <c r="D84" i="76" s="1"/>
  <c r="N29" i="76"/>
  <c r="I56" i="76"/>
  <c r="O56" i="76"/>
  <c r="K56" i="76"/>
  <c r="H83" i="76"/>
  <c r="H84" i="76" s="1"/>
  <c r="O83" i="76"/>
  <c r="O84" i="76" s="1"/>
  <c r="E79" i="76"/>
  <c r="E83" i="76" s="1"/>
  <c r="E84" i="76" s="1"/>
  <c r="G79" i="76"/>
  <c r="G83" i="76" s="1"/>
  <c r="G84" i="76" s="1"/>
  <c r="M29" i="76"/>
  <c r="J29" i="76"/>
  <c r="K83" i="76"/>
  <c r="K84" i="76" s="1"/>
  <c r="I83" i="76"/>
  <c r="I84" i="76" s="1"/>
  <c r="H29" i="76"/>
  <c r="J83" i="76"/>
  <c r="J84" i="76" s="1"/>
  <c r="N83" i="76"/>
  <c r="N84" i="76" s="1"/>
  <c r="I29" i="76"/>
  <c r="K29" i="76"/>
  <c r="O29" i="76"/>
  <c r="M83" i="76"/>
  <c r="M84" i="76" s="1"/>
  <c r="F56" i="76"/>
  <c r="G56" i="76"/>
  <c r="E56" i="76"/>
  <c r="D56" i="76"/>
  <c r="H55" i="76"/>
  <c r="I55" i="76"/>
  <c r="N55" i="76"/>
  <c r="K55" i="76"/>
  <c r="D53" i="76"/>
  <c r="O55" i="76"/>
  <c r="E53" i="76"/>
  <c r="M55" i="76"/>
  <c r="G25" i="76"/>
  <c r="E25" i="76"/>
  <c r="F25" i="76"/>
  <c r="D25" i="76"/>
  <c r="D26" i="76"/>
  <c r="D40" i="76"/>
  <c r="D51" i="76" s="1"/>
  <c r="D55" i="76" s="1"/>
  <c r="O42" i="76"/>
  <c r="N42" i="76"/>
  <c r="M42" i="76"/>
  <c r="E42" i="76"/>
  <c r="H42" i="76"/>
  <c r="F42" i="76"/>
  <c r="I42" i="76"/>
  <c r="J42" i="76"/>
  <c r="L42" i="76"/>
  <c r="G42" i="76"/>
  <c r="K42" i="76"/>
  <c r="P45" i="76"/>
  <c r="P38" i="76"/>
  <c r="P53" i="76" s="1"/>
  <c r="I69" i="76"/>
  <c r="M69" i="76"/>
  <c r="L69" i="76"/>
  <c r="J69" i="76"/>
  <c r="N69" i="76"/>
  <c r="K69" i="76"/>
  <c r="H69" i="76"/>
  <c r="F69" i="76"/>
  <c r="G69" i="76"/>
  <c r="O69" i="76"/>
  <c r="E69" i="76"/>
  <c r="D74" i="76"/>
  <c r="E74" i="76" s="1"/>
  <c r="F74" i="76" s="1"/>
  <c r="G74" i="76" s="1"/>
  <c r="P63" i="76"/>
  <c r="P67" i="76" s="1"/>
  <c r="D39" i="76" a="1"/>
  <c r="D39" i="76" s="1"/>
  <c r="D47" i="76"/>
  <c r="E47" i="76" s="1"/>
  <c r="F47" i="76" s="1"/>
  <c r="G47" i="76" s="1"/>
  <c r="P36" i="76"/>
  <c r="P11" i="76"/>
  <c r="E18" i="76"/>
  <c r="E26" i="76" s="1"/>
  <c r="P18" i="76"/>
  <c r="AC4" i="58"/>
  <c r="AB4" i="58" s="1"/>
  <c r="AA4" i="58" s="1"/>
  <c r="Z4" i="58" s="1"/>
  <c r="Y4" i="58" s="1"/>
  <c r="X4" i="58" s="1"/>
  <c r="W4" i="58" s="1"/>
  <c r="V4" i="58" s="1"/>
  <c r="U4" i="58" s="1"/>
  <c r="T4" i="58" s="1"/>
  <c r="S4" i="58" s="1"/>
  <c r="R4" i="58" s="1"/>
  <c r="Q4" i="58" s="1"/>
  <c r="P4" i="58" s="1"/>
  <c r="O4" i="58" s="1"/>
  <c r="N4" i="58" s="1"/>
  <c r="M4" i="58" s="1"/>
  <c r="L4" i="58" s="1"/>
  <c r="K4" i="58" s="1"/>
  <c r="J4" i="58" s="1"/>
  <c r="I4" i="58" s="1"/>
  <c r="H4" i="58" s="1"/>
  <c r="G4" i="58" s="1"/>
  <c r="F4" i="58" s="1"/>
  <c r="C71" i="58"/>
  <c r="C70" i="58"/>
  <c r="C69" i="58"/>
  <c r="C68" i="58"/>
  <c r="C67" i="58"/>
  <c r="C66" i="58"/>
  <c r="C65" i="58"/>
  <c r="C63" i="58"/>
  <c r="C62" i="58"/>
  <c r="D61" i="58"/>
  <c r="D62" i="58" s="1"/>
  <c r="D63" i="58" s="1"/>
  <c r="D64" i="58" s="1"/>
  <c r="D65" i="58" s="1"/>
  <c r="D66" i="58" s="1"/>
  <c r="D67" i="58" s="1"/>
  <c r="D68" i="58" s="1"/>
  <c r="D69" i="58" s="1"/>
  <c r="D70" i="58" s="1"/>
  <c r="D71" i="58" s="1"/>
  <c r="C61" i="58"/>
  <c r="C60" i="58"/>
  <c r="C53" i="58"/>
  <c r="C52" i="58"/>
  <c r="C51" i="58"/>
  <c r="C50" i="58"/>
  <c r="C49" i="58"/>
  <c r="C48" i="58"/>
  <c r="C47" i="58"/>
  <c r="C46" i="58"/>
  <c r="C45" i="58"/>
  <c r="C44" i="58"/>
  <c r="C43" i="58"/>
  <c r="C42" i="58"/>
  <c r="D43" i="58"/>
  <c r="D44" i="58" s="1"/>
  <c r="D45" i="58" s="1"/>
  <c r="D46" i="58" s="1"/>
  <c r="D47" i="58" s="1"/>
  <c r="D48" i="58" s="1"/>
  <c r="D49" i="58" s="1"/>
  <c r="D50" i="58" s="1"/>
  <c r="D51" i="58" s="1"/>
  <c r="D52" i="58" s="1"/>
  <c r="D53" i="58" s="1"/>
  <c r="AO59" i="58"/>
  <c r="AO41" i="58"/>
  <c r="I7" i="68"/>
  <c r="I8" i="68"/>
  <c r="I9" i="68"/>
  <c r="I10" i="68"/>
  <c r="I11" i="68"/>
  <c r="I12" i="68"/>
  <c r="I13" i="68"/>
  <c r="I14" i="68"/>
  <c r="I15" i="68"/>
  <c r="I16" i="68"/>
  <c r="I17" i="68"/>
  <c r="I18" i="68"/>
  <c r="I19" i="68"/>
  <c r="I20" i="68"/>
  <c r="I21" i="68"/>
  <c r="I22" i="68"/>
  <c r="I23" i="68"/>
  <c r="I24" i="68"/>
  <c r="I25" i="68"/>
  <c r="I26" i="68"/>
  <c r="I27" i="68"/>
  <c r="I28" i="68"/>
  <c r="I29" i="68"/>
  <c r="I30" i="68"/>
  <c r="I31" i="68"/>
  <c r="I32" i="68"/>
  <c r="I33" i="68"/>
  <c r="I34" i="68"/>
  <c r="I35" i="68"/>
  <c r="I36" i="68"/>
  <c r="I37" i="68"/>
  <c r="I38" i="68"/>
  <c r="I39" i="68"/>
  <c r="I40" i="68"/>
  <c r="I41" i="68"/>
  <c r="I42" i="68"/>
  <c r="I43" i="68"/>
  <c r="I44" i="68"/>
  <c r="I45" i="68"/>
  <c r="I46" i="68"/>
  <c r="I47" i="68"/>
  <c r="I48" i="68"/>
  <c r="I49" i="68"/>
  <c r="I50" i="68"/>
  <c r="I51" i="68"/>
  <c r="I52" i="68"/>
  <c r="I53" i="68"/>
  <c r="I54" i="68"/>
  <c r="I55" i="68"/>
  <c r="I56" i="68"/>
  <c r="I57" i="68"/>
  <c r="H7" i="68"/>
  <c r="H8" i="68" s="1"/>
  <c r="H9" i="68" s="1"/>
  <c r="H10" i="68" s="1"/>
  <c r="H11" i="68" s="1"/>
  <c r="H12" i="68" s="1"/>
  <c r="H13" i="68" s="1"/>
  <c r="H14" i="68" s="1"/>
  <c r="H15" i="68" s="1"/>
  <c r="H16" i="68" s="1"/>
  <c r="H17" i="68" s="1"/>
  <c r="H18" i="68" s="1"/>
  <c r="H19" i="68" s="1"/>
  <c r="H20" i="68" s="1"/>
  <c r="H21" i="68" s="1"/>
  <c r="H22" i="68" s="1"/>
  <c r="H23" i="68" s="1"/>
  <c r="H24" i="68" s="1"/>
  <c r="H25" i="68" s="1"/>
  <c r="H26" i="68" s="1"/>
  <c r="H27" i="68" s="1"/>
  <c r="H28" i="68" s="1"/>
  <c r="H29" i="68" s="1"/>
  <c r="H30" i="68" s="1"/>
  <c r="H31" i="68" s="1"/>
  <c r="H32" i="68" s="1"/>
  <c r="H33" i="68" s="1"/>
  <c r="H34" i="68" s="1"/>
  <c r="H35" i="68" s="1"/>
  <c r="H36" i="68" s="1"/>
  <c r="H37" i="68" s="1"/>
  <c r="H38" i="68" s="1"/>
  <c r="H39" i="68" s="1"/>
  <c r="H40" i="68" s="1"/>
  <c r="H41" i="68" s="1"/>
  <c r="H42" i="68" s="1"/>
  <c r="H43" i="68" s="1"/>
  <c r="H44" i="68" s="1"/>
  <c r="H45" i="68" s="1"/>
  <c r="H46" i="68" s="1"/>
  <c r="H47" i="68" s="1"/>
  <c r="H48" i="68" s="1"/>
  <c r="H49" i="68" s="1"/>
  <c r="H50" i="68" s="1"/>
  <c r="H51" i="68" s="1"/>
  <c r="H52" i="68" s="1"/>
  <c r="H53" i="68" s="1"/>
  <c r="H54" i="68" s="1"/>
  <c r="H55" i="68" s="1"/>
  <c r="H56" i="68" s="1"/>
  <c r="H57" i="68" s="1"/>
  <c r="C103" i="67"/>
  <c r="B103" i="67"/>
  <c r="B102" i="67"/>
  <c r="B101" i="67"/>
  <c r="B100" i="67"/>
  <c r="B99" i="67"/>
  <c r="B98" i="67"/>
  <c r="B97" i="67"/>
  <c r="B96" i="67"/>
  <c r="B95" i="67"/>
  <c r="B94" i="67"/>
  <c r="C93" i="67"/>
  <c r="C94" i="67"/>
  <c r="C95" i="67"/>
  <c r="C96" i="67"/>
  <c r="C97" i="67"/>
  <c r="C98" i="67"/>
  <c r="C99" i="67"/>
  <c r="C100" i="67"/>
  <c r="C101" i="67"/>
  <c r="C102" i="67"/>
  <c r="B93" i="67"/>
  <c r="B92" i="67"/>
  <c r="B86" i="67"/>
  <c r="B85" i="67"/>
  <c r="B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B83" i="67"/>
  <c r="B82" i="67"/>
  <c r="B81" i="67"/>
  <c r="B80" i="67"/>
  <c r="B79" i="67"/>
  <c r="B78" i="67"/>
  <c r="Q77" i="67"/>
  <c r="P77" i="67"/>
  <c r="O77" i="67"/>
  <c r="N77" i="67"/>
  <c r="M77" i="67"/>
  <c r="L77" i="67"/>
  <c r="K77" i="67"/>
  <c r="J77" i="67"/>
  <c r="I77" i="67"/>
  <c r="H77" i="67"/>
  <c r="G77" i="67"/>
  <c r="F77" i="67"/>
  <c r="B77" i="67"/>
  <c r="C76" i="67"/>
  <c r="C77" i="67"/>
  <c r="C78" i="67"/>
  <c r="C79" i="67"/>
  <c r="C80" i="67"/>
  <c r="C81" i="67"/>
  <c r="C82" i="67"/>
  <c r="C83" i="67"/>
  <c r="C84" i="67"/>
  <c r="C85" i="67"/>
  <c r="C86" i="67"/>
  <c r="B76" i="67"/>
  <c r="B75" i="67"/>
  <c r="AN74" i="67"/>
  <c r="B69" i="67"/>
  <c r="B68" i="67"/>
  <c r="B67" i="67"/>
  <c r="Q66" i="67"/>
  <c r="P66" i="67"/>
  <c r="O66" i="67"/>
  <c r="N66" i="67"/>
  <c r="M66" i="67"/>
  <c r="L66" i="67"/>
  <c r="K66" i="67"/>
  <c r="J66" i="67"/>
  <c r="I66" i="67"/>
  <c r="H66" i="67"/>
  <c r="G66" i="67"/>
  <c r="F66" i="67"/>
  <c r="B66" i="67"/>
  <c r="B65" i="67"/>
  <c r="B64" i="67"/>
  <c r="B63" i="67"/>
  <c r="B62" i="67"/>
  <c r="C61" i="67"/>
  <c r="C62" i="67"/>
  <c r="C63" i="67"/>
  <c r="C64" i="67"/>
  <c r="C65" i="67"/>
  <c r="C66" i="67"/>
  <c r="C67" i="67"/>
  <c r="C68" i="67"/>
  <c r="C69" i="67"/>
  <c r="B61" i="67"/>
  <c r="Q60" i="67"/>
  <c r="P60" i="67"/>
  <c r="O60" i="67"/>
  <c r="N60" i="67"/>
  <c r="M60" i="67"/>
  <c r="L60" i="67"/>
  <c r="K60" i="67"/>
  <c r="J60" i="67"/>
  <c r="I60" i="67"/>
  <c r="H60" i="67"/>
  <c r="G60" i="67"/>
  <c r="F60" i="67"/>
  <c r="B60" i="67"/>
  <c r="C59" i="67"/>
  <c r="C60" i="67"/>
  <c r="B59" i="67"/>
  <c r="B58" i="67"/>
  <c r="AP57" i="67"/>
  <c r="AO57" i="67"/>
  <c r="AN57" i="67"/>
  <c r="B52" i="67"/>
  <c r="B51" i="67"/>
  <c r="B50" i="67"/>
  <c r="Q49" i="67"/>
  <c r="P49" i="67"/>
  <c r="O49" i="67"/>
  <c r="N49" i="67"/>
  <c r="M49" i="67"/>
  <c r="L49" i="67"/>
  <c r="K49" i="67"/>
  <c r="J49" i="67"/>
  <c r="I49" i="67"/>
  <c r="H49" i="67"/>
  <c r="G49" i="67"/>
  <c r="F49" i="67"/>
  <c r="B49" i="67"/>
  <c r="B48" i="67"/>
  <c r="B47" i="67"/>
  <c r="B46" i="67"/>
  <c r="B45" i="67"/>
  <c r="B44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B43" i="67"/>
  <c r="C42" i="67"/>
  <c r="C43" i="67"/>
  <c r="C44" i="67"/>
  <c r="C45" i="67"/>
  <c r="C46" i="67"/>
  <c r="C47" i="67"/>
  <c r="C48" i="67"/>
  <c r="C49" i="67"/>
  <c r="C50" i="67"/>
  <c r="C51" i="67"/>
  <c r="C52" i="67"/>
  <c r="B42" i="67"/>
  <c r="B41" i="67"/>
  <c r="AP40" i="67"/>
  <c r="AO40" i="67"/>
  <c r="AN40" i="67"/>
  <c r="B35" i="67"/>
  <c r="B34" i="67"/>
  <c r="B33" i="67"/>
  <c r="Q32" i="67"/>
  <c r="P32" i="67"/>
  <c r="O32" i="67"/>
  <c r="N32" i="67"/>
  <c r="M32" i="67"/>
  <c r="L32" i="67"/>
  <c r="K32" i="67"/>
  <c r="J32" i="67"/>
  <c r="I32" i="67"/>
  <c r="H32" i="67"/>
  <c r="G32" i="67"/>
  <c r="F32" i="67"/>
  <c r="B32" i="67"/>
  <c r="B31" i="67"/>
  <c r="B30" i="67"/>
  <c r="B29" i="67"/>
  <c r="B28" i="67"/>
  <c r="B27" i="67"/>
  <c r="Q26" i="67"/>
  <c r="P26" i="67"/>
  <c r="O26" i="67"/>
  <c r="N26" i="67"/>
  <c r="M26" i="67"/>
  <c r="L26" i="67"/>
  <c r="K26" i="67"/>
  <c r="J26" i="67"/>
  <c r="I26" i="67"/>
  <c r="H26" i="67"/>
  <c r="G26" i="67"/>
  <c r="F26" i="67"/>
  <c r="B26" i="67"/>
  <c r="C25" i="67"/>
  <c r="C26" i="67"/>
  <c r="C27" i="67"/>
  <c r="C28" i="67"/>
  <c r="C29" i="67"/>
  <c r="C30" i="67"/>
  <c r="C31" i="67"/>
  <c r="C32" i="67"/>
  <c r="C33" i="67"/>
  <c r="C34" i="67"/>
  <c r="C35" i="67"/>
  <c r="B25" i="67"/>
  <c r="B24" i="67"/>
  <c r="AP23" i="67"/>
  <c r="AP74" i="67"/>
  <c r="AO23" i="67"/>
  <c r="AO74" i="67"/>
  <c r="AN23" i="67"/>
  <c r="AM23" i="67"/>
  <c r="B17" i="67"/>
  <c r="Q16" i="67"/>
  <c r="P16" i="67"/>
  <c r="O16" i="67"/>
  <c r="N16" i="67"/>
  <c r="M16" i="67"/>
  <c r="L16" i="67"/>
  <c r="K16" i="67"/>
  <c r="J16" i="67"/>
  <c r="I16" i="67"/>
  <c r="H16" i="67"/>
  <c r="G16" i="67"/>
  <c r="F16" i="67"/>
  <c r="B16" i="67"/>
  <c r="B15" i="67"/>
  <c r="B14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B13" i="67"/>
  <c r="B12" i="67"/>
  <c r="B11" i="67"/>
  <c r="B10" i="67"/>
  <c r="B9" i="67"/>
  <c r="B8" i="67"/>
  <c r="B7" i="67"/>
  <c r="B6" i="67"/>
  <c r="B5" i="67"/>
  <c r="AM4" i="67"/>
  <c r="C103" i="66"/>
  <c r="B103" i="66"/>
  <c r="B102" i="66"/>
  <c r="B101" i="66"/>
  <c r="B100" i="66"/>
  <c r="B99" i="66"/>
  <c r="B98" i="66"/>
  <c r="B97" i="66"/>
  <c r="C96" i="66"/>
  <c r="C97" i="66"/>
  <c r="C98" i="66"/>
  <c r="C99" i="66"/>
  <c r="C100" i="66"/>
  <c r="C101" i="66"/>
  <c r="C102" i="66"/>
  <c r="B96" i="66"/>
  <c r="C95" i="66"/>
  <c r="B95" i="66"/>
  <c r="B94" i="66"/>
  <c r="C93" i="66"/>
  <c r="C94" i="66"/>
  <c r="B93" i="66"/>
  <c r="B92" i="66"/>
  <c r="B86" i="66"/>
  <c r="B85" i="66"/>
  <c r="B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B83" i="66"/>
  <c r="B82" i="66"/>
  <c r="B81" i="66"/>
  <c r="B80" i="66"/>
  <c r="C79" i="66"/>
  <c r="C80" i="66"/>
  <c r="C81" i="66"/>
  <c r="C82" i="66"/>
  <c r="C83" i="66"/>
  <c r="C84" i="66"/>
  <c r="C85" i="66"/>
  <c r="C86" i="66"/>
  <c r="B79" i="66"/>
  <c r="B78" i="66"/>
  <c r="Q77" i="66"/>
  <c r="P77" i="66"/>
  <c r="O77" i="66"/>
  <c r="N77" i="66"/>
  <c r="M77" i="66"/>
  <c r="L77" i="66"/>
  <c r="K77" i="66"/>
  <c r="J77" i="66"/>
  <c r="I77" i="66"/>
  <c r="H77" i="66"/>
  <c r="G77" i="66"/>
  <c r="F77" i="66"/>
  <c r="C77" i="66"/>
  <c r="C78" i="66"/>
  <c r="B77" i="66"/>
  <c r="C76" i="66"/>
  <c r="B76" i="66"/>
  <c r="B75" i="66"/>
  <c r="AN74" i="66"/>
  <c r="B69" i="66"/>
  <c r="B68" i="66"/>
  <c r="B67" i="66"/>
  <c r="Q66" i="66"/>
  <c r="P66" i="66"/>
  <c r="O66" i="66"/>
  <c r="N66" i="66"/>
  <c r="M66" i="66"/>
  <c r="L66" i="66"/>
  <c r="K66" i="66"/>
  <c r="J66" i="66"/>
  <c r="I66" i="66"/>
  <c r="H66" i="66"/>
  <c r="G66" i="66"/>
  <c r="F66" i="66"/>
  <c r="B66" i="66"/>
  <c r="B65" i="66"/>
  <c r="B64" i="66"/>
  <c r="B63" i="66"/>
  <c r="B62" i="66"/>
  <c r="B61" i="66"/>
  <c r="Q60" i="66"/>
  <c r="P60" i="66"/>
  <c r="O60" i="66"/>
  <c r="N60" i="66"/>
  <c r="M60" i="66"/>
  <c r="L60" i="66"/>
  <c r="K60" i="66"/>
  <c r="J60" i="66"/>
  <c r="I60" i="66"/>
  <c r="H60" i="66"/>
  <c r="G60" i="66"/>
  <c r="F60" i="66"/>
  <c r="B60" i="66"/>
  <c r="C59" i="66"/>
  <c r="C60" i="66"/>
  <c r="C61" i="66"/>
  <c r="C62" i="66"/>
  <c r="C63" i="66"/>
  <c r="C64" i="66"/>
  <c r="C65" i="66"/>
  <c r="C66" i="66"/>
  <c r="C67" i="66"/>
  <c r="C68" i="66"/>
  <c r="C69" i="66"/>
  <c r="B59" i="66"/>
  <c r="B58" i="66"/>
  <c r="AP57" i="66"/>
  <c r="AO57" i="66"/>
  <c r="AN57" i="66"/>
  <c r="B52" i="66"/>
  <c r="B51" i="66"/>
  <c r="B50" i="66"/>
  <c r="Q49" i="66"/>
  <c r="P49" i="66"/>
  <c r="O49" i="66"/>
  <c r="N49" i="66"/>
  <c r="M49" i="66"/>
  <c r="L49" i="66"/>
  <c r="K49" i="66"/>
  <c r="J49" i="66"/>
  <c r="I49" i="66"/>
  <c r="H49" i="66"/>
  <c r="G49" i="66"/>
  <c r="F49" i="66"/>
  <c r="B49" i="66"/>
  <c r="B48" i="66"/>
  <c r="B47" i="66"/>
  <c r="B46" i="66"/>
  <c r="B45" i="66"/>
  <c r="B44" i="66"/>
  <c r="Q43" i="66"/>
  <c r="P43" i="66"/>
  <c r="O43" i="66"/>
  <c r="N43" i="66"/>
  <c r="M43" i="66"/>
  <c r="L43" i="66"/>
  <c r="K43" i="66"/>
  <c r="J43" i="66"/>
  <c r="I43" i="66"/>
  <c r="H43" i="66"/>
  <c r="G43" i="66"/>
  <c r="F43" i="66"/>
  <c r="B43" i="66"/>
  <c r="C42" i="66"/>
  <c r="C43" i="66"/>
  <c r="C44" i="66"/>
  <c r="C45" i="66"/>
  <c r="C46" i="66"/>
  <c r="C47" i="66"/>
  <c r="C48" i="66"/>
  <c r="C49" i="66"/>
  <c r="C50" i="66"/>
  <c r="C51" i="66"/>
  <c r="C52" i="66"/>
  <c r="B42" i="66"/>
  <c r="B41" i="66"/>
  <c r="AP40" i="66"/>
  <c r="AO40" i="66"/>
  <c r="AN40" i="66"/>
  <c r="B35" i="66"/>
  <c r="B34" i="66"/>
  <c r="B33" i="66"/>
  <c r="Q32" i="66"/>
  <c r="P32" i="66"/>
  <c r="O32" i="66"/>
  <c r="N32" i="66"/>
  <c r="M32" i="66"/>
  <c r="L32" i="66"/>
  <c r="K32" i="66"/>
  <c r="J32" i="66"/>
  <c r="I32" i="66"/>
  <c r="H32" i="66"/>
  <c r="G32" i="66"/>
  <c r="F32" i="66"/>
  <c r="B32" i="66"/>
  <c r="B31" i="66"/>
  <c r="B30" i="66"/>
  <c r="B29" i="66"/>
  <c r="B28" i="66"/>
  <c r="B27" i="66"/>
  <c r="Q26" i="66"/>
  <c r="P26" i="66"/>
  <c r="O26" i="66"/>
  <c r="N26" i="66"/>
  <c r="M26" i="66"/>
  <c r="L26" i="66"/>
  <c r="K26" i="66"/>
  <c r="J26" i="66"/>
  <c r="I26" i="66"/>
  <c r="H26" i="66"/>
  <c r="G26" i="66"/>
  <c r="F26" i="66"/>
  <c r="C26" i="66"/>
  <c r="C27" i="66"/>
  <c r="C28" i="66"/>
  <c r="C29" i="66"/>
  <c r="C30" i="66"/>
  <c r="C31" i="66"/>
  <c r="C32" i="66"/>
  <c r="C33" i="66"/>
  <c r="C34" i="66"/>
  <c r="C35" i="66"/>
  <c r="B26" i="66"/>
  <c r="C25" i="66"/>
  <c r="B25" i="66"/>
  <c r="B24" i="66"/>
  <c r="AP23" i="66"/>
  <c r="AP74" i="66"/>
  <c r="AO23" i="66"/>
  <c r="AO74" i="66"/>
  <c r="AN23" i="66"/>
  <c r="B17" i="66"/>
  <c r="Q16" i="66"/>
  <c r="P16" i="66"/>
  <c r="O16" i="66"/>
  <c r="N16" i="66"/>
  <c r="M16" i="66"/>
  <c r="L16" i="66"/>
  <c r="K16" i="66"/>
  <c r="J16" i="66"/>
  <c r="I16" i="66"/>
  <c r="H16" i="66"/>
  <c r="G16" i="66"/>
  <c r="F16" i="66"/>
  <c r="B16" i="66"/>
  <c r="B15" i="66"/>
  <c r="B14" i="66"/>
  <c r="Q13" i="66"/>
  <c r="P13" i="66"/>
  <c r="O13" i="66"/>
  <c r="N13" i="66"/>
  <c r="M13" i="66"/>
  <c r="L13" i="66"/>
  <c r="K13" i="66"/>
  <c r="J13" i="66"/>
  <c r="I13" i="66"/>
  <c r="H13" i="66"/>
  <c r="G13" i="66"/>
  <c r="F13" i="66"/>
  <c r="B13" i="66"/>
  <c r="B12" i="66"/>
  <c r="B11" i="66"/>
  <c r="B10" i="66"/>
  <c r="B9" i="66"/>
  <c r="B8" i="66"/>
  <c r="B7" i="66"/>
  <c r="B6" i="66"/>
  <c r="B5" i="66"/>
  <c r="AM4" i="66"/>
  <c r="AL4" i="66"/>
  <c r="C103" i="65"/>
  <c r="B103" i="65"/>
  <c r="B102" i="65"/>
  <c r="B101" i="65"/>
  <c r="B100" i="65"/>
  <c r="B99" i="65"/>
  <c r="B98" i="65"/>
  <c r="B97" i="65"/>
  <c r="C96" i="65"/>
  <c r="C97" i="65"/>
  <c r="C98" i="65"/>
  <c r="C99" i="65"/>
  <c r="C100" i="65"/>
  <c r="C101" i="65"/>
  <c r="C102" i="65"/>
  <c r="B96" i="65"/>
  <c r="B95" i="65"/>
  <c r="B94" i="65"/>
  <c r="C93" i="65"/>
  <c r="C94" i="65"/>
  <c r="C95" i="65"/>
  <c r="B93" i="65"/>
  <c r="B92" i="65"/>
  <c r="B86" i="65"/>
  <c r="B85" i="65"/>
  <c r="B84" i="65"/>
  <c r="B83" i="65"/>
  <c r="B82" i="65"/>
  <c r="B81" i="65"/>
  <c r="B80" i="65"/>
  <c r="B79" i="65"/>
  <c r="C78" i="65"/>
  <c r="B78" i="65"/>
  <c r="C77" i="65"/>
  <c r="B77" i="65"/>
  <c r="C76" i="65"/>
  <c r="B76" i="65"/>
  <c r="B75" i="65"/>
  <c r="AN74" i="65"/>
  <c r="B69" i="65"/>
  <c r="B68" i="65"/>
  <c r="B67" i="65"/>
  <c r="B66" i="65"/>
  <c r="B65" i="65"/>
  <c r="B64" i="65"/>
  <c r="B63" i="65"/>
  <c r="B62" i="65"/>
  <c r="B61" i="65"/>
  <c r="B60" i="65"/>
  <c r="B59" i="65"/>
  <c r="B58" i="65"/>
  <c r="AP57" i="65"/>
  <c r="AN57" i="65"/>
  <c r="B52" i="65"/>
  <c r="B51" i="65"/>
  <c r="B50" i="65"/>
  <c r="B49" i="65"/>
  <c r="B48" i="65"/>
  <c r="B47" i="65"/>
  <c r="B46" i="65"/>
  <c r="B45" i="65"/>
  <c r="B44" i="65"/>
  <c r="B43" i="65"/>
  <c r="C42" i="65"/>
  <c r="C43" i="65"/>
  <c r="C44" i="65"/>
  <c r="B42" i="65"/>
  <c r="B41" i="65"/>
  <c r="AP40" i="65"/>
  <c r="AN40" i="65"/>
  <c r="B35" i="65"/>
  <c r="B34" i="65"/>
  <c r="B33" i="65"/>
  <c r="B32" i="65"/>
  <c r="B31" i="65"/>
  <c r="B30" i="65"/>
  <c r="B29" i="65"/>
  <c r="B28" i="65"/>
  <c r="B27" i="65"/>
  <c r="B26" i="65"/>
  <c r="B25" i="65"/>
  <c r="B24" i="65"/>
  <c r="AP23" i="65"/>
  <c r="AP74" i="65"/>
  <c r="AN23" i="65"/>
  <c r="AM23" i="65"/>
  <c r="B17" i="65"/>
  <c r="B16" i="65"/>
  <c r="B15" i="65"/>
  <c r="B14" i="65"/>
  <c r="B13" i="65"/>
  <c r="B12" i="65"/>
  <c r="B11" i="65"/>
  <c r="B10" i="65"/>
  <c r="B9" i="65"/>
  <c r="B7" i="65"/>
  <c r="B6" i="65"/>
  <c r="B5" i="65"/>
  <c r="AM4" i="65"/>
  <c r="AL4" i="65"/>
  <c r="AK4" i="65"/>
  <c r="AM74" i="67"/>
  <c r="AM57" i="67"/>
  <c r="AM40" i="67"/>
  <c r="AL4" i="67"/>
  <c r="AM57" i="66"/>
  <c r="AM74" i="66"/>
  <c r="AM40" i="66"/>
  <c r="AM23" i="66"/>
  <c r="AL74" i="66"/>
  <c r="AL57" i="66"/>
  <c r="AL40" i="66"/>
  <c r="AL23" i="66"/>
  <c r="AK4" i="66"/>
  <c r="AK74" i="65"/>
  <c r="AK57" i="65"/>
  <c r="AK23" i="65"/>
  <c r="AK40" i="65"/>
  <c r="AJ4" i="65"/>
  <c r="AL74" i="65"/>
  <c r="AL57" i="65"/>
  <c r="AL40" i="65"/>
  <c r="AL23" i="65"/>
  <c r="C45" i="65"/>
  <c r="C46" i="65"/>
  <c r="C47" i="65"/>
  <c r="C48" i="65"/>
  <c r="C49" i="65"/>
  <c r="C50" i="65"/>
  <c r="C51" i="65"/>
  <c r="C52" i="65"/>
  <c r="AM74" i="65"/>
  <c r="AM57" i="65"/>
  <c r="AM40" i="65"/>
  <c r="C79" i="65"/>
  <c r="C80" i="65"/>
  <c r="C81" i="65"/>
  <c r="C82" i="65"/>
  <c r="C83" i="65"/>
  <c r="C84" i="65"/>
  <c r="C85" i="65"/>
  <c r="C86" i="65"/>
  <c r="AL74" i="67"/>
  <c r="AL40" i="67"/>
  <c r="AL57" i="67"/>
  <c r="AK4" i="67"/>
  <c r="AL23" i="67"/>
  <c r="AK57" i="66"/>
  <c r="AK74" i="66"/>
  <c r="AK40" i="66"/>
  <c r="AJ4" i="66"/>
  <c r="AK23" i="66"/>
  <c r="AJ57" i="65"/>
  <c r="AJ74" i="65"/>
  <c r="AJ40" i="65"/>
  <c r="AJ23" i="65"/>
  <c r="AI4" i="65"/>
  <c r="AK74" i="67"/>
  <c r="AK57" i="67"/>
  <c r="AK40" i="67"/>
  <c r="AJ4" i="67"/>
  <c r="AK23" i="67"/>
  <c r="AJ74" i="66"/>
  <c r="AJ40" i="66"/>
  <c r="AJ57" i="66"/>
  <c r="AI4" i="66"/>
  <c r="AJ23" i="66"/>
  <c r="AI74" i="65"/>
  <c r="AI57" i="65"/>
  <c r="AI40" i="65"/>
  <c r="AI23" i="65"/>
  <c r="AH4" i="65"/>
  <c r="AJ74" i="67"/>
  <c r="AJ57" i="67"/>
  <c r="AJ40" i="67"/>
  <c r="AJ23" i="67"/>
  <c r="AI4" i="67"/>
  <c r="AI74" i="66"/>
  <c r="AI57" i="66"/>
  <c r="AI23" i="66"/>
  <c r="AH4" i="66"/>
  <c r="AI40" i="66"/>
  <c r="AH40" i="65"/>
  <c r="AH74" i="65"/>
  <c r="AH57" i="65"/>
  <c r="AH23" i="65"/>
  <c r="AG4" i="65"/>
  <c r="AI74" i="67"/>
  <c r="AI40" i="67"/>
  <c r="AI23" i="67"/>
  <c r="AI57" i="67"/>
  <c r="AH4" i="67"/>
  <c r="AH57" i="66"/>
  <c r="AH74" i="66"/>
  <c r="AH40" i="66"/>
  <c r="AH23" i="66"/>
  <c r="AG4" i="66"/>
  <c r="AG74" i="65"/>
  <c r="AG23" i="65"/>
  <c r="AG57" i="65"/>
  <c r="AG40" i="65"/>
  <c r="AF4" i="65"/>
  <c r="AH74" i="67"/>
  <c r="AH57" i="67"/>
  <c r="AH40" i="67"/>
  <c r="AH23" i="67"/>
  <c r="AG4" i="67"/>
  <c r="AG74" i="66"/>
  <c r="AG57" i="66"/>
  <c r="AG40" i="66"/>
  <c r="AG23" i="66"/>
  <c r="AF4" i="66"/>
  <c r="AF74" i="65"/>
  <c r="AF57" i="65"/>
  <c r="AF23" i="65"/>
  <c r="AE4" i="65"/>
  <c r="AF40" i="65"/>
  <c r="AG57" i="67"/>
  <c r="AG74" i="67"/>
  <c r="AG23" i="67"/>
  <c r="AF4" i="67"/>
  <c r="AG40" i="67"/>
  <c r="AF74" i="66"/>
  <c r="AF57" i="66"/>
  <c r="AF40" i="66"/>
  <c r="AF23" i="66"/>
  <c r="AE4" i="66"/>
  <c r="AE74" i="65"/>
  <c r="AE57" i="65"/>
  <c r="AE40" i="65"/>
  <c r="AE23" i="65"/>
  <c r="AD4" i="65"/>
  <c r="AF57" i="67"/>
  <c r="AF74" i="67"/>
  <c r="AF40" i="67"/>
  <c r="AF23" i="67"/>
  <c r="AE4" i="67"/>
  <c r="AE74" i="66"/>
  <c r="AE57" i="66"/>
  <c r="AE40" i="66"/>
  <c r="AE23" i="66"/>
  <c r="AD4" i="66"/>
  <c r="AD74" i="65"/>
  <c r="AD40" i="65"/>
  <c r="AD57" i="65"/>
  <c r="AD23" i="65"/>
  <c r="AC4" i="65"/>
  <c r="AE57" i="67"/>
  <c r="AE74" i="67"/>
  <c r="AE40" i="67"/>
  <c r="AD4" i="67"/>
  <c r="AE23" i="67"/>
  <c r="AD74" i="66"/>
  <c r="AD40" i="66"/>
  <c r="AD57" i="66"/>
  <c r="AD23" i="66"/>
  <c r="AC4" i="66"/>
  <c r="AC91" i="65"/>
  <c r="AC74" i="65"/>
  <c r="AC23" i="65"/>
  <c r="AC40" i="65"/>
  <c r="AC57" i="65"/>
  <c r="AB4" i="65"/>
  <c r="AD74" i="67"/>
  <c r="AD40" i="67"/>
  <c r="AD57" i="67"/>
  <c r="AC4" i="67"/>
  <c r="AD23" i="67"/>
  <c r="AC91" i="66"/>
  <c r="AC74" i="66"/>
  <c r="AC57" i="66"/>
  <c r="AC40" i="66"/>
  <c r="AC23" i="66"/>
  <c r="AB4" i="66"/>
  <c r="AB91" i="65"/>
  <c r="AB57" i="65"/>
  <c r="AB74" i="65"/>
  <c r="AB60" i="65"/>
  <c r="AB40" i="65"/>
  <c r="AA4" i="65"/>
  <c r="AB23" i="65"/>
  <c r="AC74" i="67"/>
  <c r="AC57" i="67"/>
  <c r="AC91" i="67"/>
  <c r="AC40" i="67"/>
  <c r="AB4" i="67"/>
  <c r="AC23" i="67"/>
  <c r="AB74" i="66"/>
  <c r="AB91" i="66"/>
  <c r="AB57" i="66"/>
  <c r="AB40" i="66"/>
  <c r="AB23" i="66"/>
  <c r="AA4" i="66"/>
  <c r="AA74" i="65"/>
  <c r="AA91" i="65"/>
  <c r="AA57" i="65"/>
  <c r="AA63" i="65"/>
  <c r="AA40" i="65"/>
  <c r="AA23" i="65"/>
  <c r="Z4" i="65"/>
  <c r="AB74" i="67"/>
  <c r="AB91" i="67"/>
  <c r="AB57" i="67"/>
  <c r="AB40" i="67"/>
  <c r="AB23" i="67"/>
  <c r="AA4" i="67"/>
  <c r="AA74" i="66"/>
  <c r="AA91" i="66"/>
  <c r="AA23" i="66"/>
  <c r="AA57" i="66"/>
  <c r="AA40" i="66"/>
  <c r="Z4" i="66"/>
  <c r="Z74" i="65"/>
  <c r="Z91" i="65"/>
  <c r="Z60" i="65"/>
  <c r="Z40" i="65"/>
  <c r="Z57" i="65"/>
  <c r="Z23" i="65"/>
  <c r="Y4" i="65"/>
  <c r="AA74" i="67"/>
  <c r="AA91" i="67"/>
  <c r="AA40" i="67"/>
  <c r="AA57" i="67"/>
  <c r="AA23" i="67"/>
  <c r="Z4" i="67"/>
  <c r="Z91" i="66"/>
  <c r="Z74" i="66"/>
  <c r="Z57" i="66"/>
  <c r="Z40" i="66"/>
  <c r="Z23" i="66"/>
  <c r="Y4" i="66"/>
  <c r="Y91" i="65"/>
  <c r="Y74" i="65"/>
  <c r="Y63" i="65"/>
  <c r="Y23" i="65"/>
  <c r="Y40" i="65"/>
  <c r="Y57" i="65"/>
  <c r="X4" i="65"/>
  <c r="Z74" i="67"/>
  <c r="Z91" i="67"/>
  <c r="Z57" i="67"/>
  <c r="Z40" i="67"/>
  <c r="Z23" i="67"/>
  <c r="Y4" i="67"/>
  <c r="Y74" i="66"/>
  <c r="Y91" i="66"/>
  <c r="Y57" i="66"/>
  <c r="Y40" i="66"/>
  <c r="Y23" i="66"/>
  <c r="X4" i="66"/>
  <c r="X91" i="65"/>
  <c r="X74" i="65"/>
  <c r="X57" i="65"/>
  <c r="X63" i="65"/>
  <c r="X40" i="65"/>
  <c r="X60" i="65"/>
  <c r="X23" i="65"/>
  <c r="W4" i="65"/>
  <c r="Y91" i="67"/>
  <c r="Y74" i="67"/>
  <c r="Y57" i="67"/>
  <c r="Y23" i="67"/>
  <c r="Y40" i="67"/>
  <c r="X4" i="67"/>
  <c r="X91" i="66"/>
  <c r="X74" i="66"/>
  <c r="X40" i="66"/>
  <c r="X23" i="66"/>
  <c r="X57" i="66"/>
  <c r="W4" i="66"/>
  <c r="W91" i="65"/>
  <c r="W74" i="65"/>
  <c r="W63" i="65"/>
  <c r="W57" i="65"/>
  <c r="W60" i="65"/>
  <c r="W40" i="65"/>
  <c r="V4" i="65"/>
  <c r="W23" i="65"/>
  <c r="X91" i="67"/>
  <c r="X74" i="67"/>
  <c r="X57" i="67"/>
  <c r="X40" i="67"/>
  <c r="X23" i="67"/>
  <c r="W4" i="67"/>
  <c r="W91" i="66"/>
  <c r="W57" i="66"/>
  <c r="W74" i="66"/>
  <c r="W40" i="66"/>
  <c r="W23" i="66"/>
  <c r="V4" i="66"/>
  <c r="V74" i="65"/>
  <c r="V91" i="65"/>
  <c r="V60" i="65"/>
  <c r="V57" i="65"/>
  <c r="V40" i="65"/>
  <c r="V23" i="65"/>
  <c r="U4" i="65"/>
  <c r="W91" i="67"/>
  <c r="W74" i="67"/>
  <c r="W57" i="67"/>
  <c r="W40" i="67"/>
  <c r="W23" i="67"/>
  <c r="V4" i="67"/>
  <c r="V91" i="66"/>
  <c r="V74" i="66"/>
  <c r="V57" i="66"/>
  <c r="V40" i="66"/>
  <c r="V23" i="66"/>
  <c r="U4" i="66"/>
  <c r="U91" i="65"/>
  <c r="U63" i="65"/>
  <c r="U74" i="65"/>
  <c r="U23" i="65"/>
  <c r="U57" i="65"/>
  <c r="U60" i="65"/>
  <c r="U40" i="65"/>
  <c r="T4" i="65"/>
  <c r="V91" i="67"/>
  <c r="V57" i="67"/>
  <c r="V40" i="67"/>
  <c r="V74" i="67"/>
  <c r="U4" i="67"/>
  <c r="V23" i="67"/>
  <c r="U91" i="66"/>
  <c r="U57" i="66"/>
  <c r="U74" i="66"/>
  <c r="U40" i="66"/>
  <c r="T4" i="66"/>
  <c r="U23" i="66"/>
  <c r="T80" i="65"/>
  <c r="T91" i="65"/>
  <c r="T57" i="65"/>
  <c r="T74" i="65"/>
  <c r="T60" i="65"/>
  <c r="T40" i="65"/>
  <c r="T23" i="65"/>
  <c r="T10" i="65"/>
  <c r="S4" i="65"/>
  <c r="U91" i="67"/>
  <c r="U74" i="67"/>
  <c r="U57" i="67"/>
  <c r="U40" i="67"/>
  <c r="T4" i="67"/>
  <c r="U23" i="67"/>
  <c r="T91" i="66"/>
  <c r="T74" i="66"/>
  <c r="T40" i="66"/>
  <c r="S4" i="66"/>
  <c r="T57" i="66"/>
  <c r="T23" i="66"/>
  <c r="S80" i="65"/>
  <c r="S74" i="65"/>
  <c r="S91" i="65"/>
  <c r="S60" i="65"/>
  <c r="S63" i="65"/>
  <c r="S40" i="65"/>
  <c r="S57" i="65"/>
  <c r="S23" i="65"/>
  <c r="R4" i="65"/>
  <c r="S10" i="65"/>
  <c r="T74" i="67"/>
  <c r="T91" i="67"/>
  <c r="T57" i="67"/>
  <c r="T40" i="67"/>
  <c r="T23" i="67"/>
  <c r="S4" i="67"/>
  <c r="S74" i="66"/>
  <c r="S91" i="66"/>
  <c r="S57" i="66"/>
  <c r="S23" i="66"/>
  <c r="S40" i="66"/>
  <c r="R4" i="66"/>
  <c r="R80" i="65"/>
  <c r="R63" i="65"/>
  <c r="R91" i="65"/>
  <c r="R74" i="65"/>
  <c r="R40" i="65"/>
  <c r="R57" i="65"/>
  <c r="R23" i="65"/>
  <c r="R10" i="65"/>
  <c r="Q4" i="65"/>
  <c r="S74" i="67"/>
  <c r="S91" i="67"/>
  <c r="S57" i="67"/>
  <c r="S40" i="67"/>
  <c r="S23" i="67"/>
  <c r="R4" i="67"/>
  <c r="R91" i="66"/>
  <c r="R57" i="66"/>
  <c r="R74" i="66"/>
  <c r="R40" i="66"/>
  <c r="Q4" i="66"/>
  <c r="R23" i="66"/>
  <c r="Q80" i="65"/>
  <c r="Q74" i="65"/>
  <c r="Q57" i="65"/>
  <c r="Q46" i="65"/>
  <c r="Q23" i="65"/>
  <c r="Q63" i="65"/>
  <c r="Q60" i="65"/>
  <c r="Q40" i="65"/>
  <c r="Q10" i="65"/>
  <c r="P4" i="65"/>
  <c r="R74" i="67"/>
  <c r="R57" i="67"/>
  <c r="R91" i="67"/>
  <c r="R40" i="67"/>
  <c r="R23" i="67"/>
  <c r="Q4" i="67"/>
  <c r="Q74" i="66"/>
  <c r="Q57" i="66"/>
  <c r="Q40" i="66"/>
  <c r="Q23" i="66"/>
  <c r="P4" i="66"/>
  <c r="P80" i="65"/>
  <c r="P57" i="65"/>
  <c r="P74" i="65"/>
  <c r="P60" i="65"/>
  <c r="P40" i="65"/>
  <c r="P63" i="65"/>
  <c r="P46" i="65"/>
  <c r="P23" i="65"/>
  <c r="P10" i="65"/>
  <c r="O4" i="65"/>
  <c r="Q57" i="67"/>
  <c r="Q74" i="67"/>
  <c r="Q23" i="67"/>
  <c r="Q40" i="67"/>
  <c r="P4" i="67"/>
  <c r="P74" i="66"/>
  <c r="P57" i="66"/>
  <c r="P23" i="66"/>
  <c r="P40" i="66"/>
  <c r="O4" i="66"/>
  <c r="O78" i="67"/>
  <c r="O80" i="67" s="1"/>
  <c r="O57" i="65"/>
  <c r="O74" i="65"/>
  <c r="O60" i="65"/>
  <c r="O44" i="67"/>
  <c r="O46" i="67" s="1"/>
  <c r="O40" i="65"/>
  <c r="O63" i="65"/>
  <c r="O23" i="65"/>
  <c r="N4" i="65"/>
  <c r="P74" i="67"/>
  <c r="P57" i="67"/>
  <c r="P40" i="67"/>
  <c r="P23" i="67"/>
  <c r="O4" i="67"/>
  <c r="O74" i="66"/>
  <c r="O57" i="66"/>
  <c r="O40" i="66"/>
  <c r="O23" i="66"/>
  <c r="N4" i="66"/>
  <c r="N74" i="65"/>
  <c r="N60" i="65"/>
  <c r="N40" i="65"/>
  <c r="N46" i="65"/>
  <c r="N57" i="65"/>
  <c r="N23" i="65"/>
  <c r="N10" i="65"/>
  <c r="M4" i="65"/>
  <c r="O74" i="67"/>
  <c r="O57" i="67"/>
  <c r="O40" i="67"/>
  <c r="N4" i="67"/>
  <c r="O23" i="67"/>
  <c r="N74" i="66"/>
  <c r="N40" i="66"/>
  <c r="N57" i="66"/>
  <c r="N23" i="66"/>
  <c r="M4" i="66"/>
  <c r="M74" i="65"/>
  <c r="M63" i="65"/>
  <c r="M57" i="65"/>
  <c r="M46" i="65"/>
  <c r="M23" i="65"/>
  <c r="M60" i="65"/>
  <c r="M40" i="65"/>
  <c r="M10" i="65"/>
  <c r="L4" i="65"/>
  <c r="N74" i="67"/>
  <c r="N40" i="67"/>
  <c r="N57" i="67"/>
  <c r="M4" i="67"/>
  <c r="N23" i="67"/>
  <c r="M74" i="66"/>
  <c r="M57" i="66"/>
  <c r="M40" i="66"/>
  <c r="L4" i="66"/>
  <c r="M23" i="66"/>
  <c r="L80" i="65"/>
  <c r="L57" i="65"/>
  <c r="L74" i="65"/>
  <c r="L44" i="67"/>
  <c r="L46" i="67" s="1"/>
  <c r="L40" i="65"/>
  <c r="L10" i="65"/>
  <c r="K4" i="65"/>
  <c r="L23" i="65"/>
  <c r="M74" i="67"/>
  <c r="M57" i="67"/>
  <c r="M40" i="67"/>
  <c r="L4" i="67"/>
  <c r="M23" i="67"/>
  <c r="L74" i="66"/>
  <c r="L57" i="66"/>
  <c r="L40" i="66"/>
  <c r="L23" i="66"/>
  <c r="K4" i="66"/>
  <c r="K74" i="65"/>
  <c r="K61" i="67"/>
  <c r="K63" i="67" s="1"/>
  <c r="K57" i="65"/>
  <c r="K46" i="65"/>
  <c r="K60" i="65"/>
  <c r="K23" i="65"/>
  <c r="J4" i="65"/>
  <c r="K10" i="65"/>
  <c r="K40" i="65"/>
  <c r="L74" i="67"/>
  <c r="L57" i="67"/>
  <c r="L40" i="67"/>
  <c r="L23" i="67"/>
  <c r="K4" i="67"/>
  <c r="K74" i="66"/>
  <c r="K57" i="66"/>
  <c r="K23" i="66"/>
  <c r="K40" i="66"/>
  <c r="J4" i="66"/>
  <c r="J78" i="67"/>
  <c r="J80" i="67" s="1"/>
  <c r="J61" i="67"/>
  <c r="J63" i="67" s="1"/>
  <c r="J40" i="65"/>
  <c r="J74" i="65"/>
  <c r="J57" i="65"/>
  <c r="J23" i="65"/>
  <c r="J10" i="65"/>
  <c r="I4" i="65"/>
  <c r="K74" i="67"/>
  <c r="K57" i="67"/>
  <c r="K40" i="67"/>
  <c r="K23" i="67"/>
  <c r="J4" i="67"/>
  <c r="J74" i="66"/>
  <c r="J57" i="66"/>
  <c r="J40" i="66"/>
  <c r="J23" i="66"/>
  <c r="I4" i="66"/>
  <c r="I80" i="65"/>
  <c r="I74" i="65"/>
  <c r="I44" i="67"/>
  <c r="I46" i="67" s="1"/>
  <c r="I23" i="65"/>
  <c r="I63" i="65"/>
  <c r="I57" i="65"/>
  <c r="I40" i="65"/>
  <c r="H4" i="65"/>
  <c r="I10" i="65"/>
  <c r="J74" i="67"/>
  <c r="J57" i="67"/>
  <c r="J40" i="67"/>
  <c r="J23" i="67"/>
  <c r="I4" i="67"/>
  <c r="I74" i="66"/>
  <c r="I57" i="66"/>
  <c r="I40" i="66"/>
  <c r="I23" i="66"/>
  <c r="H4" i="66"/>
  <c r="H57" i="65"/>
  <c r="H60" i="65"/>
  <c r="H61" i="67"/>
  <c r="H63" i="67" s="1"/>
  <c r="H74" i="65"/>
  <c r="H40" i="65"/>
  <c r="H46" i="65"/>
  <c r="H23" i="65"/>
  <c r="G4" i="65"/>
  <c r="I57" i="67"/>
  <c r="I74" i="67"/>
  <c r="I40" i="67"/>
  <c r="I23" i="67"/>
  <c r="H4" i="67"/>
  <c r="H74" i="66"/>
  <c r="H57" i="66"/>
  <c r="H23" i="66"/>
  <c r="H40" i="66"/>
  <c r="G4" i="66"/>
  <c r="G74" i="65"/>
  <c r="G80" i="65"/>
  <c r="G63" i="65"/>
  <c r="G60" i="65"/>
  <c r="G57" i="65"/>
  <c r="G40" i="65"/>
  <c r="G23" i="65"/>
  <c r="G10" i="65"/>
  <c r="F4" i="65"/>
  <c r="H57" i="67"/>
  <c r="H74" i="67"/>
  <c r="H40" i="67"/>
  <c r="H23" i="67"/>
  <c r="G4" i="67"/>
  <c r="G57" i="66"/>
  <c r="G74" i="66"/>
  <c r="G40" i="66"/>
  <c r="G23" i="66"/>
  <c r="F4" i="66"/>
  <c r="F78" i="67"/>
  <c r="F80" i="67" s="1"/>
  <c r="F74" i="65"/>
  <c r="F61" i="67"/>
  <c r="F63" i="67" s="1"/>
  <c r="F57" i="65"/>
  <c r="F40" i="65"/>
  <c r="F44" i="67"/>
  <c r="F46" i="67" s="1"/>
  <c r="F23" i="65"/>
  <c r="E4" i="65"/>
  <c r="G57" i="67"/>
  <c r="G74" i="67"/>
  <c r="G40" i="67"/>
  <c r="G23" i="67"/>
  <c r="F4" i="67"/>
  <c r="F74" i="66"/>
  <c r="F57" i="66"/>
  <c r="F40" i="66"/>
  <c r="F23" i="66"/>
  <c r="E4" i="66"/>
  <c r="E91" i="65"/>
  <c r="E77" i="65"/>
  <c r="E57" i="65"/>
  <c r="E60" i="65"/>
  <c r="E46" i="65"/>
  <c r="E23" i="65"/>
  <c r="E40" i="65"/>
  <c r="E74" i="65"/>
  <c r="F74" i="67"/>
  <c r="F40" i="67"/>
  <c r="F57" i="67"/>
  <c r="E4" i="67"/>
  <c r="F23" i="67"/>
  <c r="E57" i="66"/>
  <c r="E91" i="66"/>
  <c r="E74" i="66"/>
  <c r="E40" i="66"/>
  <c r="E23" i="66"/>
  <c r="E91" i="67"/>
  <c r="E74" i="67"/>
  <c r="E57" i="67"/>
  <c r="E40" i="67"/>
  <c r="E23" i="67"/>
  <c r="AN46" i="64"/>
  <c r="AM46" i="64"/>
  <c r="AK46" i="64"/>
  <c r="AJ46" i="64"/>
  <c r="AI46" i="64"/>
  <c r="AH46" i="64"/>
  <c r="AF46" i="64"/>
  <c r="AE46" i="64"/>
  <c r="AD46" i="64"/>
  <c r="AC46" i="64"/>
  <c r="AA46" i="64"/>
  <c r="Z46" i="64"/>
  <c r="X46" i="64"/>
  <c r="N44" i="66"/>
  <c r="N46" i="66" s="1"/>
  <c r="M44" i="66"/>
  <c r="M46" i="66" s="1"/>
  <c r="L44" i="66"/>
  <c r="L46" i="66" s="1"/>
  <c r="K44" i="66"/>
  <c r="K46" i="66" s="1"/>
  <c r="J44" i="66"/>
  <c r="J46" i="66" s="1"/>
  <c r="I44" i="66"/>
  <c r="I46" i="66" s="1"/>
  <c r="H44" i="66"/>
  <c r="H46" i="66" s="1"/>
  <c r="G44" i="66"/>
  <c r="G46" i="66" s="1"/>
  <c r="F44" i="66"/>
  <c r="F46" i="66" s="1"/>
  <c r="AN63" i="64"/>
  <c r="AM63" i="64"/>
  <c r="AL63" i="64"/>
  <c r="AK63" i="64"/>
  <c r="AJ63" i="64"/>
  <c r="AI63" i="64"/>
  <c r="AE63" i="64"/>
  <c r="AD63" i="64"/>
  <c r="AC63" i="64"/>
  <c r="AB63" i="64"/>
  <c r="AA63" i="64"/>
  <c r="Z63" i="64"/>
  <c r="Y63" i="64"/>
  <c r="X63" i="64"/>
  <c r="W63" i="64"/>
  <c r="T63" i="64"/>
  <c r="R63" i="64"/>
  <c r="Q63" i="64"/>
  <c r="O63" i="64"/>
  <c r="N61" i="66"/>
  <c r="N63" i="66" s="1"/>
  <c r="M61" i="66"/>
  <c r="M63" i="66" s="1"/>
  <c r="L61" i="66"/>
  <c r="L63" i="66" s="1"/>
  <c r="K61" i="66"/>
  <c r="K63" i="66" s="1"/>
  <c r="J61" i="66"/>
  <c r="J63" i="66" s="1"/>
  <c r="I61" i="66"/>
  <c r="I63" i="66" s="1"/>
  <c r="H61" i="66"/>
  <c r="H63" i="66" s="1"/>
  <c r="G61" i="66"/>
  <c r="G63" i="66" s="1"/>
  <c r="F61" i="66"/>
  <c r="F63" i="66" s="1"/>
  <c r="AN80" i="64"/>
  <c r="AM80" i="64"/>
  <c r="AK80" i="64"/>
  <c r="AJ80" i="64"/>
  <c r="AI80" i="64"/>
  <c r="AH80" i="64"/>
  <c r="AG80" i="64"/>
  <c r="N78" i="66"/>
  <c r="N80" i="66" s="1"/>
  <c r="M78" i="66"/>
  <c r="M80" i="66" s="1"/>
  <c r="L78" i="66"/>
  <c r="L80" i="66" s="1"/>
  <c r="K78" i="66"/>
  <c r="K80" i="66" s="1"/>
  <c r="J78" i="66"/>
  <c r="J80" i="66" s="1"/>
  <c r="I78" i="66"/>
  <c r="I80" i="66" s="1"/>
  <c r="H78" i="66"/>
  <c r="H80" i="66" s="1"/>
  <c r="G78" i="66"/>
  <c r="G80" i="66" s="1"/>
  <c r="F78" i="66"/>
  <c r="F80" i="66" s="1"/>
  <c r="E78" i="66"/>
  <c r="E80" i="66" s="1"/>
  <c r="E61" i="66"/>
  <c r="E63" i="66" s="1"/>
  <c r="E44" i="66"/>
  <c r="C103" i="64"/>
  <c r="B103" i="64"/>
  <c r="B102" i="64"/>
  <c r="B101" i="64"/>
  <c r="B100" i="64"/>
  <c r="B99" i="64"/>
  <c r="B98" i="64"/>
  <c r="B97" i="64"/>
  <c r="B96" i="64"/>
  <c r="B95" i="64"/>
  <c r="B94" i="64"/>
  <c r="C93" i="64"/>
  <c r="C94" i="64"/>
  <c r="C95" i="64"/>
  <c r="C96" i="64"/>
  <c r="C97" i="64"/>
  <c r="C98" i="64"/>
  <c r="C99" i="64"/>
  <c r="C100" i="64"/>
  <c r="C101" i="64"/>
  <c r="C102" i="64"/>
  <c r="B93" i="64"/>
  <c r="B92" i="64"/>
  <c r="B86" i="64"/>
  <c r="B85" i="64"/>
  <c r="B84" i="64"/>
  <c r="B83" i="64"/>
  <c r="B82" i="64"/>
  <c r="B81" i="64"/>
  <c r="B80" i="64"/>
  <c r="B79" i="64"/>
  <c r="B78" i="64"/>
  <c r="C77" i="64"/>
  <c r="C78" i="64"/>
  <c r="B77" i="64"/>
  <c r="C76" i="64"/>
  <c r="B76" i="64"/>
  <c r="B75" i="64"/>
  <c r="AN81" i="64"/>
  <c r="AN83" i="64" s="1"/>
  <c r="AN74" i="64"/>
  <c r="B69" i="64"/>
  <c r="B68" i="64"/>
  <c r="B67" i="64"/>
  <c r="B66" i="64"/>
  <c r="B65" i="64"/>
  <c r="B64" i="64"/>
  <c r="B63" i="64"/>
  <c r="B62" i="64"/>
  <c r="B61" i="64"/>
  <c r="B60" i="64"/>
  <c r="B59" i="64"/>
  <c r="B58" i="64"/>
  <c r="AP57" i="64"/>
  <c r="AN57" i="64"/>
  <c r="B52" i="64"/>
  <c r="B51" i="64"/>
  <c r="B50" i="64"/>
  <c r="B49" i="64"/>
  <c r="B48" i="64"/>
  <c r="B47" i="64"/>
  <c r="B46" i="64"/>
  <c r="B45" i="64"/>
  <c r="B44" i="64"/>
  <c r="B43" i="64"/>
  <c r="C42" i="64"/>
  <c r="C43" i="64"/>
  <c r="C44" i="64"/>
  <c r="C45" i="64"/>
  <c r="C46" i="64"/>
  <c r="C47" i="64"/>
  <c r="C48" i="64"/>
  <c r="C49" i="64"/>
  <c r="C50" i="64"/>
  <c r="C51" i="64"/>
  <c r="B42" i="64"/>
  <c r="B41" i="64"/>
  <c r="AP40" i="64"/>
  <c r="AN40" i="64"/>
  <c r="B35" i="64"/>
  <c r="B34" i="64"/>
  <c r="B33" i="64"/>
  <c r="B32" i="64"/>
  <c r="B31" i="64"/>
  <c r="B30" i="64"/>
  <c r="B29" i="64"/>
  <c r="B28" i="64"/>
  <c r="B27" i="64"/>
  <c r="B26" i="64"/>
  <c r="B25" i="64"/>
  <c r="B24" i="64"/>
  <c r="AP23" i="64"/>
  <c r="AP74" i="64"/>
  <c r="AN23" i="64"/>
  <c r="B17" i="64"/>
  <c r="B16" i="64"/>
  <c r="B15" i="64"/>
  <c r="B14" i="64"/>
  <c r="B13" i="64"/>
  <c r="B12" i="64"/>
  <c r="B11" i="64"/>
  <c r="B10" i="64"/>
  <c r="B9" i="64"/>
  <c r="AN10" i="64"/>
  <c r="B7" i="64"/>
  <c r="B6" i="64"/>
  <c r="B5" i="64"/>
  <c r="AM4" i="64"/>
  <c r="AL4" i="64"/>
  <c r="AL74" i="64"/>
  <c r="AL57" i="64"/>
  <c r="AL40" i="64"/>
  <c r="AL23" i="64"/>
  <c r="AL10" i="64"/>
  <c r="AK4" i="64"/>
  <c r="AM74" i="64"/>
  <c r="AM57" i="64"/>
  <c r="AM40" i="64"/>
  <c r="AM23" i="64"/>
  <c r="C52" i="64"/>
  <c r="AM10" i="64"/>
  <c r="C79" i="64"/>
  <c r="C80" i="64"/>
  <c r="C81" i="64"/>
  <c r="C82" i="64"/>
  <c r="C83" i="64"/>
  <c r="C84" i="64"/>
  <c r="C85" i="64"/>
  <c r="C86" i="64"/>
  <c r="AK57" i="64"/>
  <c r="AK74" i="64"/>
  <c r="AK40" i="64"/>
  <c r="AK23" i="64"/>
  <c r="AJ4" i="64"/>
  <c r="AB82" i="63"/>
  <c r="AA82" i="63"/>
  <c r="Y82" i="63"/>
  <c r="X82" i="63"/>
  <c r="W82" i="63"/>
  <c r="V82" i="63"/>
  <c r="U82" i="63"/>
  <c r="S82" i="63"/>
  <c r="Q82" i="63"/>
  <c r="O82" i="63"/>
  <c r="N82" i="63"/>
  <c r="M82" i="63"/>
  <c r="L82" i="63"/>
  <c r="K82" i="63"/>
  <c r="F82" i="63"/>
  <c r="F108" i="63"/>
  <c r="E108" i="63"/>
  <c r="C138" i="63"/>
  <c r="B138" i="63"/>
  <c r="B137" i="63"/>
  <c r="B136" i="63"/>
  <c r="B135" i="63"/>
  <c r="B134" i="63"/>
  <c r="B133" i="63"/>
  <c r="B132" i="63"/>
  <c r="B131" i="63"/>
  <c r="B130" i="63"/>
  <c r="C129" i="63"/>
  <c r="C130" i="63"/>
  <c r="C131" i="63"/>
  <c r="C132" i="63"/>
  <c r="C133" i="63"/>
  <c r="C134" i="63"/>
  <c r="C135" i="63"/>
  <c r="C136" i="63"/>
  <c r="C137" i="63"/>
  <c r="B129" i="63"/>
  <c r="C128" i="63"/>
  <c r="B128" i="63"/>
  <c r="C127" i="63"/>
  <c r="B127" i="63"/>
  <c r="B126" i="63"/>
  <c r="B120" i="63"/>
  <c r="B119" i="63"/>
  <c r="B118" i="63"/>
  <c r="B117" i="63"/>
  <c r="B116" i="63"/>
  <c r="B115" i="63"/>
  <c r="B114" i="63"/>
  <c r="B113" i="63"/>
  <c r="B112" i="63"/>
  <c r="B111" i="63"/>
  <c r="B110" i="63"/>
  <c r="B109" i="63"/>
  <c r="B108" i="63"/>
  <c r="B107" i="63"/>
  <c r="B106" i="63"/>
  <c r="C105" i="63"/>
  <c r="B105" i="63"/>
  <c r="C104" i="63"/>
  <c r="B104" i="63"/>
  <c r="B103" i="63"/>
  <c r="C102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B102" i="63"/>
  <c r="C101" i="63"/>
  <c r="B101" i="63"/>
  <c r="B100" i="63"/>
  <c r="AN99" i="63"/>
  <c r="B94" i="63"/>
  <c r="B93" i="63"/>
  <c r="B92" i="63"/>
  <c r="B91" i="63"/>
  <c r="B90" i="63"/>
  <c r="B89" i="63"/>
  <c r="B88" i="63"/>
  <c r="B87" i="63"/>
  <c r="B86" i="63"/>
  <c r="B85" i="63"/>
  <c r="B84" i="63"/>
  <c r="B83" i="63"/>
  <c r="B82" i="63"/>
  <c r="B81" i="63"/>
  <c r="B80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B79" i="63"/>
  <c r="C78" i="63"/>
  <c r="B78" i="63"/>
  <c r="B77" i="63"/>
  <c r="AP76" i="63"/>
  <c r="AN76" i="63"/>
  <c r="B71" i="63"/>
  <c r="B70" i="63"/>
  <c r="B69" i="63"/>
  <c r="B68" i="63"/>
  <c r="B67" i="63"/>
  <c r="B66" i="63"/>
  <c r="B65" i="63"/>
  <c r="B64" i="63"/>
  <c r="B63" i="63"/>
  <c r="B62" i="63"/>
  <c r="B61" i="63"/>
  <c r="B60" i="63"/>
  <c r="B59" i="63"/>
  <c r="B58" i="63"/>
  <c r="C57" i="63"/>
  <c r="C58" i="63"/>
  <c r="C59" i="63"/>
  <c r="C60" i="63"/>
  <c r="C61" i="63"/>
  <c r="C62" i="63"/>
  <c r="C63" i="63"/>
  <c r="C64" i="63"/>
  <c r="B57" i="63"/>
  <c r="C56" i="63"/>
  <c r="B56" i="63"/>
  <c r="C55" i="63"/>
  <c r="B55" i="63"/>
  <c r="B54" i="63"/>
  <c r="AP53" i="63"/>
  <c r="AN53" i="63"/>
  <c r="AP30" i="63"/>
  <c r="AP99" i="63"/>
  <c r="AN30" i="63"/>
  <c r="B25" i="63"/>
  <c r="B24" i="63"/>
  <c r="B23" i="63"/>
  <c r="B22" i="63"/>
  <c r="B21" i="63"/>
  <c r="B18" i="63"/>
  <c r="B17" i="63"/>
  <c r="B16" i="63"/>
  <c r="B15" i="63"/>
  <c r="B14" i="63"/>
  <c r="B13" i="63"/>
  <c r="B12" i="63"/>
  <c r="B11" i="63"/>
  <c r="B10" i="63"/>
  <c r="B9" i="63"/>
  <c r="B8" i="63"/>
  <c r="B7" i="63"/>
  <c r="B6" i="63"/>
  <c r="B5" i="63"/>
  <c r="AM4" i="63"/>
  <c r="C86" i="62"/>
  <c r="C35" i="62"/>
  <c r="C52" i="62"/>
  <c r="C69" i="62"/>
  <c r="B69" i="62"/>
  <c r="B68" i="62"/>
  <c r="B67" i="62"/>
  <c r="Q66" i="62"/>
  <c r="P66" i="62"/>
  <c r="O66" i="62"/>
  <c r="N66" i="62"/>
  <c r="M66" i="62"/>
  <c r="L66" i="62"/>
  <c r="K66" i="62"/>
  <c r="J66" i="62"/>
  <c r="I66" i="62"/>
  <c r="H66" i="62"/>
  <c r="G66" i="62"/>
  <c r="F66" i="62"/>
  <c r="B66" i="62"/>
  <c r="B65" i="62"/>
  <c r="B64" i="62"/>
  <c r="B63" i="62"/>
  <c r="B62" i="62"/>
  <c r="B61" i="62"/>
  <c r="Q60" i="62"/>
  <c r="P60" i="62"/>
  <c r="O60" i="62"/>
  <c r="N60" i="62"/>
  <c r="M60" i="62"/>
  <c r="L60" i="62"/>
  <c r="K60" i="62"/>
  <c r="J60" i="62"/>
  <c r="I60" i="62"/>
  <c r="H60" i="62"/>
  <c r="G60" i="62"/>
  <c r="F60" i="62"/>
  <c r="B60" i="62"/>
  <c r="C59" i="62"/>
  <c r="C60" i="62"/>
  <c r="C61" i="62"/>
  <c r="C62" i="62"/>
  <c r="C63" i="62"/>
  <c r="C64" i="62"/>
  <c r="C65" i="62"/>
  <c r="C66" i="62"/>
  <c r="C67" i="62"/>
  <c r="C68" i="62"/>
  <c r="B59" i="62"/>
  <c r="B58" i="62"/>
  <c r="AP57" i="62"/>
  <c r="AO57" i="62"/>
  <c r="AN57" i="62"/>
  <c r="AM57" i="62"/>
  <c r="AL57" i="62"/>
  <c r="AK57" i="62"/>
  <c r="AJ57" i="62"/>
  <c r="AI57" i="62"/>
  <c r="AH57" i="62"/>
  <c r="AG57" i="62"/>
  <c r="AF57" i="62"/>
  <c r="AE57" i="62"/>
  <c r="AD57" i="62"/>
  <c r="AC57" i="62"/>
  <c r="AB57" i="62"/>
  <c r="AA57" i="62"/>
  <c r="Z57" i="62"/>
  <c r="Y57" i="62"/>
  <c r="X57" i="62"/>
  <c r="W57" i="62"/>
  <c r="V57" i="62"/>
  <c r="U57" i="62"/>
  <c r="T57" i="62"/>
  <c r="S57" i="62"/>
  <c r="R57" i="62"/>
  <c r="Q57" i="62"/>
  <c r="P57" i="62"/>
  <c r="O57" i="62"/>
  <c r="N57" i="62"/>
  <c r="M57" i="62"/>
  <c r="L57" i="62"/>
  <c r="K57" i="62"/>
  <c r="J57" i="62"/>
  <c r="I57" i="62"/>
  <c r="H57" i="62"/>
  <c r="G57" i="62"/>
  <c r="F57" i="62"/>
  <c r="E57" i="62"/>
  <c r="B52" i="62"/>
  <c r="B51" i="62"/>
  <c r="B50" i="62"/>
  <c r="Q49" i="62"/>
  <c r="P49" i="62"/>
  <c r="O49" i="62"/>
  <c r="N49" i="62"/>
  <c r="M49" i="62"/>
  <c r="L49" i="62"/>
  <c r="K49" i="62"/>
  <c r="J49" i="62"/>
  <c r="I49" i="62"/>
  <c r="H49" i="62"/>
  <c r="G49" i="62"/>
  <c r="F49" i="62"/>
  <c r="B49" i="62"/>
  <c r="B48" i="62"/>
  <c r="B47" i="62"/>
  <c r="B46" i="62"/>
  <c r="B45" i="62"/>
  <c r="B44" i="62"/>
  <c r="Q43" i="62"/>
  <c r="P43" i="62"/>
  <c r="O43" i="62"/>
  <c r="N43" i="62"/>
  <c r="M43" i="62"/>
  <c r="L43" i="62"/>
  <c r="K43" i="62"/>
  <c r="J43" i="62"/>
  <c r="I43" i="62"/>
  <c r="H43" i="62"/>
  <c r="G43" i="62"/>
  <c r="F43" i="62"/>
  <c r="B43" i="62"/>
  <c r="C42" i="62"/>
  <c r="C43" i="62"/>
  <c r="C44" i="62"/>
  <c r="C45" i="62"/>
  <c r="C46" i="62"/>
  <c r="C47" i="62"/>
  <c r="C48" i="62"/>
  <c r="C49" i="62"/>
  <c r="C50" i="62"/>
  <c r="C51" i="62"/>
  <c r="B42" i="62"/>
  <c r="B41" i="62"/>
  <c r="AP40" i="62"/>
  <c r="AO40" i="62"/>
  <c r="AN40" i="62"/>
  <c r="AM40" i="62"/>
  <c r="AL40" i="62"/>
  <c r="AK40" i="62"/>
  <c r="AJ40" i="62"/>
  <c r="AI40" i="62"/>
  <c r="AH40" i="62"/>
  <c r="AG40" i="62"/>
  <c r="AF40" i="62"/>
  <c r="AE40" i="62"/>
  <c r="AD40" i="62"/>
  <c r="AC40" i="62"/>
  <c r="AB40" i="62"/>
  <c r="AA40" i="62"/>
  <c r="Z40" i="62"/>
  <c r="Y40" i="62"/>
  <c r="X40" i="62"/>
  <c r="W40" i="62"/>
  <c r="V40" i="62"/>
  <c r="U40" i="62"/>
  <c r="T40" i="62"/>
  <c r="S40" i="62"/>
  <c r="R40" i="62"/>
  <c r="Q40" i="62"/>
  <c r="P40" i="62"/>
  <c r="O40" i="62"/>
  <c r="N40" i="62"/>
  <c r="M40" i="62"/>
  <c r="L40" i="62"/>
  <c r="K40" i="62"/>
  <c r="J40" i="62"/>
  <c r="I40" i="62"/>
  <c r="H40" i="62"/>
  <c r="G40" i="62"/>
  <c r="F40" i="62"/>
  <c r="E40" i="62"/>
  <c r="C103" i="62"/>
  <c r="B103" i="62"/>
  <c r="B102" i="62"/>
  <c r="B101" i="62"/>
  <c r="B100" i="62"/>
  <c r="B99" i="62"/>
  <c r="B98" i="62"/>
  <c r="B97" i="62"/>
  <c r="B96" i="62"/>
  <c r="B95" i="62"/>
  <c r="B94" i="62"/>
  <c r="C93" i="62"/>
  <c r="C94" i="62"/>
  <c r="C95" i="62"/>
  <c r="C96" i="62"/>
  <c r="C97" i="62"/>
  <c r="C98" i="62"/>
  <c r="C99" i="62"/>
  <c r="C100" i="62"/>
  <c r="C101" i="62"/>
  <c r="C102" i="62"/>
  <c r="B93" i="62"/>
  <c r="B92" i="62"/>
  <c r="B86" i="62"/>
  <c r="B85" i="62"/>
  <c r="B84" i="62"/>
  <c r="Q83" i="62"/>
  <c r="P83" i="62"/>
  <c r="O83" i="62"/>
  <c r="N83" i="62"/>
  <c r="M83" i="62"/>
  <c r="L83" i="62"/>
  <c r="K83" i="62"/>
  <c r="J83" i="62"/>
  <c r="I83" i="62"/>
  <c r="H83" i="62"/>
  <c r="G83" i="62"/>
  <c r="F83" i="62"/>
  <c r="B83" i="62"/>
  <c r="B82" i="62"/>
  <c r="B81" i="62"/>
  <c r="B80" i="62"/>
  <c r="B79" i="62"/>
  <c r="B78" i="62"/>
  <c r="Q77" i="62"/>
  <c r="P77" i="62"/>
  <c r="O77" i="62"/>
  <c r="N77" i="62"/>
  <c r="M77" i="62"/>
  <c r="L77" i="62"/>
  <c r="K77" i="62"/>
  <c r="J77" i="62"/>
  <c r="I77" i="62"/>
  <c r="H77" i="62"/>
  <c r="G77" i="62"/>
  <c r="F77" i="62"/>
  <c r="B77" i="62"/>
  <c r="C76" i="62"/>
  <c r="C77" i="62"/>
  <c r="C78" i="62"/>
  <c r="C79" i="62"/>
  <c r="C80" i="62"/>
  <c r="C81" i="62"/>
  <c r="C82" i="62"/>
  <c r="C83" i="62"/>
  <c r="C84" i="62"/>
  <c r="C85" i="62"/>
  <c r="B76" i="62"/>
  <c r="B75" i="62"/>
  <c r="AN74" i="62"/>
  <c r="B35" i="62"/>
  <c r="B34" i="62"/>
  <c r="B33" i="62"/>
  <c r="Q32" i="62"/>
  <c r="P32" i="62"/>
  <c r="O32" i="62"/>
  <c r="N32" i="62"/>
  <c r="M32" i="62"/>
  <c r="L32" i="62"/>
  <c r="K32" i="62"/>
  <c r="J32" i="62"/>
  <c r="I32" i="62"/>
  <c r="H32" i="62"/>
  <c r="G32" i="62"/>
  <c r="F32" i="62"/>
  <c r="B32" i="62"/>
  <c r="B31" i="62"/>
  <c r="B30" i="62"/>
  <c r="B29" i="62"/>
  <c r="B28" i="62"/>
  <c r="B27" i="62"/>
  <c r="Q26" i="62"/>
  <c r="P26" i="62"/>
  <c r="O26" i="62"/>
  <c r="N26" i="62"/>
  <c r="M26" i="62"/>
  <c r="L26" i="62"/>
  <c r="K26" i="62"/>
  <c r="J26" i="62"/>
  <c r="I26" i="62"/>
  <c r="H26" i="62"/>
  <c r="G26" i="62"/>
  <c r="F26" i="62"/>
  <c r="B26" i="62"/>
  <c r="C25" i="62"/>
  <c r="C26" i="62"/>
  <c r="C27" i="62"/>
  <c r="C28" i="62"/>
  <c r="C29" i="62"/>
  <c r="C30" i="62"/>
  <c r="C31" i="62"/>
  <c r="C32" i="62"/>
  <c r="C33" i="62"/>
  <c r="C34" i="62"/>
  <c r="B25" i="62"/>
  <c r="B24" i="62"/>
  <c r="AP23" i="62"/>
  <c r="AP74" i="62"/>
  <c r="AO23" i="62"/>
  <c r="AO74" i="62"/>
  <c r="AN23" i="62"/>
  <c r="B17" i="62"/>
  <c r="Q16" i="62"/>
  <c r="P16" i="62"/>
  <c r="O16" i="62"/>
  <c r="N16" i="62"/>
  <c r="M16" i="62"/>
  <c r="L16" i="62"/>
  <c r="K16" i="62"/>
  <c r="J16" i="62"/>
  <c r="I16" i="62"/>
  <c r="H16" i="62"/>
  <c r="G16" i="62"/>
  <c r="F16" i="62"/>
  <c r="B16" i="62"/>
  <c r="B15" i="62"/>
  <c r="B14" i="62"/>
  <c r="Q13" i="62"/>
  <c r="P13" i="62"/>
  <c r="O13" i="62"/>
  <c r="N13" i="62"/>
  <c r="M13" i="62"/>
  <c r="L13" i="62"/>
  <c r="K13" i="62"/>
  <c r="J13" i="62"/>
  <c r="I13" i="62"/>
  <c r="H13" i="62"/>
  <c r="G13" i="62"/>
  <c r="F13" i="62"/>
  <c r="B13" i="62"/>
  <c r="B12" i="62"/>
  <c r="B11" i="62"/>
  <c r="B10" i="62"/>
  <c r="B9" i="62"/>
  <c r="B8" i="62"/>
  <c r="B7" i="62"/>
  <c r="B6" i="62"/>
  <c r="B5" i="62"/>
  <c r="AM4" i="62"/>
  <c r="AL4" i="62"/>
  <c r="N44" i="62"/>
  <c r="N46" i="62" s="1"/>
  <c r="M44" i="62"/>
  <c r="M46" i="62" s="1"/>
  <c r="L44" i="62"/>
  <c r="L46" i="62" s="1"/>
  <c r="K44" i="62"/>
  <c r="K46" i="62" s="1"/>
  <c r="J44" i="62"/>
  <c r="J46" i="62" s="1"/>
  <c r="I44" i="62"/>
  <c r="I46" i="62" s="1"/>
  <c r="H44" i="62"/>
  <c r="H46" i="62" s="1"/>
  <c r="G44" i="62"/>
  <c r="G46" i="62" s="1"/>
  <c r="F44" i="62"/>
  <c r="F46" i="62" s="1"/>
  <c r="AN86" i="61"/>
  <c r="AL86" i="61"/>
  <c r="AK86" i="61"/>
  <c r="AH86" i="61"/>
  <c r="V86" i="61"/>
  <c r="U86" i="61"/>
  <c r="T86" i="61"/>
  <c r="O86" i="61"/>
  <c r="N78" i="62"/>
  <c r="N80" i="62" s="1"/>
  <c r="M78" i="62"/>
  <c r="M80" i="62" s="1"/>
  <c r="L78" i="62"/>
  <c r="L80" i="62" s="1"/>
  <c r="K78" i="62"/>
  <c r="K80" i="62" s="1"/>
  <c r="J78" i="62"/>
  <c r="J80" i="62" s="1"/>
  <c r="I78" i="62"/>
  <c r="I80" i="62" s="1"/>
  <c r="H78" i="62"/>
  <c r="H80" i="62" s="1"/>
  <c r="G78" i="62"/>
  <c r="G80" i="62" s="1"/>
  <c r="F78" i="62"/>
  <c r="F80" i="62" s="1"/>
  <c r="E78" i="62"/>
  <c r="E80" i="62" s="1"/>
  <c r="AB63" i="61"/>
  <c r="X63" i="61"/>
  <c r="W63" i="61"/>
  <c r="V63" i="61"/>
  <c r="U63" i="61"/>
  <c r="Q63" i="61"/>
  <c r="P63" i="61"/>
  <c r="N61" i="62"/>
  <c r="N63" i="62" s="1"/>
  <c r="M61" i="62"/>
  <c r="M63" i="62" s="1"/>
  <c r="L61" i="62"/>
  <c r="L63" i="62" s="1"/>
  <c r="K61" i="62"/>
  <c r="K63" i="62" s="1"/>
  <c r="J61" i="62"/>
  <c r="J63" i="62" s="1"/>
  <c r="I61" i="62"/>
  <c r="I63" i="62" s="1"/>
  <c r="H61" i="62"/>
  <c r="H63" i="62" s="1"/>
  <c r="G61" i="62"/>
  <c r="G63" i="62" s="1"/>
  <c r="F61" i="62"/>
  <c r="F63" i="62" s="1"/>
  <c r="E61" i="62"/>
  <c r="E63" i="62" s="1"/>
  <c r="AJ57" i="64"/>
  <c r="AJ74" i="64"/>
  <c r="AJ40" i="64"/>
  <c r="AJ23" i="64"/>
  <c r="AJ10" i="64"/>
  <c r="AI4" i="64"/>
  <c r="C65" i="63"/>
  <c r="AL4" i="63"/>
  <c r="AM99" i="63"/>
  <c r="AM76" i="63"/>
  <c r="AM30" i="63"/>
  <c r="AM53" i="63"/>
  <c r="C94" i="63"/>
  <c r="AL74" i="62"/>
  <c r="AL23" i="62"/>
  <c r="AK4" i="62"/>
  <c r="AM74" i="62"/>
  <c r="AM23" i="62"/>
  <c r="AI74" i="64"/>
  <c r="AI57" i="64"/>
  <c r="AI40" i="64"/>
  <c r="AI23" i="64"/>
  <c r="AH4" i="64"/>
  <c r="AI10" i="64"/>
  <c r="C66" i="63"/>
  <c r="C67" i="63"/>
  <c r="AL99" i="63"/>
  <c r="AL76" i="63"/>
  <c r="AL30" i="63"/>
  <c r="AL53" i="63"/>
  <c r="AK4" i="63"/>
  <c r="AK23" i="62"/>
  <c r="AJ4" i="62"/>
  <c r="AK74" i="62"/>
  <c r="AH74" i="64"/>
  <c r="AH57" i="64"/>
  <c r="AH40" i="64"/>
  <c r="AH23" i="64"/>
  <c r="AG4" i="64"/>
  <c r="AK99" i="63"/>
  <c r="AK76" i="63"/>
  <c r="AK30" i="63"/>
  <c r="AJ4" i="63"/>
  <c r="AK53" i="63"/>
  <c r="C68" i="63"/>
  <c r="AJ74" i="62"/>
  <c r="AJ23" i="62"/>
  <c r="AI4" i="62"/>
  <c r="AG74" i="64"/>
  <c r="AG57" i="64"/>
  <c r="AG40" i="64"/>
  <c r="AG23" i="64"/>
  <c r="AF4" i="64"/>
  <c r="C69" i="63"/>
  <c r="AJ99" i="63"/>
  <c r="AJ76" i="63"/>
  <c r="AJ30" i="63"/>
  <c r="AJ53" i="63"/>
  <c r="AI4" i="63"/>
  <c r="AI74" i="62"/>
  <c r="AH4" i="62"/>
  <c r="AI23" i="62"/>
  <c r="AF74" i="64"/>
  <c r="AF57" i="64"/>
  <c r="AF40" i="64"/>
  <c r="AF23" i="64"/>
  <c r="AE4" i="64"/>
  <c r="C70" i="63"/>
  <c r="AI99" i="63"/>
  <c r="AI76" i="63"/>
  <c r="AI53" i="63"/>
  <c r="AI30" i="63"/>
  <c r="AH4" i="63"/>
  <c r="AH74" i="62"/>
  <c r="AH23" i="62"/>
  <c r="AG4" i="62"/>
  <c r="AE74" i="64"/>
  <c r="AE40" i="64"/>
  <c r="AE57" i="64"/>
  <c r="AE23" i="64"/>
  <c r="AD4" i="64"/>
  <c r="AH99" i="63"/>
  <c r="AH76" i="63"/>
  <c r="AH30" i="63"/>
  <c r="AH53" i="63"/>
  <c r="AG4" i="63"/>
  <c r="C71" i="63"/>
  <c r="AG74" i="62"/>
  <c r="AF4" i="62"/>
  <c r="AG23" i="62"/>
  <c r="AD74" i="64"/>
  <c r="AD57" i="64"/>
  <c r="AD40" i="64"/>
  <c r="AD23" i="64"/>
  <c r="AC4" i="64"/>
  <c r="AG99" i="63"/>
  <c r="AG53" i="63"/>
  <c r="AG30" i="63"/>
  <c r="AG76" i="63"/>
  <c r="AF4" i="63"/>
  <c r="AF74" i="62"/>
  <c r="AF23" i="62"/>
  <c r="AE4" i="62"/>
  <c r="AC91" i="64"/>
  <c r="AC74" i="64"/>
  <c r="AC57" i="64"/>
  <c r="AC40" i="64"/>
  <c r="AC23" i="64"/>
  <c r="AB4" i="64"/>
  <c r="AF99" i="63"/>
  <c r="AF76" i="63"/>
  <c r="AF53" i="63"/>
  <c r="AF30" i="63"/>
  <c r="AE4" i="63"/>
  <c r="AE74" i="62"/>
  <c r="AE23" i="62"/>
  <c r="AD4" i="62"/>
  <c r="AB91" i="64"/>
  <c r="AB60" i="64"/>
  <c r="AB81" i="64"/>
  <c r="AB74" i="64"/>
  <c r="AB57" i="64"/>
  <c r="AB40" i="64"/>
  <c r="AB23" i="64"/>
  <c r="AA4" i="64"/>
  <c r="AE99" i="63"/>
  <c r="AE76" i="63"/>
  <c r="AE30" i="63"/>
  <c r="AE53" i="63"/>
  <c r="AD4" i="63"/>
  <c r="AD74" i="62"/>
  <c r="AD23" i="62"/>
  <c r="AC4" i="62"/>
  <c r="AA74" i="64"/>
  <c r="AA91" i="64"/>
  <c r="AA57" i="64"/>
  <c r="AA40" i="64"/>
  <c r="Z4" i="64"/>
  <c r="AA23" i="64"/>
  <c r="AD99" i="63"/>
  <c r="AD76" i="63"/>
  <c r="AD30" i="63"/>
  <c r="AD53" i="63"/>
  <c r="AC4" i="63"/>
  <c r="AC91" i="62"/>
  <c r="AC74" i="62"/>
  <c r="AC23" i="62"/>
  <c r="AB4" i="62"/>
  <c r="Z91" i="64"/>
  <c r="Z74" i="64"/>
  <c r="Z57" i="64"/>
  <c r="Z60" i="64"/>
  <c r="Z40" i="64"/>
  <c r="Z23" i="64"/>
  <c r="Y4" i="64"/>
  <c r="AC125" i="63"/>
  <c r="AC99" i="63"/>
  <c r="AC76" i="63"/>
  <c r="AC30" i="63"/>
  <c r="AB4" i="63"/>
  <c r="AC53" i="63"/>
  <c r="AB74" i="62"/>
  <c r="AB91" i="62"/>
  <c r="AB23" i="62"/>
  <c r="AA4" i="62"/>
  <c r="Y91" i="64"/>
  <c r="Y74" i="64"/>
  <c r="Y57" i="64"/>
  <c r="Y60" i="64"/>
  <c r="Y40" i="64"/>
  <c r="X4" i="64"/>
  <c r="Y23" i="64"/>
  <c r="AB125" i="63"/>
  <c r="AB99" i="63"/>
  <c r="AB76" i="63"/>
  <c r="AB79" i="63"/>
  <c r="AB30" i="63"/>
  <c r="AB53" i="63"/>
  <c r="AA4" i="63"/>
  <c r="AA91" i="62"/>
  <c r="AA74" i="62"/>
  <c r="AA23" i="62"/>
  <c r="Z4" i="62"/>
  <c r="X91" i="64"/>
  <c r="X74" i="64"/>
  <c r="X57" i="64"/>
  <c r="X60" i="64"/>
  <c r="X40" i="64"/>
  <c r="W4" i="64"/>
  <c r="X23" i="64"/>
  <c r="AA125" i="63"/>
  <c r="AA99" i="63"/>
  <c r="AA76" i="63"/>
  <c r="AA53" i="63"/>
  <c r="AA30" i="63"/>
  <c r="Z4" i="63"/>
  <c r="Z74" i="62"/>
  <c r="Z91" i="62"/>
  <c r="Z23" i="62"/>
  <c r="Y4" i="62"/>
  <c r="W91" i="64"/>
  <c r="W74" i="64"/>
  <c r="W81" i="64"/>
  <c r="W47" i="64"/>
  <c r="W49" i="64" s="1"/>
  <c r="W57" i="64"/>
  <c r="W23" i="64"/>
  <c r="W40" i="64"/>
  <c r="W86" i="64"/>
  <c r="V4" i="64"/>
  <c r="Z125" i="63"/>
  <c r="Z99" i="63"/>
  <c r="Z76" i="63"/>
  <c r="Z30" i="63"/>
  <c r="Z53" i="63"/>
  <c r="Y4" i="63"/>
  <c r="Y91" i="62"/>
  <c r="Y74" i="62"/>
  <c r="X4" i="62"/>
  <c r="Y23" i="62"/>
  <c r="W46" i="64"/>
  <c r="V74" i="64"/>
  <c r="V91" i="64"/>
  <c r="V60" i="64"/>
  <c r="V47" i="64"/>
  <c r="V49" i="64" s="1"/>
  <c r="V57" i="64"/>
  <c r="V23" i="64"/>
  <c r="V40" i="64"/>
  <c r="V86" i="64"/>
  <c r="U4" i="64"/>
  <c r="Y99" i="63"/>
  <c r="Y125" i="63"/>
  <c r="Y76" i="63"/>
  <c r="Y53" i="63"/>
  <c r="Y30" i="63"/>
  <c r="X4" i="63"/>
  <c r="X74" i="62"/>
  <c r="X91" i="62"/>
  <c r="X23" i="62"/>
  <c r="W4" i="62"/>
  <c r="U91" i="64"/>
  <c r="U64" i="64"/>
  <c r="U66" i="64" s="1"/>
  <c r="U57" i="64"/>
  <c r="U74" i="64"/>
  <c r="U40" i="64"/>
  <c r="U23" i="64"/>
  <c r="T4" i="64"/>
  <c r="V46" i="64"/>
  <c r="X125" i="63"/>
  <c r="X99" i="63"/>
  <c r="X76" i="63"/>
  <c r="X79" i="63"/>
  <c r="X53" i="63"/>
  <c r="X30" i="63"/>
  <c r="W4" i="63"/>
  <c r="W74" i="62"/>
  <c r="W91" i="62"/>
  <c r="W23" i="62"/>
  <c r="V4" i="62"/>
  <c r="U63" i="64"/>
  <c r="T91" i="64"/>
  <c r="T74" i="64"/>
  <c r="T57" i="64"/>
  <c r="T40" i="64"/>
  <c r="T23" i="64"/>
  <c r="S4" i="64"/>
  <c r="W125" i="63"/>
  <c r="W76" i="63"/>
  <c r="W99" i="63"/>
  <c r="W79" i="63"/>
  <c r="W30" i="63"/>
  <c r="W53" i="63"/>
  <c r="V4" i="63"/>
  <c r="V74" i="62"/>
  <c r="V91" i="62"/>
  <c r="V23" i="62"/>
  <c r="U4" i="62"/>
  <c r="S74" i="64"/>
  <c r="S91" i="64"/>
  <c r="S60" i="64"/>
  <c r="S57" i="64"/>
  <c r="R4" i="64"/>
  <c r="S40" i="64"/>
  <c r="S23" i="64"/>
  <c r="V125" i="63"/>
  <c r="V76" i="63"/>
  <c r="V99" i="63"/>
  <c r="V79" i="63"/>
  <c r="V30" i="63"/>
  <c r="V53" i="63"/>
  <c r="U4" i="63"/>
  <c r="U91" i="62"/>
  <c r="U23" i="62"/>
  <c r="U74" i="62"/>
  <c r="T4" i="62"/>
  <c r="S63" i="64"/>
  <c r="S27" i="64"/>
  <c r="S52" i="64" s="1"/>
  <c r="R91" i="64"/>
  <c r="R74" i="64"/>
  <c r="R57" i="64"/>
  <c r="R40" i="64"/>
  <c r="R23" i="64"/>
  <c r="R60" i="64"/>
  <c r="Q4" i="64"/>
  <c r="U125" i="63"/>
  <c r="U99" i="63"/>
  <c r="U76" i="63"/>
  <c r="U79" i="63"/>
  <c r="U30" i="63"/>
  <c r="T4" i="63"/>
  <c r="U53" i="63"/>
  <c r="T74" i="62"/>
  <c r="T91" i="62"/>
  <c r="T23" i="62"/>
  <c r="S4" i="62"/>
  <c r="Q74" i="64"/>
  <c r="Q60" i="64"/>
  <c r="Q57" i="64"/>
  <c r="Q40" i="64"/>
  <c r="Q23" i="64"/>
  <c r="P4" i="64"/>
  <c r="T125" i="63"/>
  <c r="T99" i="63"/>
  <c r="T76" i="63"/>
  <c r="T79" i="63"/>
  <c r="T30" i="63"/>
  <c r="T53" i="63"/>
  <c r="S4" i="63"/>
  <c r="S91" i="62"/>
  <c r="S23" i="62"/>
  <c r="R4" i="62"/>
  <c r="S74" i="62"/>
  <c r="P74" i="64"/>
  <c r="P60" i="64"/>
  <c r="P57" i="64"/>
  <c r="P40" i="64"/>
  <c r="P23" i="64"/>
  <c r="O4" i="64"/>
  <c r="S125" i="63"/>
  <c r="S99" i="63"/>
  <c r="S76" i="63"/>
  <c r="S60" i="63"/>
  <c r="S53" i="63"/>
  <c r="S30" i="63"/>
  <c r="R4" i="63"/>
  <c r="R74" i="62"/>
  <c r="R91" i="62"/>
  <c r="R23" i="62"/>
  <c r="Q4" i="62"/>
  <c r="O60" i="64"/>
  <c r="O74" i="64"/>
  <c r="O57" i="64"/>
  <c r="O23" i="64"/>
  <c r="O40" i="64"/>
  <c r="N4" i="64"/>
  <c r="P63" i="64"/>
  <c r="R125" i="63"/>
  <c r="R99" i="63"/>
  <c r="R76" i="63"/>
  <c r="R30" i="63"/>
  <c r="Q4" i="63"/>
  <c r="R53" i="63"/>
  <c r="Q23" i="62"/>
  <c r="Q74" i="62"/>
  <c r="P4" i="62"/>
  <c r="N74" i="64"/>
  <c r="N64" i="64"/>
  <c r="N66" i="64" s="1"/>
  <c r="N57" i="64"/>
  <c r="N40" i="64"/>
  <c r="N23" i="64"/>
  <c r="N86" i="64"/>
  <c r="M4" i="64"/>
  <c r="O27" i="64"/>
  <c r="O69" i="64" s="1"/>
  <c r="R82" i="63"/>
  <c r="Q99" i="63"/>
  <c r="Q79" i="63"/>
  <c r="Q53" i="63"/>
  <c r="Q76" i="63"/>
  <c r="Q30" i="63"/>
  <c r="P4" i="63"/>
  <c r="O4" i="62"/>
  <c r="P23" i="62"/>
  <c r="P74" i="62"/>
  <c r="N63" i="64"/>
  <c r="M60" i="64"/>
  <c r="M74" i="64"/>
  <c r="M57" i="64"/>
  <c r="M40" i="64"/>
  <c r="M23" i="64"/>
  <c r="L4" i="64"/>
  <c r="P99" i="63"/>
  <c r="P76" i="63"/>
  <c r="P79" i="63"/>
  <c r="P53" i="63"/>
  <c r="P30" i="63"/>
  <c r="O4" i="63"/>
  <c r="N4" i="62"/>
  <c r="O23" i="62"/>
  <c r="O74" i="62"/>
  <c r="M63" i="64"/>
  <c r="L74" i="64"/>
  <c r="L81" i="64"/>
  <c r="L57" i="64"/>
  <c r="L40" i="64"/>
  <c r="L23" i="64"/>
  <c r="K4" i="64"/>
  <c r="O109" i="63"/>
  <c r="O99" i="63"/>
  <c r="O76" i="63"/>
  <c r="O30" i="63"/>
  <c r="O53" i="63"/>
  <c r="N4" i="63"/>
  <c r="P82" i="63"/>
  <c r="M4" i="62"/>
  <c r="N74" i="62"/>
  <c r="N23" i="62"/>
  <c r="K74" i="64"/>
  <c r="K40" i="64"/>
  <c r="K57" i="64"/>
  <c r="K23" i="64"/>
  <c r="J4" i="64"/>
  <c r="L63" i="64"/>
  <c r="N99" i="63"/>
  <c r="N76" i="63"/>
  <c r="N30" i="63"/>
  <c r="N53" i="63"/>
  <c r="M4" i="63"/>
  <c r="L4" i="62"/>
  <c r="M74" i="62"/>
  <c r="M23" i="62"/>
  <c r="J74" i="64"/>
  <c r="J40" i="64"/>
  <c r="J23" i="64"/>
  <c r="J57" i="64"/>
  <c r="I4" i="64"/>
  <c r="K63" i="64"/>
  <c r="M99" i="63"/>
  <c r="M76" i="63"/>
  <c r="M30" i="63"/>
  <c r="M60" i="63"/>
  <c r="L4" i="63"/>
  <c r="M53" i="63"/>
  <c r="K4" i="62"/>
  <c r="L74" i="62"/>
  <c r="L23" i="62"/>
  <c r="I74" i="64"/>
  <c r="I81" i="64"/>
  <c r="I60" i="64"/>
  <c r="I57" i="64"/>
  <c r="I40" i="64"/>
  <c r="I86" i="64"/>
  <c r="I23" i="64"/>
  <c r="H4" i="64"/>
  <c r="L115" i="63"/>
  <c r="L109" i="63"/>
  <c r="L99" i="63"/>
  <c r="L76" i="63"/>
  <c r="L30" i="63"/>
  <c r="L53" i="63"/>
  <c r="K4" i="63"/>
  <c r="J4" i="62"/>
  <c r="K74" i="62"/>
  <c r="K23" i="62"/>
  <c r="H81" i="64"/>
  <c r="H74" i="64"/>
  <c r="H57" i="64"/>
  <c r="H47" i="64"/>
  <c r="H40" i="64"/>
  <c r="H23" i="64"/>
  <c r="G4" i="64"/>
  <c r="K99" i="63"/>
  <c r="K76" i="63"/>
  <c r="K53" i="63"/>
  <c r="K30" i="63"/>
  <c r="J4" i="63"/>
  <c r="I4" i="62"/>
  <c r="J23" i="62"/>
  <c r="J74" i="62"/>
  <c r="G60" i="64"/>
  <c r="G81" i="64"/>
  <c r="G74" i="64"/>
  <c r="G57" i="64"/>
  <c r="G23" i="64"/>
  <c r="G86" i="64"/>
  <c r="G40" i="64"/>
  <c r="F4" i="64"/>
  <c r="H63" i="64"/>
  <c r="H27" i="64"/>
  <c r="H52" i="64" s="1"/>
  <c r="J99" i="63"/>
  <c r="J76" i="63"/>
  <c r="J60" i="63"/>
  <c r="J30" i="63"/>
  <c r="I4" i="63"/>
  <c r="J53" i="63"/>
  <c r="H4" i="62"/>
  <c r="I23" i="62"/>
  <c r="I74" i="62"/>
  <c r="F74" i="64"/>
  <c r="F57" i="64"/>
  <c r="F47" i="64"/>
  <c r="F40" i="64"/>
  <c r="F60" i="64"/>
  <c r="F23" i="64"/>
  <c r="E4" i="64"/>
  <c r="I99" i="63"/>
  <c r="I53" i="63"/>
  <c r="I76" i="63"/>
  <c r="I60" i="63"/>
  <c r="I30" i="63"/>
  <c r="H4" i="63"/>
  <c r="G4" i="62"/>
  <c r="H23" i="62"/>
  <c r="H74" i="62"/>
  <c r="E77" i="64"/>
  <c r="E91" i="64"/>
  <c r="E74" i="64"/>
  <c r="E57" i="64"/>
  <c r="E40" i="64"/>
  <c r="E60" i="64"/>
  <c r="E23" i="64"/>
  <c r="E86" i="64"/>
  <c r="F80" i="64"/>
  <c r="I82" i="63"/>
  <c r="H99" i="63"/>
  <c r="H76" i="63"/>
  <c r="H79" i="63"/>
  <c r="H53" i="63"/>
  <c r="G4" i="63"/>
  <c r="H30" i="63"/>
  <c r="F4" i="62"/>
  <c r="G23" i="62"/>
  <c r="G74" i="62"/>
  <c r="E63" i="64"/>
  <c r="E80" i="64"/>
  <c r="G109" i="63"/>
  <c r="G99" i="63"/>
  <c r="G76" i="63"/>
  <c r="G30" i="63"/>
  <c r="G53" i="63"/>
  <c r="G60" i="63"/>
  <c r="F4" i="63"/>
  <c r="E4" i="62"/>
  <c r="F74" i="62"/>
  <c r="F23" i="62"/>
  <c r="G82" i="63"/>
  <c r="F99" i="63"/>
  <c r="F76" i="63"/>
  <c r="F30" i="63"/>
  <c r="F53" i="63"/>
  <c r="E4" i="63"/>
  <c r="E74" i="62"/>
  <c r="E23" i="62"/>
  <c r="E91" i="62"/>
  <c r="E105" i="63"/>
  <c r="E99" i="63"/>
  <c r="E125" i="63"/>
  <c r="E76" i="63"/>
  <c r="E79" i="63"/>
  <c r="E30" i="63"/>
  <c r="E60" i="63"/>
  <c r="E53" i="63"/>
  <c r="E44" i="62"/>
  <c r="C103" i="61"/>
  <c r="B103" i="61"/>
  <c r="B102" i="61"/>
  <c r="B101" i="61"/>
  <c r="B100" i="61"/>
  <c r="B99" i="61"/>
  <c r="B98" i="61"/>
  <c r="B97" i="61"/>
  <c r="B96" i="61"/>
  <c r="B95" i="61"/>
  <c r="B94" i="61"/>
  <c r="C93" i="61"/>
  <c r="C94" i="61"/>
  <c r="C95" i="61"/>
  <c r="C96" i="61"/>
  <c r="C97" i="61"/>
  <c r="C98" i="61"/>
  <c r="C99" i="61"/>
  <c r="C100" i="61"/>
  <c r="C101" i="61"/>
  <c r="C102" i="61"/>
  <c r="B93" i="61"/>
  <c r="B92" i="61"/>
  <c r="B86" i="61"/>
  <c r="B85" i="61"/>
  <c r="B84" i="61"/>
  <c r="B83" i="61"/>
  <c r="B82" i="61"/>
  <c r="B81" i="61"/>
  <c r="B80" i="61"/>
  <c r="B79" i="61"/>
  <c r="C78" i="61"/>
  <c r="C79" i="61"/>
  <c r="C80" i="61"/>
  <c r="C81" i="61"/>
  <c r="C82" i="61"/>
  <c r="C83" i="61"/>
  <c r="C84" i="61"/>
  <c r="C85" i="61"/>
  <c r="C86" i="61"/>
  <c r="B78" i="61"/>
  <c r="C77" i="61"/>
  <c r="B77" i="61"/>
  <c r="C76" i="61"/>
  <c r="B76" i="61"/>
  <c r="B75" i="61"/>
  <c r="AN74" i="61"/>
  <c r="B69" i="61"/>
  <c r="B68" i="61"/>
  <c r="B67" i="61"/>
  <c r="B66" i="61"/>
  <c r="B65" i="61"/>
  <c r="B64" i="61"/>
  <c r="B63" i="61"/>
  <c r="B62" i="61"/>
  <c r="B61" i="61"/>
  <c r="B60" i="61"/>
  <c r="B59" i="61"/>
  <c r="B58" i="61"/>
  <c r="AP57" i="61"/>
  <c r="AN57" i="61"/>
  <c r="B52" i="61"/>
  <c r="B51" i="61"/>
  <c r="B50" i="61"/>
  <c r="B49" i="61"/>
  <c r="C48" i="61"/>
  <c r="C49" i="61"/>
  <c r="C50" i="61"/>
  <c r="C51" i="61"/>
  <c r="C52" i="61"/>
  <c r="B48" i="61"/>
  <c r="B47" i="61"/>
  <c r="B46" i="61"/>
  <c r="B45" i="61"/>
  <c r="B44" i="61"/>
  <c r="B43" i="61"/>
  <c r="C42" i="61"/>
  <c r="C43" i="61"/>
  <c r="C44" i="61"/>
  <c r="C45" i="61"/>
  <c r="C46" i="61"/>
  <c r="C47" i="61"/>
  <c r="B42" i="61"/>
  <c r="B41" i="61"/>
  <c r="AP40" i="61"/>
  <c r="AN40" i="61"/>
  <c r="B35" i="61"/>
  <c r="B34" i="61"/>
  <c r="B33" i="61"/>
  <c r="B32" i="61"/>
  <c r="B31" i="61"/>
  <c r="B30" i="61"/>
  <c r="B29" i="61"/>
  <c r="B28" i="61"/>
  <c r="B27" i="61"/>
  <c r="B26" i="61"/>
  <c r="B25" i="61"/>
  <c r="B24" i="61"/>
  <c r="AP23" i="61"/>
  <c r="AP74" i="61"/>
  <c r="AN23" i="61"/>
  <c r="B17" i="61"/>
  <c r="B16" i="61"/>
  <c r="B15" i="61"/>
  <c r="B14" i="61"/>
  <c r="B13" i="61"/>
  <c r="B12" i="61"/>
  <c r="B11" i="61"/>
  <c r="B10" i="61"/>
  <c r="B9" i="61"/>
  <c r="B7" i="61"/>
  <c r="B6" i="61"/>
  <c r="B5" i="61"/>
  <c r="AM4" i="61"/>
  <c r="AM74" i="61"/>
  <c r="AM57" i="61"/>
  <c r="AM23" i="61"/>
  <c r="AM40" i="61"/>
  <c r="AL4" i="61"/>
  <c r="AM64" i="61"/>
  <c r="AM86" i="61"/>
  <c r="AL74" i="61"/>
  <c r="AL57" i="61"/>
  <c r="AL23" i="61"/>
  <c r="AL40" i="61"/>
  <c r="AK4" i="61"/>
  <c r="AN27" i="61"/>
  <c r="AK74" i="61"/>
  <c r="AK57" i="61"/>
  <c r="AK23" i="61"/>
  <c r="AK40" i="61"/>
  <c r="AJ4" i="61"/>
  <c r="AK27" i="61"/>
  <c r="AJ57" i="61"/>
  <c r="AJ74" i="61"/>
  <c r="AJ23" i="61"/>
  <c r="AJ40" i="61"/>
  <c r="AI4" i="61"/>
  <c r="AJ11" i="61"/>
  <c r="AI74" i="61"/>
  <c r="AI57" i="61"/>
  <c r="AI40" i="61"/>
  <c r="AH4" i="61"/>
  <c r="AI23" i="61"/>
  <c r="AJ86" i="61"/>
  <c r="AH74" i="61"/>
  <c r="AH57" i="61"/>
  <c r="AH40" i="61"/>
  <c r="AH23" i="61"/>
  <c r="AG4" i="61"/>
  <c r="AG74" i="61"/>
  <c r="AG57" i="61"/>
  <c r="AG23" i="61"/>
  <c r="AG40" i="61"/>
  <c r="AG11" i="61"/>
  <c r="AF4" i="61"/>
  <c r="AG86" i="61"/>
  <c r="AF81" i="61"/>
  <c r="AF74" i="61"/>
  <c r="AF40" i="61"/>
  <c r="AF47" i="61"/>
  <c r="AF57" i="61"/>
  <c r="AF23" i="61"/>
  <c r="AF11" i="61"/>
  <c r="AE4" i="61"/>
  <c r="AF86" i="61"/>
  <c r="AE74" i="61"/>
  <c r="AE81" i="61"/>
  <c r="AE23" i="61"/>
  <c r="AE40" i="61"/>
  <c r="AD4" i="61"/>
  <c r="AE57" i="61"/>
  <c r="AD74" i="61"/>
  <c r="AD64" i="61"/>
  <c r="AD23" i="61"/>
  <c r="AD40" i="61"/>
  <c r="AD57" i="61"/>
  <c r="AC4" i="61"/>
  <c r="AC103" i="61"/>
  <c r="AC91" i="61"/>
  <c r="AC81" i="61"/>
  <c r="AC23" i="61"/>
  <c r="AC74" i="61"/>
  <c r="AC40" i="61"/>
  <c r="AB4" i="61"/>
  <c r="AC47" i="61"/>
  <c r="AC57" i="61"/>
  <c r="AC86" i="61"/>
  <c r="AB91" i="61"/>
  <c r="AB57" i="61"/>
  <c r="AB23" i="61"/>
  <c r="AB74" i="61"/>
  <c r="AB40" i="61"/>
  <c r="AA4" i="61"/>
  <c r="AB11" i="61"/>
  <c r="AA74" i="61"/>
  <c r="AA91" i="61"/>
  <c r="AA57" i="61"/>
  <c r="AA23" i="61"/>
  <c r="AA40" i="61"/>
  <c r="Z4" i="61"/>
  <c r="AB86" i="61"/>
  <c r="AA63" i="61"/>
  <c r="Z91" i="61"/>
  <c r="Z74" i="61"/>
  <c r="Z57" i="61"/>
  <c r="Z47" i="61"/>
  <c r="Z64" i="61"/>
  <c r="Z66" i="61" s="1"/>
  <c r="Z23" i="61"/>
  <c r="Z40" i="61"/>
  <c r="Y4" i="61"/>
  <c r="AA86" i="61"/>
  <c r="Z63" i="61"/>
  <c r="Y91" i="61"/>
  <c r="Y81" i="61"/>
  <c r="Y103" i="61"/>
  <c r="Y57" i="61"/>
  <c r="Y47" i="61"/>
  <c r="Y23" i="61"/>
  <c r="Y74" i="61"/>
  <c r="Y40" i="61"/>
  <c r="X4" i="61"/>
  <c r="Y11" i="61"/>
  <c r="Z27" i="61"/>
  <c r="Z69" i="61" s="1"/>
  <c r="Y86" i="61"/>
  <c r="X103" i="61"/>
  <c r="X91" i="61"/>
  <c r="X81" i="61"/>
  <c r="X74" i="61"/>
  <c r="X60" i="61"/>
  <c r="X40" i="61"/>
  <c r="X57" i="61"/>
  <c r="X47" i="61"/>
  <c r="X11" i="61"/>
  <c r="X23" i="61"/>
  <c r="W4" i="61"/>
  <c r="Y63" i="61"/>
  <c r="Y27" i="61"/>
  <c r="Y69" i="61" s="1"/>
  <c r="X27" i="61"/>
  <c r="W91" i="61"/>
  <c r="W74" i="61"/>
  <c r="W23" i="61"/>
  <c r="W40" i="61"/>
  <c r="W57" i="61"/>
  <c r="W81" i="61"/>
  <c r="V4" i="61"/>
  <c r="X86" i="61"/>
  <c r="V74" i="61"/>
  <c r="V103" i="61"/>
  <c r="V91" i="61"/>
  <c r="V60" i="61"/>
  <c r="V23" i="61"/>
  <c r="V40" i="61"/>
  <c r="V57" i="61"/>
  <c r="V11" i="61"/>
  <c r="U4" i="61"/>
  <c r="W27" i="61"/>
  <c r="W52" i="61" s="1"/>
  <c r="W86" i="61"/>
  <c r="U91" i="61"/>
  <c r="U74" i="61"/>
  <c r="U23" i="61"/>
  <c r="U40" i="61"/>
  <c r="U57" i="61"/>
  <c r="T4" i="61"/>
  <c r="T91" i="61"/>
  <c r="T74" i="61"/>
  <c r="T57" i="61"/>
  <c r="T60" i="61"/>
  <c r="T23" i="61"/>
  <c r="T40" i="61"/>
  <c r="S4" i="61"/>
  <c r="T63" i="61"/>
  <c r="S74" i="61"/>
  <c r="S91" i="61"/>
  <c r="S81" i="61"/>
  <c r="R4" i="61"/>
  <c r="S57" i="61"/>
  <c r="S40" i="61"/>
  <c r="S11" i="61"/>
  <c r="S23" i="61"/>
  <c r="R103" i="61"/>
  <c r="R81" i="61"/>
  <c r="R91" i="61"/>
  <c r="R74" i="61"/>
  <c r="R57" i="61"/>
  <c r="R60" i="61"/>
  <c r="R40" i="61"/>
  <c r="R23" i="61"/>
  <c r="Q4" i="61"/>
  <c r="S63" i="61"/>
  <c r="Q81" i="61"/>
  <c r="Q74" i="61"/>
  <c r="Q57" i="61"/>
  <c r="Q47" i="61"/>
  <c r="Q23" i="61"/>
  <c r="Q40" i="61"/>
  <c r="P4" i="61"/>
  <c r="Q11" i="61"/>
  <c r="R86" i="61"/>
  <c r="P81" i="61"/>
  <c r="P74" i="61"/>
  <c r="P40" i="61"/>
  <c r="P23" i="61"/>
  <c r="P11" i="61"/>
  <c r="P60" i="61"/>
  <c r="P57" i="61"/>
  <c r="O4" i="61"/>
  <c r="Q27" i="61"/>
  <c r="Q69" i="61" s="1"/>
  <c r="Q86" i="61"/>
  <c r="O74" i="61"/>
  <c r="O23" i="61"/>
  <c r="O40" i="61"/>
  <c r="O47" i="61"/>
  <c r="O57" i="61"/>
  <c r="N4" i="61"/>
  <c r="O60" i="61"/>
  <c r="P86" i="61"/>
  <c r="P27" i="61"/>
  <c r="P35" i="61" s="1"/>
  <c r="N74" i="61"/>
  <c r="N81" i="61"/>
  <c r="N60" i="61"/>
  <c r="N57" i="61"/>
  <c r="N23" i="61"/>
  <c r="N40" i="61"/>
  <c r="N11" i="61"/>
  <c r="M4" i="61"/>
  <c r="M81" i="61"/>
  <c r="M74" i="61"/>
  <c r="M57" i="61"/>
  <c r="M23" i="61"/>
  <c r="M40" i="61"/>
  <c r="L4" i="61"/>
  <c r="M63" i="61"/>
  <c r="L57" i="61"/>
  <c r="L81" i="61"/>
  <c r="L64" i="61"/>
  <c r="L66" i="61" s="1"/>
  <c r="L23" i="61"/>
  <c r="L40" i="61"/>
  <c r="L74" i="61"/>
  <c r="K4" i="61"/>
  <c r="L27" i="61"/>
  <c r="L69" i="61" s="1"/>
  <c r="K74" i="61"/>
  <c r="K81" i="61"/>
  <c r="K64" i="61"/>
  <c r="K66" i="61" s="1"/>
  <c r="K57" i="61"/>
  <c r="K40" i="61"/>
  <c r="K23" i="61"/>
  <c r="K47" i="61"/>
  <c r="J4" i="61"/>
  <c r="K11" i="61"/>
  <c r="L63" i="61"/>
  <c r="K27" i="61"/>
  <c r="J81" i="61"/>
  <c r="J57" i="61"/>
  <c r="J11" i="61"/>
  <c r="J40" i="61"/>
  <c r="J23" i="61"/>
  <c r="J74" i="61"/>
  <c r="I4" i="61"/>
  <c r="K63" i="61"/>
  <c r="J63" i="61"/>
  <c r="I74" i="61"/>
  <c r="I57" i="61"/>
  <c r="I47" i="61"/>
  <c r="I40" i="61"/>
  <c r="I23" i="61"/>
  <c r="H4" i="61"/>
  <c r="J86" i="61"/>
  <c r="J27" i="61"/>
  <c r="I86" i="61"/>
  <c r="I63" i="61"/>
  <c r="H81" i="61"/>
  <c r="H74" i="61"/>
  <c r="H40" i="61"/>
  <c r="H64" i="61"/>
  <c r="H66" i="61" s="1"/>
  <c r="H57" i="61"/>
  <c r="H11" i="61"/>
  <c r="H23" i="61"/>
  <c r="G4" i="61"/>
  <c r="I27" i="61"/>
  <c r="H63" i="61"/>
  <c r="H86" i="61"/>
  <c r="G74" i="61"/>
  <c r="G23" i="61"/>
  <c r="G40" i="61"/>
  <c r="G47" i="61"/>
  <c r="G57" i="61"/>
  <c r="F4" i="61"/>
  <c r="F74" i="61"/>
  <c r="F23" i="61"/>
  <c r="F40" i="61"/>
  <c r="F57" i="61"/>
  <c r="E4" i="61"/>
  <c r="E91" i="61"/>
  <c r="E77" i="61"/>
  <c r="E74" i="61"/>
  <c r="E23" i="61"/>
  <c r="E40" i="61"/>
  <c r="E60" i="61"/>
  <c r="E57" i="61"/>
  <c r="E11" i="61"/>
  <c r="F63" i="61"/>
  <c r="E63" i="61"/>
  <c r="E86" i="61"/>
  <c r="E80" i="61"/>
  <c r="DE3" i="54"/>
  <c r="DC3" i="54"/>
  <c r="DA3" i="54"/>
  <c r="CY3" i="54"/>
  <c r="CW3" i="54"/>
  <c r="CU3" i="54"/>
  <c r="CS3" i="54"/>
  <c r="CQ3" i="54"/>
  <c r="CO3" i="54"/>
  <c r="CM3" i="54"/>
  <c r="CK3" i="54"/>
  <c r="CI3" i="54"/>
  <c r="CG3" i="54"/>
  <c r="CE3" i="54"/>
  <c r="CC3" i="54"/>
  <c r="CA3" i="54"/>
  <c r="BY3" i="54"/>
  <c r="BW3" i="54"/>
  <c r="BU3" i="54"/>
  <c r="BS3" i="54"/>
  <c r="BQ3" i="54"/>
  <c r="BO3" i="54"/>
  <c r="BM3" i="54"/>
  <c r="BK3" i="54"/>
  <c r="BI3" i="54"/>
  <c r="BG3" i="54"/>
  <c r="BE3" i="54"/>
  <c r="BC3" i="54"/>
  <c r="BA3" i="54"/>
  <c r="AY3" i="54"/>
  <c r="AW3" i="54"/>
  <c r="AU3" i="54"/>
  <c r="AS3" i="54"/>
  <c r="AQ3" i="54"/>
  <c r="AO3" i="54"/>
  <c r="AM3" i="54"/>
  <c r="AK3" i="54"/>
  <c r="AI3" i="54"/>
  <c r="AG3" i="54"/>
  <c r="AE3" i="54"/>
  <c r="AC3" i="54"/>
  <c r="AA3" i="54"/>
  <c r="Y3" i="54"/>
  <c r="W3" i="54"/>
  <c r="U3" i="54"/>
  <c r="S3" i="54"/>
  <c r="Q3" i="54"/>
  <c r="O3" i="54"/>
  <c r="M3" i="54"/>
  <c r="K3" i="54"/>
  <c r="I3" i="54"/>
  <c r="G3" i="54"/>
  <c r="E3" i="54"/>
  <c r="C3" i="54"/>
  <c r="BS109" i="54"/>
  <c r="BS108" i="54"/>
  <c r="BS107" i="54"/>
  <c r="BS106" i="54"/>
  <c r="BS105" i="54"/>
  <c r="BS104" i="54"/>
  <c r="BS103" i="54"/>
  <c r="BS102" i="54"/>
  <c r="BS101" i="54"/>
  <c r="BS100" i="54"/>
  <c r="BS99" i="54"/>
  <c r="BS98" i="54"/>
  <c r="BS97" i="54"/>
  <c r="BS96" i="54"/>
  <c r="BS95" i="54"/>
  <c r="BS94" i="54"/>
  <c r="BS93" i="54"/>
  <c r="BS92" i="54"/>
  <c r="BS91" i="54"/>
  <c r="BS90" i="54"/>
  <c r="BS89" i="54"/>
  <c r="BS88" i="54"/>
  <c r="BS87" i="54"/>
  <c r="BS86" i="54"/>
  <c r="BS85" i="54"/>
  <c r="BS84" i="54"/>
  <c r="BS83" i="54"/>
  <c r="BS82" i="54"/>
  <c r="BS81" i="54"/>
  <c r="BS80" i="54"/>
  <c r="BS79" i="54"/>
  <c r="BS78" i="54"/>
  <c r="BS77" i="54"/>
  <c r="BS76" i="54"/>
  <c r="BS75" i="54"/>
  <c r="BS74" i="54"/>
  <c r="BS73" i="54"/>
  <c r="BS72" i="54"/>
  <c r="BS71" i="54"/>
  <c r="BS70" i="54"/>
  <c r="BS69" i="54"/>
  <c r="BS68" i="54"/>
  <c r="BS67" i="54"/>
  <c r="BS66" i="54"/>
  <c r="BS65" i="54"/>
  <c r="BS64" i="54"/>
  <c r="BS63" i="54"/>
  <c r="BS62" i="54"/>
  <c r="BS61" i="54"/>
  <c r="BS60" i="54"/>
  <c r="BS59" i="54"/>
  <c r="BS58" i="54"/>
  <c r="BS57" i="54"/>
  <c r="BS56" i="54"/>
  <c r="BS55" i="54"/>
  <c r="BS54" i="54"/>
  <c r="BS53" i="54"/>
  <c r="BS52" i="54"/>
  <c r="BS51" i="54"/>
  <c r="BS50" i="54"/>
  <c r="BS49" i="54"/>
  <c r="BS48" i="54"/>
  <c r="BS47" i="54"/>
  <c r="BS46" i="54"/>
  <c r="BS45" i="54"/>
  <c r="BS44" i="54"/>
  <c r="BS43" i="54"/>
  <c r="BS42" i="54"/>
  <c r="BS41" i="54"/>
  <c r="BS40" i="54"/>
  <c r="BS39" i="54"/>
  <c r="BS38" i="54"/>
  <c r="BS37" i="54"/>
  <c r="BS36" i="54"/>
  <c r="BS35" i="54"/>
  <c r="BS34" i="54"/>
  <c r="BS33" i="54"/>
  <c r="BS32" i="54"/>
  <c r="BS31" i="54"/>
  <c r="BS30" i="54"/>
  <c r="BS29" i="54"/>
  <c r="BS28" i="54"/>
  <c r="BS27" i="54"/>
  <c r="BS26" i="54"/>
  <c r="BS25" i="54"/>
  <c r="BS24" i="54"/>
  <c r="BS23" i="54"/>
  <c r="BS22" i="54"/>
  <c r="BS21" i="54"/>
  <c r="BS20" i="54"/>
  <c r="BS19" i="54"/>
  <c r="BS18" i="54"/>
  <c r="BS17" i="54"/>
  <c r="BS16" i="54"/>
  <c r="BS15" i="54"/>
  <c r="BS14" i="54"/>
  <c r="BS13" i="54"/>
  <c r="BS12" i="54"/>
  <c r="BS11" i="54"/>
  <c r="BS10" i="54"/>
  <c r="BS9" i="54"/>
  <c r="BS8" i="54"/>
  <c r="BO109" i="54"/>
  <c r="BO108" i="54"/>
  <c r="BO107" i="54"/>
  <c r="BO106" i="54"/>
  <c r="BO105" i="54"/>
  <c r="BO104" i="54"/>
  <c r="BO103" i="54"/>
  <c r="BO102" i="54"/>
  <c r="BO101" i="54"/>
  <c r="BO100" i="54"/>
  <c r="BO99" i="54"/>
  <c r="BO98" i="54"/>
  <c r="BO97" i="54"/>
  <c r="BO96" i="54"/>
  <c r="BO95" i="54"/>
  <c r="BO94" i="54"/>
  <c r="BO93" i="54"/>
  <c r="BO92" i="54"/>
  <c r="BO91" i="54"/>
  <c r="BO90" i="54"/>
  <c r="BO89" i="54"/>
  <c r="BO88" i="54"/>
  <c r="BO87" i="54"/>
  <c r="BO86" i="54"/>
  <c r="BO85" i="54"/>
  <c r="BO84" i="54"/>
  <c r="BO83" i="54"/>
  <c r="BO82" i="54"/>
  <c r="BO81" i="54"/>
  <c r="BO80" i="54"/>
  <c r="BO79" i="54"/>
  <c r="BO78" i="54"/>
  <c r="BO77" i="54"/>
  <c r="BO76" i="54"/>
  <c r="BO75" i="54"/>
  <c r="BO74" i="54"/>
  <c r="BO73" i="54"/>
  <c r="BO72" i="54"/>
  <c r="BO71" i="54"/>
  <c r="BO70" i="54"/>
  <c r="BO69" i="54"/>
  <c r="BO68" i="54"/>
  <c r="BO67" i="54"/>
  <c r="BO66" i="54"/>
  <c r="BO65" i="54"/>
  <c r="BO64" i="54"/>
  <c r="BO63" i="54"/>
  <c r="BO62" i="54"/>
  <c r="BO61" i="54"/>
  <c r="BO60" i="54"/>
  <c r="BO59" i="54"/>
  <c r="BO58" i="54"/>
  <c r="BO57" i="54"/>
  <c r="BO56" i="54"/>
  <c r="BO55" i="54"/>
  <c r="BO54" i="54"/>
  <c r="BO53" i="54"/>
  <c r="BO52" i="54"/>
  <c r="BO51" i="54"/>
  <c r="BO50" i="54"/>
  <c r="BO49" i="54"/>
  <c r="BO48" i="54"/>
  <c r="BO47" i="54"/>
  <c r="BO46" i="54"/>
  <c r="BO45" i="54"/>
  <c r="BO44" i="54"/>
  <c r="BO43" i="54"/>
  <c r="BO42" i="54"/>
  <c r="BO41" i="54"/>
  <c r="BO40" i="54"/>
  <c r="BO39" i="54"/>
  <c r="BO38" i="54"/>
  <c r="BO37" i="54"/>
  <c r="BO36" i="54"/>
  <c r="BO35" i="54"/>
  <c r="BO34" i="54"/>
  <c r="BO33" i="54"/>
  <c r="BO32" i="54"/>
  <c r="BO31" i="54"/>
  <c r="BO30" i="54"/>
  <c r="BO29" i="54"/>
  <c r="BO28" i="54"/>
  <c r="BO27" i="54"/>
  <c r="BO26" i="54"/>
  <c r="BO25" i="54"/>
  <c r="BO24" i="54"/>
  <c r="BO23" i="54"/>
  <c r="BO22" i="54"/>
  <c r="BO21" i="54"/>
  <c r="BO20" i="54"/>
  <c r="BO19" i="54"/>
  <c r="BO18" i="54"/>
  <c r="BO17" i="54"/>
  <c r="BO16" i="54"/>
  <c r="BO15" i="54"/>
  <c r="BO14" i="54"/>
  <c r="BO13" i="54"/>
  <c r="BO12" i="54"/>
  <c r="BO11" i="54"/>
  <c r="BO10" i="54"/>
  <c r="BO9" i="54"/>
  <c r="BO8" i="54"/>
  <c r="CZ3" i="54"/>
  <c r="CX3" i="54"/>
  <c r="CN3" i="54"/>
  <c r="CL3" i="54"/>
  <c r="CB3" i="54"/>
  <c r="BZ3" i="54"/>
  <c r="BP3" i="54"/>
  <c r="BN3" i="54"/>
  <c r="BD3" i="54"/>
  <c r="BB3" i="54"/>
  <c r="AR3" i="54"/>
  <c r="AP3" i="54"/>
  <c r="AF3" i="54"/>
  <c r="AD3" i="54"/>
  <c r="T3" i="54"/>
  <c r="R3" i="54"/>
  <c r="F3" i="54"/>
  <c r="DB3" i="54"/>
  <c r="CP3" i="54"/>
  <c r="CD3" i="54"/>
  <c r="BR3" i="54"/>
  <c r="BF3" i="54"/>
  <c r="AT3" i="54"/>
  <c r="AH3" i="54"/>
  <c r="V3" i="54"/>
  <c r="J3" i="54"/>
  <c r="H3" i="54"/>
  <c r="Y5" i="32"/>
  <c r="X5" i="32"/>
  <c r="U5" i="32"/>
  <c r="R5" i="32"/>
  <c r="AO5" i="32"/>
  <c r="AN5" i="32"/>
  <c r="AK5" i="32"/>
  <c r="AH5" i="32"/>
  <c r="P4" i="31"/>
  <c r="N4" i="31"/>
  <c r="X4" i="31"/>
  <c r="V4" i="31"/>
  <c r="B61" i="57"/>
  <c r="B64" i="57"/>
  <c r="B71" i="57"/>
  <c r="B70" i="57"/>
  <c r="B69" i="57"/>
  <c r="B68" i="57"/>
  <c r="B67" i="57"/>
  <c r="B66" i="57"/>
  <c r="B65" i="57"/>
  <c r="B63" i="57"/>
  <c r="B62" i="57"/>
  <c r="B60" i="57"/>
  <c r="AN59" i="57"/>
  <c r="B53" i="57"/>
  <c r="B52" i="57"/>
  <c r="B51" i="57"/>
  <c r="B50" i="57"/>
  <c r="B49" i="57"/>
  <c r="B48" i="57"/>
  <c r="B47" i="57"/>
  <c r="B46" i="57"/>
  <c r="B45" i="57"/>
  <c r="B44" i="57"/>
  <c r="C43" i="57"/>
  <c r="C44" i="57" s="1"/>
  <c r="C45" i="57" s="1"/>
  <c r="C46" i="57" s="1"/>
  <c r="C47" i="57" s="1"/>
  <c r="C48" i="57" s="1"/>
  <c r="C49" i="57" s="1"/>
  <c r="C50" i="57" s="1"/>
  <c r="C51" i="57" s="1"/>
  <c r="C52" i="57" s="1"/>
  <c r="C53" i="57" s="1"/>
  <c r="B43" i="57"/>
  <c r="B42" i="57"/>
  <c r="AN41" i="57"/>
  <c r="M90" i="55"/>
  <c r="K90" i="55"/>
  <c r="I90" i="55"/>
  <c r="G90" i="55"/>
  <c r="B72" i="3"/>
  <c r="B71" i="3"/>
  <c r="B70" i="3"/>
  <c r="B69" i="3"/>
  <c r="B68" i="3"/>
  <c r="B122" i="3"/>
  <c r="B121" i="3"/>
  <c r="B120" i="3"/>
  <c r="B119" i="3"/>
  <c r="B118" i="3"/>
  <c r="B96" i="3"/>
  <c r="B95" i="3"/>
  <c r="B94" i="3"/>
  <c r="B93" i="3"/>
  <c r="B92" i="3"/>
  <c r="B79" i="3"/>
  <c r="B82" i="3"/>
  <c r="B90" i="3"/>
  <c r="B89" i="3"/>
  <c r="B88" i="3"/>
  <c r="B87" i="3"/>
  <c r="B86" i="3"/>
  <c r="B85" i="3"/>
  <c r="B84" i="3"/>
  <c r="B83" i="3"/>
  <c r="B81" i="3"/>
  <c r="B80" i="3"/>
  <c r="B78" i="3"/>
  <c r="C79" i="3"/>
  <c r="C80" i="3" s="1"/>
  <c r="C81" i="3" s="1"/>
  <c r="AN77" i="3"/>
  <c r="AN53" i="3"/>
  <c r="AN30" i="3"/>
  <c r="AM4" i="3"/>
  <c r="AN101" i="3"/>
  <c r="AN24" i="57"/>
  <c r="AN77" i="57"/>
  <c r="AO24" i="58"/>
  <c r="AO77" i="58"/>
  <c r="B90" i="55"/>
  <c r="B131" i="55"/>
  <c r="A131" i="55" s="1"/>
  <c r="O90" i="55"/>
  <c r="Q90" i="55"/>
  <c r="B41" i="55"/>
  <c r="I89" i="55"/>
  <c r="G89" i="55"/>
  <c r="B89" i="55"/>
  <c r="B130" i="55"/>
  <c r="AM24" i="57"/>
  <c r="AM59" i="57"/>
  <c r="AM41" i="57"/>
  <c r="AM77" i="57"/>
  <c r="G18" i="60"/>
  <c r="H18" i="60"/>
  <c r="I18" i="60"/>
  <c r="J18" i="60"/>
  <c r="K18" i="60"/>
  <c r="L18" i="60"/>
  <c r="M18" i="60"/>
  <c r="N18" i="60"/>
  <c r="O18" i="60"/>
  <c r="P18" i="60"/>
  <c r="Q18" i="60"/>
  <c r="D58" i="60"/>
  <c r="C58" i="60"/>
  <c r="D57" i="60"/>
  <c r="C57" i="60"/>
  <c r="C56" i="60"/>
  <c r="C55" i="60"/>
  <c r="C54" i="60"/>
  <c r="C53" i="60"/>
  <c r="C52" i="60"/>
  <c r="C51" i="60"/>
  <c r="C50" i="60"/>
  <c r="C49" i="60"/>
  <c r="C48" i="60"/>
  <c r="C47" i="60"/>
  <c r="C46" i="60"/>
  <c r="D45" i="60"/>
  <c r="D46" i="60"/>
  <c r="D47" i="60"/>
  <c r="D48" i="60"/>
  <c r="D49" i="60"/>
  <c r="D50" i="60"/>
  <c r="D51" i="60"/>
  <c r="D52" i="60"/>
  <c r="C45" i="60"/>
  <c r="D44" i="60"/>
  <c r="C43" i="60"/>
  <c r="C44" i="60"/>
  <c r="D38" i="60"/>
  <c r="C38" i="60"/>
  <c r="D37" i="60"/>
  <c r="C37" i="60"/>
  <c r="C36" i="60"/>
  <c r="C35" i="60"/>
  <c r="C34" i="60"/>
  <c r="C33" i="60"/>
  <c r="C32" i="60"/>
  <c r="C31" i="60"/>
  <c r="C30" i="60"/>
  <c r="C29" i="60"/>
  <c r="C28" i="60"/>
  <c r="C27" i="60"/>
  <c r="C26" i="60"/>
  <c r="D25" i="60"/>
  <c r="D26" i="60"/>
  <c r="D27" i="60"/>
  <c r="D28" i="60"/>
  <c r="D29" i="60"/>
  <c r="D30" i="60"/>
  <c r="D31" i="60"/>
  <c r="D32" i="60"/>
  <c r="C25" i="60"/>
  <c r="C24" i="60"/>
  <c r="C18" i="60"/>
  <c r="C17" i="60"/>
  <c r="C16" i="60"/>
  <c r="C15" i="60"/>
  <c r="C14" i="60"/>
  <c r="C13" i="60"/>
  <c r="C12" i="60"/>
  <c r="C11" i="60"/>
  <c r="C10" i="60"/>
  <c r="C9" i="60"/>
  <c r="C8" i="60"/>
  <c r="C7" i="60"/>
  <c r="C6" i="60"/>
  <c r="C5" i="60"/>
  <c r="D33" i="60"/>
  <c r="D34" i="60"/>
  <c r="D35" i="60"/>
  <c r="D36" i="60"/>
  <c r="D56" i="60"/>
  <c r="D53" i="60"/>
  <c r="D54" i="60"/>
  <c r="D55" i="60"/>
  <c r="C55" i="35"/>
  <c r="C54" i="35"/>
  <c r="C53" i="35"/>
  <c r="C32" i="35"/>
  <c r="C33" i="35"/>
  <c r="C34" i="35"/>
  <c r="C35" i="35"/>
  <c r="D44" i="35"/>
  <c r="C43" i="35"/>
  <c r="C44" i="35"/>
  <c r="B107" i="3"/>
  <c r="C106" i="3"/>
  <c r="C107" i="3" s="1"/>
  <c r="B106" i="3"/>
  <c r="B105" i="3"/>
  <c r="D106" i="58"/>
  <c r="C106" i="58"/>
  <c r="C105" i="58"/>
  <c r="C104" i="58"/>
  <c r="C103" i="58"/>
  <c r="C102" i="58"/>
  <c r="C101" i="58"/>
  <c r="C100" i="58"/>
  <c r="C99" i="58"/>
  <c r="C98" i="58"/>
  <c r="C97" i="58"/>
  <c r="D96" i="58"/>
  <c r="D97" i="58"/>
  <c r="D98" i="58" s="1"/>
  <c r="D99" i="58" s="1"/>
  <c r="D100" i="58" s="1"/>
  <c r="D101" i="58" s="1"/>
  <c r="D102" i="58" s="1"/>
  <c r="D103" i="58" s="1"/>
  <c r="D104" i="58" s="1"/>
  <c r="D105" i="58" s="1"/>
  <c r="C96" i="58"/>
  <c r="C95" i="58"/>
  <c r="C89" i="58"/>
  <c r="C88" i="58"/>
  <c r="C87" i="58"/>
  <c r="C86" i="58"/>
  <c r="C85" i="58"/>
  <c r="C84" i="58"/>
  <c r="C83" i="58"/>
  <c r="C82" i="58"/>
  <c r="C81" i="58"/>
  <c r="C80" i="58"/>
  <c r="D79" i="58"/>
  <c r="D80" i="58" s="1"/>
  <c r="D81" i="58" s="1"/>
  <c r="D82" i="58" s="1"/>
  <c r="D83" i="58" s="1"/>
  <c r="D84" i="58" s="1"/>
  <c r="D85" i="58" s="1"/>
  <c r="D86" i="58" s="1"/>
  <c r="D87" i="58" s="1"/>
  <c r="D88" i="58" s="1"/>
  <c r="D89" i="58" s="1"/>
  <c r="C79" i="58"/>
  <c r="C78" i="58"/>
  <c r="C36" i="58"/>
  <c r="C35" i="58"/>
  <c r="C34" i="58"/>
  <c r="C33" i="58"/>
  <c r="C32" i="58"/>
  <c r="C31" i="58"/>
  <c r="C30" i="58"/>
  <c r="C29" i="58"/>
  <c r="C28" i="58"/>
  <c r="C27" i="58"/>
  <c r="D26" i="58"/>
  <c r="D27" i="58" s="1"/>
  <c r="D28" i="58" s="1"/>
  <c r="D29" i="58" s="1"/>
  <c r="D30" i="58" s="1"/>
  <c r="D31" i="58" s="1"/>
  <c r="D32" i="58" s="1"/>
  <c r="D33" i="58" s="1"/>
  <c r="D34" i="58" s="1"/>
  <c r="D35" i="58" s="1"/>
  <c r="D36" i="58" s="1"/>
  <c r="C26" i="58"/>
  <c r="C25" i="58"/>
  <c r="C17" i="58"/>
  <c r="C16" i="58"/>
  <c r="C15" i="58"/>
  <c r="C14" i="58"/>
  <c r="C13" i="58"/>
  <c r="C12" i="58"/>
  <c r="C11" i="58"/>
  <c r="C10" i="58"/>
  <c r="C9" i="58"/>
  <c r="C8" i="58"/>
  <c r="C7" i="58"/>
  <c r="C6" i="58"/>
  <c r="C5" i="58"/>
  <c r="B106" i="57"/>
  <c r="B105" i="57"/>
  <c r="B104" i="57"/>
  <c r="B103" i="57"/>
  <c r="B102" i="57"/>
  <c r="B101" i="57"/>
  <c r="B100" i="57"/>
  <c r="B99" i="57"/>
  <c r="B98" i="57"/>
  <c r="B97" i="57"/>
  <c r="C96" i="57"/>
  <c r="C97" i="57" s="1"/>
  <c r="C98" i="57" s="1"/>
  <c r="C99" i="57" s="1"/>
  <c r="C100" i="57" s="1"/>
  <c r="C101" i="57" s="1"/>
  <c r="C102" i="57" s="1"/>
  <c r="C103" i="57" s="1"/>
  <c r="C104" i="57" s="1"/>
  <c r="C105" i="57" s="1"/>
  <c r="C106" i="57"/>
  <c r="B96" i="57"/>
  <c r="B95" i="57"/>
  <c r="B89" i="57"/>
  <c r="B88" i="57"/>
  <c r="B87" i="57"/>
  <c r="B86" i="57"/>
  <c r="B85" i="57"/>
  <c r="B84" i="57"/>
  <c r="B83" i="57"/>
  <c r="B82" i="57"/>
  <c r="B81" i="57"/>
  <c r="B80" i="57"/>
  <c r="C79" i="57"/>
  <c r="C80" i="57" s="1"/>
  <c r="C81" i="57" s="1"/>
  <c r="C82" i="57" s="1"/>
  <c r="C83" i="57" s="1"/>
  <c r="C84" i="57" s="1"/>
  <c r="C85" i="57" s="1"/>
  <c r="C86" i="57" s="1"/>
  <c r="C87" i="57" s="1"/>
  <c r="C88" i="57" s="1"/>
  <c r="C89" i="57" s="1"/>
  <c r="B79" i="57"/>
  <c r="B78" i="57"/>
  <c r="B36" i="57"/>
  <c r="B35" i="57"/>
  <c r="B34" i="57"/>
  <c r="B33" i="57"/>
  <c r="B32" i="57"/>
  <c r="B31" i="57"/>
  <c r="B30" i="57"/>
  <c r="B29" i="57"/>
  <c r="B28" i="57"/>
  <c r="B27" i="57"/>
  <c r="B26" i="57"/>
  <c r="B25" i="57"/>
  <c r="B17" i="57"/>
  <c r="B16" i="57"/>
  <c r="B15" i="57"/>
  <c r="B14" i="57"/>
  <c r="B13" i="57"/>
  <c r="B12" i="57"/>
  <c r="B11" i="57"/>
  <c r="B10" i="57"/>
  <c r="B9" i="57"/>
  <c r="B8" i="57"/>
  <c r="B7" i="57"/>
  <c r="B6" i="57"/>
  <c r="B5" i="57"/>
  <c r="B117" i="3"/>
  <c r="B116" i="3"/>
  <c r="B115" i="3"/>
  <c r="B114" i="3"/>
  <c r="B113" i="3"/>
  <c r="B112" i="3"/>
  <c r="B111" i="3"/>
  <c r="B110" i="3"/>
  <c r="B109" i="3"/>
  <c r="B108" i="3"/>
  <c r="B104" i="3"/>
  <c r="C103" i="3"/>
  <c r="C104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B103" i="3"/>
  <c r="B102" i="3"/>
  <c r="B25" i="3"/>
  <c r="B24" i="3"/>
  <c r="B21" i="3"/>
  <c r="B22" i="3"/>
  <c r="R1" i="55"/>
  <c r="Q1" i="55"/>
  <c r="P1" i="55"/>
  <c r="O1" i="55"/>
  <c r="N1" i="55"/>
  <c r="M1" i="55"/>
  <c r="L1" i="55"/>
  <c r="K1" i="55"/>
  <c r="J1" i="55"/>
  <c r="I1" i="55"/>
  <c r="H1" i="55"/>
  <c r="G1" i="55"/>
  <c r="F1" i="55"/>
  <c r="E1" i="55"/>
  <c r="D1" i="55"/>
  <c r="C1" i="55"/>
  <c r="B3" i="54"/>
  <c r="N3" i="54"/>
  <c r="Z3" i="54"/>
  <c r="AL3" i="54"/>
  <c r="AX3" i="54"/>
  <c r="DD3" i="54"/>
  <c r="CV3" i="54"/>
  <c r="CT3" i="54"/>
  <c r="CR3" i="54"/>
  <c r="CJ3" i="54"/>
  <c r="CH3" i="54"/>
  <c r="CF3" i="54"/>
  <c r="BX3" i="54"/>
  <c r="BV3" i="54"/>
  <c r="BT3" i="54"/>
  <c r="BL3" i="54"/>
  <c r="BJ3" i="54"/>
  <c r="BH3" i="54"/>
  <c r="AZ3" i="54"/>
  <c r="AV3" i="54"/>
  <c r="AN3" i="54"/>
  <c r="AJ3" i="54"/>
  <c r="AB3" i="54"/>
  <c r="X3" i="54"/>
  <c r="P3" i="54"/>
  <c r="L3" i="54"/>
  <c r="D3" i="54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B132" i="3"/>
  <c r="B129" i="3"/>
  <c r="B58" i="3"/>
  <c r="B55" i="3"/>
  <c r="B15" i="3"/>
  <c r="B9" i="3"/>
  <c r="B6" i="3"/>
  <c r="J26" i="43"/>
  <c r="J27" i="43"/>
  <c r="J28" i="43"/>
  <c r="J29" i="43"/>
  <c r="J30" i="43"/>
  <c r="J31" i="43"/>
  <c r="J32" i="43"/>
  <c r="J33" i="43"/>
  <c r="J34" i="43"/>
  <c r="J35" i="43"/>
  <c r="J36" i="43"/>
  <c r="J37" i="43"/>
  <c r="C58" i="35"/>
  <c r="C57" i="35"/>
  <c r="C56" i="35"/>
  <c r="C52" i="35"/>
  <c r="AG51" i="35"/>
  <c r="C51" i="35"/>
  <c r="C50" i="35"/>
  <c r="C49" i="35"/>
  <c r="C48" i="35"/>
  <c r="C47" i="35"/>
  <c r="C46" i="35"/>
  <c r="D45" i="35"/>
  <c r="D46" i="35"/>
  <c r="D47" i="35"/>
  <c r="D48" i="35"/>
  <c r="D49" i="35"/>
  <c r="D50" i="35"/>
  <c r="D51" i="35"/>
  <c r="D52" i="35"/>
  <c r="C45" i="35"/>
  <c r="C38" i="35"/>
  <c r="C37" i="35"/>
  <c r="C36" i="35"/>
  <c r="AG31" i="35"/>
  <c r="C31" i="35"/>
  <c r="C30" i="35"/>
  <c r="C29" i="35"/>
  <c r="C28" i="35"/>
  <c r="C27" i="35"/>
  <c r="C26" i="35"/>
  <c r="D25" i="35"/>
  <c r="D26" i="35"/>
  <c r="D27" i="35"/>
  <c r="D28" i="35"/>
  <c r="D29" i="35"/>
  <c r="D30" i="35"/>
  <c r="D31" i="35"/>
  <c r="C25" i="35"/>
  <c r="C24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D56" i="35"/>
  <c r="D53" i="35"/>
  <c r="D32" i="35"/>
  <c r="D33" i="35"/>
  <c r="J38" i="43"/>
  <c r="D57" i="35"/>
  <c r="D54" i="35"/>
  <c r="D55" i="35"/>
  <c r="D34" i="35"/>
  <c r="D35" i="35"/>
  <c r="D36" i="35"/>
  <c r="J39" i="43"/>
  <c r="D38" i="35"/>
  <c r="D58" i="35"/>
  <c r="D37" i="35"/>
  <c r="J40" i="43"/>
  <c r="J41" i="43"/>
  <c r="J42" i="43"/>
  <c r="J43" i="43"/>
  <c r="J44" i="43"/>
  <c r="BE5" i="32"/>
  <c r="BD5" i="32"/>
  <c r="BA5" i="32"/>
  <c r="AX5" i="32"/>
  <c r="AG5" i="32"/>
  <c r="AW5" i="32"/>
  <c r="AV5" i="32"/>
  <c r="AS5" i="32"/>
  <c r="AP5" i="32"/>
  <c r="AF5" i="32"/>
  <c r="AC5" i="32"/>
  <c r="Z5" i="32"/>
  <c r="Q5" i="32"/>
  <c r="P5" i="32"/>
  <c r="M5" i="32"/>
  <c r="J5" i="32"/>
  <c r="I5" i="32"/>
  <c r="E5" i="32"/>
  <c r="H5" i="32"/>
  <c r="B5" i="32"/>
  <c r="AJ4" i="31"/>
  <c r="AH4" i="31"/>
  <c r="AF4" i="31"/>
  <c r="AD4" i="31"/>
  <c r="AB4" i="31"/>
  <c r="Z4" i="31"/>
  <c r="T4" i="31"/>
  <c r="R4" i="31"/>
  <c r="L4" i="31"/>
  <c r="J4" i="31"/>
  <c r="H4" i="31"/>
  <c r="F4" i="31"/>
  <c r="D4" i="31"/>
  <c r="B4" i="31"/>
  <c r="BQ2" i="31"/>
  <c r="BP2" i="31"/>
  <c r="BO2" i="31"/>
  <c r="BN2" i="31"/>
  <c r="BM2" i="31"/>
  <c r="BL2" i="31"/>
  <c r="BK2" i="31"/>
  <c r="BJ2" i="31"/>
  <c r="BI2" i="31"/>
  <c r="BH2" i="31"/>
  <c r="BG2" i="31"/>
  <c r="BF2" i="31"/>
  <c r="BE2" i="31"/>
  <c r="BD2" i="31"/>
  <c r="BC2" i="31"/>
  <c r="BB2" i="31"/>
  <c r="AS2" i="31"/>
  <c r="AR2" i="31"/>
  <c r="AQ2" i="31"/>
  <c r="AP2" i="31"/>
  <c r="AO2" i="31"/>
  <c r="AN2" i="31"/>
  <c r="AM2" i="31"/>
  <c r="AL2" i="31"/>
  <c r="CQ3" i="28"/>
  <c r="CO3" i="28"/>
  <c r="CM3" i="28"/>
  <c r="CK3" i="28"/>
  <c r="CI3" i="28"/>
  <c r="CG3" i="28"/>
  <c r="CE3" i="28"/>
  <c r="CC3" i="28"/>
  <c r="CA3" i="28"/>
  <c r="BY3" i="28"/>
  <c r="BW3" i="28"/>
  <c r="BU3" i="28"/>
  <c r="BS3" i="28"/>
  <c r="BQ3" i="28"/>
  <c r="BO3" i="28"/>
  <c r="BM3" i="28"/>
  <c r="BC3" i="28"/>
  <c r="BA3" i="28"/>
  <c r="AY3" i="28"/>
  <c r="AW3" i="28"/>
  <c r="AU3" i="28"/>
  <c r="AS3" i="28"/>
  <c r="AQ3" i="28"/>
  <c r="AO3" i="28"/>
  <c r="AY2" i="26"/>
  <c r="AX2" i="26"/>
  <c r="AW2" i="26"/>
  <c r="AV2" i="26"/>
  <c r="AU2" i="26"/>
  <c r="AT2" i="26"/>
  <c r="AS2" i="26"/>
  <c r="AR2" i="26"/>
  <c r="AQ2" i="26"/>
  <c r="AP2" i="26"/>
  <c r="AO2" i="26"/>
  <c r="AN2" i="26"/>
  <c r="AM2" i="26"/>
  <c r="AL2" i="26"/>
  <c r="AK2" i="26"/>
  <c r="AJ2" i="26"/>
  <c r="AA2" i="26"/>
  <c r="Z2" i="26"/>
  <c r="Y2" i="26"/>
  <c r="X2" i="26"/>
  <c r="W2" i="26"/>
  <c r="V2" i="26"/>
  <c r="U2" i="26"/>
  <c r="T2" i="26"/>
  <c r="B140" i="3"/>
  <c r="B139" i="3"/>
  <c r="B138" i="3"/>
  <c r="B137" i="3"/>
  <c r="B136" i="3"/>
  <c r="B135" i="3"/>
  <c r="B134" i="3"/>
  <c r="B133" i="3"/>
  <c r="B131" i="3"/>
  <c r="B130" i="3"/>
  <c r="B128" i="3"/>
  <c r="B54" i="3"/>
  <c r="B66" i="3"/>
  <c r="B65" i="3"/>
  <c r="B64" i="3"/>
  <c r="B63" i="3"/>
  <c r="B62" i="3"/>
  <c r="B61" i="3"/>
  <c r="B60" i="3"/>
  <c r="B59" i="3"/>
  <c r="B57" i="3"/>
  <c r="B56" i="3"/>
  <c r="J45" i="43"/>
  <c r="C129" i="3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55" i="3"/>
  <c r="C56" i="3" s="1"/>
  <c r="C57" i="3"/>
  <c r="C58" i="3" s="1"/>
  <c r="C59" i="3" s="1"/>
  <c r="C60" i="3" s="1"/>
  <c r="C61" i="3" s="1"/>
  <c r="C62" i="3" s="1"/>
  <c r="C63" i="3" s="1"/>
  <c r="C64" i="3" s="1"/>
  <c r="C65" i="3" s="1"/>
  <c r="C66" i="3" s="1"/>
  <c r="C68" i="3" s="1"/>
  <c r="J46" i="43"/>
  <c r="J47" i="43"/>
  <c r="B23" i="3"/>
  <c r="B18" i="3"/>
  <c r="B17" i="3"/>
  <c r="B16" i="3"/>
  <c r="B14" i="3"/>
  <c r="B13" i="3"/>
  <c r="B12" i="3"/>
  <c r="B11" i="3"/>
  <c r="B10" i="3"/>
  <c r="B8" i="3"/>
  <c r="B7" i="3"/>
  <c r="B5" i="3"/>
  <c r="J48" i="43"/>
  <c r="C140" i="3"/>
  <c r="J49" i="43"/>
  <c r="J50" i="43"/>
  <c r="J51" i="43"/>
  <c r="J52" i="43"/>
  <c r="J53" i="43"/>
  <c r="J54" i="43"/>
  <c r="J55" i="43"/>
  <c r="J56" i="43"/>
  <c r="J57" i="43"/>
  <c r="O61" i="67"/>
  <c r="O63" i="67" s="1"/>
  <c r="O44" i="66"/>
  <c r="O46" i="66" s="1"/>
  <c r="O61" i="66"/>
  <c r="O63" i="66" s="1"/>
  <c r="O44" i="62"/>
  <c r="O46" i="62" s="1"/>
  <c r="O78" i="66"/>
  <c r="O80" i="66" s="1"/>
  <c r="O78" i="62"/>
  <c r="O80" i="62" s="1"/>
  <c r="X60" i="63" l="1"/>
  <c r="G34" i="63"/>
  <c r="G89" i="63" s="1"/>
  <c r="X57" i="43" a="1"/>
  <c r="X57" i="43" s="1"/>
  <c r="Z57" i="43" s="1"/>
  <c r="AM27" i="61"/>
  <c r="AM35" i="61" s="1"/>
  <c r="O81" i="64"/>
  <c r="S64" i="61"/>
  <c r="S66" i="61" s="1"/>
  <c r="T47" i="64"/>
  <c r="U86" i="64"/>
  <c r="U81" i="64"/>
  <c r="H60" i="63"/>
  <c r="G47" i="64"/>
  <c r="X109" i="63"/>
  <c r="U47" i="64"/>
  <c r="C90" i="55"/>
  <c r="X20" i="43" a="1"/>
  <c r="X20" i="43" s="1"/>
  <c r="Z20" i="43" s="1"/>
  <c r="X19" i="43" a="1"/>
  <c r="X17" i="43" a="1"/>
  <c r="X18" i="43" a="1"/>
  <c r="X13" i="43" a="1"/>
  <c r="X14" i="43" a="1"/>
  <c r="X15" i="43" a="1"/>
  <c r="X16" i="43" a="1"/>
  <c r="X21" i="43" a="1"/>
  <c r="X22" i="43" a="1"/>
  <c r="X23" i="43" a="1"/>
  <c r="X24" i="43" a="1"/>
  <c r="X53" i="43" a="1"/>
  <c r="X54" i="43" a="1"/>
  <c r="X54" i="43" s="1"/>
  <c r="Z54" i="43" s="1"/>
  <c r="X55" i="43" a="1"/>
  <c r="X55" i="43" s="1"/>
  <c r="Z55" i="43" s="1"/>
  <c r="X56" i="43" a="1"/>
  <c r="X56" i="43" s="1"/>
  <c r="Z56" i="43" s="1"/>
  <c r="X49" i="43" a="1"/>
  <c r="X50" i="43" a="1"/>
  <c r="X51" i="43" a="1"/>
  <c r="X51" i="43" s="1"/>
  <c r="Z51" i="43" s="1"/>
  <c r="X52" i="43" a="1"/>
  <c r="X48" i="43" a="1"/>
  <c r="X48" i="43" s="1"/>
  <c r="Z48" i="43" s="1"/>
  <c r="X46" i="43" a="1"/>
  <c r="X45" i="43" a="1"/>
  <c r="X47" i="43" a="1"/>
  <c r="X41" i="43" a="1"/>
  <c r="X42" i="43" a="1"/>
  <c r="X43" i="43" a="1"/>
  <c r="X44" i="43" a="1"/>
  <c r="X25" i="43" a="1"/>
  <c r="X26" i="43" a="1"/>
  <c r="X26" i="43" s="1"/>
  <c r="Z26" i="43" s="1"/>
  <c r="X27" i="43" a="1"/>
  <c r="X28" i="43" a="1"/>
  <c r="X37" i="43" a="1"/>
  <c r="X38" i="43" a="1"/>
  <c r="X38" i="43" s="1"/>
  <c r="Z38" i="43" s="1"/>
  <c r="X39" i="43" a="1"/>
  <c r="X40" i="43" a="1"/>
  <c r="X40" i="43" s="1"/>
  <c r="Z40" i="43" s="1"/>
  <c r="X32" i="43" a="1"/>
  <c r="X31" i="43" a="1"/>
  <c r="X29" i="43" a="1"/>
  <c r="X30" i="43" a="1"/>
  <c r="L90" i="55"/>
  <c r="X7" i="43" a="1"/>
  <c r="X8" i="43" a="1"/>
  <c r="X9" i="43" a="1"/>
  <c r="X10" i="43" a="1"/>
  <c r="X11" i="43" a="1"/>
  <c r="X12" i="43" a="1"/>
  <c r="X12" i="43" s="1"/>
  <c r="Z12" i="43" s="1"/>
  <c r="X6" i="43" a="1"/>
  <c r="X34" i="43" a="1"/>
  <c r="X35" i="43" a="1"/>
  <c r="X36" i="43" a="1"/>
  <c r="X33" i="43" a="1"/>
  <c r="L64" i="64"/>
  <c r="L66" i="64" s="1"/>
  <c r="V81" i="61"/>
  <c r="L27" i="64"/>
  <c r="L47" i="64"/>
  <c r="AC27" i="61"/>
  <c r="AC35" i="61" s="1"/>
  <c r="P27" i="64"/>
  <c r="P69" i="64" s="1"/>
  <c r="AP78" i="61"/>
  <c r="AH64" i="61"/>
  <c r="I63" i="64"/>
  <c r="P81" i="64"/>
  <c r="Z86" i="64"/>
  <c r="AP61" i="61"/>
  <c r="AF27" i="61"/>
  <c r="V27" i="64"/>
  <c r="O86" i="64"/>
  <c r="O47" i="64"/>
  <c r="R47" i="61"/>
  <c r="AM81" i="61"/>
  <c r="K86" i="61"/>
  <c r="J34" i="63"/>
  <c r="J89" i="63" s="1"/>
  <c r="P34" i="63"/>
  <c r="P66" i="63" s="1"/>
  <c r="Z115" i="63"/>
  <c r="P60" i="63"/>
  <c r="J82" i="63"/>
  <c r="J83" i="63"/>
  <c r="J85" i="63" s="1"/>
  <c r="P47" i="64"/>
  <c r="W64" i="64"/>
  <c r="W66" i="64" s="1"/>
  <c r="Q86" i="64"/>
  <c r="E27" i="64"/>
  <c r="J64" i="64"/>
  <c r="J66" i="64" s="1"/>
  <c r="U64" i="61"/>
  <c r="U66" i="61" s="1"/>
  <c r="AE86" i="64"/>
  <c r="R60" i="63"/>
  <c r="T115" i="63"/>
  <c r="G27" i="61"/>
  <c r="G69" i="61" s="1"/>
  <c r="G63" i="61"/>
  <c r="S81" i="64"/>
  <c r="M109" i="63"/>
  <c r="AO61" i="61"/>
  <c r="Q34" i="63"/>
  <c r="Q89" i="63" s="1"/>
  <c r="V81" i="64"/>
  <c r="AO44" i="61"/>
  <c r="K109" i="63"/>
  <c r="Y109" i="63"/>
  <c r="H86" i="64"/>
  <c r="AA34" i="63"/>
  <c r="AA66" i="63" s="1"/>
  <c r="AB81" i="61"/>
  <c r="M34" i="63"/>
  <c r="M66" i="63" s="1"/>
  <c r="R81" i="64"/>
  <c r="N86" i="61"/>
  <c r="U109" i="63"/>
  <c r="R86" i="64"/>
  <c r="AL27" i="61"/>
  <c r="AL69" i="61" s="1"/>
  <c r="AE27" i="61"/>
  <c r="AE52" i="61" s="1"/>
  <c r="AO78" i="61"/>
  <c r="U27" i="61"/>
  <c r="U69" i="61" s="1"/>
  <c r="AI27" i="61"/>
  <c r="U34" i="63"/>
  <c r="U89" i="63" s="1"/>
  <c r="AP44" i="64"/>
  <c r="AA27" i="61"/>
  <c r="AA69" i="61" s="1"/>
  <c r="E34" i="63"/>
  <c r="E66" i="63" s="1"/>
  <c r="K34" i="63"/>
  <c r="K66" i="63" s="1"/>
  <c r="T81" i="64"/>
  <c r="O27" i="61"/>
  <c r="O69" i="61" s="1"/>
  <c r="U60" i="63"/>
  <c r="AA64" i="64"/>
  <c r="AA66" i="64" s="1"/>
  <c r="AD27" i="61"/>
  <c r="AD35" i="61" s="1"/>
  <c r="H34" i="63"/>
  <c r="H66" i="63" s="1"/>
  <c r="N34" i="63"/>
  <c r="N66" i="63" s="1"/>
  <c r="R27" i="61"/>
  <c r="R52" i="61" s="1"/>
  <c r="I34" i="63"/>
  <c r="I66" i="63" s="1"/>
  <c r="O34" i="63"/>
  <c r="O89" i="63" s="1"/>
  <c r="U27" i="64"/>
  <c r="U52" i="64" s="1"/>
  <c r="T86" i="64"/>
  <c r="AD81" i="61"/>
  <c r="T27" i="61"/>
  <c r="T69" i="61" s="1"/>
  <c r="AH27" i="61"/>
  <c r="AH52" i="61" s="1"/>
  <c r="R34" i="63"/>
  <c r="R89" i="63" s="1"/>
  <c r="I115" i="63"/>
  <c r="V27" i="61"/>
  <c r="V69" i="61" s="1"/>
  <c r="AJ27" i="61"/>
  <c r="AJ35" i="61" s="1"/>
  <c r="AO61" i="64"/>
  <c r="I109" i="63"/>
  <c r="AC11" i="61"/>
  <c r="I27" i="64"/>
  <c r="I69" i="64" s="1"/>
  <c r="N81" i="64"/>
  <c r="W27" i="64"/>
  <c r="W52" i="64" s="1"/>
  <c r="M115" i="63"/>
  <c r="K60" i="63"/>
  <c r="J81" i="64"/>
  <c r="I11" i="61"/>
  <c r="O11" i="61"/>
  <c r="R63" i="61"/>
  <c r="Z81" i="61"/>
  <c r="AA103" i="61"/>
  <c r="X27" i="64"/>
  <c r="X29" i="64" s="1"/>
  <c r="T81" i="61"/>
  <c r="AB64" i="61"/>
  <c r="AB66" i="61" s="1"/>
  <c r="Q27" i="64"/>
  <c r="Q69" i="64" s="1"/>
  <c r="F80" i="61"/>
  <c r="L86" i="61"/>
  <c r="T11" i="61"/>
  <c r="F83" i="63"/>
  <c r="F85" i="63" s="1"/>
  <c r="J86" i="64"/>
  <c r="K27" i="64"/>
  <c r="K35" i="64" s="1"/>
  <c r="F86" i="61"/>
  <c r="I81" i="61"/>
  <c r="M86" i="61"/>
  <c r="M27" i="61"/>
  <c r="M27" i="62" s="1"/>
  <c r="M29" i="62" s="1"/>
  <c r="AA11" i="61"/>
  <c r="N27" i="64"/>
  <c r="N52" i="64" s="1"/>
  <c r="M81" i="64"/>
  <c r="S86" i="64"/>
  <c r="T47" i="61"/>
  <c r="W11" i="61"/>
  <c r="E82" i="63"/>
  <c r="G63" i="64"/>
  <c r="S34" i="63"/>
  <c r="S89" i="63" s="1"/>
  <c r="R27" i="64"/>
  <c r="R69" i="64" s="1"/>
  <c r="N27" i="61"/>
  <c r="N69" i="61" s="1"/>
  <c r="P47" i="61"/>
  <c r="U81" i="61"/>
  <c r="W103" i="61"/>
  <c r="AE64" i="61"/>
  <c r="E109" i="63"/>
  <c r="E111" i="63" s="1"/>
  <c r="H82" i="63"/>
  <c r="F63" i="64"/>
  <c r="G27" i="64"/>
  <c r="G52" i="64" s="1"/>
  <c r="J27" i="64"/>
  <c r="K47" i="64"/>
  <c r="M47" i="64"/>
  <c r="Q81" i="64"/>
  <c r="T27" i="64"/>
  <c r="T69" i="64" s="1"/>
  <c r="M27" i="64"/>
  <c r="M52" i="64" s="1"/>
  <c r="AE81" i="64"/>
  <c r="M47" i="61"/>
  <c r="AC64" i="61"/>
  <c r="O61" i="62"/>
  <c r="O63" i="62" s="1"/>
  <c r="F27" i="61"/>
  <c r="F52" i="61" s="1"/>
  <c r="G81" i="61"/>
  <c r="L11" i="61"/>
  <c r="M86" i="64"/>
  <c r="AA86" i="64"/>
  <c r="N63" i="61"/>
  <c r="G86" i="61"/>
  <c r="F11" i="61"/>
  <c r="M11" i="61"/>
  <c r="O63" i="61"/>
  <c r="U11" i="61"/>
  <c r="AB47" i="61"/>
  <c r="AH11" i="61"/>
  <c r="F27" i="64"/>
  <c r="F52" i="64" s="1"/>
  <c r="J63" i="64"/>
  <c r="J47" i="64"/>
  <c r="G11" i="61"/>
  <c r="H27" i="61"/>
  <c r="H35" i="61" s="1"/>
  <c r="O81" i="61"/>
  <c r="AE47" i="61"/>
  <c r="AJ47" i="61"/>
  <c r="K81" i="64"/>
  <c r="Q60" i="63"/>
  <c r="N47" i="64"/>
  <c r="X81" i="64"/>
  <c r="E21" i="76"/>
  <c r="E29" i="76" s="1"/>
  <c r="A130" i="55"/>
  <c r="I130" i="55" s="1"/>
  <c r="O89" i="55"/>
  <c r="M89" i="55"/>
  <c r="L89" i="55"/>
  <c r="K89" i="55"/>
  <c r="B40" i="55"/>
  <c r="Q89" i="55"/>
  <c r="AB27" i="61"/>
  <c r="L34" i="63"/>
  <c r="L89" i="63" s="1"/>
  <c r="S27" i="61"/>
  <c r="S69" i="61" s="1"/>
  <c r="AG27" i="61"/>
  <c r="AG35" i="61" s="1"/>
  <c r="AP44" i="61"/>
  <c r="R109" i="63"/>
  <c r="AA81" i="61"/>
  <c r="T109" i="63"/>
  <c r="V115" i="63"/>
  <c r="T34" i="63"/>
  <c r="T89" i="63" s="1"/>
  <c r="F34" i="63"/>
  <c r="F66" i="63" s="1"/>
  <c r="O27" i="66"/>
  <c r="O29" i="66" s="1"/>
  <c r="AP57" i="63"/>
  <c r="Y27" i="64"/>
  <c r="Y52" i="64" s="1"/>
  <c r="Y47" i="64"/>
  <c r="Y49" i="64" s="1"/>
  <c r="T82" i="63"/>
  <c r="Y46" i="64"/>
  <c r="AI81" i="61"/>
  <c r="V34" i="63"/>
  <c r="V89" i="63" s="1"/>
  <c r="AP80" i="63"/>
  <c r="R115" i="63"/>
  <c r="X34" i="63"/>
  <c r="X89" i="63" s="1"/>
  <c r="AC47" i="64"/>
  <c r="AC49" i="64" s="1"/>
  <c r="W34" i="63"/>
  <c r="W89" i="63" s="1"/>
  <c r="AB27" i="64"/>
  <c r="AB29" i="64" s="1"/>
  <c r="AH27" i="65"/>
  <c r="AC27" i="64"/>
  <c r="AC29" i="64" s="1"/>
  <c r="AO44" i="64"/>
  <c r="AB46" i="64"/>
  <c r="AO46" i="64" s="1"/>
  <c r="AN64" i="65"/>
  <c r="AA47" i="64"/>
  <c r="AA49" i="64" s="1"/>
  <c r="AA27" i="64"/>
  <c r="AA69" i="64" s="1"/>
  <c r="AA81" i="64"/>
  <c r="AP106" i="63"/>
  <c r="U47" i="63"/>
  <c r="AB47" i="64"/>
  <c r="AB49" i="64" s="1"/>
  <c r="E47" i="63"/>
  <c r="AD45" i="63"/>
  <c r="AF86" i="64"/>
  <c r="H41" i="63"/>
  <c r="H42" i="63" s="1"/>
  <c r="V109" i="63"/>
  <c r="Z27" i="64"/>
  <c r="Z29" i="64" s="1"/>
  <c r="Y83" i="63"/>
  <c r="Y85" i="63" s="1"/>
  <c r="AE47" i="64"/>
  <c r="AE49" i="64" s="1"/>
  <c r="AB34" i="63"/>
  <c r="AB89" i="63" s="1"/>
  <c r="AC64" i="64"/>
  <c r="AC66" i="64" s="1"/>
  <c r="AD34" i="63"/>
  <c r="AD89" i="63" s="1"/>
  <c r="AH86" i="64"/>
  <c r="AE109" i="63"/>
  <c r="Y34" i="63"/>
  <c r="Y66" i="63" s="1"/>
  <c r="AJ27" i="64"/>
  <c r="AJ52" i="64" s="1"/>
  <c r="AO106" i="63"/>
  <c r="AO57" i="63"/>
  <c r="AO78" i="64"/>
  <c r="AG27" i="64"/>
  <c r="AG64" i="64"/>
  <c r="AG66" i="64" s="1"/>
  <c r="AG63" i="64"/>
  <c r="AB115" i="63"/>
  <c r="AC34" i="63"/>
  <c r="AC66" i="63" s="1"/>
  <c r="AD64" i="64"/>
  <c r="AD66" i="64" s="1"/>
  <c r="AC83" i="63"/>
  <c r="AJ81" i="64"/>
  <c r="AJ83" i="64" s="1"/>
  <c r="I5" i="28"/>
  <c r="P7" i="32"/>
  <c r="Q7" i="32"/>
  <c r="CQ8" i="54"/>
  <c r="DC8" i="54"/>
  <c r="BG8" i="54"/>
  <c r="AI8" i="54"/>
  <c r="AU8" i="54"/>
  <c r="W8" i="54"/>
  <c r="CE8" i="54"/>
  <c r="K8" i="54"/>
  <c r="AI81" i="64"/>
  <c r="AI83" i="64" s="1"/>
  <c r="AD81" i="64"/>
  <c r="D29" i="76"/>
  <c r="K57" i="76"/>
  <c r="N57" i="76"/>
  <c r="I57" i="76"/>
  <c r="H57" i="76"/>
  <c r="M57" i="76"/>
  <c r="O57" i="76"/>
  <c r="E51" i="76"/>
  <c r="E55" i="76" s="1"/>
  <c r="G51" i="76"/>
  <c r="G55" i="76" s="1"/>
  <c r="F51" i="76"/>
  <c r="F55" i="76" s="1"/>
  <c r="G50" i="76"/>
  <c r="G54" i="76" s="1"/>
  <c r="F50" i="76"/>
  <c r="F54" i="76" s="1"/>
  <c r="E50" i="76"/>
  <c r="E54" i="76" s="1"/>
  <c r="D50" i="76"/>
  <c r="D54" i="76" s="1"/>
  <c r="AF34" i="63"/>
  <c r="AF43" i="63" s="1"/>
  <c r="AF81" i="64"/>
  <c r="AF109" i="63"/>
  <c r="AJ34" i="63"/>
  <c r="AJ89" i="63" s="1"/>
  <c r="AH47" i="64"/>
  <c r="AH49" i="64" s="1"/>
  <c r="P40" i="76"/>
  <c r="P47" i="76"/>
  <c r="D69" i="76"/>
  <c r="P74" i="76"/>
  <c r="D57" i="76"/>
  <c r="D42" i="76"/>
  <c r="F18" i="76"/>
  <c r="F26" i="76" s="1"/>
  <c r="P26" i="76"/>
  <c r="AI64" i="64"/>
  <c r="AI66" i="64" s="1"/>
  <c r="AL60" i="63"/>
  <c r="AD27" i="64"/>
  <c r="AD29" i="64" s="1"/>
  <c r="AC98" i="66"/>
  <c r="AJ115" i="63"/>
  <c r="AG115" i="63"/>
  <c r="AG86" i="64"/>
  <c r="AN27" i="65"/>
  <c r="AN52" i="65" s="1"/>
  <c r="AN47" i="65"/>
  <c r="AH27" i="64"/>
  <c r="AH35" i="64" s="1"/>
  <c r="AE27" i="64"/>
  <c r="AE69" i="64" s="1"/>
  <c r="AH34" i="63"/>
  <c r="AH89" i="63" s="1"/>
  <c r="AM64" i="64"/>
  <c r="AM66" i="64" s="1"/>
  <c r="AH63" i="64"/>
  <c r="AC47" i="65"/>
  <c r="AD60" i="63"/>
  <c r="AN47" i="64"/>
  <c r="AN49" i="64" s="1"/>
  <c r="L11" i="65"/>
  <c r="L13" i="65" s="1"/>
  <c r="AG109" i="63"/>
  <c r="AN80" i="3"/>
  <c r="AD42" i="35"/>
  <c r="C82" i="3"/>
  <c r="C83" i="3" s="1"/>
  <c r="C84" i="3" s="1"/>
  <c r="C85" i="3" s="1"/>
  <c r="C86" i="3" s="1"/>
  <c r="C87" i="3" s="1"/>
  <c r="C88" i="3" s="1"/>
  <c r="C89" i="3" s="1"/>
  <c r="C90" i="3" s="1"/>
  <c r="C92" i="3" s="1"/>
  <c r="C69" i="3"/>
  <c r="AM53" i="3"/>
  <c r="AL4" i="3"/>
  <c r="AM30" i="3"/>
  <c r="AM101" i="3"/>
  <c r="A6" i="26"/>
  <c r="AM77" i="3"/>
  <c r="H44" i="63"/>
  <c r="E102" i="63"/>
  <c r="X44" i="63"/>
  <c r="AL59" i="57"/>
  <c r="AL24" i="57"/>
  <c r="AL77" i="57"/>
  <c r="AL41" i="57"/>
  <c r="Z86" i="65"/>
  <c r="T98" i="64"/>
  <c r="V103" i="64"/>
  <c r="Z48" i="63"/>
  <c r="N34" i="65"/>
  <c r="Q44" i="63"/>
  <c r="N81" i="65"/>
  <c r="N83" i="65" s="1"/>
  <c r="U86" i="65"/>
  <c r="M131" i="55"/>
  <c r="AA138" i="63"/>
  <c r="A8" i="32"/>
  <c r="T83" i="63"/>
  <c r="T85" i="63" s="1"/>
  <c r="AO95" i="64"/>
  <c r="K131" i="55"/>
  <c r="AH81" i="65"/>
  <c r="L52" i="61"/>
  <c r="L35" i="61"/>
  <c r="V60" i="63"/>
  <c r="Z45" i="63"/>
  <c r="AL86" i="65"/>
  <c r="AO41" i="65"/>
  <c r="E34" i="64"/>
  <c r="AC132" i="63"/>
  <c r="AN80" i="57"/>
  <c r="AN66" i="57"/>
  <c r="AM77" i="58"/>
  <c r="AN77" i="58"/>
  <c r="AN41" i="58"/>
  <c r="AM59" i="58"/>
  <c r="AN59" i="58"/>
  <c r="AN24" i="58"/>
  <c r="I131" i="55"/>
  <c r="Q131" i="55"/>
  <c r="AD23" i="35"/>
  <c r="Y45" i="63"/>
  <c r="AA83" i="63"/>
  <c r="AA85" i="63" s="1"/>
  <c r="AE31" i="63"/>
  <c r="AK48" i="63"/>
  <c r="M24" i="65"/>
  <c r="AO80" i="63"/>
  <c r="V24" i="61"/>
  <c r="V30" i="61" s="1"/>
  <c r="S45" i="63"/>
  <c r="X98" i="64"/>
  <c r="AM27" i="64"/>
  <c r="AM47" i="64"/>
  <c r="AM49" i="64" s="1"/>
  <c r="AK47" i="63"/>
  <c r="AF27" i="64"/>
  <c r="AF29" i="64" s="1"/>
  <c r="AK47" i="64"/>
  <c r="AK49" i="64" s="1"/>
  <c r="X11" i="65"/>
  <c r="AF24" i="61"/>
  <c r="AF30" i="61" s="1"/>
  <c r="E132" i="63"/>
  <c r="I64" i="64"/>
  <c r="I66" i="64" s="1"/>
  <c r="AM109" i="63"/>
  <c r="AM60" i="63"/>
  <c r="AI34" i="63"/>
  <c r="M11" i="65"/>
  <c r="M13" i="65" s="1"/>
  <c r="Y11" i="65"/>
  <c r="AG38" i="35"/>
  <c r="AN25" i="57"/>
  <c r="L27" i="62"/>
  <c r="L29" i="62" s="1"/>
  <c r="I24" i="64"/>
  <c r="I30" i="64" s="1"/>
  <c r="Y132" i="63"/>
  <c r="AA109" i="63"/>
  <c r="AG34" i="61"/>
  <c r="AK24" i="65"/>
  <c r="Q34" i="65"/>
  <c r="R43" i="63"/>
  <c r="V31" i="63"/>
  <c r="V132" i="63"/>
  <c r="V34" i="64"/>
  <c r="T86" i="65"/>
  <c r="AN34" i="65"/>
  <c r="K44" i="63"/>
  <c r="T98" i="62"/>
  <c r="V48" i="63"/>
  <c r="X34" i="65"/>
  <c r="AO68" i="65"/>
  <c r="AL34" i="65"/>
  <c r="A6" i="54"/>
  <c r="AA34" i="61"/>
  <c r="P109" i="63"/>
  <c r="W11" i="63"/>
  <c r="J47" i="65"/>
  <c r="J49" i="65" s="1"/>
  <c r="AO102" i="66"/>
  <c r="Z98" i="65"/>
  <c r="W132" i="63"/>
  <c r="AO51" i="65"/>
  <c r="AH35" i="65"/>
  <c r="AA60" i="63"/>
  <c r="AD41" i="63"/>
  <c r="AD42" i="63" s="1"/>
  <c r="AG24" i="64"/>
  <c r="W11" i="65"/>
  <c r="AB27" i="65"/>
  <c r="AB52" i="65" s="1"/>
  <c r="AC11" i="65"/>
  <c r="AI47" i="65"/>
  <c r="K34" i="61"/>
  <c r="L45" i="63"/>
  <c r="M64" i="64"/>
  <c r="M66" i="64" s="1"/>
  <c r="AP78" i="64"/>
  <c r="AP61" i="64"/>
  <c r="W86" i="65"/>
  <c r="AE47" i="65"/>
  <c r="AF34" i="65"/>
  <c r="E27" i="61"/>
  <c r="E27" i="62" s="1"/>
  <c r="E8" i="62" s="1"/>
  <c r="F11" i="64"/>
  <c r="X66" i="63"/>
  <c r="V98" i="62"/>
  <c r="AJ48" i="63"/>
  <c r="AN45" i="63"/>
  <c r="AK34" i="64"/>
  <c r="E64" i="65"/>
  <c r="E66" i="65" s="1"/>
  <c r="AD47" i="65"/>
  <c r="T45" i="63"/>
  <c r="R98" i="65"/>
  <c r="F11" i="63"/>
  <c r="K48" i="63"/>
  <c r="R138" i="63"/>
  <c r="T98" i="66"/>
  <c r="AA47" i="65"/>
  <c r="AO51" i="64"/>
  <c r="X132" i="63"/>
  <c r="AG11" i="64"/>
  <c r="AG13" i="64" s="1"/>
  <c r="R98" i="67"/>
  <c r="AO102" i="65"/>
  <c r="AG81" i="65"/>
  <c r="H47" i="63"/>
  <c r="AK11" i="64"/>
  <c r="AK13" i="64" s="1"/>
  <c r="V47" i="65"/>
  <c r="AD64" i="65"/>
  <c r="AN24" i="61"/>
  <c r="I89" i="63"/>
  <c r="M89" i="63"/>
  <c r="AB45" i="63"/>
  <c r="I43" i="63"/>
  <c r="AN34" i="64"/>
  <c r="H34" i="61"/>
  <c r="V35" i="61"/>
  <c r="AF34" i="61"/>
  <c r="J47" i="63"/>
  <c r="P64" i="64"/>
  <c r="P66" i="64" s="1"/>
  <c r="U98" i="62"/>
  <c r="AF48" i="63"/>
  <c r="K34" i="65"/>
  <c r="AE24" i="65"/>
  <c r="AJ86" i="65"/>
  <c r="P24" i="61"/>
  <c r="P30" i="61" s="1"/>
  <c r="I47" i="63"/>
  <c r="AN16" i="3"/>
  <c r="K60" i="61"/>
  <c r="T48" i="63"/>
  <c r="X45" i="63"/>
  <c r="AD83" i="63"/>
  <c r="AI27" i="64"/>
  <c r="AI52" i="64" s="1"/>
  <c r="AE83" i="63"/>
  <c r="AI34" i="65"/>
  <c r="AL81" i="65"/>
  <c r="L34" i="61"/>
  <c r="V34" i="61"/>
  <c r="AN81" i="61"/>
  <c r="E41" i="63"/>
  <c r="E42" i="63" s="1"/>
  <c r="G64" i="64"/>
  <c r="G66" i="64" s="1"/>
  <c r="AG44" i="63"/>
  <c r="AI11" i="64"/>
  <c r="AI13" i="64" s="1"/>
  <c r="AG34" i="63"/>
  <c r="AG43" i="63" s="1"/>
  <c r="Q81" i="65"/>
  <c r="Q83" i="65" s="1"/>
  <c r="V24" i="65"/>
  <c r="Y103" i="65"/>
  <c r="AJ64" i="65"/>
  <c r="AA35" i="61"/>
  <c r="S34" i="64"/>
  <c r="V63" i="64"/>
  <c r="AP63" i="64" s="1"/>
  <c r="AO126" i="63"/>
  <c r="AH45" i="63"/>
  <c r="K63" i="65"/>
  <c r="AC64" i="65"/>
  <c r="J24" i="64"/>
  <c r="J30" i="64" s="1"/>
  <c r="P47" i="63"/>
  <c r="Q45" i="63"/>
  <c r="AC44" i="63"/>
  <c r="AJ24" i="64"/>
  <c r="K24" i="61"/>
  <c r="K30" i="61" s="1"/>
  <c r="O34" i="61"/>
  <c r="F45" i="63"/>
  <c r="AN86" i="64"/>
  <c r="J11" i="65"/>
  <c r="J13" i="65" s="1"/>
  <c r="AN11" i="3"/>
  <c r="AP8" i="64"/>
  <c r="AP52" i="64" s="1"/>
  <c r="AI86" i="65"/>
  <c r="A7" i="31"/>
  <c r="S69" i="64"/>
  <c r="W31" i="63"/>
  <c r="Z34" i="63"/>
  <c r="Y86" i="64"/>
  <c r="AB44" i="63"/>
  <c r="AE48" i="63"/>
  <c r="M34" i="65"/>
  <c r="AE11" i="65"/>
  <c r="X83" i="63"/>
  <c r="X85" i="63" s="1"/>
  <c r="AB132" i="63"/>
  <c r="AE44" i="63"/>
  <c r="AI60" i="63"/>
  <c r="K44" i="67"/>
  <c r="K46" i="67" s="1"/>
  <c r="Q41" i="63"/>
  <c r="Q42" i="63" s="1"/>
  <c r="Z82" i="63"/>
  <c r="AO64" i="63"/>
  <c r="AB48" i="63"/>
  <c r="Y81" i="64"/>
  <c r="G78" i="67"/>
  <c r="G80" i="67" s="1"/>
  <c r="I46" i="65"/>
  <c r="AB47" i="65"/>
  <c r="AF27" i="65"/>
  <c r="AF35" i="65" s="1"/>
  <c r="T98" i="67"/>
  <c r="S34" i="65"/>
  <c r="T11" i="65"/>
  <c r="T13" i="65" s="1"/>
  <c r="Y34" i="65"/>
  <c r="AO44" i="65"/>
  <c r="AL34" i="63"/>
  <c r="AL66" i="63" s="1"/>
  <c r="F64" i="65"/>
  <c r="F66" i="65" s="1"/>
  <c r="N24" i="65"/>
  <c r="O34" i="65"/>
  <c r="Y34" i="61"/>
  <c r="AA47" i="63"/>
  <c r="Y11" i="64"/>
  <c r="AF47" i="63"/>
  <c r="AC98" i="64"/>
  <c r="AM47" i="63"/>
  <c r="AM45" i="63"/>
  <c r="E61" i="67"/>
  <c r="E63" i="67" s="1"/>
  <c r="O47" i="65"/>
  <c r="O49" i="65" s="1"/>
  <c r="R24" i="65"/>
  <c r="AA98" i="67"/>
  <c r="AM64" i="65"/>
  <c r="J11" i="64"/>
  <c r="AL47" i="65"/>
  <c r="Z52" i="61"/>
  <c r="AA98" i="61"/>
  <c r="X41" i="63"/>
  <c r="X42" i="63" s="1"/>
  <c r="AA34" i="64"/>
  <c r="E63" i="65"/>
  <c r="AO95" i="67"/>
  <c r="AE34" i="65"/>
  <c r="L131" i="55"/>
  <c r="AG58" i="35"/>
  <c r="AH115" i="63"/>
  <c r="AI81" i="65"/>
  <c r="AK81" i="65"/>
  <c r="AN24" i="65"/>
  <c r="Q34" i="61"/>
  <c r="Y52" i="61"/>
  <c r="M45" i="63"/>
  <c r="N45" i="63"/>
  <c r="O35" i="64"/>
  <c r="R11" i="64"/>
  <c r="T34" i="64"/>
  <c r="Z83" i="63"/>
  <c r="Z85" i="63" s="1"/>
  <c r="Y34" i="64"/>
  <c r="AE34" i="63"/>
  <c r="AE89" i="63" s="1"/>
  <c r="AD44" i="63"/>
  <c r="AC81" i="64"/>
  <c r="AN48" i="63"/>
  <c r="AE34" i="64"/>
  <c r="AH10" i="64"/>
  <c r="AM31" i="63"/>
  <c r="AD86" i="61"/>
  <c r="AD86" i="64"/>
  <c r="G24" i="65"/>
  <c r="O24" i="65"/>
  <c r="Z64" i="65"/>
  <c r="Z66" i="65" s="1"/>
  <c r="A6" i="28"/>
  <c r="F81" i="61"/>
  <c r="F83" i="61" s="1"/>
  <c r="F34" i="61"/>
  <c r="L24" i="61"/>
  <c r="L30" i="61" s="1"/>
  <c r="AP14" i="61"/>
  <c r="Y98" i="61"/>
  <c r="AO51" i="61"/>
  <c r="E48" i="63"/>
  <c r="O52" i="64"/>
  <c r="Q48" i="63"/>
  <c r="S103" i="64"/>
  <c r="AO102" i="62"/>
  <c r="AF64" i="64"/>
  <c r="AF66" i="64" s="1"/>
  <c r="AE86" i="61"/>
  <c r="Q47" i="65"/>
  <c r="Q49" i="65" s="1"/>
  <c r="R47" i="65"/>
  <c r="R49" i="65" s="1"/>
  <c r="R64" i="65"/>
  <c r="R66" i="65" s="1"/>
  <c r="Z24" i="65"/>
  <c r="AB98" i="66"/>
  <c r="W35" i="61"/>
  <c r="AL34" i="61"/>
  <c r="E81" i="64"/>
  <c r="E83" i="64" s="1"/>
  <c r="L35" i="64"/>
  <c r="T132" i="63"/>
  <c r="U45" i="63"/>
  <c r="AP41" i="64"/>
  <c r="AP47" i="64" s="1"/>
  <c r="T11" i="64"/>
  <c r="W41" i="63"/>
  <c r="W42" i="63" s="1"/>
  <c r="W98" i="64"/>
  <c r="Z98" i="62"/>
  <c r="AC109" i="63"/>
  <c r="AG60" i="63"/>
  <c r="AM44" i="63"/>
  <c r="AM86" i="64"/>
  <c r="G34" i="65"/>
  <c r="S27" i="65"/>
  <c r="S35" i="65" s="1"/>
  <c r="X98" i="65"/>
  <c r="AA81" i="65"/>
  <c r="AB103" i="65"/>
  <c r="P69" i="61"/>
  <c r="P34" i="61"/>
  <c r="R34" i="61"/>
  <c r="R98" i="61"/>
  <c r="X64" i="61"/>
  <c r="X66" i="61" s="1"/>
  <c r="W98" i="61"/>
  <c r="AO68" i="61"/>
  <c r="AJ81" i="61"/>
  <c r="AN47" i="61"/>
  <c r="AN64" i="61"/>
  <c r="I34" i="64"/>
  <c r="M47" i="63"/>
  <c r="M44" i="63"/>
  <c r="N48" i="63"/>
  <c r="N47" i="63"/>
  <c r="O47" i="63"/>
  <c r="N34" i="64"/>
  <c r="S64" i="64"/>
  <c r="S66" i="64" s="1"/>
  <c r="AP102" i="62"/>
  <c r="S24" i="64"/>
  <c r="S30" i="64" s="1"/>
  <c r="X48" i="63"/>
  <c r="U34" i="64"/>
  <c r="AB31" i="63"/>
  <c r="AA132" i="63"/>
  <c r="AO63" i="64"/>
  <c r="AB11" i="64"/>
  <c r="AN44" i="63"/>
  <c r="AJ64" i="64"/>
  <c r="AJ66" i="64" s="1"/>
  <c r="AG47" i="64"/>
  <c r="AG49" i="64" s="1"/>
  <c r="E86" i="65"/>
  <c r="L24" i="65"/>
  <c r="L81" i="65"/>
  <c r="L83" i="65" s="1"/>
  <c r="P24" i="65"/>
  <c r="S24" i="65"/>
  <c r="U11" i="65"/>
  <c r="U27" i="65"/>
  <c r="U35" i="65" s="1"/>
  <c r="AB34" i="65"/>
  <c r="N52" i="61"/>
  <c r="R64" i="61"/>
  <c r="R66" i="61" s="1"/>
  <c r="X24" i="61"/>
  <c r="X30" i="61" s="1"/>
  <c r="AB34" i="61"/>
  <c r="AH24" i="61"/>
  <c r="AH30" i="61" s="1"/>
  <c r="G47" i="63"/>
  <c r="G45" i="63"/>
  <c r="I48" i="63"/>
  <c r="J34" i="64"/>
  <c r="P41" i="63"/>
  <c r="P42" i="63" s="1"/>
  <c r="Q66" i="63"/>
  <c r="R48" i="63"/>
  <c r="AP92" i="62"/>
  <c r="S44" i="63"/>
  <c r="P34" i="64"/>
  <c r="AP95" i="64"/>
  <c r="W11" i="64"/>
  <c r="W34" i="64"/>
  <c r="AB41" i="63"/>
  <c r="AB42" i="63" s="1"/>
  <c r="Y103" i="64"/>
  <c r="AO85" i="64"/>
  <c r="AE11" i="63"/>
  <c r="AG48" i="63"/>
  <c r="AD24" i="64"/>
  <c r="AF63" i="64"/>
  <c r="AI45" i="63"/>
  <c r="AL109" i="63"/>
  <c r="AM83" i="63"/>
  <c r="AK27" i="64"/>
  <c r="AK52" i="64" s="1"/>
  <c r="M64" i="65"/>
  <c r="M66" i="65" s="1"/>
  <c r="L78" i="67"/>
  <c r="L80" i="67" s="1"/>
  <c r="O86" i="65"/>
  <c r="Q86" i="65"/>
  <c r="R34" i="65"/>
  <c r="T34" i="65"/>
  <c r="W27" i="65"/>
  <c r="W69" i="65" s="1"/>
  <c r="AA98" i="65"/>
  <c r="P52" i="61"/>
  <c r="P64" i="61"/>
  <c r="P66" i="61" s="1"/>
  <c r="F64" i="64"/>
  <c r="F66" i="64" s="1"/>
  <c r="P24" i="64"/>
  <c r="X47" i="63"/>
  <c r="V24" i="64"/>
  <c r="V30" i="64" s="1"/>
  <c r="V32" i="64" s="1"/>
  <c r="Y98" i="62"/>
  <c r="AB109" i="63"/>
  <c r="AG31" i="63"/>
  <c r="AK45" i="63"/>
  <c r="AJ47" i="64"/>
  <c r="AJ49" i="64" s="1"/>
  <c r="AL44" i="63"/>
  <c r="AI86" i="61"/>
  <c r="R98" i="66"/>
  <c r="T47" i="65"/>
  <c r="T49" i="65" s="1"/>
  <c r="X86" i="65"/>
  <c r="Z98" i="66"/>
  <c r="AL24" i="65"/>
  <c r="L60" i="61"/>
  <c r="O83" i="63"/>
  <c r="O85" i="63" s="1"/>
  <c r="R79" i="63"/>
  <c r="R83" i="63"/>
  <c r="R85" i="63" s="1"/>
  <c r="Y47" i="63"/>
  <c r="AB83" i="63"/>
  <c r="AB85" i="63" s="1"/>
  <c r="X24" i="64"/>
  <c r="AB47" i="63"/>
  <c r="AP5" i="64"/>
  <c r="J44" i="67"/>
  <c r="J46" i="67" s="1"/>
  <c r="P11" i="65"/>
  <c r="P13" i="65" s="1"/>
  <c r="V81" i="65"/>
  <c r="AJ81" i="65"/>
  <c r="AM24" i="65"/>
  <c r="H24" i="61"/>
  <c r="AN11" i="61"/>
  <c r="H69" i="64"/>
  <c r="H27" i="66"/>
  <c r="H29" i="66" s="1"/>
  <c r="H60" i="61"/>
  <c r="AF69" i="61"/>
  <c r="AF35" i="61"/>
  <c r="U52" i="61"/>
  <c r="U47" i="61"/>
  <c r="U24" i="61"/>
  <c r="Z24" i="61"/>
  <c r="E103" i="64"/>
  <c r="E11" i="64"/>
  <c r="M35" i="61"/>
  <c r="M69" i="61"/>
  <c r="T98" i="61"/>
  <c r="AE69" i="61"/>
  <c r="AE35" i="61"/>
  <c r="N41" i="63"/>
  <c r="N42" i="63" s="1"/>
  <c r="N109" i="63"/>
  <c r="AD11" i="63"/>
  <c r="AD115" i="63"/>
  <c r="F35" i="61"/>
  <c r="G60" i="61"/>
  <c r="G64" i="61"/>
  <c r="G66" i="61" s="1"/>
  <c r="S60" i="61"/>
  <c r="S24" i="61"/>
  <c r="W60" i="61"/>
  <c r="W64" i="61"/>
  <c r="W66" i="61" s="1"/>
  <c r="E81" i="61"/>
  <c r="E83" i="61" s="1"/>
  <c r="J60" i="61"/>
  <c r="J64" i="61"/>
  <c r="J66" i="61" s="1"/>
  <c r="G115" i="63"/>
  <c r="G11" i="63"/>
  <c r="Z86" i="61"/>
  <c r="AO8" i="61"/>
  <c r="J34" i="61"/>
  <c r="X34" i="61"/>
  <c r="S86" i="61"/>
  <c r="AP8" i="61"/>
  <c r="AP69" i="61" s="1"/>
  <c r="AP75" i="61"/>
  <c r="AP81" i="61" s="1"/>
  <c r="G69" i="64"/>
  <c r="O41" i="63"/>
  <c r="O42" i="63" s="1"/>
  <c r="AP5" i="63"/>
  <c r="W44" i="63"/>
  <c r="Z132" i="63"/>
  <c r="Z138" i="63"/>
  <c r="AO95" i="62"/>
  <c r="X11" i="64"/>
  <c r="AO14" i="64"/>
  <c r="AH48" i="63"/>
  <c r="AH44" i="63"/>
  <c r="AF11" i="64"/>
  <c r="AJ86" i="64"/>
  <c r="E103" i="65"/>
  <c r="F81" i="65"/>
  <c r="F83" i="65" s="1"/>
  <c r="M86" i="65"/>
  <c r="O81" i="65"/>
  <c r="O83" i="65" s="1"/>
  <c r="AP92" i="67"/>
  <c r="AP102" i="66"/>
  <c r="S86" i="65"/>
  <c r="U24" i="65"/>
  <c r="AC81" i="65"/>
  <c r="AC98" i="61"/>
  <c r="AD11" i="61"/>
  <c r="AI34" i="61"/>
  <c r="G41" i="63"/>
  <c r="G42" i="63" s="1"/>
  <c r="G35" i="64"/>
  <c r="E98" i="64"/>
  <c r="J44" i="63"/>
  <c r="U41" i="63"/>
  <c r="U42" i="63" s="1"/>
  <c r="Q11" i="64"/>
  <c r="AP68" i="64"/>
  <c r="S47" i="64"/>
  <c r="W83" i="63"/>
  <c r="W85" i="63" s="1"/>
  <c r="V47" i="63"/>
  <c r="U35" i="64"/>
  <c r="W48" i="63"/>
  <c r="V52" i="64"/>
  <c r="AA41" i="63"/>
  <c r="AA42" i="63" s="1"/>
  <c r="Z47" i="63"/>
  <c r="W60" i="64"/>
  <c r="AB60" i="63"/>
  <c r="AO5" i="64"/>
  <c r="AO102" i="64"/>
  <c r="AF83" i="63"/>
  <c r="AB34" i="64"/>
  <c r="AJ44" i="63"/>
  <c r="AI34" i="64"/>
  <c r="AN47" i="63"/>
  <c r="AN60" i="63"/>
  <c r="AK10" i="64"/>
  <c r="AL47" i="64"/>
  <c r="AL49" i="64" s="1"/>
  <c r="AL24" i="64"/>
  <c r="AL27" i="64"/>
  <c r="AL35" i="64" s="1"/>
  <c r="H24" i="65"/>
  <c r="J34" i="65"/>
  <c r="K47" i="65"/>
  <c r="K49" i="65" s="1"/>
  <c r="K86" i="65"/>
  <c r="W24" i="65"/>
  <c r="Y24" i="65"/>
  <c r="Y81" i="65"/>
  <c r="Z103" i="65"/>
  <c r="AA11" i="65"/>
  <c r="AO5" i="61"/>
  <c r="Z98" i="61"/>
  <c r="AH34" i="61"/>
  <c r="Y60" i="63"/>
  <c r="AO18" i="63"/>
  <c r="AL81" i="64"/>
  <c r="AL83" i="64" s="1"/>
  <c r="E98" i="67"/>
  <c r="H64" i="65"/>
  <c r="H66" i="65" s="1"/>
  <c r="G86" i="65"/>
  <c r="K11" i="65"/>
  <c r="K13" i="65" s="1"/>
  <c r="P34" i="65"/>
  <c r="T64" i="65"/>
  <c r="T66" i="65" s="1"/>
  <c r="W98" i="67"/>
  <c r="AA98" i="66"/>
  <c r="AO14" i="65"/>
  <c r="AA64" i="65"/>
  <c r="AA66" i="65" s="1"/>
  <c r="AB98" i="65"/>
  <c r="AC34" i="65"/>
  <c r="AC103" i="65"/>
  <c r="AH11" i="65"/>
  <c r="AM34" i="65"/>
  <c r="R24" i="61"/>
  <c r="S103" i="61"/>
  <c r="V52" i="61"/>
  <c r="AI64" i="61"/>
  <c r="AI24" i="61"/>
  <c r="AJ34" i="61"/>
  <c r="E98" i="62"/>
  <c r="K34" i="64"/>
  <c r="P44" i="63"/>
  <c r="S48" i="63"/>
  <c r="S31" i="63"/>
  <c r="S98" i="62"/>
  <c r="U48" i="63"/>
  <c r="U44" i="63"/>
  <c r="AP51" i="64"/>
  <c r="W47" i="63"/>
  <c r="X64" i="64"/>
  <c r="X66" i="64" s="1"/>
  <c r="AA48" i="63"/>
  <c r="Z24" i="64"/>
  <c r="Z30" i="64" s="1"/>
  <c r="Z32" i="64" s="1"/>
  <c r="AO75" i="64"/>
  <c r="AO81" i="64" s="1"/>
  <c r="AD48" i="63"/>
  <c r="AC24" i="64"/>
  <c r="AC30" i="64" s="1"/>
  <c r="AC32" i="64" s="1"/>
  <c r="AG45" i="63"/>
  <c r="AD34" i="64"/>
  <c r="AG46" i="64"/>
  <c r="AM34" i="63"/>
  <c r="AM66" i="63" s="1"/>
  <c r="AN83" i="63"/>
  <c r="H11" i="65"/>
  <c r="H13" i="65" s="1"/>
  <c r="I47" i="65"/>
  <c r="I49" i="65" s="1"/>
  <c r="J63" i="65"/>
  <c r="M80" i="65"/>
  <c r="S81" i="65"/>
  <c r="S83" i="65" s="1"/>
  <c r="T24" i="65"/>
  <c r="V11" i="65"/>
  <c r="V34" i="65"/>
  <c r="AA24" i="65"/>
  <c r="AD86" i="65"/>
  <c r="AF64" i="65"/>
  <c r="AM47" i="65"/>
  <c r="I52" i="64"/>
  <c r="K47" i="63"/>
  <c r="N44" i="63"/>
  <c r="O44" i="63"/>
  <c r="R47" i="63"/>
  <c r="S98" i="64"/>
  <c r="W24" i="64"/>
  <c r="W30" i="64" s="1"/>
  <c r="W32" i="64" s="1"/>
  <c r="AO100" i="63"/>
  <c r="AA79" i="63"/>
  <c r="Z98" i="64"/>
  <c r="AM48" i="63"/>
  <c r="AM34" i="64"/>
  <c r="G11" i="65"/>
  <c r="G13" i="65" s="1"/>
  <c r="H47" i="65"/>
  <c r="H49" i="65" s="1"/>
  <c r="H34" i="65"/>
  <c r="I24" i="65"/>
  <c r="L60" i="65"/>
  <c r="S103" i="65"/>
  <c r="T81" i="65"/>
  <c r="T83" i="65" s="1"/>
  <c r="V64" i="65"/>
  <c r="V66" i="65" s="1"/>
  <c r="Y98" i="66"/>
  <c r="AN11" i="65"/>
  <c r="O64" i="61"/>
  <c r="O66" i="61" s="1"/>
  <c r="AC34" i="61"/>
  <c r="AN69" i="61"/>
  <c r="E45" i="63"/>
  <c r="F109" i="63"/>
  <c r="F111" i="63" s="1"/>
  <c r="F31" i="63"/>
  <c r="F47" i="63"/>
  <c r="G48" i="63"/>
  <c r="J48" i="63"/>
  <c r="G11" i="64"/>
  <c r="I27" i="66"/>
  <c r="I29" i="66" s="1"/>
  <c r="K45" i="63"/>
  <c r="L44" i="63"/>
  <c r="M48" i="63"/>
  <c r="M11" i="64"/>
  <c r="T41" i="63"/>
  <c r="T42" i="63" s="1"/>
  <c r="AP75" i="64"/>
  <c r="W109" i="63"/>
  <c r="V44" i="63"/>
  <c r="AL45" i="63"/>
  <c r="AL11" i="63"/>
  <c r="AN31" i="63"/>
  <c r="H44" i="67"/>
  <c r="H46" i="67" s="1"/>
  <c r="O80" i="65"/>
  <c r="P27" i="65"/>
  <c r="P69" i="65" s="1"/>
  <c r="AP14" i="65"/>
  <c r="Z47" i="65"/>
  <c r="AB64" i="65"/>
  <c r="AB66" i="65" s="1"/>
  <c r="AD34" i="65"/>
  <c r="AF47" i="65"/>
  <c r="AJ34" i="65"/>
  <c r="AK27" i="65"/>
  <c r="AK69" i="65" s="1"/>
  <c r="V98" i="61"/>
  <c r="AB60" i="61"/>
  <c r="AE11" i="61"/>
  <c r="H48" i="63"/>
  <c r="J45" i="63"/>
  <c r="N60" i="63"/>
  <c r="M34" i="64"/>
  <c r="S83" i="63"/>
  <c r="S85" i="63" s="1"/>
  <c r="AP95" i="62"/>
  <c r="T47" i="63"/>
  <c r="R103" i="64"/>
  <c r="AP92" i="64"/>
  <c r="Z44" i="63"/>
  <c r="AO14" i="63"/>
  <c r="AA31" i="63"/>
  <c r="X34" i="64"/>
  <c r="AB64" i="64"/>
  <c r="AB66" i="64" s="1"/>
  <c r="AE47" i="63"/>
  <c r="AL47" i="63"/>
  <c r="AF24" i="64"/>
  <c r="F11" i="65"/>
  <c r="F13" i="65" s="1"/>
  <c r="N64" i="65"/>
  <c r="N66" i="65" s="1"/>
  <c r="O11" i="65"/>
  <c r="O13" i="65" s="1"/>
  <c r="Q11" i="65"/>
  <c r="Q13" i="65" s="1"/>
  <c r="U98" i="65"/>
  <c r="X64" i="65"/>
  <c r="X66" i="65" s="1"/>
  <c r="AB24" i="65"/>
  <c r="AB81" i="65"/>
  <c r="AF11" i="65"/>
  <c r="AC4" i="60"/>
  <c r="Q52" i="61"/>
  <c r="S34" i="61"/>
  <c r="AP102" i="61"/>
  <c r="Z34" i="61"/>
  <c r="AN35" i="61"/>
  <c r="AN52" i="61"/>
  <c r="AL47" i="61"/>
  <c r="H109" i="63"/>
  <c r="K86" i="64"/>
  <c r="K60" i="64"/>
  <c r="K64" i="64"/>
  <c r="K66" i="64" s="1"/>
  <c r="M24" i="61"/>
  <c r="M34" i="61"/>
  <c r="Q35" i="61"/>
  <c r="V64" i="61"/>
  <c r="V66" i="61" s="1"/>
  <c r="Y24" i="61"/>
  <c r="Y30" i="61" s="1"/>
  <c r="AG81" i="61"/>
  <c r="AK81" i="61"/>
  <c r="AK35" i="61"/>
  <c r="AK52" i="61"/>
  <c r="F86" i="64"/>
  <c r="F35" i="64"/>
  <c r="L83" i="63"/>
  <c r="L85" i="63" s="1"/>
  <c r="L79" i="63"/>
  <c r="E24" i="61"/>
  <c r="E34" i="61"/>
  <c r="L47" i="61"/>
  <c r="V47" i="61"/>
  <c r="U34" i="61"/>
  <c r="W34" i="61"/>
  <c r="Z103" i="61"/>
  <c r="AK69" i="61"/>
  <c r="AK34" i="61"/>
  <c r="AK64" i="61"/>
  <c r="E64" i="64"/>
  <c r="E66" i="64" s="1"/>
  <c r="AC138" i="63"/>
  <c r="AC11" i="63"/>
  <c r="AC115" i="63"/>
  <c r="AO58" i="61"/>
  <c r="AO64" i="61" s="1"/>
  <c r="AB35" i="61"/>
  <c r="AB52" i="61"/>
  <c r="AO14" i="61"/>
  <c r="AD34" i="61"/>
  <c r="E69" i="64"/>
  <c r="E52" i="64"/>
  <c r="E27" i="66"/>
  <c r="G34" i="61"/>
  <c r="N64" i="61"/>
  <c r="N66" i="61" s="1"/>
  <c r="AB24" i="61"/>
  <c r="AC69" i="61"/>
  <c r="AC24" i="61"/>
  <c r="AE34" i="61"/>
  <c r="AF64" i="61"/>
  <c r="AL81" i="61"/>
  <c r="H64" i="64"/>
  <c r="H66" i="64" s="1"/>
  <c r="H60" i="64"/>
  <c r="H24" i="64"/>
  <c r="H30" i="64" s="1"/>
  <c r="AA24" i="61"/>
  <c r="AA30" i="61" s="1"/>
  <c r="AM47" i="61"/>
  <c r="AM24" i="61"/>
  <c r="F48" i="63"/>
  <c r="I79" i="63"/>
  <c r="I83" i="63"/>
  <c r="I85" i="63" s="1"/>
  <c r="J109" i="63"/>
  <c r="N83" i="63"/>
  <c r="N85" i="63" s="1"/>
  <c r="Q115" i="63"/>
  <c r="Q11" i="63"/>
  <c r="H47" i="61"/>
  <c r="N34" i="61"/>
  <c r="AP92" i="61"/>
  <c r="T103" i="61"/>
  <c r="T34" i="61"/>
  <c r="U60" i="61"/>
  <c r="Z60" i="61"/>
  <c r="AC52" i="61"/>
  <c r="AL24" i="61"/>
  <c r="AL64" i="61"/>
  <c r="AN34" i="61"/>
  <c r="F41" i="63"/>
  <c r="F42" i="63" s="1"/>
  <c r="H45" i="63"/>
  <c r="J79" i="63"/>
  <c r="M41" i="63"/>
  <c r="M42" i="63" s="1"/>
  <c r="I31" i="63"/>
  <c r="L11" i="64"/>
  <c r="M27" i="66"/>
  <c r="P45" i="63"/>
  <c r="S66" i="63"/>
  <c r="R11" i="63"/>
  <c r="O64" i="64"/>
  <c r="O66" i="64" s="1"/>
  <c r="AP103" i="63"/>
  <c r="Q64" i="64"/>
  <c r="Q66" i="64" s="1"/>
  <c r="Q24" i="64"/>
  <c r="Y41" i="63"/>
  <c r="Y42" i="63" s="1"/>
  <c r="AC35" i="64"/>
  <c r="AC52" i="64"/>
  <c r="L11" i="63"/>
  <c r="L27" i="66"/>
  <c r="O31" i="63"/>
  <c r="L24" i="64"/>
  <c r="L30" i="64" s="1"/>
  <c r="L60" i="64"/>
  <c r="AP136" i="63"/>
  <c r="R24" i="64"/>
  <c r="T103" i="64"/>
  <c r="AO129" i="63"/>
  <c r="Y44" i="63"/>
  <c r="W103" i="64"/>
  <c r="AB11" i="63"/>
  <c r="Z47" i="64"/>
  <c r="Z49" i="64" s="1"/>
  <c r="AD31" i="63"/>
  <c r="AA60" i="64"/>
  <c r="AO113" i="63"/>
  <c r="AE60" i="63"/>
  <c r="AK44" i="63"/>
  <c r="N24" i="64"/>
  <c r="N30" i="64" s="1"/>
  <c r="R45" i="63"/>
  <c r="AP113" i="63"/>
  <c r="V11" i="64"/>
  <c r="AO114" i="63"/>
  <c r="AO87" i="63"/>
  <c r="Y98" i="64"/>
  <c r="AD109" i="63"/>
  <c r="AF31" i="63"/>
  <c r="AF60" i="63"/>
  <c r="AL48" i="63"/>
  <c r="AJ31" i="63"/>
  <c r="AK11" i="63"/>
  <c r="AK115" i="63"/>
  <c r="AM11" i="61"/>
  <c r="AM34" i="61"/>
  <c r="I44" i="63"/>
  <c r="I45" i="63"/>
  <c r="K83" i="63"/>
  <c r="K85" i="63" s="1"/>
  <c r="H35" i="64"/>
  <c r="K79" i="63"/>
  <c r="L31" i="63"/>
  <c r="H11" i="64"/>
  <c r="K24" i="64"/>
  <c r="K11" i="64"/>
  <c r="Q47" i="63"/>
  <c r="AP14" i="63"/>
  <c r="N11" i="64"/>
  <c r="AP126" i="63"/>
  <c r="T11" i="63"/>
  <c r="U66" i="63"/>
  <c r="T44" i="63"/>
  <c r="R98" i="64"/>
  <c r="R64" i="64"/>
  <c r="R66" i="64" s="1"/>
  <c r="Q34" i="64"/>
  <c r="AP102" i="64"/>
  <c r="W45" i="63"/>
  <c r="AP85" i="64"/>
  <c r="AA98" i="62"/>
  <c r="H34" i="64"/>
  <c r="L48" i="63"/>
  <c r="O66" i="63"/>
  <c r="O45" i="63"/>
  <c r="Q109" i="63"/>
  <c r="O11" i="64"/>
  <c r="AP64" i="63"/>
  <c r="S109" i="63"/>
  <c r="P11" i="64"/>
  <c r="T138" i="63"/>
  <c r="V11" i="63"/>
  <c r="X98" i="62"/>
  <c r="Y24" i="64"/>
  <c r="Y30" i="64" s="1"/>
  <c r="Y32" i="64" s="1"/>
  <c r="AB103" i="64"/>
  <c r="AB35" i="64"/>
  <c r="AB86" i="64"/>
  <c r="AH83" i="63"/>
  <c r="F44" i="63"/>
  <c r="H89" i="63"/>
  <c r="K31" i="63"/>
  <c r="K33" i="63" s="1"/>
  <c r="L47" i="63"/>
  <c r="I11" i="64"/>
  <c r="M11" i="63"/>
  <c r="L34" i="64"/>
  <c r="P48" i="63"/>
  <c r="R34" i="64"/>
  <c r="V83" i="63"/>
  <c r="V85" i="63" s="1"/>
  <c r="AP14" i="64"/>
  <c r="AB138" i="63"/>
  <c r="F34" i="64"/>
  <c r="G34" i="64"/>
  <c r="I47" i="64"/>
  <c r="N89" i="63"/>
  <c r="J60" i="64"/>
  <c r="O60" i="63"/>
  <c r="O48" i="63"/>
  <c r="R44" i="63"/>
  <c r="O34" i="64"/>
  <c r="S47" i="63"/>
  <c r="S79" i="63"/>
  <c r="T31" i="63"/>
  <c r="S35" i="64"/>
  <c r="S11" i="64"/>
  <c r="U24" i="64"/>
  <c r="U30" i="64" s="1"/>
  <c r="AO5" i="63"/>
  <c r="V98" i="64"/>
  <c r="AC60" i="63"/>
  <c r="AC98" i="62"/>
  <c r="AI41" i="63"/>
  <c r="AI42" i="63" s="1"/>
  <c r="AK41" i="63"/>
  <c r="AK42" i="63" s="1"/>
  <c r="AM11" i="63"/>
  <c r="AH52" i="65"/>
  <c r="AM27" i="65"/>
  <c r="AM52" i="65" s="1"/>
  <c r="AD47" i="63"/>
  <c r="AI48" i="63"/>
  <c r="AF47" i="64"/>
  <c r="AF49" i="64" s="1"/>
  <c r="AJ60" i="63"/>
  <c r="AI47" i="63"/>
  <c r="AG81" i="64"/>
  <c r="AG83" i="64" s="1"/>
  <c r="AN34" i="63"/>
  <c r="AN66" i="63" s="1"/>
  <c r="AK109" i="63"/>
  <c r="AK60" i="63"/>
  <c r="AL46" i="64"/>
  <c r="AN11" i="64"/>
  <c r="AN13" i="64" s="1"/>
  <c r="E27" i="65"/>
  <c r="E69" i="65" s="1"/>
  <c r="E98" i="66"/>
  <c r="E44" i="67"/>
  <c r="K81" i="65"/>
  <c r="K83" i="65" s="1"/>
  <c r="L34" i="65"/>
  <c r="M44" i="67"/>
  <c r="M46" i="67" s="1"/>
  <c r="AP95" i="66"/>
  <c r="Q64" i="65"/>
  <c r="Q66" i="65" s="1"/>
  <c r="W98" i="66"/>
  <c r="W81" i="65"/>
  <c r="Z63" i="65"/>
  <c r="Z34" i="65"/>
  <c r="AG47" i="65"/>
  <c r="AH24" i="65"/>
  <c r="AK86" i="65"/>
  <c r="AF45" i="63"/>
  <c r="AD11" i="64"/>
  <c r="AJ47" i="63"/>
  <c r="AH47" i="63"/>
  <c r="AN41" i="63"/>
  <c r="AN42" i="63" s="1"/>
  <c r="AK64" i="64"/>
  <c r="AK66" i="64" s="1"/>
  <c r="N86" i="65"/>
  <c r="AP8" i="65"/>
  <c r="W47" i="65"/>
  <c r="AC98" i="67"/>
  <c r="AO61" i="65"/>
  <c r="AF81" i="65"/>
  <c r="Z34" i="64"/>
  <c r="AO92" i="64"/>
  <c r="AB24" i="64"/>
  <c r="AB30" i="64" s="1"/>
  <c r="AB32" i="64" s="1"/>
  <c r="AB98" i="64"/>
  <c r="AF44" i="63"/>
  <c r="AF34" i="64"/>
  <c r="AJ41" i="63"/>
  <c r="AJ42" i="63" s="1"/>
  <c r="AK83" i="63"/>
  <c r="AL41" i="63"/>
  <c r="AL42" i="63" s="1"/>
  <c r="AJ29" i="64"/>
  <c r="AM24" i="64"/>
  <c r="AL64" i="64"/>
  <c r="AL66" i="64" s="1"/>
  <c r="I86" i="65"/>
  <c r="J80" i="65"/>
  <c r="L47" i="65"/>
  <c r="L49" i="65" s="1"/>
  <c r="N63" i="65"/>
  <c r="S46" i="65"/>
  <c r="S98" i="66"/>
  <c r="AP44" i="65"/>
  <c r="V63" i="65"/>
  <c r="AO102" i="67"/>
  <c r="AO75" i="65"/>
  <c r="AB98" i="67"/>
  <c r="AG11" i="63"/>
  <c r="AD47" i="64"/>
  <c r="AD49" i="64" s="1"/>
  <c r="AC34" i="64"/>
  <c r="AH24" i="64"/>
  <c r="AL11" i="64"/>
  <c r="AL13" i="64" s="1"/>
  <c r="AM11" i="64"/>
  <c r="AM13" i="64" s="1"/>
  <c r="AN24" i="64"/>
  <c r="E11" i="65"/>
  <c r="E13" i="65" s="1"/>
  <c r="E34" i="65"/>
  <c r="E81" i="65"/>
  <c r="E83" i="65" s="1"/>
  <c r="F24" i="65"/>
  <c r="G81" i="65"/>
  <c r="G83" i="65" s="1"/>
  <c r="I81" i="65"/>
  <c r="I83" i="65" s="1"/>
  <c r="I11" i="65"/>
  <c r="I13" i="65" s="1"/>
  <c r="I27" i="65"/>
  <c r="I52" i="65" s="1"/>
  <c r="J81" i="65"/>
  <c r="J83" i="65" s="1"/>
  <c r="L46" i="65"/>
  <c r="M27" i="65"/>
  <c r="M52" i="65" s="1"/>
  <c r="N27" i="65"/>
  <c r="N69" i="65" s="1"/>
  <c r="P64" i="65"/>
  <c r="P66" i="65" s="1"/>
  <c r="AP58" i="65"/>
  <c r="S98" i="67"/>
  <c r="AP75" i="65"/>
  <c r="S47" i="65"/>
  <c r="S49" i="65" s="1"/>
  <c r="AP61" i="65"/>
  <c r="U47" i="65"/>
  <c r="U98" i="66"/>
  <c r="V27" i="65"/>
  <c r="V52" i="65" s="1"/>
  <c r="V103" i="65"/>
  <c r="X98" i="67"/>
  <c r="Y27" i="65"/>
  <c r="Y35" i="65" s="1"/>
  <c r="AA60" i="65"/>
  <c r="AO85" i="65"/>
  <c r="AC86" i="65"/>
  <c r="AE64" i="65"/>
  <c r="AE81" i="65"/>
  <c r="AF86" i="65"/>
  <c r="AG24" i="65"/>
  <c r="AH69" i="65"/>
  <c r="AM86" i="65"/>
  <c r="AK34" i="65"/>
  <c r="AC45" i="63"/>
  <c r="AC11" i="64"/>
  <c r="AC103" i="64"/>
  <c r="AG47" i="63"/>
  <c r="AI83" i="63"/>
  <c r="AG10" i="64"/>
  <c r="AJ45" i="63"/>
  <c r="AH34" i="64"/>
  <c r="AJ34" i="64"/>
  <c r="AL34" i="64"/>
  <c r="AL86" i="64"/>
  <c r="E10" i="65"/>
  <c r="J27" i="65"/>
  <c r="J35" i="65" s="1"/>
  <c r="L86" i="65"/>
  <c r="N47" i="65"/>
  <c r="N49" i="65" s="1"/>
  <c r="R60" i="65"/>
  <c r="AP51" i="65"/>
  <c r="AP95" i="65"/>
  <c r="V98" i="66"/>
  <c r="Y98" i="67"/>
  <c r="X24" i="65"/>
  <c r="Y64" i="65"/>
  <c r="Y66" i="65" s="1"/>
  <c r="AO92" i="66"/>
  <c r="AO5" i="65"/>
  <c r="AA86" i="65"/>
  <c r="AD24" i="65"/>
  <c r="AG27" i="65"/>
  <c r="AG69" i="65" s="1"/>
  <c r="AI24" i="64"/>
  <c r="AJ11" i="64"/>
  <c r="AJ13" i="64" s="1"/>
  <c r="AM81" i="64"/>
  <c r="AM83" i="64" s="1"/>
  <c r="E24" i="65"/>
  <c r="F34" i="65"/>
  <c r="H86" i="65"/>
  <c r="J46" i="65"/>
  <c r="K64" i="65"/>
  <c r="K66" i="65" s="1"/>
  <c r="N11" i="65"/>
  <c r="N13" i="65" s="1"/>
  <c r="AP102" i="65"/>
  <c r="AP85" i="65"/>
  <c r="T63" i="65"/>
  <c r="V98" i="67"/>
  <c r="U34" i="65"/>
  <c r="U81" i="65"/>
  <c r="W34" i="65"/>
  <c r="W103" i="65"/>
  <c r="X103" i="65"/>
  <c r="X27" i="65"/>
  <c r="X52" i="65" s="1"/>
  <c r="AO58" i="65"/>
  <c r="Z81" i="65"/>
  <c r="AD81" i="65"/>
  <c r="AJ27" i="65"/>
  <c r="AJ69" i="65" s="1"/>
  <c r="AL11" i="65"/>
  <c r="AJ109" i="63"/>
  <c r="AK24" i="64"/>
  <c r="AI47" i="64"/>
  <c r="AI49" i="64" s="1"/>
  <c r="E98" i="65"/>
  <c r="F80" i="65"/>
  <c r="I34" i="65"/>
  <c r="I78" i="67"/>
  <c r="I80" i="67" s="1"/>
  <c r="K80" i="65"/>
  <c r="J64" i="65"/>
  <c r="J66" i="65" s="1"/>
  <c r="N44" i="67"/>
  <c r="N46" i="67" s="1"/>
  <c r="N61" i="67"/>
  <c r="N63" i="67" s="1"/>
  <c r="R27" i="65"/>
  <c r="Q24" i="65"/>
  <c r="AP92" i="66"/>
  <c r="R86" i="65"/>
  <c r="AP5" i="65"/>
  <c r="AP68" i="65"/>
  <c r="AP92" i="65"/>
  <c r="U98" i="67"/>
  <c r="T98" i="65"/>
  <c r="AP102" i="67"/>
  <c r="U103" i="65"/>
  <c r="X81" i="65"/>
  <c r="X98" i="66"/>
  <c r="Z98" i="67"/>
  <c r="Y98" i="65"/>
  <c r="Z27" i="65"/>
  <c r="Z35" i="65" s="1"/>
  <c r="AA27" i="65"/>
  <c r="AA34" i="65"/>
  <c r="AD27" i="65"/>
  <c r="AD52" i="65" s="1"/>
  <c r="AC98" i="65"/>
  <c r="AD11" i="65"/>
  <c r="AG34" i="65"/>
  <c r="AJ47" i="65"/>
  <c r="AK47" i="65"/>
  <c r="AD23" i="60"/>
  <c r="AN56" i="3"/>
  <c r="AD42" i="60"/>
  <c r="AC4" i="35"/>
  <c r="G35" i="61"/>
  <c r="E98" i="61"/>
  <c r="E103" i="61"/>
  <c r="J52" i="61"/>
  <c r="J69" i="61"/>
  <c r="J27" i="62"/>
  <c r="J35" i="61"/>
  <c r="AP51" i="61"/>
  <c r="AP5" i="61"/>
  <c r="R11" i="61"/>
  <c r="S98" i="61"/>
  <c r="Z11" i="61"/>
  <c r="AO85" i="61"/>
  <c r="P11" i="63"/>
  <c r="P115" i="63"/>
  <c r="K52" i="61"/>
  <c r="K27" i="62"/>
  <c r="T35" i="61"/>
  <c r="T52" i="61"/>
  <c r="AB98" i="61"/>
  <c r="AO95" i="61"/>
  <c r="AH69" i="61"/>
  <c r="AH35" i="61"/>
  <c r="AI11" i="61"/>
  <c r="AJ64" i="61"/>
  <c r="AK47" i="61"/>
  <c r="AK24" i="61"/>
  <c r="G79" i="63"/>
  <c r="G31" i="63"/>
  <c r="G37" i="63" s="1"/>
  <c r="G83" i="63"/>
  <c r="G85" i="63" s="1"/>
  <c r="Y11" i="63"/>
  <c r="Y115" i="63"/>
  <c r="E64" i="61"/>
  <c r="E66" i="61" s="1"/>
  <c r="F60" i="61"/>
  <c r="F64" i="61"/>
  <c r="F66" i="61" s="1"/>
  <c r="S47" i="61"/>
  <c r="AP41" i="61"/>
  <c r="AP58" i="61"/>
  <c r="AP64" i="61" s="1"/>
  <c r="T64" i="61"/>
  <c r="T66" i="61" s="1"/>
  <c r="T24" i="61"/>
  <c r="X98" i="61"/>
  <c r="X35" i="61"/>
  <c r="X69" i="61"/>
  <c r="X52" i="61"/>
  <c r="AB103" i="61"/>
  <c r="AD47" i="61"/>
  <c r="AD24" i="61"/>
  <c r="G24" i="64"/>
  <c r="J41" i="63"/>
  <c r="J42" i="63" s="1"/>
  <c r="K115" i="63"/>
  <c r="K11" i="63"/>
  <c r="N11" i="63"/>
  <c r="N115" i="63"/>
  <c r="O115" i="63"/>
  <c r="O11" i="63"/>
  <c r="O43" i="63"/>
  <c r="E47" i="61"/>
  <c r="F24" i="61"/>
  <c r="F47" i="61"/>
  <c r="I69" i="61"/>
  <c r="I35" i="61"/>
  <c r="I27" i="62"/>
  <c r="I52" i="61"/>
  <c r="I24" i="61"/>
  <c r="M64" i="61"/>
  <c r="M66" i="61" s="1"/>
  <c r="O24" i="61"/>
  <c r="U103" i="61"/>
  <c r="AP95" i="61"/>
  <c r="AA60" i="61"/>
  <c r="AA64" i="61"/>
  <c r="AA66" i="61" s="1"/>
  <c r="AO92" i="61"/>
  <c r="AE24" i="61"/>
  <c r="E44" i="63"/>
  <c r="E11" i="63"/>
  <c r="E115" i="63"/>
  <c r="E138" i="63"/>
  <c r="K41" i="63"/>
  <c r="K42" i="63" s="1"/>
  <c r="I60" i="61"/>
  <c r="I64" i="61"/>
  <c r="I66" i="61" s="1"/>
  <c r="K69" i="61"/>
  <c r="M60" i="61"/>
  <c r="N24" i="61"/>
  <c r="N47" i="61"/>
  <c r="S52" i="61"/>
  <c r="AP85" i="61"/>
  <c r="AO75" i="61"/>
  <c r="AA47" i="61"/>
  <c r="AO41" i="61"/>
  <c r="AO47" i="61" s="1"/>
  <c r="G44" i="63"/>
  <c r="X115" i="63"/>
  <c r="X138" i="63"/>
  <c r="X43" i="63"/>
  <c r="X11" i="63"/>
  <c r="G27" i="62"/>
  <c r="G52" i="61"/>
  <c r="Q60" i="61"/>
  <c r="Q64" i="61"/>
  <c r="Q66" i="61" s="1"/>
  <c r="E24" i="64"/>
  <c r="E47" i="64"/>
  <c r="M83" i="63"/>
  <c r="M85" i="63" s="1"/>
  <c r="M79" i="63"/>
  <c r="M31" i="63"/>
  <c r="G24" i="61"/>
  <c r="I34" i="61"/>
  <c r="Q24" i="61"/>
  <c r="Q30" i="61" s="1"/>
  <c r="W47" i="61"/>
  <c r="W24" i="61"/>
  <c r="Y64" i="61"/>
  <c r="Y66" i="61" s="1"/>
  <c r="Y60" i="61"/>
  <c r="AP18" i="63"/>
  <c r="U11" i="63"/>
  <c r="U115" i="63"/>
  <c r="H69" i="61"/>
  <c r="K35" i="61"/>
  <c r="J47" i="61"/>
  <c r="J24" i="61"/>
  <c r="AP68" i="61"/>
  <c r="U98" i="61"/>
  <c r="W69" i="61"/>
  <c r="AO102" i="61"/>
  <c r="F115" i="63"/>
  <c r="H43" i="63"/>
  <c r="H11" i="63"/>
  <c r="H115" i="63"/>
  <c r="J115" i="63"/>
  <c r="J11" i="63"/>
  <c r="J52" i="64"/>
  <c r="J69" i="64"/>
  <c r="J27" i="66"/>
  <c r="J35" i="64"/>
  <c r="S11" i="63"/>
  <c r="S115" i="63"/>
  <c r="S43" i="63"/>
  <c r="S138" i="63"/>
  <c r="V41" i="63"/>
  <c r="V42" i="63" s="1"/>
  <c r="U69" i="64"/>
  <c r="W98" i="62"/>
  <c r="V64" i="64"/>
  <c r="V66" i="64" s="1"/>
  <c r="Y48" i="63"/>
  <c r="AO136" i="63"/>
  <c r="AO137" i="63"/>
  <c r="AA45" i="63"/>
  <c r="Y64" i="64"/>
  <c r="Y66" i="64" s="1"/>
  <c r="AB98" i="62"/>
  <c r="AE45" i="63"/>
  <c r="AH60" i="63"/>
  <c r="AH31" i="63"/>
  <c r="AJ11" i="63"/>
  <c r="AH81" i="64"/>
  <c r="AH83" i="64" s="1"/>
  <c r="O52" i="61"/>
  <c r="Y35" i="61"/>
  <c r="AB69" i="61"/>
  <c r="AF52" i="61"/>
  <c r="AH81" i="61"/>
  <c r="AI69" i="61"/>
  <c r="AJ52" i="61"/>
  <c r="AJ24" i="61"/>
  <c r="AL11" i="61"/>
  <c r="G66" i="63"/>
  <c r="E35" i="64"/>
  <c r="I11" i="63"/>
  <c r="F24" i="64"/>
  <c r="J31" i="63"/>
  <c r="I35" i="64"/>
  <c r="L60" i="63"/>
  <c r="K27" i="66"/>
  <c r="L69" i="64"/>
  <c r="N79" i="63"/>
  <c r="L86" i="64"/>
  <c r="P31" i="63"/>
  <c r="P37" i="63" s="1"/>
  <c r="M24" i="64"/>
  <c r="AP129" i="63"/>
  <c r="R98" i="62"/>
  <c r="R132" i="63"/>
  <c r="Q35" i="64"/>
  <c r="AP114" i="63"/>
  <c r="R47" i="64"/>
  <c r="AO92" i="62"/>
  <c r="Z11" i="63"/>
  <c r="AA44" i="63"/>
  <c r="AC89" i="63"/>
  <c r="AC47" i="63"/>
  <c r="AA103" i="64"/>
  <c r="AA11" i="64"/>
  <c r="AI11" i="63"/>
  <c r="AH11" i="64"/>
  <c r="AH13" i="64" s="1"/>
  <c r="Z35" i="61"/>
  <c r="AI35" i="61"/>
  <c r="AI52" i="61"/>
  <c r="E83" i="63"/>
  <c r="E85" i="63" s="1"/>
  <c r="E31" i="63"/>
  <c r="G43" i="63"/>
  <c r="I41" i="63"/>
  <c r="I42" i="63" s="1"/>
  <c r="Q43" i="63"/>
  <c r="Q83" i="63"/>
  <c r="Q85" i="63" s="1"/>
  <c r="AP100" i="63"/>
  <c r="O24" i="64"/>
  <c r="S41" i="63"/>
  <c r="S42" i="63" s="1"/>
  <c r="U31" i="63"/>
  <c r="T60" i="64"/>
  <c r="T64" i="64"/>
  <c r="T66" i="64" s="1"/>
  <c r="U103" i="64"/>
  <c r="U98" i="64"/>
  <c r="Y138" i="63"/>
  <c r="Z41" i="63"/>
  <c r="Z103" i="64"/>
  <c r="AO8" i="64"/>
  <c r="AO58" i="64"/>
  <c r="AO64" i="64" s="1"/>
  <c r="Z64" i="64"/>
  <c r="Z66" i="64" s="1"/>
  <c r="AF115" i="63"/>
  <c r="AF11" i="63"/>
  <c r="AH11" i="63"/>
  <c r="AN11" i="63"/>
  <c r="M52" i="61"/>
  <c r="AO27" i="61"/>
  <c r="AG64" i="61"/>
  <c r="AG47" i="61"/>
  <c r="AG24" i="61"/>
  <c r="AH47" i="61"/>
  <c r="AI47" i="61"/>
  <c r="AJ69" i="61"/>
  <c r="AM52" i="61"/>
  <c r="AM69" i="61"/>
  <c r="E89" i="63"/>
  <c r="F60" i="63"/>
  <c r="F79" i="63"/>
  <c r="F81" i="64"/>
  <c r="F83" i="64" s="1"/>
  <c r="L41" i="63"/>
  <c r="L42" i="63" s="1"/>
  <c r="N31" i="63"/>
  <c r="P43" i="63"/>
  <c r="AP77" i="63"/>
  <c r="N60" i="64"/>
  <c r="AP87" i="63"/>
  <c r="T43" i="63"/>
  <c r="Q47" i="64"/>
  <c r="V45" i="63"/>
  <c r="W60" i="63"/>
  <c r="X31" i="63"/>
  <c r="Y79" i="63"/>
  <c r="Y31" i="63"/>
  <c r="AO88" i="63"/>
  <c r="AA115" i="63"/>
  <c r="AA11" i="63"/>
  <c r="Z11" i="64"/>
  <c r="AL31" i="63"/>
  <c r="O79" i="63"/>
  <c r="T60" i="63"/>
  <c r="U83" i="63"/>
  <c r="U85" i="63" s="1"/>
  <c r="U138" i="63"/>
  <c r="U60" i="64"/>
  <c r="Z109" i="63"/>
  <c r="AE64" i="64"/>
  <c r="AE66" i="64" s="1"/>
  <c r="AE24" i="64"/>
  <c r="AP54" i="63"/>
  <c r="AP60" i="63" s="1"/>
  <c r="S132" i="63"/>
  <c r="R41" i="63"/>
  <c r="R42" i="63" s="1"/>
  <c r="Z79" i="63"/>
  <c r="AO77" i="63"/>
  <c r="Z35" i="64"/>
  <c r="Z69" i="64"/>
  <c r="AC41" i="63"/>
  <c r="AC42" i="63" s="1"/>
  <c r="AG41" i="63"/>
  <c r="AG42" i="63" s="1"/>
  <c r="AH109" i="63"/>
  <c r="AG34" i="64"/>
  <c r="W115" i="63"/>
  <c r="AE115" i="63"/>
  <c r="AA89" i="63"/>
  <c r="AK11" i="61"/>
  <c r="H31" i="63"/>
  <c r="H83" i="63"/>
  <c r="H85" i="63" s="1"/>
  <c r="L52" i="64"/>
  <c r="Q31" i="63"/>
  <c r="R31" i="63"/>
  <c r="AP58" i="64"/>
  <c r="W138" i="63"/>
  <c r="Y89" i="63"/>
  <c r="Y43" i="63"/>
  <c r="V29" i="64"/>
  <c r="V35" i="64"/>
  <c r="V69" i="64"/>
  <c r="Z31" i="63"/>
  <c r="Z60" i="63"/>
  <c r="AO54" i="63"/>
  <c r="AO60" i="63" s="1"/>
  <c r="X35" i="64"/>
  <c r="X52" i="64"/>
  <c r="X69" i="64"/>
  <c r="Y35" i="64"/>
  <c r="Y29" i="64"/>
  <c r="Y69" i="64"/>
  <c r="X103" i="64"/>
  <c r="Z52" i="64"/>
  <c r="AC31" i="63"/>
  <c r="AH41" i="63"/>
  <c r="AH42" i="63" s="1"/>
  <c r="AI44" i="63"/>
  <c r="AG29" i="64"/>
  <c r="AG69" i="64"/>
  <c r="AG52" i="64"/>
  <c r="AG35" i="64"/>
  <c r="AN115" i="63"/>
  <c r="N35" i="61"/>
  <c r="M69" i="64"/>
  <c r="P83" i="63"/>
  <c r="P85" i="63" s="1"/>
  <c r="AP88" i="63"/>
  <c r="AP8" i="63"/>
  <c r="AP66" i="63" s="1"/>
  <c r="Q52" i="64"/>
  <c r="P86" i="64"/>
  <c r="U132" i="63"/>
  <c r="V138" i="63"/>
  <c r="T24" i="64"/>
  <c r="U11" i="64"/>
  <c r="AA43" i="63"/>
  <c r="AO8" i="63"/>
  <c r="AO103" i="63"/>
  <c r="X47" i="64"/>
  <c r="X49" i="64" s="1"/>
  <c r="X86" i="64"/>
  <c r="AC48" i="63"/>
  <c r="AA98" i="64"/>
  <c r="AE41" i="63"/>
  <c r="AE42" i="63" s="1"/>
  <c r="AI115" i="63"/>
  <c r="AL83" i="63"/>
  <c r="AG83" i="63"/>
  <c r="AK31" i="63"/>
  <c r="AI86" i="64"/>
  <c r="AK86" i="64"/>
  <c r="E47" i="65"/>
  <c r="E49" i="65" s="1"/>
  <c r="H81" i="65"/>
  <c r="H83" i="65" s="1"/>
  <c r="K78" i="67"/>
  <c r="K80" i="67" s="1"/>
  <c r="M81" i="65"/>
  <c r="M83" i="65" s="1"/>
  <c r="M47" i="65"/>
  <c r="M49" i="65" s="1"/>
  <c r="M61" i="67"/>
  <c r="M63" i="67" s="1"/>
  <c r="O27" i="65"/>
  <c r="O52" i="65" s="1"/>
  <c r="O10" i="65"/>
  <c r="N78" i="67"/>
  <c r="N80" i="67" s="1"/>
  <c r="P86" i="65"/>
  <c r="R103" i="65"/>
  <c r="R81" i="65"/>
  <c r="R83" i="65" s="1"/>
  <c r="S98" i="65"/>
  <c r="V98" i="65"/>
  <c r="W98" i="65"/>
  <c r="Y47" i="65"/>
  <c r="AO92" i="65"/>
  <c r="AO8" i="65"/>
  <c r="AL27" i="65"/>
  <c r="AL52" i="65" s="1"/>
  <c r="AN64" i="64"/>
  <c r="AN66" i="64" s="1"/>
  <c r="F86" i="65"/>
  <c r="G64" i="65"/>
  <c r="G66" i="65" s="1"/>
  <c r="H63" i="65"/>
  <c r="I64" i="65"/>
  <c r="I66" i="65" s="1"/>
  <c r="J24" i="65"/>
  <c r="K24" i="65"/>
  <c r="K27" i="65"/>
  <c r="K69" i="65" s="1"/>
  <c r="O46" i="65"/>
  <c r="Q27" i="65"/>
  <c r="Q69" i="65" s="1"/>
  <c r="R11" i="65"/>
  <c r="R13" i="65" s="1"/>
  <c r="S11" i="65"/>
  <c r="S13" i="65" s="1"/>
  <c r="T27" i="65"/>
  <c r="T52" i="65" s="1"/>
  <c r="U64" i="65"/>
  <c r="U66" i="65" s="1"/>
  <c r="X47" i="65"/>
  <c r="AO92" i="67"/>
  <c r="AO95" i="66"/>
  <c r="Z11" i="65"/>
  <c r="AB86" i="65"/>
  <c r="AB63" i="65"/>
  <c r="AE86" i="65"/>
  <c r="AG86" i="65"/>
  <c r="AI11" i="65"/>
  <c r="Z81" i="64"/>
  <c r="AC69" i="64"/>
  <c r="AI109" i="63"/>
  <c r="AH64" i="64"/>
  <c r="AH66" i="64" s="1"/>
  <c r="AL115" i="63"/>
  <c r="AJ69" i="64"/>
  <c r="AM115" i="63"/>
  <c r="AM41" i="63"/>
  <c r="AM42" i="63" s="1"/>
  <c r="AK81" i="64"/>
  <c r="AK83" i="64" s="1"/>
  <c r="E80" i="65"/>
  <c r="F63" i="65"/>
  <c r="E78" i="67"/>
  <c r="F60" i="65"/>
  <c r="G44" i="67"/>
  <c r="G46" i="67" s="1"/>
  <c r="G61" i="67"/>
  <c r="G63" i="67" s="1"/>
  <c r="H10" i="65"/>
  <c r="H78" i="67"/>
  <c r="H80" i="67" s="1"/>
  <c r="I60" i="65"/>
  <c r="J60" i="65"/>
  <c r="L63" i="65"/>
  <c r="L61" i="67"/>
  <c r="L63" i="67" s="1"/>
  <c r="P81" i="65"/>
  <c r="P83" i="65" s="1"/>
  <c r="AP95" i="67"/>
  <c r="S64" i="65"/>
  <c r="S66" i="65" s="1"/>
  <c r="Y60" i="65"/>
  <c r="AO78" i="65"/>
  <c r="AE27" i="65"/>
  <c r="AE69" i="65" s="1"/>
  <c r="AJ24" i="65"/>
  <c r="AJ11" i="65"/>
  <c r="AN86" i="65"/>
  <c r="AM81" i="65"/>
  <c r="AK64" i="65"/>
  <c r="AG11" i="65"/>
  <c r="AG64" i="65"/>
  <c r="AH47" i="65"/>
  <c r="AH86" i="65"/>
  <c r="AH34" i="65"/>
  <c r="AN81" i="65"/>
  <c r="AA24" i="64"/>
  <c r="AC86" i="64"/>
  <c r="AI31" i="63"/>
  <c r="AK34" i="63"/>
  <c r="AK89" i="63" s="1"/>
  <c r="AJ35" i="64"/>
  <c r="F27" i="65"/>
  <c r="F52" i="65" s="1"/>
  <c r="F10" i="65"/>
  <c r="G47" i="65"/>
  <c r="G49" i="65" s="1"/>
  <c r="I61" i="67"/>
  <c r="I63" i="67" s="1"/>
  <c r="L64" i="65"/>
  <c r="L66" i="65" s="1"/>
  <c r="M78" i="67"/>
  <c r="M80" i="67" s="1"/>
  <c r="O64" i="65"/>
  <c r="O66" i="65" s="1"/>
  <c r="R46" i="65"/>
  <c r="AP78" i="65"/>
  <c r="T46" i="65"/>
  <c r="V86" i="65"/>
  <c r="AC27" i="65"/>
  <c r="AC52" i="65" s="1"/>
  <c r="AF24" i="65"/>
  <c r="AK11" i="65"/>
  <c r="AL64" i="65"/>
  <c r="AE11" i="64"/>
  <c r="F46" i="65"/>
  <c r="G27" i="65"/>
  <c r="G69" i="65" s="1"/>
  <c r="H80" i="65"/>
  <c r="AB11" i="65"/>
  <c r="AM11" i="65"/>
  <c r="AO41" i="64"/>
  <c r="AO47" i="64" s="1"/>
  <c r="AO68" i="64"/>
  <c r="AN109" i="63"/>
  <c r="AN27" i="64"/>
  <c r="AN69" i="64" s="1"/>
  <c r="AL80" i="64"/>
  <c r="G46" i="65"/>
  <c r="H27" i="65"/>
  <c r="H69" i="65" s="1"/>
  <c r="J86" i="65"/>
  <c r="L27" i="65"/>
  <c r="L52" i="65" s="1"/>
  <c r="N80" i="65"/>
  <c r="P47" i="65"/>
  <c r="P49" i="65" s="1"/>
  <c r="AP41" i="65"/>
  <c r="T103" i="65"/>
  <c r="Y86" i="65"/>
  <c r="AA103" i="65"/>
  <c r="AC24" i="65"/>
  <c r="AH64" i="65"/>
  <c r="AI24" i="65"/>
  <c r="AF41" i="63"/>
  <c r="AF42" i="63" s="1"/>
  <c r="AJ83" i="63"/>
  <c r="F47" i="65"/>
  <c r="F49" i="65" s="1"/>
  <c r="W64" i="65"/>
  <c r="W66" i="65" s="1"/>
  <c r="AO95" i="65"/>
  <c r="AI27" i="65"/>
  <c r="AI64" i="65"/>
  <c r="AA52" i="61" l="1"/>
  <c r="P35" i="64"/>
  <c r="AO109" i="63"/>
  <c r="W43" i="63"/>
  <c r="M43" i="63"/>
  <c r="P52" i="64"/>
  <c r="P30" i="64"/>
  <c r="F89" i="63"/>
  <c r="K43" i="63"/>
  <c r="J43" i="63"/>
  <c r="K89" i="63"/>
  <c r="J37" i="63"/>
  <c r="F43" i="63"/>
  <c r="J66" i="63"/>
  <c r="AC30" i="61"/>
  <c r="C89" i="55"/>
  <c r="X11" i="43"/>
  <c r="Z11" i="43" s="1"/>
  <c r="X10" i="43"/>
  <c r="Z10" i="43" s="1"/>
  <c r="X29" i="43"/>
  <c r="Z29" i="43" s="1"/>
  <c r="X41" i="43"/>
  <c r="Z41" i="43" s="1"/>
  <c r="X23" i="43"/>
  <c r="Z23" i="43" s="1"/>
  <c r="X9" i="43"/>
  <c r="Z9" i="43" s="1"/>
  <c r="X31" i="43"/>
  <c r="Z31" i="43" s="1"/>
  <c r="X47" i="43"/>
  <c r="Z47" i="43" s="1"/>
  <c r="X22" i="43"/>
  <c r="Z22" i="43" s="1"/>
  <c r="X7" i="43"/>
  <c r="Z7" i="43" s="1"/>
  <c r="X46" i="43"/>
  <c r="Z46" i="43" s="1"/>
  <c r="X42" i="43"/>
  <c r="Z42" i="43" s="1"/>
  <c r="X39" i="43"/>
  <c r="Z39" i="43" s="1"/>
  <c r="X32" i="43"/>
  <c r="Z32" i="43" s="1"/>
  <c r="X52" i="43"/>
  <c r="Z52" i="43" s="1"/>
  <c r="X16" i="43"/>
  <c r="Z16" i="43" s="1"/>
  <c r="X37" i="43"/>
  <c r="Z37" i="43" s="1"/>
  <c r="X15" i="43"/>
  <c r="Z15" i="43" s="1"/>
  <c r="X21" i="43"/>
  <c r="Z21" i="43" s="1"/>
  <c r="X33" i="43"/>
  <c r="Z33" i="43" s="1"/>
  <c r="X28" i="43"/>
  <c r="Z28" i="43" s="1"/>
  <c r="X50" i="43"/>
  <c r="Z50" i="43" s="1"/>
  <c r="X14" i="43"/>
  <c r="Z14" i="43" s="1"/>
  <c r="X45" i="43"/>
  <c r="Z45" i="43" s="1"/>
  <c r="X36" i="43"/>
  <c r="Z36" i="43" s="1"/>
  <c r="X27" i="43"/>
  <c r="Z27" i="43" s="1"/>
  <c r="X49" i="43"/>
  <c r="Z49" i="43" s="1"/>
  <c r="X13" i="43"/>
  <c r="Z13" i="43" s="1"/>
  <c r="X24" i="43"/>
  <c r="Z24" i="43" s="1"/>
  <c r="X8" i="43"/>
  <c r="Z8" i="43" s="1"/>
  <c r="X35" i="43"/>
  <c r="Z35" i="43" s="1"/>
  <c r="X18" i="43"/>
  <c r="Z18" i="43" s="1"/>
  <c r="X34" i="43"/>
  <c r="Z34" i="43" s="1"/>
  <c r="X25" i="43"/>
  <c r="Z25" i="43" s="1"/>
  <c r="X17" i="43"/>
  <c r="Z17" i="43" s="1"/>
  <c r="X30" i="43"/>
  <c r="Z30" i="43" s="1"/>
  <c r="X6" i="43"/>
  <c r="Z6" i="43" s="1"/>
  <c r="X44" i="43"/>
  <c r="Z44" i="43" s="1"/>
  <c r="X19" i="43"/>
  <c r="Z19" i="43" s="1"/>
  <c r="X43" i="43"/>
  <c r="Z43" i="43" s="1"/>
  <c r="X53" i="43"/>
  <c r="Z53" i="43" s="1"/>
  <c r="P89" i="63"/>
  <c r="AN69" i="65"/>
  <c r="AA29" i="64"/>
  <c r="AB43" i="63"/>
  <c r="AA35" i="64"/>
  <c r="R30" i="61"/>
  <c r="N43" i="63"/>
  <c r="V43" i="63"/>
  <c r="AP27" i="61"/>
  <c r="AO52" i="61"/>
  <c r="AC43" i="63"/>
  <c r="AB66" i="63"/>
  <c r="R66" i="63"/>
  <c r="T66" i="63"/>
  <c r="Y37" i="63"/>
  <c r="E43" i="63"/>
  <c r="T37" i="63"/>
  <c r="AO66" i="63"/>
  <c r="L37" i="63"/>
  <c r="AD52" i="61"/>
  <c r="M30" i="61"/>
  <c r="AD69" i="61"/>
  <c r="AL35" i="61"/>
  <c r="AL52" i="61"/>
  <c r="M8" i="62"/>
  <c r="M10" i="62" s="1"/>
  <c r="AP27" i="64"/>
  <c r="AG52" i="61"/>
  <c r="AG30" i="61"/>
  <c r="F69" i="64"/>
  <c r="F27" i="66"/>
  <c r="F8" i="66" s="1"/>
  <c r="F10" i="66" s="1"/>
  <c r="AO81" i="61"/>
  <c r="F27" i="62"/>
  <c r="F8" i="62" s="1"/>
  <c r="F10" i="62" s="1"/>
  <c r="N35" i="64"/>
  <c r="N27" i="66"/>
  <c r="N29" i="66" s="1"/>
  <c r="AG69" i="61"/>
  <c r="X30" i="64"/>
  <c r="X32" i="64" s="1"/>
  <c r="N69" i="64"/>
  <c r="F69" i="61"/>
  <c r="K5" i="28"/>
  <c r="U43" i="63"/>
  <c r="O37" i="63"/>
  <c r="G27" i="66"/>
  <c r="G8" i="66" s="1"/>
  <c r="G10" i="66" s="1"/>
  <c r="O35" i="61"/>
  <c r="AO27" i="64"/>
  <c r="AP47" i="61"/>
  <c r="AP34" i="63"/>
  <c r="AP43" i="63" s="1"/>
  <c r="V66" i="63"/>
  <c r="R35" i="61"/>
  <c r="U30" i="61"/>
  <c r="U35" i="61"/>
  <c r="R69" i="61"/>
  <c r="AH43" i="63"/>
  <c r="AA52" i="64"/>
  <c r="Q130" i="55"/>
  <c r="M130" i="55"/>
  <c r="R35" i="64"/>
  <c r="H27" i="62"/>
  <c r="H8" i="62" s="1"/>
  <c r="H10" i="62" s="1"/>
  <c r="R52" i="64"/>
  <c r="AF66" i="63"/>
  <c r="H52" i="61"/>
  <c r="W35" i="64"/>
  <c r="AP109" i="63"/>
  <c r="Q30" i="64"/>
  <c r="AB69" i="64"/>
  <c r="M35" i="64"/>
  <c r="AG30" i="64"/>
  <c r="AG32" i="64" s="1"/>
  <c r="AP83" i="63"/>
  <c r="K69" i="64"/>
  <c r="K30" i="64"/>
  <c r="T52" i="64"/>
  <c r="S35" i="61"/>
  <c r="S30" i="61"/>
  <c r="AH66" i="63"/>
  <c r="K52" i="64"/>
  <c r="R30" i="64"/>
  <c r="W29" i="64"/>
  <c r="W69" i="64"/>
  <c r="H30" i="61"/>
  <c r="L66" i="63"/>
  <c r="L43" i="63"/>
  <c r="W66" i="63"/>
  <c r="AD66" i="63"/>
  <c r="T35" i="64"/>
  <c r="AB52" i="64"/>
  <c r="S37" i="63"/>
  <c r="AD43" i="63"/>
  <c r="O8" i="66"/>
  <c r="O10" i="66" s="1"/>
  <c r="K130" i="55"/>
  <c r="L130" i="55"/>
  <c r="F21" i="76"/>
  <c r="K88" i="55"/>
  <c r="I88" i="55"/>
  <c r="Q88" i="55"/>
  <c r="G88" i="55"/>
  <c r="B39" i="55"/>
  <c r="B88" i="55"/>
  <c r="B129" i="55" s="1"/>
  <c r="M88" i="55"/>
  <c r="O88" i="55"/>
  <c r="L88" i="55"/>
  <c r="A129" i="55"/>
  <c r="AF89" i="63"/>
  <c r="AM56" i="3"/>
  <c r="AM80" i="3"/>
  <c r="AM80" i="57"/>
  <c r="AM107" i="3"/>
  <c r="AH52" i="64"/>
  <c r="AL80" i="57"/>
  <c r="AH29" i="64"/>
  <c r="A7" i="26"/>
  <c r="AN31" i="3"/>
  <c r="AN30" i="61"/>
  <c r="AO98" i="64"/>
  <c r="AE29" i="64"/>
  <c r="AB30" i="65"/>
  <c r="AF37" i="63"/>
  <c r="AO103" i="64"/>
  <c r="AH37" i="63"/>
  <c r="AF52" i="65"/>
  <c r="AD35" i="64"/>
  <c r="AJ66" i="63"/>
  <c r="AF69" i="65"/>
  <c r="AB69" i="65"/>
  <c r="AD52" i="64"/>
  <c r="AJ43" i="63"/>
  <c r="AB35" i="65"/>
  <c r="AD69" i="64"/>
  <c r="AD30" i="64"/>
  <c r="AD32" i="64" s="1"/>
  <c r="AE35" i="64"/>
  <c r="AF69" i="64"/>
  <c r="AF52" i="64"/>
  <c r="AF35" i="64"/>
  <c r="AO83" i="63"/>
  <c r="AN30" i="65"/>
  <c r="AG89" i="63"/>
  <c r="AE52" i="64"/>
  <c r="W52" i="65"/>
  <c r="AM41" i="3"/>
  <c r="AM42" i="3" s="1"/>
  <c r="AH69" i="64"/>
  <c r="AM34" i="3"/>
  <c r="AM67" i="3" s="1"/>
  <c r="V37" i="63"/>
  <c r="I6" i="28"/>
  <c r="AN34" i="3"/>
  <c r="AN67" i="3" s="1"/>
  <c r="AG66" i="63"/>
  <c r="AE66" i="63"/>
  <c r="Z6" i="26"/>
  <c r="Q8" i="32"/>
  <c r="DC9" i="54"/>
  <c r="CE9" i="54"/>
  <c r="BG9" i="54"/>
  <c r="AI9" i="54"/>
  <c r="W9" i="54"/>
  <c r="CQ9" i="54"/>
  <c r="AU9" i="54"/>
  <c r="AO34" i="63"/>
  <c r="AO43" i="63" s="1"/>
  <c r="Z43" i="63"/>
  <c r="A7" i="54"/>
  <c r="K9" i="54"/>
  <c r="U69" i="65"/>
  <c r="AN89" i="57"/>
  <c r="AI35" i="64"/>
  <c r="AI29" i="64"/>
  <c r="AE43" i="63"/>
  <c r="F57" i="76"/>
  <c r="G57" i="76"/>
  <c r="E57" i="76"/>
  <c r="S29" i="65"/>
  <c r="S52" i="65"/>
  <c r="AO98" i="67"/>
  <c r="S69" i="65"/>
  <c r="P66" i="76"/>
  <c r="P81" i="76" s="1"/>
  <c r="P69" i="76"/>
  <c r="P82" i="76"/>
  <c r="P84" i="76" s="1"/>
  <c r="P55" i="76"/>
  <c r="P57" i="76" s="1"/>
  <c r="P39" i="76"/>
  <c r="P54" i="76" s="1"/>
  <c r="P42" i="76"/>
  <c r="AD30" i="35"/>
  <c r="AP64" i="64"/>
  <c r="G18" i="76"/>
  <c r="G26" i="76" s="1"/>
  <c r="AK29" i="64"/>
  <c r="B6" i="31"/>
  <c r="AF30" i="64"/>
  <c r="AF32" i="64" s="1"/>
  <c r="AG37" i="63"/>
  <c r="AP86" i="64"/>
  <c r="AJ52" i="65"/>
  <c r="U52" i="65"/>
  <c r="L8" i="62"/>
  <c r="L10" i="62" s="1"/>
  <c r="E52" i="62"/>
  <c r="E35" i="62"/>
  <c r="AM48" i="57"/>
  <c r="E69" i="61"/>
  <c r="E86" i="62"/>
  <c r="R7" i="32"/>
  <c r="AI66" i="63"/>
  <c r="AI89" i="63"/>
  <c r="E103" i="62"/>
  <c r="E30" i="61"/>
  <c r="E69" i="62"/>
  <c r="AO47" i="65"/>
  <c r="AL43" i="63"/>
  <c r="E35" i="61"/>
  <c r="Z52" i="65"/>
  <c r="AG50" i="35"/>
  <c r="AI43" i="63"/>
  <c r="AD38" i="35"/>
  <c r="AP52" i="65"/>
  <c r="AD51" i="35"/>
  <c r="AP98" i="66"/>
  <c r="AM37" i="63"/>
  <c r="AP11" i="64"/>
  <c r="AP103" i="64"/>
  <c r="AD58" i="35"/>
  <c r="M69" i="65"/>
  <c r="AI30" i="61"/>
  <c r="AP81" i="64"/>
  <c r="V69" i="65"/>
  <c r="AK69" i="64"/>
  <c r="U30" i="65"/>
  <c r="AE37" i="63"/>
  <c r="AO64" i="65"/>
  <c r="AB4" i="60"/>
  <c r="AL11" i="57"/>
  <c r="AO98" i="62"/>
  <c r="AO11" i="65"/>
  <c r="V30" i="65"/>
  <c r="I8" i="66"/>
  <c r="I10" i="66" s="1"/>
  <c r="W37" i="63"/>
  <c r="AJ30" i="64"/>
  <c r="AJ32" i="64" s="1"/>
  <c r="Z5" i="26"/>
  <c r="AC42" i="60"/>
  <c r="AD37" i="35"/>
  <c r="J69" i="65"/>
  <c r="AP52" i="61"/>
  <c r="AI30" i="64"/>
  <c r="AI32" i="64" s="1"/>
  <c r="AP103" i="65"/>
  <c r="AO11" i="61"/>
  <c r="AM30" i="64"/>
  <c r="AM32" i="64" s="1"/>
  <c r="AO86" i="61"/>
  <c r="AP47" i="65"/>
  <c r="AP86" i="61"/>
  <c r="AO69" i="61"/>
  <c r="AP11" i="61"/>
  <c r="AG30" i="65"/>
  <c r="V5" i="26"/>
  <c r="AN35" i="65"/>
  <c r="S30" i="65"/>
  <c r="S32" i="65" s="1"/>
  <c r="AL18" i="57"/>
  <c r="Y30" i="65"/>
  <c r="Y52" i="65"/>
  <c r="AP11" i="65"/>
  <c r="AL52" i="64"/>
  <c r="AB37" i="63"/>
  <c r="AL29" i="64"/>
  <c r="AP98" i="65"/>
  <c r="J27" i="67"/>
  <c r="J29" i="67" s="1"/>
  <c r="AK35" i="64"/>
  <c r="AN35" i="57"/>
  <c r="I29" i="65"/>
  <c r="AM30" i="65"/>
  <c r="J30" i="65"/>
  <c r="J32" i="65" s="1"/>
  <c r="I27" i="67"/>
  <c r="I29" i="67" s="1"/>
  <c r="P35" i="65"/>
  <c r="P29" i="65"/>
  <c r="AL84" i="57"/>
  <c r="Y69" i="65"/>
  <c r="I30" i="65"/>
  <c r="I32" i="65" s="1"/>
  <c r="J52" i="65"/>
  <c r="J29" i="65"/>
  <c r="I35" i="65"/>
  <c r="AG35" i="65"/>
  <c r="AN43" i="63"/>
  <c r="I69" i="65"/>
  <c r="AM89" i="57"/>
  <c r="W30" i="65"/>
  <c r="AN83" i="3"/>
  <c r="AN84" i="3"/>
  <c r="AN90" i="3"/>
  <c r="AN41" i="3"/>
  <c r="AN42" i="3" s="1"/>
  <c r="AN66" i="3"/>
  <c r="AN60" i="3"/>
  <c r="AM84" i="3"/>
  <c r="AM90" i="3"/>
  <c r="AM111" i="3"/>
  <c r="AM117" i="3"/>
  <c r="AM60" i="3"/>
  <c r="AM66" i="3"/>
  <c r="AM11" i="3"/>
  <c r="AN111" i="3"/>
  <c r="U7" i="32"/>
  <c r="AM44" i="3"/>
  <c r="AN117" i="3"/>
  <c r="AM31" i="3"/>
  <c r="AN37" i="63"/>
  <c r="AC23" i="60"/>
  <c r="AG30" i="35"/>
  <c r="A9" i="32"/>
  <c r="AD12" i="35"/>
  <c r="T5" i="26"/>
  <c r="C70" i="3"/>
  <c r="AO5" i="28"/>
  <c r="F5" i="26"/>
  <c r="B5" i="26"/>
  <c r="H5" i="26"/>
  <c r="AN44" i="3"/>
  <c r="C93" i="3"/>
  <c r="X5" i="26"/>
  <c r="AL77" i="3"/>
  <c r="AL30" i="3"/>
  <c r="AL53" i="3"/>
  <c r="AL101" i="3"/>
  <c r="AK4" i="3"/>
  <c r="AM16" i="3"/>
  <c r="AW5" i="28"/>
  <c r="AN18" i="57"/>
  <c r="AK18" i="57"/>
  <c r="AM18" i="57"/>
  <c r="AM16" i="57"/>
  <c r="AK48" i="57"/>
  <c r="AN16" i="57"/>
  <c r="AL7" i="57"/>
  <c r="AM11" i="57"/>
  <c r="AK89" i="57"/>
  <c r="AL71" i="57"/>
  <c r="AM7" i="57"/>
  <c r="AL25" i="57"/>
  <c r="AK11" i="57"/>
  <c r="AL28" i="57"/>
  <c r="AL36" i="57" s="1"/>
  <c r="AK25" i="57"/>
  <c r="AN7" i="57"/>
  <c r="AM53" i="57"/>
  <c r="AL48" i="57"/>
  <c r="AL16" i="57"/>
  <c r="AL89" i="57"/>
  <c r="AM28" i="57"/>
  <c r="AM54" i="57" s="1"/>
  <c r="AM71" i="57"/>
  <c r="AL53" i="57"/>
  <c r="AN48" i="57"/>
  <c r="AN53" i="57"/>
  <c r="AN71" i="57"/>
  <c r="AK53" i="57"/>
  <c r="AN28" i="57"/>
  <c r="AN36" i="57" s="1"/>
  <c r="E131" i="55"/>
  <c r="W35" i="65"/>
  <c r="AK59" i="57"/>
  <c r="AK24" i="57"/>
  <c r="AK41" i="57"/>
  <c r="AK77" i="57"/>
  <c r="AL6" i="31"/>
  <c r="E52" i="61"/>
  <c r="AD30" i="65"/>
  <c r="AP69" i="64"/>
  <c r="AM25" i="57"/>
  <c r="AM41" i="58"/>
  <c r="AM24" i="58"/>
  <c r="J7" i="32"/>
  <c r="AK30" i="64"/>
  <c r="AK32" i="64" s="1"/>
  <c r="M7" i="32"/>
  <c r="AP98" i="62"/>
  <c r="N6" i="31"/>
  <c r="AL89" i="63"/>
  <c r="AL35" i="57"/>
  <c r="AN11" i="57"/>
  <c r="AM84" i="57"/>
  <c r="AL65" i="57"/>
  <c r="AL66" i="57"/>
  <c r="AK35" i="57"/>
  <c r="AM35" i="57"/>
  <c r="AN84" i="57"/>
  <c r="AK84" i="57"/>
  <c r="AM66" i="57"/>
  <c r="AL59" i="58"/>
  <c r="AL41" i="58"/>
  <c r="AL77" i="58"/>
  <c r="AL24" i="58"/>
  <c r="AL69" i="64"/>
  <c r="AO24" i="61"/>
  <c r="AO30" i="61" s="1"/>
  <c r="AP6" i="31"/>
  <c r="P6" i="31"/>
  <c r="AM69" i="64"/>
  <c r="AM52" i="64"/>
  <c r="AM35" i="64"/>
  <c r="AM29" i="64"/>
  <c r="AD37" i="63"/>
  <c r="Z30" i="61"/>
  <c r="D6" i="31"/>
  <c r="AO34" i="61"/>
  <c r="AK30" i="65"/>
  <c r="AK35" i="65"/>
  <c r="AO132" i="63"/>
  <c r="AL30" i="61"/>
  <c r="I33" i="63"/>
  <c r="AL30" i="64"/>
  <c r="AL32" i="64" s="1"/>
  <c r="AK52" i="65"/>
  <c r="AI69" i="64"/>
  <c r="P30" i="65"/>
  <c r="P32" i="65" s="1"/>
  <c r="AD50" i="35"/>
  <c r="AN6" i="31"/>
  <c r="H8" i="66"/>
  <c r="H10" i="66" s="1"/>
  <c r="A7" i="28"/>
  <c r="A8" i="28" s="1"/>
  <c r="X30" i="65"/>
  <c r="I37" i="63"/>
  <c r="P52" i="65"/>
  <c r="AO34" i="65"/>
  <c r="X35" i="65"/>
  <c r="K37" i="63"/>
  <c r="AP69" i="65"/>
  <c r="AP98" i="64"/>
  <c r="A8" i="31"/>
  <c r="X69" i="65"/>
  <c r="AP34" i="65"/>
  <c r="AN33" i="3"/>
  <c r="Z89" i="63"/>
  <c r="Z66" i="63"/>
  <c r="J6" i="31"/>
  <c r="L6" i="31"/>
  <c r="AR6" i="31"/>
  <c r="N52" i="65"/>
  <c r="BA5" i="28"/>
  <c r="AH30" i="64"/>
  <c r="AH32" i="64" s="1"/>
  <c r="AS5" i="28"/>
  <c r="AP34" i="64"/>
  <c r="AA37" i="63"/>
  <c r="F33" i="63"/>
  <c r="F37" i="63"/>
  <c r="AM89" i="63"/>
  <c r="AM43" i="63"/>
  <c r="AE52" i="65"/>
  <c r="AP34" i="61"/>
  <c r="AO34" i="64"/>
  <c r="AA35" i="65"/>
  <c r="R30" i="65"/>
  <c r="R32" i="65" s="1"/>
  <c r="R52" i="65"/>
  <c r="AA52" i="65"/>
  <c r="AP64" i="65"/>
  <c r="AA30" i="65"/>
  <c r="AG52" i="65"/>
  <c r="T30" i="61"/>
  <c r="AA69" i="65"/>
  <c r="AH30" i="65"/>
  <c r="AJ30" i="65"/>
  <c r="L8" i="66"/>
  <c r="L10" i="66" s="1"/>
  <c r="L29" i="66"/>
  <c r="AB30" i="61"/>
  <c r="E8" i="66"/>
  <c r="I30" i="61"/>
  <c r="V35" i="65"/>
  <c r="E46" i="67"/>
  <c r="AM35" i="65"/>
  <c r="AP27" i="65"/>
  <c r="AP35" i="65" s="1"/>
  <c r="AO52" i="64"/>
  <c r="AD35" i="65"/>
  <c r="AJ35" i="65"/>
  <c r="N29" i="65"/>
  <c r="N35" i="65"/>
  <c r="N27" i="67"/>
  <c r="AM69" i="65"/>
  <c r="AN89" i="63"/>
  <c r="AM30" i="61"/>
  <c r="AF30" i="65"/>
  <c r="M35" i="65"/>
  <c r="M30" i="65"/>
  <c r="M32" i="65" s="1"/>
  <c r="M29" i="65"/>
  <c r="M27" i="67"/>
  <c r="E30" i="65"/>
  <c r="E32" i="65" s="1"/>
  <c r="E35" i="65"/>
  <c r="E29" i="65"/>
  <c r="E27" i="67"/>
  <c r="E52" i="65"/>
  <c r="R35" i="65"/>
  <c r="R29" i="65"/>
  <c r="R69" i="65"/>
  <c r="AJ37" i="63"/>
  <c r="AP137" i="63"/>
  <c r="Z69" i="65"/>
  <c r="Z30" i="65"/>
  <c r="AD69" i="65"/>
  <c r="N30" i="65"/>
  <c r="N32" i="65" s="1"/>
  <c r="L33" i="63"/>
  <c r="M29" i="66"/>
  <c r="M8" i="66"/>
  <c r="M10" i="66" s="1"/>
  <c r="O33" i="63"/>
  <c r="F35" i="65"/>
  <c r="F27" i="67"/>
  <c r="F29" i="65"/>
  <c r="F30" i="65"/>
  <c r="F32" i="65" s="1"/>
  <c r="K27" i="67"/>
  <c r="K30" i="65"/>
  <c r="K32" i="65" s="1"/>
  <c r="K52" i="65"/>
  <c r="K29" i="65"/>
  <c r="K35" i="65"/>
  <c r="AC37" i="63"/>
  <c r="AO65" i="63"/>
  <c r="AP132" i="63"/>
  <c r="AP138" i="63"/>
  <c r="O30" i="61"/>
  <c r="J29" i="66"/>
  <c r="J8" i="66"/>
  <c r="J10" i="66" s="1"/>
  <c r="J30" i="61"/>
  <c r="G30" i="61"/>
  <c r="AP35" i="61"/>
  <c r="G33" i="63"/>
  <c r="AK43" i="63"/>
  <c r="AK66" i="63"/>
  <c r="AK37" i="63"/>
  <c r="AO35" i="61"/>
  <c r="AO41" i="63"/>
  <c r="Z42" i="63"/>
  <c r="AO42" i="63" s="1"/>
  <c r="U37" i="63"/>
  <c r="AO103" i="61"/>
  <c r="AO98" i="61"/>
  <c r="AD12" i="60"/>
  <c r="AI52" i="65"/>
  <c r="AI35" i="65"/>
  <c r="AI30" i="65"/>
  <c r="F69" i="65"/>
  <c r="Q33" i="63"/>
  <c r="Q37" i="63"/>
  <c r="X37" i="63"/>
  <c r="N33" i="63"/>
  <c r="N37" i="63"/>
  <c r="M30" i="64"/>
  <c r="AN52" i="64"/>
  <c r="AN30" i="64"/>
  <c r="AN32" i="64" s="1"/>
  <c r="AN29" i="64"/>
  <c r="AN35" i="64"/>
  <c r="AP65" i="63"/>
  <c r="K29" i="66"/>
  <c r="K8" i="66"/>
  <c r="K10" i="66" s="1"/>
  <c r="F30" i="64"/>
  <c r="H27" i="67"/>
  <c r="H52" i="65"/>
  <c r="H35" i="65"/>
  <c r="H29" i="65"/>
  <c r="H30" i="65"/>
  <c r="H32" i="65" s="1"/>
  <c r="AE30" i="65"/>
  <c r="AE35" i="65"/>
  <c r="T35" i="65"/>
  <c r="T29" i="65"/>
  <c r="T30" i="65"/>
  <c r="T32" i="65" s="1"/>
  <c r="T30" i="64"/>
  <c r="AP89" i="63"/>
  <c r="AP115" i="63"/>
  <c r="AP11" i="63"/>
  <c r="AK30" i="61"/>
  <c r="AL37" i="63"/>
  <c r="O30" i="64"/>
  <c r="P33" i="63"/>
  <c r="AP24" i="65"/>
  <c r="W30" i="61"/>
  <c r="AD58" i="60"/>
  <c r="AD50" i="60"/>
  <c r="AI69" i="65"/>
  <c r="G29" i="62"/>
  <c r="G8" i="62"/>
  <c r="G10" i="62" s="1"/>
  <c r="AD18" i="60"/>
  <c r="L27" i="67"/>
  <c r="L35" i="65"/>
  <c r="L30" i="65"/>
  <c r="L32" i="65" s="1"/>
  <c r="L29" i="65"/>
  <c r="AP81" i="65"/>
  <c r="AP86" i="65"/>
  <c r="AP31" i="63"/>
  <c r="R37" i="63"/>
  <c r="AO35" i="64"/>
  <c r="F30" i="61"/>
  <c r="AD30" i="60"/>
  <c r="AD38" i="60"/>
  <c r="AD37" i="60"/>
  <c r="AP24" i="61"/>
  <c r="AP30" i="61" s="1"/>
  <c r="AP103" i="61"/>
  <c r="AP98" i="61"/>
  <c r="I29" i="62"/>
  <c r="I8" i="62"/>
  <c r="I10" i="62" s="1"/>
  <c r="J29" i="62"/>
  <c r="J8" i="62"/>
  <c r="J10" i="62" s="1"/>
  <c r="AC35" i="65"/>
  <c r="AC69" i="65"/>
  <c r="AC30" i="65"/>
  <c r="AI37" i="63"/>
  <c r="E80" i="67"/>
  <c r="AL69" i="65"/>
  <c r="AL35" i="65"/>
  <c r="AL30" i="65"/>
  <c r="T69" i="65"/>
  <c r="AO103" i="65"/>
  <c r="AO98" i="65"/>
  <c r="AO27" i="65"/>
  <c r="AO86" i="65"/>
  <c r="AO81" i="65"/>
  <c r="AP98" i="67"/>
  <c r="AO98" i="66"/>
  <c r="O30" i="65"/>
  <c r="O32" i="65" s="1"/>
  <c r="O69" i="65"/>
  <c r="O29" i="65"/>
  <c r="O35" i="65"/>
  <c r="O27" i="67"/>
  <c r="AO115" i="63"/>
  <c r="AO138" i="63"/>
  <c r="AO89" i="63"/>
  <c r="AO11" i="63"/>
  <c r="AO31" i="63"/>
  <c r="AO69" i="65"/>
  <c r="AO52" i="65"/>
  <c r="AO24" i="65"/>
  <c r="Z37" i="63"/>
  <c r="E30" i="64"/>
  <c r="N30" i="61"/>
  <c r="AD30" i="61"/>
  <c r="G29" i="65"/>
  <c r="G35" i="65"/>
  <c r="G30" i="65"/>
  <c r="G32" i="65" s="1"/>
  <c r="G27" i="67"/>
  <c r="AO24" i="64"/>
  <c r="AO30" i="64" s="1"/>
  <c r="AA30" i="64"/>
  <c r="AA32" i="64" s="1"/>
  <c r="Q35" i="65"/>
  <c r="Q29" i="65"/>
  <c r="Q30" i="65"/>
  <c r="Q32" i="65" s="1"/>
  <c r="Q52" i="65"/>
  <c r="H33" i="63"/>
  <c r="H37" i="63"/>
  <c r="AO29" i="64"/>
  <c r="AO11" i="64"/>
  <c r="AO69" i="64"/>
  <c r="AO86" i="64"/>
  <c r="L69" i="65"/>
  <c r="AJ30" i="61"/>
  <c r="AP35" i="64"/>
  <c r="AP24" i="64"/>
  <c r="AP30" i="64" s="1"/>
  <c r="AP41" i="63"/>
  <c r="AE30" i="64"/>
  <c r="AE32" i="64" s="1"/>
  <c r="E37" i="63"/>
  <c r="G52" i="65"/>
  <c r="J33" i="63"/>
  <c r="M37" i="63"/>
  <c r="M33" i="63"/>
  <c r="G30" i="64"/>
  <c r="AE30" i="61"/>
  <c r="K8" i="62"/>
  <c r="K10" i="62" s="1"/>
  <c r="K29" i="62"/>
  <c r="AB4" i="35"/>
  <c r="AC42" i="35"/>
  <c r="AC23" i="35"/>
  <c r="AN37" i="3" l="1"/>
  <c r="F29" i="62"/>
  <c r="N8" i="66"/>
  <c r="N10" i="66" s="1"/>
  <c r="C88" i="55"/>
  <c r="F29" i="66"/>
  <c r="H29" i="62"/>
  <c r="G29" i="66"/>
  <c r="AN91" i="3"/>
  <c r="AN43" i="3"/>
  <c r="AP37" i="63"/>
  <c r="R8" i="32"/>
  <c r="AA4" i="60"/>
  <c r="F6" i="26"/>
  <c r="V6" i="26"/>
  <c r="E130" i="55"/>
  <c r="AB42" i="60"/>
  <c r="A8" i="26"/>
  <c r="AD11" i="35"/>
  <c r="T6" i="26"/>
  <c r="G21" i="76"/>
  <c r="F29" i="76"/>
  <c r="L87" i="55"/>
  <c r="K87" i="55"/>
  <c r="B87" i="55"/>
  <c r="B128" i="55" s="1"/>
  <c r="B38" i="55"/>
  <c r="Q87" i="55"/>
  <c r="M87" i="55"/>
  <c r="G87" i="55"/>
  <c r="I87" i="55"/>
  <c r="O87" i="55"/>
  <c r="A128" i="55"/>
  <c r="Q129" i="55"/>
  <c r="L129" i="55"/>
  <c r="I129" i="55"/>
  <c r="M129" i="55"/>
  <c r="K129" i="55"/>
  <c r="AM43" i="3"/>
  <c r="AM37" i="3"/>
  <c r="AM91" i="3"/>
  <c r="AB23" i="60"/>
  <c r="J8" i="32"/>
  <c r="B6" i="26"/>
  <c r="AR7" i="31"/>
  <c r="AL68" i="57"/>
  <c r="AL62" i="57"/>
  <c r="AL80" i="3"/>
  <c r="AL107" i="3"/>
  <c r="AC18" i="60"/>
  <c r="AC30" i="60"/>
  <c r="X6" i="26"/>
  <c r="AC51" i="60"/>
  <c r="AC12" i="60"/>
  <c r="AC50" i="60"/>
  <c r="AM33" i="3"/>
  <c r="AD31" i="35"/>
  <c r="AL7" i="31"/>
  <c r="A9" i="28"/>
  <c r="H6" i="26"/>
  <c r="AO37" i="63"/>
  <c r="I7" i="28"/>
  <c r="Q9" i="32"/>
  <c r="AC38" i="60"/>
  <c r="DC10" i="54"/>
  <c r="CE10" i="54"/>
  <c r="BG10" i="54"/>
  <c r="AI10" i="54"/>
  <c r="W10" i="54"/>
  <c r="CQ10" i="54"/>
  <c r="AU10" i="54"/>
  <c r="K10" i="54"/>
  <c r="A8" i="54"/>
  <c r="AL72" i="57"/>
  <c r="AL31" i="57"/>
  <c r="AM36" i="57"/>
  <c r="AM72" i="57"/>
  <c r="I8" i="67"/>
  <c r="I10" i="67" s="1"/>
  <c r="AP30" i="65"/>
  <c r="J8" i="67"/>
  <c r="J10" i="67" s="1"/>
  <c r="J7" i="31"/>
  <c r="AN31" i="57"/>
  <c r="N7" i="31"/>
  <c r="AP42" i="63"/>
  <c r="AL60" i="3"/>
  <c r="AL66" i="3"/>
  <c r="AL111" i="3"/>
  <c r="AL84" i="3"/>
  <c r="AL90" i="3"/>
  <c r="AL44" i="3"/>
  <c r="AD5" i="26"/>
  <c r="U8" i="32"/>
  <c r="M8" i="32"/>
  <c r="AL83" i="3"/>
  <c r="AL34" i="3"/>
  <c r="AL91" i="3" s="1"/>
  <c r="AL104" i="3"/>
  <c r="C94" i="3"/>
  <c r="AN45" i="3"/>
  <c r="AM45" i="3"/>
  <c r="AL45" i="3"/>
  <c r="AL41" i="3"/>
  <c r="AL42" i="3" s="1"/>
  <c r="AL56" i="3"/>
  <c r="AL31" i="3"/>
  <c r="AL33" i="3" s="1"/>
  <c r="C71" i="3"/>
  <c r="AL11" i="3"/>
  <c r="A10" i="32"/>
  <c r="AL7" i="3"/>
  <c r="AK107" i="3"/>
  <c r="AK53" i="3"/>
  <c r="AJ4" i="3"/>
  <c r="AK101" i="3"/>
  <c r="AK30" i="3"/>
  <c r="AK77" i="3"/>
  <c r="AL16" i="3"/>
  <c r="AE5" i="26"/>
  <c r="AC5" i="26"/>
  <c r="AB5" i="26"/>
  <c r="AW6" i="28"/>
  <c r="AL117" i="3"/>
  <c r="AN72" i="57"/>
  <c r="AN54" i="57"/>
  <c r="AK28" i="57"/>
  <c r="AK54" i="57" s="1"/>
  <c r="AK71" i="57"/>
  <c r="AL54" i="57"/>
  <c r="AJ77" i="57"/>
  <c r="AJ24" i="57"/>
  <c r="AJ59" i="57"/>
  <c r="AJ41" i="57"/>
  <c r="AK66" i="57"/>
  <c r="AK65" i="57"/>
  <c r="AN7" i="31"/>
  <c r="AM31" i="57"/>
  <c r="AK59" i="58"/>
  <c r="AK41" i="58"/>
  <c r="AK77" i="58"/>
  <c r="AK24" i="58"/>
  <c r="AC58" i="60"/>
  <c r="B7" i="31"/>
  <c r="D7" i="31"/>
  <c r="L7" i="31"/>
  <c r="AP7" i="31"/>
  <c r="A9" i="31"/>
  <c r="AU6" i="31"/>
  <c r="AW6" i="31"/>
  <c r="AV6" i="31"/>
  <c r="AT6" i="31"/>
  <c r="P7" i="31"/>
  <c r="BF5" i="28"/>
  <c r="BG5" i="28"/>
  <c r="BE5" i="28"/>
  <c r="AS6" i="28"/>
  <c r="BH5" i="28"/>
  <c r="AC37" i="35"/>
  <c r="K6" i="28"/>
  <c r="BA6" i="28"/>
  <c r="AO6" i="28"/>
  <c r="AC37" i="60"/>
  <c r="E29" i="67"/>
  <c r="E8" i="67"/>
  <c r="E69" i="66"/>
  <c r="E86" i="66"/>
  <c r="E103" i="66"/>
  <c r="E35" i="66"/>
  <c r="E52" i="66"/>
  <c r="M29" i="67"/>
  <c r="M8" i="67"/>
  <c r="M10" i="67" s="1"/>
  <c r="N29" i="67"/>
  <c r="N8" i="67"/>
  <c r="N10" i="67" s="1"/>
  <c r="AD11" i="60"/>
  <c r="L29" i="67"/>
  <c r="L8" i="67"/>
  <c r="L10" i="67" s="1"/>
  <c r="H8" i="67"/>
  <c r="H10" i="67" s="1"/>
  <c r="H29" i="67"/>
  <c r="A9" i="26"/>
  <c r="AD51" i="60"/>
  <c r="AC12" i="35"/>
  <c r="G8" i="67"/>
  <c r="G10" i="67" s="1"/>
  <c r="G29" i="67"/>
  <c r="AB58" i="60"/>
  <c r="AC30" i="35"/>
  <c r="AC38" i="35"/>
  <c r="AE43" i="60"/>
  <c r="AC58" i="35"/>
  <c r="AC50" i="35"/>
  <c r="P8" i="32"/>
  <c r="AA4" i="35"/>
  <c r="AB23" i="35"/>
  <c r="AB42" i="35"/>
  <c r="O8" i="67"/>
  <c r="O10" i="67" s="1"/>
  <c r="O29" i="67"/>
  <c r="F29" i="67"/>
  <c r="F8" i="67"/>
  <c r="F10" i="67" s="1"/>
  <c r="AO35" i="65"/>
  <c r="AO30" i="65"/>
  <c r="K29" i="67"/>
  <c r="K8" i="67"/>
  <c r="K10" i="67" s="1"/>
  <c r="AD31" i="60"/>
  <c r="V8" i="28" l="1"/>
  <c r="A10" i="28"/>
  <c r="AA58" i="60"/>
  <c r="C87" i="55"/>
  <c r="V7" i="26"/>
  <c r="H7" i="26"/>
  <c r="Z7" i="26"/>
  <c r="AA42" i="60"/>
  <c r="AE27" i="60"/>
  <c r="AE9" i="60"/>
  <c r="AB50" i="60"/>
  <c r="AE6" i="60"/>
  <c r="AE33" i="60"/>
  <c r="AE24" i="60"/>
  <c r="AA23" i="60"/>
  <c r="AA50" i="60"/>
  <c r="AE15" i="60"/>
  <c r="AE57" i="60"/>
  <c r="Z4" i="60"/>
  <c r="AC11" i="60"/>
  <c r="AC6" i="26"/>
  <c r="T7" i="26"/>
  <c r="E8" i="26"/>
  <c r="S8" i="26"/>
  <c r="K8" i="26"/>
  <c r="M8" i="26"/>
  <c r="T8" i="26"/>
  <c r="AE53" i="60"/>
  <c r="X7" i="26"/>
  <c r="AB6" i="26"/>
  <c r="F7" i="26"/>
  <c r="O8" i="26"/>
  <c r="AB37" i="60"/>
  <c r="AB38" i="60"/>
  <c r="AF8" i="28"/>
  <c r="AE6" i="26"/>
  <c r="B7" i="26"/>
  <c r="H8" i="28"/>
  <c r="AC31" i="60"/>
  <c r="AB18" i="60"/>
  <c r="AB30" i="60"/>
  <c r="K8" i="28"/>
  <c r="AB12" i="60"/>
  <c r="AW8" i="28"/>
  <c r="G29" i="76"/>
  <c r="E129" i="55"/>
  <c r="I128" i="55"/>
  <c r="M128" i="55"/>
  <c r="A127" i="55"/>
  <c r="Q128" i="55"/>
  <c r="M86" i="55"/>
  <c r="L86" i="55"/>
  <c r="K86" i="55"/>
  <c r="Q86" i="55"/>
  <c r="B86" i="55"/>
  <c r="B127" i="55" s="1"/>
  <c r="O86" i="55"/>
  <c r="G86" i="55"/>
  <c r="B37" i="55"/>
  <c r="I86" i="55"/>
  <c r="K128" i="55"/>
  <c r="L128" i="55"/>
  <c r="BA8" i="28"/>
  <c r="AC8" i="28"/>
  <c r="AA8" i="28"/>
  <c r="AT7" i="31"/>
  <c r="AS8" i="28"/>
  <c r="AW7" i="31"/>
  <c r="AD6" i="26"/>
  <c r="AK68" i="57"/>
  <c r="E9" i="28"/>
  <c r="Q8" i="28"/>
  <c r="AJ80" i="57"/>
  <c r="K9" i="28"/>
  <c r="AM8" i="28"/>
  <c r="AU7" i="31"/>
  <c r="AO7" i="28"/>
  <c r="AK8" i="28"/>
  <c r="AO8" i="28"/>
  <c r="C8" i="28"/>
  <c r="K7" i="28"/>
  <c r="AV7" i="31"/>
  <c r="AR10" i="32"/>
  <c r="P10" i="32"/>
  <c r="AA9" i="31"/>
  <c r="Y9" i="31"/>
  <c r="W9" i="31"/>
  <c r="AK9" i="31"/>
  <c r="AI9" i="31"/>
  <c r="AE9" i="31"/>
  <c r="BA7" i="28"/>
  <c r="CY8" i="54"/>
  <c r="BC8" i="54"/>
  <c r="AQ8" i="54"/>
  <c r="DC11" i="54"/>
  <c r="CE11" i="54"/>
  <c r="CQ11" i="54"/>
  <c r="S8" i="54"/>
  <c r="W11" i="54"/>
  <c r="BG11" i="54"/>
  <c r="AU11" i="54"/>
  <c r="AI11" i="54"/>
  <c r="AK8" i="54"/>
  <c r="K11" i="54"/>
  <c r="CC8" i="54"/>
  <c r="BY8" i="54"/>
  <c r="G8" i="54"/>
  <c r="AS8" i="54"/>
  <c r="A9" i="54"/>
  <c r="AC8" i="54"/>
  <c r="AR8" i="31"/>
  <c r="AL8" i="31"/>
  <c r="AS7" i="28"/>
  <c r="AK111" i="3"/>
  <c r="AK36" i="57"/>
  <c r="AK60" i="3"/>
  <c r="AK66" i="3"/>
  <c r="AL37" i="3"/>
  <c r="AL67" i="3"/>
  <c r="AK90" i="3"/>
  <c r="AK84" i="3"/>
  <c r="AK117" i="3"/>
  <c r="M9" i="32"/>
  <c r="AL43" i="3"/>
  <c r="AK56" i="3"/>
  <c r="AK31" i="3"/>
  <c r="AK104" i="3"/>
  <c r="J9" i="32"/>
  <c r="R9" i="32"/>
  <c r="AK34" i="3"/>
  <c r="AK44" i="3"/>
  <c r="A11" i="32"/>
  <c r="C72" i="3"/>
  <c r="C95" i="3"/>
  <c r="AK7" i="3"/>
  <c r="AC11" i="35"/>
  <c r="AK41" i="3"/>
  <c r="AK42" i="3" s="1"/>
  <c r="AK45" i="3"/>
  <c r="AI4" i="3"/>
  <c r="AJ30" i="3"/>
  <c r="AJ101" i="3"/>
  <c r="AJ77" i="3"/>
  <c r="AJ53" i="3"/>
  <c r="AK80" i="3"/>
  <c r="AK11" i="3"/>
  <c r="AK16" i="3"/>
  <c r="AK83" i="3"/>
  <c r="U9" i="32"/>
  <c r="AJ18" i="57"/>
  <c r="AJ71" i="57"/>
  <c r="AK31" i="57"/>
  <c r="AK72" i="57"/>
  <c r="AJ53" i="57"/>
  <c r="AJ84" i="57"/>
  <c r="AJ89" i="57"/>
  <c r="AJ48" i="57"/>
  <c r="AJ28" i="57"/>
  <c r="AJ72" i="57" s="1"/>
  <c r="AJ35" i="57"/>
  <c r="AJ25" i="57"/>
  <c r="AJ66" i="57"/>
  <c r="AI77" i="57"/>
  <c r="AI59" i="57"/>
  <c r="AI41" i="57"/>
  <c r="AI24" i="57"/>
  <c r="AJ38" i="58"/>
  <c r="AJ11" i="57"/>
  <c r="AJ59" i="58"/>
  <c r="AJ41" i="58"/>
  <c r="AJ77" i="58"/>
  <c r="AJ24" i="58"/>
  <c r="D8" i="31"/>
  <c r="AN8" i="31"/>
  <c r="AP8" i="31"/>
  <c r="AW7" i="28"/>
  <c r="P8" i="31"/>
  <c r="BF6" i="28"/>
  <c r="BG6" i="28"/>
  <c r="BE6" i="28"/>
  <c r="J8" i="31"/>
  <c r="N8" i="31"/>
  <c r="B8" i="31"/>
  <c r="BH6" i="28"/>
  <c r="A10" i="31"/>
  <c r="L8" i="31"/>
  <c r="E103" i="67"/>
  <c r="E86" i="67"/>
  <c r="E10" i="67"/>
  <c r="E52" i="67"/>
  <c r="E69" i="67"/>
  <c r="E35" i="67"/>
  <c r="AB30" i="35"/>
  <c r="AB38" i="35"/>
  <c r="AE24" i="35"/>
  <c r="AE53" i="35"/>
  <c r="AA23" i="35"/>
  <c r="Z4" i="35"/>
  <c r="AE43" i="35"/>
  <c r="AE57" i="35"/>
  <c r="AA42" i="35"/>
  <c r="AH8" i="28"/>
  <c r="AB51" i="60"/>
  <c r="AB37" i="35"/>
  <c r="AC51" i="35"/>
  <c r="AC31" i="35"/>
  <c r="A10" i="26"/>
  <c r="I8" i="28"/>
  <c r="E8" i="28"/>
  <c r="AB11" i="60"/>
  <c r="X8" i="26"/>
  <c r="Y4" i="60"/>
  <c r="Z42" i="60"/>
  <c r="Z23" i="60"/>
  <c r="V8" i="26"/>
  <c r="X8" i="28"/>
  <c r="Z8" i="26"/>
  <c r="A11" i="28"/>
  <c r="V9" i="28"/>
  <c r="AB12" i="35"/>
  <c r="AB31" i="60"/>
  <c r="AB50" i="35"/>
  <c r="AB58" i="35"/>
  <c r="S8" i="28"/>
  <c r="AE47" i="60"/>
  <c r="AA37" i="60" l="1"/>
  <c r="AA18" i="60"/>
  <c r="AA38" i="60"/>
  <c r="AE14" i="60"/>
  <c r="AE8" i="60"/>
  <c r="AO9" i="28"/>
  <c r="AA30" i="60"/>
  <c r="C86" i="55"/>
  <c r="AE37" i="60"/>
  <c r="AD7" i="26"/>
  <c r="AA12" i="60"/>
  <c r="AB7" i="26"/>
  <c r="AC7" i="26"/>
  <c r="AE7" i="26"/>
  <c r="B8" i="26"/>
  <c r="C8" i="26" s="1"/>
  <c r="F8" i="26"/>
  <c r="H8" i="26"/>
  <c r="I8" i="26" s="1"/>
  <c r="AS9" i="28"/>
  <c r="L8" i="28"/>
  <c r="C10" i="28"/>
  <c r="Q8" i="26"/>
  <c r="BA9" i="28"/>
  <c r="AW9" i="28"/>
  <c r="AF10" i="28"/>
  <c r="AF9" i="28"/>
  <c r="BE8" i="28"/>
  <c r="BH8" i="28"/>
  <c r="G85" i="55"/>
  <c r="O85" i="55"/>
  <c r="Q85" i="55"/>
  <c r="K85" i="55"/>
  <c r="B85" i="55"/>
  <c r="B126" i="55" s="1"/>
  <c r="M85" i="55"/>
  <c r="L85" i="55"/>
  <c r="B36" i="55"/>
  <c r="I85" i="55"/>
  <c r="A126" i="55"/>
  <c r="Q127" i="55"/>
  <c r="K127" i="55"/>
  <c r="L127" i="55"/>
  <c r="M127" i="55"/>
  <c r="E128" i="55"/>
  <c r="AY10" i="32"/>
  <c r="I127" i="55"/>
  <c r="Q10" i="28"/>
  <c r="BF8" i="28"/>
  <c r="BG8" i="28"/>
  <c r="AK9" i="28"/>
  <c r="C9" i="28"/>
  <c r="AQ10" i="32"/>
  <c r="AC10" i="28"/>
  <c r="AA9" i="28"/>
  <c r="S9" i="28"/>
  <c r="Q9" i="28"/>
  <c r="AA10" i="28"/>
  <c r="AJ104" i="3"/>
  <c r="AJ107" i="3"/>
  <c r="S10" i="26"/>
  <c r="Q10" i="26"/>
  <c r="O10" i="26"/>
  <c r="W10" i="31"/>
  <c r="AK10" i="31"/>
  <c r="AI10" i="31"/>
  <c r="AC10" i="31"/>
  <c r="AA10" i="31"/>
  <c r="Y10" i="31"/>
  <c r="AZ10" i="32"/>
  <c r="AL10" i="32"/>
  <c r="AT10" i="32"/>
  <c r="AM10" i="32"/>
  <c r="AU10" i="32"/>
  <c r="CM9" i="54"/>
  <c r="CE12" i="54"/>
  <c r="AE9" i="54"/>
  <c r="DC12" i="54"/>
  <c r="CQ12" i="54"/>
  <c r="AU12" i="54"/>
  <c r="BG12" i="54"/>
  <c r="AI12" i="54"/>
  <c r="W12" i="54"/>
  <c r="CM8" i="54"/>
  <c r="CA8" i="54"/>
  <c r="AE8" i="54"/>
  <c r="K12" i="54"/>
  <c r="E9" i="54"/>
  <c r="BM9" i="54"/>
  <c r="CO9" i="54"/>
  <c r="BE9" i="54"/>
  <c r="AG9" i="54"/>
  <c r="CC9" i="54"/>
  <c r="DA9" i="54"/>
  <c r="BQ9" i="54"/>
  <c r="AO9" i="54"/>
  <c r="AS9" i="54"/>
  <c r="CK9" i="54"/>
  <c r="I9" i="54"/>
  <c r="BA9" i="54"/>
  <c r="A10" i="54"/>
  <c r="Q9" i="54"/>
  <c r="Y9" i="54"/>
  <c r="AK9" i="54"/>
  <c r="CW9" i="54"/>
  <c r="M9" i="54"/>
  <c r="U9" i="54"/>
  <c r="CK8" i="54"/>
  <c r="DA8" i="54"/>
  <c r="BE8" i="54"/>
  <c r="BM8" i="54"/>
  <c r="AO8" i="54"/>
  <c r="Y8" i="54"/>
  <c r="U8" i="54"/>
  <c r="E8" i="54"/>
  <c r="BQ8" i="54"/>
  <c r="CO8" i="54"/>
  <c r="BA8" i="54"/>
  <c r="I8" i="54"/>
  <c r="AG8" i="54"/>
  <c r="CW8" i="54"/>
  <c r="Q8" i="54"/>
  <c r="M8" i="54"/>
  <c r="AI80" i="57"/>
  <c r="AJ10" i="32"/>
  <c r="AI10" i="32"/>
  <c r="AV8" i="31"/>
  <c r="C10" i="32"/>
  <c r="AK37" i="3"/>
  <c r="AI18" i="57"/>
  <c r="AJ47" i="3"/>
  <c r="AK91" i="3"/>
  <c r="AJ111" i="3"/>
  <c r="AJ90" i="3"/>
  <c r="AJ84" i="3"/>
  <c r="AJ66" i="3"/>
  <c r="AJ60" i="3"/>
  <c r="AK67" i="3"/>
  <c r="G9" i="31"/>
  <c r="AJ45" i="3"/>
  <c r="BB10" i="32"/>
  <c r="AP9" i="31"/>
  <c r="A12" i="32"/>
  <c r="AJ117" i="3"/>
  <c r="AI101" i="3"/>
  <c r="AI77" i="3"/>
  <c r="AI53" i="3"/>
  <c r="AI30" i="3"/>
  <c r="AH4" i="3"/>
  <c r="AJ44" i="3"/>
  <c r="C96" i="3"/>
  <c r="AM47" i="3"/>
  <c r="AN47" i="3"/>
  <c r="AL47" i="3"/>
  <c r="AK47" i="3"/>
  <c r="AD10" i="32"/>
  <c r="U10" i="32"/>
  <c r="AE10" i="32"/>
  <c r="M10" i="32"/>
  <c r="N10" i="32" s="1"/>
  <c r="AK33" i="3"/>
  <c r="AB10" i="32"/>
  <c r="J10" i="32"/>
  <c r="K10" i="32" s="1"/>
  <c r="R10" i="32"/>
  <c r="AK43" i="3"/>
  <c r="AA11" i="60"/>
  <c r="AJ34" i="3"/>
  <c r="AJ11" i="3"/>
  <c r="F10" i="32"/>
  <c r="D10" i="32"/>
  <c r="P9" i="32"/>
  <c r="L10" i="32" s="1"/>
  <c r="AA10" i="32"/>
  <c r="AJ41" i="3"/>
  <c r="AJ42" i="3" s="1"/>
  <c r="AJ31" i="3"/>
  <c r="AJ54" i="57"/>
  <c r="AI53" i="57"/>
  <c r="AI71" i="57"/>
  <c r="AI35" i="57"/>
  <c r="AI66" i="57"/>
  <c r="AJ31" i="57"/>
  <c r="AJ36" i="57"/>
  <c r="AI89" i="57"/>
  <c r="AI84" i="57"/>
  <c r="AI11" i="57"/>
  <c r="AH59" i="57"/>
  <c r="AH77" i="57"/>
  <c r="AH24" i="57"/>
  <c r="AH41" i="57"/>
  <c r="AI48" i="57"/>
  <c r="AI28" i="57"/>
  <c r="AI54" i="57" s="1"/>
  <c r="AI25" i="57"/>
  <c r="AN9" i="31"/>
  <c r="AI59" i="58"/>
  <c r="AI41" i="58"/>
  <c r="AI77" i="58"/>
  <c r="AI24" i="58"/>
  <c r="AL9" i="31"/>
  <c r="AE12" i="60"/>
  <c r="AR9" i="31"/>
  <c r="AT8" i="31"/>
  <c r="AW8" i="31"/>
  <c r="AU8" i="31"/>
  <c r="BG7" i="28"/>
  <c r="BH7" i="28"/>
  <c r="BF7" i="28"/>
  <c r="BE7" i="28"/>
  <c r="AC9" i="31"/>
  <c r="AG9" i="31"/>
  <c r="A11" i="31"/>
  <c r="L9" i="31"/>
  <c r="D9" i="31"/>
  <c r="P9" i="31"/>
  <c r="U9" i="31"/>
  <c r="B9" i="31"/>
  <c r="J9" i="31"/>
  <c r="N9" i="31"/>
  <c r="O9" i="31" s="1"/>
  <c r="S9" i="31"/>
  <c r="Q9" i="26"/>
  <c r="F9" i="26"/>
  <c r="G9" i="26" s="1"/>
  <c r="H9" i="26"/>
  <c r="B9" i="26"/>
  <c r="K9" i="26"/>
  <c r="AE5" i="60"/>
  <c r="AE11" i="60" s="1"/>
  <c r="N8" i="28"/>
  <c r="AE14" i="35"/>
  <c r="CD11" i="28"/>
  <c r="A12" i="28"/>
  <c r="BV11" i="28"/>
  <c r="AB31" i="35"/>
  <c r="X9" i="28"/>
  <c r="Z37" i="60"/>
  <c r="V9" i="26"/>
  <c r="O9" i="26"/>
  <c r="AE54" i="60"/>
  <c r="G8" i="26"/>
  <c r="Z23" i="35"/>
  <c r="Y4" i="35"/>
  <c r="Z42" i="35"/>
  <c r="K10" i="28"/>
  <c r="H10" i="28"/>
  <c r="Y42" i="60"/>
  <c r="X4" i="60"/>
  <c r="Y23" i="60"/>
  <c r="AK10" i="28"/>
  <c r="J8" i="28"/>
  <c r="AE25" i="60"/>
  <c r="I9" i="28"/>
  <c r="J9" i="28" s="1"/>
  <c r="AB51" i="35"/>
  <c r="Z12" i="60"/>
  <c r="Z50" i="60"/>
  <c r="S9" i="26"/>
  <c r="M9" i="26"/>
  <c r="AE33" i="35"/>
  <c r="AA37" i="35"/>
  <c r="AE37" i="35" s="1"/>
  <c r="V10" i="28"/>
  <c r="V11" i="28"/>
  <c r="AE58" i="60"/>
  <c r="AE50" i="60"/>
  <c r="AM9" i="28"/>
  <c r="BA10" i="28"/>
  <c r="AO10" i="28"/>
  <c r="AC8" i="26"/>
  <c r="Z30" i="60"/>
  <c r="X9" i="26"/>
  <c r="T9" i="26"/>
  <c r="AE34" i="60"/>
  <c r="AE18" i="60"/>
  <c r="AA12" i="35"/>
  <c r="AE9" i="35"/>
  <c r="AE15" i="35"/>
  <c r="BF9" i="28"/>
  <c r="AW10" i="28"/>
  <c r="AM10" i="28"/>
  <c r="AE28" i="60"/>
  <c r="AA31" i="60"/>
  <c r="AH9" i="28"/>
  <c r="AA58" i="35"/>
  <c r="AE47" i="35"/>
  <c r="AA50" i="35"/>
  <c r="AE8" i="26"/>
  <c r="AB8" i="26"/>
  <c r="AB11" i="35"/>
  <c r="AE38" i="60"/>
  <c r="AE30" i="60"/>
  <c r="A11" i="26"/>
  <c r="AA51" i="60"/>
  <c r="AE48" i="60"/>
  <c r="L9" i="28"/>
  <c r="AA30" i="35"/>
  <c r="AE27" i="35"/>
  <c r="AA38" i="35"/>
  <c r="H9" i="28"/>
  <c r="AS10" i="28"/>
  <c r="AD8" i="26"/>
  <c r="Z9" i="26"/>
  <c r="AE45" i="60"/>
  <c r="AE6" i="35"/>
  <c r="AE8" i="35"/>
  <c r="Z58" i="60" l="1"/>
  <c r="Z18" i="60"/>
  <c r="Z38" i="60"/>
  <c r="C85" i="55"/>
  <c r="BG9" i="28"/>
  <c r="BH9" i="28"/>
  <c r="BE9" i="28"/>
  <c r="AK11" i="28"/>
  <c r="AC9" i="28"/>
  <c r="AF11" i="28"/>
  <c r="AA11" i="28"/>
  <c r="AE18" i="35"/>
  <c r="AA11" i="35"/>
  <c r="E127" i="55"/>
  <c r="L126" i="55"/>
  <c r="M126" i="55"/>
  <c r="K126" i="55"/>
  <c r="Q126" i="55"/>
  <c r="I126" i="55"/>
  <c r="C11" i="28"/>
  <c r="I84" i="55"/>
  <c r="G84" i="55"/>
  <c r="B35" i="55"/>
  <c r="M84" i="55"/>
  <c r="Q84" i="55"/>
  <c r="O84" i="55"/>
  <c r="K84" i="55"/>
  <c r="B84" i="55"/>
  <c r="B125" i="55" s="1"/>
  <c r="A125" i="55" s="1"/>
  <c r="L84" i="55"/>
  <c r="O11" i="26"/>
  <c r="M11" i="26"/>
  <c r="K11" i="26"/>
  <c r="S11" i="26"/>
  <c r="AI11" i="31"/>
  <c r="AC11" i="31"/>
  <c r="AA11" i="31"/>
  <c r="Y11" i="31"/>
  <c r="AK11" i="31"/>
  <c r="W11" i="31"/>
  <c r="AH80" i="57"/>
  <c r="BC9" i="54"/>
  <c r="CY9" i="54"/>
  <c r="CA9" i="54"/>
  <c r="AQ9" i="54"/>
  <c r="CY10" i="54"/>
  <c r="CE13" i="54"/>
  <c r="DC13" i="54"/>
  <c r="CQ13" i="54"/>
  <c r="AU13" i="54"/>
  <c r="W13" i="54"/>
  <c r="BG13" i="54"/>
  <c r="AI13" i="54"/>
  <c r="S9" i="54"/>
  <c r="G9" i="54"/>
  <c r="BY9" i="54"/>
  <c r="AC9" i="54"/>
  <c r="K13" i="54"/>
  <c r="BE10" i="54"/>
  <c r="AC10" i="54"/>
  <c r="Q10" i="54"/>
  <c r="G10" i="54"/>
  <c r="BM10" i="54"/>
  <c r="AG10" i="54"/>
  <c r="A11" i="54"/>
  <c r="BY10" i="54"/>
  <c r="AI107" i="3"/>
  <c r="AI104" i="3"/>
  <c r="AL10" i="31"/>
  <c r="AH35" i="57"/>
  <c r="AI45" i="3"/>
  <c r="AJ37" i="3"/>
  <c r="AI66" i="3"/>
  <c r="AI60" i="3"/>
  <c r="AJ67" i="3"/>
  <c r="AI111" i="3"/>
  <c r="AI90" i="3"/>
  <c r="AI84" i="3"/>
  <c r="AJ91" i="3"/>
  <c r="AW9" i="31"/>
  <c r="AI44" i="3"/>
  <c r="Q10" i="32"/>
  <c r="G10" i="32"/>
  <c r="AI41" i="3"/>
  <c r="AI42" i="3" s="1"/>
  <c r="AJ11" i="32"/>
  <c r="AI11" i="32"/>
  <c r="AI11" i="3"/>
  <c r="AI34" i="3"/>
  <c r="AI91" i="3" s="1"/>
  <c r="M11" i="32"/>
  <c r="N11" i="32" s="1"/>
  <c r="AD11" i="32"/>
  <c r="U11" i="32"/>
  <c r="AE11" i="32"/>
  <c r="AN48" i="3"/>
  <c r="AM48" i="3"/>
  <c r="AL48" i="3"/>
  <c r="AK48" i="3"/>
  <c r="AJ48" i="3"/>
  <c r="AZ11" i="32"/>
  <c r="AY11" i="32"/>
  <c r="C11" i="32"/>
  <c r="Z11" i="60"/>
  <c r="AJ43" i="3"/>
  <c r="V10" i="32"/>
  <c r="W10" i="32"/>
  <c r="AI31" i="3"/>
  <c r="AU11" i="32"/>
  <c r="AT11" i="32"/>
  <c r="BB11" i="32"/>
  <c r="BC11" i="32"/>
  <c r="AI117" i="3"/>
  <c r="Q11" i="32"/>
  <c r="F11" i="32"/>
  <c r="AQ11" i="32"/>
  <c r="AH101" i="3"/>
  <c r="AH53" i="3"/>
  <c r="AH77" i="3"/>
  <c r="AH30" i="3"/>
  <c r="AG4" i="3"/>
  <c r="AB11" i="32"/>
  <c r="J11" i="32"/>
  <c r="K11" i="32" s="1"/>
  <c r="R11" i="32"/>
  <c r="AA11" i="32"/>
  <c r="T10" i="32"/>
  <c r="AI48" i="3"/>
  <c r="A13" i="32"/>
  <c r="BC10" i="32"/>
  <c r="S10" i="32"/>
  <c r="AI47" i="3"/>
  <c r="AM11" i="32"/>
  <c r="AL11" i="32"/>
  <c r="AH18" i="57"/>
  <c r="AI72" i="57"/>
  <c r="AH11" i="57"/>
  <c r="AH53" i="57"/>
  <c r="AH71" i="57"/>
  <c r="AH48" i="57"/>
  <c r="AH28" i="57"/>
  <c r="AH54" i="57" s="1"/>
  <c r="AH66" i="57"/>
  <c r="AH25" i="57"/>
  <c r="AH89" i="57"/>
  <c r="AH84" i="57"/>
  <c r="AI36" i="57"/>
  <c r="AI31" i="57"/>
  <c r="AG59" i="57"/>
  <c r="AG77" i="57"/>
  <c r="AG24" i="57"/>
  <c r="AG41" i="57"/>
  <c r="AH41" i="58"/>
  <c r="AH59" i="58"/>
  <c r="AH77" i="58"/>
  <c r="AH24" i="58"/>
  <c r="AV9" i="31"/>
  <c r="AU9" i="31"/>
  <c r="AT9" i="31"/>
  <c r="AP10" i="31"/>
  <c r="C9" i="31"/>
  <c r="Q9" i="31"/>
  <c r="AE10" i="31"/>
  <c r="E9" i="31"/>
  <c r="M9" i="31"/>
  <c r="J10" i="31"/>
  <c r="K10" i="31" s="1"/>
  <c r="B10" i="31"/>
  <c r="C10" i="31" s="1"/>
  <c r="S10" i="31"/>
  <c r="N10" i="31"/>
  <c r="AE31" i="60"/>
  <c r="AN10" i="31"/>
  <c r="AR10" i="31"/>
  <c r="I10" i="31"/>
  <c r="AG10" i="31"/>
  <c r="E10" i="26"/>
  <c r="I9" i="31"/>
  <c r="U10" i="31"/>
  <c r="L10" i="31"/>
  <c r="M10" i="31" s="1"/>
  <c r="P10" i="31"/>
  <c r="Q10" i="31" s="1"/>
  <c r="D10" i="31"/>
  <c r="E10" i="31" s="1"/>
  <c r="A12" i="31"/>
  <c r="K9" i="31"/>
  <c r="BF10" i="28"/>
  <c r="V10" i="26"/>
  <c r="AE5" i="35"/>
  <c r="AE11" i="35" s="1"/>
  <c r="Y12" i="60"/>
  <c r="N10" i="28"/>
  <c r="CB11" i="28"/>
  <c r="BA11" i="28"/>
  <c r="CP11" i="28"/>
  <c r="K10" i="26"/>
  <c r="AE9" i="26"/>
  <c r="A12" i="26"/>
  <c r="AY11" i="26"/>
  <c r="AS11" i="26"/>
  <c r="AQ11" i="26"/>
  <c r="AM11" i="26"/>
  <c r="T10" i="26"/>
  <c r="BH10" i="28"/>
  <c r="X23" i="60"/>
  <c r="X42" i="60"/>
  <c r="W4" i="60"/>
  <c r="Y50" i="60"/>
  <c r="Y58" i="60"/>
  <c r="H11" i="28"/>
  <c r="K11" i="28"/>
  <c r="S11" i="28"/>
  <c r="C9" i="26"/>
  <c r="L10" i="28"/>
  <c r="AD9" i="26"/>
  <c r="AE54" i="35"/>
  <c r="Z12" i="35"/>
  <c r="Z37" i="35"/>
  <c r="CN11" i="28"/>
  <c r="CL11" i="28"/>
  <c r="A13" i="28"/>
  <c r="BR12" i="28"/>
  <c r="CL12" i="28"/>
  <c r="BZ12" i="28"/>
  <c r="CP12" i="28"/>
  <c r="I9" i="26"/>
  <c r="AE38" i="35"/>
  <c r="AE30" i="35"/>
  <c r="Z10" i="26"/>
  <c r="AH10" i="28"/>
  <c r="AE34" i="35"/>
  <c r="Y38" i="60"/>
  <c r="Y30" i="60"/>
  <c r="CH11" i="28"/>
  <c r="F10" i="26"/>
  <c r="B10" i="26"/>
  <c r="H10" i="26"/>
  <c r="I10" i="26" s="1"/>
  <c r="Z51" i="60"/>
  <c r="AE45" i="35"/>
  <c r="Z30" i="35"/>
  <c r="Z38" i="35"/>
  <c r="AS11" i="28"/>
  <c r="BR11" i="28"/>
  <c r="BZ11" i="28"/>
  <c r="E9" i="26"/>
  <c r="Z31" i="60"/>
  <c r="Q11" i="28"/>
  <c r="M10" i="26"/>
  <c r="AE25" i="35"/>
  <c r="S10" i="28"/>
  <c r="Z50" i="35"/>
  <c r="Z58" i="35"/>
  <c r="BX11" i="28"/>
  <c r="AW11" i="28"/>
  <c r="AO11" i="28"/>
  <c r="AP11" i="28" s="1"/>
  <c r="X10" i="26"/>
  <c r="AE50" i="35"/>
  <c r="AE58" i="35"/>
  <c r="AB9" i="26"/>
  <c r="BE10" i="28"/>
  <c r="AA51" i="35"/>
  <c r="AE48" i="35"/>
  <c r="Y18" i="60"/>
  <c r="AC9" i="26"/>
  <c r="I10" i="28"/>
  <c r="J10" i="28" s="1"/>
  <c r="E10" i="28"/>
  <c r="BN11" i="28"/>
  <c r="AE51" i="60"/>
  <c r="BG10" i="28"/>
  <c r="AE12" i="35"/>
  <c r="AE28" i="35"/>
  <c r="AA31" i="35"/>
  <c r="Y37" i="60"/>
  <c r="X4" i="35"/>
  <c r="Y23" i="35"/>
  <c r="Y42" i="35"/>
  <c r="N9" i="28"/>
  <c r="X10" i="28"/>
  <c r="C84" i="55" l="1"/>
  <c r="Q11" i="26"/>
  <c r="V12" i="28"/>
  <c r="L125" i="55"/>
  <c r="K125" i="55"/>
  <c r="I125" i="55"/>
  <c r="Q125" i="55"/>
  <c r="M125" i="55"/>
  <c r="E126" i="55"/>
  <c r="K83" i="55"/>
  <c r="I83" i="55"/>
  <c r="L83" i="55"/>
  <c r="O83" i="55"/>
  <c r="G83" i="55"/>
  <c r="M83" i="55"/>
  <c r="B83" i="55"/>
  <c r="B124" i="55" s="1"/>
  <c r="A124" i="55" s="1"/>
  <c r="B34" i="55"/>
  <c r="Q83" i="55"/>
  <c r="AF12" i="28"/>
  <c r="Q12" i="28"/>
  <c r="AH111" i="3"/>
  <c r="AH104" i="3"/>
  <c r="AA12" i="31"/>
  <c r="W12" i="31"/>
  <c r="AK12" i="31"/>
  <c r="AM13" i="32"/>
  <c r="S12" i="26"/>
  <c r="G11" i="32"/>
  <c r="AQ10" i="54"/>
  <c r="AE10" i="54"/>
  <c r="S10" i="54"/>
  <c r="BC10" i="54"/>
  <c r="CA10" i="54"/>
  <c r="BC11" i="54"/>
  <c r="AQ11" i="54"/>
  <c r="S11" i="54"/>
  <c r="CM11" i="54"/>
  <c r="DC14" i="54"/>
  <c r="CQ14" i="54"/>
  <c r="AU14" i="54"/>
  <c r="CE14" i="54"/>
  <c r="BG14" i="54"/>
  <c r="AI14" i="54"/>
  <c r="W14" i="54"/>
  <c r="CM10" i="54"/>
  <c r="U10" i="54"/>
  <c r="AS10" i="54"/>
  <c r="CC10" i="54"/>
  <c r="E10" i="54"/>
  <c r="BQ10" i="54"/>
  <c r="M10" i="54"/>
  <c r="AO10" i="54"/>
  <c r="I10" i="54"/>
  <c r="BA10" i="54"/>
  <c r="DA10" i="54"/>
  <c r="AK10" i="54"/>
  <c r="Y10" i="54"/>
  <c r="CO10" i="54"/>
  <c r="CK10" i="54"/>
  <c r="K14" i="54"/>
  <c r="M11" i="54"/>
  <c r="BA11" i="54"/>
  <c r="A12" i="54"/>
  <c r="CG11" i="54"/>
  <c r="G11" i="54"/>
  <c r="CC11" i="54"/>
  <c r="AO11" i="54"/>
  <c r="CW11" i="54"/>
  <c r="BI11" i="54"/>
  <c r="CI11" i="54"/>
  <c r="C11" i="54"/>
  <c r="AY11" i="54"/>
  <c r="E11" i="54"/>
  <c r="BU11" i="54"/>
  <c r="BM11" i="54"/>
  <c r="Y11" i="54"/>
  <c r="AK11" i="54"/>
  <c r="DE11" i="54"/>
  <c r="AS11" i="54"/>
  <c r="BW11" i="54"/>
  <c r="AM11" i="54"/>
  <c r="I11" i="54"/>
  <c r="BY11" i="54"/>
  <c r="CO11" i="54"/>
  <c r="DA11" i="54"/>
  <c r="O11" i="54"/>
  <c r="CW10" i="54"/>
  <c r="AG25" i="57"/>
  <c r="AH107" i="3"/>
  <c r="AN11" i="31"/>
  <c r="AH66" i="3"/>
  <c r="AH60" i="3"/>
  <c r="AH90" i="3"/>
  <c r="AH84" i="3"/>
  <c r="AI37" i="3"/>
  <c r="AI67" i="3"/>
  <c r="AH47" i="3"/>
  <c r="AH41" i="3"/>
  <c r="AH42" i="3" s="1"/>
  <c r="AH48" i="3"/>
  <c r="AM12" i="32"/>
  <c r="AL12" i="32"/>
  <c r="P11" i="32"/>
  <c r="D11" i="32"/>
  <c r="AI43" i="3"/>
  <c r="AJ12" i="32"/>
  <c r="AI12" i="32"/>
  <c r="AH44" i="3"/>
  <c r="AG101" i="3"/>
  <c r="AG30" i="3"/>
  <c r="AF4" i="3"/>
  <c r="AG53" i="3"/>
  <c r="AG77" i="3"/>
  <c r="AQ12" i="32"/>
  <c r="AR12" i="32"/>
  <c r="AH34" i="3"/>
  <c r="P12" i="32"/>
  <c r="C12" i="32"/>
  <c r="V11" i="32"/>
  <c r="W11" i="32"/>
  <c r="E11" i="26"/>
  <c r="AZ12" i="32"/>
  <c r="AY12" i="32"/>
  <c r="AT12" i="32"/>
  <c r="AU12" i="32"/>
  <c r="AH45" i="3"/>
  <c r="BC12" i="32"/>
  <c r="BB12" i="32"/>
  <c r="R12" i="32"/>
  <c r="AB12" i="32"/>
  <c r="J12" i="32"/>
  <c r="K12" i="32" s="1"/>
  <c r="AA12" i="32"/>
  <c r="T11" i="32"/>
  <c r="S11" i="32"/>
  <c r="AH117" i="3"/>
  <c r="AR11" i="32"/>
  <c r="U12" i="32"/>
  <c r="AE12" i="32"/>
  <c r="AD12" i="32"/>
  <c r="M12" i="32"/>
  <c r="A14" i="32"/>
  <c r="AH11" i="3"/>
  <c r="O11" i="32"/>
  <c r="O10" i="32"/>
  <c r="Z11" i="35"/>
  <c r="F12" i="32"/>
  <c r="AH31" i="3"/>
  <c r="AH72" i="57"/>
  <c r="AG18" i="57"/>
  <c r="AG71" i="57"/>
  <c r="AG53" i="57"/>
  <c r="AG48" i="57"/>
  <c r="AG28" i="57"/>
  <c r="AG72" i="57" s="1"/>
  <c r="AG11" i="57"/>
  <c r="AG80" i="57"/>
  <c r="AG35" i="57"/>
  <c r="AP11" i="31"/>
  <c r="AH31" i="57"/>
  <c r="AH36" i="57"/>
  <c r="AG89" i="57"/>
  <c r="AG84" i="57"/>
  <c r="AG66" i="57"/>
  <c r="AF24" i="57"/>
  <c r="AF59" i="57"/>
  <c r="AF41" i="57"/>
  <c r="AF77" i="57"/>
  <c r="AG77" i="58"/>
  <c r="AG24" i="58"/>
  <c r="AG59" i="58"/>
  <c r="AG41" i="58"/>
  <c r="AW10" i="31"/>
  <c r="AR11" i="31"/>
  <c r="U11" i="31"/>
  <c r="L11" i="31"/>
  <c r="M11" i="31" s="1"/>
  <c r="P11" i="31"/>
  <c r="D11" i="31"/>
  <c r="AL11" i="31"/>
  <c r="G11" i="31"/>
  <c r="AE11" i="31"/>
  <c r="BQ12" i="31"/>
  <c r="BC12" i="31"/>
  <c r="BK12" i="31"/>
  <c r="BM12" i="31"/>
  <c r="A13" i="31"/>
  <c r="BO12" i="31"/>
  <c r="S11" i="31"/>
  <c r="B11" i="31"/>
  <c r="C11" i="31" s="1"/>
  <c r="J11" i="31"/>
  <c r="K11" i="31" s="1"/>
  <c r="N11" i="31"/>
  <c r="G10" i="31"/>
  <c r="AG11" i="31"/>
  <c r="AT10" i="31"/>
  <c r="AV10" i="31"/>
  <c r="AU10" i="31"/>
  <c r="O10" i="31"/>
  <c r="X37" i="60"/>
  <c r="AE31" i="35"/>
  <c r="Y37" i="35"/>
  <c r="Y31" i="60"/>
  <c r="X11" i="28"/>
  <c r="BA12" i="28"/>
  <c r="CL13" i="28"/>
  <c r="A14" i="28"/>
  <c r="BR13" i="28"/>
  <c r="CJ11" i="28"/>
  <c r="X58" i="60"/>
  <c r="X50" i="60"/>
  <c r="BH11" i="28"/>
  <c r="BB11" i="28"/>
  <c r="Y12" i="35"/>
  <c r="BG11" i="28"/>
  <c r="BK11" i="28" s="1"/>
  <c r="AX11" i="28"/>
  <c r="I11" i="28"/>
  <c r="J11" i="28" s="1"/>
  <c r="BP12" i="28"/>
  <c r="AO12" i="28"/>
  <c r="E12" i="28"/>
  <c r="C12" i="28"/>
  <c r="V11" i="26"/>
  <c r="AC10" i="26"/>
  <c r="Y50" i="35"/>
  <c r="Y58" i="35"/>
  <c r="E11" i="28"/>
  <c r="AH12" i="28"/>
  <c r="BT11" i="28"/>
  <c r="X11" i="26"/>
  <c r="AO11" i="26"/>
  <c r="AW11" i="26"/>
  <c r="BF11" i="28"/>
  <c r="AE10" i="26"/>
  <c r="BX12" i="28"/>
  <c r="AW12" i="28"/>
  <c r="AX12" i="28" s="1"/>
  <c r="CH12" i="28"/>
  <c r="Y38" i="35"/>
  <c r="Y30" i="35"/>
  <c r="AD10" i="26"/>
  <c r="G10" i="26"/>
  <c r="CN12" i="28"/>
  <c r="CF12" i="28"/>
  <c r="CD12" i="28"/>
  <c r="C10" i="26"/>
  <c r="X18" i="60"/>
  <c r="T11" i="26"/>
  <c r="U11" i="26" s="1"/>
  <c r="AK11" i="26"/>
  <c r="AS12" i="26"/>
  <c r="AU12" i="26"/>
  <c r="AQ12" i="26"/>
  <c r="A13" i="26"/>
  <c r="BP11" i="28"/>
  <c r="AK12" i="28"/>
  <c r="CR12" i="28"/>
  <c r="L11" i="28"/>
  <c r="X12" i="60"/>
  <c r="Z11" i="26"/>
  <c r="AT11" i="28"/>
  <c r="CF11" i="28"/>
  <c r="AM11" i="28"/>
  <c r="AE51" i="35"/>
  <c r="BV12" i="28"/>
  <c r="AH11" i="28"/>
  <c r="AA12" i="28"/>
  <c r="K12" i="28"/>
  <c r="S12" i="28"/>
  <c r="Y11" i="60"/>
  <c r="Z51" i="35"/>
  <c r="W23" i="60"/>
  <c r="V4" i="60"/>
  <c r="W42" i="60"/>
  <c r="AB10" i="26"/>
  <c r="AU11" i="26"/>
  <c r="CR11" i="28"/>
  <c r="BN12" i="28"/>
  <c r="W4" i="35"/>
  <c r="X23" i="35"/>
  <c r="X42" i="35"/>
  <c r="Y51" i="60"/>
  <c r="BE11" i="28"/>
  <c r="AR11" i="28"/>
  <c r="AS12" i="28"/>
  <c r="AC11" i="28"/>
  <c r="Z31" i="35"/>
  <c r="X30" i="60"/>
  <c r="X38" i="60"/>
  <c r="H11" i="26"/>
  <c r="I11" i="26" s="1"/>
  <c r="B11" i="26"/>
  <c r="C11" i="26" s="1"/>
  <c r="F11" i="26"/>
  <c r="C83" i="55" l="1"/>
  <c r="AA13" i="28"/>
  <c r="E125" i="55"/>
  <c r="A123" i="55"/>
  <c r="L124" i="55"/>
  <c r="Q124" i="55"/>
  <c r="I124" i="55"/>
  <c r="M82" i="55"/>
  <c r="O82" i="55"/>
  <c r="L82" i="55"/>
  <c r="K82" i="55"/>
  <c r="B82" i="55"/>
  <c r="B123" i="55" s="1"/>
  <c r="I82" i="55"/>
  <c r="B33" i="55"/>
  <c r="Q82" i="55"/>
  <c r="G82" i="55"/>
  <c r="K124" i="55"/>
  <c r="M124" i="55"/>
  <c r="AF13" i="28"/>
  <c r="V13" i="28"/>
  <c r="AK13" i="28"/>
  <c r="AG45" i="3"/>
  <c r="AA13" i="31"/>
  <c r="Y13" i="31"/>
  <c r="W13" i="31"/>
  <c r="AK13" i="31"/>
  <c r="AI13" i="31"/>
  <c r="AC13" i="31"/>
  <c r="M13" i="26"/>
  <c r="K13" i="26"/>
  <c r="Q13" i="26"/>
  <c r="AU14" i="32"/>
  <c r="AN12" i="31"/>
  <c r="AO12" i="31" s="1"/>
  <c r="CA12" i="54"/>
  <c r="BC12" i="54"/>
  <c r="AQ12" i="54"/>
  <c r="AE12" i="54"/>
  <c r="CY12" i="54"/>
  <c r="CQ15" i="54"/>
  <c r="CM12" i="54"/>
  <c r="CE15" i="54"/>
  <c r="S12" i="54"/>
  <c r="BG15" i="54"/>
  <c r="AI15" i="54"/>
  <c r="AU15" i="54"/>
  <c r="W15" i="54"/>
  <c r="DC15" i="54"/>
  <c r="CY11" i="54"/>
  <c r="AE11" i="54"/>
  <c r="CA11" i="54"/>
  <c r="BE11" i="54"/>
  <c r="AG11" i="54"/>
  <c r="AW11" i="54"/>
  <c r="BQ11" i="54"/>
  <c r="K15" i="54"/>
  <c r="AW12" i="54"/>
  <c r="BM12" i="54"/>
  <c r="AC12" i="54"/>
  <c r="BE12" i="54"/>
  <c r="AA12" i="54"/>
  <c r="BY12" i="54"/>
  <c r="AK12" i="54"/>
  <c r="CS12" i="54"/>
  <c r="G12" i="54"/>
  <c r="Y12" i="54"/>
  <c r="A13" i="54"/>
  <c r="E12" i="54"/>
  <c r="M12" i="54"/>
  <c r="DE12" i="54"/>
  <c r="AG12" i="54"/>
  <c r="AY12" i="54"/>
  <c r="U12" i="54"/>
  <c r="BI12" i="54"/>
  <c r="AS12" i="54"/>
  <c r="BK12" i="54"/>
  <c r="BU12" i="54"/>
  <c r="CC12" i="54"/>
  <c r="AO12" i="54"/>
  <c r="CU12" i="54"/>
  <c r="CW12" i="54"/>
  <c r="Q11" i="54"/>
  <c r="AA11" i="54"/>
  <c r="U11" i="54"/>
  <c r="AC11" i="54"/>
  <c r="BK11" i="54"/>
  <c r="CK11" i="54"/>
  <c r="CS11" i="54"/>
  <c r="CU11" i="54"/>
  <c r="AT13" i="32"/>
  <c r="AG47" i="3"/>
  <c r="X11" i="60"/>
  <c r="AU13" i="32"/>
  <c r="AR13" i="32"/>
  <c r="AG111" i="3"/>
  <c r="AH37" i="3"/>
  <c r="AG84" i="3"/>
  <c r="AG90" i="3"/>
  <c r="AH91" i="3"/>
  <c r="AG66" i="3"/>
  <c r="AG60" i="3"/>
  <c r="AH67" i="3"/>
  <c r="BB13" i="32"/>
  <c r="BC13" i="32"/>
  <c r="AZ13" i="32"/>
  <c r="AY13" i="32"/>
  <c r="W12" i="32"/>
  <c r="V12" i="32"/>
  <c r="AG34" i="3"/>
  <c r="AG44" i="3"/>
  <c r="D12" i="32"/>
  <c r="AL13" i="32"/>
  <c r="AG11" i="3"/>
  <c r="U13" i="32"/>
  <c r="M13" i="32"/>
  <c r="N13" i="32" s="1"/>
  <c r="AD13" i="32"/>
  <c r="AE13" i="32"/>
  <c r="AQ13" i="32"/>
  <c r="AG41" i="3"/>
  <c r="AG42" i="3" s="1"/>
  <c r="AG104" i="3"/>
  <c r="AI13" i="32"/>
  <c r="AJ13" i="32"/>
  <c r="S12" i="32"/>
  <c r="AF30" i="3"/>
  <c r="AF53" i="3"/>
  <c r="AF101" i="3"/>
  <c r="AF77" i="3"/>
  <c r="AE4" i="3"/>
  <c r="Q12" i="32"/>
  <c r="G12" i="32"/>
  <c r="A15" i="32"/>
  <c r="AH43" i="3"/>
  <c r="AG107" i="3"/>
  <c r="C13" i="32"/>
  <c r="N12" i="32"/>
  <c r="AG117" i="3"/>
  <c r="Y11" i="35"/>
  <c r="Q13" i="32"/>
  <c r="F13" i="32"/>
  <c r="AG48" i="3"/>
  <c r="AG31" i="3"/>
  <c r="R13" i="32"/>
  <c r="J13" i="32"/>
  <c r="K13" i="32" s="1"/>
  <c r="AB13" i="32"/>
  <c r="L11" i="32"/>
  <c r="L12" i="32"/>
  <c r="AA13" i="32"/>
  <c r="AF18" i="57"/>
  <c r="AF11" i="57"/>
  <c r="AG54" i="57"/>
  <c r="AF71" i="57"/>
  <c r="AF53" i="57"/>
  <c r="AF80" i="57"/>
  <c r="AF25" i="57"/>
  <c r="AF28" i="57"/>
  <c r="AF72" i="57" s="1"/>
  <c r="AF48" i="57"/>
  <c r="AF66" i="57"/>
  <c r="AF89" i="57"/>
  <c r="AF84" i="57"/>
  <c r="AE24" i="57"/>
  <c r="AE41" i="57"/>
  <c r="AE77" i="57"/>
  <c r="AE59" i="57"/>
  <c r="AF35" i="57"/>
  <c r="AG31" i="57"/>
  <c r="AG36" i="57"/>
  <c r="AF59" i="58"/>
  <c r="AF77" i="58"/>
  <c r="AF41" i="58"/>
  <c r="AF24" i="58"/>
  <c r="B12" i="31"/>
  <c r="C12" i="31" s="1"/>
  <c r="J12" i="31"/>
  <c r="K12" i="31" s="1"/>
  <c r="N12" i="31"/>
  <c r="O12" i="31" s="1"/>
  <c r="S12" i="31"/>
  <c r="AP12" i="31"/>
  <c r="BK13" i="31"/>
  <c r="BM13" i="31"/>
  <c r="BQ13" i="31"/>
  <c r="A14" i="31"/>
  <c r="AI12" i="31"/>
  <c r="BE12" i="31"/>
  <c r="BG12" i="31"/>
  <c r="AC12" i="31"/>
  <c r="U12" i="31"/>
  <c r="P12" i="31"/>
  <c r="Q12" i="31" s="1"/>
  <c r="D12" i="31"/>
  <c r="E12" i="31" s="1"/>
  <c r="L12" i="31"/>
  <c r="M12" i="31" s="1"/>
  <c r="I11" i="31"/>
  <c r="AR12" i="31"/>
  <c r="BI12" i="31"/>
  <c r="AW11" i="31"/>
  <c r="AV11" i="31"/>
  <c r="AU11" i="31"/>
  <c r="AT11" i="31"/>
  <c r="AG12" i="31"/>
  <c r="I12" i="31"/>
  <c r="E11" i="31"/>
  <c r="Y12" i="31"/>
  <c r="Q11" i="31"/>
  <c r="AL12" i="31"/>
  <c r="AM12" i="31" s="1"/>
  <c r="G12" i="31"/>
  <c r="AE12" i="31"/>
  <c r="O11" i="31"/>
  <c r="X37" i="35"/>
  <c r="E12" i="26"/>
  <c r="W18" i="60"/>
  <c r="X58" i="35"/>
  <c r="X50" i="35"/>
  <c r="W50" i="60"/>
  <c r="W58" i="60"/>
  <c r="V23" i="60"/>
  <c r="V42" i="60"/>
  <c r="U4" i="60"/>
  <c r="L12" i="28"/>
  <c r="X12" i="26"/>
  <c r="Y12" i="26" s="1"/>
  <c r="AO12" i="26"/>
  <c r="O12" i="26"/>
  <c r="AY12" i="26"/>
  <c r="Y31" i="35"/>
  <c r="AH13" i="28"/>
  <c r="AC13" i="28"/>
  <c r="BH12" i="28"/>
  <c r="BB12" i="28"/>
  <c r="AZ11" i="28"/>
  <c r="F12" i="26"/>
  <c r="G12" i="26" s="1"/>
  <c r="B12" i="26"/>
  <c r="H12" i="26"/>
  <c r="I12" i="26" s="1"/>
  <c r="K12" i="26"/>
  <c r="T12" i="26"/>
  <c r="AK12" i="26"/>
  <c r="AV11" i="28"/>
  <c r="AD11" i="26"/>
  <c r="AH11" i="26" s="1"/>
  <c r="N11" i="28"/>
  <c r="AC11" i="26"/>
  <c r="W11" i="26"/>
  <c r="C13" i="28"/>
  <c r="A15" i="28"/>
  <c r="BZ14" i="28"/>
  <c r="BR14" i="28"/>
  <c r="AC12" i="28"/>
  <c r="BG12" i="28"/>
  <c r="BK12" i="28" s="1"/>
  <c r="BJ11" i="28"/>
  <c r="Y51" i="35"/>
  <c r="AM13" i="28"/>
  <c r="K13" i="28"/>
  <c r="Q13" i="28"/>
  <c r="CB12" i="28"/>
  <c r="M12" i="26"/>
  <c r="X51" i="60"/>
  <c r="AO13" i="28"/>
  <c r="BN13" i="28"/>
  <c r="BX13" i="28"/>
  <c r="AW13" i="28"/>
  <c r="BV13" i="28"/>
  <c r="W12" i="60"/>
  <c r="AE11" i="26"/>
  <c r="AA11" i="26"/>
  <c r="V4" i="35"/>
  <c r="W42" i="35"/>
  <c r="W23" i="35"/>
  <c r="W30" i="60"/>
  <c r="W38" i="60"/>
  <c r="X31" i="60"/>
  <c r="AM12" i="28"/>
  <c r="I12" i="28"/>
  <c r="J12" i="28" s="1"/>
  <c r="BD11" i="28"/>
  <c r="X12" i="28"/>
  <c r="BI11" i="28"/>
  <c r="BF12" i="28"/>
  <c r="AT12" i="28"/>
  <c r="X30" i="35"/>
  <c r="X38" i="35"/>
  <c r="AY13" i="26"/>
  <c r="AO13" i="26"/>
  <c r="A14" i="26"/>
  <c r="AM13" i="26"/>
  <c r="G11" i="26"/>
  <c r="CJ12" i="28"/>
  <c r="CD13" i="28"/>
  <c r="Z12" i="26"/>
  <c r="AA12" i="26" s="1"/>
  <c r="Q12" i="26"/>
  <c r="AB11" i="26"/>
  <c r="BL11" i="28"/>
  <c r="BA13" i="28"/>
  <c r="BB13" i="28" s="1"/>
  <c r="CH13" i="28"/>
  <c r="BT12" i="28"/>
  <c r="X12" i="35"/>
  <c r="W37" i="60"/>
  <c r="H12" i="28"/>
  <c r="V12" i="26"/>
  <c r="AM12" i="26"/>
  <c r="AW12" i="26"/>
  <c r="BE12" i="28"/>
  <c r="AP12" i="28"/>
  <c r="Y11" i="26"/>
  <c r="CP13" i="28"/>
  <c r="AS13" i="28"/>
  <c r="BZ13" i="28"/>
  <c r="C82" i="55" l="1"/>
  <c r="AA14" i="28"/>
  <c r="AK14" i="28"/>
  <c r="X11" i="35"/>
  <c r="E124" i="55"/>
  <c r="K123" i="55"/>
  <c r="L123" i="55"/>
  <c r="M123" i="55"/>
  <c r="Q123" i="55"/>
  <c r="G81" i="55"/>
  <c r="B32" i="55"/>
  <c r="M81" i="55"/>
  <c r="O81" i="55"/>
  <c r="I81" i="55"/>
  <c r="Q81" i="55"/>
  <c r="B81" i="55"/>
  <c r="B122" i="55" s="1"/>
  <c r="K81" i="55"/>
  <c r="L81" i="55"/>
  <c r="I123" i="55"/>
  <c r="A122" i="55"/>
  <c r="AU15" i="32"/>
  <c r="S14" i="26"/>
  <c r="Q14" i="26"/>
  <c r="O14" i="26"/>
  <c r="K14" i="26"/>
  <c r="L13" i="28"/>
  <c r="AI14" i="31"/>
  <c r="AC14" i="31"/>
  <c r="AA14" i="31"/>
  <c r="Y14" i="31"/>
  <c r="AF107" i="3"/>
  <c r="CM13" i="54"/>
  <c r="AQ13" i="54"/>
  <c r="S13" i="54"/>
  <c r="CE16" i="54"/>
  <c r="DC16" i="54"/>
  <c r="BG16" i="54"/>
  <c r="AI16" i="54"/>
  <c r="W16" i="54"/>
  <c r="CQ16" i="54"/>
  <c r="AU16" i="54"/>
  <c r="BW12" i="54"/>
  <c r="CO12" i="54"/>
  <c r="K16" i="54"/>
  <c r="AY13" i="54"/>
  <c r="AW13" i="54"/>
  <c r="BK13" i="54"/>
  <c r="BM13" i="54"/>
  <c r="BA13" i="54"/>
  <c r="A14" i="54"/>
  <c r="CU13" i="54"/>
  <c r="CI13" i="54"/>
  <c r="BU13" i="54"/>
  <c r="CS13" i="54"/>
  <c r="CK13" i="54"/>
  <c r="CO13" i="54"/>
  <c r="AM13" i="54"/>
  <c r="BW13" i="54"/>
  <c r="DA13" i="54"/>
  <c r="CG13" i="54"/>
  <c r="BQ13" i="54"/>
  <c r="AC13" i="54"/>
  <c r="Q13" i="54"/>
  <c r="AS13" i="54"/>
  <c r="C13" i="54"/>
  <c r="I13" i="54"/>
  <c r="G13" i="54"/>
  <c r="CG12" i="54"/>
  <c r="O12" i="54"/>
  <c r="I12" i="54"/>
  <c r="DA12" i="54"/>
  <c r="AM12" i="54"/>
  <c r="Q12" i="54"/>
  <c r="C12" i="54"/>
  <c r="BA12" i="54"/>
  <c r="BQ12" i="54"/>
  <c r="CI12" i="54"/>
  <c r="CK12" i="54"/>
  <c r="AF47" i="3"/>
  <c r="D14" i="32"/>
  <c r="AE80" i="57"/>
  <c r="AG43" i="3"/>
  <c r="AG37" i="3"/>
  <c r="AF66" i="3"/>
  <c r="AF60" i="3"/>
  <c r="AG67" i="3"/>
  <c r="AF111" i="3"/>
  <c r="AG91" i="3"/>
  <c r="AF84" i="3"/>
  <c r="AF90" i="3"/>
  <c r="AL13" i="31"/>
  <c r="AM13" i="31" s="1"/>
  <c r="G13" i="32"/>
  <c r="AT14" i="32"/>
  <c r="P14" i="32"/>
  <c r="AZ14" i="32"/>
  <c r="AY14" i="32"/>
  <c r="AF44" i="3"/>
  <c r="T12" i="32"/>
  <c r="AQ14" i="32"/>
  <c r="AR14" i="32"/>
  <c r="AF117" i="3"/>
  <c r="AF41" i="3"/>
  <c r="AF42" i="3" s="1"/>
  <c r="AB14" i="32"/>
  <c r="R14" i="32"/>
  <c r="J14" i="32"/>
  <c r="K14" i="32" s="1"/>
  <c r="AE30" i="3"/>
  <c r="AD4" i="3"/>
  <c r="AE53" i="3"/>
  <c r="AE101" i="3"/>
  <c r="AE77" i="3"/>
  <c r="AM14" i="32"/>
  <c r="AL14" i="32"/>
  <c r="AI14" i="32"/>
  <c r="A16" i="32"/>
  <c r="AF45" i="3"/>
  <c r="W13" i="32"/>
  <c r="V13" i="32"/>
  <c r="AE14" i="32"/>
  <c r="U14" i="32"/>
  <c r="M14" i="32"/>
  <c r="N14" i="32" s="1"/>
  <c r="AF34" i="3"/>
  <c r="T13" i="32"/>
  <c r="S13" i="32"/>
  <c r="D13" i="32"/>
  <c r="P13" i="32"/>
  <c r="L13" i="32" s="1"/>
  <c r="BB14" i="32"/>
  <c r="BC14" i="32"/>
  <c r="AF31" i="3"/>
  <c r="AA14" i="32"/>
  <c r="AD14" i="32"/>
  <c r="F14" i="32"/>
  <c r="O13" i="32"/>
  <c r="O12" i="32"/>
  <c r="AF48" i="3"/>
  <c r="AF104" i="3"/>
  <c r="AF11" i="3"/>
  <c r="C14" i="32"/>
  <c r="AE18" i="57"/>
  <c r="AF54" i="57"/>
  <c r="AE53" i="57"/>
  <c r="AE71" i="57"/>
  <c r="AE11" i="57"/>
  <c r="AE48" i="57"/>
  <c r="AE28" i="57"/>
  <c r="AE54" i="57" s="1"/>
  <c r="AE66" i="57"/>
  <c r="AD77" i="57"/>
  <c r="AD24" i="57"/>
  <c r="AD41" i="57"/>
  <c r="AD59" i="57"/>
  <c r="AE35" i="57"/>
  <c r="AF36" i="57"/>
  <c r="AF31" i="57"/>
  <c r="AE25" i="57"/>
  <c r="AE84" i="57"/>
  <c r="AE89" i="57"/>
  <c r="AG13" i="31"/>
  <c r="AE41" i="58"/>
  <c r="AE77" i="58"/>
  <c r="AE59" i="58"/>
  <c r="AE24" i="58"/>
  <c r="AR13" i="31"/>
  <c r="AS13" i="31" s="1"/>
  <c r="BI13" i="31"/>
  <c r="I13" i="31"/>
  <c r="AT12" i="31"/>
  <c r="AX12" i="31" s="1"/>
  <c r="AE13" i="31"/>
  <c r="BC13" i="31"/>
  <c r="BO13" i="31"/>
  <c r="D13" i="31"/>
  <c r="E13" i="31" s="1"/>
  <c r="P13" i="31"/>
  <c r="Q13" i="31" s="1"/>
  <c r="L13" i="31"/>
  <c r="BO14" i="31"/>
  <c r="BM14" i="31"/>
  <c r="BQ14" i="31"/>
  <c r="BK14" i="31"/>
  <c r="A15" i="31"/>
  <c r="AW12" i="31"/>
  <c r="BA12" i="31" s="1"/>
  <c r="AS12" i="31"/>
  <c r="J13" i="31"/>
  <c r="K13" i="31" s="1"/>
  <c r="N13" i="31"/>
  <c r="O13" i="31" s="1"/>
  <c r="B13" i="31"/>
  <c r="C13" i="31" s="1"/>
  <c r="AV12" i="31"/>
  <c r="AZ12" i="31" s="1"/>
  <c r="AQ12" i="31"/>
  <c r="AP13" i="31"/>
  <c r="BG13" i="31"/>
  <c r="S13" i="31"/>
  <c r="AU12" i="31"/>
  <c r="AY12" i="31" s="1"/>
  <c r="BE13" i="31"/>
  <c r="AN13" i="31"/>
  <c r="U13" i="31"/>
  <c r="W37" i="35"/>
  <c r="T13" i="26"/>
  <c r="U13" i="26" s="1"/>
  <c r="BI12" i="28"/>
  <c r="BL12" i="28"/>
  <c r="AC12" i="26"/>
  <c r="AG12" i="26" s="1"/>
  <c r="A15" i="26"/>
  <c r="AW14" i="26"/>
  <c r="AM14" i="26"/>
  <c r="AK14" i="26"/>
  <c r="AQ14" i="26"/>
  <c r="AI11" i="26"/>
  <c r="BP14" i="28"/>
  <c r="AO14" i="28"/>
  <c r="BN14" i="28"/>
  <c r="I13" i="28"/>
  <c r="J13" i="28" s="1"/>
  <c r="E13" i="28"/>
  <c r="C12" i="26"/>
  <c r="W51" i="60"/>
  <c r="X13" i="26"/>
  <c r="Y13" i="26" s="1"/>
  <c r="Z13" i="26"/>
  <c r="AQ13" i="26"/>
  <c r="W38" i="35"/>
  <c r="W30" i="35"/>
  <c r="U4" i="35"/>
  <c r="V42" i="35"/>
  <c r="V23" i="35"/>
  <c r="AZ13" i="28"/>
  <c r="BG13" i="28"/>
  <c r="AX13" i="28"/>
  <c r="BJ12" i="28"/>
  <c r="BX14" i="28"/>
  <c r="AW14" i="28"/>
  <c r="BV14" i="28"/>
  <c r="AK13" i="26"/>
  <c r="O13" i="26"/>
  <c r="W31" i="60"/>
  <c r="CJ13" i="28"/>
  <c r="AE12" i="26"/>
  <c r="AU13" i="26"/>
  <c r="F13" i="26"/>
  <c r="G13" i="26" s="1"/>
  <c r="H13" i="26"/>
  <c r="B13" i="26"/>
  <c r="W12" i="35"/>
  <c r="CF13" i="28"/>
  <c r="CH14" i="28"/>
  <c r="S14" i="28"/>
  <c r="K14" i="28"/>
  <c r="H14" i="28"/>
  <c r="BD12" i="28"/>
  <c r="V50" i="60"/>
  <c r="V58" i="60"/>
  <c r="V38" i="60"/>
  <c r="V30" i="60"/>
  <c r="X31" i="35"/>
  <c r="X13" i="28"/>
  <c r="Q14" i="28"/>
  <c r="AR12" i="28"/>
  <c r="H13" i="28"/>
  <c r="CR13" i="28"/>
  <c r="AF11" i="26"/>
  <c r="AH14" i="28"/>
  <c r="AF14" i="28"/>
  <c r="CB14" i="28"/>
  <c r="BA14" i="28"/>
  <c r="AG11" i="26"/>
  <c r="CP14" i="28"/>
  <c r="AB12" i="26"/>
  <c r="U12" i="26"/>
  <c r="AW13" i="26"/>
  <c r="V14" i="28"/>
  <c r="W58" i="35"/>
  <c r="W50" i="35"/>
  <c r="W12" i="26"/>
  <c r="AS13" i="26"/>
  <c r="CD14" i="28"/>
  <c r="CL14" i="28"/>
  <c r="S13" i="28"/>
  <c r="BF13" i="28"/>
  <c r="AT13" i="28"/>
  <c r="BH13" i="28"/>
  <c r="CN13" i="28"/>
  <c r="BE13" i="28"/>
  <c r="BI13" i="28" s="1"/>
  <c r="AZ12" i="28"/>
  <c r="AS14" i="28"/>
  <c r="AT14" i="28" s="1"/>
  <c r="A16" i="28"/>
  <c r="CP15" i="28"/>
  <c r="CL15" i="28"/>
  <c r="AV12" i="28"/>
  <c r="AD12" i="26"/>
  <c r="AH12" i="26" s="1"/>
  <c r="BT13" i="28"/>
  <c r="AP13" i="28"/>
  <c r="V13" i="26"/>
  <c r="X14" i="28"/>
  <c r="S13" i="26"/>
  <c r="W11" i="60"/>
  <c r="BP13" i="28"/>
  <c r="CB13" i="28"/>
  <c r="E14" i="28"/>
  <c r="C14" i="28"/>
  <c r="V18" i="60"/>
  <c r="X51" i="35"/>
  <c r="N12" i="28"/>
  <c r="V37" i="60"/>
  <c r="U42" i="60"/>
  <c r="U23" i="60"/>
  <c r="T4" i="60"/>
  <c r="V12" i="60"/>
  <c r="C81" i="55" l="1"/>
  <c r="Q122" i="55"/>
  <c r="I122" i="55"/>
  <c r="E123" i="55"/>
  <c r="M122" i="55"/>
  <c r="B80" i="55"/>
  <c r="B121" i="55" s="1"/>
  <c r="A121" i="55" s="1"/>
  <c r="G80" i="55"/>
  <c r="Q80" i="55"/>
  <c r="I80" i="55"/>
  <c r="L80" i="55"/>
  <c r="K80" i="55"/>
  <c r="M80" i="55"/>
  <c r="B31" i="55"/>
  <c r="O80" i="55"/>
  <c r="L122" i="55"/>
  <c r="K122" i="55"/>
  <c r="C15" i="28"/>
  <c r="AK15" i="28"/>
  <c r="AI15" i="31"/>
  <c r="AG15" i="31"/>
  <c r="AC15" i="31"/>
  <c r="AK15" i="31"/>
  <c r="S15" i="26"/>
  <c r="O15" i="26"/>
  <c r="L14" i="28"/>
  <c r="Q16" i="32"/>
  <c r="CY13" i="54"/>
  <c r="AE13" i="54"/>
  <c r="CM14" i="54"/>
  <c r="CA14" i="54"/>
  <c r="AQ14" i="54"/>
  <c r="AE14" i="54"/>
  <c r="CE17" i="54"/>
  <c r="DC17" i="54"/>
  <c r="BG17" i="54"/>
  <c r="W17" i="54"/>
  <c r="AI17" i="54"/>
  <c r="CQ17" i="54"/>
  <c r="AU17" i="54"/>
  <c r="BC13" i="54"/>
  <c r="CA13" i="54"/>
  <c r="BE13" i="54"/>
  <c r="CW13" i="54"/>
  <c r="DE13" i="54"/>
  <c r="AO13" i="54"/>
  <c r="M13" i="54"/>
  <c r="AG13" i="54"/>
  <c r="BY13" i="54"/>
  <c r="U13" i="54"/>
  <c r="K17" i="54"/>
  <c r="CU14" i="54"/>
  <c r="BK14" i="54"/>
  <c r="Y14" i="54"/>
  <c r="AK14" i="54"/>
  <c r="CW14" i="54"/>
  <c r="AS14" i="54"/>
  <c r="M14" i="54"/>
  <c r="BM14" i="54"/>
  <c r="CC14" i="54"/>
  <c r="CO14" i="54"/>
  <c r="AA14" i="54"/>
  <c r="E14" i="54"/>
  <c r="C14" i="54"/>
  <c r="BI14" i="54"/>
  <c r="I14" i="54"/>
  <c r="A15" i="54"/>
  <c r="BU14" i="54"/>
  <c r="DA14" i="54"/>
  <c r="CK14" i="54"/>
  <c r="AY14" i="54"/>
  <c r="AC14" i="54"/>
  <c r="CS14" i="54"/>
  <c r="O13" i="54"/>
  <c r="BI13" i="54"/>
  <c r="AK13" i="54"/>
  <c r="AA13" i="54"/>
  <c r="CC13" i="54"/>
  <c r="E13" i="54"/>
  <c r="Y13" i="54"/>
  <c r="AD18" i="57"/>
  <c r="AM15" i="32"/>
  <c r="AT15" i="32"/>
  <c r="L14" i="32"/>
  <c r="AF37" i="3"/>
  <c r="AD80" i="57"/>
  <c r="AE107" i="3"/>
  <c r="AE60" i="3"/>
  <c r="AE66" i="3"/>
  <c r="AE84" i="3"/>
  <c r="AE90" i="3"/>
  <c r="AE111" i="3"/>
  <c r="AF67" i="3"/>
  <c r="AF91" i="3"/>
  <c r="BC15" i="32"/>
  <c r="AQ15" i="32"/>
  <c r="AJ14" i="32"/>
  <c r="AE48" i="3"/>
  <c r="AE44" i="3"/>
  <c r="V11" i="60"/>
  <c r="Q14" i="32"/>
  <c r="G14" i="32"/>
  <c r="U15" i="32"/>
  <c r="M15" i="32"/>
  <c r="N15" i="32" s="1"/>
  <c r="AE34" i="3"/>
  <c r="AE91" i="3" s="1"/>
  <c r="AF43" i="3"/>
  <c r="AC4" i="3"/>
  <c r="AD101" i="3"/>
  <c r="AD77" i="3"/>
  <c r="AD30" i="3"/>
  <c r="AD53" i="3"/>
  <c r="AE11" i="3"/>
  <c r="AE15" i="32"/>
  <c r="AI15" i="32"/>
  <c r="AJ15" i="32"/>
  <c r="AE47" i="3"/>
  <c r="AE41" i="3"/>
  <c r="AE42" i="3" s="1"/>
  <c r="AE117" i="3"/>
  <c r="AY15" i="32"/>
  <c r="Q15" i="32"/>
  <c r="F15" i="32"/>
  <c r="T14" i="32"/>
  <c r="S14" i="32"/>
  <c r="BB15" i="32"/>
  <c r="V14" i="32"/>
  <c r="W14" i="32"/>
  <c r="AB15" i="32"/>
  <c r="J15" i="32"/>
  <c r="K15" i="32" s="1"/>
  <c r="AA15" i="32"/>
  <c r="R15" i="32"/>
  <c r="AE45" i="3"/>
  <c r="AD15" i="32"/>
  <c r="C15" i="32"/>
  <c r="A17" i="32"/>
  <c r="AE31" i="3"/>
  <c r="AE104" i="3"/>
  <c r="AL15" i="32"/>
  <c r="AD53" i="57"/>
  <c r="AE72" i="57"/>
  <c r="AD71" i="57"/>
  <c r="AD28" i="57"/>
  <c r="AD54" i="57" s="1"/>
  <c r="AD48" i="57"/>
  <c r="AD35" i="57"/>
  <c r="AD66" i="57"/>
  <c r="AD84" i="57"/>
  <c r="AD89" i="57"/>
  <c r="AE36" i="57"/>
  <c r="AE31" i="57"/>
  <c r="AD11" i="57"/>
  <c r="AD25" i="57"/>
  <c r="AC77" i="57"/>
  <c r="AC24" i="57"/>
  <c r="AC41" i="57"/>
  <c r="AC59" i="57"/>
  <c r="AC94" i="57"/>
  <c r="AD59" i="58"/>
  <c r="AD41" i="58"/>
  <c r="AD77" i="58"/>
  <c r="AD94" i="58"/>
  <c r="AD24" i="58"/>
  <c r="AP14" i="31"/>
  <c r="AQ14" i="31" s="1"/>
  <c r="AV13" i="31"/>
  <c r="AZ13" i="31" s="1"/>
  <c r="G14" i="31"/>
  <c r="AE14" i="31"/>
  <c r="AW13" i="31"/>
  <c r="BA13" i="31" s="1"/>
  <c r="AT13" i="31"/>
  <c r="AX13" i="31" s="1"/>
  <c r="AU13" i="31"/>
  <c r="AY13" i="31" s="1"/>
  <c r="AO13" i="31"/>
  <c r="W14" i="31"/>
  <c r="BK15" i="31"/>
  <c r="BQ15" i="31"/>
  <c r="A16" i="31"/>
  <c r="BO15" i="31"/>
  <c r="BM15" i="31"/>
  <c r="B14" i="31"/>
  <c r="C14" i="31" s="1"/>
  <c r="N14" i="31"/>
  <c r="O14" i="31" s="1"/>
  <c r="J14" i="31"/>
  <c r="S14" i="31"/>
  <c r="AL14" i="31"/>
  <c r="BC14" i="31"/>
  <c r="M13" i="31"/>
  <c r="L14" i="31"/>
  <c r="M14" i="31" s="1"/>
  <c r="P14" i="31"/>
  <c r="Q14" i="31" s="1"/>
  <c r="D14" i="31"/>
  <c r="E14" i="31" s="1"/>
  <c r="U14" i="31"/>
  <c r="AQ13" i="31"/>
  <c r="AG14" i="31"/>
  <c r="AN14" i="31"/>
  <c r="BE14" i="31"/>
  <c r="AK14" i="31"/>
  <c r="G13" i="31"/>
  <c r="AR14" i="31"/>
  <c r="BI14" i="31"/>
  <c r="BG14" i="31"/>
  <c r="E14" i="26"/>
  <c r="V37" i="35"/>
  <c r="BN16" i="28"/>
  <c r="CH16" i="28"/>
  <c r="BV16" i="28"/>
  <c r="A17" i="28"/>
  <c r="CJ15" i="28"/>
  <c r="AH15" i="28"/>
  <c r="V51" i="60"/>
  <c r="K15" i="28"/>
  <c r="BX15" i="28"/>
  <c r="AW15" i="28"/>
  <c r="AS15" i="28"/>
  <c r="BR15" i="28"/>
  <c r="CB15" i="28"/>
  <c r="BA15" i="28"/>
  <c r="BB15" i="28" s="1"/>
  <c r="BF14" i="28"/>
  <c r="AV14" i="28"/>
  <c r="AF15" i="28"/>
  <c r="V31" i="60"/>
  <c r="V30" i="35"/>
  <c r="V38" i="35"/>
  <c r="AR14" i="28"/>
  <c r="BE14" i="28"/>
  <c r="AP14" i="28"/>
  <c r="AM14" i="28"/>
  <c r="AM15" i="26"/>
  <c r="A16" i="26"/>
  <c r="AY15" i="26"/>
  <c r="AS15" i="26"/>
  <c r="CJ14" i="28"/>
  <c r="W51" i="35"/>
  <c r="BK13" i="28"/>
  <c r="V50" i="35"/>
  <c r="V58" i="35"/>
  <c r="W11" i="35"/>
  <c r="AB13" i="26"/>
  <c r="AF13" i="26" s="1"/>
  <c r="BL13" i="28"/>
  <c r="U30" i="60"/>
  <c r="U38" i="60"/>
  <c r="U18" i="60"/>
  <c r="CR15" i="28"/>
  <c r="BT14" i="28"/>
  <c r="CN14" i="28"/>
  <c r="BG14" i="28"/>
  <c r="AX14" i="28"/>
  <c r="T4" i="35"/>
  <c r="U42" i="35"/>
  <c r="U23" i="35"/>
  <c r="X14" i="26"/>
  <c r="AO14" i="26"/>
  <c r="U50" i="60"/>
  <c r="U58" i="60"/>
  <c r="AF12" i="26"/>
  <c r="AM15" i="28"/>
  <c r="E13" i="26"/>
  <c r="BH14" i="28"/>
  <c r="BB14" i="28"/>
  <c r="U12" i="60"/>
  <c r="AC13" i="26"/>
  <c r="T23" i="60"/>
  <c r="S4" i="60"/>
  <c r="T42" i="60"/>
  <c r="CR14" i="28"/>
  <c r="AO15" i="28"/>
  <c r="U37" i="60"/>
  <c r="I14" i="28"/>
  <c r="AV13" i="28"/>
  <c r="CD15" i="28"/>
  <c r="CH15" i="28"/>
  <c r="N13" i="28"/>
  <c r="C13" i="26"/>
  <c r="CF14" i="28"/>
  <c r="AI12" i="26"/>
  <c r="V12" i="35"/>
  <c r="AE13" i="26"/>
  <c r="AI13" i="26" s="1"/>
  <c r="AA13" i="26"/>
  <c r="BJ13" i="28"/>
  <c r="Z14" i="26"/>
  <c r="AA14" i="26" s="1"/>
  <c r="T14" i="26"/>
  <c r="BD13" i="28"/>
  <c r="I13" i="26"/>
  <c r="AU14" i="26"/>
  <c r="B14" i="26"/>
  <c r="H14" i="26"/>
  <c r="I14" i="26" s="1"/>
  <c r="F14" i="26"/>
  <c r="BZ15" i="28"/>
  <c r="AS14" i="26"/>
  <c r="AA15" i="28"/>
  <c r="AD13" i="26"/>
  <c r="M14" i="26"/>
  <c r="V14" i="26"/>
  <c r="W13" i="26"/>
  <c r="Q15" i="28"/>
  <c r="W31" i="35"/>
  <c r="AC14" i="28"/>
  <c r="AR13" i="28"/>
  <c r="BN15" i="28"/>
  <c r="BV15" i="28"/>
  <c r="AY14" i="26"/>
  <c r="V15" i="28"/>
  <c r="C80" i="55" l="1"/>
  <c r="V16" i="28"/>
  <c r="E122" i="55"/>
  <c r="I79" i="55"/>
  <c r="G79" i="55"/>
  <c r="B79" i="55"/>
  <c r="B120" i="55" s="1"/>
  <c r="A120" i="55" s="1"/>
  <c r="K79" i="55"/>
  <c r="Q79" i="55"/>
  <c r="B30" i="55"/>
  <c r="M79" i="55"/>
  <c r="L79" i="55"/>
  <c r="O79" i="55"/>
  <c r="M121" i="55"/>
  <c r="K121" i="55"/>
  <c r="L121" i="55"/>
  <c r="I121" i="55"/>
  <c r="Q121" i="55"/>
  <c r="AF16" i="28"/>
  <c r="AK16" i="28"/>
  <c r="O15" i="32"/>
  <c r="AA16" i="28"/>
  <c r="AR15" i="31"/>
  <c r="AS15" i="31" s="1"/>
  <c r="O16" i="26"/>
  <c r="K16" i="26"/>
  <c r="Q16" i="28"/>
  <c r="BC17" i="32"/>
  <c r="P17" i="32"/>
  <c r="AE16" i="31"/>
  <c r="AA16" i="31"/>
  <c r="Y16" i="31"/>
  <c r="AK16" i="31"/>
  <c r="CY14" i="54"/>
  <c r="CA15" i="54"/>
  <c r="BC15" i="54"/>
  <c r="AQ15" i="54"/>
  <c r="CE18" i="54"/>
  <c r="DC18" i="54"/>
  <c r="CQ18" i="54"/>
  <c r="W18" i="54"/>
  <c r="AI18" i="54"/>
  <c r="BG18" i="54"/>
  <c r="AU18" i="54"/>
  <c r="S14" i="54"/>
  <c r="BC14" i="54"/>
  <c r="AM14" i="54"/>
  <c r="BW14" i="54"/>
  <c r="AW14" i="54"/>
  <c r="BY14" i="54"/>
  <c r="DE14" i="54"/>
  <c r="K18" i="54"/>
  <c r="AO15" i="54"/>
  <c r="CG15" i="54"/>
  <c r="BW15" i="54"/>
  <c r="DA15" i="54"/>
  <c r="AG15" i="54"/>
  <c r="A16" i="54"/>
  <c r="I15" i="54"/>
  <c r="BI15" i="54"/>
  <c r="BA15" i="54"/>
  <c r="CI15" i="54"/>
  <c r="M15" i="54"/>
  <c r="CK15" i="54"/>
  <c r="AS15" i="54"/>
  <c r="BE15" i="54"/>
  <c r="AA15" i="54"/>
  <c r="BY15" i="54"/>
  <c r="CC15" i="54"/>
  <c r="CU15" i="54"/>
  <c r="BM15" i="54"/>
  <c r="C15" i="54"/>
  <c r="BK15" i="54"/>
  <c r="AK15" i="54"/>
  <c r="G15" i="54"/>
  <c r="AM15" i="54"/>
  <c r="BQ15" i="54"/>
  <c r="CW15" i="54"/>
  <c r="CO15" i="54"/>
  <c r="CG14" i="54"/>
  <c r="G14" i="54"/>
  <c r="Q14" i="54"/>
  <c r="BA14" i="54"/>
  <c r="AO14" i="54"/>
  <c r="BE14" i="54"/>
  <c r="CI14" i="54"/>
  <c r="AG14" i="54"/>
  <c r="U14" i="54"/>
  <c r="BQ14" i="54"/>
  <c r="O14" i="54"/>
  <c r="AD41" i="3"/>
  <c r="AD42" i="3" s="1"/>
  <c r="AD107" i="3"/>
  <c r="AD48" i="3"/>
  <c r="AD111" i="3"/>
  <c r="AD60" i="3"/>
  <c r="AD66" i="3"/>
  <c r="AD84" i="3"/>
  <c r="AD90" i="3"/>
  <c r="AE37" i="3"/>
  <c r="AE67" i="3"/>
  <c r="AM16" i="32"/>
  <c r="AL16" i="32"/>
  <c r="AD104" i="3"/>
  <c r="AD117" i="3"/>
  <c r="AQ16" i="32"/>
  <c r="AJ16" i="32"/>
  <c r="AI16" i="32"/>
  <c r="G16" i="32"/>
  <c r="AD47" i="3"/>
  <c r="AD34" i="3"/>
  <c r="AD91" i="3" s="1"/>
  <c r="C16" i="32"/>
  <c r="D15" i="32"/>
  <c r="P15" i="32"/>
  <c r="L15" i="32" s="1"/>
  <c r="AE43" i="3"/>
  <c r="BC16" i="32"/>
  <c r="BB16" i="32"/>
  <c r="AC53" i="3"/>
  <c r="AB4" i="3"/>
  <c r="AC30" i="3"/>
  <c r="AC77" i="3"/>
  <c r="AC101" i="3"/>
  <c r="AC127" i="3"/>
  <c r="AR15" i="32"/>
  <c r="AR16" i="32"/>
  <c r="AE16" i="32"/>
  <c r="U16" i="32"/>
  <c r="M16" i="32"/>
  <c r="N16" i="32" s="1"/>
  <c r="F16" i="32"/>
  <c r="W15" i="32"/>
  <c r="AY16" i="32"/>
  <c r="AD45" i="3"/>
  <c r="G15" i="32"/>
  <c r="AU16" i="32"/>
  <c r="AT16" i="32"/>
  <c r="S15" i="32"/>
  <c r="T15" i="32"/>
  <c r="AZ15" i="32"/>
  <c r="AZ16" i="32"/>
  <c r="AD31" i="3"/>
  <c r="AD11" i="3"/>
  <c r="AD44" i="3"/>
  <c r="AD16" i="32"/>
  <c r="A18" i="32"/>
  <c r="J16" i="32"/>
  <c r="K16" i="32" s="1"/>
  <c r="AA16" i="32"/>
  <c r="AB16" i="32"/>
  <c r="R16" i="32"/>
  <c r="O14" i="32"/>
  <c r="O16" i="32"/>
  <c r="V15" i="32"/>
  <c r="AD72" i="57"/>
  <c r="AC18" i="57"/>
  <c r="AC53" i="57"/>
  <c r="AC71" i="57"/>
  <c r="AC11" i="57"/>
  <c r="AB59" i="57"/>
  <c r="AB41" i="57"/>
  <c r="AB77" i="57"/>
  <c r="AB94" i="57"/>
  <c r="AB24" i="57"/>
  <c r="AC89" i="57"/>
  <c r="AC84" i="57"/>
  <c r="AC25" i="57"/>
  <c r="AC28" i="57"/>
  <c r="AC54" i="57" s="1"/>
  <c r="AC48" i="57"/>
  <c r="AC66" i="57"/>
  <c r="AC35" i="57"/>
  <c r="AD36" i="57"/>
  <c r="AD31" i="57"/>
  <c r="AC106" i="57"/>
  <c r="AC101" i="57"/>
  <c r="E15" i="26"/>
  <c r="AD101" i="58"/>
  <c r="AC59" i="58"/>
  <c r="AC41" i="58"/>
  <c r="AC77" i="58"/>
  <c r="AC24" i="58"/>
  <c r="AC94" i="58"/>
  <c r="AE15" i="31"/>
  <c r="G15" i="31"/>
  <c r="AO14" i="31"/>
  <c r="AU14" i="31"/>
  <c r="S15" i="31"/>
  <c r="J15" i="31"/>
  <c r="K15" i="31" s="1"/>
  <c r="N15" i="31"/>
  <c r="O15" i="31" s="1"/>
  <c r="B15" i="31"/>
  <c r="C15" i="31" s="1"/>
  <c r="Y15" i="31"/>
  <c r="I14" i="31"/>
  <c r="A17" i="31"/>
  <c r="BO16" i="31"/>
  <c r="BK16" i="31"/>
  <c r="W15" i="31"/>
  <c r="BC15" i="31"/>
  <c r="AL15" i="31"/>
  <c r="I15" i="31"/>
  <c r="AS14" i="31"/>
  <c r="AW14" i="31"/>
  <c r="BA14" i="31" s="1"/>
  <c r="AN15" i="31"/>
  <c r="BE15" i="31"/>
  <c r="AM14" i="31"/>
  <c r="AT14" i="31"/>
  <c r="AX14" i="31" s="1"/>
  <c r="AA15" i="31"/>
  <c r="U15" i="31"/>
  <c r="P15" i="31"/>
  <c r="Q15" i="31" s="1"/>
  <c r="L15" i="31"/>
  <c r="M15" i="31" s="1"/>
  <c r="D15" i="31"/>
  <c r="E15" i="31" s="1"/>
  <c r="AV14" i="31"/>
  <c r="K14" i="31"/>
  <c r="BG15" i="31"/>
  <c r="AP15" i="31"/>
  <c r="BI15" i="31"/>
  <c r="U37" i="35"/>
  <c r="V51" i="35"/>
  <c r="G14" i="26"/>
  <c r="I15" i="28"/>
  <c r="J15" i="28" s="1"/>
  <c r="T50" i="60"/>
  <c r="T58" i="60"/>
  <c r="AG13" i="26"/>
  <c r="BD14" i="28"/>
  <c r="U58" i="35"/>
  <c r="U50" i="35"/>
  <c r="U11" i="60"/>
  <c r="T15" i="26"/>
  <c r="U15" i="26" s="1"/>
  <c r="Z15" i="26"/>
  <c r="BI14" i="28"/>
  <c r="BJ14" i="28"/>
  <c r="AV15" i="28"/>
  <c r="BF15" i="28"/>
  <c r="H16" i="28"/>
  <c r="K16" i="28"/>
  <c r="AC16" i="28"/>
  <c r="J14" i="28"/>
  <c r="AK15" i="26"/>
  <c r="W14" i="26"/>
  <c r="BL14" i="28"/>
  <c r="V11" i="35"/>
  <c r="B15" i="26"/>
  <c r="C15" i="26" s="1"/>
  <c r="F15" i="26"/>
  <c r="G15" i="26" s="1"/>
  <c r="H15" i="26"/>
  <c r="I15" i="26" s="1"/>
  <c r="K15" i="26"/>
  <c r="BT15" i="28"/>
  <c r="BA16" i="28"/>
  <c r="BZ16" i="28"/>
  <c r="CD16" i="28"/>
  <c r="T38" i="60"/>
  <c r="T30" i="60"/>
  <c r="BH15" i="28"/>
  <c r="BG15" i="28"/>
  <c r="BK15" i="28" s="1"/>
  <c r="AZ15" i="28"/>
  <c r="AX15" i="28"/>
  <c r="C16" i="28"/>
  <c r="AB14" i="26"/>
  <c r="U14" i="26"/>
  <c r="BE15" i="28"/>
  <c r="AP15" i="28"/>
  <c r="U51" i="60"/>
  <c r="AF57" i="60"/>
  <c r="AF43" i="60"/>
  <c r="S42" i="60"/>
  <c r="R4" i="60"/>
  <c r="AF24" i="60"/>
  <c r="AF53" i="60"/>
  <c r="S23" i="60"/>
  <c r="U12" i="35"/>
  <c r="AZ14" i="28"/>
  <c r="AW15" i="26"/>
  <c r="AS16" i="26"/>
  <c r="A17" i="26"/>
  <c r="A18" i="28"/>
  <c r="CP17" i="28"/>
  <c r="CL17" i="28"/>
  <c r="X15" i="28"/>
  <c r="V31" i="35"/>
  <c r="C14" i="26"/>
  <c r="E15" i="28"/>
  <c r="BP15" i="28"/>
  <c r="U31" i="60"/>
  <c r="T18" i="60"/>
  <c r="T37" i="60"/>
  <c r="AD14" i="26"/>
  <c r="AH14" i="26" s="1"/>
  <c r="Y14" i="26"/>
  <c r="BK14" i="28"/>
  <c r="V15" i="26"/>
  <c r="AQ15" i="26"/>
  <c r="N14" i="28"/>
  <c r="CN16" i="28"/>
  <c r="CL16" i="28"/>
  <c r="AH13" i="26"/>
  <c r="U30" i="35"/>
  <c r="U38" i="35"/>
  <c r="S4" i="35"/>
  <c r="T42" i="35"/>
  <c r="T23" i="35"/>
  <c r="AC15" i="28"/>
  <c r="AU15" i="26"/>
  <c r="Q15" i="26"/>
  <c r="AT15" i="28"/>
  <c r="BX16" i="28"/>
  <c r="AW16" i="28"/>
  <c r="AC14" i="26"/>
  <c r="AG14" i="26" s="1"/>
  <c r="AE14" i="26"/>
  <c r="AI14" i="26" s="1"/>
  <c r="T12" i="60"/>
  <c r="X15" i="26"/>
  <c r="AO15" i="26"/>
  <c r="S16" i="28"/>
  <c r="AS16" i="28"/>
  <c r="BR16" i="28"/>
  <c r="CF15" i="28"/>
  <c r="CN15" i="28"/>
  <c r="M15" i="26"/>
  <c r="L15" i="28"/>
  <c r="CR16" i="28"/>
  <c r="AO16" i="28"/>
  <c r="AP16" i="28" s="1"/>
  <c r="CP16" i="28"/>
  <c r="S15" i="28"/>
  <c r="H15" i="28"/>
  <c r="C79" i="55" l="1"/>
  <c r="C17" i="28"/>
  <c r="K78" i="55"/>
  <c r="G78" i="55"/>
  <c r="L78" i="55"/>
  <c r="B78" i="55"/>
  <c r="B119" i="55" s="1"/>
  <c r="A119" i="55" s="1"/>
  <c r="I78" i="55"/>
  <c r="M78" i="55"/>
  <c r="O78" i="55"/>
  <c r="Q78" i="55"/>
  <c r="B29" i="55"/>
  <c r="Q120" i="55"/>
  <c r="K120" i="55"/>
  <c r="E121" i="55"/>
  <c r="L120" i="55"/>
  <c r="I120" i="55"/>
  <c r="M120" i="55"/>
  <c r="AA17" i="32"/>
  <c r="AA17" i="31"/>
  <c r="Y17" i="31"/>
  <c r="W17" i="31"/>
  <c r="AI17" i="31"/>
  <c r="AE17" i="31"/>
  <c r="AC17" i="31"/>
  <c r="L16" i="28"/>
  <c r="Q17" i="26"/>
  <c r="K17" i="26"/>
  <c r="BC18" i="32"/>
  <c r="D18" i="32"/>
  <c r="CM16" i="54"/>
  <c r="CA16" i="54"/>
  <c r="CE19" i="54"/>
  <c r="AE16" i="54"/>
  <c r="DC19" i="54"/>
  <c r="CQ19" i="54"/>
  <c r="W19" i="54"/>
  <c r="AU19" i="54"/>
  <c r="AI19" i="54"/>
  <c r="BG19" i="54"/>
  <c r="CY15" i="54"/>
  <c r="AE15" i="54"/>
  <c r="S15" i="54"/>
  <c r="CM15" i="54"/>
  <c r="AY15" i="54"/>
  <c r="O15" i="54"/>
  <c r="CS15" i="54"/>
  <c r="K19" i="54"/>
  <c r="BQ16" i="54"/>
  <c r="BW16" i="54"/>
  <c r="CO16" i="54"/>
  <c r="AW16" i="54"/>
  <c r="U16" i="54"/>
  <c r="CI16" i="54"/>
  <c r="CS16" i="54"/>
  <c r="AM16" i="54"/>
  <c r="BI16" i="54"/>
  <c r="AC16" i="54"/>
  <c r="O16" i="54"/>
  <c r="E16" i="54"/>
  <c r="BU16" i="54"/>
  <c r="Y16" i="54"/>
  <c r="AK16" i="54"/>
  <c r="Q16" i="54"/>
  <c r="A17" i="54"/>
  <c r="BA16" i="54"/>
  <c r="AY16" i="54"/>
  <c r="CU16" i="54"/>
  <c r="BM16" i="54"/>
  <c r="G16" i="54"/>
  <c r="BY16" i="54"/>
  <c r="CC16" i="54"/>
  <c r="M16" i="54"/>
  <c r="AC15" i="54"/>
  <c r="Y15" i="54"/>
  <c r="BU15" i="54"/>
  <c r="AW15" i="54"/>
  <c r="DE15" i="54"/>
  <c r="E15" i="54"/>
  <c r="Q15" i="54"/>
  <c r="U15" i="54"/>
  <c r="AC47" i="3"/>
  <c r="AB25" i="57"/>
  <c r="AC111" i="3"/>
  <c r="AC84" i="3"/>
  <c r="AC90" i="3"/>
  <c r="AD37" i="3"/>
  <c r="AC60" i="3"/>
  <c r="AC66" i="3"/>
  <c r="AD67" i="3"/>
  <c r="D17" i="32"/>
  <c r="AC44" i="3"/>
  <c r="C17" i="32"/>
  <c r="V16" i="32"/>
  <c r="W16" i="32"/>
  <c r="AC41" i="3"/>
  <c r="AC42" i="3" s="1"/>
  <c r="A19" i="32"/>
  <c r="AJ17" i="32"/>
  <c r="AI17" i="32"/>
  <c r="AC134" i="3"/>
  <c r="AC140" i="3"/>
  <c r="AC34" i="3"/>
  <c r="M17" i="32"/>
  <c r="N17" i="32" s="1"/>
  <c r="AD17" i="32"/>
  <c r="U17" i="32"/>
  <c r="AE17" i="32"/>
  <c r="AQ17" i="32"/>
  <c r="AR17" i="32"/>
  <c r="AC31" i="3"/>
  <c r="AN16" i="31"/>
  <c r="AO16" i="31" s="1"/>
  <c r="AY17" i="32"/>
  <c r="AZ17" i="32"/>
  <c r="F17" i="32"/>
  <c r="T11" i="60"/>
  <c r="AU17" i="32"/>
  <c r="AT17" i="32"/>
  <c r="AC45" i="3"/>
  <c r="AA4" i="3"/>
  <c r="AB53" i="3"/>
  <c r="AB101" i="3"/>
  <c r="AB30" i="3"/>
  <c r="AB77" i="3"/>
  <c r="AB127" i="3"/>
  <c r="AD43" i="3"/>
  <c r="AC117" i="3"/>
  <c r="BB17" i="32"/>
  <c r="AM17" i="32"/>
  <c r="AL17" i="32"/>
  <c r="T16" i="32"/>
  <c r="J17" i="32"/>
  <c r="K17" i="32" s="1"/>
  <c r="R17" i="32"/>
  <c r="T17" i="32" s="1"/>
  <c r="AB17" i="32"/>
  <c r="AC48" i="3"/>
  <c r="AC11" i="3"/>
  <c r="D16" i="32"/>
  <c r="P16" i="32"/>
  <c r="L16" i="32" s="1"/>
  <c r="S16" i="32"/>
  <c r="AB18" i="57"/>
  <c r="AB53" i="57"/>
  <c r="AB71" i="57"/>
  <c r="AB11" i="57"/>
  <c r="AC72" i="57"/>
  <c r="AB35" i="57"/>
  <c r="AC31" i="57"/>
  <c r="AC36" i="57"/>
  <c r="AA59" i="57"/>
  <c r="AA24" i="57"/>
  <c r="AA41" i="57"/>
  <c r="AA77" i="57"/>
  <c r="AA94" i="57"/>
  <c r="AB66" i="57"/>
  <c r="AB28" i="57"/>
  <c r="AB54" i="57" s="1"/>
  <c r="AB48" i="57"/>
  <c r="AB89" i="57"/>
  <c r="AB84" i="57"/>
  <c r="AB101" i="57"/>
  <c r="AB106" i="57"/>
  <c r="AB59" i="58"/>
  <c r="AB94" i="58"/>
  <c r="AB41" i="58"/>
  <c r="AB77" i="58"/>
  <c r="AB24" i="58"/>
  <c r="AC101" i="58"/>
  <c r="Q16" i="26"/>
  <c r="AZ14" i="31"/>
  <c r="AY14" i="31"/>
  <c r="AL16" i="31"/>
  <c r="BC16" i="31"/>
  <c r="AR16" i="31"/>
  <c r="BI16" i="31"/>
  <c r="W16" i="31"/>
  <c r="BM16" i="31"/>
  <c r="D16" i="31"/>
  <c r="E16" i="31" s="1"/>
  <c r="P16" i="31"/>
  <c r="Q16" i="31" s="1"/>
  <c r="L16" i="31"/>
  <c r="M16" i="31" s="1"/>
  <c r="U16" i="31"/>
  <c r="J16" i="31"/>
  <c r="K16" i="31" s="1"/>
  <c r="N16" i="31"/>
  <c r="B16" i="31"/>
  <c r="S16" i="31"/>
  <c r="BE16" i="31"/>
  <c r="AV15" i="31"/>
  <c r="AZ15" i="31" s="1"/>
  <c r="AQ15" i="31"/>
  <c r="AU15" i="31"/>
  <c r="AY15" i="31" s="1"/>
  <c r="AO15" i="31"/>
  <c r="AC16" i="31"/>
  <c r="AP16" i="31"/>
  <c r="BG16" i="31"/>
  <c r="AI16" i="31"/>
  <c r="AT15" i="31"/>
  <c r="AX15" i="31" s="1"/>
  <c r="AM15" i="31"/>
  <c r="AW15" i="31"/>
  <c r="BA15" i="31" s="1"/>
  <c r="BQ16" i="31"/>
  <c r="AG16" i="31"/>
  <c r="I16" i="31"/>
  <c r="BQ17" i="31"/>
  <c r="A18" i="31"/>
  <c r="BM17" i="31"/>
  <c r="BG17" i="31"/>
  <c r="BO17" i="31"/>
  <c r="BK17" i="31"/>
  <c r="E16" i="26"/>
  <c r="T12" i="35"/>
  <c r="T37" i="35"/>
  <c r="AF24" i="35"/>
  <c r="S42" i="35"/>
  <c r="R4" i="35"/>
  <c r="AF43" i="35"/>
  <c r="AF53" i="35"/>
  <c r="AF57" i="35"/>
  <c r="S23" i="35"/>
  <c r="AW17" i="28"/>
  <c r="AX17" i="28" s="1"/>
  <c r="BV17" i="28"/>
  <c r="V16" i="26"/>
  <c r="AM16" i="26"/>
  <c r="T16" i="26"/>
  <c r="AK16" i="26"/>
  <c r="Q4" i="60"/>
  <c r="P4" i="60" s="1"/>
  <c r="O4" i="60" s="1"/>
  <c r="N4" i="60" s="1"/>
  <c r="M4" i="60" s="1"/>
  <c r="L4" i="60" s="1"/>
  <c r="K4" i="60" s="1"/>
  <c r="J4" i="60" s="1"/>
  <c r="I4" i="60" s="1"/>
  <c r="H4" i="60" s="1"/>
  <c r="G4" i="60" s="1"/>
  <c r="F4" i="60" s="1"/>
  <c r="R42" i="60"/>
  <c r="R23" i="60"/>
  <c r="S16" i="26"/>
  <c r="BZ17" i="28"/>
  <c r="U31" i="35"/>
  <c r="AR16" i="28"/>
  <c r="BE16" i="28"/>
  <c r="BI16" i="28" s="1"/>
  <c r="U51" i="35"/>
  <c r="AD15" i="26"/>
  <c r="Y15" i="26"/>
  <c r="AO17" i="28"/>
  <c r="AP17" i="28" s="1"/>
  <c r="BN17" i="28"/>
  <c r="CR17" i="28"/>
  <c r="AY16" i="26"/>
  <c r="AF33" i="60"/>
  <c r="S37" i="60"/>
  <c r="AF37" i="60" s="1"/>
  <c r="X16" i="28"/>
  <c r="AB15" i="26"/>
  <c r="T50" i="35"/>
  <c r="T58" i="35"/>
  <c r="T30" i="35"/>
  <c r="T38" i="35"/>
  <c r="CD17" i="28"/>
  <c r="V17" i="28"/>
  <c r="M16" i="26"/>
  <c r="AF14" i="60"/>
  <c r="S18" i="60"/>
  <c r="CH17" i="28"/>
  <c r="BT17" i="28"/>
  <c r="AS17" i="28"/>
  <c r="BR17" i="28"/>
  <c r="BL15" i="28"/>
  <c r="CF16" i="28"/>
  <c r="N15" i="28"/>
  <c r="CJ16" i="28"/>
  <c r="AF17" i="28"/>
  <c r="K17" i="28"/>
  <c r="H17" i="28"/>
  <c r="S17" i="28"/>
  <c r="Q17" i="28"/>
  <c r="AQ17" i="26"/>
  <c r="A18" i="26"/>
  <c r="M17" i="26"/>
  <c r="AU17" i="26"/>
  <c r="AU16" i="26"/>
  <c r="S12" i="60"/>
  <c r="AF9" i="60"/>
  <c r="S38" i="60"/>
  <c r="S30" i="60"/>
  <c r="AF27" i="60"/>
  <c r="BD15" i="28"/>
  <c r="BD16" i="28"/>
  <c r="BH16" i="28"/>
  <c r="BB16" i="28"/>
  <c r="AK17" i="28"/>
  <c r="BF16" i="28"/>
  <c r="AV16" i="28"/>
  <c r="AT16" i="28"/>
  <c r="BG16" i="28"/>
  <c r="AX16" i="28"/>
  <c r="T51" i="60"/>
  <c r="CD18" i="28"/>
  <c r="A19" i="28"/>
  <c r="H16" i="26"/>
  <c r="F16" i="26"/>
  <c r="B16" i="26"/>
  <c r="C16" i="26" s="1"/>
  <c r="AR15" i="28"/>
  <c r="AF14" i="26"/>
  <c r="BJ15" i="28"/>
  <c r="AE15" i="26"/>
  <c r="AI15" i="26" s="1"/>
  <c r="AA15" i="26"/>
  <c r="U11" i="35"/>
  <c r="T31" i="60"/>
  <c r="AA17" i="28"/>
  <c r="X16" i="26"/>
  <c r="Y16" i="26" s="1"/>
  <c r="AO16" i="26"/>
  <c r="AW16" i="26"/>
  <c r="AF47" i="60"/>
  <c r="S50" i="60"/>
  <c r="S58" i="60"/>
  <c r="AF15" i="60"/>
  <c r="I16" i="28"/>
  <c r="E16" i="28"/>
  <c r="CB16" i="28"/>
  <c r="AH16" i="28"/>
  <c r="AC15" i="26"/>
  <c r="W15" i="26"/>
  <c r="BP16" i="28"/>
  <c r="CB17" i="28"/>
  <c r="BA17" i="28"/>
  <c r="Z16" i="26"/>
  <c r="AQ16" i="26"/>
  <c r="AF6" i="60"/>
  <c r="AF8" i="60"/>
  <c r="BI15" i="28"/>
  <c r="BT16" i="28"/>
  <c r="AM16" i="28"/>
  <c r="C78" i="55" l="1"/>
  <c r="C18" i="28"/>
  <c r="S11" i="60"/>
  <c r="M119" i="55"/>
  <c r="I119" i="55"/>
  <c r="L119" i="55"/>
  <c r="E120" i="55"/>
  <c r="K119" i="55"/>
  <c r="Q77" i="55"/>
  <c r="I77" i="55"/>
  <c r="L77" i="55"/>
  <c r="K77" i="55"/>
  <c r="B28" i="55"/>
  <c r="O77" i="55"/>
  <c r="B77" i="55"/>
  <c r="B118" i="55" s="1"/>
  <c r="A118" i="55" s="1"/>
  <c r="G77" i="55"/>
  <c r="M77" i="55"/>
  <c r="Q119" i="55"/>
  <c r="AA18" i="28"/>
  <c r="AD18" i="32"/>
  <c r="BB18" i="32"/>
  <c r="L17" i="32"/>
  <c r="V18" i="28"/>
  <c r="AI18" i="32"/>
  <c r="AK18" i="31"/>
  <c r="U18" i="31"/>
  <c r="AI18" i="31"/>
  <c r="AC18" i="31"/>
  <c r="AA18" i="31"/>
  <c r="Q18" i="26"/>
  <c r="O18" i="26"/>
  <c r="M18" i="26"/>
  <c r="C18" i="32"/>
  <c r="P18" i="32"/>
  <c r="L18" i="32" s="1"/>
  <c r="W17" i="32"/>
  <c r="S16" i="54"/>
  <c r="S17" i="54"/>
  <c r="CE20" i="54"/>
  <c r="DC20" i="54"/>
  <c r="CQ20" i="54"/>
  <c r="AQ17" i="54"/>
  <c r="AU20" i="54"/>
  <c r="W20" i="54"/>
  <c r="BG20" i="54"/>
  <c r="AI20" i="54"/>
  <c r="CY16" i="54"/>
  <c r="BC16" i="54"/>
  <c r="AQ16" i="54"/>
  <c r="K20" i="54"/>
  <c r="A18" i="54"/>
  <c r="BU17" i="54"/>
  <c r="BK17" i="54"/>
  <c r="BM17" i="54"/>
  <c r="AG17" i="54"/>
  <c r="DE17" i="54"/>
  <c r="BE17" i="54"/>
  <c r="AO17" i="54"/>
  <c r="CO17" i="54"/>
  <c r="C17" i="54"/>
  <c r="CU17" i="54"/>
  <c r="AK17" i="54"/>
  <c r="AS17" i="54"/>
  <c r="CG17" i="54"/>
  <c r="CW17" i="54"/>
  <c r="AA17" i="54"/>
  <c r="U17" i="54"/>
  <c r="CI17" i="54"/>
  <c r="DA17" i="54"/>
  <c r="AM17" i="54"/>
  <c r="E17" i="54"/>
  <c r="CK17" i="54"/>
  <c r="I17" i="54"/>
  <c r="AC17" i="54"/>
  <c r="BQ17" i="54"/>
  <c r="Q17" i="54"/>
  <c r="AG16" i="54"/>
  <c r="DA16" i="54"/>
  <c r="I16" i="54"/>
  <c r="CK16" i="54"/>
  <c r="BE16" i="54"/>
  <c r="AS16" i="54"/>
  <c r="BK16" i="54"/>
  <c r="AA16" i="54"/>
  <c r="AO16" i="54"/>
  <c r="CG16" i="54"/>
  <c r="C16" i="54"/>
  <c r="DE16" i="54"/>
  <c r="CW16" i="54"/>
  <c r="T11" i="35"/>
  <c r="AQ18" i="32"/>
  <c r="AJ18" i="32"/>
  <c r="AB111" i="3"/>
  <c r="V17" i="32"/>
  <c r="AC37" i="3"/>
  <c r="AC67" i="3"/>
  <c r="AB31" i="3"/>
  <c r="AB66" i="3"/>
  <c r="AB60" i="3"/>
  <c r="AB90" i="3"/>
  <c r="AB84" i="3"/>
  <c r="AC91" i="3"/>
  <c r="AB44" i="3"/>
  <c r="AB47" i="3"/>
  <c r="AB48" i="3"/>
  <c r="AB45" i="3"/>
  <c r="AB18" i="32"/>
  <c r="J18" i="32"/>
  <c r="K18" i="32" s="1"/>
  <c r="AA18" i="32"/>
  <c r="R18" i="32"/>
  <c r="T18" i="32" s="1"/>
  <c r="F18" i="32"/>
  <c r="AB41" i="3"/>
  <c r="AB42" i="3" s="1"/>
  <c r="G17" i="32"/>
  <c r="Q17" i="32"/>
  <c r="O17" i="32" s="1"/>
  <c r="S17" i="32"/>
  <c r="AC43" i="3"/>
  <c r="A20" i="32"/>
  <c r="AY18" i="32"/>
  <c r="AZ18" i="32"/>
  <c r="AB117" i="3"/>
  <c r="AM18" i="32"/>
  <c r="AT18" i="32"/>
  <c r="AU18" i="32"/>
  <c r="AB140" i="3"/>
  <c r="AB134" i="3"/>
  <c r="AB11" i="3"/>
  <c r="AA53" i="3"/>
  <c r="AA127" i="3"/>
  <c r="AA30" i="3"/>
  <c r="Z4" i="3"/>
  <c r="AA77" i="3"/>
  <c r="AA101" i="3"/>
  <c r="M18" i="32"/>
  <c r="N18" i="32" s="1"/>
  <c r="U18" i="32"/>
  <c r="AB34" i="3"/>
  <c r="AR18" i="32"/>
  <c r="AL18" i="32"/>
  <c r="AA18" i="57"/>
  <c r="AA53" i="57"/>
  <c r="AA11" i="57"/>
  <c r="AB72" i="57"/>
  <c r="AA71" i="57"/>
  <c r="AA66" i="57"/>
  <c r="AA28" i="57"/>
  <c r="AA54" i="57" s="1"/>
  <c r="AA48" i="57"/>
  <c r="AA25" i="57"/>
  <c r="Z41" i="57"/>
  <c r="Z77" i="57"/>
  <c r="Z24" i="57"/>
  <c r="AO105" i="57"/>
  <c r="Z94" i="57"/>
  <c r="Z59" i="57"/>
  <c r="AO95" i="57"/>
  <c r="AA84" i="57"/>
  <c r="AA89" i="57"/>
  <c r="AA106" i="57"/>
  <c r="AA101" i="57"/>
  <c r="AB36" i="57"/>
  <c r="AB31" i="57"/>
  <c r="AA35" i="57"/>
  <c r="AB101" i="58"/>
  <c r="AA94" i="58"/>
  <c r="AA59" i="58"/>
  <c r="AP105" i="58"/>
  <c r="AA77" i="58"/>
  <c r="AA41" i="58"/>
  <c r="AP95" i="58"/>
  <c r="AA24" i="58"/>
  <c r="AL17" i="31"/>
  <c r="AM17" i="31" s="1"/>
  <c r="C16" i="31"/>
  <c r="L17" i="31"/>
  <c r="M17" i="31" s="1"/>
  <c r="D17" i="31"/>
  <c r="E17" i="31" s="1"/>
  <c r="P17" i="31"/>
  <c r="Q17" i="31" s="1"/>
  <c r="U17" i="31"/>
  <c r="O16" i="31"/>
  <c r="AN17" i="31"/>
  <c r="BE17" i="31"/>
  <c r="AG17" i="31"/>
  <c r="G16" i="31"/>
  <c r="A19" i="31"/>
  <c r="BQ18" i="31"/>
  <c r="BO18" i="31"/>
  <c r="BK18" i="31"/>
  <c r="BM18" i="31"/>
  <c r="AQ16" i="31"/>
  <c r="AV16" i="31"/>
  <c r="AZ16" i="31" s="1"/>
  <c r="G17" i="31"/>
  <c r="S17" i="31"/>
  <c r="J17" i="31"/>
  <c r="K17" i="31" s="1"/>
  <c r="B17" i="31"/>
  <c r="C17" i="31" s="1"/>
  <c r="N17" i="31"/>
  <c r="O17" i="31" s="1"/>
  <c r="AS16" i="31"/>
  <c r="AW16" i="31"/>
  <c r="BA16" i="31" s="1"/>
  <c r="AP17" i="31"/>
  <c r="BI17" i="31"/>
  <c r="AR17" i="31"/>
  <c r="BC17" i="31"/>
  <c r="AK17" i="31"/>
  <c r="AT16" i="31"/>
  <c r="AX16" i="31" s="1"/>
  <c r="AM16" i="31"/>
  <c r="AU16" i="31"/>
  <c r="AY16" i="31" s="1"/>
  <c r="R37" i="60"/>
  <c r="AM18" i="28"/>
  <c r="AW17" i="26"/>
  <c r="T17" i="26"/>
  <c r="BP17" i="28"/>
  <c r="R12" i="60"/>
  <c r="AF25" i="60"/>
  <c r="AF14" i="35"/>
  <c r="AW18" i="28"/>
  <c r="T51" i="35"/>
  <c r="BK16" i="28"/>
  <c r="V17" i="26"/>
  <c r="W17" i="26" s="1"/>
  <c r="AM17" i="26"/>
  <c r="AC17" i="28"/>
  <c r="CF17" i="28"/>
  <c r="AF54" i="60"/>
  <c r="X17" i="28"/>
  <c r="R42" i="35"/>
  <c r="Q4" i="35"/>
  <c r="P4" i="35" s="1"/>
  <c r="O4" i="35" s="1"/>
  <c r="N4" i="35" s="1"/>
  <c r="M4" i="35" s="1"/>
  <c r="L4" i="35" s="1"/>
  <c r="K4" i="35" s="1"/>
  <c r="J4" i="35" s="1"/>
  <c r="I4" i="35" s="1"/>
  <c r="H4" i="35" s="1"/>
  <c r="G4" i="35" s="1"/>
  <c r="F4" i="35" s="1"/>
  <c r="R23" i="35"/>
  <c r="CR18" i="28"/>
  <c r="I16" i="26"/>
  <c r="X17" i="26"/>
  <c r="AO17" i="26"/>
  <c r="AM18" i="26"/>
  <c r="A19" i="26"/>
  <c r="AS18" i="26"/>
  <c r="AY18" i="26"/>
  <c r="AU18" i="26"/>
  <c r="CH18" i="28"/>
  <c r="AF18" i="60"/>
  <c r="BN18" i="28"/>
  <c r="S51" i="60"/>
  <c r="AF48" i="60"/>
  <c r="AK18" i="28"/>
  <c r="AF15" i="35"/>
  <c r="CN18" i="28"/>
  <c r="T31" i="35"/>
  <c r="AF30" i="60"/>
  <c r="AF38" i="60"/>
  <c r="Z17" i="26"/>
  <c r="AA17" i="26" s="1"/>
  <c r="CJ17" i="28"/>
  <c r="S17" i="26"/>
  <c r="X18" i="28"/>
  <c r="O17" i="26"/>
  <c r="N16" i="28"/>
  <c r="R30" i="60"/>
  <c r="R38" i="60"/>
  <c r="AF45" i="60"/>
  <c r="BG17" i="28"/>
  <c r="AE16" i="26"/>
  <c r="CN17" i="28"/>
  <c r="BH17" i="28"/>
  <c r="AG15" i="26"/>
  <c r="AC18" i="28"/>
  <c r="AF58" i="60"/>
  <c r="AF50" i="60"/>
  <c r="AD16" i="26"/>
  <c r="AH16" i="26" s="1"/>
  <c r="AA16" i="26"/>
  <c r="A20" i="28"/>
  <c r="BN19" i="28"/>
  <c r="BR19" i="28"/>
  <c r="F17" i="26"/>
  <c r="G17" i="26" s="1"/>
  <c r="B17" i="26"/>
  <c r="C17" i="26" s="1"/>
  <c r="H17" i="26"/>
  <c r="I17" i="26" s="1"/>
  <c r="AF18" i="28"/>
  <c r="J16" i="28"/>
  <c r="AH15" i="26"/>
  <c r="AH17" i="28"/>
  <c r="AF28" i="60"/>
  <c r="S31" i="60"/>
  <c r="AM17" i="28"/>
  <c r="BX17" i="28"/>
  <c r="AF33" i="35"/>
  <c r="S37" i="35"/>
  <c r="AF37" i="35" s="1"/>
  <c r="S12" i="35"/>
  <c r="AF9" i="35"/>
  <c r="AO18" i="28"/>
  <c r="H18" i="28"/>
  <c r="K18" i="28"/>
  <c r="I17" i="28"/>
  <c r="J17" i="28" s="1"/>
  <c r="E17" i="28"/>
  <c r="BB17" i="28"/>
  <c r="AY17" i="26"/>
  <c r="CP18" i="28"/>
  <c r="AF34" i="60"/>
  <c r="AK17" i="26"/>
  <c r="AC16" i="26"/>
  <c r="W16" i="26"/>
  <c r="AF47" i="35"/>
  <c r="S58" i="35"/>
  <c r="S50" i="35"/>
  <c r="E18" i="28"/>
  <c r="CL18" i="28"/>
  <c r="F42" i="60"/>
  <c r="F23" i="60"/>
  <c r="AF6" i="35"/>
  <c r="AF27" i="35"/>
  <c r="S38" i="35"/>
  <c r="S30" i="35"/>
  <c r="G16" i="26"/>
  <c r="AS18" i="28"/>
  <c r="BR18" i="28"/>
  <c r="BA18" i="28"/>
  <c r="BZ18" i="28"/>
  <c r="AZ16" i="28"/>
  <c r="BJ16" i="28"/>
  <c r="L17" i="28"/>
  <c r="AF12" i="60"/>
  <c r="AS17" i="26"/>
  <c r="Q18" i="28"/>
  <c r="BL16" i="28"/>
  <c r="BF17" i="28"/>
  <c r="AT17" i="28"/>
  <c r="AF15" i="26"/>
  <c r="BE17" i="28"/>
  <c r="R50" i="60"/>
  <c r="R58" i="60"/>
  <c r="R18" i="60"/>
  <c r="AF5" i="60"/>
  <c r="AF11" i="60" s="1"/>
  <c r="AB16" i="26"/>
  <c r="U16" i="26"/>
  <c r="BV18" i="28"/>
  <c r="AF8" i="35"/>
  <c r="C77" i="55" l="1"/>
  <c r="Q19" i="28"/>
  <c r="O76" i="55"/>
  <c r="L76" i="55"/>
  <c r="Q76" i="55"/>
  <c r="B76" i="55"/>
  <c r="B117" i="55" s="1"/>
  <c r="A117" i="55" s="1"/>
  <c r="G76" i="55"/>
  <c r="M76" i="55"/>
  <c r="K76" i="55"/>
  <c r="I76" i="55"/>
  <c r="B27" i="55"/>
  <c r="K118" i="55"/>
  <c r="L118" i="55"/>
  <c r="E119" i="55"/>
  <c r="I118" i="55"/>
  <c r="Q118" i="55"/>
  <c r="M118" i="55"/>
  <c r="AA48" i="3"/>
  <c r="AF19" i="28"/>
  <c r="AK19" i="28"/>
  <c r="S18" i="32"/>
  <c r="AB37" i="3"/>
  <c r="AA47" i="3"/>
  <c r="Q19" i="26"/>
  <c r="M19" i="26"/>
  <c r="K19" i="26"/>
  <c r="AI19" i="31"/>
  <c r="AC19" i="31"/>
  <c r="AA19" i="31"/>
  <c r="Y19" i="31"/>
  <c r="AK19" i="31"/>
  <c r="W19" i="31"/>
  <c r="Q20" i="32"/>
  <c r="AE17" i="54"/>
  <c r="CA17" i="54"/>
  <c r="BC17" i="54"/>
  <c r="CY17" i="54"/>
  <c r="S18" i="54"/>
  <c r="CA18" i="54"/>
  <c r="CQ21" i="54"/>
  <c r="DC21" i="54"/>
  <c r="CE21" i="54"/>
  <c r="AU21" i="54"/>
  <c r="AI21" i="54"/>
  <c r="BG21" i="54"/>
  <c r="W21" i="54"/>
  <c r="CM17" i="54"/>
  <c r="M17" i="54"/>
  <c r="BI17" i="54"/>
  <c r="BY17" i="54"/>
  <c r="G17" i="54"/>
  <c r="CS17" i="54"/>
  <c r="Y17" i="54"/>
  <c r="AW17" i="54"/>
  <c r="BW17" i="54"/>
  <c r="O17" i="54"/>
  <c r="CC17" i="54"/>
  <c r="K21" i="54"/>
  <c r="Y18" i="54"/>
  <c r="I18" i="54"/>
  <c r="A19" i="54"/>
  <c r="BW18" i="54"/>
  <c r="AC18" i="54"/>
  <c r="CO18" i="54"/>
  <c r="DE18" i="54"/>
  <c r="AM18" i="54"/>
  <c r="C18" i="54"/>
  <c r="BU18" i="54"/>
  <c r="AA18" i="54"/>
  <c r="CS18" i="54"/>
  <c r="E18" i="54"/>
  <c r="CG18" i="54"/>
  <c r="BA18" i="54"/>
  <c r="AS18" i="54"/>
  <c r="M18" i="54"/>
  <c r="AW18" i="54"/>
  <c r="CC18" i="54"/>
  <c r="AY18" i="54"/>
  <c r="BY18" i="54"/>
  <c r="CK18" i="54"/>
  <c r="G18" i="54"/>
  <c r="AK18" i="54"/>
  <c r="BI18" i="54"/>
  <c r="DA18" i="54"/>
  <c r="BQ18" i="54"/>
  <c r="AY17" i="54"/>
  <c r="BA17" i="54"/>
  <c r="AF31" i="60"/>
  <c r="G18" i="31"/>
  <c r="AA111" i="3"/>
  <c r="AB91" i="3"/>
  <c r="AA90" i="3"/>
  <c r="AA84" i="3"/>
  <c r="AB67" i="3"/>
  <c r="AA66" i="3"/>
  <c r="AA60" i="3"/>
  <c r="AB19" i="32"/>
  <c r="R19" i="32"/>
  <c r="J19" i="32"/>
  <c r="K19" i="32" s="1"/>
  <c r="AA19" i="32"/>
  <c r="F19" i="32"/>
  <c r="AB43" i="3"/>
  <c r="AA11" i="3"/>
  <c r="BB19" i="32"/>
  <c r="BC19" i="32"/>
  <c r="S11" i="35"/>
  <c r="AA45" i="3"/>
  <c r="AA34" i="3"/>
  <c r="AA91" i="3" s="1"/>
  <c r="A21" i="32"/>
  <c r="Q18" i="32"/>
  <c r="G18" i="32"/>
  <c r="AA44" i="3"/>
  <c r="U19" i="32"/>
  <c r="M19" i="32"/>
  <c r="N19" i="32" s="1"/>
  <c r="AD19" i="32"/>
  <c r="AE19" i="32"/>
  <c r="V18" i="32"/>
  <c r="AA41" i="3"/>
  <c r="AA42" i="3" s="1"/>
  <c r="Z30" i="3"/>
  <c r="Z53" i="3"/>
  <c r="Z101" i="3"/>
  <c r="AO128" i="3"/>
  <c r="AO138" i="3"/>
  <c r="Y4" i="3"/>
  <c r="Z77" i="3"/>
  <c r="Z127" i="3"/>
  <c r="AM19" i="32"/>
  <c r="AL19" i="32"/>
  <c r="AE18" i="32"/>
  <c r="AA117" i="3"/>
  <c r="AA31" i="3"/>
  <c r="AT19" i="32"/>
  <c r="AU19" i="32"/>
  <c r="AA140" i="3"/>
  <c r="AA134" i="3"/>
  <c r="AZ19" i="32"/>
  <c r="AY19" i="32"/>
  <c r="C19" i="32"/>
  <c r="AI19" i="32"/>
  <c r="AR19" i="32"/>
  <c r="AQ19" i="32"/>
  <c r="AA72" i="57"/>
  <c r="Z18" i="57"/>
  <c r="Z71" i="57"/>
  <c r="Z53" i="57"/>
  <c r="Z11" i="57"/>
  <c r="Z35" i="57"/>
  <c r="Z25" i="57"/>
  <c r="Z66" i="57"/>
  <c r="Z48" i="57"/>
  <c r="Z28" i="57"/>
  <c r="Z54" i="57" s="1"/>
  <c r="AO98" i="57"/>
  <c r="Z106" i="57"/>
  <c r="Z101" i="57"/>
  <c r="AA36" i="57"/>
  <c r="AA31" i="57"/>
  <c r="Z84" i="57"/>
  <c r="Z89" i="57"/>
  <c r="Y94" i="57"/>
  <c r="Y59" i="57"/>
  <c r="Y77" i="57"/>
  <c r="Y24" i="57"/>
  <c r="Y41" i="57"/>
  <c r="Z41" i="58"/>
  <c r="Z24" i="58"/>
  <c r="Z59" i="58"/>
  <c r="Z94" i="58"/>
  <c r="Z77" i="58"/>
  <c r="AA101" i="58"/>
  <c r="AP98" i="58"/>
  <c r="AP101" i="58" s="1"/>
  <c r="I18" i="31"/>
  <c r="AG18" i="31"/>
  <c r="AS17" i="31"/>
  <c r="AW17" i="31"/>
  <c r="BA17" i="31" s="1"/>
  <c r="AQ17" i="31"/>
  <c r="AV17" i="31"/>
  <c r="I17" i="31"/>
  <c r="BE18" i="31"/>
  <c r="AN18" i="31"/>
  <c r="AO17" i="31"/>
  <c r="AT17" i="31"/>
  <c r="AU17" i="31"/>
  <c r="AY17" i="31" s="1"/>
  <c r="W18" i="31"/>
  <c r="J18" i="31"/>
  <c r="K18" i="31" s="1"/>
  <c r="B18" i="31"/>
  <c r="S18" i="31"/>
  <c r="N18" i="31"/>
  <c r="O18" i="31" s="1"/>
  <c r="AL18" i="31"/>
  <c r="BC18" i="31"/>
  <c r="AE18" i="31"/>
  <c r="L18" i="31"/>
  <c r="M18" i="31" s="1"/>
  <c r="P18" i="31"/>
  <c r="Q18" i="31" s="1"/>
  <c r="D18" i="31"/>
  <c r="E18" i="31" s="1"/>
  <c r="R37" i="35"/>
  <c r="BO19" i="31"/>
  <c r="BQ19" i="31"/>
  <c r="BC19" i="31"/>
  <c r="A20" i="31"/>
  <c r="BK19" i="31"/>
  <c r="AR18" i="31"/>
  <c r="BI18" i="31"/>
  <c r="Y18" i="31"/>
  <c r="AP18" i="31"/>
  <c r="BG18" i="31"/>
  <c r="AF12" i="35"/>
  <c r="F37" i="60"/>
  <c r="BV19" i="28"/>
  <c r="R31" i="60"/>
  <c r="AY19" i="26"/>
  <c r="AW19" i="26"/>
  <c r="A20" i="26"/>
  <c r="AK19" i="26"/>
  <c r="R58" i="35"/>
  <c r="R50" i="35"/>
  <c r="BL17" i="28"/>
  <c r="H18" i="26"/>
  <c r="I18" i="26" s="1"/>
  <c r="B18" i="26"/>
  <c r="C18" i="26" s="1"/>
  <c r="F18" i="26"/>
  <c r="G18" i="26" s="1"/>
  <c r="K18" i="26"/>
  <c r="BD17" i="28"/>
  <c r="CB18" i="28"/>
  <c r="V18" i="26"/>
  <c r="F23" i="35"/>
  <c r="F42" i="35"/>
  <c r="BH18" i="28"/>
  <c r="BL18" i="28" s="1"/>
  <c r="BB18" i="28"/>
  <c r="N18" i="28"/>
  <c r="AC19" i="28"/>
  <c r="AF25" i="35"/>
  <c r="BJ17" i="28"/>
  <c r="BK17" i="28"/>
  <c r="AF54" i="35"/>
  <c r="AF16" i="26"/>
  <c r="E17" i="26"/>
  <c r="CN19" i="28"/>
  <c r="CL19" i="28"/>
  <c r="A21" i="28"/>
  <c r="CP20" i="28"/>
  <c r="CD20" i="28"/>
  <c r="CL20" i="28"/>
  <c r="AZ17" i="28"/>
  <c r="L18" i="28"/>
  <c r="F18" i="60"/>
  <c r="CB19" i="28"/>
  <c r="BA19" i="28"/>
  <c r="AF28" i="35"/>
  <c r="S31" i="35"/>
  <c r="F50" i="60"/>
  <c r="F58" i="60"/>
  <c r="AS19" i="28"/>
  <c r="AT19" i="28" s="1"/>
  <c r="AF45" i="35"/>
  <c r="BZ19" i="28"/>
  <c r="AV18" i="28"/>
  <c r="BF18" i="28"/>
  <c r="AT18" i="28"/>
  <c r="F30" i="60"/>
  <c r="F38" i="60"/>
  <c r="BE18" i="28"/>
  <c r="BI18" i="28" s="1"/>
  <c r="AP18" i="28"/>
  <c r="AF18" i="35"/>
  <c r="X19" i="28"/>
  <c r="V19" i="28"/>
  <c r="AH19" i="28"/>
  <c r="AE17" i="26"/>
  <c r="AI17" i="26" s="1"/>
  <c r="AF51" i="60"/>
  <c r="R51" i="60"/>
  <c r="BP18" i="28"/>
  <c r="Z18" i="26"/>
  <c r="AQ18" i="26"/>
  <c r="E18" i="26"/>
  <c r="AD17" i="26"/>
  <c r="AH17" i="26" s="1"/>
  <c r="Y17" i="26"/>
  <c r="AC17" i="26"/>
  <c r="S18" i="28"/>
  <c r="I18" i="28"/>
  <c r="BP19" i="28"/>
  <c r="AO19" i="28"/>
  <c r="F55" i="60"/>
  <c r="F26" i="60"/>
  <c r="F35" i="60"/>
  <c r="F46" i="60"/>
  <c r="AV17" i="28"/>
  <c r="F12" i="60"/>
  <c r="CF18" i="28"/>
  <c r="AF34" i="35"/>
  <c r="AF30" i="35"/>
  <c r="AF38" i="35"/>
  <c r="AF58" i="35"/>
  <c r="AF50" i="35"/>
  <c r="K19" i="28"/>
  <c r="H19" i="28"/>
  <c r="AF48" i="35"/>
  <c r="S51" i="35"/>
  <c r="AR17" i="28"/>
  <c r="AA19" i="28"/>
  <c r="AG16" i="26"/>
  <c r="C19" i="28"/>
  <c r="CF19" i="28"/>
  <c r="CD19" i="28"/>
  <c r="AH18" i="28"/>
  <c r="X18" i="26"/>
  <c r="AO18" i="26"/>
  <c r="R30" i="35"/>
  <c r="R38" i="35"/>
  <c r="S18" i="26"/>
  <c r="CH19" i="28"/>
  <c r="AW19" i="28"/>
  <c r="AF5" i="35"/>
  <c r="AF11" i="35" s="1"/>
  <c r="BI17" i="28"/>
  <c r="BT18" i="28"/>
  <c r="CP19" i="28"/>
  <c r="AI16" i="26"/>
  <c r="AW18" i="26"/>
  <c r="CJ18" i="28"/>
  <c r="BG18" i="28"/>
  <c r="BK18" i="28" s="1"/>
  <c r="AX18" i="28"/>
  <c r="T18" i="26"/>
  <c r="AK18" i="26"/>
  <c r="N17" i="28"/>
  <c r="R12" i="35"/>
  <c r="R11" i="60"/>
  <c r="BX18" i="28"/>
  <c r="AB17" i="26"/>
  <c r="U17" i="26"/>
  <c r="C76" i="55" l="1"/>
  <c r="AK20" i="28"/>
  <c r="E118" i="55"/>
  <c r="M117" i="55"/>
  <c r="L75" i="55"/>
  <c r="K75" i="55"/>
  <c r="B26" i="55"/>
  <c r="M75" i="55"/>
  <c r="G75" i="55"/>
  <c r="B75" i="55"/>
  <c r="B116" i="55" s="1"/>
  <c r="A116" i="55" s="1"/>
  <c r="Q75" i="55"/>
  <c r="O75" i="55"/>
  <c r="I75" i="55"/>
  <c r="Q117" i="55"/>
  <c r="I117" i="55"/>
  <c r="L117" i="55"/>
  <c r="K117" i="55"/>
  <c r="E19" i="26"/>
  <c r="M20" i="26"/>
  <c r="K20" i="26"/>
  <c r="L19" i="28"/>
  <c r="AC20" i="31"/>
  <c r="AA20" i="31"/>
  <c r="Y20" i="31"/>
  <c r="W20" i="31"/>
  <c r="AI20" i="31"/>
  <c r="S20" i="31"/>
  <c r="AQ18" i="54"/>
  <c r="BC18" i="54"/>
  <c r="BC19" i="54"/>
  <c r="AQ19" i="54"/>
  <c r="AE19" i="54"/>
  <c r="CM19" i="54"/>
  <c r="DC22" i="54"/>
  <c r="CA19" i="54"/>
  <c r="CE22" i="54"/>
  <c r="BG22" i="54"/>
  <c r="AU22" i="54"/>
  <c r="AI22" i="54"/>
  <c r="CQ22" i="54"/>
  <c r="W22" i="54"/>
  <c r="CM18" i="54"/>
  <c r="AE18" i="54"/>
  <c r="CY18" i="54"/>
  <c r="U18" i="54"/>
  <c r="BM18" i="54"/>
  <c r="AO18" i="54"/>
  <c r="CW18" i="54"/>
  <c r="CU18" i="54"/>
  <c r="K22" i="54"/>
  <c r="Y19" i="54"/>
  <c r="AA19" i="54"/>
  <c r="AO19" i="54"/>
  <c r="I19" i="54"/>
  <c r="CK19" i="54"/>
  <c r="E19" i="54"/>
  <c r="CC19" i="54"/>
  <c r="AC19" i="54"/>
  <c r="BK19" i="54"/>
  <c r="AW19" i="54"/>
  <c r="CO19" i="54"/>
  <c r="DE19" i="54"/>
  <c r="BA19" i="54"/>
  <c r="BM19" i="54"/>
  <c r="Q19" i="54"/>
  <c r="AK19" i="54"/>
  <c r="G19" i="54"/>
  <c r="AY19" i="54"/>
  <c r="CI19" i="54"/>
  <c r="CW19" i="54"/>
  <c r="DA19" i="54"/>
  <c r="A20" i="54"/>
  <c r="M19" i="54"/>
  <c r="O18" i="54"/>
  <c r="CI18" i="54"/>
  <c r="BK18" i="54"/>
  <c r="Q18" i="54"/>
  <c r="BE18" i="54"/>
  <c r="AG18" i="54"/>
  <c r="AO139" i="3"/>
  <c r="Y35" i="57"/>
  <c r="AA67" i="3"/>
  <c r="Z66" i="3"/>
  <c r="Z60" i="3"/>
  <c r="Z90" i="3"/>
  <c r="Z84" i="3"/>
  <c r="AA37" i="3"/>
  <c r="Z111" i="3"/>
  <c r="Z48" i="3"/>
  <c r="D19" i="32"/>
  <c r="P19" i="32"/>
  <c r="Z11" i="3"/>
  <c r="W19" i="32"/>
  <c r="V19" i="32"/>
  <c r="P20" i="32"/>
  <c r="C20" i="32"/>
  <c r="Y77" i="3"/>
  <c r="Y101" i="3"/>
  <c r="X4" i="3"/>
  <c r="Y53" i="3"/>
  <c r="Y127" i="3"/>
  <c r="Y30" i="3"/>
  <c r="Z140" i="3"/>
  <c r="Z134" i="3"/>
  <c r="AO131" i="3"/>
  <c r="Z41" i="3"/>
  <c r="AY20" i="32"/>
  <c r="AZ20" i="32"/>
  <c r="F11" i="60"/>
  <c r="AJ19" i="32"/>
  <c r="AJ20" i="32"/>
  <c r="Z31" i="3"/>
  <c r="Z117" i="3"/>
  <c r="AE20" i="32"/>
  <c r="M20" i="32"/>
  <c r="U20" i="32"/>
  <c r="AD20" i="32"/>
  <c r="F20" i="32"/>
  <c r="Q19" i="32"/>
  <c r="O19" i="32" s="1"/>
  <c r="G20" i="32"/>
  <c r="G19" i="32"/>
  <c r="Z44" i="3"/>
  <c r="Z34" i="3"/>
  <c r="Z91" i="3" s="1"/>
  <c r="W18" i="32"/>
  <c r="O18" i="32"/>
  <c r="BC20" i="32"/>
  <c r="BB20" i="32"/>
  <c r="AA43" i="3"/>
  <c r="AM20" i="32"/>
  <c r="AL20" i="32"/>
  <c r="A22" i="32"/>
  <c r="Z45" i="3"/>
  <c r="Z47" i="3"/>
  <c r="AB20" i="32"/>
  <c r="J20" i="32"/>
  <c r="K20" i="32" s="1"/>
  <c r="AA20" i="32"/>
  <c r="R20" i="32"/>
  <c r="AT20" i="32"/>
  <c r="AU20" i="32"/>
  <c r="S19" i="32"/>
  <c r="T19" i="32"/>
  <c r="AQ20" i="32"/>
  <c r="AR20" i="32"/>
  <c r="AI20" i="32"/>
  <c r="Y18" i="57"/>
  <c r="Z72" i="57"/>
  <c r="Y71" i="57"/>
  <c r="Y53" i="57"/>
  <c r="Y11" i="57"/>
  <c r="Y48" i="57"/>
  <c r="Y28" i="57"/>
  <c r="Y54" i="57" s="1"/>
  <c r="Z31" i="57"/>
  <c r="Z36" i="57"/>
  <c r="Y101" i="57"/>
  <c r="Y106" i="57"/>
  <c r="Y89" i="57"/>
  <c r="Y84" i="57"/>
  <c r="Y66" i="57"/>
  <c r="Y25" i="57"/>
  <c r="X59" i="57"/>
  <c r="X77" i="57"/>
  <c r="X24" i="57"/>
  <c r="X94" i="57"/>
  <c r="X41" i="57"/>
  <c r="AO101" i="57"/>
  <c r="Z101" i="58"/>
  <c r="Y94" i="58"/>
  <c r="Y77" i="58"/>
  <c r="Y24" i="58"/>
  <c r="Y59" i="58"/>
  <c r="Y41" i="58"/>
  <c r="AF51" i="35"/>
  <c r="AW18" i="31"/>
  <c r="BA18" i="31" s="1"/>
  <c r="AX17" i="31"/>
  <c r="AZ17" i="31"/>
  <c r="F37" i="35"/>
  <c r="AG19" i="31"/>
  <c r="G19" i="31"/>
  <c r="AE19" i="31"/>
  <c r="L19" i="31"/>
  <c r="D19" i="31"/>
  <c r="E19" i="31" s="1"/>
  <c r="P19" i="31"/>
  <c r="Q19" i="31" s="1"/>
  <c r="U19" i="31"/>
  <c r="B19" i="31"/>
  <c r="C19" i="31" s="1"/>
  <c r="J19" i="31"/>
  <c r="K19" i="31" s="1"/>
  <c r="N19" i="31"/>
  <c r="O19" i="31" s="1"/>
  <c r="AU18" i="31"/>
  <c r="AY18" i="31" s="1"/>
  <c r="AO18" i="31"/>
  <c r="BM19" i="31"/>
  <c r="AN19" i="31"/>
  <c r="BE19" i="31"/>
  <c r="AV18" i="31"/>
  <c r="AZ18" i="31" s="1"/>
  <c r="AQ18" i="31"/>
  <c r="BK20" i="31"/>
  <c r="BO20" i="31"/>
  <c r="BQ20" i="31"/>
  <c r="A21" i="31"/>
  <c r="BM20" i="31"/>
  <c r="AL19" i="31"/>
  <c r="AM18" i="31"/>
  <c r="AT18" i="31"/>
  <c r="AX18" i="31" s="1"/>
  <c r="S19" i="31"/>
  <c r="AS18" i="31"/>
  <c r="BI19" i="31"/>
  <c r="AR19" i="31"/>
  <c r="C18" i="31"/>
  <c r="BG19" i="31"/>
  <c r="AP19" i="31"/>
  <c r="F51" i="60"/>
  <c r="F49" i="60"/>
  <c r="F52" i="60" s="1"/>
  <c r="AR18" i="28"/>
  <c r="X20" i="28"/>
  <c r="V20" i="28"/>
  <c r="AO20" i="28"/>
  <c r="AP20" i="28" s="1"/>
  <c r="BN20" i="28"/>
  <c r="O19" i="26"/>
  <c r="S19" i="26"/>
  <c r="AM19" i="26"/>
  <c r="I19" i="28"/>
  <c r="J19" i="28" s="1"/>
  <c r="F31" i="60"/>
  <c r="F29" i="60"/>
  <c r="Y18" i="26"/>
  <c r="AE18" i="26"/>
  <c r="AA18" i="26"/>
  <c r="AG17" i="26"/>
  <c r="AF31" i="35"/>
  <c r="AM20" i="28"/>
  <c r="AC18" i="26"/>
  <c r="W18" i="26"/>
  <c r="AY20" i="26"/>
  <c r="A21" i="26"/>
  <c r="AB18" i="26"/>
  <c r="AF18" i="26" s="1"/>
  <c r="U18" i="26"/>
  <c r="F16" i="60"/>
  <c r="BE19" i="28"/>
  <c r="BD19" i="28"/>
  <c r="BH19" i="28"/>
  <c r="BB19" i="28"/>
  <c r="C20" i="28"/>
  <c r="AA20" i="28"/>
  <c r="F30" i="35"/>
  <c r="F38" i="35"/>
  <c r="T19" i="26"/>
  <c r="F7" i="60"/>
  <c r="E19" i="28"/>
  <c r="R31" i="35"/>
  <c r="BA20" i="28"/>
  <c r="K20" i="28"/>
  <c r="CR19" i="28"/>
  <c r="X19" i="26"/>
  <c r="Y19" i="26" s="1"/>
  <c r="AO19" i="26"/>
  <c r="BX20" i="28"/>
  <c r="AW20" i="28"/>
  <c r="AX20" i="28" s="1"/>
  <c r="BV20" i="28"/>
  <c r="CJ19" i="28"/>
  <c r="F58" i="35"/>
  <c r="F50" i="35"/>
  <c r="F46" i="35"/>
  <c r="F26" i="35"/>
  <c r="F35" i="35"/>
  <c r="F55" i="35"/>
  <c r="AS19" i="26"/>
  <c r="J18" i="28"/>
  <c r="BF19" i="28"/>
  <c r="CH20" i="28"/>
  <c r="AM19" i="28"/>
  <c r="R11" i="35"/>
  <c r="AP19" i="28"/>
  <c r="BZ20" i="28"/>
  <c r="AH20" i="28"/>
  <c r="AF20" i="28"/>
  <c r="CL21" i="28"/>
  <c r="A22" i="28"/>
  <c r="Z19" i="26"/>
  <c r="AQ19" i="26"/>
  <c r="AU19" i="26"/>
  <c r="Q20" i="28"/>
  <c r="BD18" i="28"/>
  <c r="AF17" i="26"/>
  <c r="AZ19" i="28"/>
  <c r="BG19" i="28"/>
  <c r="AX19" i="28"/>
  <c r="BX19" i="28"/>
  <c r="AD18" i="26"/>
  <c r="AZ18" i="28"/>
  <c r="R51" i="35"/>
  <c r="BT19" i="28"/>
  <c r="AS20" i="28"/>
  <c r="BR20" i="28"/>
  <c r="S19" i="28"/>
  <c r="BJ18" i="28"/>
  <c r="F12" i="35"/>
  <c r="H19" i="26"/>
  <c r="B19" i="26"/>
  <c r="C19" i="26" s="1"/>
  <c r="F19" i="26"/>
  <c r="G19" i="26" s="1"/>
  <c r="V19" i="26"/>
  <c r="W19" i="26" s="1"/>
  <c r="C75" i="55" l="1"/>
  <c r="K74" i="55"/>
  <c r="I74" i="55"/>
  <c r="M74" i="55"/>
  <c r="B74" i="55"/>
  <c r="B115" i="55" s="1"/>
  <c r="A115" i="55" s="1"/>
  <c r="B25" i="55"/>
  <c r="O74" i="55"/>
  <c r="L74" i="55"/>
  <c r="Q74" i="55"/>
  <c r="G74" i="55"/>
  <c r="K116" i="55"/>
  <c r="I116" i="55"/>
  <c r="L116" i="55"/>
  <c r="Q116" i="55"/>
  <c r="M116" i="55"/>
  <c r="E117" i="55"/>
  <c r="AK21" i="28"/>
  <c r="Y111" i="3"/>
  <c r="Y21" i="31"/>
  <c r="W21" i="31"/>
  <c r="AK21" i="31"/>
  <c r="U21" i="31"/>
  <c r="AI21" i="31"/>
  <c r="AC21" i="31"/>
  <c r="P22" i="32"/>
  <c r="M21" i="26"/>
  <c r="CY19" i="54"/>
  <c r="AQ20" i="54"/>
  <c r="AE20" i="54"/>
  <c r="S20" i="54"/>
  <c r="CQ23" i="54"/>
  <c r="CE23" i="54"/>
  <c r="AI23" i="54"/>
  <c r="AU23" i="54"/>
  <c r="W23" i="54"/>
  <c r="BG23" i="54"/>
  <c r="DC23" i="54"/>
  <c r="S19" i="54"/>
  <c r="BQ19" i="54"/>
  <c r="AS19" i="54"/>
  <c r="C19" i="54"/>
  <c r="BW19" i="54"/>
  <c r="BY19" i="54"/>
  <c r="K23" i="54"/>
  <c r="A21" i="54"/>
  <c r="G20" i="54"/>
  <c r="BI20" i="54"/>
  <c r="BK20" i="54"/>
  <c r="AS20" i="54"/>
  <c r="M20" i="54"/>
  <c r="CG20" i="54"/>
  <c r="AC20" i="54"/>
  <c r="CU20" i="54"/>
  <c r="AM20" i="54"/>
  <c r="AW20" i="54"/>
  <c r="CS20" i="54"/>
  <c r="AG20" i="54"/>
  <c r="AO20" i="54"/>
  <c r="AY20" i="54"/>
  <c r="DE20" i="54"/>
  <c r="CW20" i="54"/>
  <c r="O20" i="54"/>
  <c r="BW20" i="54"/>
  <c r="C20" i="54"/>
  <c r="Y20" i="54"/>
  <c r="BI19" i="54"/>
  <c r="BU19" i="54"/>
  <c r="CG19" i="54"/>
  <c r="AM19" i="54"/>
  <c r="O19" i="54"/>
  <c r="AG19" i="54"/>
  <c r="U19" i="54"/>
  <c r="BE19" i="54"/>
  <c r="CS19" i="54"/>
  <c r="CU19" i="54"/>
  <c r="Y48" i="3"/>
  <c r="Y41" i="3"/>
  <c r="Y42" i="3" s="1"/>
  <c r="X35" i="57"/>
  <c r="Y45" i="3"/>
  <c r="Y66" i="3"/>
  <c r="Y60" i="3"/>
  <c r="Z37" i="3"/>
  <c r="Y84" i="3"/>
  <c r="Y90" i="3"/>
  <c r="Z67" i="3"/>
  <c r="Y47" i="3"/>
  <c r="T20" i="32"/>
  <c r="S20" i="32"/>
  <c r="F21" i="32"/>
  <c r="AZ21" i="32"/>
  <c r="AY21" i="32"/>
  <c r="O20" i="32"/>
  <c r="Y31" i="3"/>
  <c r="AA21" i="32"/>
  <c r="J21" i="32"/>
  <c r="K21" i="32" s="1"/>
  <c r="AB21" i="32"/>
  <c r="R21" i="32"/>
  <c r="AL21" i="32"/>
  <c r="AM21" i="32"/>
  <c r="Y117" i="3"/>
  <c r="AR21" i="32"/>
  <c r="AQ21" i="32"/>
  <c r="C21" i="32"/>
  <c r="W20" i="32"/>
  <c r="V20" i="32"/>
  <c r="BC21" i="32"/>
  <c r="BB21" i="32"/>
  <c r="N20" i="32"/>
  <c r="Z42" i="3"/>
  <c r="Y34" i="3"/>
  <c r="Y11" i="3"/>
  <c r="A23" i="32"/>
  <c r="AT21" i="32"/>
  <c r="AU21" i="32"/>
  <c r="Y44" i="3"/>
  <c r="Y134" i="3"/>
  <c r="Y140" i="3"/>
  <c r="L20" i="32"/>
  <c r="L19" i="32"/>
  <c r="AI21" i="32"/>
  <c r="AJ21" i="32"/>
  <c r="X53" i="3"/>
  <c r="X101" i="3"/>
  <c r="W4" i="3"/>
  <c r="X77" i="3"/>
  <c r="X127" i="3"/>
  <c r="X30" i="3"/>
  <c r="AE21" i="32"/>
  <c r="U21" i="32"/>
  <c r="M21" i="32"/>
  <c r="N21" i="32" s="1"/>
  <c r="AD21" i="32"/>
  <c r="Z43" i="3"/>
  <c r="AO134" i="3"/>
  <c r="D20" i="32"/>
  <c r="Y72" i="57"/>
  <c r="X18" i="57"/>
  <c r="X53" i="57"/>
  <c r="X71" i="57"/>
  <c r="X11" i="57"/>
  <c r="X66" i="57"/>
  <c r="W41" i="57"/>
  <c r="W77" i="57"/>
  <c r="W24" i="57"/>
  <c r="W59" i="57"/>
  <c r="W94" i="57"/>
  <c r="Y31" i="57"/>
  <c r="Y36" i="57"/>
  <c r="X25" i="57"/>
  <c r="X101" i="57"/>
  <c r="X106" i="57"/>
  <c r="X89" i="57"/>
  <c r="X84" i="57"/>
  <c r="X48" i="57"/>
  <c r="X28" i="57"/>
  <c r="X54" i="57" s="1"/>
  <c r="Y101" i="58"/>
  <c r="X77" i="58"/>
  <c r="X59" i="58"/>
  <c r="X94" i="58"/>
  <c r="X41" i="58"/>
  <c r="X24" i="58"/>
  <c r="F7" i="35"/>
  <c r="AN20" i="31"/>
  <c r="BE20" i="31"/>
  <c r="AP20" i="31"/>
  <c r="BG20" i="31"/>
  <c r="AL20" i="31"/>
  <c r="BC20" i="31"/>
  <c r="AT19" i="31"/>
  <c r="AX19" i="31" s="1"/>
  <c r="AM19" i="31"/>
  <c r="U20" i="31"/>
  <c r="D20" i="31"/>
  <c r="E20" i="31" s="1"/>
  <c r="L20" i="31"/>
  <c r="M20" i="31" s="1"/>
  <c r="P20" i="31"/>
  <c r="AK20" i="31"/>
  <c r="AR20" i="31"/>
  <c r="BI20" i="31"/>
  <c r="M19" i="31"/>
  <c r="AV19" i="31"/>
  <c r="AQ19" i="31"/>
  <c r="G20" i="31"/>
  <c r="AE20" i="31"/>
  <c r="BK21" i="31"/>
  <c r="A22" i="31"/>
  <c r="BO21" i="31"/>
  <c r="BM21" i="31"/>
  <c r="BQ21" i="31"/>
  <c r="I20" i="31"/>
  <c r="AG20" i="31"/>
  <c r="AU19" i="31"/>
  <c r="AY19" i="31" s="1"/>
  <c r="AO19" i="31"/>
  <c r="I19" i="31"/>
  <c r="AW19" i="31"/>
  <c r="BA19" i="31" s="1"/>
  <c r="AS19" i="31"/>
  <c r="N20" i="31"/>
  <c r="O20" i="31" s="1"/>
  <c r="J20" i="31"/>
  <c r="K20" i="31" s="1"/>
  <c r="B20" i="31"/>
  <c r="C20" i="31" s="1"/>
  <c r="F16" i="35"/>
  <c r="E20" i="26"/>
  <c r="X21" i="28"/>
  <c r="AO21" i="28"/>
  <c r="BN21" i="28"/>
  <c r="CJ20" i="28"/>
  <c r="CD21" i="28"/>
  <c r="AW20" i="26"/>
  <c r="F10" i="60"/>
  <c r="F32" i="60"/>
  <c r="AE19" i="26"/>
  <c r="AI19" i="26" s="1"/>
  <c r="BX21" i="28"/>
  <c r="AW21" i="28"/>
  <c r="AX21" i="28" s="1"/>
  <c r="BV21" i="28"/>
  <c r="F29" i="35"/>
  <c r="F31" i="35"/>
  <c r="N19" i="28"/>
  <c r="BL19" i="28"/>
  <c r="AS20" i="26"/>
  <c r="CR20" i="28"/>
  <c r="O20" i="26"/>
  <c r="F11" i="35"/>
  <c r="AV20" i="28"/>
  <c r="BF20" i="28"/>
  <c r="AT20" i="28"/>
  <c r="BT20" i="28"/>
  <c r="BA21" i="28"/>
  <c r="BZ21" i="28"/>
  <c r="AS21" i="28"/>
  <c r="BR21" i="28"/>
  <c r="AV19" i="28"/>
  <c r="AC20" i="28"/>
  <c r="Q21" i="28"/>
  <c r="BH20" i="28"/>
  <c r="BB20" i="28"/>
  <c r="U19" i="26"/>
  <c r="AU20" i="26"/>
  <c r="AA19" i="26"/>
  <c r="CF20" i="28"/>
  <c r="AH18" i="26"/>
  <c r="S20" i="28"/>
  <c r="CB20" i="28"/>
  <c r="C21" i="28"/>
  <c r="AR19" i="28"/>
  <c r="T20" i="26"/>
  <c r="Z20" i="26"/>
  <c r="AA20" i="26" s="1"/>
  <c r="AQ20" i="26"/>
  <c r="V21" i="28"/>
  <c r="L20" i="28"/>
  <c r="I20" i="28"/>
  <c r="E20" i="28"/>
  <c r="A22" i="26"/>
  <c r="V20" i="26"/>
  <c r="AM20" i="26"/>
  <c r="BE20" i="28"/>
  <c r="F49" i="35"/>
  <c r="F52" i="35" s="1"/>
  <c r="F51" i="35"/>
  <c r="BG20" i="28"/>
  <c r="AK20" i="26"/>
  <c r="BI19" i="28"/>
  <c r="AA21" i="28"/>
  <c r="CH22" i="28"/>
  <c r="A23" i="28"/>
  <c r="CH21" i="28"/>
  <c r="H20" i="28"/>
  <c r="H20" i="26"/>
  <c r="I20" i="26" s="1"/>
  <c r="F20" i="26"/>
  <c r="B20" i="26"/>
  <c r="AG18" i="26"/>
  <c r="BJ19" i="28"/>
  <c r="S20" i="26"/>
  <c r="BP20" i="28"/>
  <c r="I19" i="26"/>
  <c r="AC19" i="26"/>
  <c r="BK19" i="28"/>
  <c r="AF21" i="28"/>
  <c r="K21" i="28"/>
  <c r="H21" i="28"/>
  <c r="AD19" i="26"/>
  <c r="AB19" i="26"/>
  <c r="CN20" i="28"/>
  <c r="X20" i="26"/>
  <c r="AO20" i="26"/>
  <c r="Q20" i="26"/>
  <c r="CP21" i="28"/>
  <c r="AI18" i="26"/>
  <c r="Q22" i="28" l="1"/>
  <c r="C74" i="55"/>
  <c r="I73" i="55"/>
  <c r="K73" i="55"/>
  <c r="M73" i="55"/>
  <c r="B24" i="55"/>
  <c r="O73" i="55"/>
  <c r="G73" i="55"/>
  <c r="Q73" i="55"/>
  <c r="L73" i="55"/>
  <c r="B73" i="55"/>
  <c r="B114" i="55" s="1"/>
  <c r="A114" i="55" s="1"/>
  <c r="E116" i="55"/>
  <c r="M115" i="55"/>
  <c r="I115" i="55"/>
  <c r="Q115" i="55"/>
  <c r="K115" i="55"/>
  <c r="L115" i="55"/>
  <c r="AA22" i="28"/>
  <c r="X111" i="3"/>
  <c r="D22" i="32"/>
  <c r="X44" i="3"/>
  <c r="W22" i="31"/>
  <c r="AK22" i="31"/>
  <c r="AI22" i="31"/>
  <c r="AC22" i="31"/>
  <c r="AA22" i="31"/>
  <c r="Y22" i="31"/>
  <c r="K22" i="26"/>
  <c r="X45" i="3"/>
  <c r="C22" i="32"/>
  <c r="Y37" i="3"/>
  <c r="AR22" i="32"/>
  <c r="CA20" i="54"/>
  <c r="CM21" i="54"/>
  <c r="BC21" i="54"/>
  <c r="AQ21" i="54"/>
  <c r="AE21" i="54"/>
  <c r="S21" i="54"/>
  <c r="CY21" i="54"/>
  <c r="CQ24" i="54"/>
  <c r="CE24" i="54"/>
  <c r="AU24" i="54"/>
  <c r="W24" i="54"/>
  <c r="DC24" i="54"/>
  <c r="BG24" i="54"/>
  <c r="AI24" i="54"/>
  <c r="BC20" i="54"/>
  <c r="CY20" i="54"/>
  <c r="CM20" i="54"/>
  <c r="CI20" i="54"/>
  <c r="BU20" i="54"/>
  <c r="BA20" i="54"/>
  <c r="U20" i="54"/>
  <c r="AA20" i="54"/>
  <c r="AK20" i="54"/>
  <c r="DA20" i="54"/>
  <c r="CK20" i="54"/>
  <c r="BM20" i="54"/>
  <c r="K24" i="54"/>
  <c r="AM21" i="54"/>
  <c r="C21" i="54"/>
  <c r="AS21" i="54"/>
  <c r="AY21" i="54"/>
  <c r="CC21" i="54"/>
  <c r="CS21" i="54"/>
  <c r="G21" i="54"/>
  <c r="BY21" i="54"/>
  <c r="O21" i="54"/>
  <c r="Q21" i="54"/>
  <c r="BA21" i="54"/>
  <c r="CW21" i="54"/>
  <c r="AA21" i="54"/>
  <c r="BM21" i="54"/>
  <c r="BE21" i="54"/>
  <c r="AK21" i="54"/>
  <c r="A22" i="54"/>
  <c r="Y21" i="54"/>
  <c r="E21" i="54"/>
  <c r="AG21" i="54"/>
  <c r="CI21" i="54"/>
  <c r="CO21" i="54"/>
  <c r="CO20" i="54"/>
  <c r="BE20" i="54"/>
  <c r="E20" i="54"/>
  <c r="Q20" i="54"/>
  <c r="BQ20" i="54"/>
  <c r="CC20" i="54"/>
  <c r="I20" i="54"/>
  <c r="BY20" i="54"/>
  <c r="W35" i="57"/>
  <c r="Y91" i="3"/>
  <c r="X84" i="3"/>
  <c r="X90" i="3"/>
  <c r="X66" i="3"/>
  <c r="X60" i="3"/>
  <c r="Y67" i="3"/>
  <c r="X47" i="3"/>
  <c r="X31" i="3"/>
  <c r="X117" i="3"/>
  <c r="X34" i="3"/>
  <c r="AQ22" i="32"/>
  <c r="BB22" i="32"/>
  <c r="BC22" i="32"/>
  <c r="Y43" i="3"/>
  <c r="X41" i="3"/>
  <c r="X42" i="3" s="1"/>
  <c r="X11" i="3"/>
  <c r="AM22" i="32"/>
  <c r="AL22" i="32"/>
  <c r="AB22" i="32"/>
  <c r="AA22" i="32"/>
  <c r="R22" i="32"/>
  <c r="J22" i="32"/>
  <c r="K22" i="32" s="1"/>
  <c r="AD22" i="32"/>
  <c r="AE22" i="32"/>
  <c r="U22" i="32"/>
  <c r="M22" i="32"/>
  <c r="N22" i="32" s="1"/>
  <c r="P21" i="32"/>
  <c r="L21" i="32" s="1"/>
  <c r="D21" i="32"/>
  <c r="AZ22" i="32"/>
  <c r="AY22" i="32"/>
  <c r="Q21" i="32"/>
  <c r="O21" i="32" s="1"/>
  <c r="G21" i="32"/>
  <c r="V21" i="32"/>
  <c r="F22" i="32"/>
  <c r="X48" i="3"/>
  <c r="X140" i="3"/>
  <c r="X134" i="3"/>
  <c r="A24" i="32"/>
  <c r="S21" i="32"/>
  <c r="T21" i="32"/>
  <c r="W77" i="3"/>
  <c r="W127" i="3"/>
  <c r="W101" i="3"/>
  <c r="W53" i="3"/>
  <c r="V4" i="3"/>
  <c r="W30" i="3"/>
  <c r="AJ22" i="32"/>
  <c r="AT22" i="32"/>
  <c r="AU22" i="32"/>
  <c r="AI22" i="32"/>
  <c r="W18" i="57"/>
  <c r="W53" i="57"/>
  <c r="X72" i="57"/>
  <c r="W71" i="57"/>
  <c r="W66" i="57"/>
  <c r="W11" i="57"/>
  <c r="W28" i="57"/>
  <c r="W72" i="57" s="1"/>
  <c r="W48" i="57"/>
  <c r="X36" i="57"/>
  <c r="X31" i="57"/>
  <c r="W101" i="57"/>
  <c r="W106" i="57"/>
  <c r="W25" i="57"/>
  <c r="V24" i="57"/>
  <c r="V41" i="57"/>
  <c r="V59" i="57"/>
  <c r="V77" i="57"/>
  <c r="V94" i="57"/>
  <c r="W84" i="57"/>
  <c r="W89" i="57"/>
  <c r="X101" i="58"/>
  <c r="W41" i="58"/>
  <c r="W24" i="58"/>
  <c r="W94" i="58"/>
  <c r="W77" i="58"/>
  <c r="W59" i="58"/>
  <c r="Q21" i="26"/>
  <c r="AG21" i="31"/>
  <c r="AZ19" i="31"/>
  <c r="AR21" i="31"/>
  <c r="BI21" i="31"/>
  <c r="AW20" i="31"/>
  <c r="BA20" i="31" s="1"/>
  <c r="AS20" i="31"/>
  <c r="AL21" i="31"/>
  <c r="BC21" i="31"/>
  <c r="AA21" i="31"/>
  <c r="I21" i="31"/>
  <c r="BC22" i="31"/>
  <c r="BQ22" i="31"/>
  <c r="BO22" i="31"/>
  <c r="A23" i="31"/>
  <c r="BK22" i="31"/>
  <c r="BM22" i="31"/>
  <c r="Q20" i="31"/>
  <c r="AN21" i="31"/>
  <c r="BE21" i="31"/>
  <c r="AE21" i="31"/>
  <c r="D21" i="31"/>
  <c r="E21" i="31" s="1"/>
  <c r="L21" i="31"/>
  <c r="M21" i="31" s="1"/>
  <c r="P21" i="31"/>
  <c r="Q21" i="31" s="1"/>
  <c r="AT20" i="31"/>
  <c r="AX20" i="31" s="1"/>
  <c r="AM20" i="31"/>
  <c r="S21" i="31"/>
  <c r="B21" i="31"/>
  <c r="C21" i="31" s="1"/>
  <c r="J21" i="31"/>
  <c r="K21" i="31" s="1"/>
  <c r="N21" i="31"/>
  <c r="O21" i="31" s="1"/>
  <c r="AQ20" i="31"/>
  <c r="AV20" i="31"/>
  <c r="AZ20" i="31" s="1"/>
  <c r="AP21" i="31"/>
  <c r="BG21" i="31"/>
  <c r="AU20" i="31"/>
  <c r="AY20" i="31" s="1"/>
  <c r="AO20" i="31"/>
  <c r="BJ20" i="28"/>
  <c r="BG21" i="28"/>
  <c r="BP21" i="28"/>
  <c r="AM22" i="28"/>
  <c r="CD23" i="28"/>
  <c r="BV23" i="28"/>
  <c r="CH23" i="28"/>
  <c r="BN23" i="28"/>
  <c r="A24" i="28"/>
  <c r="AU22" i="26"/>
  <c r="AM22" i="26"/>
  <c r="AQ22" i="26"/>
  <c r="AW22" i="26"/>
  <c r="AK22" i="26"/>
  <c r="A23" i="26"/>
  <c r="CF22" i="28"/>
  <c r="CN21" i="28"/>
  <c r="BI20" i="28"/>
  <c r="H21" i="26"/>
  <c r="I21" i="26" s="1"/>
  <c r="F21" i="26"/>
  <c r="B21" i="26"/>
  <c r="C21" i="26" s="1"/>
  <c r="BT21" i="28"/>
  <c r="AH22" i="28"/>
  <c r="AK22" i="28"/>
  <c r="X22" i="28"/>
  <c r="AM21" i="28"/>
  <c r="AU21" i="26"/>
  <c r="L21" i="28"/>
  <c r="V21" i="26"/>
  <c r="W21" i="26" s="1"/>
  <c r="AM21" i="26"/>
  <c r="U20" i="26"/>
  <c r="C22" i="28"/>
  <c r="AO22" i="28"/>
  <c r="AP22" i="28" s="1"/>
  <c r="AW22" i="28"/>
  <c r="J20" i="28"/>
  <c r="X21" i="26"/>
  <c r="N20" i="28"/>
  <c r="BD20" i="28"/>
  <c r="BN22" i="28"/>
  <c r="V22" i="28"/>
  <c r="T21" i="26"/>
  <c r="U21" i="26" s="1"/>
  <c r="AK21" i="26"/>
  <c r="AH19" i="26"/>
  <c r="H22" i="28"/>
  <c r="K22" i="28"/>
  <c r="S22" i="28"/>
  <c r="Z21" i="26"/>
  <c r="AQ21" i="26"/>
  <c r="CD22" i="28"/>
  <c r="AS21" i="26"/>
  <c r="AD20" i="26"/>
  <c r="Y20" i="26"/>
  <c r="CJ22" i="28"/>
  <c r="AR20" i="28"/>
  <c r="AC20" i="26"/>
  <c r="AB20" i="26"/>
  <c r="AF20" i="26" s="1"/>
  <c r="AG19" i="26"/>
  <c r="AS22" i="28"/>
  <c r="BR22" i="28"/>
  <c r="AW21" i="26"/>
  <c r="W20" i="26"/>
  <c r="BA22" i="28"/>
  <c r="BZ22" i="28"/>
  <c r="BH21" i="28"/>
  <c r="BL21" i="28" s="1"/>
  <c r="BB21" i="28"/>
  <c r="AF19" i="26"/>
  <c r="AH21" i="28"/>
  <c r="AF22" i="28"/>
  <c r="CF21" i="28"/>
  <c r="CL22" i="28"/>
  <c r="AZ20" i="28"/>
  <c r="S21" i="28"/>
  <c r="O21" i="26"/>
  <c r="S21" i="26"/>
  <c r="AE20" i="26"/>
  <c r="CB21" i="28"/>
  <c r="I21" i="28"/>
  <c r="E21" i="28"/>
  <c r="BL20" i="28"/>
  <c r="BF21" i="28"/>
  <c r="C20" i="26"/>
  <c r="G20" i="26"/>
  <c r="BK20" i="28"/>
  <c r="F32" i="35"/>
  <c r="F10" i="35"/>
  <c r="CJ21" i="28"/>
  <c r="K21" i="26"/>
  <c r="E21" i="26"/>
  <c r="AT21" i="28"/>
  <c r="BV22" i="28"/>
  <c r="CR21" i="28"/>
  <c r="CP22" i="28"/>
  <c r="F13" i="60"/>
  <c r="AC21" i="28"/>
  <c r="AY21" i="26"/>
  <c r="BE21" i="28"/>
  <c r="BI21" i="28" s="1"/>
  <c r="AP21" i="28"/>
  <c r="AO21" i="26"/>
  <c r="C73" i="55" l="1"/>
  <c r="Q23" i="28"/>
  <c r="M114" i="55"/>
  <c r="K114" i="55"/>
  <c r="I114" i="55"/>
  <c r="L114" i="55"/>
  <c r="Q114" i="55"/>
  <c r="E115" i="55"/>
  <c r="O72" i="55"/>
  <c r="B72" i="55"/>
  <c r="B113" i="55" s="1"/>
  <c r="A113" i="55" s="1"/>
  <c r="B23" i="55"/>
  <c r="G72" i="55"/>
  <c r="M72" i="55"/>
  <c r="Q72" i="55"/>
  <c r="L72" i="55"/>
  <c r="K72" i="55"/>
  <c r="I72" i="55"/>
  <c r="V23" i="28"/>
  <c r="AK23" i="28"/>
  <c r="AF23" i="28"/>
  <c r="W47" i="3"/>
  <c r="AA23" i="28"/>
  <c r="AI23" i="31"/>
  <c r="Y23" i="31"/>
  <c r="AK23" i="31"/>
  <c r="W23" i="31"/>
  <c r="L22" i="28"/>
  <c r="M23" i="26"/>
  <c r="K23" i="26"/>
  <c r="L22" i="32"/>
  <c r="CA21" i="54"/>
  <c r="CY22" i="54"/>
  <c r="CM22" i="54"/>
  <c r="AQ22" i="54"/>
  <c r="S22" i="54"/>
  <c r="CQ25" i="54"/>
  <c r="CE25" i="54"/>
  <c r="DC25" i="54"/>
  <c r="W25" i="54"/>
  <c r="AI25" i="54"/>
  <c r="BG25" i="54"/>
  <c r="AU25" i="54"/>
  <c r="AC21" i="54"/>
  <c r="CU21" i="54"/>
  <c r="CK21" i="54"/>
  <c r="M21" i="54"/>
  <c r="CG21" i="54"/>
  <c r="I21" i="54"/>
  <c r="AW21" i="54"/>
  <c r="BQ21" i="54"/>
  <c r="AO21" i="54"/>
  <c r="BK21" i="54"/>
  <c r="BW21" i="54"/>
  <c r="DE21" i="54"/>
  <c r="BI21" i="54"/>
  <c r="DA21" i="54"/>
  <c r="U21" i="54"/>
  <c r="K25" i="54"/>
  <c r="DE22" i="54"/>
  <c r="BI22" i="54"/>
  <c r="AC22" i="54"/>
  <c r="BE22" i="54"/>
  <c r="BW22" i="54"/>
  <c r="BU22" i="54"/>
  <c r="CO22" i="54"/>
  <c r="CK22" i="54"/>
  <c r="AO22" i="54"/>
  <c r="DA22" i="54"/>
  <c r="A23" i="54"/>
  <c r="AK22" i="54"/>
  <c r="C22" i="54"/>
  <c r="BM22" i="54"/>
  <c r="AW22" i="54"/>
  <c r="E22" i="54"/>
  <c r="I22" i="54"/>
  <c r="AS22" i="54"/>
  <c r="AG22" i="54"/>
  <c r="O22" i="54"/>
  <c r="BQ22" i="54"/>
  <c r="CG22" i="54"/>
  <c r="G22" i="54"/>
  <c r="BU21" i="54"/>
  <c r="W44" i="3"/>
  <c r="W48" i="3"/>
  <c r="V25" i="57"/>
  <c r="W111" i="3"/>
  <c r="X37" i="3"/>
  <c r="W60" i="3"/>
  <c r="W66" i="3"/>
  <c r="X67" i="3"/>
  <c r="X91" i="3"/>
  <c r="W84" i="3"/>
  <c r="W90" i="3"/>
  <c r="BB23" i="32"/>
  <c r="BC23" i="32"/>
  <c r="G22" i="32"/>
  <c r="Q22" i="32"/>
  <c r="O22" i="32" s="1"/>
  <c r="W41" i="3"/>
  <c r="W42" i="3" s="1"/>
  <c r="W117" i="3"/>
  <c r="AU23" i="32"/>
  <c r="AT23" i="32"/>
  <c r="AY23" i="32"/>
  <c r="S22" i="32"/>
  <c r="T22" i="32"/>
  <c r="W31" i="3"/>
  <c r="AR23" i="32"/>
  <c r="AQ23" i="32"/>
  <c r="W11" i="3"/>
  <c r="AA23" i="32"/>
  <c r="AB23" i="32"/>
  <c r="R23" i="32"/>
  <c r="J23" i="32"/>
  <c r="K23" i="32" s="1"/>
  <c r="W21" i="32"/>
  <c r="V30" i="3"/>
  <c r="V53" i="3"/>
  <c r="V127" i="3"/>
  <c r="U4" i="3"/>
  <c r="V101" i="3"/>
  <c r="V77" i="3"/>
  <c r="W34" i="3"/>
  <c r="W91" i="3" s="1"/>
  <c r="C23" i="32"/>
  <c r="AM23" i="32"/>
  <c r="AL23" i="32"/>
  <c r="AE23" i="32"/>
  <c r="U23" i="32"/>
  <c r="M23" i="32"/>
  <c r="N23" i="32" s="1"/>
  <c r="AD23" i="32"/>
  <c r="AJ23" i="32"/>
  <c r="AI23" i="32"/>
  <c r="W22" i="32"/>
  <c r="V22" i="32"/>
  <c r="W45" i="3"/>
  <c r="W140" i="3"/>
  <c r="W134" i="3"/>
  <c r="F23" i="32"/>
  <c r="A25" i="32"/>
  <c r="X43" i="3"/>
  <c r="V18" i="57"/>
  <c r="V53" i="57"/>
  <c r="W54" i="57"/>
  <c r="V71" i="57"/>
  <c r="V66" i="57"/>
  <c r="W36" i="57"/>
  <c r="W31" i="57"/>
  <c r="V35" i="57"/>
  <c r="U94" i="57"/>
  <c r="U24" i="57"/>
  <c r="U59" i="57"/>
  <c r="U41" i="57"/>
  <c r="U77" i="57"/>
  <c r="V84" i="57"/>
  <c r="V89" i="57"/>
  <c r="V106" i="57"/>
  <c r="V11" i="57"/>
  <c r="V28" i="57"/>
  <c r="V54" i="57" s="1"/>
  <c r="V48" i="57"/>
  <c r="V101" i="57"/>
  <c r="W101" i="58"/>
  <c r="V59" i="58"/>
  <c r="V41" i="58"/>
  <c r="V94" i="58"/>
  <c r="V77" i="58"/>
  <c r="V24" i="58"/>
  <c r="Q22" i="26"/>
  <c r="AV21" i="31"/>
  <c r="AZ21" i="31" s="1"/>
  <c r="AQ21" i="31"/>
  <c r="AU21" i="31"/>
  <c r="AG22" i="31"/>
  <c r="I22" i="31"/>
  <c r="AL22" i="31"/>
  <c r="AM22" i="31" s="1"/>
  <c r="AE22" i="31"/>
  <c r="G22" i="31"/>
  <c r="AR22" i="31"/>
  <c r="BI22" i="31"/>
  <c r="P22" i="31"/>
  <c r="Q22" i="31" s="1"/>
  <c r="L22" i="31"/>
  <c r="M22" i="31" s="1"/>
  <c r="D22" i="31"/>
  <c r="E22" i="31" s="1"/>
  <c r="U22" i="31"/>
  <c r="A24" i="31"/>
  <c r="BE22" i="31"/>
  <c r="AN22" i="31"/>
  <c r="N22" i="31"/>
  <c r="O22" i="31" s="1"/>
  <c r="J22" i="31"/>
  <c r="S22" i="31"/>
  <c r="B22" i="31"/>
  <c r="C22" i="31" s="1"/>
  <c r="AT21" i="31"/>
  <c r="AX21" i="31" s="1"/>
  <c r="AM21" i="31"/>
  <c r="G21" i="31"/>
  <c r="AP22" i="31"/>
  <c r="AQ22" i="31" s="1"/>
  <c r="BG22" i="31"/>
  <c r="AO21" i="31"/>
  <c r="AW21" i="31"/>
  <c r="BA21" i="31" s="1"/>
  <c r="AS21" i="31"/>
  <c r="E22" i="26"/>
  <c r="BD21" i="28"/>
  <c r="BG22" i="28"/>
  <c r="BK22" i="28" s="1"/>
  <c r="AX22" i="28"/>
  <c r="I22" i="28"/>
  <c r="J22" i="28" s="1"/>
  <c r="E22" i="28"/>
  <c r="G21" i="26"/>
  <c r="Z22" i="26"/>
  <c r="AY22" i="26"/>
  <c r="AO23" i="28"/>
  <c r="AC23" i="28"/>
  <c r="CB22" i="28"/>
  <c r="F13" i="35"/>
  <c r="AR21" i="28"/>
  <c r="CR22" i="28"/>
  <c r="AV21" i="28"/>
  <c r="N21" i="28"/>
  <c r="O22" i="26"/>
  <c r="BX22" i="28"/>
  <c r="AS23" i="28"/>
  <c r="BR23" i="28"/>
  <c r="BK21" i="28"/>
  <c r="BT22" i="28"/>
  <c r="AC22" i="28"/>
  <c r="BE22" i="28"/>
  <c r="M22" i="26"/>
  <c r="AM23" i="26"/>
  <c r="A24" i="26"/>
  <c r="S22" i="26"/>
  <c r="C23" i="28"/>
  <c r="CP23" i="28"/>
  <c r="AI20" i="26"/>
  <c r="BF22" i="28"/>
  <c r="AH20" i="26"/>
  <c r="AE21" i="26"/>
  <c r="AA21" i="26"/>
  <c r="AB21" i="26"/>
  <c r="AT22" i="28"/>
  <c r="BJ21" i="28"/>
  <c r="CN22" i="28"/>
  <c r="BH22" i="28"/>
  <c r="BB22" i="28"/>
  <c r="AG20" i="26"/>
  <c r="AD21" i="26"/>
  <c r="Y21" i="26"/>
  <c r="AS22" i="26"/>
  <c r="V22" i="26"/>
  <c r="CB23" i="28"/>
  <c r="BA23" i="28"/>
  <c r="BZ23" i="28"/>
  <c r="H23" i="28"/>
  <c r="K23" i="28"/>
  <c r="S23" i="28"/>
  <c r="AZ21" i="28"/>
  <c r="BP22" i="28"/>
  <c r="B22" i="26"/>
  <c r="H22" i="26"/>
  <c r="F22" i="26"/>
  <c r="A25" i="28"/>
  <c r="CN23" i="28"/>
  <c r="CL23" i="28"/>
  <c r="J21" i="28"/>
  <c r="AC21" i="26"/>
  <c r="T22" i="26"/>
  <c r="AM23" i="28"/>
  <c r="X22" i="26"/>
  <c r="AO22" i="26"/>
  <c r="X23" i="28"/>
  <c r="AW23" i="28"/>
  <c r="AX23" i="28" s="1"/>
  <c r="C72" i="55" l="1"/>
  <c r="AA24" i="28"/>
  <c r="E114" i="55"/>
  <c r="I113" i="55"/>
  <c r="K113" i="55"/>
  <c r="I71" i="55"/>
  <c r="G71" i="55"/>
  <c r="B22" i="55"/>
  <c r="O71" i="55"/>
  <c r="M71" i="55"/>
  <c r="L71" i="55"/>
  <c r="B71" i="55"/>
  <c r="B112" i="55" s="1"/>
  <c r="A112" i="55" s="1"/>
  <c r="Q71" i="55"/>
  <c r="K71" i="55"/>
  <c r="L113" i="55"/>
  <c r="Q113" i="55"/>
  <c r="M113" i="55"/>
  <c r="V47" i="3"/>
  <c r="AF24" i="28"/>
  <c r="AC24" i="31"/>
  <c r="AA24" i="31"/>
  <c r="Y24" i="31"/>
  <c r="W24" i="31"/>
  <c r="AK24" i="31"/>
  <c r="AI24" i="31"/>
  <c r="BC25" i="32"/>
  <c r="AJ25" i="32"/>
  <c r="P25" i="32"/>
  <c r="CY23" i="54"/>
  <c r="CA23" i="54"/>
  <c r="BC23" i="54"/>
  <c r="CQ26" i="54"/>
  <c r="CE26" i="54"/>
  <c r="DC26" i="54"/>
  <c r="W26" i="54"/>
  <c r="BG26" i="54"/>
  <c r="AI26" i="54"/>
  <c r="AU26" i="54"/>
  <c r="BC22" i="54"/>
  <c r="AE22" i="54"/>
  <c r="CA22" i="54"/>
  <c r="BY22" i="54"/>
  <c r="CI22" i="54"/>
  <c r="CW22" i="54"/>
  <c r="CC22" i="54"/>
  <c r="AY22" i="54"/>
  <c r="BA22" i="54"/>
  <c r="BK22" i="54"/>
  <c r="CU22" i="54"/>
  <c r="Y22" i="54"/>
  <c r="AM22" i="54"/>
  <c r="AA22" i="54"/>
  <c r="U22" i="54"/>
  <c r="CS22" i="54"/>
  <c r="M22" i="54"/>
  <c r="Q22" i="54"/>
  <c r="K26" i="54"/>
  <c r="AM23" i="54"/>
  <c r="Y23" i="54"/>
  <c r="BW23" i="54"/>
  <c r="DA23" i="54"/>
  <c r="AA23" i="54"/>
  <c r="CU23" i="54"/>
  <c r="CW23" i="54"/>
  <c r="BQ23" i="54"/>
  <c r="BU23" i="54"/>
  <c r="BK23" i="54"/>
  <c r="A24" i="54"/>
  <c r="BE23" i="54"/>
  <c r="M23" i="54"/>
  <c r="CS23" i="54"/>
  <c r="CC23" i="54"/>
  <c r="CI23" i="54"/>
  <c r="AS23" i="54"/>
  <c r="U25" i="57"/>
  <c r="V60" i="3"/>
  <c r="V66" i="3"/>
  <c r="W43" i="3"/>
  <c r="W37" i="3"/>
  <c r="V84" i="3"/>
  <c r="V90" i="3"/>
  <c r="V111" i="3"/>
  <c r="W67" i="3"/>
  <c r="BC24" i="32"/>
  <c r="BB24" i="32"/>
  <c r="V41" i="3"/>
  <c r="V42" i="3" s="1"/>
  <c r="C24" i="32"/>
  <c r="V48" i="3"/>
  <c r="V11" i="3"/>
  <c r="V44" i="3"/>
  <c r="A26" i="32"/>
  <c r="AQ24" i="32"/>
  <c r="AR24" i="32"/>
  <c r="V31" i="3"/>
  <c r="T23" i="32"/>
  <c r="S23" i="32"/>
  <c r="F24" i="32"/>
  <c r="AZ24" i="32"/>
  <c r="AY24" i="32"/>
  <c r="D23" i="32"/>
  <c r="P23" i="32"/>
  <c r="L23" i="32" s="1"/>
  <c r="AD24" i="32"/>
  <c r="AE24" i="32"/>
  <c r="U24" i="32"/>
  <c r="M24" i="32"/>
  <c r="N24" i="32" s="1"/>
  <c r="AI24" i="32"/>
  <c r="AJ24" i="32"/>
  <c r="V117" i="3"/>
  <c r="AT24" i="32"/>
  <c r="AU24" i="32"/>
  <c r="Q23" i="32"/>
  <c r="O23" i="32" s="1"/>
  <c r="G23" i="32"/>
  <c r="V134" i="3"/>
  <c r="V140" i="3"/>
  <c r="U77" i="3"/>
  <c r="U53" i="3"/>
  <c r="T4" i="3"/>
  <c r="U101" i="3"/>
  <c r="U127" i="3"/>
  <c r="U30" i="3"/>
  <c r="R24" i="32"/>
  <c r="J24" i="32"/>
  <c r="K24" i="32" s="1"/>
  <c r="AA24" i="32"/>
  <c r="AB24" i="32"/>
  <c r="V34" i="3"/>
  <c r="V45" i="3"/>
  <c r="AZ23" i="32"/>
  <c r="AL24" i="32"/>
  <c r="AM24" i="32"/>
  <c r="V23" i="32"/>
  <c r="W23" i="32"/>
  <c r="U18" i="57"/>
  <c r="U53" i="57"/>
  <c r="V72" i="57"/>
  <c r="U11" i="57"/>
  <c r="U71" i="57"/>
  <c r="U35" i="57"/>
  <c r="T94" i="57"/>
  <c r="T24" i="57"/>
  <c r="T59" i="57"/>
  <c r="T41" i="57"/>
  <c r="T77" i="57"/>
  <c r="V36" i="57"/>
  <c r="V31" i="57"/>
  <c r="U66" i="57"/>
  <c r="U106" i="57"/>
  <c r="U101" i="57"/>
  <c r="U28" i="57"/>
  <c r="U54" i="57" s="1"/>
  <c r="U48" i="57"/>
  <c r="U84" i="57"/>
  <c r="U89" i="57"/>
  <c r="U59" i="58"/>
  <c r="U41" i="58"/>
  <c r="U77" i="58"/>
  <c r="U24" i="58"/>
  <c r="U94" i="58"/>
  <c r="V101" i="58"/>
  <c r="AY21" i="31"/>
  <c r="BC23" i="31"/>
  <c r="AL23" i="31"/>
  <c r="AR23" i="31"/>
  <c r="AS23" i="31" s="1"/>
  <c r="BI23" i="31"/>
  <c r="BK23" i="31"/>
  <c r="AA23" i="31"/>
  <c r="AS22" i="31"/>
  <c r="AW22" i="31"/>
  <c r="BA22" i="31" s="1"/>
  <c r="N23" i="31"/>
  <c r="O23" i="31" s="1"/>
  <c r="B23" i="31"/>
  <c r="C23" i="31" s="1"/>
  <c r="J23" i="31"/>
  <c r="K23" i="31" s="1"/>
  <c r="S23" i="31"/>
  <c r="AE23" i="31"/>
  <c r="K22" i="31"/>
  <c r="BE23" i="31"/>
  <c r="AN23" i="31"/>
  <c r="G23" i="31"/>
  <c r="AO22" i="31"/>
  <c r="AU22" i="31"/>
  <c r="AY22" i="31" s="1"/>
  <c r="U23" i="31"/>
  <c r="L23" i="31"/>
  <c r="M23" i="31" s="1"/>
  <c r="D23" i="31"/>
  <c r="E23" i="31" s="1"/>
  <c r="P23" i="31"/>
  <c r="Q23" i="31" s="1"/>
  <c r="AT22" i="31"/>
  <c r="AX22" i="31" s="1"/>
  <c r="A25" i="31"/>
  <c r="BQ24" i="31"/>
  <c r="BM24" i="31"/>
  <c r="BO24" i="31"/>
  <c r="BK24" i="31"/>
  <c r="BM23" i="31"/>
  <c r="AG23" i="31"/>
  <c r="I23" i="31"/>
  <c r="BO23" i="31"/>
  <c r="BQ23" i="31"/>
  <c r="AP23" i="31"/>
  <c r="BG23" i="31"/>
  <c r="AV22" i="31"/>
  <c r="AZ22" i="31" s="1"/>
  <c r="AC23" i="31"/>
  <c r="CP24" i="28"/>
  <c r="AV22" i="28"/>
  <c r="AU23" i="26"/>
  <c r="BT23" i="28"/>
  <c r="X24" i="28"/>
  <c r="V24" i="28"/>
  <c r="BD22" i="28"/>
  <c r="AY23" i="26"/>
  <c r="CJ23" i="28"/>
  <c r="BR25" i="28"/>
  <c r="BV25" i="28"/>
  <c r="A26" i="28"/>
  <c r="CD25" i="28"/>
  <c r="CH25" i="28"/>
  <c r="BN25" i="28"/>
  <c r="CL25" i="28"/>
  <c r="AD22" i="26"/>
  <c r="Y22" i="26"/>
  <c r="AB22" i="26"/>
  <c r="U22" i="26"/>
  <c r="CD24" i="28"/>
  <c r="G22" i="26"/>
  <c r="L23" i="28"/>
  <c r="Z23" i="26"/>
  <c r="AQ23" i="26"/>
  <c r="CJ24" i="28"/>
  <c r="CH24" i="28"/>
  <c r="E24" i="28"/>
  <c r="C24" i="28"/>
  <c r="I22" i="26"/>
  <c r="AI21" i="26"/>
  <c r="BJ22" i="28"/>
  <c r="S23" i="26"/>
  <c r="AW23" i="26"/>
  <c r="V23" i="26"/>
  <c r="W23" i="26" s="1"/>
  <c r="BI22" i="28"/>
  <c r="BF23" i="28"/>
  <c r="AV23" i="28"/>
  <c r="AT23" i="28"/>
  <c r="CL24" i="28"/>
  <c r="AO24" i="28"/>
  <c r="BN24" i="28"/>
  <c r="C22" i="26"/>
  <c r="CR23" i="28"/>
  <c r="Q23" i="26"/>
  <c r="AF21" i="26"/>
  <c r="E23" i="28"/>
  <c r="BE23" i="28"/>
  <c r="AP23" i="28"/>
  <c r="K24" i="28"/>
  <c r="AR22" i="28"/>
  <c r="AS24" i="28"/>
  <c r="BR24" i="28"/>
  <c r="I23" i="28"/>
  <c r="F23" i="26"/>
  <c r="G23" i="26" s="1"/>
  <c r="B23" i="26"/>
  <c r="C23" i="26" s="1"/>
  <c r="H23" i="26"/>
  <c r="AG21" i="26"/>
  <c r="Q24" i="28"/>
  <c r="BL22" i="28"/>
  <c r="A25" i="26"/>
  <c r="AK24" i="26"/>
  <c r="BG23" i="28"/>
  <c r="AM24" i="28"/>
  <c r="AK24" i="28"/>
  <c r="AW24" i="28"/>
  <c r="BV24" i="28"/>
  <c r="BH23" i="28"/>
  <c r="BB23" i="28"/>
  <c r="AC22" i="26"/>
  <c r="T23" i="26"/>
  <c r="AK23" i="26"/>
  <c r="CF23" i="28"/>
  <c r="BX23" i="28"/>
  <c r="O23" i="26"/>
  <c r="W22" i="26"/>
  <c r="CB24" i="28"/>
  <c r="BA24" i="28"/>
  <c r="BZ24" i="28"/>
  <c r="AH21" i="26"/>
  <c r="N22" i="28"/>
  <c r="AS23" i="26"/>
  <c r="X23" i="26"/>
  <c r="AO23" i="26"/>
  <c r="AH23" i="28"/>
  <c r="BP23" i="28"/>
  <c r="AE22" i="26"/>
  <c r="AA22" i="26"/>
  <c r="AZ22" i="28"/>
  <c r="C71" i="55" l="1"/>
  <c r="Q25" i="28"/>
  <c r="K112" i="55"/>
  <c r="Q112" i="55"/>
  <c r="I112" i="55"/>
  <c r="L112" i="55"/>
  <c r="M112" i="55"/>
  <c r="AF25" i="28"/>
  <c r="E113" i="55"/>
  <c r="I70" i="55"/>
  <c r="K70" i="55"/>
  <c r="G70" i="55"/>
  <c r="M70" i="55"/>
  <c r="O70" i="55"/>
  <c r="B21" i="55"/>
  <c r="L70" i="55"/>
  <c r="Q70" i="55"/>
  <c r="B70" i="55"/>
  <c r="B111" i="55" s="1"/>
  <c r="A111" i="55" s="1"/>
  <c r="AA25" i="32"/>
  <c r="C25" i="28"/>
  <c r="V37" i="3"/>
  <c r="AI25" i="31"/>
  <c r="AC25" i="31"/>
  <c r="S25" i="26"/>
  <c r="E25" i="26"/>
  <c r="O25" i="26"/>
  <c r="L24" i="28"/>
  <c r="N24" i="28"/>
  <c r="I24" i="31"/>
  <c r="C25" i="32"/>
  <c r="BC24" i="54"/>
  <c r="AQ24" i="54"/>
  <c r="CE27" i="54"/>
  <c r="DC27" i="54"/>
  <c r="S24" i="54"/>
  <c r="AE24" i="54"/>
  <c r="AI27" i="54"/>
  <c r="BG27" i="54"/>
  <c r="CQ27" i="54"/>
  <c r="W27" i="54"/>
  <c r="AU27" i="54"/>
  <c r="CM23" i="54"/>
  <c r="S23" i="54"/>
  <c r="AQ23" i="54"/>
  <c r="AE23" i="54"/>
  <c r="AW23" i="54"/>
  <c r="AO23" i="54"/>
  <c r="AK23" i="54"/>
  <c r="I23" i="54"/>
  <c r="G23" i="54"/>
  <c r="BA23" i="54"/>
  <c r="K27" i="54"/>
  <c r="CK24" i="54"/>
  <c r="CC24" i="54"/>
  <c r="AW24" i="54"/>
  <c r="E24" i="54"/>
  <c r="M24" i="54"/>
  <c r="Q24" i="54"/>
  <c r="DA24" i="54"/>
  <c r="BK24" i="54"/>
  <c r="CW24" i="54"/>
  <c r="AC24" i="54"/>
  <c r="AO24" i="54"/>
  <c r="BE24" i="54"/>
  <c r="A25" i="54"/>
  <c r="BI24" i="54"/>
  <c r="AK24" i="54"/>
  <c r="G24" i="54"/>
  <c r="CO24" i="54"/>
  <c r="BY24" i="54"/>
  <c r="BM24" i="54"/>
  <c r="O24" i="54"/>
  <c r="CI24" i="54"/>
  <c r="CS24" i="54"/>
  <c r="AG24" i="54"/>
  <c r="Y24" i="54"/>
  <c r="BQ24" i="54"/>
  <c r="CU24" i="54"/>
  <c r="U24" i="54"/>
  <c r="C24" i="54"/>
  <c r="DE24" i="54"/>
  <c r="BW24" i="54"/>
  <c r="AM24" i="54"/>
  <c r="BA24" i="54"/>
  <c r="AY24" i="54"/>
  <c r="E23" i="54"/>
  <c r="BM23" i="54"/>
  <c r="AY23" i="54"/>
  <c r="AG23" i="54"/>
  <c r="Q23" i="54"/>
  <c r="U23" i="54"/>
  <c r="CK23" i="54"/>
  <c r="BI23" i="54"/>
  <c r="CG23" i="54"/>
  <c r="AC23" i="54"/>
  <c r="C23" i="54"/>
  <c r="BY23" i="54"/>
  <c r="DE23" i="54"/>
  <c r="O23" i="54"/>
  <c r="CO23" i="54"/>
  <c r="T35" i="57"/>
  <c r="U111" i="3"/>
  <c r="T25" i="57"/>
  <c r="U47" i="3"/>
  <c r="V91" i="3"/>
  <c r="U60" i="3"/>
  <c r="U66" i="3"/>
  <c r="V67" i="3"/>
  <c r="U90" i="3"/>
  <c r="U84" i="3"/>
  <c r="D25" i="32"/>
  <c r="A27" i="32"/>
  <c r="AG24" i="31"/>
  <c r="U34" i="3"/>
  <c r="V43" i="3"/>
  <c r="U31" i="3"/>
  <c r="AB25" i="32"/>
  <c r="R25" i="32"/>
  <c r="J25" i="32"/>
  <c r="K25" i="32" s="1"/>
  <c r="U48" i="3"/>
  <c r="U45" i="3"/>
  <c r="U11" i="3"/>
  <c r="U44" i="3"/>
  <c r="G24" i="32"/>
  <c r="Q24" i="32"/>
  <c r="O24" i="32" s="1"/>
  <c r="F25" i="32"/>
  <c r="U140" i="3"/>
  <c r="U134" i="3"/>
  <c r="U41" i="3"/>
  <c r="U42" i="3" s="1"/>
  <c r="AR25" i="32"/>
  <c r="AQ25" i="32"/>
  <c r="AM25" i="32"/>
  <c r="AL25" i="32"/>
  <c r="D24" i="32"/>
  <c r="P24" i="32"/>
  <c r="U117" i="3"/>
  <c r="W24" i="32"/>
  <c r="V24" i="32"/>
  <c r="U25" i="32"/>
  <c r="AE25" i="32"/>
  <c r="M25" i="32"/>
  <c r="N25" i="32" s="1"/>
  <c r="AD25" i="32"/>
  <c r="AU25" i="32"/>
  <c r="AT25" i="32"/>
  <c r="T24" i="32"/>
  <c r="S24" i="32"/>
  <c r="T53" i="3"/>
  <c r="T101" i="3"/>
  <c r="S4" i="3"/>
  <c r="T30" i="3"/>
  <c r="T77" i="3"/>
  <c r="T127" i="3"/>
  <c r="AZ25" i="32"/>
  <c r="AY25" i="32"/>
  <c r="BB25" i="32"/>
  <c r="AI25" i="32"/>
  <c r="T18" i="57"/>
  <c r="T53" i="57"/>
  <c r="T71" i="57"/>
  <c r="U72" i="57"/>
  <c r="T101" i="57"/>
  <c r="T106" i="57"/>
  <c r="U31" i="57"/>
  <c r="U36" i="57"/>
  <c r="S94" i="57"/>
  <c r="S24" i="57"/>
  <c r="S59" i="57"/>
  <c r="S41" i="57"/>
  <c r="S77" i="57"/>
  <c r="T11" i="57"/>
  <c r="T66" i="57"/>
  <c r="T28" i="57"/>
  <c r="T54" i="57" s="1"/>
  <c r="T48" i="57"/>
  <c r="T89" i="57"/>
  <c r="T84" i="57"/>
  <c r="T94" i="58"/>
  <c r="T59" i="58"/>
  <c r="T41" i="58"/>
  <c r="T77" i="58"/>
  <c r="T24" i="58"/>
  <c r="U101" i="58"/>
  <c r="AN24" i="31"/>
  <c r="AO24" i="31" s="1"/>
  <c r="AL24" i="31"/>
  <c r="AM24" i="31" s="1"/>
  <c r="BI24" i="31"/>
  <c r="AR24" i="31"/>
  <c r="G24" i="31"/>
  <c r="AE24" i="31"/>
  <c r="AV23" i="31"/>
  <c r="AQ23" i="31"/>
  <c r="N24" i="31"/>
  <c r="O24" i="31" s="1"/>
  <c r="S24" i="31"/>
  <c r="J24" i="31"/>
  <c r="K24" i="31" s="1"/>
  <c r="B24" i="31"/>
  <c r="C24" i="31" s="1"/>
  <c r="L24" i="31"/>
  <c r="M24" i="31" s="1"/>
  <c r="P24" i="31"/>
  <c r="Q24" i="31" s="1"/>
  <c r="D24" i="31"/>
  <c r="E24" i="31" s="1"/>
  <c r="U24" i="31"/>
  <c r="BE24" i="31"/>
  <c r="AO23" i="31"/>
  <c r="AU23" i="31"/>
  <c r="AY23" i="31" s="1"/>
  <c r="BG24" i="31"/>
  <c r="AP24" i="31"/>
  <c r="AW23" i="31"/>
  <c r="AT23" i="31"/>
  <c r="AX23" i="31" s="1"/>
  <c r="AM23" i="31"/>
  <c r="BQ25" i="31"/>
  <c r="BO25" i="31"/>
  <c r="A26" i="31"/>
  <c r="BM25" i="31"/>
  <c r="BC24" i="31"/>
  <c r="AM24" i="26"/>
  <c r="BA25" i="28"/>
  <c r="BB25" i="28" s="1"/>
  <c r="BZ25" i="28"/>
  <c r="CF25" i="28"/>
  <c r="BD23" i="28"/>
  <c r="BH24" i="28"/>
  <c r="BL24" i="28" s="1"/>
  <c r="Z24" i="26"/>
  <c r="AA24" i="26" s="1"/>
  <c r="AZ24" i="28"/>
  <c r="BG24" i="28"/>
  <c r="BK24" i="28" s="1"/>
  <c r="H24" i="28"/>
  <c r="AG22" i="26"/>
  <c r="AZ23" i="28"/>
  <c r="AY24" i="26"/>
  <c r="AD23" i="26"/>
  <c r="AH23" i="26" s="1"/>
  <c r="Y23" i="26"/>
  <c r="BF24" i="28"/>
  <c r="F24" i="26"/>
  <c r="G24" i="26" s="1"/>
  <c r="B24" i="26"/>
  <c r="C24" i="26" s="1"/>
  <c r="H24" i="26"/>
  <c r="I24" i="26" s="1"/>
  <c r="M24" i="26"/>
  <c r="AU25" i="26"/>
  <c r="A26" i="26"/>
  <c r="AW25" i="26"/>
  <c r="AS25" i="26"/>
  <c r="AQ25" i="26"/>
  <c r="AY25" i="26"/>
  <c r="AX24" i="28"/>
  <c r="T24" i="26"/>
  <c r="U24" i="26" s="1"/>
  <c r="J23" i="28"/>
  <c r="CN24" i="28"/>
  <c r="AA25" i="28"/>
  <c r="K25" i="28"/>
  <c r="CP25" i="28"/>
  <c r="BK23" i="28"/>
  <c r="AU24" i="26"/>
  <c r="BX24" i="28"/>
  <c r="AB23" i="26"/>
  <c r="AF23" i="26" s="1"/>
  <c r="U23" i="26"/>
  <c r="BB24" i="28"/>
  <c r="AS24" i="26"/>
  <c r="X24" i="26"/>
  <c r="Y24" i="26" s="1"/>
  <c r="AO24" i="26"/>
  <c r="BT24" i="28"/>
  <c r="BL23" i="28"/>
  <c r="V24" i="26"/>
  <c r="O24" i="26"/>
  <c r="K24" i="26"/>
  <c r="AR23" i="28"/>
  <c r="BE24" i="28"/>
  <c r="AP24" i="28"/>
  <c r="AQ24" i="26"/>
  <c r="AC24" i="28"/>
  <c r="CF24" i="28"/>
  <c r="AF22" i="26"/>
  <c r="AH22" i="26"/>
  <c r="AO25" i="28"/>
  <c r="BV26" i="28"/>
  <c r="A27" i="28"/>
  <c r="V25" i="28"/>
  <c r="BJ23" i="28"/>
  <c r="AC23" i="26"/>
  <c r="E24" i="26"/>
  <c r="E23" i="26"/>
  <c r="BP24" i="28"/>
  <c r="I24" i="28"/>
  <c r="AE23" i="26"/>
  <c r="AA23" i="26"/>
  <c r="AH24" i="28"/>
  <c r="BI23" i="28"/>
  <c r="S24" i="26"/>
  <c r="N23" i="28"/>
  <c r="E25" i="28"/>
  <c r="AC25" i="28"/>
  <c r="CR24" i="28"/>
  <c r="Q24" i="26"/>
  <c r="AW24" i="26"/>
  <c r="AI22" i="26"/>
  <c r="BX25" i="28"/>
  <c r="AW25" i="28"/>
  <c r="S24" i="28"/>
  <c r="AT24" i="28"/>
  <c r="I23" i="26"/>
  <c r="AS25" i="28"/>
  <c r="AK25" i="28"/>
  <c r="C70" i="55" l="1"/>
  <c r="K111" i="55"/>
  <c r="Q111" i="55"/>
  <c r="E112" i="55"/>
  <c r="L111" i="55"/>
  <c r="I111" i="55"/>
  <c r="G69" i="55"/>
  <c r="B69" i="55"/>
  <c r="B110" i="55" s="1"/>
  <c r="A110" i="55" s="1"/>
  <c r="M69" i="55"/>
  <c r="L69" i="55"/>
  <c r="I69" i="55"/>
  <c r="Q69" i="55"/>
  <c r="K69" i="55"/>
  <c r="B20" i="55"/>
  <c r="O69" i="55"/>
  <c r="M111" i="55"/>
  <c r="AF26" i="28"/>
  <c r="T47" i="3"/>
  <c r="S35" i="57"/>
  <c r="W26" i="31"/>
  <c r="AK26" i="31"/>
  <c r="AI26" i="31"/>
  <c r="AC26" i="31"/>
  <c r="AA26" i="31"/>
  <c r="Y26" i="31"/>
  <c r="U37" i="3"/>
  <c r="CA24" i="54"/>
  <c r="CY25" i="54"/>
  <c r="CM25" i="54"/>
  <c r="CE28" i="54"/>
  <c r="DC28" i="54"/>
  <c r="AE25" i="54"/>
  <c r="BG28" i="54"/>
  <c r="W28" i="54"/>
  <c r="AU28" i="54"/>
  <c r="AI28" i="54"/>
  <c r="CQ28" i="54"/>
  <c r="CM24" i="54"/>
  <c r="CY24" i="54"/>
  <c r="AS24" i="54"/>
  <c r="BU24" i="54"/>
  <c r="K28" i="54"/>
  <c r="I25" i="54"/>
  <c r="BQ25" i="54"/>
  <c r="BA25" i="54"/>
  <c r="G25" i="54"/>
  <c r="AC25" i="54"/>
  <c r="M25" i="54"/>
  <c r="CG25" i="54"/>
  <c r="AK25" i="54"/>
  <c r="BU25" i="54"/>
  <c r="CI25" i="54"/>
  <c r="AA25" i="54"/>
  <c r="A26" i="54"/>
  <c r="E25" i="54"/>
  <c r="BI25" i="54"/>
  <c r="O25" i="54"/>
  <c r="BW25" i="54"/>
  <c r="U25" i="54"/>
  <c r="BK25" i="54"/>
  <c r="C25" i="54"/>
  <c r="Q25" i="54"/>
  <c r="DE25" i="54"/>
  <c r="AA24" i="54"/>
  <c r="CG24" i="54"/>
  <c r="I24" i="54"/>
  <c r="T111" i="3"/>
  <c r="T66" i="3"/>
  <c r="T60" i="3"/>
  <c r="T90" i="3"/>
  <c r="T84" i="3"/>
  <c r="U91" i="3"/>
  <c r="U67" i="3"/>
  <c r="T44" i="3"/>
  <c r="U43" i="3"/>
  <c r="AL26" i="32"/>
  <c r="AM26" i="32"/>
  <c r="T45" i="3"/>
  <c r="T48" i="3"/>
  <c r="R4" i="3"/>
  <c r="S127" i="3"/>
  <c r="S30" i="3"/>
  <c r="S53" i="3"/>
  <c r="S101" i="3"/>
  <c r="S77" i="3"/>
  <c r="AA26" i="32"/>
  <c r="AB26" i="32"/>
  <c r="R26" i="32"/>
  <c r="J26" i="32"/>
  <c r="K26" i="32" s="1"/>
  <c r="T34" i="3"/>
  <c r="T41" i="3"/>
  <c r="T42" i="3" s="1"/>
  <c r="T140" i="3"/>
  <c r="T134" i="3"/>
  <c r="A28" i="32"/>
  <c r="T31" i="3"/>
  <c r="L24" i="32"/>
  <c r="L25" i="32"/>
  <c r="AI26" i="32"/>
  <c r="AJ26" i="32"/>
  <c r="AD26" i="32"/>
  <c r="U26" i="32"/>
  <c r="AE26" i="32"/>
  <c r="M26" i="32"/>
  <c r="N26" i="32" s="1"/>
  <c r="T11" i="3"/>
  <c r="BB26" i="32"/>
  <c r="BC26" i="32"/>
  <c r="F26" i="32"/>
  <c r="C26" i="32"/>
  <c r="AU26" i="32"/>
  <c r="AT26" i="32"/>
  <c r="T117" i="3"/>
  <c r="V25" i="32"/>
  <c r="W25" i="32"/>
  <c r="G25" i="32"/>
  <c r="Q25" i="32"/>
  <c r="O25" i="32" s="1"/>
  <c r="S25" i="32"/>
  <c r="T25" i="32"/>
  <c r="AQ26" i="32"/>
  <c r="AR26" i="32"/>
  <c r="AY26" i="32"/>
  <c r="AZ26" i="32"/>
  <c r="S18" i="57"/>
  <c r="S53" i="57"/>
  <c r="S71" i="57"/>
  <c r="S11" i="57"/>
  <c r="T72" i="57"/>
  <c r="S66" i="57"/>
  <c r="S106" i="57"/>
  <c r="S101" i="57"/>
  <c r="S28" i="57"/>
  <c r="S54" i="57" s="1"/>
  <c r="S48" i="57"/>
  <c r="AP25" i="31"/>
  <c r="AQ25" i="31" s="1"/>
  <c r="S89" i="57"/>
  <c r="S84" i="57"/>
  <c r="T36" i="57"/>
  <c r="T31" i="57"/>
  <c r="S25" i="57"/>
  <c r="R77" i="57"/>
  <c r="R59" i="57"/>
  <c r="AP105" i="57"/>
  <c r="R94" i="57"/>
  <c r="R41" i="57"/>
  <c r="AP95" i="57"/>
  <c r="R24" i="57"/>
  <c r="T101" i="58"/>
  <c r="S94" i="58"/>
  <c r="S41" i="58"/>
  <c r="S77" i="58"/>
  <c r="S59" i="58"/>
  <c r="S24" i="58"/>
  <c r="AQ105" i="58"/>
  <c r="AQ95" i="58"/>
  <c r="AZ23" i="31"/>
  <c r="BA23" i="31"/>
  <c r="BE25" i="31"/>
  <c r="AN25" i="31"/>
  <c r="N25" i="31"/>
  <c r="O25" i="31" s="1"/>
  <c r="J25" i="31"/>
  <c r="K25" i="31" s="1"/>
  <c r="B25" i="31"/>
  <c r="C25" i="31" s="1"/>
  <c r="S25" i="31"/>
  <c r="BK25" i="31"/>
  <c r="AL25" i="31"/>
  <c r="BC25" i="31"/>
  <c r="Y25" i="31"/>
  <c r="W25" i="31"/>
  <c r="A27" i="31"/>
  <c r="BO26" i="31"/>
  <c r="BK26" i="31"/>
  <c r="BQ26" i="31"/>
  <c r="BM26" i="31"/>
  <c r="BG25" i="31"/>
  <c r="AK25" i="31"/>
  <c r="I25" i="31"/>
  <c r="AG25" i="31"/>
  <c r="AE25" i="31"/>
  <c r="AA25" i="31"/>
  <c r="AU24" i="31"/>
  <c r="AY24" i="31" s="1"/>
  <c r="AV24" i="31"/>
  <c r="AZ24" i="31" s="1"/>
  <c r="AT24" i="31"/>
  <c r="AX24" i="31" s="1"/>
  <c r="AQ24" i="31"/>
  <c r="AR25" i="31"/>
  <c r="BI25" i="31"/>
  <c r="P25" i="31"/>
  <c r="Q25" i="31" s="1"/>
  <c r="D25" i="31"/>
  <c r="E25" i="31" s="1"/>
  <c r="L25" i="31"/>
  <c r="M25" i="31" s="1"/>
  <c r="U25" i="31"/>
  <c r="AW24" i="31"/>
  <c r="BA24" i="31" s="1"/>
  <c r="AS24" i="31"/>
  <c r="CB25" i="28"/>
  <c r="AC24" i="26"/>
  <c r="AG24" i="26" s="1"/>
  <c r="AX25" i="28"/>
  <c r="N25" i="28"/>
  <c r="L25" i="28"/>
  <c r="Q25" i="26"/>
  <c r="AV24" i="28"/>
  <c r="AE24" i="26"/>
  <c r="AI24" i="26" s="1"/>
  <c r="W24" i="26"/>
  <c r="AS26" i="28"/>
  <c r="BR26" i="28"/>
  <c r="BE25" i="28"/>
  <c r="BI25" i="28" s="1"/>
  <c r="AP25" i="28"/>
  <c r="AR24" i="28"/>
  <c r="AG23" i="26"/>
  <c r="CR26" i="28"/>
  <c r="CP26" i="28"/>
  <c r="CF26" i="28"/>
  <c r="CD26" i="28"/>
  <c r="BP25" i="28"/>
  <c r="BI24" i="28"/>
  <c r="AK26" i="28"/>
  <c r="AH25" i="28"/>
  <c r="E26" i="28"/>
  <c r="X26" i="28"/>
  <c r="V26" i="28"/>
  <c r="BA26" i="28"/>
  <c r="BZ26" i="28"/>
  <c r="BF25" i="28"/>
  <c r="BJ25" i="28" s="1"/>
  <c r="C26" i="28"/>
  <c r="AM25" i="28"/>
  <c r="AH26" i="28"/>
  <c r="BX26" i="28"/>
  <c r="AW26" i="28"/>
  <c r="AI23" i="26"/>
  <c r="V25" i="26"/>
  <c r="F25" i="26"/>
  <c r="G25" i="26" s="1"/>
  <c r="B25" i="26"/>
  <c r="H25" i="26"/>
  <c r="K25" i="26"/>
  <c r="CN25" i="28"/>
  <c r="J24" i="28"/>
  <c r="X25" i="26"/>
  <c r="AO25" i="26"/>
  <c r="H25" i="28"/>
  <c r="X25" i="28"/>
  <c r="BT25" i="28"/>
  <c r="BG25" i="28"/>
  <c r="I25" i="28"/>
  <c r="CJ25" i="28"/>
  <c r="CJ26" i="28"/>
  <c r="CH26" i="28"/>
  <c r="CL27" i="28"/>
  <c r="A28" i="28"/>
  <c r="AA26" i="28"/>
  <c r="AD24" i="26"/>
  <c r="T25" i="26"/>
  <c r="AK25" i="26"/>
  <c r="CR25" i="28"/>
  <c r="K26" i="28"/>
  <c r="Q26" i="28"/>
  <c r="AO26" i="28"/>
  <c r="BN26" i="28"/>
  <c r="CL26" i="28"/>
  <c r="AB24" i="26"/>
  <c r="A27" i="26"/>
  <c r="AS26" i="26"/>
  <c r="AT25" i="28"/>
  <c r="BD24" i="28"/>
  <c r="Z25" i="26"/>
  <c r="S25" i="28"/>
  <c r="BH25" i="28"/>
  <c r="BL25" i="28" s="1"/>
  <c r="AM25" i="26"/>
  <c r="BJ24" i="28"/>
  <c r="M25" i="26"/>
  <c r="C69" i="55" l="1"/>
  <c r="Q110" i="55"/>
  <c r="I110" i="55"/>
  <c r="L110" i="55"/>
  <c r="M110" i="55"/>
  <c r="B19" i="55"/>
  <c r="I68" i="55"/>
  <c r="G68" i="55"/>
  <c r="B68" i="55"/>
  <c r="B109" i="55" s="1"/>
  <c r="A109" i="55" s="1"/>
  <c r="L68" i="55"/>
  <c r="K68" i="55"/>
  <c r="Q68" i="55"/>
  <c r="O68" i="55"/>
  <c r="M68" i="55"/>
  <c r="K110" i="55"/>
  <c r="E111" i="55"/>
  <c r="AI27" i="31"/>
  <c r="AE27" i="31"/>
  <c r="AC27" i="31"/>
  <c r="AA27" i="31"/>
  <c r="Y27" i="31"/>
  <c r="AK27" i="31"/>
  <c r="W27" i="31"/>
  <c r="Q27" i="26"/>
  <c r="M27" i="26"/>
  <c r="S27" i="26"/>
  <c r="S25" i="54"/>
  <c r="AQ26" i="54"/>
  <c r="AE26" i="54"/>
  <c r="CY26" i="54"/>
  <c r="CM26" i="54"/>
  <c r="DC29" i="54"/>
  <c r="CQ29" i="54"/>
  <c r="BG29" i="54"/>
  <c r="AU29" i="54"/>
  <c r="CE29" i="54"/>
  <c r="AI29" i="54"/>
  <c r="W29" i="54"/>
  <c r="CA25" i="54"/>
  <c r="AQ25" i="54"/>
  <c r="BC25" i="54"/>
  <c r="CC25" i="54"/>
  <c r="K29" i="54"/>
  <c r="BW26" i="54"/>
  <c r="AK26" i="54"/>
  <c r="E26" i="54"/>
  <c r="I26" i="54"/>
  <c r="CG26" i="54"/>
  <c r="M26" i="54"/>
  <c r="BY26" i="54"/>
  <c r="AO26" i="54"/>
  <c r="CW26" i="54"/>
  <c r="BE26" i="54"/>
  <c r="Y26" i="54"/>
  <c r="CO26" i="54"/>
  <c r="G26" i="54"/>
  <c r="AM26" i="54"/>
  <c r="CI26" i="54"/>
  <c r="DE26" i="54"/>
  <c r="CS26" i="54"/>
  <c r="DA26" i="54"/>
  <c r="C26" i="54"/>
  <c r="AA26" i="54"/>
  <c r="O26" i="54"/>
  <c r="BA26" i="54"/>
  <c r="CK26" i="54"/>
  <c r="AY26" i="54"/>
  <c r="CC26" i="54"/>
  <c r="A27" i="54"/>
  <c r="U26" i="54"/>
  <c r="AS26" i="54"/>
  <c r="AG26" i="54"/>
  <c r="AW26" i="54"/>
  <c r="CU26" i="54"/>
  <c r="AM25" i="54"/>
  <c r="AW25" i="54"/>
  <c r="CO25" i="54"/>
  <c r="BM25" i="54"/>
  <c r="CS25" i="54"/>
  <c r="BY25" i="54"/>
  <c r="AG25" i="54"/>
  <c r="AO25" i="54"/>
  <c r="CK25" i="54"/>
  <c r="AY25" i="54"/>
  <c r="Y25" i="54"/>
  <c r="CW25" i="54"/>
  <c r="CU25" i="54"/>
  <c r="AS25" i="54"/>
  <c r="DA25" i="54"/>
  <c r="BE25" i="54"/>
  <c r="S90" i="3"/>
  <c r="S84" i="3"/>
  <c r="T37" i="3"/>
  <c r="T91" i="3"/>
  <c r="S66" i="3"/>
  <c r="S60" i="3"/>
  <c r="S111" i="3"/>
  <c r="T67" i="3"/>
  <c r="S48" i="3"/>
  <c r="I26" i="31"/>
  <c r="AR26" i="31"/>
  <c r="AS26" i="31" s="1"/>
  <c r="A29" i="32"/>
  <c r="AQ27" i="32"/>
  <c r="S26" i="32"/>
  <c r="T26" i="32"/>
  <c r="S41" i="3"/>
  <c r="S42" i="3" s="1"/>
  <c r="AL27" i="32"/>
  <c r="AM27" i="32"/>
  <c r="S34" i="3"/>
  <c r="S67" i="3" s="1"/>
  <c r="S44" i="3"/>
  <c r="S11" i="3"/>
  <c r="AB27" i="32"/>
  <c r="J27" i="32"/>
  <c r="K27" i="32" s="1"/>
  <c r="R27" i="32"/>
  <c r="AA27" i="32"/>
  <c r="AI27" i="32"/>
  <c r="AJ27" i="32"/>
  <c r="S117" i="3"/>
  <c r="D26" i="32"/>
  <c r="P26" i="32"/>
  <c r="AZ27" i="32"/>
  <c r="AY27" i="32"/>
  <c r="F27" i="32"/>
  <c r="S134" i="3"/>
  <c r="S140" i="3"/>
  <c r="W26" i="32"/>
  <c r="V26" i="32"/>
  <c r="BC27" i="32"/>
  <c r="BB27" i="32"/>
  <c r="AU27" i="32"/>
  <c r="AT27" i="32"/>
  <c r="T43" i="3"/>
  <c r="S47" i="3"/>
  <c r="R101" i="3"/>
  <c r="R127" i="3"/>
  <c r="Q4" i="3"/>
  <c r="R77" i="3"/>
  <c r="R30" i="3"/>
  <c r="R53" i="3"/>
  <c r="G26" i="32"/>
  <c r="Q26" i="32"/>
  <c r="O26" i="32" s="1"/>
  <c r="P27" i="32"/>
  <c r="C27" i="32"/>
  <c r="M27" i="32"/>
  <c r="N27" i="32" s="1"/>
  <c r="U27" i="32"/>
  <c r="AE27" i="32"/>
  <c r="AD27" i="32"/>
  <c r="S45" i="3"/>
  <c r="S31" i="3"/>
  <c r="S72" i="57"/>
  <c r="R18" i="57"/>
  <c r="R71" i="57"/>
  <c r="R11" i="57"/>
  <c r="R53" i="57"/>
  <c r="AP98" i="57"/>
  <c r="AP101" i="57" s="1"/>
  <c r="R101" i="57"/>
  <c r="R106" i="57"/>
  <c r="R25" i="57"/>
  <c r="S36" i="57"/>
  <c r="S31" i="57"/>
  <c r="R66" i="57"/>
  <c r="R35" i="57"/>
  <c r="R84" i="57"/>
  <c r="R89" i="57"/>
  <c r="Q77" i="57"/>
  <c r="Q41" i="57"/>
  <c r="Q59" i="57"/>
  <c r="Q24" i="57"/>
  <c r="R48" i="57"/>
  <c r="R28" i="57"/>
  <c r="R54" i="57" s="1"/>
  <c r="S101" i="58"/>
  <c r="AQ98" i="58"/>
  <c r="AQ101" i="58" s="1"/>
  <c r="R59" i="58"/>
  <c r="R24" i="58"/>
  <c r="R77" i="58"/>
  <c r="R41" i="58"/>
  <c r="L26" i="31"/>
  <c r="M26" i="31" s="1"/>
  <c r="D26" i="31"/>
  <c r="E26" i="31" s="1"/>
  <c r="P26" i="31"/>
  <c r="Q26" i="31" s="1"/>
  <c r="N26" i="31"/>
  <c r="O26" i="31" s="1"/>
  <c r="J26" i="31"/>
  <c r="K26" i="31" s="1"/>
  <c r="B26" i="31"/>
  <c r="C26" i="31" s="1"/>
  <c r="BE26" i="31"/>
  <c r="AN26" i="31"/>
  <c r="G25" i="31"/>
  <c r="G26" i="31"/>
  <c r="AV25" i="31"/>
  <c r="AZ25" i="31" s="1"/>
  <c r="AT25" i="31"/>
  <c r="AX25" i="31" s="1"/>
  <c r="AM25" i="31"/>
  <c r="BI26" i="31"/>
  <c r="U26" i="31"/>
  <c r="AG26" i="31"/>
  <c r="BK27" i="31"/>
  <c r="BQ27" i="31"/>
  <c r="A28" i="31"/>
  <c r="BM27" i="31"/>
  <c r="BO27" i="31"/>
  <c r="S26" i="31"/>
  <c r="AP26" i="31"/>
  <c r="BG26" i="31"/>
  <c r="AW25" i="31"/>
  <c r="BA25" i="31" s="1"/>
  <c r="AS25" i="31"/>
  <c r="AO25" i="31"/>
  <c r="AU25" i="31"/>
  <c r="AL26" i="31"/>
  <c r="BC26" i="31"/>
  <c r="AE26" i="31"/>
  <c r="AR25" i="28"/>
  <c r="AV25" i="28"/>
  <c r="E26" i="26"/>
  <c r="AF24" i="26"/>
  <c r="CB27" i="28"/>
  <c r="BA27" i="28"/>
  <c r="BB27" i="28" s="1"/>
  <c r="I25" i="26"/>
  <c r="AU26" i="26"/>
  <c r="AY26" i="26"/>
  <c r="K27" i="28"/>
  <c r="H27" i="28"/>
  <c r="AS27" i="28"/>
  <c r="C25" i="26"/>
  <c r="S26" i="26"/>
  <c r="Q27" i="28"/>
  <c r="AD25" i="26"/>
  <c r="AH25" i="26" s="1"/>
  <c r="J25" i="28"/>
  <c r="M26" i="26"/>
  <c r="H26" i="28"/>
  <c r="AH24" i="26"/>
  <c r="CH27" i="28"/>
  <c r="BD25" i="28"/>
  <c r="X26" i="26"/>
  <c r="AO26" i="26"/>
  <c r="BZ27" i="28"/>
  <c r="AO27" i="28"/>
  <c r="AP27" i="28" s="1"/>
  <c r="BN27" i="28"/>
  <c r="BK25" i="28"/>
  <c r="AC25" i="26"/>
  <c r="W25" i="26"/>
  <c r="AE25" i="26"/>
  <c r="AA25" i="26"/>
  <c r="H26" i="26"/>
  <c r="I26" i="26" s="1"/>
  <c r="F26" i="26"/>
  <c r="G26" i="26" s="1"/>
  <c r="B26" i="26"/>
  <c r="BE26" i="28"/>
  <c r="AR26" i="28"/>
  <c r="N26" i="28"/>
  <c r="L26" i="28"/>
  <c r="X27" i="28"/>
  <c r="E27" i="28"/>
  <c r="CN26" i="28"/>
  <c r="Y25" i="26"/>
  <c r="V26" i="26"/>
  <c r="AM26" i="26"/>
  <c r="Z26" i="26"/>
  <c r="AA26" i="26" s="1"/>
  <c r="AQ26" i="26"/>
  <c r="Q26" i="26"/>
  <c r="AW26" i="26"/>
  <c r="CR27" i="28"/>
  <c r="CP27" i="28"/>
  <c r="AW27" i="28"/>
  <c r="BV27" i="28"/>
  <c r="S26" i="28"/>
  <c r="T26" i="26"/>
  <c r="AK26" i="26"/>
  <c r="CJ27" i="28"/>
  <c r="Q28" i="28"/>
  <c r="A29" i="28"/>
  <c r="BV28" i="28"/>
  <c r="CD28" i="28"/>
  <c r="BZ28" i="28"/>
  <c r="CP28" i="28"/>
  <c r="CL28" i="28"/>
  <c r="BR28" i="28"/>
  <c r="AZ25" i="28"/>
  <c r="AY27" i="26"/>
  <c r="A28" i="26"/>
  <c r="AB25" i="26"/>
  <c r="AF25" i="26" s="1"/>
  <c r="U25" i="26"/>
  <c r="K26" i="26"/>
  <c r="C27" i="28"/>
  <c r="AA27" i="28"/>
  <c r="BG26" i="28"/>
  <c r="AX26" i="28"/>
  <c r="BP26" i="28"/>
  <c r="AK27" i="28"/>
  <c r="BF26" i="28"/>
  <c r="AT26" i="28"/>
  <c r="O26" i="26"/>
  <c r="I26" i="28"/>
  <c r="CD27" i="28"/>
  <c r="AM26" i="28"/>
  <c r="BT26" i="28"/>
  <c r="BH26" i="28"/>
  <c r="BB26" i="28"/>
  <c r="AF27" i="28"/>
  <c r="BR27" i="28"/>
  <c r="V27" i="28"/>
  <c r="AP26" i="28"/>
  <c r="CB26" i="28"/>
  <c r="AC26" i="28"/>
  <c r="C68" i="55" l="1"/>
  <c r="K109" i="55"/>
  <c r="L109" i="55"/>
  <c r="I109" i="55"/>
  <c r="M109" i="55"/>
  <c r="E110" i="55"/>
  <c r="O67" i="55"/>
  <c r="G67" i="55"/>
  <c r="L67" i="55"/>
  <c r="K67" i="55"/>
  <c r="Q67" i="55"/>
  <c r="I67" i="55"/>
  <c r="B67" i="55"/>
  <c r="B108" i="55" s="1"/>
  <c r="A108" i="55" s="1"/>
  <c r="B18" i="55"/>
  <c r="M67" i="55"/>
  <c r="Q109" i="55"/>
  <c r="AL28" i="32"/>
  <c r="AK28" i="28"/>
  <c r="AL27" i="31"/>
  <c r="AM27" i="31" s="1"/>
  <c r="AA28" i="31"/>
  <c r="Y28" i="31"/>
  <c r="AK28" i="31"/>
  <c r="AA28" i="28"/>
  <c r="L27" i="28"/>
  <c r="S26" i="54"/>
  <c r="BC26" i="54"/>
  <c r="CY27" i="54"/>
  <c r="CM27" i="54"/>
  <c r="DC30" i="54"/>
  <c r="CQ30" i="54"/>
  <c r="CA27" i="54"/>
  <c r="AU30" i="54"/>
  <c r="BG30" i="54"/>
  <c r="AI30" i="54"/>
  <c r="W30" i="54"/>
  <c r="CE30" i="54"/>
  <c r="CA26" i="54"/>
  <c r="AC26" i="54"/>
  <c r="BI26" i="54"/>
  <c r="BQ26" i="54"/>
  <c r="BU26" i="54"/>
  <c r="BM26" i="54"/>
  <c r="Q26" i="54"/>
  <c r="K30" i="54"/>
  <c r="CW27" i="54"/>
  <c r="BA27" i="54"/>
  <c r="E27" i="54"/>
  <c r="C27" i="54"/>
  <c r="CG27" i="54"/>
  <c r="I27" i="54"/>
  <c r="M27" i="54"/>
  <c r="BK27" i="54"/>
  <c r="O27" i="54"/>
  <c r="CU27" i="54"/>
  <c r="BQ27" i="54"/>
  <c r="DE27" i="54"/>
  <c r="G27" i="54"/>
  <c r="BY27" i="54"/>
  <c r="DA27" i="54"/>
  <c r="BM27" i="54"/>
  <c r="AA27" i="54"/>
  <c r="CK27" i="54"/>
  <c r="AK27" i="54"/>
  <c r="CS27" i="54"/>
  <c r="A28" i="54"/>
  <c r="CO27" i="54"/>
  <c r="BW27" i="54"/>
  <c r="BK26" i="54"/>
  <c r="AN27" i="31"/>
  <c r="AO27" i="31" s="1"/>
  <c r="Q25" i="57"/>
  <c r="R47" i="3"/>
  <c r="R111" i="3"/>
  <c r="R84" i="3"/>
  <c r="R90" i="3"/>
  <c r="S37" i="3"/>
  <c r="R66" i="3"/>
  <c r="R60" i="3"/>
  <c r="S91" i="3"/>
  <c r="R44" i="3"/>
  <c r="AP128" i="3"/>
  <c r="G27" i="32"/>
  <c r="Q27" i="32"/>
  <c r="O27" i="32" s="1"/>
  <c r="T27" i="32"/>
  <c r="S27" i="32"/>
  <c r="AQ28" i="32"/>
  <c r="AR28" i="32"/>
  <c r="R11" i="3"/>
  <c r="R41" i="3"/>
  <c r="S43" i="3"/>
  <c r="AM28" i="32"/>
  <c r="R34" i="3"/>
  <c r="F28" i="32"/>
  <c r="R48" i="3"/>
  <c r="AR27" i="32"/>
  <c r="C28" i="32"/>
  <c r="R140" i="3"/>
  <c r="AP131" i="3"/>
  <c r="R134" i="3"/>
  <c r="AT28" i="32"/>
  <c r="AU28" i="32"/>
  <c r="AP139" i="3"/>
  <c r="AP138" i="3"/>
  <c r="R117" i="3"/>
  <c r="L26" i="32"/>
  <c r="L27" i="32"/>
  <c r="BC28" i="32"/>
  <c r="BB28" i="32"/>
  <c r="AE28" i="32"/>
  <c r="U28" i="32"/>
  <c r="M28" i="32"/>
  <c r="N28" i="32" s="1"/>
  <c r="AD28" i="32"/>
  <c r="V27" i="32"/>
  <c r="P4" i="3"/>
  <c r="Q77" i="3"/>
  <c r="AQ68" i="3"/>
  <c r="Q30" i="3"/>
  <c r="Q101" i="3"/>
  <c r="AQ71" i="3"/>
  <c r="Q53" i="3"/>
  <c r="AQ96" i="3"/>
  <c r="AQ122" i="3"/>
  <c r="AQ93" i="3"/>
  <c r="AQ118" i="3"/>
  <c r="AQ119" i="3"/>
  <c r="AQ121" i="3"/>
  <c r="AQ95" i="3"/>
  <c r="AQ92" i="3"/>
  <c r="AJ28" i="32"/>
  <c r="AI28" i="32"/>
  <c r="AA28" i="32"/>
  <c r="AB28" i="32"/>
  <c r="R28" i="32"/>
  <c r="J28" i="32"/>
  <c r="K28" i="32" s="1"/>
  <c r="R45" i="3"/>
  <c r="R31" i="3"/>
  <c r="D27" i="32"/>
  <c r="A30" i="32"/>
  <c r="AZ28" i="32"/>
  <c r="AY28" i="32"/>
  <c r="Q18" i="57"/>
  <c r="Q53" i="57"/>
  <c r="R72" i="57"/>
  <c r="Q71" i="57"/>
  <c r="Q11" i="57"/>
  <c r="R31" i="57"/>
  <c r="R36" i="57"/>
  <c r="Q66" i="57"/>
  <c r="Q48" i="57"/>
  <c r="Q28" i="57"/>
  <c r="Q54" i="57" s="1"/>
  <c r="Q89" i="57"/>
  <c r="Q84" i="57"/>
  <c r="P77" i="57"/>
  <c r="P41" i="57"/>
  <c r="P24" i="57"/>
  <c r="P59" i="57"/>
  <c r="P62" i="57"/>
  <c r="Q35" i="57"/>
  <c r="Q59" i="58"/>
  <c r="Q77" i="58"/>
  <c r="Q41" i="58"/>
  <c r="Q24" i="58"/>
  <c r="AY25" i="31"/>
  <c r="AW26" i="31"/>
  <c r="BA26" i="31" s="1"/>
  <c r="AM26" i="31"/>
  <c r="AT26" i="31"/>
  <c r="AG27" i="31"/>
  <c r="BO28" i="31"/>
  <c r="A29" i="31"/>
  <c r="AO26" i="31"/>
  <c r="AU26" i="31"/>
  <c r="AY26" i="31" s="1"/>
  <c r="AV26" i="31"/>
  <c r="AZ26" i="31" s="1"/>
  <c r="AQ26" i="31"/>
  <c r="BE27" i="31"/>
  <c r="L27" i="31"/>
  <c r="D27" i="31"/>
  <c r="E27" i="31" s="1"/>
  <c r="P27" i="31"/>
  <c r="Q27" i="31" s="1"/>
  <c r="U27" i="31"/>
  <c r="G27" i="31"/>
  <c r="AR27" i="31"/>
  <c r="BI27" i="31"/>
  <c r="S27" i="31"/>
  <c r="N27" i="31"/>
  <c r="O27" i="31" s="1"/>
  <c r="J27" i="31"/>
  <c r="B27" i="31"/>
  <c r="C27" i="31" s="1"/>
  <c r="AP27" i="31"/>
  <c r="BG27" i="31"/>
  <c r="BC27" i="31"/>
  <c r="E27" i="26"/>
  <c r="BL26" i="28"/>
  <c r="BD26" i="28"/>
  <c r="CF27" i="28"/>
  <c r="AU27" i="26"/>
  <c r="V27" i="26"/>
  <c r="CN28" i="28"/>
  <c r="AF28" i="28"/>
  <c r="S27" i="28"/>
  <c r="AM28" i="26"/>
  <c r="AO28" i="26"/>
  <c r="A29" i="26"/>
  <c r="AS28" i="26"/>
  <c r="E28" i="28"/>
  <c r="AE26" i="26"/>
  <c r="C28" i="28"/>
  <c r="O27" i="26"/>
  <c r="B27" i="26"/>
  <c r="C27" i="26" s="1"/>
  <c r="F27" i="26"/>
  <c r="G27" i="26" s="1"/>
  <c r="H27" i="26"/>
  <c r="K27" i="26"/>
  <c r="AH28" i="28"/>
  <c r="X28" i="28"/>
  <c r="AH27" i="28"/>
  <c r="AM27" i="28"/>
  <c r="BJ26" i="28"/>
  <c r="AV26" i="28"/>
  <c r="X27" i="26"/>
  <c r="AO27" i="26"/>
  <c r="AZ26" i="28"/>
  <c r="AO28" i="28"/>
  <c r="AP28" i="28" s="1"/>
  <c r="BN28" i="28"/>
  <c r="AW28" i="28"/>
  <c r="AG25" i="26"/>
  <c r="I27" i="28"/>
  <c r="J27" i="28" s="1"/>
  <c r="C26" i="26"/>
  <c r="CN27" i="28"/>
  <c r="W26" i="26"/>
  <c r="AW27" i="26"/>
  <c r="A30" i="28"/>
  <c r="BN29" i="28"/>
  <c r="BV29" i="28"/>
  <c r="BG27" i="28"/>
  <c r="BK27" i="28" s="1"/>
  <c r="AX27" i="28"/>
  <c r="AM27" i="26"/>
  <c r="V28" i="28"/>
  <c r="BI26" i="28"/>
  <c r="T27" i="26"/>
  <c r="Z27" i="26"/>
  <c r="AQ27" i="26"/>
  <c r="AM28" i="28"/>
  <c r="K28" i="28"/>
  <c r="AK27" i="26"/>
  <c r="BX27" i="28"/>
  <c r="CH28" i="28"/>
  <c r="BE27" i="28"/>
  <c r="AC27" i="28"/>
  <c r="AS27" i="26"/>
  <c r="BA28" i="28"/>
  <c r="AB26" i="26"/>
  <c r="U26" i="26"/>
  <c r="BK26" i="28"/>
  <c r="BP27" i="28"/>
  <c r="J26" i="28"/>
  <c r="AD26" i="26"/>
  <c r="Y26" i="26"/>
  <c r="BF27" i="28"/>
  <c r="AT27" i="28"/>
  <c r="BH27" i="28"/>
  <c r="BT28" i="28"/>
  <c r="AS28" i="28"/>
  <c r="AC26" i="26"/>
  <c r="AI25" i="26"/>
  <c r="BT27" i="28"/>
  <c r="C67" i="55" l="1"/>
  <c r="AA29" i="28"/>
  <c r="Q29" i="28"/>
  <c r="I108" i="55"/>
  <c r="Q108" i="55"/>
  <c r="K108" i="55"/>
  <c r="E109" i="55"/>
  <c r="L108" i="55"/>
  <c r="M108" i="55"/>
  <c r="G66" i="55"/>
  <c r="O66" i="55"/>
  <c r="I66" i="55"/>
  <c r="Q66" i="55"/>
  <c r="B66" i="55"/>
  <c r="B107" i="55" s="1"/>
  <c r="A107" i="55" s="1"/>
  <c r="L66" i="55"/>
  <c r="B17" i="55"/>
  <c r="M66" i="55"/>
  <c r="K66" i="55"/>
  <c r="AA29" i="31"/>
  <c r="Y29" i="31"/>
  <c r="W29" i="31"/>
  <c r="AK29" i="31"/>
  <c r="AI29" i="31"/>
  <c r="AE29" i="31"/>
  <c r="Q30" i="32"/>
  <c r="P30" i="32"/>
  <c r="S29" i="26"/>
  <c r="O29" i="26"/>
  <c r="AE27" i="54"/>
  <c r="AQ27" i="54"/>
  <c r="BC28" i="54"/>
  <c r="BC27" i="54"/>
  <c r="S27" i="54"/>
  <c r="DA28" i="54"/>
  <c r="BU28" i="54"/>
  <c r="Q28" i="54"/>
  <c r="CU28" i="54"/>
  <c r="A29" i="54"/>
  <c r="CS28" i="54"/>
  <c r="AW28" i="54"/>
  <c r="U28" i="54"/>
  <c r="Y28" i="54"/>
  <c r="AC28" i="54"/>
  <c r="BE28" i="54"/>
  <c r="CI28" i="54"/>
  <c r="C28" i="54"/>
  <c r="CC28" i="54"/>
  <c r="BI28" i="54"/>
  <c r="CK28" i="54"/>
  <c r="CO28" i="54"/>
  <c r="AG28" i="54"/>
  <c r="CW28" i="54"/>
  <c r="AY28" i="54"/>
  <c r="AS28" i="54"/>
  <c r="AO28" i="54"/>
  <c r="M28" i="54"/>
  <c r="BQ28" i="54"/>
  <c r="AM28" i="54"/>
  <c r="BK28" i="54"/>
  <c r="AA28" i="54"/>
  <c r="Q27" i="54"/>
  <c r="BU27" i="54"/>
  <c r="Y27" i="54"/>
  <c r="U27" i="54"/>
  <c r="CC27" i="54"/>
  <c r="AO27" i="54"/>
  <c r="BI27" i="54"/>
  <c r="AG27" i="54"/>
  <c r="AS27" i="54"/>
  <c r="AM27" i="54"/>
  <c r="AC27" i="54"/>
  <c r="AY27" i="54"/>
  <c r="CI27" i="54"/>
  <c r="BE27" i="54"/>
  <c r="AW27" i="54"/>
  <c r="AQ24" i="3"/>
  <c r="AQ25" i="3"/>
  <c r="AQ21" i="3"/>
  <c r="AQ22" i="3"/>
  <c r="Q111" i="3"/>
  <c r="Q66" i="3"/>
  <c r="Q60" i="3"/>
  <c r="Q84" i="3"/>
  <c r="Q90" i="3"/>
  <c r="R37" i="3"/>
  <c r="R67" i="3"/>
  <c r="R91" i="3"/>
  <c r="Q48" i="3"/>
  <c r="AQ48" i="3" s="1"/>
  <c r="AQ72" i="3"/>
  <c r="Q45" i="3"/>
  <c r="AQ45" i="3" s="1"/>
  <c r="AQ69" i="3"/>
  <c r="Q47" i="3"/>
  <c r="AQ47" i="3" s="1"/>
  <c r="AL29" i="32"/>
  <c r="AY29" i="32"/>
  <c r="AZ29" i="32"/>
  <c r="W27" i="32"/>
  <c r="W28" i="32"/>
  <c r="D28" i="32"/>
  <c r="P28" i="32"/>
  <c r="L28" i="32" s="1"/>
  <c r="R42" i="3"/>
  <c r="AU29" i="32"/>
  <c r="AT29" i="32"/>
  <c r="AD29" i="32"/>
  <c r="U29" i="32"/>
  <c r="M29" i="32"/>
  <c r="N29" i="32" s="1"/>
  <c r="AE29" i="32"/>
  <c r="Q31" i="3"/>
  <c r="F29" i="32"/>
  <c r="P80" i="3"/>
  <c r="P30" i="3"/>
  <c r="P53" i="3"/>
  <c r="P101" i="3"/>
  <c r="O4" i="3"/>
  <c r="P77" i="3"/>
  <c r="G28" i="32"/>
  <c r="Q28" i="32"/>
  <c r="O28" i="32" s="1"/>
  <c r="R43" i="3"/>
  <c r="BC29" i="32"/>
  <c r="BB29" i="32"/>
  <c r="T28" i="32"/>
  <c r="S28" i="32"/>
  <c r="J29" i="32"/>
  <c r="K29" i="32" s="1"/>
  <c r="AA29" i="32"/>
  <c r="AB29" i="32"/>
  <c r="R29" i="32"/>
  <c r="Q44" i="3"/>
  <c r="AQ44" i="3" s="1"/>
  <c r="AR29" i="32"/>
  <c r="AQ29" i="32"/>
  <c r="Q117" i="3"/>
  <c r="Q11" i="3"/>
  <c r="AP134" i="3"/>
  <c r="A31" i="32"/>
  <c r="AI29" i="32"/>
  <c r="AJ29" i="32"/>
  <c r="C29" i="32"/>
  <c r="Q34" i="3"/>
  <c r="Q41" i="3"/>
  <c r="Q42" i="3" s="1"/>
  <c r="V28" i="32"/>
  <c r="P18" i="57"/>
  <c r="Q72" i="57"/>
  <c r="P71" i="57"/>
  <c r="P53" i="57"/>
  <c r="P11" i="57"/>
  <c r="P84" i="57"/>
  <c r="P89" i="57"/>
  <c r="P35" i="57"/>
  <c r="O77" i="57"/>
  <c r="O59" i="57"/>
  <c r="O41" i="57"/>
  <c r="O24" i="57"/>
  <c r="O62" i="57"/>
  <c r="P65" i="57"/>
  <c r="P66" i="57"/>
  <c r="P68" i="57" s="1"/>
  <c r="Q36" i="57"/>
  <c r="Q31" i="57"/>
  <c r="P28" i="57"/>
  <c r="P36" i="57" s="1"/>
  <c r="P48" i="57"/>
  <c r="P25" i="57"/>
  <c r="P24" i="58"/>
  <c r="P59" i="58"/>
  <c r="P77" i="58"/>
  <c r="P41" i="58"/>
  <c r="AX26" i="31"/>
  <c r="M27" i="31"/>
  <c r="AN28" i="31"/>
  <c r="BM28" i="31"/>
  <c r="AC28" i="31"/>
  <c r="AV27" i="31"/>
  <c r="AQ27" i="31"/>
  <c r="AT27" i="31"/>
  <c r="AX27" i="31" s="1"/>
  <c r="AR28" i="31"/>
  <c r="BI28" i="31"/>
  <c r="K27" i="31"/>
  <c r="BE28" i="31"/>
  <c r="BG28" i="31"/>
  <c r="AP28" i="31"/>
  <c r="L28" i="31"/>
  <c r="D28" i="31"/>
  <c r="P28" i="31"/>
  <c r="Q28" i="31" s="1"/>
  <c r="AI28" i="31"/>
  <c r="BK28" i="31"/>
  <c r="W28" i="31"/>
  <c r="S28" i="31"/>
  <c r="J28" i="31"/>
  <c r="K28" i="31" s="1"/>
  <c r="N28" i="31"/>
  <c r="O28" i="31" s="1"/>
  <c r="B28" i="31"/>
  <c r="C28" i="31" s="1"/>
  <c r="AS27" i="31"/>
  <c r="AW27" i="31"/>
  <c r="BA27" i="31" s="1"/>
  <c r="AG28" i="31"/>
  <c r="I28" i="31"/>
  <c r="AL28" i="31"/>
  <c r="BC28" i="31"/>
  <c r="I27" i="31"/>
  <c r="U28" i="31"/>
  <c r="BO29" i="31"/>
  <c r="A30" i="31"/>
  <c r="BM29" i="31"/>
  <c r="BK29" i="31"/>
  <c r="BQ28" i="31"/>
  <c r="AE28" i="31"/>
  <c r="AU27" i="31"/>
  <c r="AY27" i="31" s="1"/>
  <c r="BD27" i="28"/>
  <c r="AS29" i="26"/>
  <c r="A30" i="26"/>
  <c r="AU29" i="26"/>
  <c r="I27" i="26"/>
  <c r="BJ27" i="28"/>
  <c r="AR27" i="28"/>
  <c r="AG26" i="26"/>
  <c r="AH29" i="28"/>
  <c r="BX28" i="28"/>
  <c r="T28" i="26"/>
  <c r="U28" i="26" s="1"/>
  <c r="BL27" i="28"/>
  <c r="AU28" i="26"/>
  <c r="AF26" i="26"/>
  <c r="BH28" i="28"/>
  <c r="BB28" i="28"/>
  <c r="AE27" i="26"/>
  <c r="X29" i="28"/>
  <c r="V29" i="28"/>
  <c r="CJ29" i="28"/>
  <c r="S28" i="26"/>
  <c r="O28" i="26"/>
  <c r="AK28" i="26"/>
  <c r="CR28" i="28"/>
  <c r="CJ28" i="28"/>
  <c r="AY28" i="26"/>
  <c r="CL29" i="28"/>
  <c r="AV27" i="28"/>
  <c r="CB29" i="28"/>
  <c r="BA29" i="28"/>
  <c r="K29" i="28"/>
  <c r="S29" i="28"/>
  <c r="H29" i="28"/>
  <c r="X28" i="26"/>
  <c r="V28" i="26"/>
  <c r="W28" i="26" s="1"/>
  <c r="CD29" i="28"/>
  <c r="AO29" i="28"/>
  <c r="AP29" i="28" s="1"/>
  <c r="AZ28" i="28"/>
  <c r="BG28" i="28"/>
  <c r="AK29" i="28"/>
  <c r="BP28" i="28"/>
  <c r="B28" i="26"/>
  <c r="F28" i="26"/>
  <c r="H28" i="26"/>
  <c r="CN29" i="28"/>
  <c r="AW28" i="26"/>
  <c r="AF29" i="28"/>
  <c r="CB28" i="28"/>
  <c r="AB27" i="26"/>
  <c r="AF27" i="26" s="1"/>
  <c r="U27" i="26"/>
  <c r="AA27" i="26"/>
  <c r="E29" i="28"/>
  <c r="C29" i="28"/>
  <c r="CL30" i="28"/>
  <c r="A31" i="28"/>
  <c r="BN30" i="28"/>
  <c r="AD27" i="26"/>
  <c r="AI26" i="26"/>
  <c r="CF28" i="28"/>
  <c r="M28" i="26"/>
  <c r="S28" i="28"/>
  <c r="Y27" i="26"/>
  <c r="AZ27" i="28"/>
  <c r="Q28" i="26"/>
  <c r="L28" i="28"/>
  <c r="BI27" i="28"/>
  <c r="AX28" i="28"/>
  <c r="AS29" i="28"/>
  <c r="BR29" i="28"/>
  <c r="N27" i="28"/>
  <c r="I28" i="28"/>
  <c r="Z28" i="26"/>
  <c r="AQ28" i="26"/>
  <c r="AC27" i="26"/>
  <c r="W27" i="26"/>
  <c r="BF28" i="28"/>
  <c r="AT28" i="28"/>
  <c r="AH26" i="26"/>
  <c r="CH29" i="28"/>
  <c r="BZ29" i="28"/>
  <c r="H28" i="28"/>
  <c r="AW29" i="28"/>
  <c r="CP29" i="28"/>
  <c r="BE28" i="28"/>
  <c r="K28" i="26"/>
  <c r="AC28" i="28"/>
  <c r="C66" i="55" l="1"/>
  <c r="Q107" i="55"/>
  <c r="I107" i="55"/>
  <c r="K107" i="55"/>
  <c r="M107" i="55"/>
  <c r="M65" i="55"/>
  <c r="O65" i="55"/>
  <c r="B65" i="55"/>
  <c r="B106" i="55" s="1"/>
  <c r="A106" i="55" s="1"/>
  <c r="K65" i="55"/>
  <c r="G65" i="55"/>
  <c r="Q65" i="55"/>
  <c r="L65" i="55"/>
  <c r="I65" i="55"/>
  <c r="B16" i="55"/>
  <c r="L107" i="55"/>
  <c r="E108" i="55"/>
  <c r="AK30" i="28"/>
  <c r="Q37" i="3"/>
  <c r="AA30" i="28"/>
  <c r="L29" i="28"/>
  <c r="AK30" i="31"/>
  <c r="AI30" i="31"/>
  <c r="AC30" i="31"/>
  <c r="AA30" i="31"/>
  <c r="Y30" i="31"/>
  <c r="Q31" i="32"/>
  <c r="CY28" i="54"/>
  <c r="CM28" i="54"/>
  <c r="CA28" i="54"/>
  <c r="CM29" i="54"/>
  <c r="CA29" i="54"/>
  <c r="AQ29" i="54"/>
  <c r="S28" i="54"/>
  <c r="AQ28" i="54"/>
  <c r="AE28" i="54"/>
  <c r="O28" i="54"/>
  <c r="BM29" i="54"/>
  <c r="BI29" i="54"/>
  <c r="CS29" i="54"/>
  <c r="U29" i="54"/>
  <c r="CU29" i="54"/>
  <c r="CK29" i="54"/>
  <c r="AY29" i="54"/>
  <c r="E29" i="54"/>
  <c r="BA29" i="54"/>
  <c r="G29" i="54"/>
  <c r="I29" i="54"/>
  <c r="AW29" i="54"/>
  <c r="DE29" i="54"/>
  <c r="BU29" i="54"/>
  <c r="CG29" i="54"/>
  <c r="BW29" i="54"/>
  <c r="AK29" i="54"/>
  <c r="CW29" i="54"/>
  <c r="AG29" i="54"/>
  <c r="C29" i="54"/>
  <c r="A30" i="54"/>
  <c r="Q29" i="54"/>
  <c r="CC29" i="54"/>
  <c r="O29" i="54"/>
  <c r="BY29" i="54"/>
  <c r="CO29" i="54"/>
  <c r="E28" i="54"/>
  <c r="I28" i="54"/>
  <c r="DE28" i="54"/>
  <c r="G28" i="54"/>
  <c r="BA28" i="54"/>
  <c r="BM28" i="54"/>
  <c r="AK28" i="54"/>
  <c r="CG28" i="54"/>
  <c r="BY28" i="54"/>
  <c r="BW28" i="54"/>
  <c r="Q29" i="26"/>
  <c r="P111" i="3"/>
  <c r="O35" i="57"/>
  <c r="G30" i="32"/>
  <c r="S29" i="32"/>
  <c r="P31" i="57"/>
  <c r="Q91" i="3"/>
  <c r="P84" i="3"/>
  <c r="P90" i="3"/>
  <c r="P66" i="3"/>
  <c r="P60" i="3"/>
  <c r="Q67" i="3"/>
  <c r="BC30" i="32"/>
  <c r="D30" i="32"/>
  <c r="AN29" i="31"/>
  <c r="AO29" i="31" s="1"/>
  <c r="T29" i="32"/>
  <c r="P44" i="3"/>
  <c r="BB30" i="32"/>
  <c r="N4" i="3"/>
  <c r="O101" i="3"/>
  <c r="O77" i="3"/>
  <c r="O30" i="3"/>
  <c r="O80" i="3"/>
  <c r="O53" i="3"/>
  <c r="P31" i="3"/>
  <c r="A32" i="32"/>
  <c r="P47" i="3"/>
  <c r="P117" i="3"/>
  <c r="G29" i="32"/>
  <c r="Q29" i="32"/>
  <c r="O29" i="32" s="1"/>
  <c r="AM30" i="32"/>
  <c r="AL30" i="32"/>
  <c r="Q43" i="3"/>
  <c r="J30" i="32"/>
  <c r="K30" i="32" s="1"/>
  <c r="AA30" i="32"/>
  <c r="AB30" i="32"/>
  <c r="R30" i="32"/>
  <c r="U30" i="32"/>
  <c r="M30" i="32"/>
  <c r="N30" i="32" s="1"/>
  <c r="AD30" i="32"/>
  <c r="P41" i="3"/>
  <c r="P42" i="3" s="1"/>
  <c r="AU30" i="32"/>
  <c r="AT30" i="32"/>
  <c r="AJ30" i="32"/>
  <c r="Q33" i="3"/>
  <c r="AM29" i="32"/>
  <c r="P29" i="32"/>
  <c r="L29" i="32" s="1"/>
  <c r="D29" i="32"/>
  <c r="AY30" i="32"/>
  <c r="AZ30" i="32"/>
  <c r="P48" i="3"/>
  <c r="AR30" i="32"/>
  <c r="AQ30" i="32"/>
  <c r="P45" i="3"/>
  <c r="P83" i="3"/>
  <c r="P34" i="3"/>
  <c r="C30" i="32"/>
  <c r="F30" i="32"/>
  <c r="P11" i="3"/>
  <c r="W29" i="32"/>
  <c r="V29" i="32"/>
  <c r="AI30" i="32"/>
  <c r="O18" i="57"/>
  <c r="P54" i="57"/>
  <c r="P72" i="57"/>
  <c r="O71" i="57"/>
  <c r="O11" i="57"/>
  <c r="O53" i="57"/>
  <c r="O28" i="57"/>
  <c r="O54" i="57" s="1"/>
  <c r="O48" i="57"/>
  <c r="O89" i="57"/>
  <c r="O84" i="57"/>
  <c r="O66" i="57"/>
  <c r="O68" i="57" s="1"/>
  <c r="O65" i="57"/>
  <c r="N41" i="57"/>
  <c r="N59" i="57"/>
  <c r="N77" i="57"/>
  <c r="N62" i="57"/>
  <c r="N24" i="57"/>
  <c r="O25" i="57"/>
  <c r="O41" i="58"/>
  <c r="O24" i="58"/>
  <c r="O59" i="58"/>
  <c r="O77" i="58"/>
  <c r="AZ27" i="31"/>
  <c r="I29" i="31"/>
  <c r="AG29" i="31"/>
  <c r="BC29" i="31"/>
  <c r="AL29" i="31"/>
  <c r="AW28" i="31"/>
  <c r="BA28" i="31" s="1"/>
  <c r="AS28" i="31"/>
  <c r="BQ29" i="31"/>
  <c r="J29" i="31"/>
  <c r="K29" i="31" s="1"/>
  <c r="B29" i="31"/>
  <c r="C29" i="31" s="1"/>
  <c r="N29" i="31"/>
  <c r="O29" i="31" s="1"/>
  <c r="BI29" i="31"/>
  <c r="AR29" i="31"/>
  <c r="AC29" i="31"/>
  <c r="L29" i="31"/>
  <c r="D29" i="31"/>
  <c r="E29" i="31" s="1"/>
  <c r="P29" i="31"/>
  <c r="Q29" i="31" s="1"/>
  <c r="AT28" i="31"/>
  <c r="AX28" i="31" s="1"/>
  <c r="AM28" i="31"/>
  <c r="BG29" i="31"/>
  <c r="AP29" i="31"/>
  <c r="AQ29" i="31" s="1"/>
  <c r="U29" i="31"/>
  <c r="AU28" i="31"/>
  <c r="AY28" i="31" s="1"/>
  <c r="AO28" i="31"/>
  <c r="E28" i="31"/>
  <c r="BE29" i="31"/>
  <c r="G28" i="31"/>
  <c r="A31" i="31"/>
  <c r="BQ30" i="31"/>
  <c r="BM30" i="31"/>
  <c r="BO30" i="31"/>
  <c r="AV28" i="31"/>
  <c r="AZ28" i="31" s="1"/>
  <c r="AQ28" i="31"/>
  <c r="S29" i="31"/>
  <c r="M28" i="31"/>
  <c r="BX29" i="28"/>
  <c r="AE28" i="26"/>
  <c r="BJ28" i="28"/>
  <c r="K30" i="28"/>
  <c r="H30" i="28"/>
  <c r="BT30" i="28"/>
  <c r="AS30" i="28"/>
  <c r="BR30" i="28"/>
  <c r="I29" i="28"/>
  <c r="AM29" i="28"/>
  <c r="AD28" i="26"/>
  <c r="Y28" i="26"/>
  <c r="BH29" i="28"/>
  <c r="BL29" i="28" s="1"/>
  <c r="AA28" i="26"/>
  <c r="BD28" i="28"/>
  <c r="B29" i="26"/>
  <c r="F29" i="26"/>
  <c r="G29" i="26" s="1"/>
  <c r="H29" i="26"/>
  <c r="AC29" i="28"/>
  <c r="AO30" i="28"/>
  <c r="AP30" i="28" s="1"/>
  <c r="CP31" i="28"/>
  <c r="BZ31" i="28"/>
  <c r="BN31" i="28"/>
  <c r="A32" i="28"/>
  <c r="V29" i="26"/>
  <c r="W29" i="26" s="1"/>
  <c r="AM29" i="26"/>
  <c r="Z29" i="26"/>
  <c r="AA29" i="26" s="1"/>
  <c r="AQ29" i="26"/>
  <c r="CD30" i="28"/>
  <c r="K29" i="26"/>
  <c r="AH27" i="26"/>
  <c r="AH30" i="28"/>
  <c r="V30" i="28"/>
  <c r="X29" i="26"/>
  <c r="AO29" i="26"/>
  <c r="E28" i="26"/>
  <c r="E29" i="26"/>
  <c r="C30" i="28"/>
  <c r="N28" i="28"/>
  <c r="G28" i="26"/>
  <c r="BB29" i="28"/>
  <c r="M29" i="26"/>
  <c r="CH30" i="28"/>
  <c r="CP30" i="28"/>
  <c r="BI28" i="28"/>
  <c r="AX29" i="28"/>
  <c r="AR28" i="28"/>
  <c r="BP29" i="28"/>
  <c r="AW29" i="26"/>
  <c r="CF29" i="28"/>
  <c r="CR29" i="28"/>
  <c r="Q30" i="28"/>
  <c r="BZ30" i="28"/>
  <c r="AG27" i="26"/>
  <c r="AV28" i="28"/>
  <c r="AY29" i="26"/>
  <c r="C28" i="26"/>
  <c r="AF30" i="28"/>
  <c r="AV29" i="28"/>
  <c r="BF29" i="28"/>
  <c r="BJ29" i="28" s="1"/>
  <c r="AT29" i="28"/>
  <c r="BX30" i="28"/>
  <c r="AW30" i="28"/>
  <c r="BV30" i="28"/>
  <c r="BK28" i="28"/>
  <c r="AC28" i="26"/>
  <c r="AB28" i="26"/>
  <c r="T29" i="26"/>
  <c r="AK29" i="26"/>
  <c r="AI27" i="26"/>
  <c r="BG29" i="28"/>
  <c r="BT29" i="28"/>
  <c r="BA30" i="28"/>
  <c r="J28" i="28"/>
  <c r="BE29" i="28"/>
  <c r="BL28" i="28"/>
  <c r="AM30" i="26"/>
  <c r="A31" i="26"/>
  <c r="I28" i="26"/>
  <c r="C65" i="55" l="1"/>
  <c r="Q31" i="28"/>
  <c r="L106" i="55"/>
  <c r="K106" i="55"/>
  <c r="Q106" i="55"/>
  <c r="E107" i="55"/>
  <c r="B15" i="55"/>
  <c r="O64" i="55"/>
  <c r="Q64" i="55"/>
  <c r="G64" i="55"/>
  <c r="I64" i="55"/>
  <c r="B64" i="55"/>
  <c r="B105" i="55" s="1"/>
  <c r="A105" i="55" s="1"/>
  <c r="L64" i="55"/>
  <c r="M64" i="55"/>
  <c r="K64" i="55"/>
  <c r="I106" i="55"/>
  <c r="M106" i="55"/>
  <c r="V31" i="28"/>
  <c r="AA31" i="28"/>
  <c r="AK31" i="28"/>
  <c r="O48" i="3"/>
  <c r="BC32" i="32"/>
  <c r="Q32" i="32"/>
  <c r="O32" i="32" s="1"/>
  <c r="AC31" i="31"/>
  <c r="AA31" i="31"/>
  <c r="W31" i="31"/>
  <c r="AK31" i="31"/>
  <c r="O47" i="3"/>
  <c r="S31" i="26"/>
  <c r="O31" i="26"/>
  <c r="M31" i="26"/>
  <c r="K31" i="26"/>
  <c r="BC29" i="54"/>
  <c r="CY30" i="54"/>
  <c r="BC30" i="54"/>
  <c r="AQ30" i="54"/>
  <c r="AE30" i="54"/>
  <c r="S30" i="54"/>
  <c r="AE29" i="54"/>
  <c r="CY29" i="54"/>
  <c r="S29" i="54"/>
  <c r="BQ29" i="54"/>
  <c r="BK29" i="54"/>
  <c r="BE29" i="54"/>
  <c r="AC29" i="54"/>
  <c r="CI29" i="54"/>
  <c r="AS30" i="54"/>
  <c r="BU30" i="54"/>
  <c r="AM30" i="54"/>
  <c r="BY30" i="54"/>
  <c r="A31" i="54"/>
  <c r="G30" i="54"/>
  <c r="U30" i="54"/>
  <c r="BW30" i="54"/>
  <c r="O30" i="54"/>
  <c r="M30" i="54"/>
  <c r="BM30" i="54"/>
  <c r="CS30" i="54"/>
  <c r="BQ30" i="54"/>
  <c r="DA30" i="54"/>
  <c r="CW30" i="54"/>
  <c r="Y30" i="54"/>
  <c r="AO30" i="54"/>
  <c r="BE30" i="54"/>
  <c r="AA30" i="54"/>
  <c r="I30" i="54"/>
  <c r="CU30" i="54"/>
  <c r="BI30" i="54"/>
  <c r="DE30" i="54"/>
  <c r="AC30" i="54"/>
  <c r="CO30" i="54"/>
  <c r="AS29" i="54"/>
  <c r="AA29" i="54"/>
  <c r="AO29" i="54"/>
  <c r="DA29" i="54"/>
  <c r="Y29" i="54"/>
  <c r="M29" i="54"/>
  <c r="AM29" i="54"/>
  <c r="N35" i="57"/>
  <c r="G31" i="32"/>
  <c r="O44" i="3"/>
  <c r="O31" i="32"/>
  <c r="O72" i="57"/>
  <c r="P37" i="3"/>
  <c r="O60" i="3"/>
  <c r="O66" i="3"/>
  <c r="P67" i="3"/>
  <c r="O111" i="3"/>
  <c r="P91" i="3"/>
  <c r="O84" i="3"/>
  <c r="O90" i="3"/>
  <c r="O45" i="3"/>
  <c r="AT31" i="32"/>
  <c r="AB31" i="32"/>
  <c r="J31" i="32"/>
  <c r="K31" i="32" s="1"/>
  <c r="AA31" i="32"/>
  <c r="R31" i="32"/>
  <c r="AZ31" i="32"/>
  <c r="O11" i="3"/>
  <c r="O31" i="3"/>
  <c r="O117" i="3"/>
  <c r="A33" i="32"/>
  <c r="AE31" i="32"/>
  <c r="M31" i="32"/>
  <c r="N31" i="32" s="1"/>
  <c r="AD31" i="32"/>
  <c r="U31" i="32"/>
  <c r="BC31" i="32"/>
  <c r="BB31" i="32"/>
  <c r="O41" i="3"/>
  <c r="O42" i="3" s="1"/>
  <c r="O83" i="3"/>
  <c r="F31" i="32"/>
  <c r="AU31" i="32"/>
  <c r="N80" i="3"/>
  <c r="M4" i="3"/>
  <c r="N77" i="3"/>
  <c r="N53" i="3"/>
  <c r="N30" i="3"/>
  <c r="N101" i="3"/>
  <c r="V30" i="32"/>
  <c r="W30" i="32"/>
  <c r="AL31" i="32"/>
  <c r="AM31" i="32"/>
  <c r="O34" i="3"/>
  <c r="AE30" i="32"/>
  <c r="AR31" i="32"/>
  <c r="P33" i="3"/>
  <c r="O30" i="32"/>
  <c r="S30" i="32"/>
  <c r="AQ31" i="32"/>
  <c r="P43" i="3"/>
  <c r="L30" i="32"/>
  <c r="C31" i="32"/>
  <c r="AJ31" i="32"/>
  <c r="AI31" i="32"/>
  <c r="AY31" i="32"/>
  <c r="N18" i="57"/>
  <c r="N53" i="57"/>
  <c r="N11" i="57"/>
  <c r="N71" i="57"/>
  <c r="N28" i="57"/>
  <c r="N54" i="57" s="1"/>
  <c r="N48" i="57"/>
  <c r="N65" i="57"/>
  <c r="N66" i="57"/>
  <c r="N68" i="57" s="1"/>
  <c r="N89" i="57"/>
  <c r="N84" i="57"/>
  <c r="M77" i="57"/>
  <c r="M59" i="57"/>
  <c r="M41" i="57"/>
  <c r="M24" i="57"/>
  <c r="M62" i="57"/>
  <c r="N25" i="57"/>
  <c r="O31" i="57"/>
  <c r="O36" i="57"/>
  <c r="N41" i="58"/>
  <c r="N59" i="58"/>
  <c r="N24" i="58"/>
  <c r="N77" i="58"/>
  <c r="AR30" i="31"/>
  <c r="AS30" i="31" s="1"/>
  <c r="BI30" i="31"/>
  <c r="AS29" i="31"/>
  <c r="AW29" i="31"/>
  <c r="BA29" i="31" s="1"/>
  <c r="I30" i="31"/>
  <c r="AG30" i="31"/>
  <c r="AE30" i="31"/>
  <c r="G30" i="31"/>
  <c r="BC30" i="31"/>
  <c r="AL30" i="31"/>
  <c r="AV29" i="31"/>
  <c r="AZ29" i="31" s="1"/>
  <c r="BK30" i="31"/>
  <c r="AN30" i="31"/>
  <c r="BE30" i="31"/>
  <c r="S30" i="31"/>
  <c r="N30" i="31"/>
  <c r="O30" i="31" s="1"/>
  <c r="J30" i="31"/>
  <c r="K30" i="31" s="1"/>
  <c r="B30" i="31"/>
  <c r="C30" i="31" s="1"/>
  <c r="AT29" i="31"/>
  <c r="AX29" i="31" s="1"/>
  <c r="AU29" i="31"/>
  <c r="AY29" i="31" s="1"/>
  <c r="AM29" i="31"/>
  <c r="P30" i="31"/>
  <c r="Q30" i="31" s="1"/>
  <c r="D30" i="31"/>
  <c r="E30" i="31" s="1"/>
  <c r="L30" i="31"/>
  <c r="M30" i="31" s="1"/>
  <c r="U30" i="31"/>
  <c r="W30" i="31"/>
  <c r="BO31" i="31"/>
  <c r="A32" i="31"/>
  <c r="BK31" i="31"/>
  <c r="AP30" i="31"/>
  <c r="BG30" i="31"/>
  <c r="G29" i="31"/>
  <c r="M29" i="31"/>
  <c r="AO30" i="26"/>
  <c r="CR30" i="28"/>
  <c r="X30" i="28"/>
  <c r="CP32" i="28"/>
  <c r="BV32" i="28"/>
  <c r="BR32" i="28"/>
  <c r="A33" i="28"/>
  <c r="CD32" i="28"/>
  <c r="AW31" i="28"/>
  <c r="BV31" i="28"/>
  <c r="AZ29" i="28"/>
  <c r="AW30" i="26"/>
  <c r="BD30" i="28"/>
  <c r="BH30" i="28"/>
  <c r="BI29" i="28"/>
  <c r="BK29" i="28"/>
  <c r="AG28" i="26"/>
  <c r="AH31" i="28"/>
  <c r="AF31" i="28"/>
  <c r="BE30" i="28"/>
  <c r="BI30" i="28" s="1"/>
  <c r="AR30" i="28"/>
  <c r="Y29" i="26"/>
  <c r="E31" i="28"/>
  <c r="C31" i="28"/>
  <c r="AS31" i="28"/>
  <c r="AT31" i="28" s="1"/>
  <c r="BR31" i="28"/>
  <c r="BP30" i="28"/>
  <c r="S30" i="26"/>
  <c r="S31" i="28"/>
  <c r="K31" i="28"/>
  <c r="BA31" i="28"/>
  <c r="J29" i="28"/>
  <c r="L30" i="28"/>
  <c r="AD29" i="26"/>
  <c r="AC31" i="28"/>
  <c r="X31" i="28"/>
  <c r="I29" i="26"/>
  <c r="BD29" i="28"/>
  <c r="AH28" i="26"/>
  <c r="AR29" i="28"/>
  <c r="T30" i="26"/>
  <c r="U30" i="26" s="1"/>
  <c r="AK30" i="26"/>
  <c r="AM30" i="28"/>
  <c r="E30" i="26"/>
  <c r="CB30" i="28"/>
  <c r="X30" i="26"/>
  <c r="M30" i="26"/>
  <c r="O30" i="26"/>
  <c r="I30" i="28"/>
  <c r="E30" i="28"/>
  <c r="AY31" i="26"/>
  <c r="A32" i="26"/>
  <c r="AQ31" i="26"/>
  <c r="AU31" i="26"/>
  <c r="AO31" i="26"/>
  <c r="H30" i="26"/>
  <c r="I30" i="26" s="1"/>
  <c r="F30" i="26"/>
  <c r="B30" i="26"/>
  <c r="C30" i="26" s="1"/>
  <c r="K30" i="26"/>
  <c r="AF28" i="26"/>
  <c r="BG30" i="28"/>
  <c r="AX30" i="28"/>
  <c r="CF30" i="28"/>
  <c r="N29" i="28"/>
  <c r="CJ30" i="28"/>
  <c r="AC29" i="26"/>
  <c r="CJ31" i="28"/>
  <c r="CH31" i="28"/>
  <c r="AM31" i="28"/>
  <c r="S30" i="28"/>
  <c r="Z30" i="26"/>
  <c r="AQ30" i="26"/>
  <c r="AB29" i="26"/>
  <c r="U29" i="26"/>
  <c r="AS30" i="26"/>
  <c r="AU30" i="26"/>
  <c r="CN30" i="28"/>
  <c r="BB30" i="28"/>
  <c r="V30" i="26"/>
  <c r="AY30" i="26"/>
  <c r="AE29" i="26"/>
  <c r="AO31" i="28"/>
  <c r="CD31" i="28"/>
  <c r="C29" i="26"/>
  <c r="CL31" i="28"/>
  <c r="AC30" i="28"/>
  <c r="BF30" i="28"/>
  <c r="AT30" i="28"/>
  <c r="AI28" i="26"/>
  <c r="Q30" i="26"/>
  <c r="C64" i="55" l="1"/>
  <c r="L105" i="55"/>
  <c r="I105" i="55"/>
  <c r="E106" i="55"/>
  <c r="Q105" i="55"/>
  <c r="K105" i="55"/>
  <c r="M105" i="55"/>
  <c r="I63" i="55"/>
  <c r="M63" i="55"/>
  <c r="L63" i="55"/>
  <c r="B63" i="55"/>
  <c r="B104" i="55" s="1"/>
  <c r="A104" i="55" s="1"/>
  <c r="O63" i="55"/>
  <c r="B14" i="55"/>
  <c r="G63" i="55"/>
  <c r="K63" i="55"/>
  <c r="Q63" i="55"/>
  <c r="AA32" i="32"/>
  <c r="V32" i="28"/>
  <c r="BB32" i="32"/>
  <c r="AA32" i="28"/>
  <c r="O37" i="3"/>
  <c r="AC32" i="31"/>
  <c r="AA32" i="31"/>
  <c r="Y32" i="31"/>
  <c r="W32" i="31"/>
  <c r="AK32" i="31"/>
  <c r="U32" i="31"/>
  <c r="AI32" i="31"/>
  <c r="L31" i="28"/>
  <c r="S31" i="32"/>
  <c r="O32" i="26"/>
  <c r="M32" i="26"/>
  <c r="F32" i="32"/>
  <c r="G32" i="32"/>
  <c r="CY31" i="54"/>
  <c r="BC31" i="54"/>
  <c r="AQ31" i="54"/>
  <c r="AE31" i="54"/>
  <c r="CE31" i="54"/>
  <c r="DC31" i="54"/>
  <c r="CQ31" i="54"/>
  <c r="W31" i="54"/>
  <c r="S31" i="54"/>
  <c r="AI31" i="54"/>
  <c r="AU31" i="54"/>
  <c r="BG31" i="54"/>
  <c r="CM30" i="54"/>
  <c r="CA30" i="54"/>
  <c r="Q30" i="54"/>
  <c r="BA30" i="54"/>
  <c r="K31" i="54"/>
  <c r="CW31" i="54"/>
  <c r="AK31" i="54"/>
  <c r="Q31" i="54"/>
  <c r="CO31" i="54"/>
  <c r="A32" i="54"/>
  <c r="C31" i="54"/>
  <c r="U31" i="54"/>
  <c r="AY31" i="54"/>
  <c r="BA31" i="54"/>
  <c r="CI31" i="54"/>
  <c r="DE31" i="54"/>
  <c r="CK31" i="54"/>
  <c r="CS31" i="54"/>
  <c r="BK31" i="54"/>
  <c r="BQ31" i="54"/>
  <c r="O31" i="54"/>
  <c r="E31" i="54"/>
  <c r="AG31" i="54"/>
  <c r="AA31" i="54"/>
  <c r="G31" i="54"/>
  <c r="CG31" i="54"/>
  <c r="AW31" i="54"/>
  <c r="DA31" i="54"/>
  <c r="CU31" i="54"/>
  <c r="AY30" i="54"/>
  <c r="E30" i="54"/>
  <c r="CG30" i="54"/>
  <c r="CC30" i="54"/>
  <c r="CK30" i="54"/>
  <c r="AG30" i="54"/>
  <c r="CI30" i="54"/>
  <c r="AW30" i="54"/>
  <c r="C30" i="54"/>
  <c r="AK30" i="54"/>
  <c r="BK30" i="54"/>
  <c r="N47" i="3"/>
  <c r="N111" i="3"/>
  <c r="N60" i="3"/>
  <c r="N66" i="3"/>
  <c r="N84" i="3"/>
  <c r="N90" i="3"/>
  <c r="O67" i="3"/>
  <c r="O91" i="3"/>
  <c r="N45" i="3"/>
  <c r="N83" i="3"/>
  <c r="AJ32" i="32"/>
  <c r="T30" i="32"/>
  <c r="T31" i="32"/>
  <c r="N31" i="3"/>
  <c r="A34" i="32"/>
  <c r="C32" i="32"/>
  <c r="P32" i="32"/>
  <c r="AU32" i="32"/>
  <c r="AT32" i="32"/>
  <c r="P31" i="32"/>
  <c r="L31" i="32" s="1"/>
  <c r="D31" i="32"/>
  <c r="AQ32" i="32"/>
  <c r="AR32" i="32"/>
  <c r="O43" i="3"/>
  <c r="R32" i="32"/>
  <c r="J32" i="32"/>
  <c r="K32" i="32" s="1"/>
  <c r="N34" i="3"/>
  <c r="L4" i="3"/>
  <c r="M53" i="3"/>
  <c r="M30" i="3"/>
  <c r="M101" i="3"/>
  <c r="M77" i="3"/>
  <c r="W31" i="32"/>
  <c r="V31" i="32"/>
  <c r="AL32" i="32"/>
  <c r="AM32" i="32"/>
  <c r="N48" i="3"/>
  <c r="N41" i="3"/>
  <c r="N42" i="3" s="1"/>
  <c r="N11" i="3"/>
  <c r="AY32" i="32"/>
  <c r="AZ32" i="32"/>
  <c r="N44" i="3"/>
  <c r="N117" i="3"/>
  <c r="AD32" i="32"/>
  <c r="AE32" i="32"/>
  <c r="U32" i="32"/>
  <c r="M32" i="32"/>
  <c r="N32" i="32" s="1"/>
  <c r="O33" i="3"/>
  <c r="AI32" i="32"/>
  <c r="M18" i="57"/>
  <c r="N72" i="57"/>
  <c r="M53" i="57"/>
  <c r="M11" i="57"/>
  <c r="M71" i="57"/>
  <c r="M35" i="57"/>
  <c r="L59" i="57"/>
  <c r="L24" i="57"/>
  <c r="L41" i="57"/>
  <c r="L77" i="57"/>
  <c r="L62" i="57"/>
  <c r="M28" i="57"/>
  <c r="M54" i="57" s="1"/>
  <c r="M48" i="57"/>
  <c r="N36" i="57"/>
  <c r="N31" i="57"/>
  <c r="M65" i="57"/>
  <c r="M66" i="57"/>
  <c r="M68" i="57" s="1"/>
  <c r="M25" i="57"/>
  <c r="M5" i="67" s="1"/>
  <c r="M7" i="67" s="1"/>
  <c r="M84" i="57"/>
  <c r="M89" i="57"/>
  <c r="M77" i="58"/>
  <c r="M41" i="58"/>
  <c r="M59" i="58"/>
  <c r="M24" i="58"/>
  <c r="AI31" i="31"/>
  <c r="AL31" i="31"/>
  <c r="BC31" i="31"/>
  <c r="L31" i="31"/>
  <c r="D31" i="31"/>
  <c r="P31" i="31"/>
  <c r="U31" i="31"/>
  <c r="AT30" i="31"/>
  <c r="AX30" i="31" s="1"/>
  <c r="BI31" i="31"/>
  <c r="AR31" i="31"/>
  <c r="BE31" i="31"/>
  <c r="AN31" i="31"/>
  <c r="AM30" i="31"/>
  <c r="Y31" i="31"/>
  <c r="J31" i="31"/>
  <c r="K31" i="31" s="1"/>
  <c r="N31" i="31"/>
  <c r="B31" i="31"/>
  <c r="BM32" i="31"/>
  <c r="BQ32" i="31"/>
  <c r="BK32" i="31"/>
  <c r="A33" i="31"/>
  <c r="BO32" i="31"/>
  <c r="AV30" i="31"/>
  <c r="AZ30" i="31" s="1"/>
  <c r="AQ30" i="31"/>
  <c r="AE31" i="31"/>
  <c r="AP31" i="31"/>
  <c r="BG31" i="31"/>
  <c r="S31" i="31"/>
  <c r="BM31" i="31"/>
  <c r="BQ31" i="31"/>
  <c r="AW30" i="31"/>
  <c r="BA30" i="31" s="1"/>
  <c r="AG31" i="31"/>
  <c r="AU30" i="31"/>
  <c r="AY30" i="31" s="1"/>
  <c r="AO30" i="31"/>
  <c r="CR31" i="28"/>
  <c r="AF29" i="26"/>
  <c r="Q32" i="26"/>
  <c r="A33" i="26"/>
  <c r="AM32" i="26"/>
  <c r="AS32" i="26"/>
  <c r="AK32" i="26"/>
  <c r="AB30" i="26"/>
  <c r="AF30" i="26" s="1"/>
  <c r="AH29" i="26"/>
  <c r="K32" i="28"/>
  <c r="S32" i="28"/>
  <c r="Q32" i="28"/>
  <c r="AV30" i="28"/>
  <c r="AE30" i="26"/>
  <c r="AA30" i="26"/>
  <c r="AD30" i="26"/>
  <c r="Q31" i="26"/>
  <c r="BX31" i="28"/>
  <c r="C32" i="28"/>
  <c r="CL32" i="28"/>
  <c r="CF31" i="28"/>
  <c r="W30" i="26"/>
  <c r="BH31" i="28"/>
  <c r="CJ32" i="28"/>
  <c r="CH32" i="28"/>
  <c r="BE31" i="28"/>
  <c r="AW31" i="26"/>
  <c r="J30" i="28"/>
  <c r="CB31" i="28"/>
  <c r="AV31" i="28"/>
  <c r="BF31" i="28"/>
  <c r="AP31" i="28"/>
  <c r="AZ30" i="28"/>
  <c r="BV33" i="28"/>
  <c r="A34" i="28"/>
  <c r="CD33" i="28"/>
  <c r="G30" i="26"/>
  <c r="T31" i="26"/>
  <c r="V31" i="26"/>
  <c r="AM31" i="26"/>
  <c r="Y30" i="26"/>
  <c r="BA32" i="28"/>
  <c r="BZ32" i="28"/>
  <c r="AC32" i="28"/>
  <c r="AK32" i="28"/>
  <c r="BP31" i="28"/>
  <c r="AI29" i="26"/>
  <c r="AC30" i="26"/>
  <c r="BJ30" i="28"/>
  <c r="CN31" i="28"/>
  <c r="AG29" i="26"/>
  <c r="BK30" i="28"/>
  <c r="F31" i="26"/>
  <c r="H31" i="26"/>
  <c r="I31" i="26" s="1"/>
  <c r="B31" i="26"/>
  <c r="E31" i="26"/>
  <c r="N30" i="28"/>
  <c r="BT31" i="28"/>
  <c r="BL30" i="28"/>
  <c r="AO32" i="28"/>
  <c r="BN32" i="28"/>
  <c r="AS32" i="28"/>
  <c r="BB31" i="28"/>
  <c r="Z31" i="26"/>
  <c r="AS31" i="26"/>
  <c r="AK31" i="26"/>
  <c r="H32" i="28"/>
  <c r="CF32" i="28"/>
  <c r="AW32" i="28"/>
  <c r="X31" i="26"/>
  <c r="H31" i="28"/>
  <c r="I31" i="28"/>
  <c r="BG31" i="28"/>
  <c r="AX31" i="28"/>
  <c r="AF32" i="28"/>
  <c r="C63" i="55" l="1"/>
  <c r="AK33" i="28"/>
  <c r="AF33" i="28"/>
  <c r="L104" i="55"/>
  <c r="Q104" i="55"/>
  <c r="M104" i="55"/>
  <c r="K104" i="55"/>
  <c r="G104" i="55"/>
  <c r="I104" i="55"/>
  <c r="E105" i="55"/>
  <c r="K62" i="55"/>
  <c r="I62" i="55"/>
  <c r="B13" i="55"/>
  <c r="Q62" i="55"/>
  <c r="L62" i="55"/>
  <c r="B62" i="55"/>
  <c r="B103" i="55" s="1"/>
  <c r="A103" i="55" s="1"/>
  <c r="O62" i="55"/>
  <c r="M62" i="55"/>
  <c r="G62" i="55"/>
  <c r="O104" i="55"/>
  <c r="V33" i="28"/>
  <c r="M47" i="3"/>
  <c r="AA33" i="31"/>
  <c r="Y33" i="31"/>
  <c r="W33" i="31"/>
  <c r="AK33" i="31"/>
  <c r="AC33" i="31"/>
  <c r="L32" i="28"/>
  <c r="N32" i="28"/>
  <c r="S33" i="26"/>
  <c r="M33" i="26"/>
  <c r="K33" i="26"/>
  <c r="N37" i="3"/>
  <c r="CM31" i="54"/>
  <c r="CA32" i="54"/>
  <c r="CE32" i="54"/>
  <c r="DC32" i="54"/>
  <c r="CQ32" i="54"/>
  <c r="S32" i="54"/>
  <c r="AU32" i="54"/>
  <c r="AI32" i="54"/>
  <c r="W32" i="54"/>
  <c r="BG32" i="54"/>
  <c r="CA31" i="54"/>
  <c r="AM31" i="54"/>
  <c r="BY31" i="54"/>
  <c r="Y31" i="54"/>
  <c r="AO31" i="54"/>
  <c r="BM31" i="54"/>
  <c r="BI31" i="54"/>
  <c r="BW31" i="54"/>
  <c r="AS31" i="54"/>
  <c r="CC31" i="54"/>
  <c r="AC31" i="54"/>
  <c r="BU31" i="54"/>
  <c r="K32" i="54"/>
  <c r="G32" i="54"/>
  <c r="AY32" i="54"/>
  <c r="M32" i="54"/>
  <c r="I32" i="54"/>
  <c r="CI32" i="54"/>
  <c r="AO32" i="54"/>
  <c r="AG32" i="54"/>
  <c r="BY32" i="54"/>
  <c r="BM32" i="54"/>
  <c r="AS32" i="54"/>
  <c r="C32" i="54"/>
  <c r="E32" i="54"/>
  <c r="CS32" i="54"/>
  <c r="CC32" i="54"/>
  <c r="CU32" i="54"/>
  <c r="AC32" i="54"/>
  <c r="BE32" i="54"/>
  <c r="A33" i="54"/>
  <c r="BU32" i="54"/>
  <c r="M31" i="54"/>
  <c r="BE31" i="54"/>
  <c r="I31" i="54"/>
  <c r="M60" i="3"/>
  <c r="M66" i="3"/>
  <c r="N91" i="3"/>
  <c r="M90" i="3"/>
  <c r="M84" i="3"/>
  <c r="M111" i="3"/>
  <c r="N67" i="3"/>
  <c r="M48" i="3"/>
  <c r="M45" i="3"/>
  <c r="M44" i="3"/>
  <c r="D32" i="32"/>
  <c r="V32" i="32"/>
  <c r="W32" i="32"/>
  <c r="M117" i="3"/>
  <c r="L32" i="32"/>
  <c r="AR33" i="32"/>
  <c r="AQ33" i="32"/>
  <c r="K4" i="3"/>
  <c r="L80" i="3"/>
  <c r="L101" i="3"/>
  <c r="L30" i="3"/>
  <c r="L53" i="3"/>
  <c r="L77" i="3"/>
  <c r="AB32" i="32"/>
  <c r="F33" i="32"/>
  <c r="M41" i="3"/>
  <c r="M42" i="3" s="1"/>
  <c r="S32" i="32"/>
  <c r="T32" i="32"/>
  <c r="AD33" i="32"/>
  <c r="U33" i="32"/>
  <c r="AE33" i="32"/>
  <c r="M33" i="32"/>
  <c r="AJ33" i="32"/>
  <c r="AI33" i="32"/>
  <c r="M80" i="3"/>
  <c r="BB33" i="32"/>
  <c r="BC33" i="32"/>
  <c r="AY33" i="32"/>
  <c r="AZ33" i="32"/>
  <c r="M31" i="3"/>
  <c r="M34" i="3"/>
  <c r="M91" i="3" s="1"/>
  <c r="AL33" i="32"/>
  <c r="AM33" i="32"/>
  <c r="AU33" i="32"/>
  <c r="AT33" i="32"/>
  <c r="M11" i="3"/>
  <c r="R33" i="32"/>
  <c r="J33" i="32"/>
  <c r="K33" i="32" s="1"/>
  <c r="AA33" i="32"/>
  <c r="AB33" i="32"/>
  <c r="N33" i="3"/>
  <c r="A35" i="32"/>
  <c r="M83" i="3"/>
  <c r="N43" i="3"/>
  <c r="C33" i="32"/>
  <c r="M5" i="62"/>
  <c r="M7" i="62" s="1"/>
  <c r="L18" i="57"/>
  <c r="L53" i="57"/>
  <c r="M72" i="57"/>
  <c r="L71" i="57"/>
  <c r="L28" i="57"/>
  <c r="L54" i="57" s="1"/>
  <c r="L48" i="57"/>
  <c r="L25" i="57"/>
  <c r="L5" i="66" s="1"/>
  <c r="L7" i="66" s="1"/>
  <c r="K77" i="57"/>
  <c r="K59" i="57"/>
  <c r="K24" i="57"/>
  <c r="K41" i="57"/>
  <c r="K62" i="57"/>
  <c r="L11" i="57"/>
  <c r="M5" i="66"/>
  <c r="M7" i="66" s="1"/>
  <c r="L65" i="57"/>
  <c r="L66" i="57"/>
  <c r="L68" i="57" s="1"/>
  <c r="L89" i="57"/>
  <c r="L84" i="57"/>
  <c r="L35" i="57"/>
  <c r="M31" i="57"/>
  <c r="M36" i="57"/>
  <c r="AG32" i="31"/>
  <c r="L77" i="58"/>
  <c r="L41" i="58"/>
  <c r="L59" i="58"/>
  <c r="L24" i="58"/>
  <c r="AE32" i="31"/>
  <c r="AQ31" i="31"/>
  <c r="AV31" i="31"/>
  <c r="AZ31" i="31" s="1"/>
  <c r="N32" i="31"/>
  <c r="O32" i="31" s="1"/>
  <c r="J32" i="31"/>
  <c r="K32" i="31" s="1"/>
  <c r="B32" i="31"/>
  <c r="C32" i="31" s="1"/>
  <c r="AU31" i="31"/>
  <c r="AY31" i="31" s="1"/>
  <c r="AO31" i="31"/>
  <c r="AW31" i="31"/>
  <c r="AS31" i="31"/>
  <c r="G31" i="31"/>
  <c r="G32" i="31"/>
  <c r="I32" i="31"/>
  <c r="I31" i="31"/>
  <c r="AP32" i="31"/>
  <c r="L32" i="31"/>
  <c r="M32" i="31" s="1"/>
  <c r="D32" i="31"/>
  <c r="E32" i="31" s="1"/>
  <c r="P32" i="31"/>
  <c r="Q32" i="31" s="1"/>
  <c r="Q31" i="31"/>
  <c r="AN32" i="31"/>
  <c r="BE32" i="31"/>
  <c r="E31" i="31"/>
  <c r="BI32" i="31"/>
  <c r="AR32" i="31"/>
  <c r="S32" i="31"/>
  <c r="M31" i="31"/>
  <c r="BC32" i="31"/>
  <c r="AL32" i="31"/>
  <c r="C31" i="31"/>
  <c r="BM33" i="31"/>
  <c r="BQ33" i="31"/>
  <c r="A34" i="31"/>
  <c r="BK33" i="31"/>
  <c r="BO33" i="31"/>
  <c r="O31" i="31"/>
  <c r="AT31" i="31"/>
  <c r="AX31" i="31" s="1"/>
  <c r="AM31" i="31"/>
  <c r="BG32" i="31"/>
  <c r="AB31" i="26"/>
  <c r="U31" i="26"/>
  <c r="K33" i="28"/>
  <c r="S33" i="28"/>
  <c r="Q33" i="28"/>
  <c r="BD31" i="28"/>
  <c r="C33" i="28"/>
  <c r="X32" i="26"/>
  <c r="AO32" i="26"/>
  <c r="A34" i="26"/>
  <c r="AS33" i="26"/>
  <c r="AY33" i="26"/>
  <c r="AE31" i="26"/>
  <c r="AI31" i="26" s="1"/>
  <c r="AA31" i="26"/>
  <c r="BK31" i="28"/>
  <c r="N31" i="28"/>
  <c r="BG32" i="28"/>
  <c r="AZ32" i="28"/>
  <c r="AX32" i="28"/>
  <c r="CB33" i="28"/>
  <c r="BA33" i="28"/>
  <c r="BZ33" i="28"/>
  <c r="CH34" i="28"/>
  <c r="A35" i="28"/>
  <c r="BR34" i="28"/>
  <c r="C31" i="26"/>
  <c r="BI31" i="28"/>
  <c r="AV32" i="28"/>
  <c r="BF32" i="28"/>
  <c r="AT32" i="28"/>
  <c r="G31" i="26"/>
  <c r="J31" i="28"/>
  <c r="AH32" i="28"/>
  <c r="I32" i="28"/>
  <c r="Z32" i="26"/>
  <c r="AA32" i="26" s="1"/>
  <c r="AQ32" i="26"/>
  <c r="AY32" i="26"/>
  <c r="CR32" i="28"/>
  <c r="AG30" i="26"/>
  <c r="AH33" i="28"/>
  <c r="BP33" i="28"/>
  <c r="AO33" i="28"/>
  <c r="AP33" i="28" s="1"/>
  <c r="AR31" i="28"/>
  <c r="AH30" i="26"/>
  <c r="E32" i="28"/>
  <c r="AZ31" i="28"/>
  <c r="BE32" i="28"/>
  <c r="BT32" i="28"/>
  <c r="AC33" i="28"/>
  <c r="BX32" i="28"/>
  <c r="AU32" i="26"/>
  <c r="AW32" i="26"/>
  <c r="X32" i="28"/>
  <c r="AD31" i="26"/>
  <c r="Y31" i="26"/>
  <c r="BP32" i="28"/>
  <c r="BN33" i="28"/>
  <c r="AA33" i="28"/>
  <c r="BH32" i="28"/>
  <c r="BB32" i="28"/>
  <c r="AC31" i="26"/>
  <c r="W31" i="26"/>
  <c r="AW33" i="28"/>
  <c r="CP33" i="28"/>
  <c r="CH33" i="28"/>
  <c r="B32" i="26"/>
  <c r="F32" i="26"/>
  <c r="H32" i="26"/>
  <c r="K32" i="26"/>
  <c r="CB32" i="28"/>
  <c r="AM32" i="28"/>
  <c r="CL33" i="28"/>
  <c r="AS33" i="28"/>
  <c r="BR33" i="28"/>
  <c r="AI30" i="26"/>
  <c r="V32" i="26"/>
  <c r="S32" i="26"/>
  <c r="AP32" i="28"/>
  <c r="BL31" i="28"/>
  <c r="BJ31" i="28"/>
  <c r="T32" i="26"/>
  <c r="CN32" i="28"/>
  <c r="C62" i="55" l="1"/>
  <c r="C34" i="28"/>
  <c r="AA34" i="28"/>
  <c r="C104" i="55"/>
  <c r="E104" i="55"/>
  <c r="L103" i="55"/>
  <c r="Q103" i="55"/>
  <c r="M61" i="55"/>
  <c r="Q61" i="55"/>
  <c r="B61" i="55"/>
  <c r="B102" i="55" s="1"/>
  <c r="A102" i="55" s="1"/>
  <c r="G61" i="55"/>
  <c r="L61" i="55"/>
  <c r="O61" i="55"/>
  <c r="K61" i="55"/>
  <c r="B12" i="55"/>
  <c r="I61" i="55"/>
  <c r="I103" i="55"/>
  <c r="G103" i="55"/>
  <c r="M103" i="55"/>
  <c r="K103" i="55"/>
  <c r="O103" i="55"/>
  <c r="AF34" i="28"/>
  <c r="AK34" i="28"/>
  <c r="V34" i="28"/>
  <c r="L44" i="3"/>
  <c r="W34" i="31"/>
  <c r="AI34" i="31"/>
  <c r="S34" i="31"/>
  <c r="AC34" i="31"/>
  <c r="AA34" i="31"/>
  <c r="Y34" i="31"/>
  <c r="L33" i="28"/>
  <c r="N33" i="28"/>
  <c r="AZ35" i="32"/>
  <c r="Q35" i="32"/>
  <c r="CY32" i="54"/>
  <c r="AQ32" i="54"/>
  <c r="AE32" i="54"/>
  <c r="CM32" i="54"/>
  <c r="S33" i="54"/>
  <c r="CY33" i="54"/>
  <c r="BC33" i="54"/>
  <c r="AE33" i="54"/>
  <c r="CE33" i="54"/>
  <c r="DC33" i="54"/>
  <c r="CQ33" i="54"/>
  <c r="AU33" i="54"/>
  <c r="BG33" i="54"/>
  <c r="AI33" i="54"/>
  <c r="W33" i="54"/>
  <c r="AQ33" i="54"/>
  <c r="BC32" i="54"/>
  <c r="K33" i="54"/>
  <c r="CO33" i="54"/>
  <c r="AK33" i="54"/>
  <c r="Q33" i="54"/>
  <c r="BI33" i="54"/>
  <c r="AO33" i="54"/>
  <c r="BM33" i="54"/>
  <c r="C33" i="54"/>
  <c r="BK33" i="54"/>
  <c r="AY33" i="54"/>
  <c r="BU33" i="54"/>
  <c r="O33" i="54"/>
  <c r="BQ33" i="54"/>
  <c r="CK33" i="54"/>
  <c r="BY33" i="54"/>
  <c r="CC33" i="54"/>
  <c r="AW33" i="54"/>
  <c r="CI33" i="54"/>
  <c r="U33" i="54"/>
  <c r="AA33" i="54"/>
  <c r="BA33" i="54"/>
  <c r="BE33" i="54"/>
  <c r="I33" i="54"/>
  <c r="Y33" i="54"/>
  <c r="CG33" i="54"/>
  <c r="DE33" i="54"/>
  <c r="AM33" i="54"/>
  <c r="BW33" i="54"/>
  <c r="AC33" i="54"/>
  <c r="A34" i="54"/>
  <c r="CW33" i="54"/>
  <c r="DA33" i="54"/>
  <c r="O32" i="54"/>
  <c r="DA32" i="54"/>
  <c r="Q32" i="54"/>
  <c r="BQ32" i="54"/>
  <c r="U32" i="54"/>
  <c r="CG32" i="54"/>
  <c r="DE32" i="54"/>
  <c r="AW32" i="54"/>
  <c r="CO32" i="54"/>
  <c r="BW32" i="54"/>
  <c r="AA32" i="54"/>
  <c r="CW32" i="54"/>
  <c r="Y32" i="54"/>
  <c r="BA32" i="54"/>
  <c r="BI32" i="54"/>
  <c r="AM32" i="54"/>
  <c r="AK32" i="54"/>
  <c r="BK32" i="54"/>
  <c r="CK32" i="54"/>
  <c r="Q33" i="26"/>
  <c r="L5" i="62"/>
  <c r="L7" i="62" s="1"/>
  <c r="L5" i="67"/>
  <c r="L7" i="67" s="1"/>
  <c r="L111" i="3"/>
  <c r="L66" i="3"/>
  <c r="L60" i="3"/>
  <c r="M37" i="3"/>
  <c r="L90" i="3"/>
  <c r="L84" i="3"/>
  <c r="M67" i="3"/>
  <c r="L48" i="3"/>
  <c r="L47" i="3"/>
  <c r="A36" i="32"/>
  <c r="AT34" i="32"/>
  <c r="AU34" i="32"/>
  <c r="L83" i="3"/>
  <c r="AI34" i="32"/>
  <c r="AJ34" i="32"/>
  <c r="N33" i="32"/>
  <c r="G33" i="32"/>
  <c r="Q33" i="32"/>
  <c r="O33" i="32" s="1"/>
  <c r="L31" i="3"/>
  <c r="AL34" i="32"/>
  <c r="AY34" i="32"/>
  <c r="AZ34" i="32"/>
  <c r="S33" i="32"/>
  <c r="T33" i="32"/>
  <c r="BC34" i="32"/>
  <c r="BB34" i="32"/>
  <c r="AB34" i="32"/>
  <c r="J34" i="32"/>
  <c r="K34" i="32" s="1"/>
  <c r="AA34" i="32"/>
  <c r="R34" i="32"/>
  <c r="M43" i="3"/>
  <c r="W33" i="32"/>
  <c r="V33" i="32"/>
  <c r="L45" i="3"/>
  <c r="L34" i="3"/>
  <c r="L11" i="3"/>
  <c r="F34" i="32"/>
  <c r="AR34" i="32"/>
  <c r="AQ34" i="32"/>
  <c r="M33" i="3"/>
  <c r="L41" i="3"/>
  <c r="L42" i="3" s="1"/>
  <c r="P33" i="32"/>
  <c r="D33" i="32"/>
  <c r="AE34" i="32"/>
  <c r="M34" i="32"/>
  <c r="N34" i="32" s="1"/>
  <c r="U34" i="32"/>
  <c r="AD34" i="32"/>
  <c r="L117" i="3"/>
  <c r="C34" i="32"/>
  <c r="J4" i="3"/>
  <c r="K101" i="3"/>
  <c r="K80" i="3"/>
  <c r="K77" i="3"/>
  <c r="K53" i="3"/>
  <c r="K30" i="3"/>
  <c r="K18" i="57"/>
  <c r="L72" i="57"/>
  <c r="K53" i="57"/>
  <c r="K71" i="57"/>
  <c r="K35" i="57"/>
  <c r="J77" i="57"/>
  <c r="J41" i="57"/>
  <c r="J24" i="57"/>
  <c r="J59" i="57"/>
  <c r="J62" i="57"/>
  <c r="K65" i="57"/>
  <c r="K66" i="57"/>
  <c r="K68" i="57" s="1"/>
  <c r="K11" i="57"/>
  <c r="K89" i="57"/>
  <c r="K84" i="57"/>
  <c r="K48" i="57"/>
  <c r="K28" i="57"/>
  <c r="K54" i="57" s="1"/>
  <c r="K25" i="57"/>
  <c r="K5" i="67" s="1"/>
  <c r="K7" i="67" s="1"/>
  <c r="L31" i="57"/>
  <c r="L36" i="57"/>
  <c r="K77" i="58"/>
  <c r="K41" i="58"/>
  <c r="K59" i="58"/>
  <c r="K24" i="58"/>
  <c r="AL33" i="31"/>
  <c r="AM33" i="31" s="1"/>
  <c r="BA31" i="31"/>
  <c r="AN33" i="31"/>
  <c r="BE33" i="31"/>
  <c r="AT32" i="31"/>
  <c r="AX32" i="31" s="1"/>
  <c r="AM32" i="31"/>
  <c r="AQ32" i="31"/>
  <c r="AV32" i="31"/>
  <c r="AP33" i="31"/>
  <c r="BG33" i="31"/>
  <c r="S33" i="31"/>
  <c r="N33" i="31"/>
  <c r="J33" i="31"/>
  <c r="B33" i="31"/>
  <c r="C33" i="31" s="1"/>
  <c r="AW32" i="31"/>
  <c r="BA32" i="31" s="1"/>
  <c r="AS32" i="31"/>
  <c r="BM34" i="31"/>
  <c r="BK34" i="31"/>
  <c r="BO34" i="31"/>
  <c r="A35" i="31"/>
  <c r="BQ34" i="31"/>
  <c r="AI33" i="31"/>
  <c r="AU32" i="31"/>
  <c r="AO32" i="31"/>
  <c r="L33" i="31"/>
  <c r="M33" i="31" s="1"/>
  <c r="D33" i="31"/>
  <c r="E33" i="31" s="1"/>
  <c r="P33" i="31"/>
  <c r="Q33" i="31" s="1"/>
  <c r="U33" i="31"/>
  <c r="AR33" i="31"/>
  <c r="BI33" i="31"/>
  <c r="I33" i="31"/>
  <c r="AG33" i="31"/>
  <c r="G33" i="31"/>
  <c r="AE33" i="31"/>
  <c r="BC33" i="31"/>
  <c r="AC32" i="26"/>
  <c r="W32" i="26"/>
  <c r="BL32" i="28"/>
  <c r="BJ32" i="28"/>
  <c r="S34" i="28"/>
  <c r="K34" i="28"/>
  <c r="CD34" i="28"/>
  <c r="BK32" i="28"/>
  <c r="J32" i="28"/>
  <c r="Z33" i="26"/>
  <c r="AQ33" i="26"/>
  <c r="AW33" i="26"/>
  <c r="C32" i="26"/>
  <c r="BT34" i="28"/>
  <c r="AS34" i="28"/>
  <c r="AT34" i="28" s="1"/>
  <c r="O33" i="26"/>
  <c r="Q34" i="28"/>
  <c r="AF31" i="26"/>
  <c r="AG31" i="26"/>
  <c r="AH31" i="26"/>
  <c r="CJ33" i="28"/>
  <c r="E34" i="28"/>
  <c r="AH34" i="28"/>
  <c r="H33" i="26"/>
  <c r="F33" i="26"/>
  <c r="G33" i="26" s="1"/>
  <c r="B33" i="26"/>
  <c r="C33" i="26" s="1"/>
  <c r="T33" i="26"/>
  <c r="AK33" i="26"/>
  <c r="AR32" i="28"/>
  <c r="E33" i="28"/>
  <c r="AO34" i="28"/>
  <c r="BN34" i="28"/>
  <c r="X33" i="28"/>
  <c r="CR33" i="28"/>
  <c r="E32" i="26"/>
  <c r="E33" i="26"/>
  <c r="BD32" i="28"/>
  <c r="AM33" i="28"/>
  <c r="CN33" i="28"/>
  <c r="CF33" i="28"/>
  <c r="AW34" i="28"/>
  <c r="BV34" i="28"/>
  <c r="AU33" i="26"/>
  <c r="BF33" i="28"/>
  <c r="CN34" i="28"/>
  <c r="CL34" i="28"/>
  <c r="BH33" i="28"/>
  <c r="BB33" i="28"/>
  <c r="V33" i="26"/>
  <c r="AM33" i="26"/>
  <c r="AB32" i="26"/>
  <c r="U32" i="26"/>
  <c r="AR33" i="28"/>
  <c r="BE33" i="28"/>
  <c r="AE32" i="26"/>
  <c r="BI32" i="28"/>
  <c r="BA34" i="28"/>
  <c r="BZ34" i="28"/>
  <c r="A36" i="28"/>
  <c r="CD35" i="28"/>
  <c r="BR35" i="28"/>
  <c r="CP35" i="28"/>
  <c r="BZ35" i="28"/>
  <c r="K34" i="26"/>
  <c r="A35" i="26"/>
  <c r="AD32" i="26"/>
  <c r="AH32" i="26" s="1"/>
  <c r="Y32" i="26"/>
  <c r="H34" i="28"/>
  <c r="H33" i="28"/>
  <c r="I33" i="28"/>
  <c r="BT33" i="28"/>
  <c r="I32" i="26"/>
  <c r="BG33" i="28"/>
  <c r="AX33" i="28"/>
  <c r="BX33" i="28"/>
  <c r="X33" i="26"/>
  <c r="AO33" i="26"/>
  <c r="AT33" i="28"/>
  <c r="CP34" i="28"/>
  <c r="G32" i="26"/>
  <c r="C61" i="55" l="1"/>
  <c r="V35" i="28"/>
  <c r="C103" i="55"/>
  <c r="E103" i="55"/>
  <c r="Q102" i="55"/>
  <c r="M102" i="55"/>
  <c r="I102" i="55"/>
  <c r="B11" i="55"/>
  <c r="O60" i="55"/>
  <c r="B60" i="55"/>
  <c r="B101" i="55" s="1"/>
  <c r="A101" i="55" s="1"/>
  <c r="G60" i="55"/>
  <c r="Q60" i="55"/>
  <c r="L60" i="55"/>
  <c r="I60" i="55"/>
  <c r="M60" i="55"/>
  <c r="K60" i="55"/>
  <c r="K102" i="55"/>
  <c r="O102" i="55"/>
  <c r="L102" i="55"/>
  <c r="G102" i="55"/>
  <c r="G35" i="32"/>
  <c r="AT35" i="32"/>
  <c r="AY35" i="32"/>
  <c r="L34" i="28"/>
  <c r="S35" i="26"/>
  <c r="AI35" i="31"/>
  <c r="AC35" i="31"/>
  <c r="AA35" i="31"/>
  <c r="Y35" i="31"/>
  <c r="AK35" i="31"/>
  <c r="W35" i="31"/>
  <c r="T34" i="32"/>
  <c r="CA33" i="54"/>
  <c r="AQ34" i="54"/>
  <c r="S34" i="54"/>
  <c r="CY34" i="54"/>
  <c r="CQ34" i="54"/>
  <c r="DC34" i="54"/>
  <c r="AU34" i="54"/>
  <c r="AI34" i="54"/>
  <c r="BG34" i="54"/>
  <c r="CE34" i="54"/>
  <c r="W34" i="54"/>
  <c r="CM33" i="54"/>
  <c r="CU33" i="54"/>
  <c r="AG33" i="54"/>
  <c r="K34" i="54"/>
  <c r="C34" i="54"/>
  <c r="AM34" i="54"/>
  <c r="CO34" i="54"/>
  <c r="BE34" i="54"/>
  <c r="AK34" i="54"/>
  <c r="BA34" i="54"/>
  <c r="E34" i="54"/>
  <c r="AC34" i="54"/>
  <c r="BU34" i="54"/>
  <c r="DA34" i="54"/>
  <c r="CU34" i="54"/>
  <c r="BK34" i="54"/>
  <c r="CS34" i="54"/>
  <c r="AS34" i="54"/>
  <c r="AY34" i="54"/>
  <c r="BI34" i="54"/>
  <c r="M34" i="54"/>
  <c r="U34" i="54"/>
  <c r="BQ34" i="54"/>
  <c r="Y34" i="54"/>
  <c r="I34" i="54"/>
  <c r="BY34" i="54"/>
  <c r="A35" i="54"/>
  <c r="CC34" i="54"/>
  <c r="CS33" i="54"/>
  <c r="G33" i="54"/>
  <c r="E33" i="54"/>
  <c r="M33" i="54"/>
  <c r="AS33" i="54"/>
  <c r="S34" i="32"/>
  <c r="L37" i="3"/>
  <c r="K111" i="3"/>
  <c r="J35" i="57"/>
  <c r="K90" i="3"/>
  <c r="K84" i="3"/>
  <c r="K66" i="3"/>
  <c r="K60" i="3"/>
  <c r="L91" i="3"/>
  <c r="L67" i="3"/>
  <c r="K45" i="3"/>
  <c r="K48" i="3"/>
  <c r="AU35" i="32"/>
  <c r="AR35" i="32"/>
  <c r="K117" i="3"/>
  <c r="AM34" i="32"/>
  <c r="AM35" i="32"/>
  <c r="J35" i="32"/>
  <c r="K35" i="32" s="1"/>
  <c r="AA35" i="32"/>
  <c r="AB35" i="32"/>
  <c r="R35" i="32"/>
  <c r="D34" i="32"/>
  <c r="P34" i="32"/>
  <c r="L34" i="32" s="1"/>
  <c r="L43" i="3"/>
  <c r="C35" i="32"/>
  <c r="K11" i="3"/>
  <c r="K41" i="3"/>
  <c r="K42" i="3" s="1"/>
  <c r="J101" i="3"/>
  <c r="J80" i="3"/>
  <c r="I4" i="3"/>
  <c r="J53" i="3"/>
  <c r="J77" i="3"/>
  <c r="J30" i="3"/>
  <c r="L33" i="32"/>
  <c r="L33" i="3"/>
  <c r="AE35" i="32"/>
  <c r="U35" i="32"/>
  <c r="M35" i="32"/>
  <c r="N35" i="32" s="1"/>
  <c r="A37" i="32"/>
  <c r="K44" i="3"/>
  <c r="K31" i="3"/>
  <c r="BB35" i="32"/>
  <c r="AL35" i="32"/>
  <c r="K83" i="3"/>
  <c r="K34" i="3"/>
  <c r="Q34" i="32"/>
  <c r="O34" i="32" s="1"/>
  <c r="G34" i="32"/>
  <c r="BC35" i="32"/>
  <c r="AQ35" i="32"/>
  <c r="K47" i="3"/>
  <c r="V34" i="32"/>
  <c r="W34" i="32"/>
  <c r="F35" i="32"/>
  <c r="AJ35" i="32"/>
  <c r="AI35" i="32"/>
  <c r="AD35" i="32"/>
  <c r="J18" i="57"/>
  <c r="J71" i="57"/>
  <c r="K72" i="57"/>
  <c r="J53" i="57"/>
  <c r="K5" i="62"/>
  <c r="K7" i="62" s="1"/>
  <c r="K5" i="66"/>
  <c r="K7" i="66" s="1"/>
  <c r="J65" i="57"/>
  <c r="J66" i="57"/>
  <c r="J68" i="57" s="1"/>
  <c r="J89" i="57"/>
  <c r="J84" i="57"/>
  <c r="J25" i="57"/>
  <c r="J5" i="62" s="1"/>
  <c r="J7" i="62" s="1"/>
  <c r="K36" i="57"/>
  <c r="K31" i="57"/>
  <c r="I41" i="57"/>
  <c r="I24" i="57"/>
  <c r="I77" i="57"/>
  <c r="I59" i="57"/>
  <c r="I62" i="57"/>
  <c r="J48" i="57"/>
  <c r="J28" i="57"/>
  <c r="J72" i="57" s="1"/>
  <c r="J11" i="57"/>
  <c r="J59" i="58"/>
  <c r="J24" i="58"/>
  <c r="J77" i="58"/>
  <c r="J41" i="58"/>
  <c r="I34" i="31"/>
  <c r="AG34" i="31"/>
  <c r="AZ32" i="31"/>
  <c r="AY32" i="31"/>
  <c r="A36" i="31"/>
  <c r="BQ35" i="31"/>
  <c r="BO35" i="31"/>
  <c r="BK35" i="31"/>
  <c r="P34" i="31"/>
  <c r="Q34" i="31" s="1"/>
  <c r="D34" i="31"/>
  <c r="E34" i="31" s="1"/>
  <c r="L34" i="31"/>
  <c r="AS33" i="31"/>
  <c r="AW33" i="31"/>
  <c r="BA33" i="31" s="1"/>
  <c r="AP34" i="31"/>
  <c r="AQ34" i="31" s="1"/>
  <c r="BG34" i="31"/>
  <c r="AK34" i="31"/>
  <c r="K33" i="31"/>
  <c r="U34" i="31"/>
  <c r="O33" i="31"/>
  <c r="AV33" i="31"/>
  <c r="AZ33" i="31" s="1"/>
  <c r="AQ33" i="31"/>
  <c r="AL34" i="31"/>
  <c r="BC34" i="31"/>
  <c r="AE34" i="31"/>
  <c r="BE34" i="31"/>
  <c r="AN34" i="31"/>
  <c r="BI34" i="31"/>
  <c r="AR34" i="31"/>
  <c r="N34" i="31"/>
  <c r="O34" i="31" s="1"/>
  <c r="J34" i="31"/>
  <c r="B34" i="31"/>
  <c r="C34" i="31" s="1"/>
  <c r="AO33" i="31"/>
  <c r="AU33" i="31"/>
  <c r="AY33" i="31" s="1"/>
  <c r="AT33" i="31"/>
  <c r="AX33" i="31" s="1"/>
  <c r="E34" i="26"/>
  <c r="AD33" i="26"/>
  <c r="AH33" i="26" s="1"/>
  <c r="Y33" i="26"/>
  <c r="S35" i="28"/>
  <c r="H35" i="28"/>
  <c r="K35" i="28"/>
  <c r="BP34" i="28"/>
  <c r="BL33" i="28"/>
  <c r="AG32" i="26"/>
  <c r="Q34" i="26"/>
  <c r="AS34" i="26"/>
  <c r="AW35" i="28"/>
  <c r="BV35" i="28"/>
  <c r="CH35" i="28"/>
  <c r="BI33" i="28"/>
  <c r="AZ34" i="28"/>
  <c r="BG34" i="28"/>
  <c r="BK34" i="28" s="1"/>
  <c r="AX34" i="28"/>
  <c r="AO34" i="26"/>
  <c r="F34" i="26"/>
  <c r="B34" i="26"/>
  <c r="C34" i="26" s="1"/>
  <c r="H34" i="26"/>
  <c r="I34" i="26" s="1"/>
  <c r="BA35" i="28"/>
  <c r="BD33" i="28"/>
  <c r="AC33" i="26"/>
  <c r="W33" i="26"/>
  <c r="BN35" i="28"/>
  <c r="AF32" i="26"/>
  <c r="CJ34" i="28"/>
  <c r="CF34" i="28"/>
  <c r="J33" i="28"/>
  <c r="U33" i="26"/>
  <c r="V34" i="26"/>
  <c r="W34" i="26" s="1"/>
  <c r="AM34" i="26"/>
  <c r="Q35" i="28"/>
  <c r="BX34" i="28"/>
  <c r="AZ33" i="28"/>
  <c r="AH35" i="28"/>
  <c r="BK33" i="28"/>
  <c r="T34" i="26"/>
  <c r="AS35" i="28"/>
  <c r="AI32" i="26"/>
  <c r="AM34" i="28"/>
  <c r="AK34" i="26"/>
  <c r="AF35" i="28"/>
  <c r="AC34" i="28"/>
  <c r="AU34" i="26"/>
  <c r="Z34" i="26"/>
  <c r="AQ34" i="26"/>
  <c r="AA35" i="28"/>
  <c r="CN35" i="28"/>
  <c r="CL35" i="28"/>
  <c r="BD34" i="28"/>
  <c r="BH34" i="28"/>
  <c r="BL34" i="28" s="1"/>
  <c r="BB34" i="28"/>
  <c r="M34" i="26"/>
  <c r="C35" i="28"/>
  <c r="S34" i="26"/>
  <c r="BF34" i="28"/>
  <c r="AK35" i="26"/>
  <c r="A36" i="26"/>
  <c r="AW35" i="26"/>
  <c r="AY35" i="26"/>
  <c r="X35" i="28"/>
  <c r="BJ33" i="28"/>
  <c r="X34" i="28"/>
  <c r="X34" i="26"/>
  <c r="AY34" i="26"/>
  <c r="AO35" i="28"/>
  <c r="BV36" i="28"/>
  <c r="A37" i="28"/>
  <c r="CB34" i="28"/>
  <c r="CR34" i="28"/>
  <c r="AV33" i="28"/>
  <c r="BE34" i="28"/>
  <c r="AP34" i="28"/>
  <c r="AB33" i="26"/>
  <c r="I34" i="28"/>
  <c r="O34" i="26"/>
  <c r="AW34" i="26"/>
  <c r="AE33" i="26"/>
  <c r="AI33" i="26" s="1"/>
  <c r="AA33" i="26"/>
  <c r="I33" i="26"/>
  <c r="AK35" i="28"/>
  <c r="AF36" i="28" l="1"/>
  <c r="C60" i="55"/>
  <c r="E102" i="55"/>
  <c r="K101" i="55"/>
  <c r="M101" i="55"/>
  <c r="O101" i="55"/>
  <c r="I101" i="55"/>
  <c r="I59" i="55"/>
  <c r="K59" i="55"/>
  <c r="O59" i="55"/>
  <c r="B10" i="55"/>
  <c r="B59" i="55"/>
  <c r="B100" i="55" s="1"/>
  <c r="A100" i="55" s="1"/>
  <c r="L59" i="55"/>
  <c r="Q59" i="55"/>
  <c r="G59" i="55"/>
  <c r="M59" i="55"/>
  <c r="L101" i="55"/>
  <c r="C102" i="55"/>
  <c r="Q101" i="55"/>
  <c r="G101" i="55"/>
  <c r="K37" i="3"/>
  <c r="AC36" i="31"/>
  <c r="AA36" i="31"/>
  <c r="Y36" i="31"/>
  <c r="W36" i="31"/>
  <c r="AK36" i="31"/>
  <c r="AI36" i="31"/>
  <c r="AZ37" i="32"/>
  <c r="Q37" i="32"/>
  <c r="P37" i="32"/>
  <c r="L35" i="28"/>
  <c r="BC35" i="54"/>
  <c r="AQ35" i="54"/>
  <c r="S35" i="54"/>
  <c r="CY35" i="54"/>
  <c r="CM35" i="54"/>
  <c r="DC35" i="54"/>
  <c r="CA35" i="54"/>
  <c r="BG35" i="54"/>
  <c r="AU35" i="54"/>
  <c r="AI35" i="54"/>
  <c r="CQ35" i="54"/>
  <c r="CE35" i="54"/>
  <c r="W35" i="54"/>
  <c r="CA34" i="54"/>
  <c r="AE34" i="54"/>
  <c r="CM34" i="54"/>
  <c r="BC34" i="54"/>
  <c r="AA34" i="54"/>
  <c r="CW34" i="54"/>
  <c r="K35" i="54"/>
  <c r="CC35" i="54"/>
  <c r="AO35" i="54"/>
  <c r="BW35" i="54"/>
  <c r="DE35" i="54"/>
  <c r="BE35" i="54"/>
  <c r="G35" i="54"/>
  <c r="BY35" i="54"/>
  <c r="A36" i="54"/>
  <c r="AK35" i="54"/>
  <c r="E35" i="54"/>
  <c r="AM35" i="54"/>
  <c r="BA35" i="54"/>
  <c r="CK35" i="54"/>
  <c r="CS35" i="54"/>
  <c r="M35" i="54"/>
  <c r="CI35" i="54"/>
  <c r="AG35" i="54"/>
  <c r="AY35" i="54"/>
  <c r="BK35" i="54"/>
  <c r="AC35" i="54"/>
  <c r="Y35" i="54"/>
  <c r="I35" i="54"/>
  <c r="AW35" i="54"/>
  <c r="BQ35" i="54"/>
  <c r="CO35" i="54"/>
  <c r="O35" i="54"/>
  <c r="O34" i="54"/>
  <c r="CG34" i="54"/>
  <c r="CK34" i="54"/>
  <c r="AG34" i="54"/>
  <c r="BM34" i="54"/>
  <c r="CI34" i="54"/>
  <c r="Q34" i="54"/>
  <c r="G34" i="54"/>
  <c r="BW34" i="54"/>
  <c r="AO34" i="54"/>
  <c r="AW34" i="54"/>
  <c r="DE34" i="54"/>
  <c r="J5" i="67"/>
  <c r="J7" i="67" s="1"/>
  <c r="J5" i="66"/>
  <c r="J7" i="66" s="1"/>
  <c r="I35" i="57"/>
  <c r="J111" i="3"/>
  <c r="K67" i="3"/>
  <c r="J66" i="3"/>
  <c r="J60" i="3"/>
  <c r="J90" i="3"/>
  <c r="J84" i="3"/>
  <c r="K91" i="3"/>
  <c r="J44" i="3"/>
  <c r="J48" i="3"/>
  <c r="AZ36" i="32"/>
  <c r="AY36" i="32"/>
  <c r="J34" i="3"/>
  <c r="I101" i="3"/>
  <c r="H4" i="3"/>
  <c r="I30" i="3"/>
  <c r="I80" i="3"/>
  <c r="I53" i="3"/>
  <c r="I77" i="3"/>
  <c r="J45" i="3"/>
  <c r="S35" i="32"/>
  <c r="K43" i="3"/>
  <c r="AU36" i="32"/>
  <c r="AT36" i="32"/>
  <c r="J31" i="3"/>
  <c r="BB36" i="32"/>
  <c r="J11" i="3"/>
  <c r="F36" i="32"/>
  <c r="AI36" i="32"/>
  <c r="AJ36" i="32"/>
  <c r="AD36" i="32"/>
  <c r="AE36" i="32"/>
  <c r="M36" i="32"/>
  <c r="N36" i="32" s="1"/>
  <c r="U36" i="32"/>
  <c r="C36" i="32"/>
  <c r="A38" i="32"/>
  <c r="J83" i="3"/>
  <c r="AB36" i="32"/>
  <c r="AA36" i="32"/>
  <c r="R36" i="32"/>
  <c r="J36" i="32"/>
  <c r="K36" i="32" s="1"/>
  <c r="AQ36" i="32"/>
  <c r="AR36" i="32"/>
  <c r="J47" i="3"/>
  <c r="D35" i="32"/>
  <c r="P35" i="32"/>
  <c r="L35" i="32" s="1"/>
  <c r="K33" i="3"/>
  <c r="AL36" i="32"/>
  <c r="V35" i="32"/>
  <c r="W35" i="32"/>
  <c r="J41" i="3"/>
  <c r="J42" i="3" s="1"/>
  <c r="J117" i="3"/>
  <c r="O35" i="32"/>
  <c r="I18" i="57"/>
  <c r="I71" i="57"/>
  <c r="J54" i="57"/>
  <c r="I53" i="57"/>
  <c r="I11" i="57"/>
  <c r="I84" i="57"/>
  <c r="I89" i="57"/>
  <c r="H41" i="57"/>
  <c r="H24" i="57"/>
  <c r="H77" i="57"/>
  <c r="H59" i="57"/>
  <c r="H62" i="57"/>
  <c r="I48" i="57"/>
  <c r="I28" i="57"/>
  <c r="I72" i="57" s="1"/>
  <c r="I25" i="57"/>
  <c r="I5" i="67" s="1"/>
  <c r="I7" i="67" s="1"/>
  <c r="J31" i="57"/>
  <c r="J36" i="57"/>
  <c r="I65" i="57"/>
  <c r="I66" i="57"/>
  <c r="I68" i="57" s="1"/>
  <c r="I59" i="58"/>
  <c r="I24" i="58"/>
  <c r="I77" i="58"/>
  <c r="I41" i="58"/>
  <c r="AP35" i="31"/>
  <c r="BG35" i="31"/>
  <c r="G35" i="31"/>
  <c r="AE35" i="31"/>
  <c r="U35" i="31"/>
  <c r="L35" i="31"/>
  <c r="M35" i="31" s="1"/>
  <c r="P35" i="31"/>
  <c r="Q35" i="31" s="1"/>
  <c r="D35" i="31"/>
  <c r="E35" i="31" s="1"/>
  <c r="AS34" i="31"/>
  <c r="AW34" i="31"/>
  <c r="BA34" i="31" s="1"/>
  <c r="K34" i="31"/>
  <c r="AU34" i="31"/>
  <c r="AO34" i="31"/>
  <c r="AV34" i="31"/>
  <c r="AZ34" i="31" s="1"/>
  <c r="BM35" i="31"/>
  <c r="G34" i="31"/>
  <c r="BI35" i="31"/>
  <c r="AR35" i="31"/>
  <c r="AT34" i="31"/>
  <c r="AX34" i="31" s="1"/>
  <c r="AM34" i="31"/>
  <c r="M34" i="31"/>
  <c r="I35" i="31"/>
  <c r="AG35" i="31"/>
  <c r="B35" i="31"/>
  <c r="C35" i="31" s="1"/>
  <c r="S35" i="31"/>
  <c r="N35" i="31"/>
  <c r="O35" i="31" s="1"/>
  <c r="J35" i="31"/>
  <c r="K35" i="31" s="1"/>
  <c r="BK36" i="31"/>
  <c r="BM36" i="31"/>
  <c r="A37" i="31"/>
  <c r="BO36" i="31"/>
  <c r="BC35" i="31"/>
  <c r="AL35" i="31"/>
  <c r="AN35" i="31"/>
  <c r="BE35" i="31"/>
  <c r="CF36" i="28"/>
  <c r="AO36" i="28"/>
  <c r="BP35" i="28"/>
  <c r="O35" i="26"/>
  <c r="X35" i="26"/>
  <c r="AO35" i="26"/>
  <c r="AS35" i="26"/>
  <c r="AA36" i="28"/>
  <c r="BF35" i="28"/>
  <c r="BJ35" i="28" s="1"/>
  <c r="AT35" i="28"/>
  <c r="CB35" i="28"/>
  <c r="CL36" i="28"/>
  <c r="AW36" i="28"/>
  <c r="AX36" i="28" s="1"/>
  <c r="Z35" i="26"/>
  <c r="AE34" i="26"/>
  <c r="AI34" i="26" s="1"/>
  <c r="AA34" i="26"/>
  <c r="AC34" i="26"/>
  <c r="K35" i="26"/>
  <c r="J34" i="28"/>
  <c r="I35" i="28"/>
  <c r="M35" i="26"/>
  <c r="BX35" i="28"/>
  <c r="E36" i="28"/>
  <c r="BA36" i="28"/>
  <c r="BB36" i="28" s="1"/>
  <c r="AV34" i="28"/>
  <c r="BT35" i="28"/>
  <c r="AF33" i="26"/>
  <c r="CP36" i="28"/>
  <c r="CJ35" i="28"/>
  <c r="E35" i="26"/>
  <c r="H36" i="28"/>
  <c r="K36" i="28"/>
  <c r="S36" i="28"/>
  <c r="X36" i="28"/>
  <c r="CD36" i="28"/>
  <c r="CF35" i="28"/>
  <c r="V35" i="26"/>
  <c r="AK36" i="28"/>
  <c r="BZ36" i="28"/>
  <c r="V36" i="28"/>
  <c r="BN36" i="28"/>
  <c r="AU35" i="26"/>
  <c r="AM35" i="26"/>
  <c r="CR35" i="28"/>
  <c r="G34" i="26"/>
  <c r="E35" i="28"/>
  <c r="AS36" i="28"/>
  <c r="AQ36" i="26"/>
  <c r="AM36" i="26"/>
  <c r="AU36" i="26"/>
  <c r="A37" i="26"/>
  <c r="AQ35" i="26"/>
  <c r="BR36" i="28"/>
  <c r="AB34" i="26"/>
  <c r="U34" i="26"/>
  <c r="AM35" i="28"/>
  <c r="N34" i="28"/>
  <c r="AG33" i="26"/>
  <c r="AC35" i="28"/>
  <c r="BI34" i="28"/>
  <c r="AM36" i="28"/>
  <c r="A38" i="28"/>
  <c r="CD37" i="28"/>
  <c r="CP37" i="28"/>
  <c r="H35" i="26"/>
  <c r="B35" i="26"/>
  <c r="F35" i="26"/>
  <c r="T35" i="26"/>
  <c r="Q36" i="28"/>
  <c r="BH35" i="28"/>
  <c r="Q35" i="26"/>
  <c r="AR34" i="28"/>
  <c r="CH36" i="28"/>
  <c r="BE35" i="28"/>
  <c r="BI35" i="28" s="1"/>
  <c r="AP35" i="28"/>
  <c r="AD34" i="26"/>
  <c r="Y34" i="26"/>
  <c r="BJ34" i="28"/>
  <c r="BG35" i="28"/>
  <c r="AX35" i="28"/>
  <c r="C36" i="28"/>
  <c r="BB35" i="28"/>
  <c r="C59" i="55" l="1"/>
  <c r="AF37" i="28"/>
  <c r="AK37" i="28"/>
  <c r="AA37" i="28"/>
  <c r="C101" i="55"/>
  <c r="K58" i="55"/>
  <c r="G58" i="55"/>
  <c r="M58" i="55"/>
  <c r="I58" i="55"/>
  <c r="B58" i="55"/>
  <c r="B99" i="55" s="1"/>
  <c r="A99" i="55" s="1"/>
  <c r="B9" i="55"/>
  <c r="O58" i="55"/>
  <c r="Q58" i="55"/>
  <c r="L58" i="55"/>
  <c r="O100" i="55"/>
  <c r="K100" i="55"/>
  <c r="M100" i="55"/>
  <c r="I100" i="55"/>
  <c r="G100" i="55"/>
  <c r="E101" i="55"/>
  <c r="Q100" i="55"/>
  <c r="L100" i="55"/>
  <c r="AD37" i="32"/>
  <c r="C37" i="28"/>
  <c r="AA37" i="32"/>
  <c r="AA37" i="31"/>
  <c r="W37" i="31"/>
  <c r="AK37" i="31"/>
  <c r="AC37" i="31"/>
  <c r="AJ38" i="32"/>
  <c r="M37" i="26"/>
  <c r="K37" i="26"/>
  <c r="O37" i="26"/>
  <c r="L36" i="28"/>
  <c r="I111" i="3"/>
  <c r="CA36" i="54"/>
  <c r="AQ36" i="54"/>
  <c r="CM36" i="54"/>
  <c r="S36" i="54"/>
  <c r="CQ36" i="54"/>
  <c r="CE36" i="54"/>
  <c r="AU36" i="54"/>
  <c r="DC36" i="54"/>
  <c r="AI36" i="54"/>
  <c r="BG36" i="54"/>
  <c r="W36" i="54"/>
  <c r="AE35" i="54"/>
  <c r="BI35" i="54"/>
  <c r="BU35" i="54"/>
  <c r="DA35" i="54"/>
  <c r="CW35" i="54"/>
  <c r="K36" i="54"/>
  <c r="Q36" i="54"/>
  <c r="AM36" i="54"/>
  <c r="CK36" i="54"/>
  <c r="BU36" i="54"/>
  <c r="CW36" i="54"/>
  <c r="AS36" i="54"/>
  <c r="AC36" i="54"/>
  <c r="Y36" i="54"/>
  <c r="BM36" i="54"/>
  <c r="DA36" i="54"/>
  <c r="C36" i="54"/>
  <c r="AG36" i="54"/>
  <c r="BA36" i="54"/>
  <c r="CO36" i="54"/>
  <c r="BI36" i="54"/>
  <c r="M36" i="54"/>
  <c r="A37" i="54"/>
  <c r="O36" i="54"/>
  <c r="AW36" i="54"/>
  <c r="E36" i="54"/>
  <c r="CG36" i="54"/>
  <c r="CI36" i="54"/>
  <c r="BQ36" i="54"/>
  <c r="U36" i="54"/>
  <c r="I36" i="54"/>
  <c r="AO36" i="54"/>
  <c r="CU36" i="54"/>
  <c r="G36" i="54"/>
  <c r="AK36" i="54"/>
  <c r="AS35" i="54"/>
  <c r="CU35" i="54"/>
  <c r="BM35" i="54"/>
  <c r="C35" i="54"/>
  <c r="Q35" i="54"/>
  <c r="AA35" i="54"/>
  <c r="U35" i="54"/>
  <c r="CG35" i="54"/>
  <c r="I5" i="62"/>
  <c r="I7" i="62" s="1"/>
  <c r="I5" i="66"/>
  <c r="I7" i="66" s="1"/>
  <c r="H35" i="57"/>
  <c r="H25" i="57"/>
  <c r="H5" i="66" s="1"/>
  <c r="H7" i="66" s="1"/>
  <c r="J37" i="3"/>
  <c r="I66" i="3"/>
  <c r="I60" i="3"/>
  <c r="J91" i="3"/>
  <c r="I84" i="3"/>
  <c r="I90" i="3"/>
  <c r="J67" i="3"/>
  <c r="F37" i="32"/>
  <c r="BB37" i="32"/>
  <c r="I45" i="3"/>
  <c r="AL37" i="32"/>
  <c r="P36" i="32"/>
  <c r="L37" i="32" s="1"/>
  <c r="D36" i="32"/>
  <c r="I31" i="3"/>
  <c r="I11" i="3"/>
  <c r="AE37" i="32"/>
  <c r="U37" i="32"/>
  <c r="M37" i="32"/>
  <c r="N37" i="32" s="1"/>
  <c r="BC36" i="32"/>
  <c r="BC37" i="32"/>
  <c r="AY37" i="32"/>
  <c r="H101" i="3"/>
  <c r="H77" i="3"/>
  <c r="H30" i="3"/>
  <c r="G4" i="3"/>
  <c r="H53" i="3"/>
  <c r="H80" i="3"/>
  <c r="AB37" i="32"/>
  <c r="J37" i="32"/>
  <c r="K37" i="32" s="1"/>
  <c r="R37" i="32"/>
  <c r="T35" i="32"/>
  <c r="J43" i="3"/>
  <c r="S36" i="32"/>
  <c r="T36" i="32"/>
  <c r="J33" i="3"/>
  <c r="I47" i="3"/>
  <c r="I34" i="3"/>
  <c r="G36" i="31"/>
  <c r="AM36" i="32"/>
  <c r="AM37" i="32"/>
  <c r="G37" i="32"/>
  <c r="G36" i="32"/>
  <c r="Q36" i="32"/>
  <c r="I117" i="3"/>
  <c r="I44" i="3"/>
  <c r="AT37" i="32"/>
  <c r="AU37" i="32"/>
  <c r="AR37" i="32"/>
  <c r="AQ37" i="32"/>
  <c r="I48" i="3"/>
  <c r="I41" i="3"/>
  <c r="I42" i="3" s="1"/>
  <c r="D37" i="32"/>
  <c r="AJ37" i="32"/>
  <c r="V36" i="32"/>
  <c r="W36" i="32"/>
  <c r="I83" i="3"/>
  <c r="AI37" i="32"/>
  <c r="A39" i="32"/>
  <c r="C37" i="32"/>
  <c r="H18" i="57"/>
  <c r="H71" i="57"/>
  <c r="I54" i="57"/>
  <c r="H53" i="57"/>
  <c r="H89" i="57"/>
  <c r="H84" i="57"/>
  <c r="I36" i="57"/>
  <c r="I31" i="57"/>
  <c r="H28" i="57"/>
  <c r="H72" i="57" s="1"/>
  <c r="H48" i="57"/>
  <c r="H11" i="57"/>
  <c r="G59" i="57"/>
  <c r="G24" i="57"/>
  <c r="G77" i="57"/>
  <c r="G41" i="57"/>
  <c r="G62" i="57"/>
  <c r="H66" i="57"/>
  <c r="H68" i="57" s="1"/>
  <c r="H65" i="57"/>
  <c r="H59" i="58"/>
  <c r="H24" i="58"/>
  <c r="H77" i="58"/>
  <c r="H41" i="58"/>
  <c r="AN36" i="31"/>
  <c r="AO36" i="31" s="1"/>
  <c r="AY34" i="31"/>
  <c r="AE36" i="31"/>
  <c r="U36" i="31"/>
  <c r="L36" i="31"/>
  <c r="M36" i="31" s="1"/>
  <c r="P36" i="31"/>
  <c r="Q36" i="31" s="1"/>
  <c r="D36" i="31"/>
  <c r="E36" i="31" s="1"/>
  <c r="BI36" i="31"/>
  <c r="AR36" i="31"/>
  <c r="AU35" i="31"/>
  <c r="AO35" i="31"/>
  <c r="AW35" i="31"/>
  <c r="BA35" i="31" s="1"/>
  <c r="AS35" i="31"/>
  <c r="AM35" i="31"/>
  <c r="AT35" i="31"/>
  <c r="AX35" i="31" s="1"/>
  <c r="AG36" i="31"/>
  <c r="I36" i="31"/>
  <c r="AL36" i="31"/>
  <c r="BC36" i="31"/>
  <c r="S36" i="31"/>
  <c r="N36" i="31"/>
  <c r="J36" i="31"/>
  <c r="B36" i="31"/>
  <c r="BQ36" i="31"/>
  <c r="AV35" i="31"/>
  <c r="AQ35" i="31"/>
  <c r="BG36" i="31"/>
  <c r="AP36" i="31"/>
  <c r="BE36" i="31"/>
  <c r="BQ37" i="31"/>
  <c r="A38" i="31"/>
  <c r="BM37" i="31"/>
  <c r="BK37" i="31"/>
  <c r="AS37" i="28"/>
  <c r="AT37" i="28" s="1"/>
  <c r="CR37" i="28"/>
  <c r="AW36" i="26"/>
  <c r="S36" i="26"/>
  <c r="AV36" i="28"/>
  <c r="BF36" i="28"/>
  <c r="AT36" i="28"/>
  <c r="AS36" i="26"/>
  <c r="CB36" i="28"/>
  <c r="AA35" i="26"/>
  <c r="CJ37" i="28"/>
  <c r="H37" i="28"/>
  <c r="K37" i="28"/>
  <c r="U35" i="26"/>
  <c r="X36" i="26"/>
  <c r="AO36" i="26"/>
  <c r="I36" i="28"/>
  <c r="BK35" i="28"/>
  <c r="BD35" i="28"/>
  <c r="BR37" i="28"/>
  <c r="AF34" i="26"/>
  <c r="F36" i="26"/>
  <c r="B36" i="26"/>
  <c r="C36" i="26" s="1"/>
  <c r="H36" i="26"/>
  <c r="I36" i="26" s="1"/>
  <c r="K36" i="26"/>
  <c r="BE36" i="28"/>
  <c r="BI36" i="28" s="1"/>
  <c r="AP36" i="28"/>
  <c r="AZ35" i="28"/>
  <c r="X37" i="28"/>
  <c r="BZ37" i="28"/>
  <c r="CJ36" i="28"/>
  <c r="BL35" i="28"/>
  <c r="AB35" i="26"/>
  <c r="AF35" i="26" s="1"/>
  <c r="AW37" i="28"/>
  <c r="AO37" i="28"/>
  <c r="BN37" i="28"/>
  <c r="M36" i="26"/>
  <c r="V36" i="26"/>
  <c r="W36" i="26" s="1"/>
  <c r="CR36" i="28"/>
  <c r="C35" i="26"/>
  <c r="AC35" i="26"/>
  <c r="W35" i="26"/>
  <c r="AE35" i="26"/>
  <c r="CN36" i="28"/>
  <c r="BP36" i="28"/>
  <c r="CH37" i="28"/>
  <c r="AH36" i="28"/>
  <c r="AR35" i="28"/>
  <c r="V37" i="28"/>
  <c r="I35" i="26"/>
  <c r="Q36" i="26"/>
  <c r="AG34" i="26"/>
  <c r="AV35" i="28"/>
  <c r="A39" i="28"/>
  <c r="CP38" i="28"/>
  <c r="CL38" i="28"/>
  <c r="BN38" i="28"/>
  <c r="A38" i="26"/>
  <c r="AO37" i="26"/>
  <c r="T36" i="26"/>
  <c r="AK36" i="26"/>
  <c r="CL37" i="28"/>
  <c r="N35" i="28"/>
  <c r="AC36" i="28"/>
  <c r="BT36" i="28"/>
  <c r="BX36" i="28"/>
  <c r="AD35" i="26"/>
  <c r="Y35" i="26"/>
  <c r="AH34" i="26"/>
  <c r="G35" i="26"/>
  <c r="AY36" i="26"/>
  <c r="BA37" i="28"/>
  <c r="BB37" i="28" s="1"/>
  <c r="Z36" i="26"/>
  <c r="BV37" i="28"/>
  <c r="Q37" i="28"/>
  <c r="BH36" i="28"/>
  <c r="BG36" i="28"/>
  <c r="J35" i="28"/>
  <c r="O36" i="26"/>
  <c r="C58" i="55" l="1"/>
  <c r="E100" i="55"/>
  <c r="C100" i="55"/>
  <c r="O99" i="55"/>
  <c r="B8" i="55"/>
  <c r="O57" i="55"/>
  <c r="M57" i="55"/>
  <c r="L57" i="55"/>
  <c r="K57" i="55"/>
  <c r="G57" i="55"/>
  <c r="Q57" i="55"/>
  <c r="I57" i="55"/>
  <c r="B57" i="55"/>
  <c r="B98" i="55" s="1"/>
  <c r="A98" i="55" s="1"/>
  <c r="I99" i="55"/>
  <c r="M99" i="55"/>
  <c r="G99" i="55"/>
  <c r="L99" i="55"/>
  <c r="Q99" i="55"/>
  <c r="K99" i="55"/>
  <c r="AK38" i="28"/>
  <c r="H5" i="67"/>
  <c r="H7" i="67" s="1"/>
  <c r="I37" i="3"/>
  <c r="L36" i="32"/>
  <c r="C38" i="28"/>
  <c r="H111" i="3"/>
  <c r="AA38" i="28"/>
  <c r="L37" i="28"/>
  <c r="P39" i="32"/>
  <c r="S38" i="26"/>
  <c r="E38" i="26"/>
  <c r="O38" i="26"/>
  <c r="M38" i="26"/>
  <c r="K38" i="26"/>
  <c r="W38" i="31"/>
  <c r="AK38" i="31"/>
  <c r="AC38" i="31"/>
  <c r="AA38" i="31"/>
  <c r="Y38" i="31"/>
  <c r="H47" i="3"/>
  <c r="AE36" i="54"/>
  <c r="CY36" i="54"/>
  <c r="BC36" i="54"/>
  <c r="CQ37" i="54"/>
  <c r="CE37" i="54"/>
  <c r="DC37" i="54"/>
  <c r="AU37" i="54"/>
  <c r="W37" i="54"/>
  <c r="BG37" i="54"/>
  <c r="AI37" i="54"/>
  <c r="H5" i="62"/>
  <c r="H7" i="62" s="1"/>
  <c r="DE36" i="54"/>
  <c r="AA36" i="54"/>
  <c r="BY36" i="54"/>
  <c r="BW36" i="54"/>
  <c r="K37" i="54"/>
  <c r="DE37" i="54"/>
  <c r="BE37" i="54"/>
  <c r="BM37" i="54"/>
  <c r="CG37" i="54"/>
  <c r="A38" i="54"/>
  <c r="AY37" i="54"/>
  <c r="Q37" i="54"/>
  <c r="AG37" i="54"/>
  <c r="CC37" i="54"/>
  <c r="AS37" i="54"/>
  <c r="E37" i="54"/>
  <c r="BQ37" i="54"/>
  <c r="BW37" i="54"/>
  <c r="O37" i="54"/>
  <c r="Y37" i="54"/>
  <c r="CW37" i="54"/>
  <c r="BK37" i="54"/>
  <c r="AO37" i="54"/>
  <c r="CO37" i="54"/>
  <c r="AA37" i="54"/>
  <c r="BA37" i="54"/>
  <c r="C37" i="54"/>
  <c r="I37" i="54"/>
  <c r="AC37" i="54"/>
  <c r="CS36" i="54"/>
  <c r="CC36" i="54"/>
  <c r="BE36" i="54"/>
  <c r="BK36" i="54"/>
  <c r="AY36" i="54"/>
  <c r="G35" i="57"/>
  <c r="AR38" i="32"/>
  <c r="I91" i="3"/>
  <c r="H66" i="3"/>
  <c r="H60" i="3"/>
  <c r="I67" i="3"/>
  <c r="H84" i="3"/>
  <c r="H90" i="3"/>
  <c r="H48" i="3"/>
  <c r="H41" i="3"/>
  <c r="H42" i="3" s="1"/>
  <c r="M38" i="32"/>
  <c r="N38" i="32" s="1"/>
  <c r="AD38" i="32"/>
  <c r="AE38" i="32"/>
  <c r="U38" i="32"/>
  <c r="AY38" i="32"/>
  <c r="S37" i="32"/>
  <c r="AM38" i="32"/>
  <c r="AL38" i="32"/>
  <c r="C38" i="32"/>
  <c r="O36" i="32"/>
  <c r="O37" i="32"/>
  <c r="H83" i="3"/>
  <c r="H44" i="3"/>
  <c r="I33" i="3"/>
  <c r="F38" i="32"/>
  <c r="AQ38" i="32"/>
  <c r="I43" i="3"/>
  <c r="AB38" i="32"/>
  <c r="R38" i="32"/>
  <c r="J38" i="32"/>
  <c r="K38" i="32" s="1"/>
  <c r="AI38" i="32"/>
  <c r="H45" i="3"/>
  <c r="BC38" i="32"/>
  <c r="BB38" i="32"/>
  <c r="T37" i="32"/>
  <c r="G80" i="3"/>
  <c r="G53" i="3"/>
  <c r="F4" i="3"/>
  <c r="G30" i="3"/>
  <c r="G77" i="3"/>
  <c r="G101" i="3"/>
  <c r="H31" i="3"/>
  <c r="H34" i="3"/>
  <c r="H67" i="3" s="1"/>
  <c r="V37" i="32"/>
  <c r="W37" i="32"/>
  <c r="A40" i="32"/>
  <c r="H117" i="3"/>
  <c r="AT38" i="32"/>
  <c r="AU38" i="32"/>
  <c r="H11" i="3"/>
  <c r="AA38" i="32"/>
  <c r="G18" i="57"/>
  <c r="G71" i="57"/>
  <c r="H54" i="57"/>
  <c r="G53" i="57"/>
  <c r="G28" i="57"/>
  <c r="G72" i="57" s="1"/>
  <c r="G48" i="57"/>
  <c r="G66" i="57"/>
  <c r="G68" i="57" s="1"/>
  <c r="G65" i="57"/>
  <c r="F77" i="57"/>
  <c r="F41" i="57"/>
  <c r="F62" i="57"/>
  <c r="F59" i="57"/>
  <c r="F24" i="57"/>
  <c r="H36" i="57"/>
  <c r="H31" i="57"/>
  <c r="G11" i="57"/>
  <c r="G25" i="57"/>
  <c r="G5" i="67" s="1"/>
  <c r="G7" i="67" s="1"/>
  <c r="G84" i="57"/>
  <c r="G89" i="57"/>
  <c r="G41" i="58"/>
  <c r="G59" i="58"/>
  <c r="G77" i="58"/>
  <c r="G24" i="58"/>
  <c r="AP37" i="31"/>
  <c r="AQ37" i="31" s="1"/>
  <c r="AZ35" i="31"/>
  <c r="AY35" i="31"/>
  <c r="AV36" i="31"/>
  <c r="AZ36" i="31" s="1"/>
  <c r="AQ36" i="31"/>
  <c r="AL37" i="31"/>
  <c r="BC37" i="31"/>
  <c r="Y37" i="31"/>
  <c r="AI37" i="31"/>
  <c r="AN37" i="31"/>
  <c r="BE37" i="31"/>
  <c r="AR37" i="31"/>
  <c r="BI37" i="31"/>
  <c r="AW36" i="31"/>
  <c r="BA36" i="31" s="1"/>
  <c r="AS36" i="31"/>
  <c r="BO38" i="31"/>
  <c r="BK38" i="31"/>
  <c r="A39" i="31"/>
  <c r="BM38" i="31"/>
  <c r="BQ38" i="31"/>
  <c r="C36" i="31"/>
  <c r="G37" i="31"/>
  <c r="AE37" i="31"/>
  <c r="K36" i="31"/>
  <c r="O36" i="31"/>
  <c r="N37" i="31"/>
  <c r="S37" i="31"/>
  <c r="J37" i="31"/>
  <c r="K37" i="31" s="1"/>
  <c r="B37" i="31"/>
  <c r="C37" i="31" s="1"/>
  <c r="AT36" i="31"/>
  <c r="BG37" i="31"/>
  <c r="AG37" i="31"/>
  <c r="U37" i="31"/>
  <c r="D37" i="31"/>
  <c r="E37" i="31" s="1"/>
  <c r="L37" i="31"/>
  <c r="M37" i="31" s="1"/>
  <c r="P37" i="31"/>
  <c r="Q37" i="31" s="1"/>
  <c r="AU36" i="31"/>
  <c r="AY36" i="31" s="1"/>
  <c r="BO37" i="31"/>
  <c r="AM36" i="31"/>
  <c r="BD37" i="28"/>
  <c r="BH37" i="28"/>
  <c r="BL37" i="28" s="1"/>
  <c r="B37" i="26"/>
  <c r="H37" i="26"/>
  <c r="I37" i="26" s="1"/>
  <c r="F37" i="26"/>
  <c r="G37" i="26" s="1"/>
  <c r="AF38" i="28"/>
  <c r="AC38" i="28"/>
  <c r="AZ37" i="28"/>
  <c r="BG37" i="28"/>
  <c r="BK37" i="28" s="1"/>
  <c r="AX37" i="28"/>
  <c r="CD38" i="28"/>
  <c r="I37" i="28"/>
  <c r="J37" i="28" s="1"/>
  <c r="BK36" i="28"/>
  <c r="J36" i="28"/>
  <c r="AD36" i="26"/>
  <c r="Y36" i="26"/>
  <c r="CB37" i="28"/>
  <c r="AS37" i="26"/>
  <c r="AM38" i="26"/>
  <c r="AK38" i="26"/>
  <c r="AU38" i="26"/>
  <c r="AO38" i="26"/>
  <c r="A39" i="26"/>
  <c r="AQ38" i="26"/>
  <c r="BL36" i="28"/>
  <c r="BF37" i="28"/>
  <c r="AB36" i="26"/>
  <c r="U36" i="26"/>
  <c r="AW38" i="28"/>
  <c r="K38" i="28"/>
  <c r="Q38" i="28"/>
  <c r="CF37" i="28"/>
  <c r="AR36" i="28"/>
  <c r="BT37" i="28"/>
  <c r="AH35" i="26"/>
  <c r="Q37" i="26"/>
  <c r="BP38" i="28"/>
  <c r="AO38" i="28"/>
  <c r="AP38" i="28" s="1"/>
  <c r="AS38" i="28"/>
  <c r="BR38" i="28"/>
  <c r="CN37" i="28"/>
  <c r="AZ36" i="28"/>
  <c r="BJ36" i="28"/>
  <c r="AE36" i="26"/>
  <c r="AY37" i="26"/>
  <c r="BE37" i="28"/>
  <c r="AP37" i="28"/>
  <c r="E37" i="26"/>
  <c r="E36" i="26"/>
  <c r="AW37" i="26"/>
  <c r="CH38" i="28"/>
  <c r="X37" i="26"/>
  <c r="Y37" i="26" s="1"/>
  <c r="S37" i="26"/>
  <c r="V38" i="28"/>
  <c r="AH37" i="28"/>
  <c r="AA36" i="26"/>
  <c r="AC36" i="26"/>
  <c r="AG36" i="26" s="1"/>
  <c r="N36" i="28"/>
  <c r="AM37" i="28"/>
  <c r="V37" i="26"/>
  <c r="AM37" i="26"/>
  <c r="T37" i="26"/>
  <c r="U37" i="26" s="1"/>
  <c r="AK37" i="26"/>
  <c r="AG35" i="26"/>
  <c r="BP37" i="28"/>
  <c r="BZ38" i="28"/>
  <c r="G36" i="26"/>
  <c r="BD36" i="28"/>
  <c r="E37" i="28"/>
  <c r="Z37" i="26"/>
  <c r="AQ37" i="26"/>
  <c r="CB38" i="28"/>
  <c r="BA38" i="28"/>
  <c r="A40" i="28"/>
  <c r="BZ39" i="28"/>
  <c r="BR39" i="28"/>
  <c r="AC37" i="28"/>
  <c r="AI35" i="26"/>
  <c r="BV38" i="28"/>
  <c r="BX37" i="28"/>
  <c r="S37" i="28"/>
  <c r="AU37" i="26"/>
  <c r="C57" i="55" l="1"/>
  <c r="Q39" i="28"/>
  <c r="C99" i="55"/>
  <c r="Q98" i="55"/>
  <c r="G98" i="55"/>
  <c r="K98" i="55"/>
  <c r="E99" i="55"/>
  <c r="L98" i="55"/>
  <c r="M98" i="55"/>
  <c r="O98" i="55"/>
  <c r="G56" i="55"/>
  <c r="B56" i="55"/>
  <c r="B97" i="55" s="1"/>
  <c r="A97" i="55" s="1"/>
  <c r="I56" i="55"/>
  <c r="B7" i="55"/>
  <c r="K56" i="55"/>
  <c r="O56" i="55"/>
  <c r="M56" i="55"/>
  <c r="L56" i="55"/>
  <c r="Q56" i="55"/>
  <c r="I98" i="55"/>
  <c r="AC39" i="31"/>
  <c r="AA39" i="31"/>
  <c r="Y39" i="31"/>
  <c r="AK39" i="31"/>
  <c r="W39" i="31"/>
  <c r="AZ40" i="32"/>
  <c r="Q40" i="32"/>
  <c r="P40" i="32"/>
  <c r="S39" i="26"/>
  <c r="O39" i="26"/>
  <c r="M39" i="26"/>
  <c r="S37" i="54"/>
  <c r="CY38" i="54"/>
  <c r="CM38" i="54"/>
  <c r="CA38" i="54"/>
  <c r="BC38" i="54"/>
  <c r="AQ38" i="54"/>
  <c r="AE38" i="54"/>
  <c r="S38" i="54"/>
  <c r="CQ38" i="54"/>
  <c r="CE38" i="54"/>
  <c r="DC38" i="54"/>
  <c r="W38" i="54"/>
  <c r="AI38" i="54"/>
  <c r="BG38" i="54"/>
  <c r="AU38" i="54"/>
  <c r="AQ37" i="54"/>
  <c r="AE37" i="54"/>
  <c r="BC37" i="54"/>
  <c r="CY37" i="54"/>
  <c r="CM37" i="54"/>
  <c r="CA37" i="54"/>
  <c r="BI37" i="54"/>
  <c r="BU37" i="54"/>
  <c r="CK37" i="54"/>
  <c r="CU37" i="54"/>
  <c r="AW37" i="54"/>
  <c r="M37" i="54"/>
  <c r="G37" i="54"/>
  <c r="DA37" i="54"/>
  <c r="BY37" i="54"/>
  <c r="AM37" i="54"/>
  <c r="CS37" i="54"/>
  <c r="AK37" i="54"/>
  <c r="K38" i="54"/>
  <c r="AK38" i="54"/>
  <c r="C38" i="54"/>
  <c r="BK38" i="54"/>
  <c r="BY38" i="54"/>
  <c r="CK38" i="54"/>
  <c r="CG38" i="54"/>
  <c r="U38" i="54"/>
  <c r="CS38" i="54"/>
  <c r="AA38" i="54"/>
  <c r="CU38" i="54"/>
  <c r="A39" i="54"/>
  <c r="BW38" i="54"/>
  <c r="CI37" i="54"/>
  <c r="U37" i="54"/>
  <c r="F35" i="57"/>
  <c r="AZ39" i="32"/>
  <c r="G111" i="3"/>
  <c r="H91" i="3"/>
  <c r="G60" i="3"/>
  <c r="G66" i="3"/>
  <c r="H37" i="3"/>
  <c r="G84" i="3"/>
  <c r="G90" i="3"/>
  <c r="G47" i="3"/>
  <c r="G44" i="3"/>
  <c r="D39" i="32"/>
  <c r="G45" i="3"/>
  <c r="F39" i="32"/>
  <c r="H33" i="3"/>
  <c r="G34" i="3"/>
  <c r="G67" i="3" s="1"/>
  <c r="D38" i="32"/>
  <c r="P38" i="32"/>
  <c r="A41" i="32"/>
  <c r="AL39" i="32"/>
  <c r="G83" i="3"/>
  <c r="S38" i="32"/>
  <c r="T38" i="32"/>
  <c r="G38" i="32"/>
  <c r="Q38" i="32"/>
  <c r="AZ38" i="32"/>
  <c r="AI39" i="32"/>
  <c r="AJ39" i="32"/>
  <c r="E4" i="3"/>
  <c r="F77" i="3"/>
  <c r="F53" i="3"/>
  <c r="F30" i="3"/>
  <c r="F101" i="3"/>
  <c r="G117" i="3"/>
  <c r="V38" i="32"/>
  <c r="W38" i="32"/>
  <c r="U39" i="32"/>
  <c r="AD39" i="32"/>
  <c r="M39" i="32"/>
  <c r="N39" i="32" s="1"/>
  <c r="AE39" i="32"/>
  <c r="G31" i="3"/>
  <c r="AY39" i="32"/>
  <c r="AU39" i="32"/>
  <c r="AR39" i="32"/>
  <c r="AQ39" i="32"/>
  <c r="C39" i="32"/>
  <c r="AG38" i="31"/>
  <c r="AA39" i="32"/>
  <c r="R39" i="32"/>
  <c r="J39" i="32"/>
  <c r="K39" i="32" s="1"/>
  <c r="AB39" i="32"/>
  <c r="G48" i="3"/>
  <c r="BB39" i="32"/>
  <c r="BC39" i="32"/>
  <c r="H43" i="3"/>
  <c r="G41" i="3"/>
  <c r="G42" i="3" s="1"/>
  <c r="G11" i="3"/>
  <c r="AT39" i="32"/>
  <c r="F18" i="57"/>
  <c r="F53" i="57"/>
  <c r="F71" i="57"/>
  <c r="F11" i="57"/>
  <c r="G54" i="57"/>
  <c r="F25" i="57"/>
  <c r="F5" i="62" s="1"/>
  <c r="F7" i="62" s="1"/>
  <c r="F28" i="57"/>
  <c r="F54" i="57" s="1"/>
  <c r="F48" i="57"/>
  <c r="F65" i="57"/>
  <c r="F66" i="57"/>
  <c r="F68" i="57" s="1"/>
  <c r="AQ81" i="57" a="1"/>
  <c r="AQ81" i="57" s="1"/>
  <c r="AQ78" i="57" a="1"/>
  <c r="AQ78" i="57" s="1"/>
  <c r="AQ45" i="57" a="1"/>
  <c r="AQ45" i="57" s="1"/>
  <c r="AQ88" i="57" a="1"/>
  <c r="AQ88" i="57" s="1"/>
  <c r="E59" i="57"/>
  <c r="E24" i="57"/>
  <c r="E77" i="57"/>
  <c r="E41" i="57"/>
  <c r="E94" i="57"/>
  <c r="AQ70" i="57" a="1"/>
  <c r="AQ70" i="57" s="1"/>
  <c r="AQ60" i="57" a="1"/>
  <c r="AQ60" i="57" s="1"/>
  <c r="AQ42" i="57" a="1"/>
  <c r="AQ42" i="57" s="1"/>
  <c r="AQ52" i="57" a="1"/>
  <c r="AQ52" i="57" s="1"/>
  <c r="AQ63" i="57" a="1"/>
  <c r="AQ63" i="57" s="1"/>
  <c r="G31" i="57"/>
  <c r="G36" i="57"/>
  <c r="AL38" i="31"/>
  <c r="AM38" i="31" s="1"/>
  <c r="F89" i="57"/>
  <c r="F84" i="57"/>
  <c r="G5" i="62"/>
  <c r="G7" i="62" s="1"/>
  <c r="G5" i="66"/>
  <c r="G7" i="66" s="1"/>
  <c r="F41" i="58"/>
  <c r="F94" i="58"/>
  <c r="F59" i="58"/>
  <c r="F24" i="58"/>
  <c r="F77" i="58"/>
  <c r="AX36" i="31"/>
  <c r="BO39" i="31"/>
  <c r="A40" i="31"/>
  <c r="BM39" i="31"/>
  <c r="BQ39" i="31"/>
  <c r="AW37" i="31"/>
  <c r="BA37" i="31" s="1"/>
  <c r="AS37" i="31"/>
  <c r="AR38" i="31"/>
  <c r="BI38" i="31"/>
  <c r="O37" i="31"/>
  <c r="AU37" i="31"/>
  <c r="AY37" i="31" s="1"/>
  <c r="AO37" i="31"/>
  <c r="AI38" i="31"/>
  <c r="AE38" i="31"/>
  <c r="BC38" i="31"/>
  <c r="BE38" i="31"/>
  <c r="AN38" i="31"/>
  <c r="I38" i="31"/>
  <c r="I37" i="31"/>
  <c r="AP38" i="31"/>
  <c r="BG38" i="31"/>
  <c r="AM37" i="31"/>
  <c r="AV37" i="31"/>
  <c r="AZ37" i="31" s="1"/>
  <c r="AT37" i="31"/>
  <c r="AX37" i="31" s="1"/>
  <c r="U38" i="31"/>
  <c r="D38" i="31"/>
  <c r="E38" i="31" s="1"/>
  <c r="L38" i="31"/>
  <c r="M38" i="31" s="1"/>
  <c r="P38" i="31"/>
  <c r="Q38" i="31" s="1"/>
  <c r="B38" i="31"/>
  <c r="N38" i="31"/>
  <c r="O38" i="31" s="1"/>
  <c r="J38" i="31"/>
  <c r="S38" i="31"/>
  <c r="CP39" i="28"/>
  <c r="AC39" i="28"/>
  <c r="AA39" i="28"/>
  <c r="CL39" i="28"/>
  <c r="S38" i="28"/>
  <c r="X38" i="28"/>
  <c r="BT38" i="28"/>
  <c r="AM38" i="28"/>
  <c r="AF39" i="28"/>
  <c r="BI37" i="28"/>
  <c r="BV39" i="28"/>
  <c r="Z38" i="26"/>
  <c r="BX38" i="28"/>
  <c r="C37" i="26"/>
  <c r="CN38" i="28"/>
  <c r="AR38" i="28"/>
  <c r="BE38" i="28"/>
  <c r="AS38" i="26"/>
  <c r="V39" i="28"/>
  <c r="AW39" i="28"/>
  <c r="AX39" i="28" s="1"/>
  <c r="AM39" i="28"/>
  <c r="CR38" i="28"/>
  <c r="AI36" i="26"/>
  <c r="AR37" i="28"/>
  <c r="N38" i="28"/>
  <c r="L38" i="28"/>
  <c r="I38" i="28"/>
  <c r="J38" i="28" s="1"/>
  <c r="AK39" i="26"/>
  <c r="AW39" i="26"/>
  <c r="A40" i="26"/>
  <c r="E38" i="28"/>
  <c r="AH38" i="28"/>
  <c r="AK39" i="28"/>
  <c r="S39" i="28"/>
  <c r="K39" i="28"/>
  <c r="CF39" i="28"/>
  <c r="CD39" i="28"/>
  <c r="AE37" i="26"/>
  <c r="AA37" i="26"/>
  <c r="AC37" i="26"/>
  <c r="W37" i="26"/>
  <c r="H38" i="28"/>
  <c r="X38" i="26"/>
  <c r="T38" i="26"/>
  <c r="CJ39" i="28"/>
  <c r="CF38" i="28"/>
  <c r="AD37" i="26"/>
  <c r="AH37" i="26" s="1"/>
  <c r="AV37" i="28"/>
  <c r="N37" i="28"/>
  <c r="CH39" i="28"/>
  <c r="AW38" i="26"/>
  <c r="AS39" i="28"/>
  <c r="AT39" i="28" s="1"/>
  <c r="A41" i="28"/>
  <c r="V40" i="28"/>
  <c r="BA39" i="28"/>
  <c r="AO39" i="28"/>
  <c r="BH38" i="28"/>
  <c r="BB38" i="28"/>
  <c r="X39" i="28"/>
  <c r="BF38" i="28"/>
  <c r="AT38" i="28"/>
  <c r="AF36" i="26"/>
  <c r="BJ37" i="28"/>
  <c r="V38" i="26"/>
  <c r="AY38" i="26"/>
  <c r="AB37" i="26"/>
  <c r="C39" i="28"/>
  <c r="BG38" i="28"/>
  <c r="AX38" i="28"/>
  <c r="CJ38" i="28"/>
  <c r="H38" i="26"/>
  <c r="F38" i="26"/>
  <c r="B38" i="26"/>
  <c r="Q38" i="26"/>
  <c r="AH36" i="26"/>
  <c r="BN39" i="28"/>
  <c r="AD40" i="32" l="1"/>
  <c r="C56" i="55"/>
  <c r="AQ8" i="57" a="1"/>
  <c r="AQ8" i="57" s="1"/>
  <c r="AQ14" i="57" a="1"/>
  <c r="AQ14" i="57" s="1"/>
  <c r="AQ5" i="57" a="1"/>
  <c r="AQ5" i="57" s="1"/>
  <c r="M97" i="55"/>
  <c r="O97" i="55"/>
  <c r="K97" i="55"/>
  <c r="G55" i="55"/>
  <c r="M55" i="55"/>
  <c r="B55" i="55"/>
  <c r="B96" i="55" s="1"/>
  <c r="A96" i="55" s="1"/>
  <c r="I55" i="55"/>
  <c r="O55" i="55"/>
  <c r="L55" i="55"/>
  <c r="Q55" i="55"/>
  <c r="K55" i="55"/>
  <c r="B6" i="55"/>
  <c r="I97" i="55"/>
  <c r="E98" i="55"/>
  <c r="C98" i="55"/>
  <c r="Q97" i="55"/>
  <c r="L97" i="55"/>
  <c r="G97" i="55"/>
  <c r="Q40" i="28"/>
  <c r="AI40" i="32"/>
  <c r="AL40" i="32"/>
  <c r="AC40" i="31"/>
  <c r="Y40" i="31"/>
  <c r="W40" i="31"/>
  <c r="AI40" i="31"/>
  <c r="O40" i="26"/>
  <c r="M40" i="26"/>
  <c r="S40" i="26"/>
  <c r="F40" i="32"/>
  <c r="S39" i="54"/>
  <c r="CQ39" i="54"/>
  <c r="CE39" i="54"/>
  <c r="DC39" i="54"/>
  <c r="W39" i="54"/>
  <c r="BG39" i="54"/>
  <c r="AI39" i="54"/>
  <c r="AU39" i="54"/>
  <c r="BA38" i="54"/>
  <c r="AY38" i="54"/>
  <c r="DE38" i="54"/>
  <c r="E38" i="54"/>
  <c r="M38" i="54"/>
  <c r="CO38" i="54"/>
  <c r="AO38" i="54"/>
  <c r="AS38" i="54"/>
  <c r="DA38" i="54"/>
  <c r="CW38" i="54"/>
  <c r="O38" i="54"/>
  <c r="Y38" i="54"/>
  <c r="Q38" i="54"/>
  <c r="BQ38" i="54"/>
  <c r="BU38" i="54"/>
  <c r="BM38" i="54"/>
  <c r="AC38" i="54"/>
  <c r="CC38" i="54"/>
  <c r="K39" i="54"/>
  <c r="Y39" i="54"/>
  <c r="AK39" i="54"/>
  <c r="DE39" i="54"/>
  <c r="BM39" i="54"/>
  <c r="AA39" i="54"/>
  <c r="AM39" i="54"/>
  <c r="BA39" i="54"/>
  <c r="BW39" i="54"/>
  <c r="A40" i="54"/>
  <c r="I39" i="54"/>
  <c r="O39" i="54"/>
  <c r="BI39" i="54"/>
  <c r="M39" i="54"/>
  <c r="CU39" i="54"/>
  <c r="BY39" i="54"/>
  <c r="CC39" i="54"/>
  <c r="G39" i="54"/>
  <c r="AG39" i="54"/>
  <c r="AY39" i="54"/>
  <c r="CI38" i="54"/>
  <c r="G38" i="54"/>
  <c r="BI38" i="54"/>
  <c r="I38" i="54"/>
  <c r="BE38" i="54"/>
  <c r="AG38" i="54"/>
  <c r="AM38" i="54"/>
  <c r="AW38" i="54"/>
  <c r="F5" i="67"/>
  <c r="F7" i="67" s="1"/>
  <c r="AY40" i="32"/>
  <c r="C40" i="32"/>
  <c r="F5" i="66"/>
  <c r="F7" i="66" s="1"/>
  <c r="AJ40" i="32"/>
  <c r="G91" i="3"/>
  <c r="F111" i="3"/>
  <c r="F84" i="3"/>
  <c r="F90" i="3"/>
  <c r="G37" i="3"/>
  <c r="F60" i="3"/>
  <c r="F66" i="3"/>
  <c r="F45" i="3"/>
  <c r="F117" i="3"/>
  <c r="G33" i="3"/>
  <c r="F48" i="3"/>
  <c r="F34" i="3"/>
  <c r="A42" i="32"/>
  <c r="L38" i="32"/>
  <c r="L39" i="32"/>
  <c r="L40" i="32"/>
  <c r="F31" i="3"/>
  <c r="AU40" i="32"/>
  <c r="AT40" i="32"/>
  <c r="D40" i="32"/>
  <c r="G43" i="3"/>
  <c r="AQ115" i="3" a="1"/>
  <c r="AQ115" i="3" s="1"/>
  <c r="AQ81" i="3" a="1"/>
  <c r="AQ81" i="3" s="1"/>
  <c r="AQ105" i="3" a="1"/>
  <c r="AQ105" i="3" s="1"/>
  <c r="AQ57" i="3" a="1"/>
  <c r="AQ57" i="3" s="1"/>
  <c r="E101" i="3"/>
  <c r="E53" i="3"/>
  <c r="E30" i="3"/>
  <c r="E77" i="3"/>
  <c r="AQ108" i="3" a="1"/>
  <c r="AQ108" i="3" s="1"/>
  <c r="AQ88" i="3" a="1"/>
  <c r="AQ88" i="3" s="1"/>
  <c r="E127" i="3"/>
  <c r="AQ64" i="3" a="1"/>
  <c r="AQ64" i="3" s="1"/>
  <c r="F44" i="3"/>
  <c r="AM39" i="32"/>
  <c r="AM40" i="32"/>
  <c r="F83" i="3"/>
  <c r="F11" i="3"/>
  <c r="O38" i="32"/>
  <c r="AE40" i="32"/>
  <c r="U40" i="32"/>
  <c r="M40" i="32"/>
  <c r="N40" i="32" s="1"/>
  <c r="S39" i="32"/>
  <c r="W39" i="32"/>
  <c r="V39" i="32"/>
  <c r="F47" i="3"/>
  <c r="J40" i="32"/>
  <c r="K40" i="32" s="1"/>
  <c r="AA40" i="32"/>
  <c r="R40" i="32"/>
  <c r="AB40" i="32"/>
  <c r="BC40" i="32"/>
  <c r="BB40" i="32"/>
  <c r="G39" i="32"/>
  <c r="Q39" i="32"/>
  <c r="O39" i="32" s="1"/>
  <c r="G40" i="32"/>
  <c r="F41" i="3"/>
  <c r="F42" i="3" s="1"/>
  <c r="F80" i="3"/>
  <c r="AR40" i="32"/>
  <c r="AQ40" i="32"/>
  <c r="E18" i="57"/>
  <c r="AQ84" i="57"/>
  <c r="E71" i="57"/>
  <c r="E53" i="57"/>
  <c r="F72" i="57"/>
  <c r="AP52" i="57"/>
  <c r="AP88" i="57"/>
  <c r="AP70" i="57"/>
  <c r="AO88" i="57"/>
  <c r="AP81" i="57"/>
  <c r="AS78" i="57"/>
  <c r="AO70" i="57"/>
  <c r="AP63" i="57"/>
  <c r="AS60" i="57"/>
  <c r="AO52" i="57"/>
  <c r="AP45" i="57"/>
  <c r="AS42" i="57"/>
  <c r="AO63" i="57"/>
  <c r="AR60" i="57"/>
  <c r="AO81" i="57"/>
  <c r="AR78" i="57"/>
  <c r="AO45" i="57"/>
  <c r="AR42" i="57"/>
  <c r="AO60" i="57"/>
  <c r="AS70" i="57"/>
  <c r="AS52" i="57"/>
  <c r="AS88" i="57"/>
  <c r="AR88" i="57"/>
  <c r="AS81" i="57"/>
  <c r="AP78" i="57"/>
  <c r="AR70" i="57"/>
  <c r="AS63" i="57"/>
  <c r="AP60" i="57"/>
  <c r="AR52" i="57"/>
  <c r="AS45" i="57"/>
  <c r="AP42" i="57"/>
  <c r="AR81" i="57"/>
  <c r="AO78" i="57"/>
  <c r="AR63" i="57"/>
  <c r="AR45" i="57"/>
  <c r="AO42" i="57"/>
  <c r="AP35" i="57"/>
  <c r="AR28" i="57"/>
  <c r="AO28" i="57"/>
  <c r="AO35" i="57"/>
  <c r="AP25" i="57"/>
  <c r="AR25" i="57"/>
  <c r="AS28" i="57"/>
  <c r="AO25" i="57"/>
  <c r="AP28" i="57"/>
  <c r="AS35" i="57"/>
  <c r="AS25" i="57"/>
  <c r="AR35" i="57"/>
  <c r="AS14" i="57"/>
  <c r="AR14" i="57"/>
  <c r="AR5" i="57"/>
  <c r="AS8" i="57"/>
  <c r="AR8" i="57"/>
  <c r="AS5" i="57"/>
  <c r="E58" i="66"/>
  <c r="E62" i="57"/>
  <c r="E58" i="67"/>
  <c r="E58" i="62"/>
  <c r="E68" i="66"/>
  <c r="E68" i="62"/>
  <c r="E68" i="67"/>
  <c r="E85" i="62"/>
  <c r="E85" i="67"/>
  <c r="E85" i="66"/>
  <c r="E28" i="57"/>
  <c r="AQ28" i="57" s="1" a="1"/>
  <c r="AQ28" i="57" s="1"/>
  <c r="E48" i="57"/>
  <c r="AP5" i="57"/>
  <c r="AO5" i="57"/>
  <c r="AO14" i="57"/>
  <c r="AO8" i="57"/>
  <c r="AP14" i="57"/>
  <c r="AP8" i="57"/>
  <c r="F31" i="57"/>
  <c r="F36" i="57"/>
  <c r="E11" i="57"/>
  <c r="E75" i="62"/>
  <c r="E75" i="67"/>
  <c r="E75" i="66"/>
  <c r="E65" i="57"/>
  <c r="E66" i="57"/>
  <c r="E68" i="57" s="1"/>
  <c r="E51" i="66"/>
  <c r="E51" i="67"/>
  <c r="E35" i="57"/>
  <c r="AQ35" i="57" s="1" a="1"/>
  <c r="AQ35" i="57" s="1"/>
  <c r="E51" i="62"/>
  <c r="E106" i="57"/>
  <c r="E101" i="57"/>
  <c r="E41" i="67"/>
  <c r="E25" i="57"/>
  <c r="AQ25" i="57" s="1" a="1"/>
  <c r="AQ25" i="57" s="1"/>
  <c r="E41" i="62"/>
  <c r="E41" i="66"/>
  <c r="E84" i="57"/>
  <c r="E89" i="57"/>
  <c r="G5" i="58"/>
  <c r="H5" i="58"/>
  <c r="M5" i="58"/>
  <c r="I5" i="58"/>
  <c r="N5" i="58"/>
  <c r="J5" i="58"/>
  <c r="K5" i="58"/>
  <c r="L5" i="58"/>
  <c r="I14" i="58"/>
  <c r="H14" i="58"/>
  <c r="G14" i="58"/>
  <c r="N14" i="58"/>
  <c r="J14" i="58"/>
  <c r="M14" i="58"/>
  <c r="L14" i="58"/>
  <c r="K14" i="58"/>
  <c r="I8" i="58"/>
  <c r="H8" i="58"/>
  <c r="G8" i="58"/>
  <c r="N8" i="58"/>
  <c r="M8" i="58"/>
  <c r="L8" i="58"/>
  <c r="K8" i="58"/>
  <c r="J8" i="58"/>
  <c r="M88" i="58"/>
  <c r="M81" i="58"/>
  <c r="I78" i="58"/>
  <c r="L88" i="58"/>
  <c r="L81" i="58"/>
  <c r="H78" i="58"/>
  <c r="K88" i="58"/>
  <c r="K81" i="58"/>
  <c r="G78" i="58"/>
  <c r="J88" i="58"/>
  <c r="J81" i="58"/>
  <c r="N78" i="58"/>
  <c r="F78" i="58"/>
  <c r="I88" i="58"/>
  <c r="I81" i="58"/>
  <c r="M78" i="58"/>
  <c r="H88" i="58"/>
  <c r="H81" i="58"/>
  <c r="L78" i="58"/>
  <c r="N88" i="58"/>
  <c r="F88" i="58"/>
  <c r="F81" i="58"/>
  <c r="G88" i="58"/>
  <c r="G81" i="58"/>
  <c r="K78" i="58"/>
  <c r="N81" i="58"/>
  <c r="J78" i="58"/>
  <c r="AK70" i="58"/>
  <c r="AC70" i="58"/>
  <c r="U70" i="58"/>
  <c r="M70" i="58"/>
  <c r="AK63" i="58"/>
  <c r="AC63" i="58"/>
  <c r="U63" i="58"/>
  <c r="M63" i="58"/>
  <c r="AO60" i="58"/>
  <c r="AO62" i="58" s="1"/>
  <c r="AG60" i="58"/>
  <c r="Y60" i="58"/>
  <c r="Q60" i="58"/>
  <c r="Q62" i="58" s="1"/>
  <c r="I60" i="58"/>
  <c r="I62" i="58" s="1"/>
  <c r="V70" i="58"/>
  <c r="Z60" i="58"/>
  <c r="AJ70" i="58"/>
  <c r="AB70" i="58"/>
  <c r="T70" i="58"/>
  <c r="L70" i="58"/>
  <c r="AJ63" i="58"/>
  <c r="AB63" i="58"/>
  <c r="T63" i="58"/>
  <c r="L63" i="58"/>
  <c r="AN60" i="58"/>
  <c r="AN62" i="58" s="1"/>
  <c r="AF60" i="58"/>
  <c r="X60" i="58"/>
  <c r="P60" i="58"/>
  <c r="P62" i="58" s="1"/>
  <c r="H60" i="58"/>
  <c r="H62" i="58" s="1"/>
  <c r="AD70" i="58"/>
  <c r="R60" i="58"/>
  <c r="AI70" i="58"/>
  <c r="AA70" i="58"/>
  <c r="S70" i="58"/>
  <c r="K70" i="58"/>
  <c r="AI63" i="58"/>
  <c r="AA63" i="58"/>
  <c r="S63" i="58"/>
  <c r="K63" i="58"/>
  <c r="AM60" i="58"/>
  <c r="AM62" i="58" s="1"/>
  <c r="AE60" i="58"/>
  <c r="W60" i="58"/>
  <c r="O60" i="58"/>
  <c r="O62" i="58" s="1"/>
  <c r="G60" i="58"/>
  <c r="G62" i="58" s="1"/>
  <c r="N70" i="58"/>
  <c r="AH60" i="58"/>
  <c r="J60" i="58"/>
  <c r="J62" i="58" s="1"/>
  <c r="AH70" i="58"/>
  <c r="Z70" i="58"/>
  <c r="R70" i="58"/>
  <c r="J70" i="58"/>
  <c r="AH63" i="58"/>
  <c r="Z63" i="58"/>
  <c r="R63" i="58"/>
  <c r="J63" i="58"/>
  <c r="AL60" i="58"/>
  <c r="AL62" i="58" s="1"/>
  <c r="AD60" i="58"/>
  <c r="V60" i="58"/>
  <c r="N60" i="58"/>
  <c r="N62" i="58" s="1"/>
  <c r="F60" i="58"/>
  <c r="AL70" i="58"/>
  <c r="AD63" i="58"/>
  <c r="N63" i="58"/>
  <c r="AO70" i="58"/>
  <c r="AG70" i="58"/>
  <c r="Y70" i="58"/>
  <c r="Q70" i="58"/>
  <c r="I70" i="58"/>
  <c r="AO63" i="58"/>
  <c r="AG63" i="58"/>
  <c r="Y63" i="58"/>
  <c r="Q63" i="58"/>
  <c r="I63" i="58"/>
  <c r="AK60" i="58"/>
  <c r="AC60" i="58"/>
  <c r="U60" i="58"/>
  <c r="M60" i="58"/>
  <c r="M62" i="58" s="1"/>
  <c r="F70" i="58"/>
  <c r="AN70" i="58"/>
  <c r="AF70" i="58"/>
  <c r="X70" i="58"/>
  <c r="P70" i="58"/>
  <c r="H70" i="58"/>
  <c r="AN63" i="58"/>
  <c r="AF63" i="58"/>
  <c r="X63" i="58"/>
  <c r="P63" i="58"/>
  <c r="H63" i="58"/>
  <c r="AJ60" i="58"/>
  <c r="AB60" i="58"/>
  <c r="T60" i="58"/>
  <c r="L60" i="58"/>
  <c r="L62" i="58" s="1"/>
  <c r="AM70" i="58"/>
  <c r="AE70" i="58"/>
  <c r="W70" i="58"/>
  <c r="O70" i="58"/>
  <c r="G70" i="58"/>
  <c r="AM63" i="58"/>
  <c r="AE63" i="58"/>
  <c r="W63" i="58"/>
  <c r="O63" i="58"/>
  <c r="G63" i="58"/>
  <c r="AI60" i="58"/>
  <c r="AA60" i="58"/>
  <c r="S60" i="58"/>
  <c r="K60" i="58"/>
  <c r="K62" i="58" s="1"/>
  <c r="AL63" i="58"/>
  <c r="V63" i="58"/>
  <c r="F63" i="58"/>
  <c r="F42" i="58"/>
  <c r="G45" i="58"/>
  <c r="I42" i="58"/>
  <c r="J42" i="58"/>
  <c r="K42" i="58"/>
  <c r="N42" i="58"/>
  <c r="L42" i="58"/>
  <c r="M42" i="58"/>
  <c r="N45" i="58"/>
  <c r="I45" i="58"/>
  <c r="J45" i="58"/>
  <c r="M45" i="58"/>
  <c r="H42" i="58"/>
  <c r="H45" i="58"/>
  <c r="K45" i="58"/>
  <c r="L45" i="58"/>
  <c r="L52" i="58"/>
  <c r="H52" i="58"/>
  <c r="J52" i="58"/>
  <c r="K52" i="58"/>
  <c r="F52" i="58"/>
  <c r="M52" i="58"/>
  <c r="G52" i="58"/>
  <c r="I52" i="58"/>
  <c r="F45" i="58"/>
  <c r="N52" i="58"/>
  <c r="G42" i="58"/>
  <c r="F101" i="58"/>
  <c r="AP39" i="31"/>
  <c r="AQ39" i="31" s="1"/>
  <c r="AG39" i="31"/>
  <c r="I39" i="31"/>
  <c r="G38" i="31"/>
  <c r="BI39" i="31"/>
  <c r="AR39" i="31"/>
  <c r="U39" i="31"/>
  <c r="L39" i="31"/>
  <c r="M39" i="31" s="1"/>
  <c r="D39" i="31"/>
  <c r="E39" i="31" s="1"/>
  <c r="P39" i="31"/>
  <c r="N39" i="31"/>
  <c r="O39" i="31" s="1"/>
  <c r="B39" i="31"/>
  <c r="C39" i="31" s="1"/>
  <c r="J39" i="31"/>
  <c r="K39" i="31" s="1"/>
  <c r="S39" i="31"/>
  <c r="AW38" i="31"/>
  <c r="BA38" i="31" s="1"/>
  <c r="BK39" i="31"/>
  <c r="BG39" i="31"/>
  <c r="AS38" i="31"/>
  <c r="C38" i="31"/>
  <c r="AV38" i="31"/>
  <c r="AQ38" i="31"/>
  <c r="BC39" i="31"/>
  <c r="AL39" i="31"/>
  <c r="BO40" i="31"/>
  <c r="BM40" i="31"/>
  <c r="BK40" i="31"/>
  <c r="BQ40" i="31"/>
  <c r="A41" i="31"/>
  <c r="G39" i="31"/>
  <c r="AE39" i="31"/>
  <c r="AO38" i="31"/>
  <c r="AU38" i="31"/>
  <c r="AY38" i="31" s="1"/>
  <c r="AT38" i="31"/>
  <c r="AX38" i="31" s="1"/>
  <c r="AN39" i="31"/>
  <c r="BE39" i="31"/>
  <c r="K38" i="31"/>
  <c r="AI39" i="31"/>
  <c r="E39" i="26"/>
  <c r="BK38" i="28"/>
  <c r="BJ38" i="28"/>
  <c r="AP39" i="28"/>
  <c r="CB39" i="28"/>
  <c r="AW40" i="28"/>
  <c r="BZ41" i="28"/>
  <c r="BN41" i="28"/>
  <c r="A42" i="28"/>
  <c r="CH41" i="28"/>
  <c r="AB38" i="26"/>
  <c r="AF38" i="26" s="1"/>
  <c r="X39" i="26"/>
  <c r="AO39" i="26"/>
  <c r="T39" i="26"/>
  <c r="U39" i="26" s="1"/>
  <c r="I39" i="28"/>
  <c r="J39" i="28" s="1"/>
  <c r="E39" i="28"/>
  <c r="AV38" i="28"/>
  <c r="BL38" i="28"/>
  <c r="BP40" i="28"/>
  <c r="AO40" i="28"/>
  <c r="AP40" i="28" s="1"/>
  <c r="BN40" i="28"/>
  <c r="BF39" i="28"/>
  <c r="AV39" i="28"/>
  <c r="BV40" i="28"/>
  <c r="AQ39" i="26"/>
  <c r="U38" i="26"/>
  <c r="CP40" i="28"/>
  <c r="AC38" i="26"/>
  <c r="W38" i="26"/>
  <c r="BA40" i="28"/>
  <c r="BT39" i="28"/>
  <c r="AG37" i="26"/>
  <c r="AU40" i="26"/>
  <c r="AW40" i="26"/>
  <c r="A41" i="26"/>
  <c r="Q39" i="26"/>
  <c r="CN39" i="28"/>
  <c r="BE39" i="28"/>
  <c r="AM40" i="28"/>
  <c r="CH40" i="28"/>
  <c r="AD38" i="26"/>
  <c r="Y38" i="26"/>
  <c r="BG39" i="28"/>
  <c r="BK39" i="28" s="1"/>
  <c r="AZ39" i="28"/>
  <c r="AE38" i="26"/>
  <c r="AI38" i="26" s="1"/>
  <c r="AA38" i="26"/>
  <c r="AF40" i="28"/>
  <c r="C40" i="28"/>
  <c r="X40" i="28"/>
  <c r="CD40" i="28"/>
  <c r="BP39" i="28"/>
  <c r="AI37" i="26"/>
  <c r="V39" i="26"/>
  <c r="AM39" i="26"/>
  <c r="BX39" i="28"/>
  <c r="I38" i="26"/>
  <c r="AF37" i="26"/>
  <c r="AH40" i="28"/>
  <c r="BT40" i="28"/>
  <c r="AS40" i="28"/>
  <c r="BR40" i="28"/>
  <c r="Z39" i="26"/>
  <c r="BZ40" i="28"/>
  <c r="AH39" i="28"/>
  <c r="CR39" i="28"/>
  <c r="AS39" i="26"/>
  <c r="BH39" i="28"/>
  <c r="BB39" i="28"/>
  <c r="K40" i="28"/>
  <c r="AU39" i="26"/>
  <c r="H39" i="26"/>
  <c r="I39" i="26" s="1"/>
  <c r="F39" i="26"/>
  <c r="B39" i="26"/>
  <c r="K39" i="26"/>
  <c r="L39" i="28"/>
  <c r="AK40" i="28"/>
  <c r="BI38" i="28"/>
  <c r="C38" i="26"/>
  <c r="AZ38" i="28"/>
  <c r="G38" i="26"/>
  <c r="BD38" i="28"/>
  <c r="CL40" i="28"/>
  <c r="AY39" i="26"/>
  <c r="H39" i="28"/>
  <c r="AA40" i="28"/>
  <c r="C55" i="55" l="1"/>
  <c r="AF41" i="28"/>
  <c r="AQ14" i="3" a="1"/>
  <c r="AQ14" i="3" s="1"/>
  <c r="AQ5" i="3" a="1"/>
  <c r="AQ5" i="3" s="1"/>
  <c r="AQ8" i="3" a="1"/>
  <c r="AQ8" i="3" s="1"/>
  <c r="E97" i="55"/>
  <c r="C97" i="55"/>
  <c r="M96" i="55"/>
  <c r="AQ54" i="3" a="1"/>
  <c r="AQ54" i="3" s="1"/>
  <c r="B54" i="55"/>
  <c r="AG62" i="62"/>
  <c r="AG45" i="66"/>
  <c r="I54" i="55"/>
  <c r="AG28" i="67"/>
  <c r="AG28" i="66"/>
  <c r="K54" i="55"/>
  <c r="AG45" i="62"/>
  <c r="AN43" i="58"/>
  <c r="Q54" i="55"/>
  <c r="AG62" i="66"/>
  <c r="G54" i="55"/>
  <c r="AG45" i="67"/>
  <c r="AG79" i="62"/>
  <c r="AG28" i="62"/>
  <c r="AG79" i="67"/>
  <c r="M54" i="55"/>
  <c r="AG62" i="67"/>
  <c r="L54" i="55"/>
  <c r="AG79" i="66"/>
  <c r="O54" i="55"/>
  <c r="AN79" i="66"/>
  <c r="AG42" i="66"/>
  <c r="AH42" i="62"/>
  <c r="E9" i="62"/>
  <c r="AN28" i="62"/>
  <c r="AD6" i="67"/>
  <c r="AN25" i="66"/>
  <c r="AG76" i="66"/>
  <c r="AC28" i="66"/>
  <c r="AM15" i="66"/>
  <c r="Z15" i="62"/>
  <c r="AA15" i="67"/>
  <c r="Z96" i="67"/>
  <c r="AO64" i="58"/>
  <c r="AO65" i="58" s="1"/>
  <c r="AN9" i="58"/>
  <c r="AD59" i="62"/>
  <c r="AM6" i="66"/>
  <c r="AK9" i="66"/>
  <c r="V76" i="62"/>
  <c r="AE15" i="67"/>
  <c r="S15" i="66"/>
  <c r="AB79" i="66"/>
  <c r="AJ79" i="67"/>
  <c r="AB6" i="67"/>
  <c r="AH79" i="66"/>
  <c r="AA59" i="67"/>
  <c r="S45" i="62"/>
  <c r="T9" i="67"/>
  <c r="AE59" i="62"/>
  <c r="AJ9" i="67"/>
  <c r="R42" i="62"/>
  <c r="V62" i="67"/>
  <c r="X59" i="62"/>
  <c r="W9" i="67"/>
  <c r="AI25" i="67"/>
  <c r="AL79" i="62"/>
  <c r="W96" i="62"/>
  <c r="X42" i="67"/>
  <c r="S79" i="66"/>
  <c r="W45" i="66"/>
  <c r="AH42" i="66"/>
  <c r="V15" i="66"/>
  <c r="AM25" i="67"/>
  <c r="V96" i="62"/>
  <c r="AB93" i="62"/>
  <c r="AB94" i="62" s="1"/>
  <c r="T96" i="67"/>
  <c r="AJ62" i="66"/>
  <c r="AJ42" i="62"/>
  <c r="AI62" i="62"/>
  <c r="AC45" i="66"/>
  <c r="Z62" i="67"/>
  <c r="AH28" i="66"/>
  <c r="AH28" i="62"/>
  <c r="E28" i="62"/>
  <c r="V9" i="66"/>
  <c r="AK79" i="62"/>
  <c r="AE62" i="66"/>
  <c r="AN9" i="62"/>
  <c r="AH42" i="67"/>
  <c r="AG76" i="62"/>
  <c r="AC42" i="67"/>
  <c r="AK6" i="66"/>
  <c r="R62" i="67"/>
  <c r="AM15" i="62"/>
  <c r="AI25" i="62"/>
  <c r="AD45" i="67"/>
  <c r="AN79" i="58"/>
  <c r="AE15" i="62"/>
  <c r="AM6" i="67"/>
  <c r="AD79" i="67"/>
  <c r="AE79" i="62"/>
  <c r="AE45" i="67"/>
  <c r="AN76" i="66"/>
  <c r="AF15" i="67"/>
  <c r="AN6" i="67"/>
  <c r="AA15" i="62"/>
  <c r="AN62" i="62"/>
  <c r="Z9" i="62"/>
  <c r="AN62" i="67"/>
  <c r="AH15" i="66"/>
  <c r="AG25" i="62"/>
  <c r="AN45" i="62"/>
  <c r="W79" i="66"/>
  <c r="AA15" i="66"/>
  <c r="AN45" i="67"/>
  <c r="AH15" i="67"/>
  <c r="AD62" i="66"/>
  <c r="R15" i="66"/>
  <c r="AM62" i="66"/>
  <c r="AF9" i="62"/>
  <c r="AA59" i="66"/>
  <c r="AJ59" i="62"/>
  <c r="AN82" i="58"/>
  <c r="Y93" i="62"/>
  <c r="Y94" i="62" s="1"/>
  <c r="AK28" i="62"/>
  <c r="AG42" i="67"/>
  <c r="T28" i="62"/>
  <c r="AN62" i="66"/>
  <c r="W6" i="66"/>
  <c r="AM76" i="67"/>
  <c r="AM25" i="62"/>
  <c r="AO61" i="58"/>
  <c r="AG76" i="67"/>
  <c r="AN45" i="66"/>
  <c r="Z6" i="66"/>
  <c r="AC6" i="62"/>
  <c r="Y76" i="66"/>
  <c r="AN15" i="62"/>
  <c r="AG59" i="66"/>
  <c r="AN28" i="66"/>
  <c r="AN15" i="58"/>
  <c r="R28" i="67"/>
  <c r="X45" i="62"/>
  <c r="T62" i="62"/>
  <c r="AL45" i="66"/>
  <c r="T45" i="67"/>
  <c r="AA93" i="67"/>
  <c r="AA94" i="67" s="1"/>
  <c r="AD79" i="62"/>
  <c r="AH9" i="66"/>
  <c r="AO79" i="58"/>
  <c r="AG59" i="62"/>
  <c r="AH45" i="66"/>
  <c r="E15" i="62"/>
  <c r="E16" i="62" s="1"/>
  <c r="AN28" i="67"/>
  <c r="AI15" i="62"/>
  <c r="AN79" i="67"/>
  <c r="Y45" i="66"/>
  <c r="AM64" i="58"/>
  <c r="AG6" i="62"/>
  <c r="Z59" i="62"/>
  <c r="Y15" i="67"/>
  <c r="AD62" i="67"/>
  <c r="AM15" i="67"/>
  <c r="AO43" i="58"/>
  <c r="AG59" i="67"/>
  <c r="AJ6" i="62"/>
  <c r="AB6" i="62"/>
  <c r="AN76" i="62"/>
  <c r="AO26" i="58"/>
  <c r="AN6" i="62"/>
  <c r="AG25" i="66"/>
  <c r="Z93" i="66"/>
  <c r="AC6" i="66"/>
  <c r="AO9" i="58"/>
  <c r="AI9" i="66"/>
  <c r="AD76" i="66"/>
  <c r="AN61" i="58"/>
  <c r="AA62" i="62"/>
  <c r="AL45" i="67"/>
  <c r="AF15" i="66"/>
  <c r="AB62" i="66"/>
  <c r="U76" i="67"/>
  <c r="X79" i="66"/>
  <c r="AO15" i="58"/>
  <c r="U15" i="62"/>
  <c r="S45" i="66"/>
  <c r="AD25" i="62"/>
  <c r="AJ15" i="62"/>
  <c r="X9" i="62"/>
  <c r="AD59" i="66"/>
  <c r="AI15" i="67"/>
  <c r="S28" i="62"/>
  <c r="R25" i="67"/>
  <c r="U25" i="67"/>
  <c r="V45" i="66"/>
  <c r="AE76" i="67"/>
  <c r="W59" i="62"/>
  <c r="E9" i="67"/>
  <c r="AJ45" i="62"/>
  <c r="X25" i="62"/>
  <c r="AD76" i="67"/>
  <c r="U76" i="66"/>
  <c r="AI59" i="66"/>
  <c r="R6" i="66"/>
  <c r="AB25" i="67"/>
  <c r="AB15" i="62"/>
  <c r="X6" i="66"/>
  <c r="AL42" i="66"/>
  <c r="V28" i="66"/>
  <c r="R28" i="62"/>
  <c r="AK25" i="67"/>
  <c r="V96" i="67"/>
  <c r="AA76" i="62"/>
  <c r="T96" i="62"/>
  <c r="W15" i="62"/>
  <c r="AH45" i="62"/>
  <c r="AD62" i="62"/>
  <c r="Y93" i="67"/>
  <c r="Y94" i="67" s="1"/>
  <c r="AL28" i="62"/>
  <c r="Z42" i="67"/>
  <c r="S79" i="67"/>
  <c r="S42" i="66"/>
  <c r="Y42" i="67"/>
  <c r="AD42" i="66"/>
  <c r="AE6" i="66"/>
  <c r="Z42" i="66"/>
  <c r="AI76" i="67"/>
  <c r="AE59" i="66"/>
  <c r="Z76" i="67"/>
  <c r="AH79" i="67"/>
  <c r="AL25" i="62"/>
  <c r="V42" i="66"/>
  <c r="AJ76" i="67"/>
  <c r="AF28" i="66"/>
  <c r="AI59" i="67"/>
  <c r="E76" i="67"/>
  <c r="AC15" i="67"/>
  <c r="Z96" i="66"/>
  <c r="AB42" i="62"/>
  <c r="W45" i="62"/>
  <c r="AH25" i="66"/>
  <c r="AB6" i="66"/>
  <c r="X28" i="66"/>
  <c r="W93" i="67"/>
  <c r="W94" i="67" s="1"/>
  <c r="T76" i="67"/>
  <c r="AB93" i="66"/>
  <c r="AB94" i="66" s="1"/>
  <c r="AC76" i="67"/>
  <c r="AL25" i="67"/>
  <c r="E59" i="67"/>
  <c r="W62" i="66"/>
  <c r="AI28" i="66"/>
  <c r="AA79" i="67"/>
  <c r="E15" i="67"/>
  <c r="E16" i="67" s="1"/>
  <c r="V93" i="62"/>
  <c r="V94" i="62" s="1"/>
  <c r="AF25" i="62"/>
  <c r="AE28" i="62"/>
  <c r="AC79" i="66"/>
  <c r="Y25" i="62"/>
  <c r="AF62" i="66"/>
  <c r="T76" i="66"/>
  <c r="E28" i="66"/>
  <c r="AM42" i="66"/>
  <c r="V59" i="67"/>
  <c r="R15" i="62"/>
  <c r="AI79" i="62"/>
  <c r="R93" i="62"/>
  <c r="AM6" i="62"/>
  <c r="S96" i="62"/>
  <c r="S25" i="66"/>
  <c r="Y59" i="62"/>
  <c r="AI28" i="67"/>
  <c r="Y9" i="66"/>
  <c r="AB25" i="66"/>
  <c r="Z25" i="62"/>
  <c r="R59" i="66"/>
  <c r="Y25" i="67"/>
  <c r="AM79" i="67"/>
  <c r="V25" i="66"/>
  <c r="AL59" i="66"/>
  <c r="AJ28" i="67"/>
  <c r="W9" i="66"/>
  <c r="AF45" i="67"/>
  <c r="E96" i="66"/>
  <c r="E76" i="66"/>
  <c r="AF6" i="67"/>
  <c r="R79" i="67"/>
  <c r="S96" i="66"/>
  <c r="Z15" i="66"/>
  <c r="AM9" i="62"/>
  <c r="AD79" i="66"/>
  <c r="S42" i="62"/>
  <c r="W93" i="66"/>
  <c r="W94" i="66" s="1"/>
  <c r="T93" i="67"/>
  <c r="T94" i="67" s="1"/>
  <c r="AB76" i="62"/>
  <c r="AH25" i="67"/>
  <c r="T59" i="67"/>
  <c r="AL59" i="62"/>
  <c r="AD42" i="67"/>
  <c r="R76" i="66"/>
  <c r="AF25" i="66"/>
  <c r="U9" i="62"/>
  <c r="V76" i="66"/>
  <c r="AA62" i="66"/>
  <c r="AA65" i="66" s="1"/>
  <c r="V9" i="67"/>
  <c r="AE62" i="62"/>
  <c r="E93" i="62"/>
  <c r="E94" i="62" s="1"/>
  <c r="AC79" i="67"/>
  <c r="Z9" i="66"/>
  <c r="AC28" i="62"/>
  <c r="AK76" i="66"/>
  <c r="AF28" i="67"/>
  <c r="AC9" i="66"/>
  <c r="Y93" i="66"/>
  <c r="Y94" i="66" s="1"/>
  <c r="AA45" i="66"/>
  <c r="AI6" i="67"/>
  <c r="AM79" i="62"/>
  <c r="AM45" i="67"/>
  <c r="AF79" i="62"/>
  <c r="T15" i="67"/>
  <c r="W59" i="66"/>
  <c r="AE25" i="62"/>
  <c r="AC6" i="67"/>
  <c r="T45" i="66"/>
  <c r="T42" i="62"/>
  <c r="AA6" i="67"/>
  <c r="AN79" i="62"/>
  <c r="AO46" i="58"/>
  <c r="S42" i="67"/>
  <c r="AC76" i="62"/>
  <c r="Z79" i="62"/>
  <c r="S28" i="66"/>
  <c r="AB59" i="62"/>
  <c r="AK42" i="66"/>
  <c r="R42" i="66"/>
  <c r="AA42" i="67"/>
  <c r="Z62" i="62"/>
  <c r="V45" i="67"/>
  <c r="AD15" i="66"/>
  <c r="AJ28" i="66"/>
  <c r="X76" i="67"/>
  <c r="AF62" i="67"/>
  <c r="E76" i="62"/>
  <c r="AF6" i="66"/>
  <c r="E25" i="67"/>
  <c r="T93" i="66"/>
  <c r="T94" i="66" s="1"/>
  <c r="Z15" i="67"/>
  <c r="AM9" i="66"/>
  <c r="U96" i="62"/>
  <c r="V28" i="67"/>
  <c r="X62" i="62"/>
  <c r="V62" i="62"/>
  <c r="W76" i="67"/>
  <c r="AB76" i="66"/>
  <c r="AL42" i="67"/>
  <c r="AD59" i="67"/>
  <c r="AD42" i="62"/>
  <c r="U9" i="67"/>
  <c r="X15" i="62"/>
  <c r="AL6" i="66"/>
  <c r="W96" i="67"/>
  <c r="AG15" i="66"/>
  <c r="AC59" i="66"/>
  <c r="Z9" i="67"/>
  <c r="AC62" i="67"/>
  <c r="AJ6" i="67"/>
  <c r="AF62" i="62"/>
  <c r="AC9" i="62"/>
  <c r="U79" i="66"/>
  <c r="T28" i="67"/>
  <c r="W76" i="66"/>
  <c r="AK59" i="66"/>
  <c r="AD28" i="67"/>
  <c r="AO82" i="58"/>
  <c r="U15" i="66"/>
  <c r="X45" i="66"/>
  <c r="AA6" i="66"/>
  <c r="AI79" i="66"/>
  <c r="AK6" i="67"/>
  <c r="AK59" i="67"/>
  <c r="AK15" i="67"/>
  <c r="AC62" i="66"/>
  <c r="T25" i="66"/>
  <c r="AD15" i="67"/>
  <c r="E9" i="66"/>
  <c r="X93" i="62"/>
  <c r="X94" i="62" s="1"/>
  <c r="AF28" i="62"/>
  <c r="E6" i="62"/>
  <c r="AJ76" i="62"/>
  <c r="V96" i="66"/>
  <c r="T76" i="62"/>
  <c r="AA93" i="62"/>
  <c r="AA94" i="62" s="1"/>
  <c r="AC93" i="67"/>
  <c r="AC94" i="67" s="1"/>
  <c r="AI45" i="62"/>
  <c r="T42" i="66"/>
  <c r="AI62" i="67"/>
  <c r="R45" i="62"/>
  <c r="AC9" i="67"/>
  <c r="V79" i="67"/>
  <c r="AB93" i="67"/>
  <c r="AB94" i="67" s="1"/>
  <c r="AN15" i="67"/>
  <c r="AI25" i="66"/>
  <c r="AE42" i="66"/>
  <c r="AJ25" i="67"/>
  <c r="AH62" i="62"/>
  <c r="AA96" i="67"/>
  <c r="AF59" i="66"/>
  <c r="E62" i="62"/>
  <c r="AM6" i="58"/>
  <c r="W79" i="67"/>
  <c r="E93" i="66"/>
  <c r="E94" i="66" s="1"/>
  <c r="AG15" i="62"/>
  <c r="T6" i="66"/>
  <c r="AC59" i="62"/>
  <c r="AC45" i="67"/>
  <c r="AH25" i="62"/>
  <c r="U62" i="66"/>
  <c r="AE79" i="66"/>
  <c r="V6" i="67"/>
  <c r="R96" i="67"/>
  <c r="AI45" i="67"/>
  <c r="AN25" i="67"/>
  <c r="AE76" i="66"/>
  <c r="W62" i="67"/>
  <c r="R96" i="62"/>
  <c r="Z79" i="67"/>
  <c r="T96" i="66"/>
  <c r="E6" i="66"/>
  <c r="AK45" i="66"/>
  <c r="X59" i="67"/>
  <c r="X25" i="67"/>
  <c r="AA93" i="66"/>
  <c r="Z59" i="67"/>
  <c r="AK9" i="62"/>
  <c r="X45" i="67"/>
  <c r="R45" i="66"/>
  <c r="AK42" i="62"/>
  <c r="V79" i="62"/>
  <c r="X96" i="62"/>
  <c r="T59" i="66"/>
  <c r="AA25" i="66"/>
  <c r="W45" i="67"/>
  <c r="AF42" i="62"/>
  <c r="E45" i="62"/>
  <c r="X76" i="66"/>
  <c r="AL15" i="62"/>
  <c r="AC93" i="66"/>
  <c r="AC94" i="66" s="1"/>
  <c r="AB79" i="62"/>
  <c r="AL76" i="66"/>
  <c r="AA6" i="62"/>
  <c r="W28" i="67"/>
  <c r="Y15" i="62"/>
  <c r="AK25" i="66"/>
  <c r="S15" i="67"/>
  <c r="AL82" i="58"/>
  <c r="AB96" i="66"/>
  <c r="X28" i="62"/>
  <c r="AF45" i="62"/>
  <c r="AB42" i="66"/>
  <c r="AF45" i="66"/>
  <c r="X79" i="62"/>
  <c r="S62" i="66"/>
  <c r="T9" i="66"/>
  <c r="Z93" i="67"/>
  <c r="X62" i="67"/>
  <c r="U59" i="66"/>
  <c r="AC79" i="62"/>
  <c r="R79" i="66"/>
  <c r="AB28" i="67"/>
  <c r="E6" i="67"/>
  <c r="R6" i="62"/>
  <c r="U6" i="66"/>
  <c r="AA76" i="66"/>
  <c r="S6" i="67"/>
  <c r="S59" i="67"/>
  <c r="AC25" i="67"/>
  <c r="V62" i="66"/>
  <c r="R45" i="67"/>
  <c r="V79" i="66"/>
  <c r="AB76" i="67"/>
  <c r="X96" i="66"/>
  <c r="E79" i="66"/>
  <c r="AL9" i="66"/>
  <c r="AA59" i="62"/>
  <c r="R93" i="67"/>
  <c r="AF59" i="62"/>
  <c r="AA79" i="66"/>
  <c r="AA82" i="66" s="1"/>
  <c r="AA45" i="67"/>
  <c r="W96" i="66"/>
  <c r="X93" i="66"/>
  <c r="X94" i="66" s="1"/>
  <c r="AL59" i="67"/>
  <c r="T6" i="67"/>
  <c r="AC25" i="62"/>
  <c r="AB96" i="62"/>
  <c r="AM59" i="62"/>
  <c r="U28" i="67"/>
  <c r="AM76" i="66"/>
  <c r="AC42" i="66"/>
  <c r="Y6" i="62"/>
  <c r="AD28" i="62"/>
  <c r="AN6" i="58"/>
  <c r="AD25" i="66"/>
  <c r="AK59" i="62"/>
  <c r="AE79" i="67"/>
  <c r="AD45" i="62"/>
  <c r="AM46" i="58"/>
  <c r="AF79" i="67"/>
  <c r="V42" i="62"/>
  <c r="T25" i="67"/>
  <c r="AL76" i="62"/>
  <c r="AF9" i="67"/>
  <c r="AH76" i="67"/>
  <c r="AJ9" i="66"/>
  <c r="V6" i="62"/>
  <c r="S25" i="67"/>
  <c r="R59" i="67"/>
  <c r="AN42" i="62"/>
  <c r="Z6" i="67"/>
  <c r="T79" i="67"/>
  <c r="E59" i="66"/>
  <c r="AK62" i="62"/>
  <c r="X42" i="66"/>
  <c r="AA76" i="67"/>
  <c r="AH9" i="62"/>
  <c r="AN42" i="66"/>
  <c r="R59" i="62"/>
  <c r="R28" i="66"/>
  <c r="AK25" i="62"/>
  <c r="U62" i="67"/>
  <c r="E96" i="67"/>
  <c r="Z79" i="66"/>
  <c r="AK45" i="67"/>
  <c r="AA25" i="67"/>
  <c r="Z42" i="62"/>
  <c r="E62" i="66"/>
  <c r="AC96" i="66"/>
  <c r="AL6" i="67"/>
  <c r="U9" i="66"/>
  <c r="Z28" i="62"/>
  <c r="AL15" i="67"/>
  <c r="AD9" i="62"/>
  <c r="E93" i="67"/>
  <c r="E94" i="67" s="1"/>
  <c r="AB79" i="67"/>
  <c r="AN9" i="67"/>
  <c r="T25" i="62"/>
  <c r="AM42" i="62"/>
  <c r="AD45" i="66"/>
  <c r="AD48" i="66" s="1"/>
  <c r="AE15" i="66"/>
  <c r="U76" i="62"/>
  <c r="AL62" i="66"/>
  <c r="AM28" i="62"/>
  <c r="AJ25" i="66"/>
  <c r="R9" i="67"/>
  <c r="W25" i="62"/>
  <c r="W25" i="66"/>
  <c r="AD25" i="67"/>
  <c r="AH76" i="66"/>
  <c r="AI76" i="66"/>
  <c r="U79" i="67"/>
  <c r="AC62" i="62"/>
  <c r="AE25" i="67"/>
  <c r="Z6" i="62"/>
  <c r="T79" i="66"/>
  <c r="E25" i="62"/>
  <c r="R76" i="67"/>
  <c r="X59" i="66"/>
  <c r="R79" i="62"/>
  <c r="U6" i="62"/>
  <c r="E79" i="67"/>
  <c r="AJ42" i="66"/>
  <c r="R62" i="62"/>
  <c r="AM59" i="66"/>
  <c r="U45" i="67"/>
  <c r="E42" i="62"/>
  <c r="AM28" i="66"/>
  <c r="E59" i="62"/>
  <c r="E45" i="66"/>
  <c r="AA28" i="67"/>
  <c r="AH45" i="67"/>
  <c r="R93" i="66"/>
  <c r="AA79" i="62"/>
  <c r="Y96" i="62"/>
  <c r="AA9" i="66"/>
  <c r="AD9" i="67"/>
  <c r="T6" i="62"/>
  <c r="AB96" i="67"/>
  <c r="AN9" i="66"/>
  <c r="AE59" i="67"/>
  <c r="AE42" i="62"/>
  <c r="AL62" i="62"/>
  <c r="AJ59" i="67"/>
  <c r="Y25" i="66"/>
  <c r="W59" i="67"/>
  <c r="AD6" i="62"/>
  <c r="AH79" i="62"/>
  <c r="V25" i="67"/>
  <c r="Y62" i="66"/>
  <c r="Y76" i="67"/>
  <c r="AE25" i="66"/>
  <c r="AK76" i="62"/>
  <c r="U59" i="62"/>
  <c r="S76" i="67"/>
  <c r="Y62" i="62"/>
  <c r="AB15" i="67"/>
  <c r="T79" i="62"/>
  <c r="AB45" i="67"/>
  <c r="AJ76" i="66"/>
  <c r="AB9" i="67"/>
  <c r="AB9" i="66"/>
  <c r="AM15" i="58"/>
  <c r="U6" i="67"/>
  <c r="AC59" i="67"/>
  <c r="V15" i="67"/>
  <c r="AM59" i="67"/>
  <c r="U62" i="62"/>
  <c r="T42" i="67"/>
  <c r="AM45" i="66"/>
  <c r="AM48" i="66" s="1"/>
  <c r="AN6" i="66"/>
  <c r="Z28" i="67"/>
  <c r="Z45" i="66"/>
  <c r="AA28" i="66"/>
  <c r="Y28" i="66"/>
  <c r="AA9" i="62"/>
  <c r="AE9" i="67"/>
  <c r="AI9" i="62"/>
  <c r="AE42" i="67"/>
  <c r="AI45" i="66"/>
  <c r="AN46" i="58"/>
  <c r="AM43" i="58"/>
  <c r="S62" i="62"/>
  <c r="S62" i="67"/>
  <c r="AL9" i="67"/>
  <c r="V59" i="66"/>
  <c r="AN59" i="62"/>
  <c r="X79" i="67"/>
  <c r="X82" i="67" s="1"/>
  <c r="AN25" i="62"/>
  <c r="R42" i="67"/>
  <c r="W42" i="66"/>
  <c r="S76" i="62"/>
  <c r="Y45" i="62"/>
  <c r="AB15" i="66"/>
  <c r="AL25" i="66"/>
  <c r="AB9" i="62"/>
  <c r="U93" i="62"/>
  <c r="U94" i="62" s="1"/>
  <c r="X25" i="66"/>
  <c r="X76" i="62"/>
  <c r="U42" i="66"/>
  <c r="AM42" i="67"/>
  <c r="U28" i="66"/>
  <c r="T59" i="62"/>
  <c r="W9" i="62"/>
  <c r="AO6" i="58"/>
  <c r="R76" i="62"/>
  <c r="AH62" i="67"/>
  <c r="V76" i="67"/>
  <c r="AF25" i="67"/>
  <c r="AH6" i="66"/>
  <c r="AA9" i="67"/>
  <c r="AE9" i="62"/>
  <c r="R96" i="66"/>
  <c r="Y28" i="67"/>
  <c r="Y9" i="62"/>
  <c r="AF9" i="66"/>
  <c r="AJ42" i="67"/>
  <c r="AA25" i="62"/>
  <c r="AN64" i="58"/>
  <c r="T15" i="62"/>
  <c r="S45" i="67"/>
  <c r="AI6" i="66"/>
  <c r="U96" i="67"/>
  <c r="X9" i="67"/>
  <c r="AJ28" i="62"/>
  <c r="W25" i="67"/>
  <c r="Y59" i="66"/>
  <c r="V28" i="62"/>
  <c r="Z76" i="66"/>
  <c r="S93" i="62"/>
  <c r="S94" i="62" s="1"/>
  <c r="Y62" i="67"/>
  <c r="AB59" i="67"/>
  <c r="U93" i="67"/>
  <c r="U94" i="67" s="1"/>
  <c r="AL79" i="67"/>
  <c r="Y96" i="67"/>
  <c r="AB45" i="62"/>
  <c r="AG6" i="67"/>
  <c r="AE76" i="62"/>
  <c r="E25" i="66"/>
  <c r="U42" i="62"/>
  <c r="AM25" i="66"/>
  <c r="U28" i="62"/>
  <c r="T45" i="62"/>
  <c r="W15" i="67"/>
  <c r="AJ45" i="66"/>
  <c r="V93" i="66"/>
  <c r="V94" i="66" s="1"/>
  <c r="E45" i="67"/>
  <c r="AH6" i="62"/>
  <c r="E15" i="66"/>
  <c r="E16" i="66" s="1"/>
  <c r="Z45" i="62"/>
  <c r="AA62" i="67"/>
  <c r="U25" i="66"/>
  <c r="E42" i="66"/>
  <c r="AC42" i="62"/>
  <c r="AN26" i="58"/>
  <c r="AJ62" i="62"/>
  <c r="AJ25" i="62"/>
  <c r="W42" i="62"/>
  <c r="AK28" i="67"/>
  <c r="Y42" i="62"/>
  <c r="U79" i="62"/>
  <c r="AC25" i="66"/>
  <c r="AJ79" i="66"/>
  <c r="Z59" i="66"/>
  <c r="AF76" i="62"/>
  <c r="T28" i="66"/>
  <c r="AF6" i="62"/>
  <c r="S9" i="67"/>
  <c r="V25" i="62"/>
  <c r="Y28" i="62"/>
  <c r="AB59" i="66"/>
  <c r="U93" i="66"/>
  <c r="U94" i="66" s="1"/>
  <c r="AM28" i="67"/>
  <c r="Y79" i="67"/>
  <c r="AB28" i="66"/>
  <c r="AB31" i="66" s="1"/>
  <c r="X42" i="62"/>
  <c r="AB45" i="66"/>
  <c r="W28" i="62"/>
  <c r="Y6" i="67"/>
  <c r="U25" i="62"/>
  <c r="Y79" i="62"/>
  <c r="T62" i="66"/>
  <c r="E96" i="62"/>
  <c r="AJ62" i="67"/>
  <c r="AJ65" i="67" s="1"/>
  <c r="AJ59" i="66"/>
  <c r="V93" i="67"/>
  <c r="V94" i="67" s="1"/>
  <c r="Z45" i="67"/>
  <c r="AH28" i="67"/>
  <c r="AF59" i="67"/>
  <c r="X15" i="66"/>
  <c r="S76" i="66"/>
  <c r="AA42" i="62"/>
  <c r="AB25" i="62"/>
  <c r="U42" i="67"/>
  <c r="E42" i="67"/>
  <c r="AE45" i="66"/>
  <c r="AE48" i="66" s="1"/>
  <c r="AI42" i="67"/>
  <c r="AM82" i="58"/>
  <c r="AL28" i="67"/>
  <c r="U45" i="66"/>
  <c r="AE62" i="67"/>
  <c r="AK15" i="62"/>
  <c r="R9" i="62"/>
  <c r="AJ15" i="67"/>
  <c r="AE6" i="62"/>
  <c r="AJ79" i="62"/>
  <c r="AJ82" i="62" s="1"/>
  <c r="Z25" i="66"/>
  <c r="V45" i="62"/>
  <c r="AN59" i="67"/>
  <c r="Y45" i="67"/>
  <c r="Z76" i="62"/>
  <c r="R25" i="62"/>
  <c r="V42" i="67"/>
  <c r="AM79" i="66"/>
  <c r="AI42" i="66"/>
  <c r="AM62" i="62"/>
  <c r="AC15" i="66"/>
  <c r="AB28" i="62"/>
  <c r="AK62" i="67"/>
  <c r="X6" i="67"/>
  <c r="AH59" i="66"/>
  <c r="S25" i="62"/>
  <c r="X62" i="66"/>
  <c r="W93" i="62"/>
  <c r="W94" i="62" s="1"/>
  <c r="Y96" i="66"/>
  <c r="AK45" i="62"/>
  <c r="AK48" i="62" s="1"/>
  <c r="AL79" i="66"/>
  <c r="AJ45" i="67"/>
  <c r="AN15" i="66"/>
  <c r="E62" i="67"/>
  <c r="AF42" i="66"/>
  <c r="AA28" i="62"/>
  <c r="AF42" i="67"/>
  <c r="AE28" i="67"/>
  <c r="AB62" i="67"/>
  <c r="S93" i="67"/>
  <c r="S94" i="67" s="1"/>
  <c r="Y42" i="66"/>
  <c r="AG9" i="62"/>
  <c r="AB42" i="67"/>
  <c r="E79" i="62"/>
  <c r="AL62" i="67"/>
  <c r="AG9" i="66"/>
  <c r="AD28" i="66"/>
  <c r="T93" i="62"/>
  <c r="T94" i="62" s="1"/>
  <c r="AL45" i="62"/>
  <c r="S79" i="62"/>
  <c r="S82" i="62" s="1"/>
  <c r="AG42" i="62"/>
  <c r="AE45" i="62"/>
  <c r="W6" i="62"/>
  <c r="AL28" i="66"/>
  <c r="U45" i="62"/>
  <c r="S59" i="66"/>
  <c r="S6" i="62"/>
  <c r="AE6" i="67"/>
  <c r="U59" i="67"/>
  <c r="Z25" i="67"/>
  <c r="AC45" i="62"/>
  <c r="AN42" i="67"/>
  <c r="S9" i="62"/>
  <c r="AF76" i="66"/>
  <c r="AN59" i="66"/>
  <c r="AD76" i="62"/>
  <c r="AI42" i="62"/>
  <c r="AM62" i="67"/>
  <c r="AC15" i="62"/>
  <c r="AD15" i="62"/>
  <c r="W28" i="66"/>
  <c r="AH59" i="62"/>
  <c r="AC93" i="62"/>
  <c r="AI62" i="66"/>
  <c r="AF79" i="66"/>
  <c r="W76" i="62"/>
  <c r="AN76" i="67"/>
  <c r="Y79" i="66"/>
  <c r="R15" i="67"/>
  <c r="AL42" i="62"/>
  <c r="AK28" i="66"/>
  <c r="X93" i="67"/>
  <c r="X94" i="67" s="1"/>
  <c r="AA96" i="62"/>
  <c r="Z62" i="66"/>
  <c r="AA45" i="62"/>
  <c r="AK79" i="67"/>
  <c r="AE28" i="66"/>
  <c r="AB62" i="62"/>
  <c r="AC96" i="67"/>
  <c r="Y59" i="67"/>
  <c r="AL26" i="58"/>
  <c r="AL79" i="58"/>
  <c r="AL9" i="58"/>
  <c r="AL61" i="58"/>
  <c r="AL6" i="58"/>
  <c r="AL43" i="58"/>
  <c r="AL64" i="58"/>
  <c r="AL46" i="58"/>
  <c r="AM9" i="67"/>
  <c r="AL15" i="58"/>
  <c r="AM79" i="58"/>
  <c r="AM45" i="62"/>
  <c r="AM76" i="62"/>
  <c r="AM61" i="58"/>
  <c r="AM26" i="58"/>
  <c r="AM9" i="58"/>
  <c r="AK9" i="58"/>
  <c r="AL76" i="67"/>
  <c r="AK82" i="58"/>
  <c r="AK46" i="58"/>
  <c r="AK64" i="58"/>
  <c r="AL15" i="66"/>
  <c r="AL6" i="62"/>
  <c r="AK43" i="58"/>
  <c r="AK6" i="58"/>
  <c r="AK15" i="58"/>
  <c r="AK26" i="58"/>
  <c r="AL9" i="62"/>
  <c r="AK61" i="58"/>
  <c r="AK62" i="58" s="1"/>
  <c r="AK79" i="58"/>
  <c r="AK9" i="67"/>
  <c r="AK79" i="66"/>
  <c r="AK15" i="66"/>
  <c r="AJ46" i="58"/>
  <c r="AK42" i="67"/>
  <c r="AK76" i="67"/>
  <c r="AJ15" i="58"/>
  <c r="AK62" i="66"/>
  <c r="AJ61" i="58"/>
  <c r="AJ62" i="58" s="1"/>
  <c r="AJ26" i="58"/>
  <c r="AJ43" i="58"/>
  <c r="AJ79" i="58"/>
  <c r="AJ9" i="58"/>
  <c r="AJ64" i="58"/>
  <c r="AJ6" i="58"/>
  <c r="AK6" i="62"/>
  <c r="AJ82" i="58"/>
  <c r="AI15" i="58"/>
  <c r="AJ9" i="62"/>
  <c r="AJ15" i="66"/>
  <c r="AI61" i="58"/>
  <c r="AI62" i="58" s="1"/>
  <c r="AI6" i="58"/>
  <c r="AI26" i="58"/>
  <c r="AI79" i="58"/>
  <c r="AJ6" i="66"/>
  <c r="AI82" i="58"/>
  <c r="AI64" i="58"/>
  <c r="AI43" i="58"/>
  <c r="AI9" i="58"/>
  <c r="AI46" i="58"/>
  <c r="AI28" i="62"/>
  <c r="AI31" i="62" s="1"/>
  <c r="AI76" i="62"/>
  <c r="AI15" i="66"/>
  <c r="AH43" i="58"/>
  <c r="AI6" i="62"/>
  <c r="AH9" i="58"/>
  <c r="AH79" i="58"/>
  <c r="AH26" i="58"/>
  <c r="AH61" i="58"/>
  <c r="AH62" i="58" s="1"/>
  <c r="AH15" i="58"/>
  <c r="AI59" i="62"/>
  <c r="AH64" i="58"/>
  <c r="AH82" i="58"/>
  <c r="AI9" i="67"/>
  <c r="AI79" i="67"/>
  <c r="AH6" i="58"/>
  <c r="AH46" i="58"/>
  <c r="AG26" i="58"/>
  <c r="AH6" i="67"/>
  <c r="AG64" i="58"/>
  <c r="AG65" i="58" s="1"/>
  <c r="AG82" i="58"/>
  <c r="AH59" i="67"/>
  <c r="AH62" i="66"/>
  <c r="AG15" i="58"/>
  <c r="AG46" i="58"/>
  <c r="AG9" i="58"/>
  <c r="AG6" i="58"/>
  <c r="AH9" i="67"/>
  <c r="AH15" i="62"/>
  <c r="AG79" i="58"/>
  <c r="AG43" i="58"/>
  <c r="AH76" i="62"/>
  <c r="AG61" i="58"/>
  <c r="AG62" i="58" s="1"/>
  <c r="AF46" i="58"/>
  <c r="AG9" i="67"/>
  <c r="AG15" i="67"/>
  <c r="AF6" i="58"/>
  <c r="AG6" i="66"/>
  <c r="AG25" i="67"/>
  <c r="AF9" i="58"/>
  <c r="AF61" i="58"/>
  <c r="AF62" i="58" s="1"/>
  <c r="AF26" i="58"/>
  <c r="AF82" i="58"/>
  <c r="AF64" i="58"/>
  <c r="AF43" i="58"/>
  <c r="AF79" i="58"/>
  <c r="AF15" i="58"/>
  <c r="AE79" i="58"/>
  <c r="AE15" i="58"/>
  <c r="AE6" i="58"/>
  <c r="AE9" i="58"/>
  <c r="AE61" i="58"/>
  <c r="AE62" i="58" s="1"/>
  <c r="AE82" i="58"/>
  <c r="AF76" i="67"/>
  <c r="AE64" i="58"/>
  <c r="AE65" i="58" s="1"/>
  <c r="AE43" i="58"/>
  <c r="AE46" i="58"/>
  <c r="AF15" i="62"/>
  <c r="AE26" i="58"/>
  <c r="AD6" i="58"/>
  <c r="AE9" i="66"/>
  <c r="AD9" i="58"/>
  <c r="AD82" i="58"/>
  <c r="AD64" i="58"/>
  <c r="AD65" i="58" s="1"/>
  <c r="AD46" i="58"/>
  <c r="AD61" i="58"/>
  <c r="AD62" i="58" s="1"/>
  <c r="AD26" i="58"/>
  <c r="AD79" i="58"/>
  <c r="AD15" i="58"/>
  <c r="AD99" i="58"/>
  <c r="AD96" i="58"/>
  <c r="AD97" i="58" s="1"/>
  <c r="AD43" i="58"/>
  <c r="AD9" i="66"/>
  <c r="AC79" i="58"/>
  <c r="AC61" i="58"/>
  <c r="AC62" i="58" s="1"/>
  <c r="AC43" i="58"/>
  <c r="AD6" i="66"/>
  <c r="AC82" i="58"/>
  <c r="AC6" i="58"/>
  <c r="AC96" i="58"/>
  <c r="AC97" i="58" s="1"/>
  <c r="AC99" i="58"/>
  <c r="AC15" i="58"/>
  <c r="AC46" i="58"/>
  <c r="AC9" i="58"/>
  <c r="AC26" i="58"/>
  <c r="AC64" i="58"/>
  <c r="AC96" i="62"/>
  <c r="AC97" i="62" s="1"/>
  <c r="AB26" i="58"/>
  <c r="AB79" i="58"/>
  <c r="AB61" i="58"/>
  <c r="AB62" i="58" s="1"/>
  <c r="AB43" i="58"/>
  <c r="AB96" i="58"/>
  <c r="AB97" i="58" s="1"/>
  <c r="AB15" i="58"/>
  <c r="AB99" i="58"/>
  <c r="AB6" i="58"/>
  <c r="AB46" i="58"/>
  <c r="AB9" i="58"/>
  <c r="AC76" i="66"/>
  <c r="AB82" i="58"/>
  <c r="AC28" i="67"/>
  <c r="AB64" i="58"/>
  <c r="AA15" i="58"/>
  <c r="AA9" i="58"/>
  <c r="AA43" i="58"/>
  <c r="AA61" i="58"/>
  <c r="AA62" i="58" s="1"/>
  <c r="AA96" i="58"/>
  <c r="AA64" i="58"/>
  <c r="AA65" i="58" s="1"/>
  <c r="AA6" i="58"/>
  <c r="AA99" i="58"/>
  <c r="AA46" i="58"/>
  <c r="AA26" i="58"/>
  <c r="AA82" i="58"/>
  <c r="AA79" i="58"/>
  <c r="Z46" i="58"/>
  <c r="AA42" i="66"/>
  <c r="Z43" i="58"/>
  <c r="Z9" i="58"/>
  <c r="Z6" i="58"/>
  <c r="Z61" i="58"/>
  <c r="Z62" i="58" s="1"/>
  <c r="Z96" i="58"/>
  <c r="Z97" i="58" s="1"/>
  <c r="Z26" i="58"/>
  <c r="AA96" i="66"/>
  <c r="AA97" i="66" s="1"/>
  <c r="Z79" i="58"/>
  <c r="Z64" i="58"/>
  <c r="Z65" i="58" s="1"/>
  <c r="Z15" i="58"/>
  <c r="Z82" i="58"/>
  <c r="Z99" i="58"/>
  <c r="Y15" i="58"/>
  <c r="Y99" i="58"/>
  <c r="Y96" i="58"/>
  <c r="Y97" i="58" s="1"/>
  <c r="Y6" i="58"/>
  <c r="Y9" i="58"/>
  <c r="Z28" i="66"/>
  <c r="Z96" i="62"/>
  <c r="Z93" i="62"/>
  <c r="Y64" i="58"/>
  <c r="Y65" i="58" s="1"/>
  <c r="Y82" i="58"/>
  <c r="Y26" i="58"/>
  <c r="Y46" i="58"/>
  <c r="Y61" i="58"/>
  <c r="Y62" i="58" s="1"/>
  <c r="Y79" i="58"/>
  <c r="Y43" i="58"/>
  <c r="X26" i="58"/>
  <c r="X96" i="58"/>
  <c r="X97" i="58" s="1"/>
  <c r="X15" i="58"/>
  <c r="X99" i="58"/>
  <c r="X64" i="58"/>
  <c r="X65" i="58" s="1"/>
  <c r="X43" i="58"/>
  <c r="Y9" i="67"/>
  <c r="X9" i="58"/>
  <c r="X79" i="58"/>
  <c r="X6" i="58"/>
  <c r="X82" i="58"/>
  <c r="X46" i="58"/>
  <c r="Y15" i="66"/>
  <c r="X61" i="58"/>
  <c r="X62" i="58" s="1"/>
  <c r="Y76" i="62"/>
  <c r="Y6" i="66"/>
  <c r="X96" i="67"/>
  <c r="W61" i="58"/>
  <c r="W62" i="58" s="1"/>
  <c r="W99" i="58"/>
  <c r="W82" i="58"/>
  <c r="X6" i="62"/>
  <c r="W64" i="58"/>
  <c r="W65" i="58" s="1"/>
  <c r="W46" i="58"/>
  <c r="W26" i="58"/>
  <c r="X9" i="66"/>
  <c r="W6" i="58"/>
  <c r="W15" i="58"/>
  <c r="W96" i="58"/>
  <c r="W97" i="58" s="1"/>
  <c r="W43" i="58"/>
  <c r="X15" i="67"/>
  <c r="X28" i="67"/>
  <c r="W9" i="58"/>
  <c r="W79" i="58"/>
  <c r="V6" i="58"/>
  <c r="W42" i="67"/>
  <c r="V15" i="58"/>
  <c r="V79" i="58"/>
  <c r="V96" i="58"/>
  <c r="V97" i="58" s="1"/>
  <c r="V61" i="58"/>
  <c r="V62" i="58" s="1"/>
  <c r="V46" i="58"/>
  <c r="V43" i="58"/>
  <c r="V9" i="58"/>
  <c r="W79" i="62"/>
  <c r="W15" i="66"/>
  <c r="W6" i="67"/>
  <c r="W62" i="62"/>
  <c r="V82" i="58"/>
  <c r="V26" i="58"/>
  <c r="V64" i="58"/>
  <c r="V65" i="58" s="1"/>
  <c r="V99" i="58"/>
  <c r="V59" i="62"/>
  <c r="U9" i="58"/>
  <c r="U99" i="58"/>
  <c r="U64" i="58"/>
  <c r="U43" i="58"/>
  <c r="V6" i="66"/>
  <c r="V15" i="62"/>
  <c r="U15" i="58"/>
  <c r="U79" i="58"/>
  <c r="V9" i="62"/>
  <c r="U61" i="58"/>
  <c r="U62" i="58" s="1"/>
  <c r="U26" i="58"/>
  <c r="U96" i="58"/>
  <c r="U97" i="58" s="1"/>
  <c r="U46" i="58"/>
  <c r="U82" i="58"/>
  <c r="U6" i="58"/>
  <c r="T46" i="58"/>
  <c r="U96" i="66"/>
  <c r="T26" i="58"/>
  <c r="T79" i="58"/>
  <c r="T96" i="58"/>
  <c r="T97" i="58" s="1"/>
  <c r="T61" i="58"/>
  <c r="T62" i="58" s="1"/>
  <c r="T43" i="58"/>
  <c r="U15" i="67"/>
  <c r="T64" i="58"/>
  <c r="T65" i="58" s="1"/>
  <c r="T82" i="58"/>
  <c r="T15" i="58"/>
  <c r="T9" i="58"/>
  <c r="T6" i="58"/>
  <c r="T99" i="58"/>
  <c r="S43" i="58"/>
  <c r="S99" i="58"/>
  <c r="S15" i="58"/>
  <c r="S6" i="58"/>
  <c r="T15" i="66"/>
  <c r="S96" i="58"/>
  <c r="S26" i="58"/>
  <c r="S46" i="58"/>
  <c r="S9" i="58"/>
  <c r="T62" i="67"/>
  <c r="T9" i="62"/>
  <c r="S82" i="58"/>
  <c r="S64" i="58"/>
  <c r="S79" i="58"/>
  <c r="S61" i="58"/>
  <c r="R43" i="58"/>
  <c r="R64" i="58"/>
  <c r="S96" i="67"/>
  <c r="R9" i="58"/>
  <c r="R61" i="58"/>
  <c r="R62" i="58" s="1"/>
  <c r="R46" i="58"/>
  <c r="S28" i="67"/>
  <c r="R82" i="58"/>
  <c r="S9" i="66"/>
  <c r="R79" i="58"/>
  <c r="S93" i="66"/>
  <c r="S94" i="66" s="1"/>
  <c r="R26" i="58"/>
  <c r="S6" i="66"/>
  <c r="S15" i="62"/>
  <c r="S59" i="62"/>
  <c r="Q82" i="58"/>
  <c r="Q61" i="58"/>
  <c r="Q64" i="58"/>
  <c r="Q79" i="58"/>
  <c r="R25" i="66"/>
  <c r="Q46" i="58"/>
  <c r="Q43" i="58"/>
  <c r="R9" i="66"/>
  <c r="R62" i="66"/>
  <c r="R6" i="67"/>
  <c r="Q9" i="58"/>
  <c r="Q26" i="58"/>
  <c r="P43" i="58"/>
  <c r="P79" i="58"/>
  <c r="P46" i="58"/>
  <c r="P9" i="58"/>
  <c r="P82" i="58"/>
  <c r="P61" i="58"/>
  <c r="P64" i="58"/>
  <c r="P65" i="58" s="1"/>
  <c r="P26" i="58"/>
  <c r="O46" i="58"/>
  <c r="O9" i="58"/>
  <c r="O79" i="58"/>
  <c r="O61" i="58"/>
  <c r="O82" i="58"/>
  <c r="O26" i="58"/>
  <c r="O64" i="58"/>
  <c r="O43" i="58"/>
  <c r="N46" i="58"/>
  <c r="N47" i="58" s="1"/>
  <c r="N9" i="58"/>
  <c r="N26" i="58"/>
  <c r="N64" i="58"/>
  <c r="N82" i="58"/>
  <c r="N79" i="58"/>
  <c r="N80" i="58" s="1"/>
  <c r="N61" i="58"/>
  <c r="N43" i="58"/>
  <c r="N44" i="58" s="1"/>
  <c r="M61" i="58"/>
  <c r="M79" i="58"/>
  <c r="M80" i="58" s="1"/>
  <c r="M64" i="58"/>
  <c r="M43" i="58"/>
  <c r="M44" i="58" s="1"/>
  <c r="M46" i="58"/>
  <c r="M47" i="58" s="1"/>
  <c r="M9" i="58"/>
  <c r="M26" i="58"/>
  <c r="M82" i="58"/>
  <c r="L43" i="58"/>
  <c r="L44" i="58" s="1"/>
  <c r="L9" i="58"/>
  <c r="L64" i="58"/>
  <c r="L65" i="58" s="1"/>
  <c r="L82" i="58"/>
  <c r="L83" i="58" s="1"/>
  <c r="L79" i="58"/>
  <c r="L80" i="58" s="1"/>
  <c r="L26" i="58"/>
  <c r="L61" i="58"/>
  <c r="L46" i="58"/>
  <c r="L47" i="58" s="1"/>
  <c r="K43" i="58"/>
  <c r="K44" i="58" s="1"/>
  <c r="K46" i="58"/>
  <c r="K47" i="58" s="1"/>
  <c r="K9" i="58"/>
  <c r="K26" i="58"/>
  <c r="K61" i="58"/>
  <c r="K79" i="58"/>
  <c r="K80" i="58" s="1"/>
  <c r="K82" i="58"/>
  <c r="K64" i="58"/>
  <c r="J46" i="58"/>
  <c r="J47" i="58" s="1"/>
  <c r="J43" i="58"/>
  <c r="J44" i="58" s="1"/>
  <c r="J9" i="58"/>
  <c r="J82" i="58"/>
  <c r="J83" i="58" s="1"/>
  <c r="J61" i="58"/>
  <c r="J26" i="58"/>
  <c r="J79" i="58"/>
  <c r="J80" i="58" s="1"/>
  <c r="J64" i="58"/>
  <c r="I82" i="58"/>
  <c r="I83" i="58" s="1"/>
  <c r="I79" i="58"/>
  <c r="I80" i="58" s="1"/>
  <c r="I64" i="58"/>
  <c r="I65" i="58" s="1"/>
  <c r="I61" i="58"/>
  <c r="I46" i="58"/>
  <c r="I47" i="58" s="1"/>
  <c r="I43" i="58"/>
  <c r="I44" i="58" s="1"/>
  <c r="I9" i="58"/>
  <c r="I26" i="58"/>
  <c r="H82" i="58"/>
  <c r="H83" i="58" s="1"/>
  <c r="H26" i="58"/>
  <c r="H9" i="58"/>
  <c r="H61" i="58"/>
  <c r="H46" i="58"/>
  <c r="H47" i="58" s="1"/>
  <c r="H79" i="58"/>
  <c r="H80" i="58" s="1"/>
  <c r="H64" i="58"/>
  <c r="H43" i="58"/>
  <c r="G43" i="58"/>
  <c r="G44" i="58" s="1"/>
  <c r="G46" i="58"/>
  <c r="G47" i="58" s="1"/>
  <c r="G9" i="58"/>
  <c r="G82" i="58"/>
  <c r="G61" i="58"/>
  <c r="G64" i="58"/>
  <c r="G65" i="58" s="1"/>
  <c r="G26" i="58"/>
  <c r="G79" i="58"/>
  <c r="G80" i="58" s="1"/>
  <c r="F15" i="58"/>
  <c r="F46" i="58"/>
  <c r="F47" i="58" s="1"/>
  <c r="F9" i="58"/>
  <c r="F82" i="58"/>
  <c r="F83" i="58" s="1"/>
  <c r="F6" i="58"/>
  <c r="F79" i="58"/>
  <c r="F99" i="58"/>
  <c r="F61" i="58"/>
  <c r="F43" i="58"/>
  <c r="F44" i="58" s="1"/>
  <c r="F64" i="58"/>
  <c r="F26" i="58"/>
  <c r="F96" i="58"/>
  <c r="F97" i="58" s="1"/>
  <c r="G96" i="55"/>
  <c r="E28" i="67"/>
  <c r="AQ78" i="3" a="1"/>
  <c r="AQ78" i="3" s="1"/>
  <c r="F6" i="63"/>
  <c r="F7" i="63" s="1"/>
  <c r="K96" i="55"/>
  <c r="Q96" i="55"/>
  <c r="L96" i="55"/>
  <c r="G6" i="63"/>
  <c r="G7" i="63" s="1"/>
  <c r="AQ102" i="3" a="1"/>
  <c r="AQ102" i="3" s="1"/>
  <c r="E101" i="63"/>
  <c r="O96" i="55"/>
  <c r="F104" i="63"/>
  <c r="F105" i="63" s="1"/>
  <c r="I96" i="55"/>
  <c r="AR60" i="58" a="1"/>
  <c r="AR60" i="58" s="1"/>
  <c r="AR70" i="58" a="1"/>
  <c r="AR70" i="58" s="1"/>
  <c r="AR63" i="58" a="1"/>
  <c r="AR63" i="58" s="1"/>
  <c r="E45" i="3"/>
  <c r="Q41" i="28"/>
  <c r="AL40" i="31"/>
  <c r="S41" i="26"/>
  <c r="AA41" i="31"/>
  <c r="W41" i="31"/>
  <c r="AK41" i="31"/>
  <c r="U41" i="31"/>
  <c r="AI41" i="31"/>
  <c r="AC41" i="31"/>
  <c r="AQ39" i="54"/>
  <c r="CY40" i="54"/>
  <c r="CM40" i="54"/>
  <c r="BC40" i="54"/>
  <c r="CE40" i="54"/>
  <c r="AE40" i="54"/>
  <c r="S40" i="54"/>
  <c r="DC40" i="54"/>
  <c r="AI40" i="54"/>
  <c r="W40" i="54"/>
  <c r="CQ40" i="54"/>
  <c r="BG40" i="54"/>
  <c r="AU40" i="54"/>
  <c r="CM39" i="54"/>
  <c r="CY39" i="54"/>
  <c r="CA39" i="54"/>
  <c r="BC39" i="54"/>
  <c r="AE39" i="54"/>
  <c r="DA39" i="54"/>
  <c r="CG39" i="54"/>
  <c r="AS39" i="54"/>
  <c r="CO39" i="54"/>
  <c r="BE39" i="54"/>
  <c r="K40" i="54"/>
  <c r="A41" i="54"/>
  <c r="M40" i="54"/>
  <c r="BK40" i="54"/>
  <c r="AY40" i="54"/>
  <c r="G40" i="54"/>
  <c r="BA40" i="54"/>
  <c r="C40" i="54"/>
  <c r="BI40" i="54"/>
  <c r="AS40" i="54"/>
  <c r="CG40" i="54"/>
  <c r="AW40" i="54"/>
  <c r="Q40" i="54"/>
  <c r="CI40" i="54"/>
  <c r="AA40" i="54"/>
  <c r="BU40" i="54"/>
  <c r="CW40" i="54"/>
  <c r="DE40" i="54"/>
  <c r="CC40" i="54"/>
  <c r="AO40" i="54"/>
  <c r="CO40" i="54"/>
  <c r="BW40" i="54"/>
  <c r="BE40" i="54"/>
  <c r="E40" i="54"/>
  <c r="BQ39" i="54"/>
  <c r="BK39" i="54"/>
  <c r="CK39" i="54"/>
  <c r="C39" i="54"/>
  <c r="AC39" i="54"/>
  <c r="CI39" i="54"/>
  <c r="BU39" i="54"/>
  <c r="AW39" i="54"/>
  <c r="CS39" i="54"/>
  <c r="U39" i="54"/>
  <c r="Q39" i="54"/>
  <c r="CW39" i="54"/>
  <c r="AO39" i="54"/>
  <c r="E39" i="54"/>
  <c r="F8" i="58"/>
  <c r="F37" i="3"/>
  <c r="AQ116" i="3"/>
  <c r="F67" i="3"/>
  <c r="E60" i="3"/>
  <c r="E66" i="3"/>
  <c r="E111" i="3"/>
  <c r="F91" i="3"/>
  <c r="E90" i="3"/>
  <c r="E84" i="3"/>
  <c r="AR119" i="3"/>
  <c r="AR121" i="3"/>
  <c r="AP119" i="3"/>
  <c r="AS108" i="3"/>
  <c r="AS122" i="3"/>
  <c r="AP121" i="3"/>
  <c r="AO119" i="3"/>
  <c r="AS115" i="3"/>
  <c r="AS116" i="3" s="1"/>
  <c r="AP120" i="3"/>
  <c r="AR118" i="3"/>
  <c r="AP122" i="3"/>
  <c r="AO120" i="3"/>
  <c r="AO122" i="3"/>
  <c r="AS119" i="3"/>
  <c r="AP118" i="3"/>
  <c r="AP115" i="3"/>
  <c r="AP116" i="3" s="1"/>
  <c r="AS121" i="3"/>
  <c r="AO118" i="3"/>
  <c r="AO115" i="3"/>
  <c r="AO116" i="3" s="1"/>
  <c r="AR108" i="3"/>
  <c r="AR122" i="3"/>
  <c r="AO121" i="3"/>
  <c r="AS118" i="3"/>
  <c r="AR115" i="3"/>
  <c r="AR116" i="3" s="1"/>
  <c r="AR105" i="3"/>
  <c r="AP108" i="3"/>
  <c r="AS102" i="3"/>
  <c r="AR102" i="3"/>
  <c r="AO108" i="3"/>
  <c r="AS105" i="3"/>
  <c r="AP105" i="3"/>
  <c r="AO105" i="3"/>
  <c r="AO102" i="3"/>
  <c r="AP102" i="3"/>
  <c r="E44" i="3"/>
  <c r="E80" i="3"/>
  <c r="AR95" i="3"/>
  <c r="AO93" i="3"/>
  <c r="AS88" i="3"/>
  <c r="AS71" i="3"/>
  <c r="AS96" i="3"/>
  <c r="AP95" i="3"/>
  <c r="AP94" i="3"/>
  <c r="AR92" i="3"/>
  <c r="AR81" i="3"/>
  <c r="AO78" i="3"/>
  <c r="AR96" i="3"/>
  <c r="AO95" i="3"/>
  <c r="AO94" i="3"/>
  <c r="AS72" i="3"/>
  <c r="AP71" i="3"/>
  <c r="AP70" i="3"/>
  <c r="AR68" i="3"/>
  <c r="AR57" i="3"/>
  <c r="AO54" i="3"/>
  <c r="AR93" i="3"/>
  <c r="AO92" i="3"/>
  <c r="AO88" i="3"/>
  <c r="AP81" i="3"/>
  <c r="AS78" i="3"/>
  <c r="AS69" i="3"/>
  <c r="AP68" i="3"/>
  <c r="AP64" i="3"/>
  <c r="AO81" i="3"/>
  <c r="AR78" i="3"/>
  <c r="AP72" i="3"/>
  <c r="AP93" i="3"/>
  <c r="AO57" i="3"/>
  <c r="AR54" i="3"/>
  <c r="AP69" i="3"/>
  <c r="AS93" i="3"/>
  <c r="AP92" i="3"/>
  <c r="AP88" i="3"/>
  <c r="AR72" i="3"/>
  <c r="AO71" i="3"/>
  <c r="AO70" i="3"/>
  <c r="AP96" i="3"/>
  <c r="AO72" i="3"/>
  <c r="AS92" i="3"/>
  <c r="AR88" i="3"/>
  <c r="AS81" i="3"/>
  <c r="AP78" i="3"/>
  <c r="AR71" i="3"/>
  <c r="AO69" i="3"/>
  <c r="AS64" i="3"/>
  <c r="AS68" i="3"/>
  <c r="AR64" i="3"/>
  <c r="AS57" i="3"/>
  <c r="AP54" i="3"/>
  <c r="AO96" i="3"/>
  <c r="AR69" i="3"/>
  <c r="AO68" i="3"/>
  <c r="AO64" i="3"/>
  <c r="AP57" i="3"/>
  <c r="AS54" i="3"/>
  <c r="AS95" i="3"/>
  <c r="AS48" i="3"/>
  <c r="AP47" i="3"/>
  <c r="AS45" i="3"/>
  <c r="AP44" i="3"/>
  <c r="AP48" i="3"/>
  <c r="AP45" i="3"/>
  <c r="AO45" i="3"/>
  <c r="AS44" i="3"/>
  <c r="AO46" i="3"/>
  <c r="AR48" i="3"/>
  <c r="AR45" i="3"/>
  <c r="AO48" i="3"/>
  <c r="AS47" i="3"/>
  <c r="AR47" i="3"/>
  <c r="AP46" i="3"/>
  <c r="AR44" i="3"/>
  <c r="AO47" i="3"/>
  <c r="AO44" i="3"/>
  <c r="AR41" i="3"/>
  <c r="AP41" i="3"/>
  <c r="AS41" i="3"/>
  <c r="AO41" i="3"/>
  <c r="I40" i="31"/>
  <c r="AP34" i="3"/>
  <c r="AS31" i="3"/>
  <c r="AO34" i="3"/>
  <c r="AR31" i="3"/>
  <c r="AS34" i="3"/>
  <c r="AP31" i="3"/>
  <c r="AR34" i="3"/>
  <c r="AO31" i="3"/>
  <c r="S40" i="32"/>
  <c r="E34" i="3"/>
  <c r="AT41" i="32"/>
  <c r="F43" i="3"/>
  <c r="E117" i="3"/>
  <c r="E140" i="3"/>
  <c r="E134" i="3"/>
  <c r="AM41" i="32"/>
  <c r="AL41" i="32"/>
  <c r="T39" i="32"/>
  <c r="T40" i="32"/>
  <c r="E47" i="3"/>
  <c r="E41" i="3"/>
  <c r="AQ41" i="3" s="1" a="1"/>
  <c r="AQ41" i="3" s="1"/>
  <c r="A43" i="32"/>
  <c r="E83" i="3"/>
  <c r="BB41" i="32"/>
  <c r="BC41" i="32"/>
  <c r="C41" i="32"/>
  <c r="J41" i="32"/>
  <c r="K41" i="32" s="1"/>
  <c r="AA41" i="32"/>
  <c r="AB41" i="32"/>
  <c r="R41" i="32"/>
  <c r="V40" i="32"/>
  <c r="F33" i="3"/>
  <c r="F41" i="32"/>
  <c r="AR41" i="32"/>
  <c r="AQ41" i="32"/>
  <c r="E48" i="3"/>
  <c r="E31" i="3"/>
  <c r="E11" i="3"/>
  <c r="AR5" i="3"/>
  <c r="AS25" i="3"/>
  <c r="AR22" i="3"/>
  <c r="AS24" i="3"/>
  <c r="AR21" i="3"/>
  <c r="AS22" i="3"/>
  <c r="AS21" i="3"/>
  <c r="AR25" i="3"/>
  <c r="AR24" i="3"/>
  <c r="AP22" i="3"/>
  <c r="AP21" i="3"/>
  <c r="AR14" i="3"/>
  <c r="AO23" i="3"/>
  <c r="AP25" i="3"/>
  <c r="AS14" i="3"/>
  <c r="AP23" i="3"/>
  <c r="AO8" i="3"/>
  <c r="AO5" i="3"/>
  <c r="AO24" i="3"/>
  <c r="AO14" i="3"/>
  <c r="AS5" i="3"/>
  <c r="AP24" i="3"/>
  <c r="AS8" i="3"/>
  <c r="AP5" i="3"/>
  <c r="AO21" i="3"/>
  <c r="AP8" i="3"/>
  <c r="AO25" i="3"/>
  <c r="AR8" i="3"/>
  <c r="AO22" i="3"/>
  <c r="AP14" i="3"/>
  <c r="AY41" i="32"/>
  <c r="AE41" i="32"/>
  <c r="U41" i="32"/>
  <c r="M41" i="32"/>
  <c r="N41" i="32" s="1"/>
  <c r="AD41" i="32"/>
  <c r="AR18" i="57"/>
  <c r="O40" i="32"/>
  <c r="AI41" i="32"/>
  <c r="AP18" i="57"/>
  <c r="AS18" i="57"/>
  <c r="E54" i="57"/>
  <c r="AO18" i="57"/>
  <c r="AQ18" i="57"/>
  <c r="F14" i="58"/>
  <c r="AS60" i="58"/>
  <c r="AS70" i="58"/>
  <c r="AQ70" i="58"/>
  <c r="AP70" i="58"/>
  <c r="AQ63" i="58"/>
  <c r="AT63" i="58"/>
  <c r="AS63" i="58"/>
  <c r="AT70" i="58"/>
  <c r="AP63" i="58"/>
  <c r="AQ60" i="58"/>
  <c r="AT60" i="58"/>
  <c r="AP60" i="58"/>
  <c r="AR54" i="57"/>
  <c r="AR53" i="57"/>
  <c r="AS71" i="57"/>
  <c r="AS72" i="57"/>
  <c r="AO72" i="57"/>
  <c r="AO71" i="57"/>
  <c r="AQ11" i="57"/>
  <c r="E72" i="57"/>
  <c r="AR72" i="57"/>
  <c r="AR71" i="57"/>
  <c r="AQ72" i="57"/>
  <c r="AQ71" i="57"/>
  <c r="AQ66" i="57"/>
  <c r="AP54" i="57"/>
  <c r="AP53" i="57"/>
  <c r="AO54" i="57"/>
  <c r="AO53" i="57"/>
  <c r="AS54" i="57"/>
  <c r="AS53" i="57"/>
  <c r="AP72" i="57"/>
  <c r="AP71" i="57"/>
  <c r="AQ54" i="57"/>
  <c r="AQ53" i="57"/>
  <c r="AQ48" i="57"/>
  <c r="AQ36" i="57"/>
  <c r="AQ31" i="57"/>
  <c r="AQ89" i="57"/>
  <c r="AS48" i="57"/>
  <c r="AO66" i="57"/>
  <c r="AP89" i="57"/>
  <c r="AP84" i="57"/>
  <c r="AP48" i="57"/>
  <c r="AR48" i="57"/>
  <c r="AS66" i="57"/>
  <c r="AR66" i="57"/>
  <c r="AO48" i="57"/>
  <c r="AP66" i="57"/>
  <c r="AR89" i="57"/>
  <c r="AR84" i="57"/>
  <c r="AS89" i="57"/>
  <c r="AS84" i="57"/>
  <c r="AO89" i="57"/>
  <c r="AO84" i="57"/>
  <c r="AP31" i="57"/>
  <c r="AP36" i="57"/>
  <c r="AO31" i="57"/>
  <c r="AO36" i="57"/>
  <c r="AS36" i="57"/>
  <c r="AS31" i="57"/>
  <c r="AR36" i="57"/>
  <c r="AR31" i="57"/>
  <c r="AS11" i="57"/>
  <c r="E24" i="62"/>
  <c r="E24" i="66"/>
  <c r="E24" i="67"/>
  <c r="E77" i="67"/>
  <c r="E81" i="67"/>
  <c r="E83" i="67" s="1"/>
  <c r="AP11" i="57"/>
  <c r="AP106" i="57"/>
  <c r="E43" i="67"/>
  <c r="E47" i="67"/>
  <c r="E49" i="67" s="1"/>
  <c r="E5" i="62"/>
  <c r="E81" i="62"/>
  <c r="E83" i="62" s="1"/>
  <c r="E77" i="62"/>
  <c r="E5" i="66"/>
  <c r="AO11" i="57"/>
  <c r="AO106" i="57"/>
  <c r="E36" i="57"/>
  <c r="E31" i="57"/>
  <c r="E64" i="62"/>
  <c r="E66" i="62" s="1"/>
  <c r="E60" i="62"/>
  <c r="E5" i="67"/>
  <c r="E60" i="67"/>
  <c r="E64" i="67"/>
  <c r="E66" i="67" s="1"/>
  <c r="F5" i="58"/>
  <c r="E34" i="66"/>
  <c r="E34" i="62"/>
  <c r="E34" i="67"/>
  <c r="E60" i="66"/>
  <c r="E64" i="66"/>
  <c r="E66" i="66" s="1"/>
  <c r="E43" i="66"/>
  <c r="E47" i="66"/>
  <c r="E49" i="66" s="1"/>
  <c r="E43" i="62"/>
  <c r="E47" i="62"/>
  <c r="E49" i="62" s="1"/>
  <c r="E77" i="66"/>
  <c r="E81" i="66"/>
  <c r="E83" i="66" s="1"/>
  <c r="F80" i="58"/>
  <c r="F62" i="58"/>
  <c r="F35" i="58"/>
  <c r="K18" i="58"/>
  <c r="G18" i="58"/>
  <c r="L18" i="58"/>
  <c r="M18" i="58"/>
  <c r="H18" i="58"/>
  <c r="J18" i="58"/>
  <c r="N18" i="58"/>
  <c r="I18" i="58"/>
  <c r="L7" i="58"/>
  <c r="M16" i="58"/>
  <c r="H16" i="58"/>
  <c r="H7" i="58"/>
  <c r="M7" i="58"/>
  <c r="J16" i="58"/>
  <c r="N16" i="58"/>
  <c r="I16" i="58"/>
  <c r="K7" i="58"/>
  <c r="N7" i="58"/>
  <c r="I7" i="58"/>
  <c r="K16" i="58"/>
  <c r="G16" i="58"/>
  <c r="J7" i="58"/>
  <c r="G7" i="58"/>
  <c r="L16" i="58"/>
  <c r="H11" i="58"/>
  <c r="M10" i="58"/>
  <c r="M11" i="58"/>
  <c r="N11" i="58"/>
  <c r="I11" i="58"/>
  <c r="J11" i="58"/>
  <c r="L11" i="58"/>
  <c r="G11" i="58"/>
  <c r="K11" i="58"/>
  <c r="L28" i="58"/>
  <c r="L54" i="58" s="1"/>
  <c r="I25" i="58"/>
  <c r="Q40" i="26"/>
  <c r="H28" i="58"/>
  <c r="H54" i="58" s="1"/>
  <c r="I28" i="58"/>
  <c r="I54" i="58" s="1"/>
  <c r="I35" i="58"/>
  <c r="G28" i="58"/>
  <c r="G54" i="58" s="1"/>
  <c r="H35" i="58"/>
  <c r="K35" i="58"/>
  <c r="J35" i="58"/>
  <c r="N25" i="58"/>
  <c r="K25" i="58"/>
  <c r="M28" i="58"/>
  <c r="M72" i="58" s="1"/>
  <c r="G35" i="58"/>
  <c r="G25" i="58"/>
  <c r="H25" i="58"/>
  <c r="L35" i="58"/>
  <c r="L25" i="58"/>
  <c r="N35" i="58"/>
  <c r="K28" i="58"/>
  <c r="K54" i="58" s="1"/>
  <c r="M25" i="58"/>
  <c r="M27" i="58" s="1"/>
  <c r="J25" i="58"/>
  <c r="N28" i="58"/>
  <c r="N72" i="58" s="1"/>
  <c r="J28" i="58"/>
  <c r="J54" i="58" s="1"/>
  <c r="M35" i="58"/>
  <c r="H89" i="58"/>
  <c r="H84" i="58"/>
  <c r="F84" i="58"/>
  <c r="K89" i="58"/>
  <c r="K84" i="58"/>
  <c r="L89" i="58"/>
  <c r="L84" i="58"/>
  <c r="J89" i="58"/>
  <c r="J84" i="58"/>
  <c r="M89" i="58"/>
  <c r="M84" i="58"/>
  <c r="G89" i="58"/>
  <c r="G84" i="58"/>
  <c r="I89" i="58"/>
  <c r="I84" i="58"/>
  <c r="N89" i="58"/>
  <c r="N84" i="58"/>
  <c r="U65" i="58"/>
  <c r="U66" i="58"/>
  <c r="P66" i="58"/>
  <c r="Y66" i="58"/>
  <c r="N65" i="58"/>
  <c r="N71" i="58"/>
  <c r="N66" i="58"/>
  <c r="J71" i="58"/>
  <c r="J65" i="58"/>
  <c r="J66" i="58"/>
  <c r="K65" i="58"/>
  <c r="K71" i="58"/>
  <c r="K66" i="58"/>
  <c r="T66" i="58"/>
  <c r="AC66" i="58"/>
  <c r="I71" i="58"/>
  <c r="I66" i="58"/>
  <c r="Q66" i="58"/>
  <c r="G71" i="58"/>
  <c r="G66" i="58"/>
  <c r="X66" i="58"/>
  <c r="AG66" i="58"/>
  <c r="AD66" i="58"/>
  <c r="R65" i="58"/>
  <c r="R66" i="58"/>
  <c r="S65" i="58"/>
  <c r="S66" i="58"/>
  <c r="AB66" i="58"/>
  <c r="AK66" i="58"/>
  <c r="H71" i="58"/>
  <c r="H66" i="58"/>
  <c r="H65" i="58"/>
  <c r="F66" i="58"/>
  <c r="F65" i="58"/>
  <c r="O66" i="58"/>
  <c r="O65" i="58"/>
  <c r="AF66" i="58"/>
  <c r="AF65" i="58"/>
  <c r="AO66" i="58"/>
  <c r="Z66" i="58"/>
  <c r="AA66" i="58"/>
  <c r="AJ65" i="58"/>
  <c r="AJ66" i="58"/>
  <c r="S62" i="58"/>
  <c r="L71" i="58"/>
  <c r="L66" i="58"/>
  <c r="V66" i="58"/>
  <c r="W66" i="58"/>
  <c r="AN66" i="58"/>
  <c r="AN65" i="58"/>
  <c r="AH65" i="58"/>
  <c r="AH66" i="58"/>
  <c r="AI65" i="58"/>
  <c r="AI66" i="58"/>
  <c r="AL66" i="58"/>
  <c r="AE66" i="58"/>
  <c r="M65" i="58"/>
  <c r="M71" i="58"/>
  <c r="M66" i="58"/>
  <c r="AM66" i="58"/>
  <c r="AM65" i="58"/>
  <c r="J48" i="58"/>
  <c r="J53" i="58"/>
  <c r="G53" i="58"/>
  <c r="G48" i="58"/>
  <c r="H53" i="58"/>
  <c r="H48" i="58"/>
  <c r="I53" i="58"/>
  <c r="I48" i="58"/>
  <c r="F48" i="58"/>
  <c r="F28" i="58"/>
  <c r="F25" i="58"/>
  <c r="H44" i="58"/>
  <c r="N48" i="58"/>
  <c r="N53" i="58"/>
  <c r="L48" i="58"/>
  <c r="L53" i="58"/>
  <c r="M53" i="58"/>
  <c r="M48" i="58"/>
  <c r="K48" i="58"/>
  <c r="K53" i="58"/>
  <c r="AM40" i="31"/>
  <c r="G40" i="31"/>
  <c r="AZ38" i="31"/>
  <c r="AA40" i="31"/>
  <c r="A42" i="31"/>
  <c r="BO41" i="31"/>
  <c r="BM41" i="31"/>
  <c r="BK41" i="31"/>
  <c r="BQ41" i="31"/>
  <c r="Q39" i="31"/>
  <c r="AT39" i="31"/>
  <c r="AM39" i="31"/>
  <c r="D40" i="31"/>
  <c r="L40" i="31"/>
  <c r="P40" i="31"/>
  <c r="Q40" i="31" s="1"/>
  <c r="N40" i="31"/>
  <c r="O40" i="31" s="1"/>
  <c r="J40" i="31"/>
  <c r="K40" i="31" s="1"/>
  <c r="B40" i="31"/>
  <c r="C40" i="31" s="1"/>
  <c r="S40" i="31"/>
  <c r="U40" i="31"/>
  <c r="AS39" i="31"/>
  <c r="AW39" i="31"/>
  <c r="AO39" i="31"/>
  <c r="AU39" i="31"/>
  <c r="AY39" i="31" s="1"/>
  <c r="BI40" i="31"/>
  <c r="AR40" i="31"/>
  <c r="AK40" i="31"/>
  <c r="BG40" i="31"/>
  <c r="AP40" i="31"/>
  <c r="AN40" i="31"/>
  <c r="BE40" i="31"/>
  <c r="AG40" i="31"/>
  <c r="BC40" i="31"/>
  <c r="AE40" i="31"/>
  <c r="AV39" i="31"/>
  <c r="AZ39" i="31" s="1"/>
  <c r="BJ39" i="28"/>
  <c r="X41" i="28"/>
  <c r="V41" i="28"/>
  <c r="CL41" i="28"/>
  <c r="BG40" i="28"/>
  <c r="AX40" i="28"/>
  <c r="AY40" i="26"/>
  <c r="AR39" i="28"/>
  <c r="X40" i="26"/>
  <c r="AO40" i="26"/>
  <c r="I40" i="28"/>
  <c r="J40" i="28" s="1"/>
  <c r="E40" i="28"/>
  <c r="CP41" i="28"/>
  <c r="BX40" i="28"/>
  <c r="CN40" i="28"/>
  <c r="AC39" i="26"/>
  <c r="W39" i="26"/>
  <c r="CF40" i="28"/>
  <c r="Z40" i="26"/>
  <c r="AA40" i="26" s="1"/>
  <c r="AQ40" i="26"/>
  <c r="AH38" i="26"/>
  <c r="N39" i="28"/>
  <c r="AK41" i="28"/>
  <c r="BI39" i="28"/>
  <c r="H40" i="26"/>
  <c r="I40" i="26" s="1"/>
  <c r="F40" i="26"/>
  <c r="G40" i="26" s="1"/>
  <c r="B40" i="26"/>
  <c r="AD39" i="26"/>
  <c r="Y39" i="26"/>
  <c r="AS41" i="28"/>
  <c r="AT41" i="28" s="1"/>
  <c r="BR41" i="28"/>
  <c r="AO41" i="28"/>
  <c r="AE39" i="26"/>
  <c r="AA39" i="26"/>
  <c r="M41" i="26"/>
  <c r="A42" i="26"/>
  <c r="V40" i="26"/>
  <c r="AM40" i="26"/>
  <c r="AA41" i="28"/>
  <c r="AW41" i="28"/>
  <c r="BV41" i="28"/>
  <c r="E40" i="26"/>
  <c r="AC40" i="28"/>
  <c r="BD39" i="28"/>
  <c r="S40" i="28"/>
  <c r="BL39" i="28"/>
  <c r="BH40" i="28"/>
  <c r="BB40" i="28"/>
  <c r="H40" i="28"/>
  <c r="A43" i="28"/>
  <c r="CD42" i="28"/>
  <c r="BA41" i="28"/>
  <c r="K40" i="26"/>
  <c r="T40" i="26"/>
  <c r="AK40" i="26"/>
  <c r="AS40" i="26"/>
  <c r="AG38" i="26"/>
  <c r="BE40" i="28"/>
  <c r="K41" i="28"/>
  <c r="CD41" i="28"/>
  <c r="CR40" i="28"/>
  <c r="BF40" i="28"/>
  <c r="AT40" i="28"/>
  <c r="G39" i="26"/>
  <c r="CJ40" i="28"/>
  <c r="CB40" i="28"/>
  <c r="C39" i="26"/>
  <c r="AB39" i="26"/>
  <c r="L40" i="28"/>
  <c r="CJ41" i="28"/>
  <c r="C41" i="28"/>
  <c r="AO85" i="58" l="1"/>
  <c r="K27" i="58"/>
  <c r="AB31" i="67"/>
  <c r="AB65" i="62"/>
  <c r="AC12" i="62"/>
  <c r="AJ65" i="62"/>
  <c r="AN31" i="66"/>
  <c r="C54" i="55"/>
  <c r="P6" i="63" s="1"/>
  <c r="P7" i="63" s="1"/>
  <c r="AE31" i="66"/>
  <c r="AL31" i="67"/>
  <c r="Y31" i="67"/>
  <c r="J27" i="58"/>
  <c r="AA42" i="28"/>
  <c r="P85" i="58"/>
  <c r="AC82" i="67"/>
  <c r="S48" i="67"/>
  <c r="I27" i="58"/>
  <c r="J10" i="58"/>
  <c r="AG82" i="67"/>
  <c r="AH48" i="62"/>
  <c r="L27" i="58"/>
  <c r="AF42" i="28"/>
  <c r="H27" i="58"/>
  <c r="AG12" i="62"/>
  <c r="T65" i="66"/>
  <c r="Y65" i="62"/>
  <c r="AG48" i="67"/>
  <c r="N27" i="58"/>
  <c r="AL12" i="66"/>
  <c r="AM65" i="67"/>
  <c r="AL31" i="66"/>
  <c r="AC48" i="67"/>
  <c r="AL12" i="67"/>
  <c r="AL67" i="58"/>
  <c r="AL68" i="58" s="1"/>
  <c r="T31" i="66"/>
  <c r="AK31" i="66"/>
  <c r="AM82" i="67"/>
  <c r="X31" i="62"/>
  <c r="AD65" i="62"/>
  <c r="AM67" i="58"/>
  <c r="AM68" i="58" s="1"/>
  <c r="AM65" i="62"/>
  <c r="AB12" i="66"/>
  <c r="E82" i="66"/>
  <c r="AL65" i="62"/>
  <c r="W12" i="66"/>
  <c r="AD12" i="66"/>
  <c r="X65" i="66"/>
  <c r="AJ31" i="62"/>
  <c r="AA12" i="67"/>
  <c r="S65" i="62"/>
  <c r="AM48" i="62"/>
  <c r="AK12" i="62"/>
  <c r="AI82" i="66"/>
  <c r="AI31" i="66"/>
  <c r="AB65" i="66"/>
  <c r="M85" i="58"/>
  <c r="M86" i="58" s="1"/>
  <c r="AF67" i="58"/>
  <c r="AF68" i="58" s="1"/>
  <c r="V48" i="62"/>
  <c r="AE65" i="62"/>
  <c r="AD31" i="62"/>
  <c r="S31" i="66"/>
  <c r="AF31" i="62"/>
  <c r="G27" i="58"/>
  <c r="AA82" i="62"/>
  <c r="AF12" i="67"/>
  <c r="AM31" i="67"/>
  <c r="Y31" i="66"/>
  <c r="AG82" i="62"/>
  <c r="AN31" i="62"/>
  <c r="AI65" i="66"/>
  <c r="V82" i="62"/>
  <c r="AG31" i="66"/>
  <c r="W31" i="66"/>
  <c r="G85" i="58"/>
  <c r="G86" i="58" s="1"/>
  <c r="N67" i="58"/>
  <c r="N68" i="58" s="1"/>
  <c r="AE12" i="62"/>
  <c r="T82" i="67"/>
  <c r="AD48" i="62"/>
  <c r="T12" i="66"/>
  <c r="X65" i="62"/>
  <c r="K85" i="58"/>
  <c r="K86" i="58" s="1"/>
  <c r="Q67" i="58"/>
  <c r="Q68" i="58" s="1"/>
  <c r="AK67" i="58"/>
  <c r="AK68" i="58" s="1"/>
  <c r="AC65" i="62"/>
  <c r="AC31" i="67"/>
  <c r="V31" i="67"/>
  <c r="AI82" i="62"/>
  <c r="V31" i="66"/>
  <c r="V48" i="66"/>
  <c r="AK31" i="62"/>
  <c r="AH31" i="62"/>
  <c r="S82" i="66"/>
  <c r="AH82" i="66"/>
  <c r="AN12" i="67"/>
  <c r="W31" i="62"/>
  <c r="AD12" i="67"/>
  <c r="Q65" i="58"/>
  <c r="AD31" i="66"/>
  <c r="U48" i="66"/>
  <c r="V85" i="58"/>
  <c r="AM85" i="58"/>
  <c r="T48" i="62"/>
  <c r="W82" i="67"/>
  <c r="K67" i="58"/>
  <c r="K68" i="58" s="1"/>
  <c r="Y48" i="67"/>
  <c r="S12" i="67"/>
  <c r="S65" i="67"/>
  <c r="V65" i="66"/>
  <c r="X48" i="67"/>
  <c r="AK12" i="67"/>
  <c r="AC65" i="67"/>
  <c r="AJ31" i="67"/>
  <c r="AA82" i="67"/>
  <c r="AN48" i="62"/>
  <c r="W48" i="66"/>
  <c r="N85" i="58"/>
  <c r="N86" i="58" s="1"/>
  <c r="AG65" i="62"/>
  <c r="AB67" i="58"/>
  <c r="AB68" i="58" s="1"/>
  <c r="U65" i="62"/>
  <c r="AE82" i="66"/>
  <c r="AL65" i="58"/>
  <c r="X12" i="66"/>
  <c r="AG48" i="62"/>
  <c r="AJ82" i="66"/>
  <c r="Y82" i="66"/>
  <c r="AK48" i="66"/>
  <c r="K83" i="58"/>
  <c r="AK65" i="58"/>
  <c r="AI85" i="58"/>
  <c r="E65" i="67"/>
  <c r="AN48" i="66"/>
  <c r="N83" i="58"/>
  <c r="AP15" i="58"/>
  <c r="AM31" i="66"/>
  <c r="AI48" i="67"/>
  <c r="V12" i="58"/>
  <c r="AC67" i="58"/>
  <c r="AC68" i="58" s="1"/>
  <c r="AC65" i="58"/>
  <c r="M83" i="58"/>
  <c r="AB85" i="58"/>
  <c r="AJ85" i="58"/>
  <c r="AB65" i="67"/>
  <c r="AM12" i="66"/>
  <c r="AG65" i="67"/>
  <c r="I10" i="58"/>
  <c r="Z85" i="58"/>
  <c r="AC12" i="58"/>
  <c r="AH12" i="67"/>
  <c r="AO59" i="66"/>
  <c r="AB48" i="62"/>
  <c r="AI48" i="66"/>
  <c r="AB82" i="67"/>
  <c r="U65" i="66"/>
  <c r="V12" i="67"/>
  <c r="AD82" i="66"/>
  <c r="AF31" i="66"/>
  <c r="AG82" i="66"/>
  <c r="AN31" i="67"/>
  <c r="U48" i="62"/>
  <c r="AO6" i="67"/>
  <c r="AB82" i="62"/>
  <c r="AG65" i="66"/>
  <c r="AK65" i="67"/>
  <c r="AM12" i="62"/>
  <c r="K10" i="58"/>
  <c r="N10" i="58"/>
  <c r="J67" i="58"/>
  <c r="J68" i="58" s="1"/>
  <c r="AF12" i="58"/>
  <c r="AG12" i="58"/>
  <c r="AH67" i="58"/>
  <c r="AH68" i="58" s="1"/>
  <c r="AM12" i="58"/>
  <c r="AL85" i="58"/>
  <c r="AA31" i="62"/>
  <c r="AB31" i="62"/>
  <c r="AI12" i="62"/>
  <c r="Y65" i="66"/>
  <c r="AA12" i="66"/>
  <c r="E82" i="67"/>
  <c r="AD12" i="62"/>
  <c r="M67" i="58"/>
  <c r="M68" i="58" s="1"/>
  <c r="O85" i="58"/>
  <c r="U85" i="58"/>
  <c r="Y85" i="58"/>
  <c r="AE85" i="58"/>
  <c r="AI67" i="58"/>
  <c r="AI68" i="58" s="1"/>
  <c r="AJ12" i="58"/>
  <c r="S12" i="62"/>
  <c r="U82" i="62"/>
  <c r="AN67" i="58"/>
  <c r="AN68" i="58" s="1"/>
  <c r="AE12" i="67"/>
  <c r="Y82" i="67"/>
  <c r="U12" i="66"/>
  <c r="U31" i="67"/>
  <c r="AI31" i="67"/>
  <c r="AM82" i="66"/>
  <c r="AA31" i="66"/>
  <c r="AH48" i="67"/>
  <c r="AM31" i="62"/>
  <c r="U82" i="66"/>
  <c r="AC12" i="66"/>
  <c r="S48" i="66"/>
  <c r="AB65" i="58"/>
  <c r="V67" i="58"/>
  <c r="V68" i="58" s="1"/>
  <c r="AJ48" i="66"/>
  <c r="AB12" i="67"/>
  <c r="AL48" i="66"/>
  <c r="H85" i="58"/>
  <c r="H86" i="58" s="1"/>
  <c r="R85" i="58"/>
  <c r="X67" i="58"/>
  <c r="X68" i="58" s="1"/>
  <c r="AO28" i="66"/>
  <c r="AP61" i="58"/>
  <c r="AG85" i="58"/>
  <c r="AN65" i="62"/>
  <c r="AI65" i="67"/>
  <c r="AC65" i="66"/>
  <c r="AJ48" i="62"/>
  <c r="AE82" i="67"/>
  <c r="G10" i="58"/>
  <c r="AL12" i="62"/>
  <c r="AH31" i="67"/>
  <c r="AA12" i="62"/>
  <c r="AE12" i="58"/>
  <c r="AK31" i="67"/>
  <c r="G83" i="58"/>
  <c r="L10" i="58"/>
  <c r="H10" i="58"/>
  <c r="Y12" i="58"/>
  <c r="AG67" i="58"/>
  <c r="AG68" i="58" s="1"/>
  <c r="AH12" i="58"/>
  <c r="E82" i="62"/>
  <c r="Y31" i="62"/>
  <c r="T82" i="62"/>
  <c r="T82" i="66"/>
  <c r="AK65" i="62"/>
  <c r="V82" i="66"/>
  <c r="AR64" i="58" a="1"/>
  <c r="AR64" i="58" s="1"/>
  <c r="F67" i="58"/>
  <c r="F68" i="58" s="1"/>
  <c r="AQ96" i="58"/>
  <c r="S97" i="58"/>
  <c r="AL49" i="58"/>
  <c r="AL29" i="58"/>
  <c r="AL32" i="58" s="1"/>
  <c r="AO62" i="66"/>
  <c r="Z65" i="66"/>
  <c r="AO62" i="62"/>
  <c r="Z65" i="62"/>
  <c r="AO9" i="66"/>
  <c r="Z12" i="66"/>
  <c r="R94" i="62"/>
  <c r="AP94" i="62" s="1"/>
  <c r="AP93" i="62"/>
  <c r="Z97" i="66"/>
  <c r="AO97" i="66" s="1"/>
  <c r="Z99" i="66"/>
  <c r="Z100" i="66" s="1"/>
  <c r="AO96" i="66"/>
  <c r="R31" i="62"/>
  <c r="AP28" i="62"/>
  <c r="E29" i="62"/>
  <c r="E31" i="62"/>
  <c r="P81" i="63"/>
  <c r="E91" i="3"/>
  <c r="AQ34" i="3" a="1"/>
  <c r="AQ34" i="3" s="1"/>
  <c r="I49" i="58"/>
  <c r="I50" i="58" s="1"/>
  <c r="I29" i="58"/>
  <c r="I32" i="58" s="1"/>
  <c r="Y100" i="58"/>
  <c r="Y102" i="58"/>
  <c r="Y103" i="58" s="1"/>
  <c r="AH49" i="58"/>
  <c r="AH29" i="58"/>
  <c r="AH32" i="58" s="1"/>
  <c r="AA97" i="62"/>
  <c r="AA99" i="62"/>
  <c r="AA100" i="62" s="1"/>
  <c r="Y82" i="62"/>
  <c r="AK48" i="67"/>
  <c r="S65" i="66"/>
  <c r="R97" i="67"/>
  <c r="AP97" i="67" s="1"/>
  <c r="R99" i="67"/>
  <c r="R100" i="67" s="1"/>
  <c r="AP96" i="67"/>
  <c r="AA99" i="67"/>
  <c r="AA100" i="67" s="1"/>
  <c r="AA97" i="67"/>
  <c r="AO9" i="67"/>
  <c r="Z12" i="67"/>
  <c r="AO15" i="62"/>
  <c r="G29" i="58"/>
  <c r="G32" i="58" s="1"/>
  <c r="G49" i="58"/>
  <c r="G50" i="58" s="1"/>
  <c r="S97" i="67"/>
  <c r="S99" i="67"/>
  <c r="S100" i="67" s="1"/>
  <c r="AQ6" i="58"/>
  <c r="Z49" i="58"/>
  <c r="Z29" i="58"/>
  <c r="Z32" i="58" s="1"/>
  <c r="AJ49" i="58"/>
  <c r="AJ29" i="58"/>
  <c r="AJ32" i="58" s="1"/>
  <c r="AK29" i="58"/>
  <c r="AK32" i="58" s="1"/>
  <c r="AK49" i="58"/>
  <c r="X12" i="67"/>
  <c r="AB12" i="62"/>
  <c r="AN12" i="66"/>
  <c r="U48" i="67"/>
  <c r="U82" i="67"/>
  <c r="Z82" i="66"/>
  <c r="AO79" i="66"/>
  <c r="W97" i="66"/>
  <c r="W99" i="66"/>
  <c r="W100" i="66" s="1"/>
  <c r="X82" i="62"/>
  <c r="AO59" i="67"/>
  <c r="AH65" i="62"/>
  <c r="U97" i="62"/>
  <c r="U99" i="62"/>
  <c r="U100" i="62" s="1"/>
  <c r="AP42" i="66"/>
  <c r="AP15" i="62"/>
  <c r="W65" i="66"/>
  <c r="AJ12" i="62"/>
  <c r="AD48" i="67"/>
  <c r="AH31" i="66"/>
  <c r="F102" i="58"/>
  <c r="F103" i="58" s="1"/>
  <c r="F100" i="58"/>
  <c r="I67" i="58"/>
  <c r="I68" i="58" s="1"/>
  <c r="N29" i="58"/>
  <c r="N32" i="58" s="1"/>
  <c r="N49" i="58"/>
  <c r="N50" i="58" s="1"/>
  <c r="P49" i="58"/>
  <c r="P29" i="58"/>
  <c r="P32" i="58" s="1"/>
  <c r="Q85" i="58"/>
  <c r="R67" i="58"/>
  <c r="R68" i="58" s="1"/>
  <c r="AQ15" i="58"/>
  <c r="Z100" i="58"/>
  <c r="Z102" i="58"/>
  <c r="Z103" i="58" s="1"/>
  <c r="AP79" i="58"/>
  <c r="AE29" i="58"/>
  <c r="AE32" i="58" s="1"/>
  <c r="AE49" i="58"/>
  <c r="AF85" i="58"/>
  <c r="AK85" i="58"/>
  <c r="AH65" i="66"/>
  <c r="Z31" i="66"/>
  <c r="AO25" i="66"/>
  <c r="Y12" i="67"/>
  <c r="AA65" i="67"/>
  <c r="AG12" i="67"/>
  <c r="U97" i="67"/>
  <c r="U99" i="67"/>
  <c r="U100" i="67" s="1"/>
  <c r="AN29" i="58"/>
  <c r="AN32" i="58" s="1"/>
  <c r="AN49" i="58"/>
  <c r="AB97" i="67"/>
  <c r="AB99" i="67"/>
  <c r="AB100" i="67" s="1"/>
  <c r="E97" i="67"/>
  <c r="E99" i="67"/>
  <c r="E100" i="67" s="1"/>
  <c r="AP59" i="67"/>
  <c r="AA48" i="67"/>
  <c r="AF48" i="66"/>
  <c r="AA99" i="66"/>
  <c r="AA100" i="66" s="1"/>
  <c r="AA94" i="66"/>
  <c r="V97" i="66"/>
  <c r="V99" i="66"/>
  <c r="V100" i="66" s="1"/>
  <c r="X48" i="66"/>
  <c r="S82" i="67"/>
  <c r="AP25" i="67"/>
  <c r="AL48" i="67"/>
  <c r="AN85" i="58"/>
  <c r="AN65" i="67"/>
  <c r="Z65" i="67"/>
  <c r="AO62" i="67"/>
  <c r="W97" i="62"/>
  <c r="W99" i="62"/>
  <c r="W100" i="62" s="1"/>
  <c r="AJ82" i="67"/>
  <c r="AC31" i="66"/>
  <c r="AQ99" i="58"/>
  <c r="S102" i="58"/>
  <c r="S103" i="58" s="1"/>
  <c r="S100" i="58"/>
  <c r="U97" i="66"/>
  <c r="U99" i="66"/>
  <c r="U100" i="66" s="1"/>
  <c r="U67" i="58"/>
  <c r="U68" i="58" s="1"/>
  <c r="V49" i="58"/>
  <c r="V29" i="58"/>
  <c r="V32" i="58" s="1"/>
  <c r="X29" i="58"/>
  <c r="X32" i="58" s="1"/>
  <c r="X49" i="58"/>
  <c r="AA85" i="58"/>
  <c r="AP82" i="58"/>
  <c r="AD100" i="58"/>
  <c r="AD102" i="58"/>
  <c r="AD103" i="58" s="1"/>
  <c r="AI49" i="58"/>
  <c r="AI29" i="58"/>
  <c r="AI32" i="58" s="1"/>
  <c r="AE48" i="62"/>
  <c r="AE31" i="67"/>
  <c r="AO45" i="62"/>
  <c r="Z48" i="62"/>
  <c r="T12" i="62"/>
  <c r="R65" i="62"/>
  <c r="AP62" i="62"/>
  <c r="U65" i="67"/>
  <c r="S31" i="67"/>
  <c r="X31" i="67"/>
  <c r="W97" i="67"/>
  <c r="W99" i="67"/>
  <c r="W100" i="67" s="1"/>
  <c r="AO15" i="67"/>
  <c r="AF82" i="62"/>
  <c r="AO42" i="67"/>
  <c r="S31" i="62"/>
  <c r="AA65" i="62"/>
  <c r="Z12" i="62"/>
  <c r="AO9" i="62"/>
  <c r="AC48" i="66"/>
  <c r="AL82" i="62"/>
  <c r="AB82" i="66"/>
  <c r="H67" i="58"/>
  <c r="H68" i="58" s="1"/>
  <c r="I85" i="58"/>
  <c r="I86" i="58" s="1"/>
  <c r="M49" i="58"/>
  <c r="M50" i="58" s="1"/>
  <c r="M29" i="58"/>
  <c r="M32" i="58" s="1"/>
  <c r="O67" i="58"/>
  <c r="O68" i="58" s="1"/>
  <c r="AQ61" i="58"/>
  <c r="AQ43" i="58"/>
  <c r="T29" i="58"/>
  <c r="T32" i="58" s="1"/>
  <c r="T49" i="58"/>
  <c r="U100" i="58"/>
  <c r="U102" i="58"/>
  <c r="U103" i="58" s="1"/>
  <c r="X85" i="58"/>
  <c r="Y49" i="58"/>
  <c r="Y29" i="58"/>
  <c r="Y32" i="58" s="1"/>
  <c r="AP26" i="58"/>
  <c r="AB12" i="58"/>
  <c r="AC49" i="58"/>
  <c r="AC29" i="58"/>
  <c r="AC32" i="58" s="1"/>
  <c r="AE67" i="58"/>
  <c r="AE68" i="58" s="1"/>
  <c r="AH85" i="58"/>
  <c r="AI12" i="58"/>
  <c r="AK12" i="58"/>
  <c r="AL12" i="58"/>
  <c r="AP15" i="67"/>
  <c r="AB48" i="66"/>
  <c r="Y97" i="67"/>
  <c r="Y99" i="67"/>
  <c r="Y100" i="67" s="1"/>
  <c r="AH65" i="67"/>
  <c r="Y48" i="62"/>
  <c r="V12" i="62"/>
  <c r="AF48" i="62"/>
  <c r="E48" i="62"/>
  <c r="E46" i="62"/>
  <c r="AM48" i="67"/>
  <c r="R65" i="66"/>
  <c r="AP59" i="66"/>
  <c r="E29" i="66"/>
  <c r="E31" i="66"/>
  <c r="AL31" i="62"/>
  <c r="AH12" i="66"/>
  <c r="AO6" i="66"/>
  <c r="R65" i="67"/>
  <c r="AP62" i="67"/>
  <c r="AI65" i="62"/>
  <c r="AR82" i="58" a="1"/>
  <c r="AR82" i="58" s="1"/>
  <c r="F85" i="58"/>
  <c r="F86" i="58" s="1"/>
  <c r="K29" i="58"/>
  <c r="K32" i="58" s="1"/>
  <c r="K49" i="58"/>
  <c r="K50" i="58" s="1"/>
  <c r="AQ79" i="58"/>
  <c r="T102" i="58"/>
  <c r="T103" i="58" s="1"/>
  <c r="T100" i="58"/>
  <c r="U12" i="58"/>
  <c r="Z67" i="58"/>
  <c r="Z68" i="58" s="1"/>
  <c r="AA49" i="58"/>
  <c r="AA29" i="58"/>
  <c r="AP46" i="58"/>
  <c r="AB49" i="58"/>
  <c r="AB29" i="58"/>
  <c r="AB32" i="58" s="1"/>
  <c r="AJ67" i="58"/>
  <c r="AJ68" i="58" s="1"/>
  <c r="AL82" i="67"/>
  <c r="AP76" i="62"/>
  <c r="R31" i="66"/>
  <c r="AP28" i="66"/>
  <c r="AJ12" i="66"/>
  <c r="R94" i="67"/>
  <c r="AP94" i="67" s="1"/>
  <c r="AP93" i="67"/>
  <c r="AP6" i="62"/>
  <c r="AD31" i="67"/>
  <c r="E31" i="67"/>
  <c r="Z82" i="62"/>
  <c r="AO79" i="62"/>
  <c r="AM82" i="62"/>
  <c r="AO15" i="66"/>
  <c r="AO25" i="62"/>
  <c r="R12" i="66"/>
  <c r="AP6" i="66"/>
  <c r="AD65" i="67"/>
  <c r="AD82" i="62"/>
  <c r="AF12" i="62"/>
  <c r="W12" i="67"/>
  <c r="AG31" i="62"/>
  <c r="AR9" i="58" a="1"/>
  <c r="AR9" i="58" s="1"/>
  <c r="F12" i="58"/>
  <c r="H29" i="58"/>
  <c r="H32" i="58" s="1"/>
  <c r="H49" i="58"/>
  <c r="H50" i="58" s="1"/>
  <c r="S67" i="58"/>
  <c r="S68" i="58" s="1"/>
  <c r="AQ64" i="58"/>
  <c r="AQ65" i="58" s="1"/>
  <c r="W29" i="58"/>
  <c r="W32" i="58" s="1"/>
  <c r="W49" i="58"/>
  <c r="AA100" i="58"/>
  <c r="AA102" i="58"/>
  <c r="AA103" i="58" s="1"/>
  <c r="AP99" i="58"/>
  <c r="AC102" i="58"/>
  <c r="AC103" i="58" s="1"/>
  <c r="AC100" i="58"/>
  <c r="AG29" i="58"/>
  <c r="AG32" i="58" s="1"/>
  <c r="AG49" i="58"/>
  <c r="AL48" i="62"/>
  <c r="R12" i="62"/>
  <c r="AP9" i="62"/>
  <c r="E48" i="67"/>
  <c r="Y97" i="62"/>
  <c r="Y99" i="62"/>
  <c r="Y100" i="62" s="1"/>
  <c r="AP59" i="62"/>
  <c r="AB97" i="66"/>
  <c r="AB99" i="66"/>
  <c r="AB100" i="66" s="1"/>
  <c r="W48" i="67"/>
  <c r="AK65" i="66"/>
  <c r="U12" i="67"/>
  <c r="AI12" i="67"/>
  <c r="U12" i="62"/>
  <c r="S97" i="66"/>
  <c r="S99" i="66"/>
  <c r="S100" i="66" s="1"/>
  <c r="AF65" i="66"/>
  <c r="X12" i="62"/>
  <c r="AI12" i="66"/>
  <c r="AM65" i="66"/>
  <c r="AJ65" i="66"/>
  <c r="AR46" i="58" a="1"/>
  <c r="AR46" i="58" s="1"/>
  <c r="F29" i="58"/>
  <c r="F30" i="58" s="1"/>
  <c r="F49" i="58"/>
  <c r="F50" i="58" s="1"/>
  <c r="L29" i="58"/>
  <c r="L32" i="58" s="1"/>
  <c r="L49" i="58"/>
  <c r="L50" i="58" s="1"/>
  <c r="AP6" i="67"/>
  <c r="S85" i="58"/>
  <c r="AQ82" i="58"/>
  <c r="T12" i="58"/>
  <c r="U49" i="58"/>
  <c r="U29" i="58"/>
  <c r="U32" i="58" s="1"/>
  <c r="V102" i="58"/>
  <c r="V103" i="58" s="1"/>
  <c r="V100" i="58"/>
  <c r="W67" i="58"/>
  <c r="W68" i="58" s="1"/>
  <c r="X12" i="58"/>
  <c r="Y67" i="58"/>
  <c r="Y68" i="58" s="1"/>
  <c r="AP6" i="58"/>
  <c r="AB102" i="58"/>
  <c r="AB103" i="58" s="1"/>
  <c r="AB100" i="58"/>
  <c r="W82" i="62"/>
  <c r="W12" i="62"/>
  <c r="AP42" i="67"/>
  <c r="AH82" i="62"/>
  <c r="AP79" i="62"/>
  <c r="R82" i="62"/>
  <c r="R12" i="67"/>
  <c r="AP9" i="67"/>
  <c r="AO28" i="62"/>
  <c r="Z31" i="62"/>
  <c r="T97" i="66"/>
  <c r="T99" i="66"/>
  <c r="T100" i="66" s="1"/>
  <c r="V82" i="67"/>
  <c r="E12" i="66"/>
  <c r="E10" i="66"/>
  <c r="AA48" i="66"/>
  <c r="R82" i="67"/>
  <c r="AP79" i="67"/>
  <c r="Y12" i="66"/>
  <c r="AH82" i="67"/>
  <c r="AO12" i="58"/>
  <c r="AO59" i="62"/>
  <c r="T48" i="67"/>
  <c r="AP15" i="66"/>
  <c r="T97" i="67"/>
  <c r="T99" i="67"/>
  <c r="T100" i="67" s="1"/>
  <c r="V65" i="67"/>
  <c r="AK12" i="66"/>
  <c r="E10" i="62"/>
  <c r="E12" i="62"/>
  <c r="AG31" i="67"/>
  <c r="AP62" i="66"/>
  <c r="Z94" i="62"/>
  <c r="AO94" i="62" s="1"/>
  <c r="AO93" i="62"/>
  <c r="AA67" i="58"/>
  <c r="AA68" i="58" s="1"/>
  <c r="AP64" i="58"/>
  <c r="AD49" i="58"/>
  <c r="AD29" i="58"/>
  <c r="AT46" i="58"/>
  <c r="AC97" i="67"/>
  <c r="AC99" i="67"/>
  <c r="AC100" i="67" s="1"/>
  <c r="AF82" i="66"/>
  <c r="AC48" i="62"/>
  <c r="AE65" i="67"/>
  <c r="Z48" i="67"/>
  <c r="AO45" i="67"/>
  <c r="Y65" i="67"/>
  <c r="R94" i="66"/>
  <c r="AP94" i="66" s="1"/>
  <c r="AP93" i="66"/>
  <c r="AH12" i="62"/>
  <c r="R82" i="66"/>
  <c r="AP79" i="66"/>
  <c r="Z82" i="67"/>
  <c r="AO79" i="67"/>
  <c r="AC12" i="67"/>
  <c r="T31" i="67"/>
  <c r="AF65" i="67"/>
  <c r="AO29" i="58"/>
  <c r="AO32" i="58" s="1"/>
  <c r="AO49" i="58"/>
  <c r="AP76" i="66"/>
  <c r="AC82" i="66"/>
  <c r="X31" i="66"/>
  <c r="AO76" i="67"/>
  <c r="AD65" i="66"/>
  <c r="AP42" i="62"/>
  <c r="E96" i="55"/>
  <c r="C96" i="55"/>
  <c r="J85" i="58"/>
  <c r="J86" i="58" s="1"/>
  <c r="AP9" i="66"/>
  <c r="S12" i="66"/>
  <c r="T85" i="58"/>
  <c r="W85" i="58"/>
  <c r="Z97" i="62"/>
  <c r="AO97" i="62" s="1"/>
  <c r="Z99" i="62"/>
  <c r="Z100" i="62" s="1"/>
  <c r="AO96" i="62"/>
  <c r="AA97" i="58"/>
  <c r="AP97" i="58" s="1"/>
  <c r="AP96" i="58"/>
  <c r="AC85" i="58"/>
  <c r="AD67" i="58"/>
  <c r="AD68" i="58" s="1"/>
  <c r="AT64" i="58"/>
  <c r="AT65" i="58" s="1"/>
  <c r="AO25" i="67"/>
  <c r="AG12" i="66"/>
  <c r="AJ48" i="67"/>
  <c r="AF12" i="66"/>
  <c r="U31" i="66"/>
  <c r="AP76" i="67"/>
  <c r="X97" i="66"/>
  <c r="X99" i="66"/>
  <c r="X100" i="66" s="1"/>
  <c r="AC82" i="62"/>
  <c r="X97" i="62"/>
  <c r="X99" i="62"/>
  <c r="X100" i="62" s="1"/>
  <c r="R99" i="62"/>
  <c r="R100" i="62" s="1"/>
  <c r="R97" i="62"/>
  <c r="AP97" i="62" s="1"/>
  <c r="AP96" i="62"/>
  <c r="AP45" i="62"/>
  <c r="R48" i="62"/>
  <c r="AN82" i="62"/>
  <c r="AE31" i="62"/>
  <c r="T97" i="62"/>
  <c r="T99" i="62"/>
  <c r="T100" i="62" s="1"/>
  <c r="Z94" i="66"/>
  <c r="AO94" i="66" s="1"/>
  <c r="AO93" i="66"/>
  <c r="T65" i="62"/>
  <c r="AE48" i="67"/>
  <c r="AN12" i="62"/>
  <c r="V97" i="62"/>
  <c r="V99" i="62"/>
  <c r="V100" i="62" s="1"/>
  <c r="AJ12" i="67"/>
  <c r="E32" i="63"/>
  <c r="E33" i="63" s="1"/>
  <c r="E6" i="63"/>
  <c r="E7" i="63" s="1"/>
  <c r="O49" i="58"/>
  <c r="O29" i="58"/>
  <c r="O32" i="58" s="1"/>
  <c r="S12" i="58"/>
  <c r="AQ9" i="58"/>
  <c r="T67" i="58"/>
  <c r="T68" i="58" s="1"/>
  <c r="W100" i="58"/>
  <c r="W102" i="58"/>
  <c r="W103" i="58" s="1"/>
  <c r="AD85" i="58"/>
  <c r="AT82" i="58"/>
  <c r="AC99" i="62"/>
  <c r="AC100" i="62" s="1"/>
  <c r="AC94" i="62"/>
  <c r="AL65" i="67"/>
  <c r="AL82" i="66"/>
  <c r="AO76" i="66"/>
  <c r="Y12" i="62"/>
  <c r="Z48" i="66"/>
  <c r="AO45" i="66"/>
  <c r="AB48" i="67"/>
  <c r="AA31" i="67"/>
  <c r="AL65" i="66"/>
  <c r="AC97" i="66"/>
  <c r="AC99" i="66"/>
  <c r="AC100" i="66" s="1"/>
  <c r="AB99" i="62"/>
  <c r="AB100" i="62" s="1"/>
  <c r="AB97" i="62"/>
  <c r="W65" i="67"/>
  <c r="AJ31" i="66"/>
  <c r="AF31" i="67"/>
  <c r="E97" i="66"/>
  <c r="E99" i="66"/>
  <c r="E100" i="66" s="1"/>
  <c r="AI82" i="67"/>
  <c r="Y48" i="66"/>
  <c r="X48" i="62"/>
  <c r="AN48" i="67"/>
  <c r="AE82" i="62"/>
  <c r="AE65" i="66"/>
  <c r="AN12" i="58"/>
  <c r="AN82" i="66"/>
  <c r="AG48" i="66"/>
  <c r="G67" i="58"/>
  <c r="G68" i="58" s="1"/>
  <c r="L85" i="58"/>
  <c r="L86" i="58" s="1"/>
  <c r="Q29" i="58"/>
  <c r="Q32" i="58" s="1"/>
  <c r="Q49" i="58"/>
  <c r="S49" i="58"/>
  <c r="S29" i="58"/>
  <c r="AQ46" i="58"/>
  <c r="W12" i="58"/>
  <c r="X100" i="58"/>
  <c r="X102" i="58"/>
  <c r="X103" i="58" s="1"/>
  <c r="AP43" i="58"/>
  <c r="AD12" i="58"/>
  <c r="AT9" i="58"/>
  <c r="AF49" i="58"/>
  <c r="AF29" i="58"/>
  <c r="AF32" i="58" s="1"/>
  <c r="AK82" i="67"/>
  <c r="AP25" i="62"/>
  <c r="U31" i="62"/>
  <c r="V31" i="62"/>
  <c r="Z31" i="67"/>
  <c r="AO28" i="67"/>
  <c r="E46" i="66"/>
  <c r="E48" i="66"/>
  <c r="E65" i="66"/>
  <c r="AF82" i="67"/>
  <c r="X65" i="67"/>
  <c r="W31" i="67"/>
  <c r="AF65" i="62"/>
  <c r="AK82" i="66"/>
  <c r="T65" i="67"/>
  <c r="AF48" i="67"/>
  <c r="S97" i="62"/>
  <c r="S99" i="62"/>
  <c r="S100" i="62" s="1"/>
  <c r="W48" i="62"/>
  <c r="AO42" i="66"/>
  <c r="V97" i="67"/>
  <c r="V99" i="67"/>
  <c r="V100" i="67" s="1"/>
  <c r="E12" i="67"/>
  <c r="AN82" i="67"/>
  <c r="R31" i="67"/>
  <c r="AP28" i="67"/>
  <c r="AN65" i="66"/>
  <c r="AD82" i="67"/>
  <c r="AK82" i="62"/>
  <c r="T12" i="67"/>
  <c r="AO67" i="58"/>
  <c r="AO68" i="58" s="1"/>
  <c r="AP62" i="58"/>
  <c r="AQ31" i="3" a="1"/>
  <c r="AQ31" i="3" s="1"/>
  <c r="J29" i="58"/>
  <c r="J32" i="58" s="1"/>
  <c r="J49" i="58"/>
  <c r="J50" i="58" s="1"/>
  <c r="L67" i="58"/>
  <c r="L68" i="58" s="1"/>
  <c r="P67" i="58"/>
  <c r="P68" i="58" s="1"/>
  <c r="AP25" i="66"/>
  <c r="R29" i="58"/>
  <c r="R32" i="58" s="1"/>
  <c r="R49" i="58"/>
  <c r="AQ26" i="58"/>
  <c r="X97" i="67"/>
  <c r="X99" i="67"/>
  <c r="X100" i="67" s="1"/>
  <c r="Z12" i="58"/>
  <c r="AA12" i="58"/>
  <c r="AP9" i="58"/>
  <c r="AA48" i="62"/>
  <c r="Y97" i="66"/>
  <c r="Y99" i="66"/>
  <c r="Y100" i="66" s="1"/>
  <c r="AO76" i="62"/>
  <c r="E97" i="62"/>
  <c r="E99" i="62"/>
  <c r="E100" i="62" s="1"/>
  <c r="R97" i="66"/>
  <c r="AP97" i="66" s="1"/>
  <c r="R99" i="66"/>
  <c r="R100" i="66" s="1"/>
  <c r="AP96" i="66"/>
  <c r="AO6" i="62"/>
  <c r="AO42" i="62"/>
  <c r="AM49" i="58"/>
  <c r="AM29" i="58"/>
  <c r="AM32" i="58" s="1"/>
  <c r="R48" i="67"/>
  <c r="AP45" i="67"/>
  <c r="Z94" i="67"/>
  <c r="AO94" i="67" s="1"/>
  <c r="AO93" i="67"/>
  <c r="R48" i="66"/>
  <c r="AP45" i="66"/>
  <c r="E65" i="62"/>
  <c r="AI48" i="62"/>
  <c r="V65" i="62"/>
  <c r="V48" i="67"/>
  <c r="T48" i="66"/>
  <c r="AC31" i="62"/>
  <c r="AE12" i="66"/>
  <c r="W65" i="62"/>
  <c r="X82" i="66"/>
  <c r="T31" i="62"/>
  <c r="W82" i="66"/>
  <c r="AM12" i="67"/>
  <c r="V12" i="66"/>
  <c r="AH48" i="66"/>
  <c r="S48" i="62"/>
  <c r="Z97" i="67"/>
  <c r="AO97" i="67" s="1"/>
  <c r="Z99" i="67"/>
  <c r="Z100" i="67" s="1"/>
  <c r="AO96" i="67"/>
  <c r="AG55" i="63"/>
  <c r="AG56" i="63" s="1"/>
  <c r="AG78" i="63"/>
  <c r="AG79" i="63" s="1"/>
  <c r="J55" i="63"/>
  <c r="J56" i="63" s="1"/>
  <c r="AK55" i="63"/>
  <c r="AK56" i="63" s="1"/>
  <c r="T55" i="63"/>
  <c r="T56" i="63" s="1"/>
  <c r="AK78" i="63"/>
  <c r="AK79" i="63" s="1"/>
  <c r="W55" i="63"/>
  <c r="W56" i="63" s="1"/>
  <c r="AJ32" i="63"/>
  <c r="AJ33" i="63" s="1"/>
  <c r="AJ78" i="63"/>
  <c r="AJ79" i="63" s="1"/>
  <c r="AC55" i="63"/>
  <c r="AC56" i="63" s="1"/>
  <c r="AN79" i="3"/>
  <c r="S78" i="63"/>
  <c r="B95" i="55"/>
  <c r="J78" i="63"/>
  <c r="N55" i="63"/>
  <c r="N56" i="63" s="1"/>
  <c r="G55" i="63"/>
  <c r="G56" i="63" s="1"/>
  <c r="Q55" i="63"/>
  <c r="Q56" i="63" s="1"/>
  <c r="AG32" i="63"/>
  <c r="AG33" i="63" s="1"/>
  <c r="P78" i="63"/>
  <c r="G78" i="63"/>
  <c r="AH55" i="63"/>
  <c r="AH56" i="63" s="1"/>
  <c r="AN32" i="63"/>
  <c r="AN33" i="63" s="1"/>
  <c r="AB55" i="63"/>
  <c r="AB56" i="63" s="1"/>
  <c r="AD32" i="63"/>
  <c r="AD33" i="63" s="1"/>
  <c r="AD55" i="63"/>
  <c r="AD56" i="63" s="1"/>
  <c r="K78" i="63"/>
  <c r="AN78" i="63"/>
  <c r="AN79" i="63" s="1"/>
  <c r="W78" i="63"/>
  <c r="V55" i="63"/>
  <c r="V56" i="63" s="1"/>
  <c r="K55" i="63"/>
  <c r="K56" i="63" s="1"/>
  <c r="AH32" i="63"/>
  <c r="AH33" i="63" s="1"/>
  <c r="AL55" i="63"/>
  <c r="AL56" i="63" s="1"/>
  <c r="S55" i="63"/>
  <c r="S56" i="63" s="1"/>
  <c r="R78" i="63"/>
  <c r="AP78" i="63" s="1"/>
  <c r="L78" i="63"/>
  <c r="Y55" i="63"/>
  <c r="Y56" i="63" s="1"/>
  <c r="AB78" i="63"/>
  <c r="Z55" i="63"/>
  <c r="I55" i="63"/>
  <c r="I56" i="63" s="1"/>
  <c r="U55" i="63"/>
  <c r="U56" i="63" s="1"/>
  <c r="X55" i="63"/>
  <c r="X56" i="63" s="1"/>
  <c r="AI32" i="63"/>
  <c r="AI33" i="63" s="1"/>
  <c r="V78" i="63"/>
  <c r="H78" i="63"/>
  <c r="AI78" i="63"/>
  <c r="AI79" i="63" s="1"/>
  <c r="AA55" i="63"/>
  <c r="AA56" i="63" s="1"/>
  <c r="O55" i="63"/>
  <c r="O56" i="63" s="1"/>
  <c r="AM78" i="63"/>
  <c r="AM79" i="63" s="1"/>
  <c r="AL78" i="63"/>
  <c r="AL79" i="63" s="1"/>
  <c r="Z78" i="63"/>
  <c r="AO78" i="63" s="1"/>
  <c r="M78" i="63"/>
  <c r="AE78" i="63"/>
  <c r="AE79" i="63" s="1"/>
  <c r="AF78" i="63"/>
  <c r="AF79" i="63" s="1"/>
  <c r="AA78" i="63"/>
  <c r="N78" i="63"/>
  <c r="AI55" i="63"/>
  <c r="AI56" i="63" s="1"/>
  <c r="AF32" i="63"/>
  <c r="AF33" i="63" s="1"/>
  <c r="AN55" i="3"/>
  <c r="M55" i="63"/>
  <c r="M56" i="63" s="1"/>
  <c r="AM32" i="63"/>
  <c r="AM33" i="63" s="1"/>
  <c r="E55" i="63"/>
  <c r="E56" i="63" s="1"/>
  <c r="AE55" i="63"/>
  <c r="AE56" i="63" s="1"/>
  <c r="E78" i="63"/>
  <c r="AK32" i="63"/>
  <c r="AK33" i="63" s="1"/>
  <c r="R55" i="63"/>
  <c r="AH78" i="63"/>
  <c r="AH79" i="63" s="1"/>
  <c r="T78" i="63"/>
  <c r="O78" i="63"/>
  <c r="X78" i="63"/>
  <c r="L55" i="63"/>
  <c r="L56" i="63" s="1"/>
  <c r="AM55" i="63"/>
  <c r="AM56" i="63" s="1"/>
  <c r="I78" i="63"/>
  <c r="AF55" i="63"/>
  <c r="AF56" i="63" s="1"/>
  <c r="AL32" i="63"/>
  <c r="AL33" i="63" s="1"/>
  <c r="H55" i="63"/>
  <c r="H56" i="63" s="1"/>
  <c r="Y78" i="63"/>
  <c r="AJ55" i="63"/>
  <c r="AJ56" i="63" s="1"/>
  <c r="F78" i="63"/>
  <c r="U78" i="63"/>
  <c r="AN55" i="63"/>
  <c r="AN56" i="63" s="1"/>
  <c r="F55" i="63"/>
  <c r="F56" i="63" s="1"/>
  <c r="Q78" i="63"/>
  <c r="AE32" i="63"/>
  <c r="AE33" i="63" s="1"/>
  <c r="AD78" i="63"/>
  <c r="AD79" i="63" s="1"/>
  <c r="P55" i="63"/>
  <c r="P56" i="63" s="1"/>
  <c r="AC78" i="63"/>
  <c r="AC79" i="63" s="1"/>
  <c r="AM79" i="3"/>
  <c r="AE81" i="63"/>
  <c r="M104" i="63"/>
  <c r="M105" i="63" s="1"/>
  <c r="AM15" i="3"/>
  <c r="AL32" i="3"/>
  <c r="AN15" i="3"/>
  <c r="AM55" i="3"/>
  <c r="AN81" i="63"/>
  <c r="F81" i="63"/>
  <c r="P101" i="63"/>
  <c r="P102" i="63" s="1"/>
  <c r="AD101" i="63"/>
  <c r="AD102" i="63" s="1"/>
  <c r="M101" i="63"/>
  <c r="M102" i="63" s="1"/>
  <c r="AC32" i="63"/>
  <c r="AC33" i="63" s="1"/>
  <c r="AA127" i="63"/>
  <c r="AA128" i="63" s="1"/>
  <c r="S81" i="63"/>
  <c r="AA101" i="63"/>
  <c r="AA102" i="63" s="1"/>
  <c r="Q101" i="63"/>
  <c r="Q102" i="63" s="1"/>
  <c r="AE104" i="63"/>
  <c r="AE105" i="63" s="1"/>
  <c r="Z81" i="63"/>
  <c r="Q104" i="63"/>
  <c r="Q105" i="63" s="1"/>
  <c r="AE101" i="63"/>
  <c r="AE102" i="63" s="1"/>
  <c r="X32" i="63"/>
  <c r="X33" i="63" s="1"/>
  <c r="E127" i="63"/>
  <c r="E128" i="63" s="1"/>
  <c r="Y32" i="63"/>
  <c r="Y33" i="63" s="1"/>
  <c r="AM32" i="3"/>
  <c r="AA104" i="63"/>
  <c r="AA105" i="63" s="1"/>
  <c r="AD104" i="63"/>
  <c r="AD105" i="63" s="1"/>
  <c r="AG101" i="63"/>
  <c r="AG102" i="63" s="1"/>
  <c r="AG104" i="63"/>
  <c r="AG105" i="63" s="1"/>
  <c r="E104" i="63"/>
  <c r="AN32" i="3"/>
  <c r="P104" i="63"/>
  <c r="P105" i="63" s="1"/>
  <c r="AN82" i="3"/>
  <c r="Z104" i="63"/>
  <c r="U127" i="63"/>
  <c r="U128" i="63" s="1"/>
  <c r="X6" i="63"/>
  <c r="X7" i="63" s="1"/>
  <c r="AN104" i="63"/>
  <c r="AN105" i="63" s="1"/>
  <c r="AM101" i="63"/>
  <c r="AM102" i="63" s="1"/>
  <c r="AI101" i="63"/>
  <c r="AI102" i="63" s="1"/>
  <c r="J81" i="63"/>
  <c r="F101" i="63"/>
  <c r="F102" i="63" s="1"/>
  <c r="AB101" i="63"/>
  <c r="AB102" i="63" s="1"/>
  <c r="K104" i="63"/>
  <c r="K105" i="63" s="1"/>
  <c r="Z127" i="63"/>
  <c r="T104" i="63"/>
  <c r="T105" i="63" s="1"/>
  <c r="AH81" i="63"/>
  <c r="H81" i="63"/>
  <c r="X81" i="63"/>
  <c r="AM104" i="63"/>
  <c r="AM105" i="63" s="1"/>
  <c r="AK101" i="63"/>
  <c r="AK102" i="63" s="1"/>
  <c r="T81" i="63"/>
  <c r="M81" i="63"/>
  <c r="AM103" i="3"/>
  <c r="AM104" i="3" s="1"/>
  <c r="X104" i="63"/>
  <c r="X105" i="63" s="1"/>
  <c r="AL55" i="3"/>
  <c r="W127" i="63"/>
  <c r="W128" i="63" s="1"/>
  <c r="S104" i="63"/>
  <c r="S105" i="63" s="1"/>
  <c r="AK104" i="63"/>
  <c r="AK105" i="63" s="1"/>
  <c r="AL104" i="63"/>
  <c r="AL105" i="63" s="1"/>
  <c r="AF101" i="63"/>
  <c r="AF102" i="63" s="1"/>
  <c r="AH6" i="63"/>
  <c r="AH7" i="63" s="1"/>
  <c r="S101" i="63"/>
  <c r="S102" i="63" s="1"/>
  <c r="AG6" i="63"/>
  <c r="AG7" i="63" s="1"/>
  <c r="AM81" i="63"/>
  <c r="X101" i="63"/>
  <c r="X102" i="63" s="1"/>
  <c r="AH104" i="63"/>
  <c r="AH105" i="63" s="1"/>
  <c r="AG81" i="63"/>
  <c r="AF104" i="63"/>
  <c r="AF105" i="63" s="1"/>
  <c r="S127" i="63"/>
  <c r="S128" i="63" s="1"/>
  <c r="AI81" i="63"/>
  <c r="AM82" i="3"/>
  <c r="L81" i="63"/>
  <c r="H104" i="63"/>
  <c r="H105" i="63" s="1"/>
  <c r="L104" i="63"/>
  <c r="L105" i="63" s="1"/>
  <c r="V101" i="63"/>
  <c r="V102" i="63" s="1"/>
  <c r="AC127" i="63"/>
  <c r="AC128" i="63" s="1"/>
  <c r="AL101" i="63"/>
  <c r="AL102" i="63" s="1"/>
  <c r="AL79" i="3"/>
  <c r="T101" i="63"/>
  <c r="T102" i="63" s="1"/>
  <c r="K81" i="63"/>
  <c r="AA81" i="63"/>
  <c r="V81" i="63"/>
  <c r="AD6" i="63"/>
  <c r="AD7" i="63" s="1"/>
  <c r="U81" i="63"/>
  <c r="I104" i="63"/>
  <c r="I105" i="63" s="1"/>
  <c r="U104" i="63"/>
  <c r="U105" i="63" s="1"/>
  <c r="O101" i="63"/>
  <c r="O102" i="63" s="1"/>
  <c r="AN101" i="63"/>
  <c r="AN102" i="63" s="1"/>
  <c r="AJ101" i="63"/>
  <c r="AJ102" i="63" s="1"/>
  <c r="E81" i="63"/>
  <c r="Y81" i="63"/>
  <c r="AL106" i="3"/>
  <c r="AN103" i="3"/>
  <c r="AN104" i="3" s="1"/>
  <c r="AN106" i="3"/>
  <c r="AN107" i="3" s="1"/>
  <c r="I81" i="63"/>
  <c r="AM106" i="3"/>
  <c r="G104" i="63"/>
  <c r="G105" i="63" s="1"/>
  <c r="Y104" i="63"/>
  <c r="Y105" i="63" s="1"/>
  <c r="V104" i="63"/>
  <c r="V105" i="63" s="1"/>
  <c r="R104" i="63"/>
  <c r="Y127" i="63"/>
  <c r="Y128" i="63" s="1"/>
  <c r="J101" i="63"/>
  <c r="J102" i="63" s="1"/>
  <c r="AB104" i="63"/>
  <c r="AB105" i="63" s="1"/>
  <c r="AL15" i="3"/>
  <c r="W101" i="63"/>
  <c r="W102" i="63" s="1"/>
  <c r="AI104" i="63"/>
  <c r="AI105" i="63" s="1"/>
  <c r="Q81" i="63"/>
  <c r="S6" i="63"/>
  <c r="S7" i="63" s="1"/>
  <c r="AL82" i="3"/>
  <c r="W104" i="63"/>
  <c r="W105" i="63" s="1"/>
  <c r="AD81" i="63"/>
  <c r="I6" i="63"/>
  <c r="I7" i="63" s="1"/>
  <c r="AL81" i="63"/>
  <c r="N104" i="63"/>
  <c r="N105" i="63" s="1"/>
  <c r="AC101" i="63"/>
  <c r="AC102" i="63" s="1"/>
  <c r="N81" i="63"/>
  <c r="G81" i="63"/>
  <c r="R101" i="63"/>
  <c r="AM6" i="63"/>
  <c r="AM7" i="63" s="1"/>
  <c r="AN6" i="3"/>
  <c r="AK79" i="3"/>
  <c r="AK32" i="3"/>
  <c r="AM6" i="3"/>
  <c r="AL6" i="63"/>
  <c r="AL7" i="63" s="1"/>
  <c r="AK82" i="3"/>
  <c r="AK6" i="63"/>
  <c r="AK7" i="63" s="1"/>
  <c r="AK55" i="3"/>
  <c r="T6" i="63"/>
  <c r="T7" i="63" s="1"/>
  <c r="AK103" i="3"/>
  <c r="K6" i="63"/>
  <c r="K7" i="63" s="1"/>
  <c r="AK15" i="3"/>
  <c r="AN6" i="63"/>
  <c r="AN7" i="63" s="1"/>
  <c r="AK106" i="3"/>
  <c r="AJ15" i="3"/>
  <c r="AJ16" i="3" s="1"/>
  <c r="AJ6" i="3"/>
  <c r="AJ7" i="3" s="1"/>
  <c r="AL103" i="3"/>
  <c r="AJ55" i="3"/>
  <c r="AJ56" i="3" s="1"/>
  <c r="AJ32" i="3"/>
  <c r="AJ33" i="3" s="1"/>
  <c r="AJ79" i="3"/>
  <c r="AJ80" i="3" s="1"/>
  <c r="AJ82" i="3"/>
  <c r="AJ83" i="3" s="1"/>
  <c r="AJ103" i="3"/>
  <c r="AJ106" i="3"/>
  <c r="AI79" i="3"/>
  <c r="AI80" i="3" s="1"/>
  <c r="AI6" i="3"/>
  <c r="AI7" i="3" s="1"/>
  <c r="AI82" i="3"/>
  <c r="AI83" i="3" s="1"/>
  <c r="AI32" i="3"/>
  <c r="AI33" i="3" s="1"/>
  <c r="AI106" i="3"/>
  <c r="AK81" i="63"/>
  <c r="AI15" i="3"/>
  <c r="AI16" i="3" s="1"/>
  <c r="AI103" i="3"/>
  <c r="AJ104" i="63"/>
  <c r="AJ105" i="63" s="1"/>
  <c r="AI55" i="3"/>
  <c r="AI56" i="3" s="1"/>
  <c r="AL6" i="3"/>
  <c r="AH15" i="3"/>
  <c r="AH16" i="3" s="1"/>
  <c r="AH79" i="3"/>
  <c r="AH80" i="3" s="1"/>
  <c r="AH32" i="3"/>
  <c r="AH33" i="3" s="1"/>
  <c r="AJ6" i="63"/>
  <c r="AJ7" i="63" s="1"/>
  <c r="AH106" i="3"/>
  <c r="AH6" i="3"/>
  <c r="AH7" i="3" s="1"/>
  <c r="AK6" i="3"/>
  <c r="AH103" i="3"/>
  <c r="AH55" i="3"/>
  <c r="AH56" i="3" s="1"/>
  <c r="AH82" i="3"/>
  <c r="AH83" i="3" s="1"/>
  <c r="AJ81" i="63"/>
  <c r="AI6" i="63"/>
  <c r="AI7" i="63" s="1"/>
  <c r="AG106" i="3"/>
  <c r="AG79" i="3"/>
  <c r="AG80" i="3" s="1"/>
  <c r="AG15" i="3"/>
  <c r="AG16" i="3" s="1"/>
  <c r="AG103" i="3"/>
  <c r="AG82" i="3"/>
  <c r="AG83" i="3" s="1"/>
  <c r="AG6" i="3"/>
  <c r="AG7" i="3" s="1"/>
  <c r="AG32" i="3"/>
  <c r="AG33" i="3" s="1"/>
  <c r="AG55" i="3"/>
  <c r="AG56" i="3" s="1"/>
  <c r="AH101" i="63"/>
  <c r="AF15" i="3"/>
  <c r="AF16" i="3" s="1"/>
  <c r="AF55" i="3"/>
  <c r="AF56" i="3" s="1"/>
  <c r="AF79" i="3"/>
  <c r="AF80" i="3" s="1"/>
  <c r="AF32" i="3"/>
  <c r="AF33" i="3" s="1"/>
  <c r="AF6" i="3"/>
  <c r="AF7" i="3" s="1"/>
  <c r="AF106" i="3"/>
  <c r="AF82" i="3"/>
  <c r="AF83" i="3" s="1"/>
  <c r="AF103" i="3"/>
  <c r="AE32" i="3"/>
  <c r="AE33" i="3" s="1"/>
  <c r="AE15" i="3"/>
  <c r="AE16" i="3" s="1"/>
  <c r="AE6" i="3"/>
  <c r="AE7" i="3" s="1"/>
  <c r="AE55" i="3"/>
  <c r="AE56" i="3" s="1"/>
  <c r="AE82" i="3"/>
  <c r="AE83" i="3" s="1"/>
  <c r="AE79" i="3"/>
  <c r="AE80" i="3" s="1"/>
  <c r="AE103" i="3"/>
  <c r="AE106" i="3"/>
  <c r="AD79" i="3"/>
  <c r="AD80" i="3" s="1"/>
  <c r="AD15" i="3"/>
  <c r="AD16" i="3" s="1"/>
  <c r="AD32" i="3"/>
  <c r="AD33" i="3" s="1"/>
  <c r="AF6" i="63"/>
  <c r="AF7" i="63" s="1"/>
  <c r="AD55" i="3"/>
  <c r="AD56" i="3" s="1"/>
  <c r="AD106" i="3"/>
  <c r="AF81" i="63"/>
  <c r="AD6" i="3"/>
  <c r="AD7" i="3" s="1"/>
  <c r="AD82" i="3"/>
  <c r="AD83" i="3" s="1"/>
  <c r="AD103" i="3"/>
  <c r="AE6" i="63"/>
  <c r="AE7" i="63" s="1"/>
  <c r="AC55" i="3"/>
  <c r="AC56" i="3" s="1"/>
  <c r="AC79" i="3"/>
  <c r="AC80" i="3" s="1"/>
  <c r="AC82" i="3"/>
  <c r="AC32" i="3"/>
  <c r="AC33" i="3" s="1"/>
  <c r="AC129" i="3"/>
  <c r="AC130" i="3" s="1"/>
  <c r="AC103" i="3"/>
  <c r="AC106" i="3"/>
  <c r="AC6" i="3"/>
  <c r="AB103" i="3"/>
  <c r="AB104" i="3" s="1"/>
  <c r="AB129" i="3"/>
  <c r="AB130" i="3" s="1"/>
  <c r="AB32" i="3"/>
  <c r="AB33" i="3" s="1"/>
  <c r="AB106" i="3"/>
  <c r="AB107" i="3" s="1"/>
  <c r="AB6" i="3"/>
  <c r="AB55" i="3"/>
  <c r="AB56" i="3" s="1"/>
  <c r="AB82" i="3"/>
  <c r="AB79" i="3"/>
  <c r="AB80" i="3" s="1"/>
  <c r="AA55" i="3"/>
  <c r="AA56" i="3" s="1"/>
  <c r="AA129" i="3"/>
  <c r="AA130" i="3" s="1"/>
  <c r="AC81" i="63"/>
  <c r="AA79" i="3"/>
  <c r="AA80" i="3" s="1"/>
  <c r="AC104" i="63"/>
  <c r="AC105" i="63" s="1"/>
  <c r="AC6" i="63"/>
  <c r="AC7" i="63" s="1"/>
  <c r="AA32" i="3"/>
  <c r="AA33" i="3" s="1"/>
  <c r="AB127" i="63"/>
  <c r="AB128" i="63" s="1"/>
  <c r="AA106" i="3"/>
  <c r="AA107" i="3" s="1"/>
  <c r="AB32" i="63"/>
  <c r="AB33" i="63" s="1"/>
  <c r="AA103" i="3"/>
  <c r="AA104" i="3" s="1"/>
  <c r="AA82" i="3"/>
  <c r="AA6" i="3"/>
  <c r="AB6" i="63"/>
  <c r="AB7" i="63" s="1"/>
  <c r="Z32" i="3"/>
  <c r="Z129" i="3"/>
  <c r="Z106" i="3"/>
  <c r="Z55" i="3"/>
  <c r="Z6" i="3"/>
  <c r="Z79" i="3"/>
  <c r="AB81" i="63"/>
  <c r="Z82" i="3"/>
  <c r="Z103" i="3"/>
  <c r="Y55" i="3"/>
  <c r="Y56" i="3" s="1"/>
  <c r="AA32" i="63"/>
  <c r="AA33" i="63" s="1"/>
  <c r="Y129" i="3"/>
  <c r="Y130" i="3" s="1"/>
  <c r="Y32" i="3"/>
  <c r="Y33" i="3" s="1"/>
  <c r="Z32" i="63"/>
  <c r="Y103" i="3"/>
  <c r="Y104" i="3" s="1"/>
  <c r="Y106" i="3"/>
  <c r="Y107" i="3" s="1"/>
  <c r="Y82" i="3"/>
  <c r="Y79" i="3"/>
  <c r="Y80" i="3" s="1"/>
  <c r="Y6" i="3"/>
  <c r="X82" i="3"/>
  <c r="Z6" i="63"/>
  <c r="X6" i="3"/>
  <c r="Z101" i="63"/>
  <c r="AA6" i="63"/>
  <c r="AA7" i="63" s="1"/>
  <c r="X32" i="3"/>
  <c r="X33" i="3" s="1"/>
  <c r="X55" i="3"/>
  <c r="X56" i="3" s="1"/>
  <c r="X103" i="3"/>
  <c r="X104" i="3" s="1"/>
  <c r="X79" i="3"/>
  <c r="X80" i="3" s="1"/>
  <c r="X106" i="3"/>
  <c r="X107" i="3" s="1"/>
  <c r="X129" i="3"/>
  <c r="X130" i="3" s="1"/>
  <c r="Y6" i="63"/>
  <c r="Y7" i="63" s="1"/>
  <c r="X127" i="63"/>
  <c r="X128" i="63" s="1"/>
  <c r="W32" i="3"/>
  <c r="W33" i="3" s="1"/>
  <c r="W55" i="3"/>
  <c r="W56" i="3" s="1"/>
  <c r="W82" i="3"/>
  <c r="W129" i="3"/>
  <c r="W130" i="3" s="1"/>
  <c r="W106" i="3"/>
  <c r="W107" i="3" s="1"/>
  <c r="W6" i="3"/>
  <c r="W103" i="3"/>
  <c r="W104" i="3" s="1"/>
  <c r="Y101" i="63"/>
  <c r="Y102" i="63" s="1"/>
  <c r="W79" i="3"/>
  <c r="W80" i="3" s="1"/>
  <c r="V106" i="3"/>
  <c r="V107" i="3" s="1"/>
  <c r="V32" i="3"/>
  <c r="V33" i="3" s="1"/>
  <c r="V6" i="3"/>
  <c r="V79" i="3"/>
  <c r="V80" i="3" s="1"/>
  <c r="V55" i="3"/>
  <c r="V56" i="3" s="1"/>
  <c r="V129" i="3"/>
  <c r="V130" i="3" s="1"/>
  <c r="V103" i="3"/>
  <c r="V104" i="3" s="1"/>
  <c r="V82" i="3"/>
  <c r="U103" i="3"/>
  <c r="U104" i="3" s="1"/>
  <c r="U129" i="3"/>
  <c r="U130" i="3" s="1"/>
  <c r="U55" i="3"/>
  <c r="U56" i="3" s="1"/>
  <c r="U32" i="3"/>
  <c r="U33" i="3" s="1"/>
  <c r="U82" i="3"/>
  <c r="W81" i="63"/>
  <c r="U79" i="3"/>
  <c r="U80" i="3" s="1"/>
  <c r="V127" i="63"/>
  <c r="V128" i="63" s="1"/>
  <c r="U106" i="3"/>
  <c r="U107" i="3" s="1"/>
  <c r="U6" i="3"/>
  <c r="W32" i="63"/>
  <c r="W33" i="63" s="1"/>
  <c r="T79" i="3"/>
  <c r="T80" i="3" s="1"/>
  <c r="U101" i="63"/>
  <c r="U102" i="63" s="1"/>
  <c r="V32" i="63"/>
  <c r="V33" i="63" s="1"/>
  <c r="T103" i="3"/>
  <c r="T104" i="3" s="1"/>
  <c r="T106" i="3"/>
  <c r="T107" i="3" s="1"/>
  <c r="T32" i="3"/>
  <c r="T33" i="3" s="1"/>
  <c r="T82" i="3"/>
  <c r="T129" i="3"/>
  <c r="T130" i="3" s="1"/>
  <c r="W6" i="63"/>
  <c r="W7" i="63" s="1"/>
  <c r="T55" i="3"/>
  <c r="T56" i="3" s="1"/>
  <c r="T6" i="3"/>
  <c r="U32" i="63"/>
  <c r="U33" i="63" s="1"/>
  <c r="T32" i="63"/>
  <c r="T33" i="63" s="1"/>
  <c r="V6" i="63"/>
  <c r="V7" i="63" s="1"/>
  <c r="S106" i="3"/>
  <c r="S107" i="3" s="1"/>
  <c r="S55" i="3"/>
  <c r="S56" i="3" s="1"/>
  <c r="S6" i="3"/>
  <c r="U6" i="63"/>
  <c r="U7" i="63" s="1"/>
  <c r="S32" i="3"/>
  <c r="S33" i="3" s="1"/>
  <c r="S129" i="3"/>
  <c r="S130" i="3" s="1"/>
  <c r="S82" i="3"/>
  <c r="S103" i="3"/>
  <c r="S104" i="3" s="1"/>
  <c r="T127" i="63"/>
  <c r="T128" i="63" s="1"/>
  <c r="S79" i="3"/>
  <c r="S80" i="3" s="1"/>
  <c r="R79" i="3"/>
  <c r="R103" i="3"/>
  <c r="R106" i="3"/>
  <c r="R129" i="3"/>
  <c r="R55" i="3"/>
  <c r="R32" i="3"/>
  <c r="R82" i="3"/>
  <c r="R6" i="3"/>
  <c r="Q106" i="3"/>
  <c r="Q82" i="3"/>
  <c r="Q6" i="3"/>
  <c r="R127" i="63"/>
  <c r="Q55" i="3"/>
  <c r="Q56" i="3" s="1"/>
  <c r="Q79" i="3"/>
  <c r="Q80" i="3" s="1"/>
  <c r="Q103" i="3"/>
  <c r="S32" i="63"/>
  <c r="S33" i="63" s="1"/>
  <c r="R81" i="63"/>
  <c r="P79" i="3"/>
  <c r="P55" i="3"/>
  <c r="P56" i="3" s="1"/>
  <c r="P106" i="3"/>
  <c r="P107" i="3" s="1"/>
  <c r="P82" i="3"/>
  <c r="P103" i="3"/>
  <c r="P104" i="3" s="1"/>
  <c r="P6" i="3"/>
  <c r="R32" i="63"/>
  <c r="O79" i="3"/>
  <c r="R6" i="63"/>
  <c r="O106" i="3"/>
  <c r="O107" i="3" s="1"/>
  <c r="O82" i="3"/>
  <c r="O6" i="3"/>
  <c r="O103" i="3"/>
  <c r="O104" i="3" s="1"/>
  <c r="O55" i="3"/>
  <c r="O56" i="3" s="1"/>
  <c r="N79" i="3"/>
  <c r="N103" i="3"/>
  <c r="N104" i="3" s="1"/>
  <c r="N106" i="3"/>
  <c r="N107" i="3" s="1"/>
  <c r="N82" i="3"/>
  <c r="N6" i="3"/>
  <c r="N55" i="3"/>
  <c r="N56" i="3" s="1"/>
  <c r="M55" i="3"/>
  <c r="M56" i="3" s="1"/>
  <c r="O104" i="63"/>
  <c r="O105" i="63" s="1"/>
  <c r="O81" i="63"/>
  <c r="M6" i="3"/>
  <c r="M106" i="3"/>
  <c r="M107" i="3" s="1"/>
  <c r="M79" i="3"/>
  <c r="M103" i="3"/>
  <c r="M104" i="3" s="1"/>
  <c r="M82" i="3"/>
  <c r="O6" i="63"/>
  <c r="O7" i="63" s="1"/>
  <c r="L55" i="3"/>
  <c r="L56" i="3" s="1"/>
  <c r="L79" i="3"/>
  <c r="L106" i="3"/>
  <c r="L107" i="3" s="1"/>
  <c r="L103" i="3"/>
  <c r="L104" i="3" s="1"/>
  <c r="L6" i="3"/>
  <c r="L82" i="3"/>
  <c r="N101" i="63"/>
  <c r="N102" i="63" s="1"/>
  <c r="M6" i="63"/>
  <c r="M7" i="63" s="1"/>
  <c r="N6" i="63"/>
  <c r="N7" i="63" s="1"/>
  <c r="K55" i="3"/>
  <c r="K56" i="3" s="1"/>
  <c r="K103" i="3"/>
  <c r="K104" i="3" s="1"/>
  <c r="K79" i="3"/>
  <c r="K106" i="3"/>
  <c r="K107" i="3" s="1"/>
  <c r="K82" i="3"/>
  <c r="K6" i="3"/>
  <c r="L6" i="63"/>
  <c r="L7" i="63" s="1"/>
  <c r="J79" i="3"/>
  <c r="J106" i="3"/>
  <c r="J107" i="3" s="1"/>
  <c r="J103" i="3"/>
  <c r="J104" i="3" s="1"/>
  <c r="J82" i="3"/>
  <c r="J6" i="3"/>
  <c r="L101" i="63"/>
  <c r="L102" i="63" s="1"/>
  <c r="J55" i="3"/>
  <c r="J56" i="3" s="1"/>
  <c r="I106" i="3"/>
  <c r="I107" i="3" s="1"/>
  <c r="I79" i="3"/>
  <c r="I82" i="3"/>
  <c r="I55" i="3"/>
  <c r="I56" i="3" s="1"/>
  <c r="I103" i="3"/>
  <c r="I104" i="3" s="1"/>
  <c r="I6" i="3"/>
  <c r="K101" i="63"/>
  <c r="K102" i="63" s="1"/>
  <c r="H6" i="3"/>
  <c r="H55" i="3"/>
  <c r="H56" i="3" s="1"/>
  <c r="H82" i="3"/>
  <c r="J6" i="63"/>
  <c r="J7" i="63" s="1"/>
  <c r="J104" i="63"/>
  <c r="J105" i="63" s="1"/>
  <c r="H103" i="3"/>
  <c r="H104" i="3" s="1"/>
  <c r="H79" i="3"/>
  <c r="H106" i="3"/>
  <c r="H107" i="3" s="1"/>
  <c r="G55" i="3"/>
  <c r="G56" i="3" s="1"/>
  <c r="G106" i="3"/>
  <c r="G107" i="3" s="1"/>
  <c r="G82" i="3"/>
  <c r="I101" i="63"/>
  <c r="I102" i="63" s="1"/>
  <c r="G79" i="3"/>
  <c r="G6" i="3"/>
  <c r="G103" i="3"/>
  <c r="G104" i="3" s="1"/>
  <c r="F103" i="3"/>
  <c r="F104" i="3" s="1"/>
  <c r="F106" i="3"/>
  <c r="F107" i="3" s="1"/>
  <c r="F82" i="3"/>
  <c r="F6" i="3"/>
  <c r="F55" i="3"/>
  <c r="F56" i="3" s="1"/>
  <c r="H101" i="63"/>
  <c r="H102" i="63" s="1"/>
  <c r="F79" i="3"/>
  <c r="E55" i="3"/>
  <c r="E56" i="3" s="1"/>
  <c r="E32" i="3"/>
  <c r="E33" i="3" s="1"/>
  <c r="E129" i="3"/>
  <c r="E130" i="3" s="1"/>
  <c r="E82" i="3"/>
  <c r="G101" i="63"/>
  <c r="G102" i="63" s="1"/>
  <c r="E6" i="3"/>
  <c r="H6" i="63"/>
  <c r="H7" i="63" s="1"/>
  <c r="E79" i="3"/>
  <c r="E106" i="3"/>
  <c r="E103" i="3"/>
  <c r="F54" i="58"/>
  <c r="K42" i="26"/>
  <c r="Q42" i="26"/>
  <c r="AI42" i="31"/>
  <c r="AC42" i="31"/>
  <c r="AA42" i="31"/>
  <c r="Y42" i="31"/>
  <c r="CY41" i="54"/>
  <c r="CE41" i="54"/>
  <c r="DC41" i="54"/>
  <c r="CQ41" i="54"/>
  <c r="AI41" i="54"/>
  <c r="AU41" i="54"/>
  <c r="W41" i="54"/>
  <c r="BG41" i="54"/>
  <c r="AQ40" i="54"/>
  <c r="CA40" i="54"/>
  <c r="AK40" i="54"/>
  <c r="AG40" i="54"/>
  <c r="O40" i="54"/>
  <c r="U40" i="54"/>
  <c r="CK40" i="54"/>
  <c r="CU40" i="54"/>
  <c r="CS40" i="54"/>
  <c r="AM40" i="54"/>
  <c r="DA40" i="54"/>
  <c r="Y40" i="54"/>
  <c r="BY40" i="54"/>
  <c r="BM40" i="54"/>
  <c r="K41" i="54"/>
  <c r="A42" i="54"/>
  <c r="BE41" i="54"/>
  <c r="CU41" i="54"/>
  <c r="BW41" i="54"/>
  <c r="U41" i="54"/>
  <c r="AG41" i="54"/>
  <c r="AK41" i="54"/>
  <c r="BQ41" i="54"/>
  <c r="DA41" i="54"/>
  <c r="CK41" i="54"/>
  <c r="BU41" i="54"/>
  <c r="CS41" i="54"/>
  <c r="DE41" i="54"/>
  <c r="AS41" i="54"/>
  <c r="CC41" i="54"/>
  <c r="O41" i="54"/>
  <c r="I41" i="54"/>
  <c r="Y41" i="54"/>
  <c r="AO41" i="54"/>
  <c r="I40" i="54"/>
  <c r="AC40" i="54"/>
  <c r="BQ40" i="54"/>
  <c r="AI42" i="32"/>
  <c r="AR111" i="3"/>
  <c r="AO37" i="3"/>
  <c r="AP37" i="3"/>
  <c r="AQ84" i="3"/>
  <c r="AQ90" i="3"/>
  <c r="AP67" i="3"/>
  <c r="AP66" i="3"/>
  <c r="AO91" i="3"/>
  <c r="AO90" i="3"/>
  <c r="E67" i="3"/>
  <c r="AS90" i="3"/>
  <c r="AS91" i="3"/>
  <c r="AP91" i="3"/>
  <c r="AP90" i="3"/>
  <c r="AQ11" i="3"/>
  <c r="AR67" i="3"/>
  <c r="AR66" i="3"/>
  <c r="AQ66" i="3"/>
  <c r="AQ60" i="3"/>
  <c r="AR84" i="3"/>
  <c r="AR91" i="3"/>
  <c r="AR90" i="3"/>
  <c r="AO60" i="3"/>
  <c r="AO67" i="3"/>
  <c r="AO66" i="3"/>
  <c r="E37" i="3"/>
  <c r="AS66" i="3"/>
  <c r="AS67" i="3"/>
  <c r="AQ111" i="3"/>
  <c r="AQ117" i="3"/>
  <c r="AS84" i="3"/>
  <c r="AP111" i="3"/>
  <c r="AS111" i="3"/>
  <c r="AO111" i="3"/>
  <c r="AP84" i="3"/>
  <c r="AS60" i="3"/>
  <c r="AR37" i="3"/>
  <c r="AP60" i="3"/>
  <c r="AO84" i="3"/>
  <c r="AP117" i="3"/>
  <c r="AR117" i="3"/>
  <c r="AS117" i="3"/>
  <c r="AS42" i="3"/>
  <c r="AS37" i="3"/>
  <c r="AR60" i="3"/>
  <c r="AO117" i="3"/>
  <c r="AR42" i="3"/>
  <c r="AS89" i="3"/>
  <c r="AS65" i="3"/>
  <c r="AY42" i="32"/>
  <c r="AR65" i="3"/>
  <c r="AR89" i="3"/>
  <c r="AO42" i="3"/>
  <c r="AP42" i="3"/>
  <c r="AP43" i="3"/>
  <c r="AR43" i="3"/>
  <c r="AS43" i="3"/>
  <c r="E42" i="3"/>
  <c r="AQ42" i="3"/>
  <c r="AO43" i="3"/>
  <c r="AS11" i="3"/>
  <c r="AP18" i="3"/>
  <c r="AR11" i="3"/>
  <c r="AO18" i="3"/>
  <c r="AR18" i="3"/>
  <c r="C42" i="32"/>
  <c r="P42" i="32"/>
  <c r="F16" i="58"/>
  <c r="V41" i="32"/>
  <c r="W41" i="32"/>
  <c r="D41" i="32"/>
  <c r="P41" i="32"/>
  <c r="L41" i="32" s="1"/>
  <c r="F42" i="32"/>
  <c r="Q42" i="32"/>
  <c r="F18" i="58"/>
  <c r="AP11" i="3"/>
  <c r="AP140" i="3"/>
  <c r="W40" i="32"/>
  <c r="BC42" i="32"/>
  <c r="BB42" i="32"/>
  <c r="AZ41" i="32"/>
  <c r="AZ42" i="32"/>
  <c r="AO11" i="3"/>
  <c r="AO140" i="3"/>
  <c r="AQ18" i="3"/>
  <c r="AT42" i="32"/>
  <c r="Q41" i="32"/>
  <c r="G41" i="32"/>
  <c r="S41" i="32"/>
  <c r="T41" i="32"/>
  <c r="AQ42" i="32"/>
  <c r="AR42" i="32"/>
  <c r="AU41" i="32"/>
  <c r="AU42" i="32"/>
  <c r="AJ41" i="32"/>
  <c r="AJ42" i="32"/>
  <c r="AS18" i="3"/>
  <c r="A44" i="32"/>
  <c r="AL42" i="32"/>
  <c r="AM42" i="32"/>
  <c r="AE42" i="32"/>
  <c r="M42" i="32"/>
  <c r="N42" i="32" s="1"/>
  <c r="AD42" i="32"/>
  <c r="U42" i="32"/>
  <c r="E43" i="3"/>
  <c r="AA42" i="32"/>
  <c r="AB42" i="32"/>
  <c r="R42" i="32"/>
  <c r="J42" i="32"/>
  <c r="K42" i="32" s="1"/>
  <c r="AQ66" i="58"/>
  <c r="K72" i="58"/>
  <c r="J72" i="58"/>
  <c r="M54" i="58"/>
  <c r="N54" i="58"/>
  <c r="L72" i="58"/>
  <c r="F72" i="58"/>
  <c r="G72" i="58"/>
  <c r="H72" i="58"/>
  <c r="I72" i="58"/>
  <c r="M36" i="58"/>
  <c r="H36" i="58"/>
  <c r="G36" i="58"/>
  <c r="AR66" i="58"/>
  <c r="AP66" i="58"/>
  <c r="AQ62" i="58"/>
  <c r="AT66" i="58"/>
  <c r="AS66" i="58"/>
  <c r="F11" i="58"/>
  <c r="E7" i="67"/>
  <c r="E11" i="67"/>
  <c r="E13" i="67" s="1"/>
  <c r="E11" i="62"/>
  <c r="E13" i="62" s="1"/>
  <c r="E7" i="62"/>
  <c r="E11" i="66"/>
  <c r="E13" i="66" s="1"/>
  <c r="E7" i="66"/>
  <c r="E26" i="67"/>
  <c r="E30" i="67"/>
  <c r="E32" i="67" s="1"/>
  <c r="E26" i="66"/>
  <c r="E30" i="66"/>
  <c r="E32" i="66" s="1"/>
  <c r="E30" i="62"/>
  <c r="E32" i="62" s="1"/>
  <c r="E26" i="62"/>
  <c r="L13" i="58"/>
  <c r="K13" i="58"/>
  <c r="N13" i="58"/>
  <c r="H13" i="58"/>
  <c r="G13" i="58"/>
  <c r="J13" i="58"/>
  <c r="I13" i="58"/>
  <c r="M13" i="58"/>
  <c r="L36" i="58"/>
  <c r="I36" i="58"/>
  <c r="I31" i="58"/>
  <c r="H31" i="58"/>
  <c r="H33" i="58" s="1"/>
  <c r="M30" i="58"/>
  <c r="F27" i="58"/>
  <c r="F7" i="58"/>
  <c r="G31" i="58"/>
  <c r="L31" i="58"/>
  <c r="J31" i="58"/>
  <c r="J36" i="58"/>
  <c r="J30" i="58"/>
  <c r="K31" i="58"/>
  <c r="K36" i="58"/>
  <c r="N36" i="58"/>
  <c r="N31" i="58"/>
  <c r="M31" i="58"/>
  <c r="F89" i="58"/>
  <c r="F31" i="58"/>
  <c r="Q41" i="26"/>
  <c r="AX39" i="31"/>
  <c r="BA39" i="31"/>
  <c r="AR41" i="31"/>
  <c r="BI41" i="31"/>
  <c r="AU40" i="31"/>
  <c r="AT40" i="31"/>
  <c r="AX40" i="31" s="1"/>
  <c r="AO40" i="31"/>
  <c r="AQ40" i="31"/>
  <c r="AV40" i="31"/>
  <c r="AZ40" i="31" s="1"/>
  <c r="AE41" i="31"/>
  <c r="M40" i="31"/>
  <c r="E40" i="31"/>
  <c r="AS40" i="31"/>
  <c r="AW40" i="31"/>
  <c r="BA40" i="31" s="1"/>
  <c r="D41" i="31"/>
  <c r="E41" i="31" s="1"/>
  <c r="P41" i="31"/>
  <c r="Q41" i="31" s="1"/>
  <c r="L41" i="31"/>
  <c r="M41" i="31" s="1"/>
  <c r="BK42" i="31"/>
  <c r="A43" i="31"/>
  <c r="BM42" i="31"/>
  <c r="BQ42" i="31"/>
  <c r="BO42" i="31"/>
  <c r="AG41" i="31"/>
  <c r="I41" i="31"/>
  <c r="AP41" i="31"/>
  <c r="BG41" i="31"/>
  <c r="AL41" i="31"/>
  <c r="BC41" i="31"/>
  <c r="J41" i="31"/>
  <c r="K41" i="31" s="1"/>
  <c r="N41" i="31"/>
  <c r="O41" i="31" s="1"/>
  <c r="B41" i="31"/>
  <c r="S41" i="31"/>
  <c r="Y41" i="31"/>
  <c r="AN41" i="31"/>
  <c r="BE41" i="31"/>
  <c r="I41" i="28"/>
  <c r="J41" i="28" s="1"/>
  <c r="CJ42" i="28"/>
  <c r="CH42" i="28"/>
  <c r="BB41" i="28"/>
  <c r="AF39" i="26"/>
  <c r="AB40" i="26"/>
  <c r="AF40" i="26" s="1"/>
  <c r="U40" i="26"/>
  <c r="AM42" i="28"/>
  <c r="S42" i="28"/>
  <c r="K42" i="28"/>
  <c r="BL40" i="28"/>
  <c r="AY41" i="26"/>
  <c r="T41" i="26"/>
  <c r="U41" i="26" s="1"/>
  <c r="AK41" i="26"/>
  <c r="AM41" i="28"/>
  <c r="AH39" i="26"/>
  <c r="CP42" i="28"/>
  <c r="BJ40" i="28"/>
  <c r="CL42" i="28"/>
  <c r="BX42" i="28"/>
  <c r="AW42" i="28"/>
  <c r="AX42" i="28" s="1"/>
  <c r="BV42" i="28"/>
  <c r="BG41" i="28"/>
  <c r="AZ41" i="28"/>
  <c r="AS41" i="26"/>
  <c r="B41" i="26"/>
  <c r="H41" i="26"/>
  <c r="F41" i="26"/>
  <c r="S41" i="28"/>
  <c r="AX41" i="28"/>
  <c r="BD41" i="28"/>
  <c r="BH41" i="28"/>
  <c r="BP42" i="28"/>
  <c r="AO42" i="28"/>
  <c r="BN42" i="28"/>
  <c r="AH42" i="28"/>
  <c r="BD40" i="28"/>
  <c r="BX41" i="28"/>
  <c r="AC40" i="26"/>
  <c r="AG40" i="26" s="1"/>
  <c r="W40" i="26"/>
  <c r="AU41" i="26"/>
  <c r="CR41" i="28"/>
  <c r="AC41" i="28"/>
  <c r="CB41" i="28"/>
  <c r="CD43" i="28"/>
  <c r="A44" i="28"/>
  <c r="BZ43" i="28"/>
  <c r="C42" i="28"/>
  <c r="AI39" i="26"/>
  <c r="AV41" i="28"/>
  <c r="BF41" i="28"/>
  <c r="BJ41" i="28" s="1"/>
  <c r="AD40" i="26"/>
  <c r="Y40" i="26"/>
  <c r="CN41" i="28"/>
  <c r="X41" i="26"/>
  <c r="BT41" i="28"/>
  <c r="N40" i="28"/>
  <c r="E41" i="26"/>
  <c r="AK42" i="28"/>
  <c r="CF41" i="28"/>
  <c r="V42" i="28"/>
  <c r="N41" i="28"/>
  <c r="L41" i="28"/>
  <c r="BT42" i="28"/>
  <c r="AS42" i="28"/>
  <c r="BR42" i="28"/>
  <c r="V41" i="26"/>
  <c r="AM41" i="26"/>
  <c r="K41" i="26"/>
  <c r="AE40" i="26"/>
  <c r="AH41" i="28"/>
  <c r="O41" i="26"/>
  <c r="BK40" i="28"/>
  <c r="AV40" i="28"/>
  <c r="AR40" i="28"/>
  <c r="CF42" i="28"/>
  <c r="AM42" i="26"/>
  <c r="A43" i="26"/>
  <c r="AQ42" i="26"/>
  <c r="Z41" i="26"/>
  <c r="AQ41" i="26"/>
  <c r="BE41" i="28"/>
  <c r="AP41" i="28"/>
  <c r="C40" i="26"/>
  <c r="BI40" i="28"/>
  <c r="H41" i="28"/>
  <c r="AG39" i="26"/>
  <c r="E41" i="28"/>
  <c r="Q42" i="28"/>
  <c r="BA42" i="28"/>
  <c r="BZ42" i="28"/>
  <c r="AW41" i="26"/>
  <c r="BP41" i="28"/>
  <c r="AO41" i="26"/>
  <c r="AZ40" i="28"/>
  <c r="N33" i="58" l="1"/>
  <c r="G33" i="58"/>
  <c r="M33" i="58"/>
  <c r="N30" i="58"/>
  <c r="J33" i="58"/>
  <c r="AP67" i="58"/>
  <c r="AP68" i="58" s="1"/>
  <c r="C43" i="28"/>
  <c r="AO31" i="62"/>
  <c r="V43" i="28"/>
  <c r="AP48" i="66"/>
  <c r="H30" i="58"/>
  <c r="AO99" i="67"/>
  <c r="AO100" i="67" s="1"/>
  <c r="AO31" i="66"/>
  <c r="AG85" i="3"/>
  <c r="AG86" i="3" s="1"/>
  <c r="G30" i="58"/>
  <c r="AO65" i="66"/>
  <c r="J85" i="3"/>
  <c r="J86" i="3" s="1"/>
  <c r="AP12" i="67"/>
  <c r="AQ102" i="58"/>
  <c r="AQ103" i="58" s="1"/>
  <c r="N85" i="3"/>
  <c r="N86" i="3" s="1"/>
  <c r="P85" i="3"/>
  <c r="P86" i="3" s="1"/>
  <c r="G84" i="63"/>
  <c r="AP82" i="66"/>
  <c r="AO12" i="66"/>
  <c r="Y84" i="63"/>
  <c r="AP99" i="66"/>
  <c r="AP100" i="66" s="1"/>
  <c r="AQ37" i="3"/>
  <c r="I85" i="3"/>
  <c r="I86" i="3" s="1"/>
  <c r="AO65" i="67"/>
  <c r="I7" i="3"/>
  <c r="K7" i="3"/>
  <c r="X7" i="3"/>
  <c r="L33" i="58"/>
  <c r="K85" i="3"/>
  <c r="K86" i="3" s="1"/>
  <c r="S7" i="3"/>
  <c r="AB84" i="63"/>
  <c r="AJ85" i="3"/>
  <c r="AJ86" i="3" s="1"/>
  <c r="U84" i="63"/>
  <c r="E7" i="3"/>
  <c r="AC7" i="3"/>
  <c r="Y7" i="3"/>
  <c r="V84" i="63"/>
  <c r="AP99" i="62"/>
  <c r="AP100" i="62" s="1"/>
  <c r="L30" i="58"/>
  <c r="AM7" i="3"/>
  <c r="I84" i="63"/>
  <c r="O7" i="3"/>
  <c r="Q84" i="63"/>
  <c r="I30" i="58"/>
  <c r="F85" i="3"/>
  <c r="F86" i="3" s="1"/>
  <c r="L85" i="3"/>
  <c r="L86" i="3" s="1"/>
  <c r="W84" i="63"/>
  <c r="AA7" i="3"/>
  <c r="U7" i="3"/>
  <c r="V7" i="3"/>
  <c r="AP100" i="58"/>
  <c r="AN7" i="3"/>
  <c r="J7" i="3"/>
  <c r="I33" i="58"/>
  <c r="L7" i="3"/>
  <c r="Q6" i="63"/>
  <c r="Q7" i="63" s="1"/>
  <c r="H84" i="63"/>
  <c r="AN85" i="3"/>
  <c r="AN86" i="3" s="1"/>
  <c r="AO48" i="66"/>
  <c r="AQ12" i="58"/>
  <c r="G7" i="3"/>
  <c r="P7" i="3"/>
  <c r="AP31" i="66"/>
  <c r="O84" i="63"/>
  <c r="K30" i="58"/>
  <c r="H85" i="3"/>
  <c r="H86" i="3" s="1"/>
  <c r="K33" i="58"/>
  <c r="Q7" i="3"/>
  <c r="AB7" i="3"/>
  <c r="N84" i="63"/>
  <c r="AP85" i="58"/>
  <c r="M7" i="3"/>
  <c r="T7" i="3"/>
  <c r="F7" i="3"/>
  <c r="H7" i="3"/>
  <c r="N7" i="3"/>
  <c r="W7" i="3"/>
  <c r="AD85" i="3"/>
  <c r="AD86" i="3" s="1"/>
  <c r="AP12" i="58"/>
  <c r="AP31" i="67"/>
  <c r="AO82" i="62"/>
  <c r="AP65" i="67"/>
  <c r="AO12" i="67"/>
  <c r="AP65" i="58"/>
  <c r="O85" i="3"/>
  <c r="O86" i="3" s="1"/>
  <c r="Q104" i="3"/>
  <c r="AR103" i="3"/>
  <c r="AP79" i="3"/>
  <c r="R80" i="3"/>
  <c r="AO32" i="3"/>
  <c r="Z33" i="3"/>
  <c r="AO33" i="3" s="1"/>
  <c r="AC85" i="3"/>
  <c r="AC86" i="3" s="1"/>
  <c r="AC83" i="3"/>
  <c r="AS82" i="3"/>
  <c r="AS83" i="3" s="1"/>
  <c r="AK84" i="63"/>
  <c r="AK85" i="63" s="1"/>
  <c r="AK82" i="63"/>
  <c r="AM82" i="63"/>
  <c r="AM84" i="63"/>
  <c r="AM85" i="63" s="1"/>
  <c r="AN84" i="63"/>
  <c r="AN85" i="63" s="1"/>
  <c r="AN82" i="63"/>
  <c r="AD32" i="58"/>
  <c r="AT29" i="58"/>
  <c r="AO32" i="63"/>
  <c r="Z33" i="63"/>
  <c r="AO33" i="63" s="1"/>
  <c r="AP65" i="62"/>
  <c r="AQ103" i="3" a="1"/>
  <c r="AQ103" i="3" s="1"/>
  <c r="E104" i="3"/>
  <c r="AQ104" i="3" s="1" a="1"/>
  <c r="AQ104" i="3" s="1"/>
  <c r="R7" i="63"/>
  <c r="AP6" i="63"/>
  <c r="AB85" i="3"/>
  <c r="AB86" i="3" s="1"/>
  <c r="AB83" i="3"/>
  <c r="AH102" i="63"/>
  <c r="R102" i="63"/>
  <c r="AP101" i="63"/>
  <c r="E84" i="63"/>
  <c r="X84" i="63"/>
  <c r="Z105" i="63"/>
  <c r="AO105" i="63" s="1"/>
  <c r="AO104" i="63"/>
  <c r="AL15" i="57"/>
  <c r="AN6" i="57"/>
  <c r="AL6" i="57"/>
  <c r="AL79" i="57"/>
  <c r="AN15" i="57"/>
  <c r="AN79" i="57"/>
  <c r="AM79" i="57"/>
  <c r="AM15" i="57"/>
  <c r="AM6" i="57"/>
  <c r="AM62" i="65"/>
  <c r="AI59" i="65"/>
  <c r="AI60" i="65" s="1"/>
  <c r="AE59" i="65"/>
  <c r="AE60" i="65" s="1"/>
  <c r="Q62" i="61"/>
  <c r="AN62" i="64"/>
  <c r="V59" i="61"/>
  <c r="AL59" i="65"/>
  <c r="AL60" i="65" s="1"/>
  <c r="S62" i="61"/>
  <c r="AA62" i="65"/>
  <c r="T62" i="61"/>
  <c r="S59" i="65"/>
  <c r="AM59" i="65"/>
  <c r="AM60" i="65" s="1"/>
  <c r="AM62" i="61"/>
  <c r="AG62" i="61"/>
  <c r="AD59" i="61"/>
  <c r="AD60" i="61" s="1"/>
  <c r="Q62" i="65"/>
  <c r="AL61" i="57"/>
  <c r="Y62" i="64"/>
  <c r="AH59" i="61"/>
  <c r="AH60" i="61" s="1"/>
  <c r="AM59" i="64"/>
  <c r="AM60" i="64" s="1"/>
  <c r="AM62" i="64"/>
  <c r="AL62" i="61"/>
  <c r="AM64" i="57"/>
  <c r="U62" i="64"/>
  <c r="Q62" i="64"/>
  <c r="AL59" i="64"/>
  <c r="AL60" i="64" s="1"/>
  <c r="Y62" i="65"/>
  <c r="AH59" i="64"/>
  <c r="AH60" i="64" s="1"/>
  <c r="AM61" i="57"/>
  <c r="AM62" i="57" s="1"/>
  <c r="AK15" i="57"/>
  <c r="AG62" i="65"/>
  <c r="AC59" i="65"/>
  <c r="AC60" i="65" s="1"/>
  <c r="U62" i="61"/>
  <c r="AL59" i="61"/>
  <c r="AL60" i="61" s="1"/>
  <c r="Y62" i="61"/>
  <c r="AH59" i="65"/>
  <c r="AH60" i="65" s="1"/>
  <c r="V62" i="61"/>
  <c r="AM59" i="61"/>
  <c r="AM60" i="61" s="1"/>
  <c r="AN59" i="65"/>
  <c r="AN60" i="65" s="1"/>
  <c r="AN59" i="61"/>
  <c r="AN60" i="61" s="1"/>
  <c r="AD62" i="61"/>
  <c r="U62" i="65"/>
  <c r="W59" i="64"/>
  <c r="V62" i="64"/>
  <c r="AN61" i="57"/>
  <c r="AN62" i="57" s="1"/>
  <c r="AJ59" i="65"/>
  <c r="AJ60" i="65" s="1"/>
  <c r="AD62" i="64"/>
  <c r="AG59" i="65"/>
  <c r="AG60" i="65" s="1"/>
  <c r="AH62" i="65"/>
  <c r="AI62" i="61"/>
  <c r="X59" i="65"/>
  <c r="W59" i="65"/>
  <c r="V62" i="65"/>
  <c r="AB62" i="61"/>
  <c r="R62" i="64"/>
  <c r="AK79" i="57"/>
  <c r="AK80" i="57" s="1"/>
  <c r="AL62" i="65"/>
  <c r="Z59" i="65"/>
  <c r="AG59" i="61"/>
  <c r="AG60" i="61" s="1"/>
  <c r="AH62" i="64"/>
  <c r="AI62" i="65"/>
  <c r="X59" i="64"/>
  <c r="W59" i="61"/>
  <c r="AJ62" i="64"/>
  <c r="AF62" i="64"/>
  <c r="AB62" i="64"/>
  <c r="R62" i="65"/>
  <c r="AK62" i="65"/>
  <c r="AE62" i="61"/>
  <c r="AK6" i="57"/>
  <c r="Z59" i="61"/>
  <c r="U59" i="61"/>
  <c r="AH62" i="61"/>
  <c r="AI62" i="64"/>
  <c r="X59" i="61"/>
  <c r="AJ64" i="57"/>
  <c r="AJ65" i="57" s="1"/>
  <c r="AF62" i="65"/>
  <c r="AC62" i="61"/>
  <c r="AB62" i="65"/>
  <c r="AE62" i="64"/>
  <c r="AJ62" i="65"/>
  <c r="Y59" i="64"/>
  <c r="AC62" i="64"/>
  <c r="Q59" i="61"/>
  <c r="AD59" i="65"/>
  <c r="AD60" i="65" s="1"/>
  <c r="AF59" i="64"/>
  <c r="AF60" i="64" s="1"/>
  <c r="AB59" i="64"/>
  <c r="AJ62" i="61"/>
  <c r="AF62" i="61"/>
  <c r="AC62" i="65"/>
  <c r="AK62" i="61"/>
  <c r="AE62" i="65"/>
  <c r="X62" i="65"/>
  <c r="AC59" i="64"/>
  <c r="AC60" i="64" s="1"/>
  <c r="AF59" i="65"/>
  <c r="AF60" i="65" s="1"/>
  <c r="AB59" i="61"/>
  <c r="Q59" i="65"/>
  <c r="U59" i="65"/>
  <c r="AJ61" i="57"/>
  <c r="AJ62" i="57" s="1"/>
  <c r="AL62" i="64"/>
  <c r="X62" i="64"/>
  <c r="AD62" i="65"/>
  <c r="AB59" i="65"/>
  <c r="AN59" i="64"/>
  <c r="AN60" i="64" s="1"/>
  <c r="AK59" i="65"/>
  <c r="AK60" i="65" s="1"/>
  <c r="AI59" i="64"/>
  <c r="AI60" i="64" s="1"/>
  <c r="AN62" i="65"/>
  <c r="T59" i="61"/>
  <c r="V59" i="65"/>
  <c r="S62" i="65"/>
  <c r="AA62" i="61"/>
  <c r="T62" i="65"/>
  <c r="S59" i="64"/>
  <c r="Z62" i="61"/>
  <c r="T59" i="65"/>
  <c r="AA62" i="64"/>
  <c r="AJ59" i="64"/>
  <c r="AJ60" i="64" s="1"/>
  <c r="T59" i="64"/>
  <c r="AK62" i="64"/>
  <c r="AK64" i="57"/>
  <c r="W62" i="65"/>
  <c r="R62" i="61"/>
  <c r="W62" i="61"/>
  <c r="AK61" i="57"/>
  <c r="AK62" i="57" s="1"/>
  <c r="S62" i="64"/>
  <c r="Q59" i="64"/>
  <c r="R59" i="64"/>
  <c r="Z62" i="65"/>
  <c r="AI59" i="61"/>
  <c r="AI60" i="61" s="1"/>
  <c r="T62" i="64"/>
  <c r="R59" i="65"/>
  <c r="Z62" i="64"/>
  <c r="AA59" i="65"/>
  <c r="R59" i="61"/>
  <c r="AA59" i="61"/>
  <c r="W62" i="64"/>
  <c r="Y59" i="61"/>
  <c r="AE59" i="61"/>
  <c r="AE60" i="61" s="1"/>
  <c r="AN64" i="57"/>
  <c r="S59" i="61"/>
  <c r="AK59" i="61"/>
  <c r="AK60" i="61" s="1"/>
  <c r="V59" i="64"/>
  <c r="AN62" i="61"/>
  <c r="Y59" i="65"/>
  <c r="O59" i="65"/>
  <c r="O59" i="61"/>
  <c r="AJ79" i="57"/>
  <c r="O76" i="64"/>
  <c r="O77" i="64" s="1"/>
  <c r="AJ6" i="57"/>
  <c r="AJ7" i="57" s="1"/>
  <c r="O59" i="64"/>
  <c r="O76" i="65"/>
  <c r="O77" i="65" s="1"/>
  <c r="O76" i="61"/>
  <c r="O77" i="61" s="1"/>
  <c r="O42" i="61"/>
  <c r="AJ15" i="57"/>
  <c r="AJ16" i="57" s="1"/>
  <c r="O62" i="65"/>
  <c r="O42" i="64"/>
  <c r="O62" i="64"/>
  <c r="O42" i="65"/>
  <c r="O62" i="61"/>
  <c r="AI79" i="57"/>
  <c r="AI64" i="57"/>
  <c r="AI65" i="57" s="1"/>
  <c r="N42" i="64"/>
  <c r="AL64" i="57"/>
  <c r="AI6" i="57"/>
  <c r="AI7" i="57" s="1"/>
  <c r="AI61" i="57"/>
  <c r="AI62" i="57" s="1"/>
  <c r="N42" i="61"/>
  <c r="AI15" i="57"/>
  <c r="AI16" i="57" s="1"/>
  <c r="N42" i="65"/>
  <c r="N62" i="65"/>
  <c r="N76" i="65"/>
  <c r="N77" i="65" s="1"/>
  <c r="N62" i="61"/>
  <c r="N76" i="61"/>
  <c r="N77" i="61" s="1"/>
  <c r="N62" i="64"/>
  <c r="N76" i="64"/>
  <c r="N77" i="64" s="1"/>
  <c r="O6" i="65"/>
  <c r="O7" i="65" s="1"/>
  <c r="N59" i="65"/>
  <c r="O6" i="64"/>
  <c r="O7" i="64" s="1"/>
  <c r="N59" i="61"/>
  <c r="O6" i="61"/>
  <c r="O7" i="61" s="1"/>
  <c r="N59" i="64"/>
  <c r="AH15" i="57"/>
  <c r="AH16" i="57" s="1"/>
  <c r="AH64" i="57"/>
  <c r="AH65" i="57" s="1"/>
  <c r="M42" i="64"/>
  <c r="M42" i="65"/>
  <c r="M42" i="61"/>
  <c r="M59" i="65"/>
  <c r="M59" i="64"/>
  <c r="M62" i="61"/>
  <c r="M59" i="61"/>
  <c r="AH6" i="57"/>
  <c r="AH7" i="57" s="1"/>
  <c r="M76" i="61"/>
  <c r="M77" i="61" s="1"/>
  <c r="M62" i="64"/>
  <c r="AK59" i="64"/>
  <c r="AK60" i="64" s="1"/>
  <c r="M76" i="64"/>
  <c r="M77" i="64" s="1"/>
  <c r="N6" i="64"/>
  <c r="N7" i="64" s="1"/>
  <c r="M76" i="65"/>
  <c r="M77" i="65" s="1"/>
  <c r="N6" i="61"/>
  <c r="N7" i="61" s="1"/>
  <c r="M62" i="65"/>
  <c r="N6" i="65"/>
  <c r="N7" i="65" s="1"/>
  <c r="AH79" i="57"/>
  <c r="AH61" i="57"/>
  <c r="AH62" i="57" s="1"/>
  <c r="AJ59" i="61"/>
  <c r="AJ60" i="61" s="1"/>
  <c r="L59" i="65"/>
  <c r="L59" i="64"/>
  <c r="L59" i="61"/>
  <c r="L76" i="61"/>
  <c r="L77" i="61" s="1"/>
  <c r="AG15" i="57"/>
  <c r="AG16" i="57" s="1"/>
  <c r="L76" i="65"/>
  <c r="L77" i="65" s="1"/>
  <c r="L42" i="65"/>
  <c r="L76" i="64"/>
  <c r="L77" i="64" s="1"/>
  <c r="AG6" i="57"/>
  <c r="AG7" i="57" s="1"/>
  <c r="L42" i="61"/>
  <c r="M6" i="64"/>
  <c r="M7" i="64" s="1"/>
  <c r="AG79" i="57"/>
  <c r="L42" i="64"/>
  <c r="M6" i="61"/>
  <c r="M7" i="61" s="1"/>
  <c r="M6" i="65"/>
  <c r="M7" i="65" s="1"/>
  <c r="AG64" i="57"/>
  <c r="AG65" i="57" s="1"/>
  <c r="L62" i="61"/>
  <c r="L65" i="61" s="1"/>
  <c r="AG61" i="57"/>
  <c r="AG62" i="57" s="1"/>
  <c r="L62" i="65"/>
  <c r="L62" i="64"/>
  <c r="K59" i="61"/>
  <c r="K62" i="64"/>
  <c r="K59" i="65"/>
  <c r="K62" i="61"/>
  <c r="K59" i="64"/>
  <c r="K42" i="65"/>
  <c r="AF79" i="57"/>
  <c r="K76" i="64"/>
  <c r="K77" i="64" s="1"/>
  <c r="K76" i="65"/>
  <c r="K77" i="65" s="1"/>
  <c r="K76" i="61"/>
  <c r="K77" i="61" s="1"/>
  <c r="AF15" i="57"/>
  <c r="AF16" i="57" s="1"/>
  <c r="AF64" i="57"/>
  <c r="AF65" i="57" s="1"/>
  <c r="L6" i="64"/>
  <c r="L7" i="64" s="1"/>
  <c r="K42" i="64"/>
  <c r="AF61" i="57"/>
  <c r="AF62" i="57" s="1"/>
  <c r="L6" i="61"/>
  <c r="L7" i="61" s="1"/>
  <c r="AF6" i="57"/>
  <c r="AF7" i="57" s="1"/>
  <c r="L6" i="65"/>
  <c r="L7" i="65" s="1"/>
  <c r="K42" i="61"/>
  <c r="K62" i="65"/>
  <c r="J59" i="65"/>
  <c r="J62" i="61"/>
  <c r="J62" i="65"/>
  <c r="J62" i="64"/>
  <c r="J76" i="64"/>
  <c r="J77" i="64" s="1"/>
  <c r="J76" i="65"/>
  <c r="J77" i="65" s="1"/>
  <c r="AE79" i="57"/>
  <c r="J42" i="65"/>
  <c r="J42" i="64"/>
  <c r="J42" i="61"/>
  <c r="AE15" i="57"/>
  <c r="AE16" i="57" s="1"/>
  <c r="AE61" i="57"/>
  <c r="AE62" i="57" s="1"/>
  <c r="K6" i="65"/>
  <c r="K7" i="65" s="1"/>
  <c r="AE64" i="57"/>
  <c r="AE65" i="57" s="1"/>
  <c r="J59" i="64"/>
  <c r="K6" i="64"/>
  <c r="K7" i="64" s="1"/>
  <c r="J76" i="61"/>
  <c r="J77" i="61" s="1"/>
  <c r="AE6" i="57"/>
  <c r="AE7" i="57" s="1"/>
  <c r="J59" i="61"/>
  <c r="K6" i="61"/>
  <c r="K7" i="61" s="1"/>
  <c r="I42" i="61"/>
  <c r="I62" i="65"/>
  <c r="I62" i="64"/>
  <c r="I42" i="64"/>
  <c r="I42" i="65"/>
  <c r="I62" i="61"/>
  <c r="I76" i="61"/>
  <c r="I77" i="61" s="1"/>
  <c r="J6" i="64"/>
  <c r="J7" i="64" s="1"/>
  <c r="AD61" i="57"/>
  <c r="AD62" i="57" s="1"/>
  <c r="AD15" i="57"/>
  <c r="AD16" i="57" s="1"/>
  <c r="AD64" i="57"/>
  <c r="AD65" i="57" s="1"/>
  <c r="I76" i="64"/>
  <c r="I77" i="64" s="1"/>
  <c r="AG62" i="64"/>
  <c r="AD79" i="57"/>
  <c r="I76" i="65"/>
  <c r="I77" i="65" s="1"/>
  <c r="AG59" i="64"/>
  <c r="AG60" i="64" s="1"/>
  <c r="I59" i="61"/>
  <c r="I59" i="64"/>
  <c r="I59" i="65"/>
  <c r="J6" i="61"/>
  <c r="J7" i="61" s="1"/>
  <c r="AD6" i="57"/>
  <c r="AD7" i="57" s="1"/>
  <c r="J6" i="65"/>
  <c r="J7" i="65" s="1"/>
  <c r="AC64" i="57"/>
  <c r="H62" i="65"/>
  <c r="AC61" i="57"/>
  <c r="AC62" i="57" s="1"/>
  <c r="H59" i="65"/>
  <c r="H76" i="64"/>
  <c r="H77" i="64" s="1"/>
  <c r="H59" i="64"/>
  <c r="H76" i="61"/>
  <c r="H77" i="61" s="1"/>
  <c r="H59" i="61"/>
  <c r="H76" i="65"/>
  <c r="H77" i="65" s="1"/>
  <c r="I6" i="61"/>
  <c r="I7" i="61" s="1"/>
  <c r="I6" i="64"/>
  <c r="I7" i="64" s="1"/>
  <c r="I6" i="65"/>
  <c r="I7" i="65" s="1"/>
  <c r="H42" i="61"/>
  <c r="AF59" i="61"/>
  <c r="AF60" i="61" s="1"/>
  <c r="H42" i="65"/>
  <c r="H42" i="64"/>
  <c r="H62" i="64"/>
  <c r="H62" i="61"/>
  <c r="H6" i="64"/>
  <c r="H7" i="64" s="1"/>
  <c r="G42" i="64"/>
  <c r="G42" i="65"/>
  <c r="G59" i="61"/>
  <c r="G76" i="64"/>
  <c r="G77" i="64" s="1"/>
  <c r="G59" i="64"/>
  <c r="G76" i="65"/>
  <c r="G77" i="65" s="1"/>
  <c r="G59" i="65"/>
  <c r="G76" i="61"/>
  <c r="G77" i="61" s="1"/>
  <c r="G62" i="65"/>
  <c r="AB61" i="57"/>
  <c r="AB62" i="57" s="1"/>
  <c r="G62" i="64"/>
  <c r="AB64" i="57"/>
  <c r="G42" i="61"/>
  <c r="H6" i="61"/>
  <c r="H7" i="61" s="1"/>
  <c r="G62" i="61"/>
  <c r="AE59" i="64"/>
  <c r="AE60" i="64" s="1"/>
  <c r="H6" i="65"/>
  <c r="H7" i="65" s="1"/>
  <c r="G6" i="65"/>
  <c r="G7" i="65" s="1"/>
  <c r="AA61" i="57"/>
  <c r="AA62" i="57" s="1"/>
  <c r="G6" i="64"/>
  <c r="G7" i="64" s="1"/>
  <c r="AA64" i="57"/>
  <c r="F42" i="65"/>
  <c r="F42" i="61"/>
  <c r="F42" i="64"/>
  <c r="F59" i="65"/>
  <c r="F59" i="64"/>
  <c r="F76" i="64"/>
  <c r="F77" i="64" s="1"/>
  <c r="F76" i="65"/>
  <c r="F77" i="65" s="1"/>
  <c r="F59" i="61"/>
  <c r="AD59" i="64"/>
  <c r="AD60" i="64" s="1"/>
  <c r="F76" i="61"/>
  <c r="F77" i="61" s="1"/>
  <c r="A95" i="55"/>
  <c r="F62" i="65"/>
  <c r="F62" i="61"/>
  <c r="G6" i="61"/>
  <c r="G7" i="61" s="1"/>
  <c r="F62" i="64"/>
  <c r="E62" i="65"/>
  <c r="F6" i="65"/>
  <c r="F7" i="65" s="1"/>
  <c r="E42" i="64"/>
  <c r="E76" i="65"/>
  <c r="E42" i="65"/>
  <c r="E62" i="61"/>
  <c r="E93" i="64"/>
  <c r="E94" i="64" s="1"/>
  <c r="E42" i="61"/>
  <c r="E59" i="61"/>
  <c r="F6" i="64"/>
  <c r="F7" i="64" s="1"/>
  <c r="E59" i="64"/>
  <c r="F6" i="61"/>
  <c r="F7" i="61" s="1"/>
  <c r="E59" i="65"/>
  <c r="AC59" i="61"/>
  <c r="AC60" i="61" s="1"/>
  <c r="E62" i="64"/>
  <c r="E93" i="65"/>
  <c r="E94" i="65" s="1"/>
  <c r="E76" i="64"/>
  <c r="Z61" i="57"/>
  <c r="E93" i="61"/>
  <c r="E94" i="61" s="1"/>
  <c r="Z64" i="57"/>
  <c r="E76" i="61"/>
  <c r="Y61" i="57"/>
  <c r="Y62" i="57" s="1"/>
  <c r="Y64" i="57"/>
  <c r="E6" i="64"/>
  <c r="E7" i="64" s="1"/>
  <c r="E6" i="61"/>
  <c r="E7" i="61" s="1"/>
  <c r="E6" i="65"/>
  <c r="E7" i="65" s="1"/>
  <c r="X61" i="57"/>
  <c r="X62" i="57" s="1"/>
  <c r="X64" i="57"/>
  <c r="AA59" i="64"/>
  <c r="Z59" i="64"/>
  <c r="W64" i="57"/>
  <c r="W61" i="57"/>
  <c r="W62" i="57" s="1"/>
  <c r="V64" i="57"/>
  <c r="V61" i="57"/>
  <c r="V62" i="57" s="1"/>
  <c r="X62" i="61"/>
  <c r="U64" i="57"/>
  <c r="U61" i="57"/>
  <c r="U62" i="57" s="1"/>
  <c r="T64" i="57"/>
  <c r="T61" i="57"/>
  <c r="T62" i="57" s="1"/>
  <c r="S64" i="57"/>
  <c r="S61" i="57"/>
  <c r="S62" i="57" s="1"/>
  <c r="R64" i="57"/>
  <c r="R61" i="57"/>
  <c r="U59" i="64"/>
  <c r="Q61" i="57"/>
  <c r="Q62" i="57" s="1"/>
  <c r="Q64" i="57"/>
  <c r="P61" i="57"/>
  <c r="P64" i="57"/>
  <c r="O64" i="57"/>
  <c r="O61" i="57"/>
  <c r="N64" i="57"/>
  <c r="N61" i="57"/>
  <c r="M64" i="57"/>
  <c r="M61" i="57"/>
  <c r="L64" i="57"/>
  <c r="L61" i="57"/>
  <c r="K64" i="57"/>
  <c r="K61" i="57"/>
  <c r="J61" i="57"/>
  <c r="J64" i="57"/>
  <c r="I64" i="57"/>
  <c r="I61" i="57"/>
  <c r="H61" i="57"/>
  <c r="H64" i="57"/>
  <c r="G64" i="57"/>
  <c r="G61" i="57"/>
  <c r="F64" i="57"/>
  <c r="F61" i="57"/>
  <c r="E64" i="57"/>
  <c r="E61" i="57"/>
  <c r="AO65" i="62"/>
  <c r="AQ106" i="3" a="1"/>
  <c r="AQ106" i="3" s="1"/>
  <c r="E107" i="3"/>
  <c r="AQ107" i="3" s="1" a="1"/>
  <c r="AQ107" i="3" s="1"/>
  <c r="P84" i="63"/>
  <c r="R128" i="63"/>
  <c r="AP128" i="63" s="1"/>
  <c r="AP127" i="63"/>
  <c r="U83" i="3"/>
  <c r="U85" i="3"/>
  <c r="U86" i="3" s="1"/>
  <c r="AA83" i="3"/>
  <c r="AA85" i="3"/>
  <c r="AA86" i="3" s="1"/>
  <c r="AE85" i="3"/>
  <c r="AE86" i="3" s="1"/>
  <c r="AI85" i="3"/>
  <c r="AI86" i="3" s="1"/>
  <c r="Z84" i="63"/>
  <c r="AO81" i="63"/>
  <c r="AO84" i="63" s="1"/>
  <c r="AO85" i="63" s="1"/>
  <c r="AQ67" i="58"/>
  <c r="AQ68" i="58" s="1"/>
  <c r="AO12" i="62"/>
  <c r="S83" i="3"/>
  <c r="S85" i="3"/>
  <c r="S86" i="3" s="1"/>
  <c r="T85" i="3"/>
  <c r="T86" i="3" s="1"/>
  <c r="T83" i="3"/>
  <c r="AH84" i="63"/>
  <c r="AH85" i="63" s="1"/>
  <c r="AH82" i="63"/>
  <c r="R33" i="63"/>
  <c r="AP32" i="63"/>
  <c r="Q85" i="3"/>
  <c r="Q86" i="3" s="1"/>
  <c r="Q83" i="3"/>
  <c r="AP12" i="66"/>
  <c r="AP82" i="62"/>
  <c r="AP12" i="62"/>
  <c r="AO48" i="62"/>
  <c r="Q107" i="3"/>
  <c r="AR106" i="3"/>
  <c r="Z102" i="63"/>
  <c r="AO102" i="63" s="1"/>
  <c r="AO101" i="63"/>
  <c r="Z104" i="3"/>
  <c r="AO103" i="3"/>
  <c r="R105" i="63"/>
  <c r="AP104" i="63"/>
  <c r="L84" i="63"/>
  <c r="Z128" i="63"/>
  <c r="AO128" i="63" s="1"/>
  <c r="AO127" i="63"/>
  <c r="AE84" i="63"/>
  <c r="AE85" i="63" s="1"/>
  <c r="AE82" i="63"/>
  <c r="AP55" i="63"/>
  <c r="R56" i="63"/>
  <c r="AO31" i="67"/>
  <c r="AQ49" i="58"/>
  <c r="AO48" i="67"/>
  <c r="AP65" i="66"/>
  <c r="AP82" i="67"/>
  <c r="AP31" i="62"/>
  <c r="R7" i="3"/>
  <c r="AP6" i="3"/>
  <c r="Z85" i="3"/>
  <c r="Z86" i="3" s="1"/>
  <c r="Z83" i="3"/>
  <c r="AO82" i="3"/>
  <c r="AF82" i="63"/>
  <c r="AF84" i="63"/>
  <c r="AF85" i="63" s="1"/>
  <c r="AL82" i="63"/>
  <c r="AL84" i="63"/>
  <c r="AL85" i="63" s="1"/>
  <c r="AM83" i="3"/>
  <c r="AM85" i="3"/>
  <c r="AM86" i="3" s="1"/>
  <c r="S84" i="63"/>
  <c r="S32" i="58"/>
  <c r="AQ29" i="58"/>
  <c r="AQ32" i="58" s="1"/>
  <c r="AP48" i="62"/>
  <c r="AQ85" i="58"/>
  <c r="AQ100" i="58"/>
  <c r="AQ97" i="58"/>
  <c r="AQ82" i="3" a="1"/>
  <c r="AQ82" i="3" s="1"/>
  <c r="E85" i="3"/>
  <c r="E86" i="3" s="1"/>
  <c r="R85" i="3"/>
  <c r="R86" i="3" s="1"/>
  <c r="R83" i="3"/>
  <c r="AP82" i="3"/>
  <c r="V83" i="3"/>
  <c r="V85" i="3"/>
  <c r="V86" i="3" s="1"/>
  <c r="W85" i="3"/>
  <c r="W86" i="3" s="1"/>
  <c r="W83" i="3"/>
  <c r="Z7" i="63"/>
  <c r="AO7" i="63" s="1"/>
  <c r="AO6" i="63"/>
  <c r="AI84" i="63"/>
  <c r="AI85" i="63" s="1"/>
  <c r="AI82" i="63"/>
  <c r="AP49" i="58"/>
  <c r="AP99" i="67"/>
  <c r="AP100" i="67" s="1"/>
  <c r="AO99" i="66"/>
  <c r="AO100" i="66" s="1"/>
  <c r="G85" i="3"/>
  <c r="G86" i="3" s="1"/>
  <c r="M85" i="3"/>
  <c r="M86" i="3" s="1"/>
  <c r="AP32" i="3"/>
  <c r="R33" i="3"/>
  <c r="X85" i="3"/>
  <c r="X86" i="3" s="1"/>
  <c r="X83" i="3"/>
  <c r="AO79" i="3"/>
  <c r="Z80" i="3"/>
  <c r="AO80" i="3" s="1"/>
  <c r="AF85" i="3"/>
  <c r="AF86" i="3" s="1"/>
  <c r="AK85" i="3"/>
  <c r="AK86" i="3" s="1"/>
  <c r="AD82" i="63"/>
  <c r="AD84" i="63"/>
  <c r="AD85" i="63" s="1"/>
  <c r="AP79" i="63"/>
  <c r="AO79" i="63"/>
  <c r="AA32" i="58"/>
  <c r="AP29" i="58"/>
  <c r="AP32" i="58" s="1"/>
  <c r="AP55" i="3"/>
  <c r="R56" i="3"/>
  <c r="AO6" i="3"/>
  <c r="Z7" i="3"/>
  <c r="AC107" i="3"/>
  <c r="AS107" i="3" s="1"/>
  <c r="AS106" i="3"/>
  <c r="J84" i="63"/>
  <c r="AP129" i="3"/>
  <c r="R130" i="3"/>
  <c r="AO55" i="3"/>
  <c r="Z56" i="3"/>
  <c r="AO56" i="3" s="1"/>
  <c r="AC104" i="3"/>
  <c r="AS104" i="3" s="1"/>
  <c r="AS103" i="3"/>
  <c r="AL85" i="3"/>
  <c r="AL86" i="3" s="1"/>
  <c r="AA84" i="63"/>
  <c r="AG84" i="63"/>
  <c r="AG85" i="63" s="1"/>
  <c r="AG82" i="63"/>
  <c r="AO55" i="63"/>
  <c r="Z56" i="63"/>
  <c r="AO56" i="63" s="1"/>
  <c r="AO82" i="66"/>
  <c r="R84" i="63"/>
  <c r="AP81" i="63"/>
  <c r="AP84" i="63" s="1"/>
  <c r="AP85" i="63" s="1"/>
  <c r="R107" i="3"/>
  <c r="AP106" i="3"/>
  <c r="Y85" i="3"/>
  <c r="Y86" i="3" s="1"/>
  <c r="Y83" i="3"/>
  <c r="Z107" i="3"/>
  <c r="AO106" i="3"/>
  <c r="AC84" i="63"/>
  <c r="AC85" i="63" s="1"/>
  <c r="AC82" i="63"/>
  <c r="AJ82" i="63"/>
  <c r="AJ84" i="63"/>
  <c r="AJ85" i="63" s="1"/>
  <c r="K84" i="63"/>
  <c r="M84" i="63"/>
  <c r="AP48" i="67"/>
  <c r="AO82" i="67"/>
  <c r="AP102" i="58"/>
  <c r="AP103" i="58" s="1"/>
  <c r="R104" i="3"/>
  <c r="AP103" i="3"/>
  <c r="Z130" i="3"/>
  <c r="AO130" i="3" s="1"/>
  <c r="AO129" i="3"/>
  <c r="AH85" i="3"/>
  <c r="AH86" i="3" s="1"/>
  <c r="T84" i="63"/>
  <c r="F84" i="63"/>
  <c r="AO99" i="62"/>
  <c r="AO100" i="62" s="1"/>
  <c r="AR29" i="58" a="1"/>
  <c r="AR29" i="58" s="1"/>
  <c r="F32" i="58"/>
  <c r="F33" i="58" s="1"/>
  <c r="AF43" i="28"/>
  <c r="AA43" i="28"/>
  <c r="O43" i="26"/>
  <c r="K43" i="26"/>
  <c r="L42" i="28"/>
  <c r="AA43" i="31"/>
  <c r="Y43" i="31"/>
  <c r="W43" i="31"/>
  <c r="AK43" i="31"/>
  <c r="U43" i="31"/>
  <c r="AI43" i="31"/>
  <c r="AC43" i="31"/>
  <c r="BC44" i="32"/>
  <c r="P44" i="32"/>
  <c r="AQ41" i="54"/>
  <c r="BC41" i="54"/>
  <c r="AE41" i="54"/>
  <c r="CA41" i="54"/>
  <c r="CM41" i="54"/>
  <c r="AE42" i="54"/>
  <c r="DC42" i="54"/>
  <c r="CQ42" i="54"/>
  <c r="AU42" i="54"/>
  <c r="CE42" i="54"/>
  <c r="AI42" i="54"/>
  <c r="BG42" i="54"/>
  <c r="W42" i="54"/>
  <c r="S41" i="54"/>
  <c r="AY41" i="54"/>
  <c r="CW41" i="54"/>
  <c r="E41" i="54"/>
  <c r="AW41" i="54"/>
  <c r="CO41" i="54"/>
  <c r="G41" i="54"/>
  <c r="BM41" i="54"/>
  <c r="AC41" i="54"/>
  <c r="AM41" i="54"/>
  <c r="BY41" i="54"/>
  <c r="BA41" i="54"/>
  <c r="BK41" i="54"/>
  <c r="M41" i="54"/>
  <c r="C41" i="54"/>
  <c r="K42" i="54"/>
  <c r="BY42" i="54"/>
  <c r="U42" i="54"/>
  <c r="AA42" i="54"/>
  <c r="Q42" i="54"/>
  <c r="BA42" i="54"/>
  <c r="BI42" i="54"/>
  <c r="BW42" i="54"/>
  <c r="CW42" i="54"/>
  <c r="E42" i="54"/>
  <c r="BQ42" i="54"/>
  <c r="CC42" i="54"/>
  <c r="CS42" i="54"/>
  <c r="Y42" i="54"/>
  <c r="AC42" i="54"/>
  <c r="O42" i="54"/>
  <c r="C42" i="54"/>
  <c r="G42" i="54"/>
  <c r="AW42" i="54"/>
  <c r="BE42" i="54"/>
  <c r="AO42" i="54"/>
  <c r="A43" i="54"/>
  <c r="CG41" i="54"/>
  <c r="CI41" i="54"/>
  <c r="AA41" i="54"/>
  <c r="BI41" i="54"/>
  <c r="Q41" i="54"/>
  <c r="L42" i="32"/>
  <c r="AQ43" i="3"/>
  <c r="D42" i="32"/>
  <c r="BB43" i="32"/>
  <c r="AQ67" i="3"/>
  <c r="AQ91" i="3"/>
  <c r="O42" i="32"/>
  <c r="BC43" i="32"/>
  <c r="S42" i="32"/>
  <c r="T42" i="32"/>
  <c r="AJ43" i="32"/>
  <c r="AI43" i="32"/>
  <c r="AA43" i="32"/>
  <c r="J43" i="32"/>
  <c r="K43" i="32" s="1"/>
  <c r="AB43" i="32"/>
  <c r="R43" i="32"/>
  <c r="AR43" i="32"/>
  <c r="AQ43" i="32"/>
  <c r="AM43" i="32"/>
  <c r="AL43" i="32"/>
  <c r="AY43" i="32"/>
  <c r="AZ43" i="32"/>
  <c r="V42" i="32"/>
  <c r="C43" i="32"/>
  <c r="AD43" i="32"/>
  <c r="M43" i="32"/>
  <c r="N43" i="32" s="1"/>
  <c r="U43" i="32"/>
  <c r="W43" i="32" s="1"/>
  <c r="AE43" i="32"/>
  <c r="AT43" i="32"/>
  <c r="AU43" i="32"/>
  <c r="A45" i="32"/>
  <c r="Q43" i="32"/>
  <c r="O43" i="32" s="1"/>
  <c r="F43" i="32"/>
  <c r="O41" i="32"/>
  <c r="W42" i="32"/>
  <c r="G42" i="32"/>
  <c r="F36" i="58"/>
  <c r="F71" i="58"/>
  <c r="F13" i="58"/>
  <c r="F10" i="58"/>
  <c r="F106" i="58"/>
  <c r="F53" i="58"/>
  <c r="AU41" i="31"/>
  <c r="AY41" i="31" s="1"/>
  <c r="AY40" i="31"/>
  <c r="C41" i="31"/>
  <c r="BE42" i="31"/>
  <c r="AN42" i="31"/>
  <c r="AO42" i="31" s="1"/>
  <c r="U42" i="31"/>
  <c r="D42" i="31"/>
  <c r="E42" i="31" s="1"/>
  <c r="L42" i="31"/>
  <c r="P42" i="31"/>
  <c r="Q42" i="31" s="1"/>
  <c r="AM41" i="31"/>
  <c r="AT41" i="31"/>
  <c r="AX41" i="31" s="1"/>
  <c r="BK43" i="31"/>
  <c r="BO43" i="31"/>
  <c r="BQ43" i="31"/>
  <c r="BM43" i="31"/>
  <c r="A44" i="31"/>
  <c r="AQ41" i="31"/>
  <c r="AV41" i="31"/>
  <c r="AZ41" i="31" s="1"/>
  <c r="B42" i="31"/>
  <c r="C42" i="31" s="1"/>
  <c r="S42" i="31"/>
  <c r="J42" i="31"/>
  <c r="K42" i="31" s="1"/>
  <c r="N42" i="31"/>
  <c r="O42" i="31" s="1"/>
  <c r="AK42" i="31"/>
  <c r="G41" i="31"/>
  <c r="AR42" i="31"/>
  <c r="BI42" i="31"/>
  <c r="W42" i="31"/>
  <c r="AE42" i="31"/>
  <c r="AG42" i="31"/>
  <c r="G42" i="31"/>
  <c r="AO41" i="31"/>
  <c r="AL42" i="31"/>
  <c r="BC42" i="31"/>
  <c r="AP42" i="31"/>
  <c r="BG42" i="31"/>
  <c r="AS41" i="31"/>
  <c r="AW41" i="31"/>
  <c r="BA41" i="31" s="1"/>
  <c r="AU42" i="26"/>
  <c r="AC41" i="26"/>
  <c r="W41" i="26"/>
  <c r="I41" i="26"/>
  <c r="BI41" i="28"/>
  <c r="AR41" i="28"/>
  <c r="AW42" i="26"/>
  <c r="I42" i="28"/>
  <c r="AM43" i="28"/>
  <c r="AO43" i="28"/>
  <c r="BH42" i="28"/>
  <c r="Z42" i="26"/>
  <c r="AA42" i="26" s="1"/>
  <c r="M42" i="26"/>
  <c r="AD41" i="26"/>
  <c r="Y41" i="26"/>
  <c r="AH40" i="26"/>
  <c r="BR44" i="28"/>
  <c r="CP44" i="28"/>
  <c r="A45" i="28"/>
  <c r="AC43" i="28"/>
  <c r="BE42" i="28"/>
  <c r="AP42" i="28"/>
  <c r="BK41" i="28"/>
  <c r="CN42" i="28"/>
  <c r="CR42" i="28"/>
  <c r="AY42" i="26"/>
  <c r="Q43" i="28"/>
  <c r="G41" i="26"/>
  <c r="AI40" i="26"/>
  <c r="X42" i="28"/>
  <c r="O42" i="26"/>
  <c r="CH43" i="28"/>
  <c r="BG42" i="28"/>
  <c r="E42" i="28"/>
  <c r="CB42" i="28"/>
  <c r="H42" i="26"/>
  <c r="I42" i="26" s="1"/>
  <c r="B42" i="26"/>
  <c r="F42" i="26"/>
  <c r="AS42" i="26"/>
  <c r="AV42" i="28"/>
  <c r="BF42" i="28"/>
  <c r="AT42" i="28"/>
  <c r="S42" i="26"/>
  <c r="AE41" i="26"/>
  <c r="AI41" i="26" s="1"/>
  <c r="AA41" i="26"/>
  <c r="X42" i="26"/>
  <c r="AO42" i="26"/>
  <c r="AW43" i="28"/>
  <c r="BV43" i="28"/>
  <c r="AC42" i="28"/>
  <c r="H42" i="28"/>
  <c r="AK43" i="26"/>
  <c r="AY43" i="26"/>
  <c r="A44" i="26"/>
  <c r="AU43" i="26"/>
  <c r="BA43" i="28"/>
  <c r="S43" i="28"/>
  <c r="H43" i="28"/>
  <c r="K43" i="28"/>
  <c r="BL41" i="28"/>
  <c r="AB41" i="26"/>
  <c r="AF41" i="26" s="1"/>
  <c r="T42" i="26"/>
  <c r="AK42" i="26"/>
  <c r="V42" i="26"/>
  <c r="BB42" i="28"/>
  <c r="AS43" i="28"/>
  <c r="BR43" i="28"/>
  <c r="BN43" i="28"/>
  <c r="CL43" i="28"/>
  <c r="CP43" i="28"/>
  <c r="AK43" i="28"/>
  <c r="C41" i="26"/>
  <c r="AP33" i="3" l="1"/>
  <c r="AR107" i="3"/>
  <c r="AR104" i="3"/>
  <c r="X65" i="65"/>
  <c r="K65" i="65"/>
  <c r="E65" i="64"/>
  <c r="E65" i="65"/>
  <c r="G65" i="65"/>
  <c r="F65" i="65"/>
  <c r="K65" i="64"/>
  <c r="G65" i="61"/>
  <c r="E65" i="61"/>
  <c r="W65" i="64"/>
  <c r="P67" i="57"/>
  <c r="F65" i="64"/>
  <c r="K65" i="61"/>
  <c r="AO7" i="3"/>
  <c r="AP105" i="63"/>
  <c r="AP33" i="63"/>
  <c r="I65" i="65"/>
  <c r="L65" i="64"/>
  <c r="M65" i="64"/>
  <c r="AA65" i="65"/>
  <c r="J65" i="64"/>
  <c r="S65" i="61"/>
  <c r="J65" i="65"/>
  <c r="AP56" i="63"/>
  <c r="AF67" i="57"/>
  <c r="AF68" i="57" s="1"/>
  <c r="AH65" i="64"/>
  <c r="AG65" i="64"/>
  <c r="AP107" i="3"/>
  <c r="O67" i="57"/>
  <c r="AB65" i="64"/>
  <c r="J67" i="57"/>
  <c r="AE67" i="57"/>
  <c r="AE68" i="57" s="1"/>
  <c r="T65" i="64"/>
  <c r="AK16" i="57"/>
  <c r="X65" i="64"/>
  <c r="AK7" i="57"/>
  <c r="AP130" i="3"/>
  <c r="AL65" i="64"/>
  <c r="AJ65" i="64"/>
  <c r="AI67" i="57"/>
  <c r="AI68" i="57" s="1"/>
  <c r="AM65" i="64"/>
  <c r="AJ67" i="57"/>
  <c r="AJ68" i="57" s="1"/>
  <c r="L67" i="57"/>
  <c r="AH67" i="57"/>
  <c r="AH68" i="57" s="1"/>
  <c r="T65" i="65"/>
  <c r="AP59" i="64"/>
  <c r="I67" i="57"/>
  <c r="K67" i="57"/>
  <c r="AI65" i="64"/>
  <c r="G67" i="57"/>
  <c r="N67" i="57"/>
  <c r="AP85" i="3"/>
  <c r="AP86" i="3" s="1"/>
  <c r="AP83" i="3"/>
  <c r="Y67" i="57"/>
  <c r="Y68" i="57" s="1"/>
  <c r="Y65" i="57"/>
  <c r="J43" i="65"/>
  <c r="J25" i="65"/>
  <c r="J26" i="65" s="1"/>
  <c r="K43" i="64"/>
  <c r="K25" i="64"/>
  <c r="K26" i="64" s="1"/>
  <c r="N43" i="61"/>
  <c r="N25" i="61"/>
  <c r="N26" i="61" s="1"/>
  <c r="O43" i="61"/>
  <c r="O25" i="61"/>
  <c r="O26" i="61" s="1"/>
  <c r="AA65" i="64"/>
  <c r="AK63" i="61"/>
  <c r="AK65" i="61"/>
  <c r="AK66" i="61" s="1"/>
  <c r="AC63" i="61"/>
  <c r="AC65" i="61"/>
  <c r="AC66" i="61" s="1"/>
  <c r="U65" i="64"/>
  <c r="AP104" i="3"/>
  <c r="U65" i="57"/>
  <c r="U67" i="57"/>
  <c r="U68" i="57" s="1"/>
  <c r="E25" i="61"/>
  <c r="E26" i="61" s="1"/>
  <c r="E43" i="61"/>
  <c r="G43" i="65"/>
  <c r="G25" i="65"/>
  <c r="G26" i="65" s="1"/>
  <c r="I25" i="61"/>
  <c r="I26" i="61" s="1"/>
  <c r="I43" i="61"/>
  <c r="L65" i="65"/>
  <c r="AN65" i="57"/>
  <c r="AN67" i="57"/>
  <c r="AN68" i="57" s="1"/>
  <c r="AC63" i="65"/>
  <c r="AC65" i="65"/>
  <c r="AC66" i="65" s="1"/>
  <c r="AF63" i="65"/>
  <c r="AF65" i="65"/>
  <c r="AF66" i="65" s="1"/>
  <c r="AF65" i="64"/>
  <c r="V65" i="61"/>
  <c r="AM65" i="57"/>
  <c r="AM67" i="57"/>
  <c r="AM68" i="57" s="1"/>
  <c r="T65" i="61"/>
  <c r="G43" i="64"/>
  <c r="G25" i="64"/>
  <c r="G26" i="64" s="1"/>
  <c r="AO62" i="65"/>
  <c r="Z65" i="65"/>
  <c r="AF63" i="61"/>
  <c r="AF65" i="61"/>
  <c r="AF66" i="61" s="1"/>
  <c r="AI63" i="61"/>
  <c r="AI65" i="61"/>
  <c r="AI66" i="61" s="1"/>
  <c r="AL63" i="61"/>
  <c r="AL65" i="61"/>
  <c r="AL66" i="61" s="1"/>
  <c r="Z67" i="57"/>
  <c r="Z68" i="57" s="1"/>
  <c r="Z65" i="57"/>
  <c r="AO64" i="57"/>
  <c r="Z65" i="61"/>
  <c r="AO62" i="61"/>
  <c r="AD63" i="65"/>
  <c r="AD65" i="65"/>
  <c r="AD66" i="65" s="1"/>
  <c r="AJ63" i="61"/>
  <c r="AJ65" i="61"/>
  <c r="AJ66" i="61" s="1"/>
  <c r="X65" i="61"/>
  <c r="AH63" i="65"/>
  <c r="AH65" i="65"/>
  <c r="AH66" i="65" s="1"/>
  <c r="Y65" i="61"/>
  <c r="V67" i="57"/>
  <c r="V68" i="57" s="1"/>
  <c r="V65" i="57"/>
  <c r="E25" i="65"/>
  <c r="E26" i="65" s="1"/>
  <c r="E43" i="65"/>
  <c r="G25" i="61"/>
  <c r="G26" i="61" s="1"/>
  <c r="G43" i="61"/>
  <c r="H65" i="61"/>
  <c r="AG67" i="57"/>
  <c r="AG68" i="57" s="1"/>
  <c r="N25" i="64"/>
  <c r="N26" i="64" s="1"/>
  <c r="N43" i="64"/>
  <c r="AP7" i="63"/>
  <c r="AO85" i="3"/>
  <c r="AO86" i="3" s="1"/>
  <c r="AO83" i="3"/>
  <c r="Q65" i="57"/>
  <c r="Q67" i="57"/>
  <c r="Q68" i="57" s="1"/>
  <c r="AO61" i="57"/>
  <c r="Z62" i="57"/>
  <c r="AO62" i="57" s="1"/>
  <c r="AB67" i="57"/>
  <c r="AB68" i="57" s="1"/>
  <c r="AB65" i="57"/>
  <c r="H65" i="64"/>
  <c r="AD67" i="57"/>
  <c r="AD68" i="57" s="1"/>
  <c r="S65" i="64"/>
  <c r="AH63" i="61"/>
  <c r="AH65" i="61"/>
  <c r="AH66" i="61" s="1"/>
  <c r="AI63" i="65"/>
  <c r="AI65" i="65"/>
  <c r="AI66" i="65" s="1"/>
  <c r="AD65" i="64"/>
  <c r="U65" i="61"/>
  <c r="W67" i="57"/>
  <c r="W68" i="57" s="1"/>
  <c r="W65" i="57"/>
  <c r="E43" i="64"/>
  <c r="E25" i="64"/>
  <c r="E26" i="64" s="1"/>
  <c r="G65" i="64"/>
  <c r="H43" i="64"/>
  <c r="H25" i="64"/>
  <c r="H26" i="64" s="1"/>
  <c r="H65" i="65"/>
  <c r="J65" i="61"/>
  <c r="M65" i="61"/>
  <c r="AA65" i="61"/>
  <c r="AO60" i="65"/>
  <c r="AP60" i="65"/>
  <c r="Y65" i="64"/>
  <c r="AN65" i="64"/>
  <c r="AO59" i="64"/>
  <c r="F43" i="64"/>
  <c r="F25" i="64"/>
  <c r="F26" i="64" s="1"/>
  <c r="H43" i="65"/>
  <c r="H25" i="65"/>
  <c r="H26" i="65" s="1"/>
  <c r="AC67" i="57"/>
  <c r="AC68" i="57" s="1"/>
  <c r="AC65" i="57"/>
  <c r="AS64" i="57"/>
  <c r="AS65" i="57" s="1"/>
  <c r="L43" i="64"/>
  <c r="L25" i="64"/>
  <c r="L26" i="64" s="1"/>
  <c r="N65" i="64"/>
  <c r="O65" i="61"/>
  <c r="W65" i="61"/>
  <c r="S65" i="65"/>
  <c r="AO59" i="61"/>
  <c r="AG63" i="65"/>
  <c r="AG65" i="65"/>
  <c r="AG66" i="65" s="1"/>
  <c r="AL67" i="57"/>
  <c r="Q65" i="61"/>
  <c r="AQ64" i="57" a="1"/>
  <c r="AQ64" i="57" s="1"/>
  <c r="E67" i="57"/>
  <c r="AP61" i="57"/>
  <c r="R62" i="57"/>
  <c r="F43" i="61"/>
  <c r="F25" i="61"/>
  <c r="F26" i="61" s="1"/>
  <c r="K25" i="65"/>
  <c r="K26" i="65" s="1"/>
  <c r="K43" i="65"/>
  <c r="O43" i="65"/>
  <c r="O25" i="65"/>
  <c r="O26" i="65" s="1"/>
  <c r="AP62" i="61"/>
  <c r="R65" i="61"/>
  <c r="AO59" i="65"/>
  <c r="V65" i="64"/>
  <c r="Q65" i="65"/>
  <c r="AO82" i="63"/>
  <c r="AP82" i="63"/>
  <c r="AP7" i="3"/>
  <c r="R67" i="57"/>
  <c r="R68" i="57" s="1"/>
  <c r="R65" i="57"/>
  <c r="AP64" i="57"/>
  <c r="X67" i="57"/>
  <c r="X68" i="57" s="1"/>
  <c r="X65" i="57"/>
  <c r="AP60" i="61"/>
  <c r="AO60" i="61"/>
  <c r="F43" i="65"/>
  <c r="F25" i="65"/>
  <c r="F26" i="65" s="1"/>
  <c r="H43" i="61"/>
  <c r="H25" i="61"/>
  <c r="H26" i="61" s="1"/>
  <c r="K25" i="61"/>
  <c r="K26" i="61" s="1"/>
  <c r="K43" i="61"/>
  <c r="M43" i="61"/>
  <c r="M25" i="61"/>
  <c r="M26" i="61" s="1"/>
  <c r="N65" i="61"/>
  <c r="O65" i="64"/>
  <c r="AP59" i="61"/>
  <c r="W65" i="65"/>
  <c r="AC65" i="64"/>
  <c r="AL63" i="65"/>
  <c r="AL65" i="65"/>
  <c r="AL66" i="65" s="1"/>
  <c r="AP80" i="3"/>
  <c r="AP56" i="3"/>
  <c r="F67" i="57"/>
  <c r="M67" i="57"/>
  <c r="AA65" i="57"/>
  <c r="AA67" i="57"/>
  <c r="AA68" i="57" s="1"/>
  <c r="I65" i="61"/>
  <c r="L43" i="61"/>
  <c r="L25" i="61"/>
  <c r="L26" i="61" s="1"/>
  <c r="M65" i="65"/>
  <c r="M43" i="65"/>
  <c r="M25" i="65"/>
  <c r="M26" i="65" s="1"/>
  <c r="AK67" i="57"/>
  <c r="AN63" i="65"/>
  <c r="AN65" i="65"/>
  <c r="AN66" i="65" s="1"/>
  <c r="U65" i="65"/>
  <c r="AM63" i="65"/>
  <c r="AM65" i="65"/>
  <c r="AM66" i="65" s="1"/>
  <c r="S67" i="57"/>
  <c r="S68" i="57" s="1"/>
  <c r="S65" i="57"/>
  <c r="F65" i="61"/>
  <c r="I43" i="65"/>
  <c r="I25" i="65"/>
  <c r="I26" i="65" s="1"/>
  <c r="M43" i="64"/>
  <c r="M25" i="64"/>
  <c r="M26" i="64" s="1"/>
  <c r="N65" i="65"/>
  <c r="O43" i="64"/>
  <c r="O25" i="64"/>
  <c r="O26" i="64" s="1"/>
  <c r="AN63" i="61"/>
  <c r="AN65" i="61"/>
  <c r="AN66" i="61" s="1"/>
  <c r="AK65" i="64"/>
  <c r="AO60" i="64"/>
  <c r="AP60" i="64"/>
  <c r="AJ63" i="65"/>
  <c r="AJ65" i="65"/>
  <c r="AJ66" i="65" s="1"/>
  <c r="AE63" i="61"/>
  <c r="AE65" i="61"/>
  <c r="AE66" i="61" s="1"/>
  <c r="AP62" i="64"/>
  <c r="R65" i="64"/>
  <c r="AD63" i="61"/>
  <c r="AD65" i="61"/>
  <c r="AD66" i="61" s="1"/>
  <c r="Y65" i="65"/>
  <c r="AG63" i="61"/>
  <c r="AG65" i="61"/>
  <c r="AG66" i="61" s="1"/>
  <c r="AO107" i="3"/>
  <c r="AO104" i="3"/>
  <c r="I43" i="64"/>
  <c r="I25" i="64"/>
  <c r="I26" i="64" s="1"/>
  <c r="J43" i="61"/>
  <c r="J25" i="61"/>
  <c r="J26" i="61" s="1"/>
  <c r="N43" i="65"/>
  <c r="N25" i="65"/>
  <c r="N26" i="65" s="1"/>
  <c r="O65" i="65"/>
  <c r="Z65" i="64"/>
  <c r="AO62" i="64"/>
  <c r="AE65" i="64"/>
  <c r="AK63" i="65"/>
  <c r="AK65" i="65"/>
  <c r="AK66" i="65" s="1"/>
  <c r="AB65" i="61"/>
  <c r="AM63" i="61"/>
  <c r="AM65" i="61"/>
  <c r="AM66" i="61" s="1"/>
  <c r="AP102" i="63"/>
  <c r="H67" i="57"/>
  <c r="T67" i="57"/>
  <c r="T68" i="57" s="1"/>
  <c r="T65" i="57"/>
  <c r="M95" i="55"/>
  <c r="K95" i="55"/>
  <c r="I95" i="55"/>
  <c r="L95" i="55"/>
  <c r="Q95" i="55"/>
  <c r="I65" i="64"/>
  <c r="J43" i="64"/>
  <c r="J25" i="64"/>
  <c r="J26" i="64" s="1"/>
  <c r="L43" i="65"/>
  <c r="L25" i="65"/>
  <c r="L26" i="65" s="1"/>
  <c r="AP59" i="65"/>
  <c r="AE63" i="65"/>
  <c r="AE65" i="65"/>
  <c r="AE66" i="65" s="1"/>
  <c r="AB65" i="65"/>
  <c r="R65" i="65"/>
  <c r="AP62" i="65"/>
  <c r="V65" i="65"/>
  <c r="Q65" i="64"/>
  <c r="AK44" i="28"/>
  <c r="Q44" i="28"/>
  <c r="AA44" i="28"/>
  <c r="P45" i="32"/>
  <c r="AA44" i="31"/>
  <c r="AK44" i="31"/>
  <c r="Y44" i="31"/>
  <c r="O44" i="26"/>
  <c r="AQ42" i="54"/>
  <c r="CY42" i="54"/>
  <c r="BC42" i="54"/>
  <c r="CM42" i="54"/>
  <c r="AQ43" i="54"/>
  <c r="AE43" i="54"/>
  <c r="CM43" i="54"/>
  <c r="DC43" i="54"/>
  <c r="CQ43" i="54"/>
  <c r="AU43" i="54"/>
  <c r="CE43" i="54"/>
  <c r="AI43" i="54"/>
  <c r="BG43" i="54"/>
  <c r="W43" i="54"/>
  <c r="CA42" i="54"/>
  <c r="S42" i="54"/>
  <c r="AG42" i="54"/>
  <c r="I42" i="54"/>
  <c r="DE42" i="54"/>
  <c r="CU42" i="54"/>
  <c r="AK42" i="54"/>
  <c r="CK42" i="54"/>
  <c r="BU42" i="54"/>
  <c r="BK42" i="54"/>
  <c r="AM42" i="54"/>
  <c r="DA42" i="54"/>
  <c r="AS42" i="54"/>
  <c r="CI42" i="54"/>
  <c r="CG42" i="54"/>
  <c r="CO42" i="54"/>
  <c r="K43" i="54"/>
  <c r="BQ43" i="54"/>
  <c r="Q43" i="54"/>
  <c r="BA43" i="54"/>
  <c r="AO43" i="54"/>
  <c r="AW43" i="54"/>
  <c r="I43" i="54"/>
  <c r="BM43" i="54"/>
  <c r="M43" i="54"/>
  <c r="AS43" i="54"/>
  <c r="G43" i="54"/>
  <c r="CU43" i="54"/>
  <c r="E43" i="54"/>
  <c r="BU43" i="54"/>
  <c r="CS43" i="54"/>
  <c r="AY43" i="54"/>
  <c r="CI43" i="54"/>
  <c r="BW43" i="54"/>
  <c r="AC43" i="54"/>
  <c r="BI43" i="54"/>
  <c r="AG43" i="54"/>
  <c r="A44" i="54"/>
  <c r="AA43" i="54"/>
  <c r="CW43" i="54"/>
  <c r="BY43" i="54"/>
  <c r="BM42" i="54"/>
  <c r="AY42" i="54"/>
  <c r="M42" i="54"/>
  <c r="D44" i="32"/>
  <c r="G43" i="32"/>
  <c r="V43" i="32"/>
  <c r="AI44" i="32"/>
  <c r="AT44" i="32"/>
  <c r="AU44" i="32"/>
  <c r="C44" i="32"/>
  <c r="A46" i="32"/>
  <c r="BB44" i="32"/>
  <c r="AZ44" i="32"/>
  <c r="AY44" i="32"/>
  <c r="D43" i="32"/>
  <c r="P43" i="32"/>
  <c r="L43" i="32" s="1"/>
  <c r="AB44" i="32"/>
  <c r="AA44" i="32"/>
  <c r="R44" i="32"/>
  <c r="J44" i="32"/>
  <c r="K44" i="32" s="1"/>
  <c r="F44" i="32"/>
  <c r="AL44" i="32"/>
  <c r="T43" i="32"/>
  <c r="S43" i="32"/>
  <c r="AD44" i="32"/>
  <c r="AE44" i="32"/>
  <c r="U44" i="32"/>
  <c r="M44" i="32"/>
  <c r="N44" i="32" s="1"/>
  <c r="AR44" i="32"/>
  <c r="AQ44" i="32"/>
  <c r="G43" i="31"/>
  <c r="AL43" i="31"/>
  <c r="AM43" i="31" s="1"/>
  <c r="AN43" i="31"/>
  <c r="AO43" i="31" s="1"/>
  <c r="AV42" i="31"/>
  <c r="AZ42" i="31" s="1"/>
  <c r="AE43" i="31"/>
  <c r="BO44" i="31"/>
  <c r="A45" i="31"/>
  <c r="BM44" i="31"/>
  <c r="AP43" i="31"/>
  <c r="AQ43" i="31" s="1"/>
  <c r="BG43" i="31"/>
  <c r="AW42" i="31"/>
  <c r="AS42" i="31"/>
  <c r="AR43" i="31"/>
  <c r="BI43" i="31"/>
  <c r="S43" i="31"/>
  <c r="N43" i="31"/>
  <c r="J43" i="31"/>
  <c r="B43" i="31"/>
  <c r="BC43" i="31"/>
  <c r="M42" i="31"/>
  <c r="AT42" i="31"/>
  <c r="AX42" i="31" s="1"/>
  <c r="AM42" i="31"/>
  <c r="BE43" i="31"/>
  <c r="AG43" i="31"/>
  <c r="AU42" i="31"/>
  <c r="AY42" i="31" s="1"/>
  <c r="I42" i="31"/>
  <c r="I43" i="31"/>
  <c r="AQ42" i="31"/>
  <c r="P43" i="31"/>
  <c r="L43" i="31"/>
  <c r="M43" i="31" s="1"/>
  <c r="D43" i="31"/>
  <c r="E43" i="31" s="1"/>
  <c r="AV43" i="28"/>
  <c r="BF43" i="28"/>
  <c r="AT43" i="28"/>
  <c r="BT43" i="28"/>
  <c r="AW43" i="26"/>
  <c r="L43" i="28"/>
  <c r="AS43" i="26"/>
  <c r="AM44" i="28"/>
  <c r="BP44" i="28"/>
  <c r="AO44" i="28"/>
  <c r="BN44" i="28"/>
  <c r="BD42" i="28"/>
  <c r="J42" i="28"/>
  <c r="I43" i="28"/>
  <c r="E43" i="28"/>
  <c r="CH44" i="28"/>
  <c r="X43" i="28"/>
  <c r="BI42" i="28"/>
  <c r="CB44" i="28"/>
  <c r="BA44" i="28"/>
  <c r="BB44" i="28" s="1"/>
  <c r="BZ44" i="28"/>
  <c r="AG41" i="26"/>
  <c r="AB42" i="26"/>
  <c r="U42" i="26"/>
  <c r="BG43" i="28"/>
  <c r="AX43" i="28"/>
  <c r="AD42" i="26"/>
  <c r="AH43" i="28"/>
  <c r="BJ42" i="28"/>
  <c r="AZ42" i="28"/>
  <c r="E43" i="26"/>
  <c r="E42" i="26"/>
  <c r="AR42" i="28"/>
  <c r="BX44" i="28"/>
  <c r="AW44" i="28"/>
  <c r="AX44" i="28" s="1"/>
  <c r="BV44" i="28"/>
  <c r="AF44" i="28"/>
  <c r="AC42" i="26"/>
  <c r="AW44" i="26"/>
  <c r="A45" i="26"/>
  <c r="F43" i="26"/>
  <c r="G43" i="26" s="1"/>
  <c r="H43" i="26"/>
  <c r="B43" i="26"/>
  <c r="C43" i="26" s="1"/>
  <c r="Q43" i="26"/>
  <c r="H44" i="28"/>
  <c r="K44" i="28"/>
  <c r="AE42" i="26"/>
  <c r="CF43" i="28"/>
  <c r="BH43" i="28"/>
  <c r="BL43" i="28" s="1"/>
  <c r="BB43" i="28"/>
  <c r="T43" i="26"/>
  <c r="BX43" i="28"/>
  <c r="CJ43" i="28"/>
  <c r="AQ43" i="26"/>
  <c r="CD44" i="28"/>
  <c r="Y42" i="26"/>
  <c r="BE43" i="28"/>
  <c r="AP43" i="28"/>
  <c r="CR43" i="28"/>
  <c r="S43" i="26"/>
  <c r="M43" i="26"/>
  <c r="W42" i="26"/>
  <c r="G42" i="26"/>
  <c r="N42" i="28"/>
  <c r="BR45" i="28"/>
  <c r="BV45" i="28"/>
  <c r="A46" i="28"/>
  <c r="BP43" i="28"/>
  <c r="V43" i="26"/>
  <c r="X43" i="26"/>
  <c r="AO43" i="26"/>
  <c r="CN43" i="28"/>
  <c r="AM43" i="26"/>
  <c r="V44" i="28"/>
  <c r="AH41" i="26"/>
  <c r="Z43" i="26"/>
  <c r="CB43" i="28"/>
  <c r="C42" i="26"/>
  <c r="BK42" i="28"/>
  <c r="CL44" i="28"/>
  <c r="AS44" i="28"/>
  <c r="BL42" i="28"/>
  <c r="C44" i="28"/>
  <c r="V45" i="28" l="1"/>
  <c r="AP65" i="65"/>
  <c r="AP66" i="65" s="1"/>
  <c r="AO65" i="61"/>
  <c r="AO66" i="61" s="1"/>
  <c r="AO65" i="64"/>
  <c r="AO66" i="64" s="1"/>
  <c r="AP65" i="61"/>
  <c r="AP66" i="61" s="1"/>
  <c r="AP65" i="64"/>
  <c r="AP66" i="64" s="1"/>
  <c r="AO65" i="65"/>
  <c r="AO66" i="65" s="1"/>
  <c r="AO67" i="57"/>
  <c r="AO68" i="57" s="1"/>
  <c r="AO65" i="57"/>
  <c r="P62" i="64"/>
  <c r="P62" i="65"/>
  <c r="P62" i="61"/>
  <c r="E95" i="55"/>
  <c r="P59" i="64"/>
  <c r="P59" i="61"/>
  <c r="P59" i="65"/>
  <c r="AK45" i="28"/>
  <c r="AP67" i="57"/>
  <c r="AP68" i="57" s="1"/>
  <c r="AP65" i="57"/>
  <c r="AP63" i="65"/>
  <c r="AO63" i="65"/>
  <c r="AP62" i="57"/>
  <c r="AO63" i="61"/>
  <c r="AP63" i="61"/>
  <c r="AA45" i="28"/>
  <c r="Q46" i="32"/>
  <c r="W45" i="31"/>
  <c r="AI45" i="31"/>
  <c r="AA45" i="31"/>
  <c r="AK45" i="31"/>
  <c r="Y45" i="31"/>
  <c r="CA44" i="54"/>
  <c r="AQ44" i="54"/>
  <c r="CQ44" i="54"/>
  <c r="CM44" i="54"/>
  <c r="CE44" i="54"/>
  <c r="AI44" i="54"/>
  <c r="AU44" i="54"/>
  <c r="BG44" i="54"/>
  <c r="W44" i="54"/>
  <c r="DC44" i="54"/>
  <c r="S43" i="54"/>
  <c r="BC43" i="54"/>
  <c r="CY43" i="54"/>
  <c r="CA43" i="54"/>
  <c r="BE43" i="54"/>
  <c r="K44" i="54"/>
  <c r="AG44" i="54"/>
  <c r="I44" i="54"/>
  <c r="CC44" i="54"/>
  <c r="A45" i="54"/>
  <c r="G44" i="54"/>
  <c r="AK44" i="54"/>
  <c r="BI44" i="54"/>
  <c r="M44" i="54"/>
  <c r="AC44" i="54"/>
  <c r="CO44" i="54"/>
  <c r="O44" i="54"/>
  <c r="BK44" i="54"/>
  <c r="U44" i="54"/>
  <c r="Y44" i="54"/>
  <c r="BE44" i="54"/>
  <c r="AM44" i="54"/>
  <c r="BQ44" i="54"/>
  <c r="AS44" i="54"/>
  <c r="CU44" i="54"/>
  <c r="DA44" i="54"/>
  <c r="CI44" i="54"/>
  <c r="AA44" i="54"/>
  <c r="DE44" i="54"/>
  <c r="C44" i="54"/>
  <c r="CW44" i="54"/>
  <c r="CC43" i="54"/>
  <c r="CK43" i="54"/>
  <c r="O43" i="54"/>
  <c r="DA43" i="54"/>
  <c r="BK43" i="54"/>
  <c r="U43" i="54"/>
  <c r="Y43" i="54"/>
  <c r="C43" i="54"/>
  <c r="AK43" i="54"/>
  <c r="DE43" i="54"/>
  <c r="CO43" i="54"/>
  <c r="AM43" i="54"/>
  <c r="CG43" i="54"/>
  <c r="AU43" i="31"/>
  <c r="AY43" i="31" s="1"/>
  <c r="D45" i="32"/>
  <c r="C45" i="32"/>
  <c r="L45" i="32"/>
  <c r="L44" i="32"/>
  <c r="AZ45" i="32"/>
  <c r="AU45" i="32"/>
  <c r="AT45" i="32"/>
  <c r="G44" i="32"/>
  <c r="Q44" i="32"/>
  <c r="AJ45" i="32"/>
  <c r="AI45" i="32"/>
  <c r="AQ45" i="32"/>
  <c r="AR45" i="32"/>
  <c r="BC45" i="32"/>
  <c r="BB45" i="32"/>
  <c r="AB45" i="32"/>
  <c r="R45" i="32"/>
  <c r="J45" i="32"/>
  <c r="AJ44" i="32"/>
  <c r="F45" i="32"/>
  <c r="AL45" i="32"/>
  <c r="U45" i="32"/>
  <c r="AE45" i="32"/>
  <c r="M45" i="32"/>
  <c r="N45" i="32" s="1"/>
  <c r="AY45" i="32"/>
  <c r="V44" i="32"/>
  <c r="AM44" i="32"/>
  <c r="AD45" i="32"/>
  <c r="T44" i="32"/>
  <c r="S44" i="32"/>
  <c r="A47" i="32"/>
  <c r="AA45" i="32"/>
  <c r="Q44" i="26"/>
  <c r="BA42" i="31"/>
  <c r="Q43" i="31"/>
  <c r="BK44" i="31"/>
  <c r="C43" i="31"/>
  <c r="K43" i="31"/>
  <c r="O43" i="31"/>
  <c r="A46" i="31"/>
  <c r="BC45" i="31"/>
  <c r="BQ45" i="31"/>
  <c r="BO45" i="31"/>
  <c r="BM45" i="31"/>
  <c r="BK45" i="31"/>
  <c r="AL44" i="31"/>
  <c r="BC44" i="31"/>
  <c r="AS43" i="31"/>
  <c r="AW43" i="31"/>
  <c r="BA43" i="31" s="1"/>
  <c r="W44" i="31"/>
  <c r="I44" i="31"/>
  <c r="AG44" i="31"/>
  <c r="AE44" i="31"/>
  <c r="AI44" i="31"/>
  <c r="AN44" i="31"/>
  <c r="BE44" i="31"/>
  <c r="AT43" i="31"/>
  <c r="AX43" i="31" s="1"/>
  <c r="AV43" i="31"/>
  <c r="AZ43" i="31" s="1"/>
  <c r="J44" i="31"/>
  <c r="K44" i="31" s="1"/>
  <c r="N44" i="31"/>
  <c r="O44" i="31" s="1"/>
  <c r="B44" i="31"/>
  <c r="C44" i="31" s="1"/>
  <c r="S44" i="31"/>
  <c r="AP44" i="31"/>
  <c r="BG44" i="31"/>
  <c r="AC44" i="31"/>
  <c r="BQ44" i="31"/>
  <c r="D44" i="31"/>
  <c r="U44" i="31"/>
  <c r="P44" i="31"/>
  <c r="Q44" i="31" s="1"/>
  <c r="L44" i="31"/>
  <c r="M44" i="31" s="1"/>
  <c r="AR44" i="31"/>
  <c r="AS44" i="31" s="1"/>
  <c r="BI44" i="31"/>
  <c r="AF45" i="28"/>
  <c r="CN45" i="28"/>
  <c r="CL45" i="28"/>
  <c r="BI43" i="28"/>
  <c r="CD45" i="28"/>
  <c r="S44" i="26"/>
  <c r="C45" i="28"/>
  <c r="AM45" i="28"/>
  <c r="BV46" i="28"/>
  <c r="BZ46" i="28"/>
  <c r="CP46" i="28"/>
  <c r="CD46" i="28"/>
  <c r="CH46" i="28"/>
  <c r="A47" i="28"/>
  <c r="V44" i="26"/>
  <c r="W44" i="26" s="1"/>
  <c r="AM44" i="26"/>
  <c r="H44" i="26"/>
  <c r="F44" i="26"/>
  <c r="B44" i="26"/>
  <c r="C44" i="26" s="1"/>
  <c r="AH42" i="26"/>
  <c r="E44" i="26"/>
  <c r="AZ43" i="28"/>
  <c r="U43" i="26"/>
  <c r="Q45" i="28"/>
  <c r="I44" i="28"/>
  <c r="J44" i="28" s="1"/>
  <c r="E44" i="28"/>
  <c r="AC45" i="28"/>
  <c r="AR43" i="28"/>
  <c r="BD43" i="28"/>
  <c r="AW45" i="26"/>
  <c r="AU45" i="26"/>
  <c r="AK45" i="26"/>
  <c r="A46" i="26"/>
  <c r="S44" i="28"/>
  <c r="BH44" i="28"/>
  <c r="BK43" i="28"/>
  <c r="AC44" i="28"/>
  <c r="CH45" i="28"/>
  <c r="AW45" i="28"/>
  <c r="CF44" i="28"/>
  <c r="AU44" i="26"/>
  <c r="AG42" i="26"/>
  <c r="BN45" i="28"/>
  <c r="K44" i="26"/>
  <c r="BF44" i="28"/>
  <c r="AE43" i="26"/>
  <c r="AI43" i="26" s="1"/>
  <c r="AA43" i="26"/>
  <c r="CN44" i="28"/>
  <c r="AD43" i="26"/>
  <c r="BT45" i="28"/>
  <c r="AS45" i="28"/>
  <c r="AY44" i="26"/>
  <c r="T44" i="26"/>
  <c r="AK44" i="26"/>
  <c r="Y43" i="26"/>
  <c r="X44" i="28"/>
  <c r="BE44" i="28"/>
  <c r="AP44" i="28"/>
  <c r="AH44" i="28"/>
  <c r="AT44" i="28"/>
  <c r="BA45" i="28"/>
  <c r="BZ45" i="28"/>
  <c r="K45" i="28"/>
  <c r="CJ44" i="28"/>
  <c r="BJ43" i="28"/>
  <c r="BT44" i="28"/>
  <c r="AC43" i="26"/>
  <c r="W43" i="26"/>
  <c r="CP45" i="28"/>
  <c r="AB43" i="26"/>
  <c r="AF43" i="26" s="1"/>
  <c r="AI42" i="26"/>
  <c r="AS44" i="26"/>
  <c r="I43" i="26"/>
  <c r="J43" i="28"/>
  <c r="L44" i="28"/>
  <c r="AO45" i="28"/>
  <c r="CR44" i="28"/>
  <c r="Z44" i="26"/>
  <c r="AQ44" i="26"/>
  <c r="X44" i="26"/>
  <c r="AO44" i="26"/>
  <c r="BG44" i="28"/>
  <c r="AF42" i="26"/>
  <c r="N43" i="28"/>
  <c r="M44" i="26"/>
  <c r="AA46" i="28" l="1"/>
  <c r="P65" i="65"/>
  <c r="P65" i="64"/>
  <c r="P65" i="61"/>
  <c r="Q46" i="28"/>
  <c r="C46" i="28"/>
  <c r="V46" i="28"/>
  <c r="AF46" i="28"/>
  <c r="AI46" i="31"/>
  <c r="AA46" i="31"/>
  <c r="Y46" i="31"/>
  <c r="AG46" i="31"/>
  <c r="S46" i="26"/>
  <c r="O46" i="26"/>
  <c r="M46" i="26"/>
  <c r="K46" i="26"/>
  <c r="CM45" i="54"/>
  <c r="CA45" i="54"/>
  <c r="W45" i="54"/>
  <c r="DC45" i="54"/>
  <c r="CQ45" i="54"/>
  <c r="BC44" i="54"/>
  <c r="AE44" i="54"/>
  <c r="S44" i="54"/>
  <c r="CY44" i="54"/>
  <c r="E44" i="54"/>
  <c r="AY44" i="54"/>
  <c r="BU44" i="54"/>
  <c r="Q44" i="54"/>
  <c r="AO44" i="54"/>
  <c r="BY44" i="54"/>
  <c r="BW44" i="54"/>
  <c r="AW44" i="54"/>
  <c r="CG44" i="54"/>
  <c r="BM44" i="54"/>
  <c r="C45" i="54"/>
  <c r="BA45" i="54"/>
  <c r="E45" i="54"/>
  <c r="AY45" i="54"/>
  <c r="A46" i="54"/>
  <c r="DA45" i="54"/>
  <c r="BE45" i="54"/>
  <c r="BU45" i="54"/>
  <c r="DE45" i="54"/>
  <c r="BY45" i="54"/>
  <c r="CI45" i="54"/>
  <c r="BW45" i="54"/>
  <c r="Y45" i="54"/>
  <c r="AK45" i="54"/>
  <c r="CC45" i="54"/>
  <c r="CK45" i="54"/>
  <c r="CS45" i="54"/>
  <c r="O45" i="54"/>
  <c r="AW45" i="54"/>
  <c r="BA44" i="54"/>
  <c r="CS44" i="54"/>
  <c r="CK44" i="54"/>
  <c r="G46" i="32"/>
  <c r="AT46" i="32"/>
  <c r="AD46" i="32"/>
  <c r="W45" i="32"/>
  <c r="V45" i="32"/>
  <c r="AR46" i="32"/>
  <c r="AQ46" i="32"/>
  <c r="AM45" i="32"/>
  <c r="K45" i="32"/>
  <c r="AZ46" i="32"/>
  <c r="AY46" i="32"/>
  <c r="T45" i="32"/>
  <c r="O44" i="32"/>
  <c r="AE46" i="32"/>
  <c r="U46" i="32"/>
  <c r="M46" i="32"/>
  <c r="N46" i="32" s="1"/>
  <c r="A48" i="32"/>
  <c r="W44" i="32"/>
  <c r="AA46" i="32"/>
  <c r="R46" i="32"/>
  <c r="AB46" i="32"/>
  <c r="J46" i="32"/>
  <c r="K46" i="32" s="1"/>
  <c r="AM46" i="32"/>
  <c r="AL46" i="32"/>
  <c r="C46" i="32"/>
  <c r="AJ46" i="32"/>
  <c r="AI46" i="32"/>
  <c r="G45" i="32"/>
  <c r="Q45" i="32"/>
  <c r="BB46" i="32"/>
  <c r="F46" i="32"/>
  <c r="S45" i="32"/>
  <c r="AP45" i="31"/>
  <c r="AQ45" i="31" s="1"/>
  <c r="AR45" i="31"/>
  <c r="AS45" i="31" s="1"/>
  <c r="AW44" i="31"/>
  <c r="BA44" i="31" s="1"/>
  <c r="AT44" i="31"/>
  <c r="AX44" i="31" s="1"/>
  <c r="AM44" i="31"/>
  <c r="AG45" i="31"/>
  <c r="I45" i="31"/>
  <c r="U45" i="31"/>
  <c r="L45" i="31"/>
  <c r="M45" i="31" s="1"/>
  <c r="D45" i="31"/>
  <c r="E45" i="31" s="1"/>
  <c r="P45" i="31"/>
  <c r="Q45" i="31" s="1"/>
  <c r="AO44" i="31"/>
  <c r="AU44" i="31"/>
  <c r="AY44" i="31" s="1"/>
  <c r="AN45" i="31"/>
  <c r="BE45" i="31"/>
  <c r="E44" i="31"/>
  <c r="B45" i="31"/>
  <c r="C45" i="31" s="1"/>
  <c r="J45" i="31"/>
  <c r="K45" i="31" s="1"/>
  <c r="S45" i="31"/>
  <c r="N45" i="31"/>
  <c r="O45" i="31" s="1"/>
  <c r="AV44" i="31"/>
  <c r="AZ44" i="31" s="1"/>
  <c r="AQ44" i="31"/>
  <c r="BG45" i="31"/>
  <c r="G45" i="31"/>
  <c r="AC45" i="31"/>
  <c r="AL45" i="31"/>
  <c r="BM46" i="31"/>
  <c r="BK46" i="31"/>
  <c r="BQ46" i="31"/>
  <c r="A47" i="31"/>
  <c r="W46" i="31"/>
  <c r="BI45" i="31"/>
  <c r="AE45" i="31"/>
  <c r="G44" i="31"/>
  <c r="AH43" i="26"/>
  <c r="BL44" i="28"/>
  <c r="X45" i="26"/>
  <c r="AO45" i="26"/>
  <c r="S45" i="26"/>
  <c r="BA46" i="28"/>
  <c r="AD44" i="26"/>
  <c r="Y44" i="26"/>
  <c r="BD45" i="28"/>
  <c r="BH45" i="28"/>
  <c r="BL45" i="28" s="1"/>
  <c r="BB45" i="28"/>
  <c r="BG45" i="28"/>
  <c r="AX45" i="28"/>
  <c r="A47" i="26"/>
  <c r="AQ46" i="26"/>
  <c r="AS45" i="26"/>
  <c r="BD44" i="28"/>
  <c r="L45" i="28"/>
  <c r="CB45" i="28"/>
  <c r="BI44" i="28"/>
  <c r="AV45" i="28"/>
  <c r="BF45" i="28"/>
  <c r="BX45" i="28"/>
  <c r="T45" i="26"/>
  <c r="AY45" i="26"/>
  <c r="BX46" i="28"/>
  <c r="AW46" i="28"/>
  <c r="AH45" i="28"/>
  <c r="AZ44" i="28"/>
  <c r="S45" i="28"/>
  <c r="Z45" i="26"/>
  <c r="AQ45" i="26"/>
  <c r="AC44" i="26"/>
  <c r="AG44" i="26" s="1"/>
  <c r="E46" i="28"/>
  <c r="BP45" i="28"/>
  <c r="AO46" i="28"/>
  <c r="AP46" i="28" s="1"/>
  <c r="BN46" i="28"/>
  <c r="CJ45" i="28"/>
  <c r="N44" i="28"/>
  <c r="BE45" i="28"/>
  <c r="AP45" i="28"/>
  <c r="AE44" i="26"/>
  <c r="AA44" i="26"/>
  <c r="I45" i="28"/>
  <c r="H45" i="28"/>
  <c r="AB44" i="26"/>
  <c r="U44" i="26"/>
  <c r="BK44" i="28"/>
  <c r="M45" i="26"/>
  <c r="AC46" i="28"/>
  <c r="AS46" i="28"/>
  <c r="BR46" i="28"/>
  <c r="CL46" i="28"/>
  <c r="AV44" i="28"/>
  <c r="H45" i="26"/>
  <c r="I45" i="26" s="1"/>
  <c r="F45" i="26"/>
  <c r="B45" i="26"/>
  <c r="O45" i="26"/>
  <c r="X45" i="28"/>
  <c r="K45" i="26"/>
  <c r="A48" i="28"/>
  <c r="K46" i="28"/>
  <c r="S46" i="28"/>
  <c r="AT45" i="28"/>
  <c r="AR44" i="28"/>
  <c r="Q45" i="26"/>
  <c r="CF45" i="28"/>
  <c r="CR45" i="28"/>
  <c r="BJ44" i="28"/>
  <c r="AG43" i="26"/>
  <c r="V45" i="26"/>
  <c r="AM45" i="26"/>
  <c r="E45" i="28"/>
  <c r="I44" i="26"/>
  <c r="AK46" i="28"/>
  <c r="G44" i="26"/>
  <c r="AU45" i="54" l="1"/>
  <c r="CE45" i="54"/>
  <c r="AI45" i="54"/>
  <c r="BG45" i="54"/>
  <c r="K45" i="54"/>
  <c r="C47" i="28"/>
  <c r="Q47" i="28"/>
  <c r="L46" i="28"/>
  <c r="N46" i="28"/>
  <c r="O47" i="26"/>
  <c r="M47" i="26"/>
  <c r="K47" i="26"/>
  <c r="AE47" i="31"/>
  <c r="AA47" i="31"/>
  <c r="W47" i="31"/>
  <c r="AK47" i="31"/>
  <c r="AC47" i="31"/>
  <c r="AQ45" i="54"/>
  <c r="BC45" i="54"/>
  <c r="AE45" i="54"/>
  <c r="CY45" i="54"/>
  <c r="CY46" i="54"/>
  <c r="AE46" i="54"/>
  <c r="CE46" i="54"/>
  <c r="DC46" i="54"/>
  <c r="CQ46" i="54"/>
  <c r="W46" i="54"/>
  <c r="BG46" i="54"/>
  <c r="AU46" i="54"/>
  <c r="AI46" i="54"/>
  <c r="S45" i="54"/>
  <c r="AS45" i="54"/>
  <c r="AG45" i="54"/>
  <c r="CW45" i="54"/>
  <c r="AO45" i="54"/>
  <c r="BQ45" i="54"/>
  <c r="AM45" i="54"/>
  <c r="AC45" i="54"/>
  <c r="Q45" i="54"/>
  <c r="BK45" i="54"/>
  <c r="M45" i="54"/>
  <c r="AA45" i="54"/>
  <c r="I45" i="54"/>
  <c r="CO45" i="54"/>
  <c r="K46" i="54"/>
  <c r="I46" i="54"/>
  <c r="CG46" i="54"/>
  <c r="CO46" i="54"/>
  <c r="CK46" i="54"/>
  <c r="AW46" i="54"/>
  <c r="CC46" i="54"/>
  <c r="BM46" i="54"/>
  <c r="BY46" i="54"/>
  <c r="AM46" i="54"/>
  <c r="AO46" i="54"/>
  <c r="AC46" i="54"/>
  <c r="M46" i="54"/>
  <c r="BU46" i="54"/>
  <c r="CS46" i="54"/>
  <c r="Q46" i="54"/>
  <c r="BA46" i="54"/>
  <c r="AY46" i="54"/>
  <c r="A47" i="54"/>
  <c r="AS46" i="54"/>
  <c r="Y46" i="54"/>
  <c r="AK46" i="54"/>
  <c r="CI46" i="54"/>
  <c r="BE46" i="54"/>
  <c r="O46" i="54"/>
  <c r="CU46" i="54"/>
  <c r="AG46" i="54"/>
  <c r="BQ46" i="54"/>
  <c r="U46" i="54"/>
  <c r="BM45" i="54"/>
  <c r="G45" i="54"/>
  <c r="U45" i="54"/>
  <c r="CU45" i="54"/>
  <c r="BI45" i="54"/>
  <c r="CG45" i="54"/>
  <c r="AZ47" i="32"/>
  <c r="BB47" i="32"/>
  <c r="BC47" i="32"/>
  <c r="AB47" i="32"/>
  <c r="J47" i="32"/>
  <c r="K47" i="32" s="1"/>
  <c r="AA47" i="32"/>
  <c r="R47" i="32"/>
  <c r="AU46" i="32"/>
  <c r="T46" i="32"/>
  <c r="S46" i="32"/>
  <c r="AJ47" i="32"/>
  <c r="W46" i="32"/>
  <c r="V46" i="32"/>
  <c r="C47" i="32"/>
  <c r="F47" i="32"/>
  <c r="O45" i="32"/>
  <c r="O46" i="32"/>
  <c r="P46" i="32"/>
  <c r="D46" i="32"/>
  <c r="A49" i="32"/>
  <c r="AI47" i="32"/>
  <c r="BC46" i="32"/>
  <c r="AU47" i="32"/>
  <c r="AT47" i="32"/>
  <c r="U47" i="32"/>
  <c r="M47" i="32"/>
  <c r="AE47" i="32"/>
  <c r="AD47" i="32"/>
  <c r="AM47" i="32"/>
  <c r="AL47" i="32"/>
  <c r="AQ47" i="32"/>
  <c r="AY47" i="32"/>
  <c r="BI46" i="31"/>
  <c r="AR46" i="31"/>
  <c r="S46" i="31"/>
  <c r="J46" i="31"/>
  <c r="N46" i="31"/>
  <c r="O46" i="31" s="1"/>
  <c r="B46" i="31"/>
  <c r="C46" i="31" s="1"/>
  <c r="AP46" i="31"/>
  <c r="BG46" i="31"/>
  <c r="AO45" i="31"/>
  <c r="AU45" i="31"/>
  <c r="AY45" i="31" s="1"/>
  <c r="P46" i="31"/>
  <c r="Q46" i="31" s="1"/>
  <c r="L46" i="31"/>
  <c r="M46" i="31" s="1"/>
  <c r="D46" i="31"/>
  <c r="E46" i="31" s="1"/>
  <c r="U46" i="31"/>
  <c r="AT45" i="31"/>
  <c r="AX45" i="31" s="1"/>
  <c r="AV45" i="31"/>
  <c r="AZ45" i="31" s="1"/>
  <c r="AW45" i="31"/>
  <c r="AM45" i="31"/>
  <c r="BC46" i="31"/>
  <c r="AL46" i="31"/>
  <c r="BK47" i="31"/>
  <c r="A48" i="31"/>
  <c r="BQ47" i="31"/>
  <c r="BO47" i="31"/>
  <c r="AE46" i="31"/>
  <c r="G46" i="31"/>
  <c r="I46" i="31"/>
  <c r="BO46" i="31"/>
  <c r="AC46" i="31"/>
  <c r="AN46" i="31"/>
  <c r="BE46" i="31"/>
  <c r="AK46" i="31"/>
  <c r="Q46" i="26"/>
  <c r="AM47" i="28"/>
  <c r="AK47" i="28"/>
  <c r="V47" i="28"/>
  <c r="BP46" i="28"/>
  <c r="E45" i="26"/>
  <c r="E46" i="26"/>
  <c r="CN46" i="28"/>
  <c r="AQ47" i="26"/>
  <c r="AS47" i="26"/>
  <c r="A48" i="26"/>
  <c r="AK47" i="26"/>
  <c r="AZ45" i="28"/>
  <c r="AM46" i="28"/>
  <c r="BX47" i="28"/>
  <c r="AW47" i="28"/>
  <c r="BV47" i="28"/>
  <c r="AC47" i="28"/>
  <c r="X46" i="28"/>
  <c r="C45" i="26"/>
  <c r="H46" i="28"/>
  <c r="AI44" i="26"/>
  <c r="AE45" i="26"/>
  <c r="BJ45" i="28"/>
  <c r="J45" i="28"/>
  <c r="T46" i="26"/>
  <c r="AK46" i="26"/>
  <c r="H46" i="26"/>
  <c r="I46" i="26" s="1"/>
  <c r="F46" i="26"/>
  <c r="G46" i="26" s="1"/>
  <c r="B46" i="26"/>
  <c r="C46" i="26" s="1"/>
  <c r="BI45" i="28"/>
  <c r="BH46" i="28"/>
  <c r="BB46" i="28"/>
  <c r="AC45" i="26"/>
  <c r="W45" i="26"/>
  <c r="BN48" i="28"/>
  <c r="BR48" i="28"/>
  <c r="A49" i="28"/>
  <c r="CL48" i="28"/>
  <c r="CD47" i="28"/>
  <c r="CF46" i="28"/>
  <c r="V46" i="26"/>
  <c r="AM46" i="26"/>
  <c r="AS46" i="26"/>
  <c r="H47" i="28"/>
  <c r="K47" i="28"/>
  <c r="BP47" i="28"/>
  <c r="AO47" i="28"/>
  <c r="BN47" i="28"/>
  <c r="BG46" i="28"/>
  <c r="BK46" i="28" s="1"/>
  <c r="AX46" i="28"/>
  <c r="CB46" i="28"/>
  <c r="CR46" i="28"/>
  <c r="AF47" i="28"/>
  <c r="CP47" i="28"/>
  <c r="N45" i="28"/>
  <c r="I46" i="28"/>
  <c r="J46" i="28" s="1"/>
  <c r="AB45" i="26"/>
  <c r="U45" i="26"/>
  <c r="X46" i="26"/>
  <c r="AO46" i="26"/>
  <c r="AY46" i="26"/>
  <c r="AA47" i="28"/>
  <c r="AH44" i="26"/>
  <c r="AS47" i="28"/>
  <c r="BR47" i="28"/>
  <c r="BF46" i="28"/>
  <c r="AT46" i="28"/>
  <c r="AW46" i="26"/>
  <c r="AD45" i="26"/>
  <c r="Y45" i="26"/>
  <c r="CL47" i="28"/>
  <c r="BA47" i="28"/>
  <c r="BZ47" i="28"/>
  <c r="CJ46" i="28"/>
  <c r="AR45" i="28"/>
  <c r="Z46" i="26"/>
  <c r="CH47" i="28"/>
  <c r="G45" i="26"/>
  <c r="BT46" i="28"/>
  <c r="AF44" i="26"/>
  <c r="BE46" i="28"/>
  <c r="AH46" i="28"/>
  <c r="AA45" i="26"/>
  <c r="AU46" i="26"/>
  <c r="BK45" i="28"/>
  <c r="Q48" i="28" l="1"/>
  <c r="G47" i="31"/>
  <c r="V48" i="28"/>
  <c r="AA48" i="28"/>
  <c r="C48" i="28"/>
  <c r="L47" i="28"/>
  <c r="BC49" i="32"/>
  <c r="AM49" i="32"/>
  <c r="O48" i="26"/>
  <c r="M48" i="26"/>
  <c r="K48" i="26"/>
  <c r="S48" i="26"/>
  <c r="AI48" i="31"/>
  <c r="AG48" i="31"/>
  <c r="Y48" i="31"/>
  <c r="BC48" i="32"/>
  <c r="BC46" i="54"/>
  <c r="BC47" i="54"/>
  <c r="AE47" i="54"/>
  <c r="CE47" i="54"/>
  <c r="CQ47" i="54"/>
  <c r="DC47" i="54"/>
  <c r="W47" i="54"/>
  <c r="AU47" i="54"/>
  <c r="AI47" i="54"/>
  <c r="BG47" i="54"/>
  <c r="CM46" i="54"/>
  <c r="AQ46" i="54"/>
  <c r="CA46" i="54"/>
  <c r="S46" i="54"/>
  <c r="BI46" i="54"/>
  <c r="E46" i="54"/>
  <c r="BW46" i="54"/>
  <c r="BK46" i="54"/>
  <c r="CW46" i="54"/>
  <c r="AA46" i="54"/>
  <c r="C46" i="54"/>
  <c r="G46" i="54"/>
  <c r="K47" i="54"/>
  <c r="E47" i="54"/>
  <c r="A48" i="54"/>
  <c r="BA47" i="54"/>
  <c r="U47" i="54"/>
  <c r="DA47" i="54"/>
  <c r="AO47" i="54"/>
  <c r="AY47" i="54"/>
  <c r="CC47" i="54"/>
  <c r="CW47" i="54"/>
  <c r="CU47" i="54"/>
  <c r="BW47" i="54"/>
  <c r="AS47" i="54"/>
  <c r="DA46" i="54"/>
  <c r="DE46" i="54"/>
  <c r="AM48" i="32"/>
  <c r="AY48" i="32"/>
  <c r="AZ48" i="32"/>
  <c r="Q47" i="32"/>
  <c r="O47" i="32" s="1"/>
  <c r="G47" i="32"/>
  <c r="BB48" i="32"/>
  <c r="A50" i="32"/>
  <c r="AA48" i="32"/>
  <c r="R48" i="32"/>
  <c r="J48" i="32"/>
  <c r="K48" i="32" s="1"/>
  <c r="AB48" i="32"/>
  <c r="N47" i="32"/>
  <c r="AE48" i="32"/>
  <c r="M48" i="32"/>
  <c r="N48" i="32" s="1"/>
  <c r="AD48" i="32"/>
  <c r="U48" i="32"/>
  <c r="D47" i="32"/>
  <c r="P47" i="32"/>
  <c r="L47" i="32" s="1"/>
  <c r="V47" i="32"/>
  <c r="W47" i="32"/>
  <c r="F48" i="32"/>
  <c r="Q48" i="32"/>
  <c r="C48" i="32"/>
  <c r="AR47" i="32"/>
  <c r="AR48" i="32"/>
  <c r="AU48" i="32"/>
  <c r="AT48" i="32"/>
  <c r="S47" i="32"/>
  <c r="T47" i="32"/>
  <c r="AQ48" i="32"/>
  <c r="AJ48" i="32"/>
  <c r="AI48" i="32"/>
  <c r="L46" i="32"/>
  <c r="AL48" i="32"/>
  <c r="AP47" i="31"/>
  <c r="AQ47" i="31" s="1"/>
  <c r="Q47" i="26"/>
  <c r="BA45" i="31"/>
  <c r="A49" i="31"/>
  <c r="BO48" i="31"/>
  <c r="BM48" i="31"/>
  <c r="BK48" i="31"/>
  <c r="B47" i="31"/>
  <c r="N47" i="31"/>
  <c r="O47" i="31" s="1"/>
  <c r="J47" i="31"/>
  <c r="K47" i="31" s="1"/>
  <c r="S47" i="31"/>
  <c r="AN47" i="31"/>
  <c r="BE47" i="31"/>
  <c r="AI47" i="31"/>
  <c r="Y47" i="31"/>
  <c r="AL47" i="31"/>
  <c r="BC47" i="31"/>
  <c r="AQ46" i="31"/>
  <c r="AV46" i="31"/>
  <c r="AZ46" i="31" s="1"/>
  <c r="AR47" i="31"/>
  <c r="BI47" i="31"/>
  <c r="U47" i="31"/>
  <c r="L47" i="31"/>
  <c r="M47" i="31" s="1"/>
  <c r="D47" i="31"/>
  <c r="E47" i="31" s="1"/>
  <c r="P47" i="31"/>
  <c r="Q47" i="31" s="1"/>
  <c r="I47" i="31"/>
  <c r="AG47" i="31"/>
  <c r="AT46" i="31"/>
  <c r="AM46" i="31"/>
  <c r="K46" i="31"/>
  <c r="BG47" i="31"/>
  <c r="AS46" i="31"/>
  <c r="AW46" i="31"/>
  <c r="BA46" i="31" s="1"/>
  <c r="AO46" i="31"/>
  <c r="AU46" i="31"/>
  <c r="AY46" i="31" s="1"/>
  <c r="BM47" i="31"/>
  <c r="AH47" i="28"/>
  <c r="BX48" i="28"/>
  <c r="AW48" i="28"/>
  <c r="BV48" i="28"/>
  <c r="AF45" i="26"/>
  <c r="X47" i="26"/>
  <c r="AO47" i="26"/>
  <c r="CR47" i="28"/>
  <c r="BH47" i="28"/>
  <c r="BL47" i="28" s="1"/>
  <c r="BB47" i="28"/>
  <c r="AR46" i="28"/>
  <c r="X47" i="28"/>
  <c r="AF48" i="28"/>
  <c r="AZ46" i="28"/>
  <c r="CF47" i="28"/>
  <c r="A50" i="28"/>
  <c r="BV49" i="28"/>
  <c r="AS48" i="28"/>
  <c r="AW48" i="26"/>
  <c r="AU48" i="26"/>
  <c r="AQ48" i="26"/>
  <c r="A49" i="26"/>
  <c r="AY48" i="26"/>
  <c r="AU47" i="26"/>
  <c r="E47" i="26"/>
  <c r="AE46" i="26"/>
  <c r="AA46" i="26"/>
  <c r="CB47" i="28"/>
  <c r="K48" i="28"/>
  <c r="BP48" i="28"/>
  <c r="AO48" i="28"/>
  <c r="AP48" i="28" s="1"/>
  <c r="AI45" i="26"/>
  <c r="S47" i="26"/>
  <c r="AV46" i="28"/>
  <c r="AD46" i="26"/>
  <c r="Y46" i="26"/>
  <c r="CH48" i="28"/>
  <c r="AG45" i="26"/>
  <c r="BL46" i="28"/>
  <c r="AY47" i="26"/>
  <c r="AC46" i="26"/>
  <c r="W46" i="26"/>
  <c r="BD46" i="28"/>
  <c r="V47" i="26"/>
  <c r="AM47" i="26"/>
  <c r="BF47" i="28"/>
  <c r="AT47" i="28"/>
  <c r="CP48" i="28"/>
  <c r="AH45" i="26"/>
  <c r="BJ46" i="28"/>
  <c r="H47" i="26"/>
  <c r="F47" i="26"/>
  <c r="B47" i="26"/>
  <c r="C47" i="26" s="1"/>
  <c r="BI46" i="28"/>
  <c r="CJ47" i="28"/>
  <c r="CN47" i="28"/>
  <c r="BT47" i="28"/>
  <c r="BE47" i="28"/>
  <c r="AP47" i="28"/>
  <c r="CD48" i="28"/>
  <c r="E48" i="28"/>
  <c r="AM48" i="28"/>
  <c r="AK48" i="28"/>
  <c r="BG47" i="28"/>
  <c r="AX47" i="28"/>
  <c r="S47" i="28"/>
  <c r="T47" i="26"/>
  <c r="Z47" i="26"/>
  <c r="I47" i="28"/>
  <c r="J47" i="28" s="1"/>
  <c r="E47" i="28"/>
  <c r="AC48" i="28"/>
  <c r="BA48" i="28"/>
  <c r="BZ48" i="28"/>
  <c r="AB46" i="26"/>
  <c r="U46" i="26"/>
  <c r="AW47" i="26"/>
  <c r="C49" i="28" l="1"/>
  <c r="AK49" i="28"/>
  <c r="Q48" i="26"/>
  <c r="V49" i="28"/>
  <c r="O48" i="32"/>
  <c r="L48" i="28"/>
  <c r="O49" i="26"/>
  <c r="M49" i="26"/>
  <c r="K49" i="26"/>
  <c r="W49" i="31"/>
  <c r="AI49" i="31"/>
  <c r="AC49" i="31"/>
  <c r="AA49" i="31"/>
  <c r="AK49" i="31"/>
  <c r="Y49" i="31"/>
  <c r="S48" i="32"/>
  <c r="CM47" i="54"/>
  <c r="BC48" i="54"/>
  <c r="CQ48" i="54"/>
  <c r="CE48" i="54"/>
  <c r="DC48" i="54"/>
  <c r="AI48" i="54"/>
  <c r="AU48" i="54"/>
  <c r="BG48" i="54"/>
  <c r="W48" i="54"/>
  <c r="AQ47" i="54"/>
  <c r="CY47" i="54"/>
  <c r="CA47" i="54"/>
  <c r="S47" i="54"/>
  <c r="AW47" i="54"/>
  <c r="K48" i="54"/>
  <c r="BQ48" i="54"/>
  <c r="BY48" i="54"/>
  <c r="CO48" i="54"/>
  <c r="AC48" i="54"/>
  <c r="U48" i="54"/>
  <c r="AW48" i="54"/>
  <c r="BK48" i="54"/>
  <c r="Y48" i="54"/>
  <c r="M48" i="54"/>
  <c r="BI48" i="54"/>
  <c r="CU48" i="54"/>
  <c r="CK48" i="54"/>
  <c r="BE48" i="54"/>
  <c r="G48" i="54"/>
  <c r="E48" i="54"/>
  <c r="AM48" i="54"/>
  <c r="DE48" i="54"/>
  <c r="AY48" i="54"/>
  <c r="I48" i="54"/>
  <c r="C48" i="54"/>
  <c r="CC48" i="54"/>
  <c r="A49" i="54"/>
  <c r="BU48" i="54"/>
  <c r="Q48" i="54"/>
  <c r="BW48" i="54"/>
  <c r="CG48" i="54"/>
  <c r="AA48" i="54"/>
  <c r="AG48" i="54"/>
  <c r="AK48" i="54"/>
  <c r="DE47" i="54"/>
  <c r="Y47" i="54"/>
  <c r="AC47" i="54"/>
  <c r="CO47" i="54"/>
  <c r="BY47" i="54"/>
  <c r="BE47" i="54"/>
  <c r="CK47" i="54"/>
  <c r="CS47" i="54"/>
  <c r="G47" i="54"/>
  <c r="AM47" i="54"/>
  <c r="CG47" i="54"/>
  <c r="AA47" i="54"/>
  <c r="BQ47" i="54"/>
  <c r="BU47" i="54"/>
  <c r="C47" i="54"/>
  <c r="AK47" i="54"/>
  <c r="Q47" i="54"/>
  <c r="AG47" i="54"/>
  <c r="CI47" i="54"/>
  <c r="M47" i="54"/>
  <c r="BM47" i="54"/>
  <c r="I47" i="54"/>
  <c r="O47" i="54"/>
  <c r="BK47" i="54"/>
  <c r="BI47" i="54"/>
  <c r="G48" i="32"/>
  <c r="D48" i="32"/>
  <c r="P48" i="32"/>
  <c r="L48" i="32" s="1"/>
  <c r="AT49" i="32"/>
  <c r="V48" i="32"/>
  <c r="F49" i="32"/>
  <c r="Q49" i="32"/>
  <c r="O49" i="32" s="1"/>
  <c r="AD49" i="32"/>
  <c r="AE49" i="32"/>
  <c r="U49" i="32"/>
  <c r="M49" i="32"/>
  <c r="N49" i="32" s="1"/>
  <c r="C49" i="32"/>
  <c r="AA49" i="32"/>
  <c r="J49" i="32"/>
  <c r="K49" i="32" s="1"/>
  <c r="AB49" i="32"/>
  <c r="R49" i="32"/>
  <c r="AL49" i="32"/>
  <c r="T48" i="32"/>
  <c r="AR49" i="32"/>
  <c r="AQ49" i="32"/>
  <c r="AJ49" i="32"/>
  <c r="BB49" i="32"/>
  <c r="A51" i="32"/>
  <c r="AZ49" i="32"/>
  <c r="AY49" i="32"/>
  <c r="AI49" i="32"/>
  <c r="AX46" i="31"/>
  <c r="AT47" i="31"/>
  <c r="AX47" i="31" s="1"/>
  <c r="AM47" i="31"/>
  <c r="AV47" i="31"/>
  <c r="AZ47" i="31" s="1"/>
  <c r="W48" i="31"/>
  <c r="U48" i="31"/>
  <c r="L48" i="31"/>
  <c r="M48" i="31" s="1"/>
  <c r="D48" i="31"/>
  <c r="E48" i="31" s="1"/>
  <c r="P48" i="31"/>
  <c r="Q48" i="31" s="1"/>
  <c r="J48" i="31"/>
  <c r="K48" i="31" s="1"/>
  <c r="B48" i="31"/>
  <c r="C48" i="31" s="1"/>
  <c r="N48" i="31"/>
  <c r="BQ48" i="31"/>
  <c r="AR48" i="31"/>
  <c r="BI48" i="31"/>
  <c r="AO47" i="31"/>
  <c r="AU47" i="31"/>
  <c r="AY47" i="31" s="1"/>
  <c r="AN48" i="31"/>
  <c r="BE48" i="31"/>
  <c r="AA48" i="31"/>
  <c r="S48" i="31"/>
  <c r="BC48" i="31"/>
  <c r="AL48" i="31"/>
  <c r="AC48" i="31"/>
  <c r="AW47" i="31"/>
  <c r="BA47" i="31" s="1"/>
  <c r="AS47" i="31"/>
  <c r="C47" i="31"/>
  <c r="I48" i="31"/>
  <c r="AE48" i="31"/>
  <c r="BG48" i="31"/>
  <c r="AP48" i="31"/>
  <c r="BK49" i="31"/>
  <c r="BQ49" i="31"/>
  <c r="BO49" i="31"/>
  <c r="A50" i="31"/>
  <c r="BM49" i="31"/>
  <c r="AK48" i="31"/>
  <c r="E48" i="26"/>
  <c r="CJ48" i="28"/>
  <c r="CL49" i="28"/>
  <c r="CB49" i="28"/>
  <c r="BA49" i="28"/>
  <c r="BB49" i="28" s="1"/>
  <c r="BZ49" i="28"/>
  <c r="CF48" i="28"/>
  <c r="AZ47" i="28"/>
  <c r="X48" i="28"/>
  <c r="BH48" i="28"/>
  <c r="BL48" i="28" s="1"/>
  <c r="BI47" i="28"/>
  <c r="BE48" i="28"/>
  <c r="V48" i="26"/>
  <c r="W48" i="26" s="1"/>
  <c r="AM48" i="26"/>
  <c r="H49" i="28"/>
  <c r="K49" i="28"/>
  <c r="Q49" i="28"/>
  <c r="E49" i="28"/>
  <c r="BG48" i="28"/>
  <c r="BK48" i="28" s="1"/>
  <c r="AX48" i="28"/>
  <c r="BD47" i="28"/>
  <c r="AF46" i="26"/>
  <c r="AB47" i="26"/>
  <c r="AF47" i="26" s="1"/>
  <c r="U47" i="26"/>
  <c r="AE47" i="26"/>
  <c r="AA47" i="26"/>
  <c r="BK47" i="28"/>
  <c r="AC47" i="26"/>
  <c r="W47" i="26"/>
  <c r="BJ47" i="28"/>
  <c r="AI46" i="26"/>
  <c r="CD49" i="28"/>
  <c r="AA49" i="28"/>
  <c r="CB48" i="28"/>
  <c r="AV47" i="28"/>
  <c r="S48" i="28"/>
  <c r="T48" i="26"/>
  <c r="AK48" i="26"/>
  <c r="AS48" i="26"/>
  <c r="AV48" i="28"/>
  <c r="BF48" i="28"/>
  <c r="BJ48" i="28" s="1"/>
  <c r="CP49" i="28"/>
  <c r="AW49" i="28"/>
  <c r="BB48" i="28"/>
  <c r="AU49" i="26"/>
  <c r="A50" i="26"/>
  <c r="AW49" i="26"/>
  <c r="Z48" i="26"/>
  <c r="AH49" i="28"/>
  <c r="CH50" i="28"/>
  <c r="A51" i="28"/>
  <c r="I48" i="28"/>
  <c r="AR47" i="28"/>
  <c r="AG46" i="26"/>
  <c r="H48" i="28"/>
  <c r="B48" i="26"/>
  <c r="C48" i="26" s="1"/>
  <c r="F48" i="26"/>
  <c r="H48" i="26"/>
  <c r="BT48" i="28"/>
  <c r="AO49" i="28"/>
  <c r="BN49" i="28"/>
  <c r="CR48" i="28"/>
  <c r="AH48" i="28"/>
  <c r="N47" i="28"/>
  <c r="X49" i="28"/>
  <c r="CH49" i="28"/>
  <c r="AD47" i="26"/>
  <c r="Y47" i="26"/>
  <c r="G47" i="26"/>
  <c r="CN48" i="28"/>
  <c r="AH46" i="26"/>
  <c r="X48" i="26"/>
  <c r="AO48" i="26"/>
  <c r="I47" i="26"/>
  <c r="AS49" i="28"/>
  <c r="AT49" i="28" s="1"/>
  <c r="BR49" i="28"/>
  <c r="AM49" i="28"/>
  <c r="AT48" i="28"/>
  <c r="AF49" i="28"/>
  <c r="Q50" i="28" l="1"/>
  <c r="V50" i="28"/>
  <c r="AF50" i="28"/>
  <c r="K50" i="26"/>
  <c r="S50" i="26"/>
  <c r="O50" i="26"/>
  <c r="M50" i="26"/>
  <c r="L49" i="28"/>
  <c r="AI50" i="31"/>
  <c r="AC50" i="31"/>
  <c r="AA50" i="31"/>
  <c r="Y50" i="31"/>
  <c r="W50" i="31"/>
  <c r="AK50" i="31"/>
  <c r="CM48" i="54"/>
  <c r="S48" i="54"/>
  <c r="CY48" i="54"/>
  <c r="CM49" i="54"/>
  <c r="BC49" i="54"/>
  <c r="CQ49" i="54"/>
  <c r="CE49" i="54"/>
  <c r="DC49" i="54"/>
  <c r="AI49" i="54"/>
  <c r="W49" i="54"/>
  <c r="BG49" i="54"/>
  <c r="AU49" i="54"/>
  <c r="AQ48" i="54"/>
  <c r="CA48" i="54"/>
  <c r="AE48" i="54"/>
  <c r="CS48" i="54"/>
  <c r="DA48" i="54"/>
  <c r="K49" i="54"/>
  <c r="C49" i="54"/>
  <c r="AG49" i="54"/>
  <c r="A50" i="54"/>
  <c r="AY49" i="54"/>
  <c r="AW49" i="54"/>
  <c r="CG49" i="54"/>
  <c r="CC49" i="54"/>
  <c r="BI49" i="54"/>
  <c r="O49" i="54"/>
  <c r="BA49" i="54"/>
  <c r="CU49" i="54"/>
  <c r="AK49" i="54"/>
  <c r="Q49" i="54"/>
  <c r="AA49" i="54"/>
  <c r="CW49" i="54"/>
  <c r="CI49" i="54"/>
  <c r="BM49" i="54"/>
  <c r="M49" i="54"/>
  <c r="BU49" i="54"/>
  <c r="BY49" i="54"/>
  <c r="AO49" i="54"/>
  <c r="BQ49" i="54"/>
  <c r="AC49" i="54"/>
  <c r="BK49" i="54"/>
  <c r="U49" i="54"/>
  <c r="DA49" i="54"/>
  <c r="O48" i="54"/>
  <c r="BA48" i="54"/>
  <c r="CW48" i="54"/>
  <c r="G49" i="32"/>
  <c r="BM48" i="54"/>
  <c r="AS48" i="54"/>
  <c r="AO48" i="54"/>
  <c r="CI48" i="54"/>
  <c r="BB50" i="32"/>
  <c r="AI50" i="32"/>
  <c r="AJ50" i="32"/>
  <c r="C50" i="32"/>
  <c r="P50" i="32"/>
  <c r="M50" i="32"/>
  <c r="N50" i="32" s="1"/>
  <c r="AE50" i="32"/>
  <c r="U50" i="32"/>
  <c r="AD50" i="32"/>
  <c r="AR50" i="32"/>
  <c r="AT50" i="32"/>
  <c r="AU50" i="32"/>
  <c r="F50" i="32"/>
  <c r="P49" i="32"/>
  <c r="L49" i="32" s="1"/>
  <c r="D49" i="32"/>
  <c r="W48" i="32"/>
  <c r="AM50" i="32"/>
  <c r="AL50" i="32"/>
  <c r="BC50" i="32"/>
  <c r="AY50" i="32"/>
  <c r="AZ50" i="32"/>
  <c r="AQ50" i="32"/>
  <c r="V49" i="32"/>
  <c r="W49" i="32"/>
  <c r="AU49" i="32"/>
  <c r="A52" i="32"/>
  <c r="T49" i="32"/>
  <c r="S49" i="32"/>
  <c r="AA50" i="32"/>
  <c r="AB50" i="32"/>
  <c r="R50" i="32"/>
  <c r="J50" i="32"/>
  <c r="K50" i="32" s="1"/>
  <c r="AN49" i="31"/>
  <c r="AO49" i="31" s="1"/>
  <c r="BE49" i="31"/>
  <c r="AM48" i="31"/>
  <c r="AT48" i="31"/>
  <c r="AX48" i="31" s="1"/>
  <c r="D49" i="31"/>
  <c r="E49" i="31" s="1"/>
  <c r="L49" i="31"/>
  <c r="P49" i="31"/>
  <c r="Q49" i="31" s="1"/>
  <c r="AP49" i="31"/>
  <c r="AQ49" i="31" s="1"/>
  <c r="BG49" i="31"/>
  <c r="O48" i="31"/>
  <c r="AQ48" i="31"/>
  <c r="AV48" i="31"/>
  <c r="AZ48" i="31" s="1"/>
  <c r="S49" i="31"/>
  <c r="B49" i="31"/>
  <c r="N49" i="31"/>
  <c r="O49" i="31" s="1"/>
  <c r="J49" i="31"/>
  <c r="K49" i="31" s="1"/>
  <c r="U49" i="31"/>
  <c r="AE49" i="31"/>
  <c r="AL49" i="31"/>
  <c r="BC49" i="31"/>
  <c r="G49" i="31"/>
  <c r="G48" i="31"/>
  <c r="AU48" i="31"/>
  <c r="AY48" i="31" s="1"/>
  <c r="AO48" i="31"/>
  <c r="A51" i="31"/>
  <c r="BQ50" i="31"/>
  <c r="BM50" i="31"/>
  <c r="BK50" i="31"/>
  <c r="BO50" i="31"/>
  <c r="AG49" i="31"/>
  <c r="I49" i="31"/>
  <c r="AR49" i="31"/>
  <c r="BI49" i="31"/>
  <c r="AW48" i="31"/>
  <c r="BA48" i="31" s="1"/>
  <c r="AS48" i="31"/>
  <c r="E49" i="26"/>
  <c r="AD48" i="26"/>
  <c r="AH48" i="26" s="1"/>
  <c r="Y48" i="26"/>
  <c r="X50" i="28"/>
  <c r="V49" i="26"/>
  <c r="AM49" i="26"/>
  <c r="X49" i="26"/>
  <c r="AO49" i="26"/>
  <c r="AB48" i="26"/>
  <c r="Q49" i="26"/>
  <c r="BP49" i="28"/>
  <c r="I48" i="26"/>
  <c r="CL50" i="28"/>
  <c r="S49" i="26"/>
  <c r="A52" i="28"/>
  <c r="CD51" i="28"/>
  <c r="CP51" i="28"/>
  <c r="A51" i="26"/>
  <c r="AY50" i="26"/>
  <c r="AK50" i="26"/>
  <c r="CR49" i="28"/>
  <c r="S50" i="28"/>
  <c r="K50" i="28"/>
  <c r="H50" i="28"/>
  <c r="AH50" i="28"/>
  <c r="BG49" i="28"/>
  <c r="AS49" i="26"/>
  <c r="AA50" i="28"/>
  <c r="AC50" i="28"/>
  <c r="AG47" i="26"/>
  <c r="AI47" i="26"/>
  <c r="S49" i="28"/>
  <c r="AC48" i="26"/>
  <c r="BF49" i="28"/>
  <c r="BT49" i="28"/>
  <c r="BP50" i="28"/>
  <c r="AO50" i="28"/>
  <c r="BN50" i="28"/>
  <c r="BX49" i="28"/>
  <c r="J48" i="28"/>
  <c r="BA50" i="28"/>
  <c r="BZ50" i="28"/>
  <c r="T49" i="26"/>
  <c r="U49" i="26" s="1"/>
  <c r="AK49" i="26"/>
  <c r="U48" i="26"/>
  <c r="AZ48" i="28"/>
  <c r="BI48" i="28"/>
  <c r="BH49" i="28"/>
  <c r="CN49" i="28"/>
  <c r="N48" i="28"/>
  <c r="CJ49" i="28"/>
  <c r="AK50" i="28"/>
  <c r="CN50" i="28"/>
  <c r="Z49" i="26"/>
  <c r="AQ49" i="26"/>
  <c r="AY49" i="26"/>
  <c r="C50" i="28"/>
  <c r="G48" i="26"/>
  <c r="CD50" i="28"/>
  <c r="BT50" i="28"/>
  <c r="AS50" i="28"/>
  <c r="BR50" i="28"/>
  <c r="F49" i="26"/>
  <c r="B49" i="26"/>
  <c r="H49" i="26"/>
  <c r="CP50" i="28"/>
  <c r="CF49" i="28"/>
  <c r="AX49" i="28"/>
  <c r="AR48" i="28"/>
  <c r="BD48" i="28"/>
  <c r="AH47" i="26"/>
  <c r="BE49" i="28"/>
  <c r="AP49" i="28"/>
  <c r="AW50" i="28"/>
  <c r="AX50" i="28" s="1"/>
  <c r="BV50" i="28"/>
  <c r="E50" i="28"/>
  <c r="AE48" i="26"/>
  <c r="I49" i="28"/>
  <c r="AC49" i="28"/>
  <c r="AA48" i="26"/>
  <c r="C51" i="28" l="1"/>
  <c r="AF51" i="28"/>
  <c r="Q51" i="28"/>
  <c r="AA51" i="28"/>
  <c r="AK51" i="28"/>
  <c r="AA51" i="31"/>
  <c r="Y51" i="31"/>
  <c r="W51" i="31"/>
  <c r="AK51" i="31"/>
  <c r="AI51" i="31"/>
  <c r="AC51" i="31"/>
  <c r="M51" i="26"/>
  <c r="S51" i="26"/>
  <c r="L50" i="28"/>
  <c r="CA49" i="54"/>
  <c r="CY49" i="54"/>
  <c r="S49" i="54"/>
  <c r="AQ50" i="54"/>
  <c r="DC50" i="54"/>
  <c r="BC50" i="54"/>
  <c r="BG50" i="54"/>
  <c r="CE50" i="54"/>
  <c r="AU50" i="54"/>
  <c r="CQ50" i="54"/>
  <c r="W50" i="54"/>
  <c r="AI50" i="54"/>
  <c r="D50" i="32"/>
  <c r="AQ49" i="54"/>
  <c r="AE49" i="54"/>
  <c r="I49" i="54"/>
  <c r="E49" i="54"/>
  <c r="BW49" i="54"/>
  <c r="CK49" i="54"/>
  <c r="Y49" i="54"/>
  <c r="G49" i="54"/>
  <c r="AM49" i="54"/>
  <c r="K50" i="54"/>
  <c r="E50" i="54"/>
  <c r="C50" i="54"/>
  <c r="BM50" i="54"/>
  <c r="BQ50" i="54"/>
  <c r="DE50" i="54"/>
  <c r="G50" i="54"/>
  <c r="CS50" i="54"/>
  <c r="AC50" i="54"/>
  <c r="CK50" i="54"/>
  <c r="BA50" i="54"/>
  <c r="Q50" i="54"/>
  <c r="M50" i="54"/>
  <c r="BE50" i="54"/>
  <c r="AM50" i="54"/>
  <c r="I50" i="54"/>
  <c r="AK50" i="54"/>
  <c r="AA50" i="54"/>
  <c r="BY50" i="54"/>
  <c r="CC50" i="54"/>
  <c r="CO50" i="54"/>
  <c r="AS50" i="54"/>
  <c r="A51" i="54"/>
  <c r="BW50" i="54"/>
  <c r="AG50" i="54"/>
  <c r="CS49" i="54"/>
  <c r="DE49" i="54"/>
  <c r="AS49" i="54"/>
  <c r="BE49" i="54"/>
  <c r="CO49" i="54"/>
  <c r="V50" i="32"/>
  <c r="AT51" i="32"/>
  <c r="S50" i="32"/>
  <c r="T50" i="32"/>
  <c r="A53" i="32"/>
  <c r="AQ51" i="32"/>
  <c r="AI51" i="32"/>
  <c r="AJ51" i="32"/>
  <c r="C51" i="32"/>
  <c r="AU51" i="32"/>
  <c r="G50" i="32"/>
  <c r="Q50" i="32"/>
  <c r="AD51" i="32"/>
  <c r="U51" i="32"/>
  <c r="AE51" i="32"/>
  <c r="M51" i="32"/>
  <c r="N51" i="32" s="1"/>
  <c r="L50" i="32"/>
  <c r="F51" i="32"/>
  <c r="AZ51" i="32"/>
  <c r="AY51" i="32"/>
  <c r="AM51" i="32"/>
  <c r="AL51" i="32"/>
  <c r="W50" i="32"/>
  <c r="BB51" i="32"/>
  <c r="R51" i="32"/>
  <c r="AB51" i="32"/>
  <c r="J51" i="32"/>
  <c r="K51" i="32" s="1"/>
  <c r="AA51" i="32"/>
  <c r="AN50" i="31"/>
  <c r="AO50" i="31" s="1"/>
  <c r="Q50" i="26"/>
  <c r="AL50" i="31"/>
  <c r="BC50" i="31"/>
  <c r="S50" i="31"/>
  <c r="N50" i="31"/>
  <c r="B50" i="31"/>
  <c r="C50" i="31" s="1"/>
  <c r="J50" i="31"/>
  <c r="K50" i="31" s="1"/>
  <c r="BE50" i="31"/>
  <c r="BG50" i="31"/>
  <c r="AP50" i="31"/>
  <c r="AQ50" i="31" s="1"/>
  <c r="AV49" i="31"/>
  <c r="AZ49" i="31" s="1"/>
  <c r="D50" i="31"/>
  <c r="E50" i="31" s="1"/>
  <c r="P50" i="31"/>
  <c r="L50" i="31"/>
  <c r="M50" i="31" s="1"/>
  <c r="AM49" i="31"/>
  <c r="AT49" i="31"/>
  <c r="AX49" i="31" s="1"/>
  <c r="U50" i="31"/>
  <c r="M49" i="31"/>
  <c r="AW49" i="31"/>
  <c r="BA49" i="31" s="1"/>
  <c r="AS49" i="31"/>
  <c r="AR50" i="31"/>
  <c r="BI50" i="31"/>
  <c r="G50" i="31"/>
  <c r="AE50" i="31"/>
  <c r="C49" i="31"/>
  <c r="AG50" i="31"/>
  <c r="I50" i="31"/>
  <c r="BK51" i="31"/>
  <c r="BM51" i="31"/>
  <c r="BO51" i="31"/>
  <c r="A52" i="31"/>
  <c r="BQ51" i="31"/>
  <c r="AU49" i="31"/>
  <c r="AY49" i="31" s="1"/>
  <c r="E50" i="26"/>
  <c r="G49" i="26"/>
  <c r="N49" i="28"/>
  <c r="AG48" i="26"/>
  <c r="V50" i="26"/>
  <c r="AM50" i="26"/>
  <c r="AW50" i="26"/>
  <c r="CH51" i="28"/>
  <c r="CB51" i="28"/>
  <c r="BA51" i="28"/>
  <c r="BB51" i="28" s="1"/>
  <c r="AD49" i="26"/>
  <c r="AM50" i="28"/>
  <c r="CR50" i="28"/>
  <c r="AV49" i="28"/>
  <c r="AZ49" i="28"/>
  <c r="H50" i="26"/>
  <c r="I50" i="26" s="1"/>
  <c r="F50" i="26"/>
  <c r="B50" i="26"/>
  <c r="C50" i="26" s="1"/>
  <c r="AO51" i="28"/>
  <c r="BN51" i="28"/>
  <c r="K51" i="28"/>
  <c r="S51" i="28"/>
  <c r="I49" i="26"/>
  <c r="AE49" i="26"/>
  <c r="AI49" i="26" s="1"/>
  <c r="BD49" i="28"/>
  <c r="BJ49" i="28"/>
  <c r="BK49" i="28"/>
  <c r="AM51" i="26"/>
  <c r="A52" i="26"/>
  <c r="AO51" i="26"/>
  <c r="AS51" i="26"/>
  <c r="AH51" i="28"/>
  <c r="CN51" i="28"/>
  <c r="CL51" i="28"/>
  <c r="CJ50" i="28"/>
  <c r="BG50" i="28"/>
  <c r="CF50" i="28"/>
  <c r="AB49" i="26"/>
  <c r="AF49" i="26" s="1"/>
  <c r="BX50" i="28"/>
  <c r="Z50" i="26"/>
  <c r="AQ50" i="26"/>
  <c r="BL49" i="28"/>
  <c r="AI48" i="26"/>
  <c r="AR49" i="28"/>
  <c r="AV50" i="28"/>
  <c r="BF50" i="28"/>
  <c r="AT50" i="28"/>
  <c r="C49" i="26"/>
  <c r="AS50" i="26"/>
  <c r="BV52" i="28"/>
  <c r="A53" i="28"/>
  <c r="BR52" i="28"/>
  <c r="BZ51" i="28"/>
  <c r="J49" i="28"/>
  <c r="BI49" i="28"/>
  <c r="BH50" i="28"/>
  <c r="BB50" i="28"/>
  <c r="BE50" i="28"/>
  <c r="AP50" i="28"/>
  <c r="AU50" i="26"/>
  <c r="BX51" i="28"/>
  <c r="AW51" i="28"/>
  <c r="AX51" i="28" s="1"/>
  <c r="AC49" i="26"/>
  <c r="W49" i="26"/>
  <c r="Y49" i="26"/>
  <c r="AA49" i="26"/>
  <c r="H51" i="28"/>
  <c r="T50" i="26"/>
  <c r="AF48" i="26"/>
  <c r="I50" i="28"/>
  <c r="J50" i="28" s="1"/>
  <c r="CB50" i="28"/>
  <c r="X50" i="26"/>
  <c r="AO50" i="26"/>
  <c r="AS51" i="28"/>
  <c r="BR51" i="28"/>
  <c r="V51" i="28"/>
  <c r="BV51" i="28"/>
  <c r="AK52" i="28" l="1"/>
  <c r="V52" i="28"/>
  <c r="L51" i="28"/>
  <c r="S52" i="26"/>
  <c r="O52" i="26"/>
  <c r="M52" i="26"/>
  <c r="AA52" i="31"/>
  <c r="W52" i="31"/>
  <c r="AK52" i="31"/>
  <c r="AI52" i="31"/>
  <c r="AC52" i="31"/>
  <c r="Y52" i="31"/>
  <c r="AM53" i="32"/>
  <c r="CM50" i="54"/>
  <c r="CY50" i="54"/>
  <c r="BC51" i="54"/>
  <c r="DC51" i="54"/>
  <c r="CQ51" i="54"/>
  <c r="CE51" i="54"/>
  <c r="AU51" i="54"/>
  <c r="BG51" i="54"/>
  <c r="W51" i="54"/>
  <c r="AI51" i="54"/>
  <c r="CA50" i="54"/>
  <c r="S50" i="54"/>
  <c r="AE50" i="54"/>
  <c r="BI50" i="54"/>
  <c r="DA50" i="54"/>
  <c r="O50" i="54"/>
  <c r="CU50" i="54"/>
  <c r="AO50" i="54"/>
  <c r="BK50" i="54"/>
  <c r="K51" i="54"/>
  <c r="AW51" i="54"/>
  <c r="BU51" i="54"/>
  <c r="G51" i="54"/>
  <c r="BE51" i="54"/>
  <c r="DA51" i="54"/>
  <c r="AO51" i="54"/>
  <c r="U51" i="54"/>
  <c r="BY51" i="54"/>
  <c r="M51" i="54"/>
  <c r="CW51" i="54"/>
  <c r="E51" i="54"/>
  <c r="BW51" i="54"/>
  <c r="BA51" i="54"/>
  <c r="AA51" i="54"/>
  <c r="BQ51" i="54"/>
  <c r="A52" i="54"/>
  <c r="BK51" i="54"/>
  <c r="Y51" i="54"/>
  <c r="AC51" i="54"/>
  <c r="CI51" i="54"/>
  <c r="AG51" i="54"/>
  <c r="BI51" i="54"/>
  <c r="AY50" i="54"/>
  <c r="Y50" i="54"/>
  <c r="CG50" i="54"/>
  <c r="AW50" i="54"/>
  <c r="CW50" i="54"/>
  <c r="CI50" i="54"/>
  <c r="BU50" i="54"/>
  <c r="U50" i="54"/>
  <c r="T51" i="32"/>
  <c r="BC51" i="32"/>
  <c r="G51" i="32"/>
  <c r="Q51" i="32"/>
  <c r="O51" i="32" s="1"/>
  <c r="AT52" i="32"/>
  <c r="AZ52" i="32"/>
  <c r="P51" i="32"/>
  <c r="D51" i="32"/>
  <c r="Q52" i="32"/>
  <c r="F52" i="32"/>
  <c r="AI52" i="32"/>
  <c r="AJ52" i="32"/>
  <c r="AD52" i="32"/>
  <c r="AE52" i="32"/>
  <c r="M52" i="32"/>
  <c r="N52" i="32" s="1"/>
  <c r="U52" i="32"/>
  <c r="AB52" i="32"/>
  <c r="J52" i="32"/>
  <c r="K52" i="32" s="1"/>
  <c r="R52" i="32"/>
  <c r="T52" i="32" s="1"/>
  <c r="AA52" i="32"/>
  <c r="AM52" i="32"/>
  <c r="AL52" i="32"/>
  <c r="AQ52" i="32"/>
  <c r="V51" i="32"/>
  <c r="P52" i="32"/>
  <c r="C52" i="32"/>
  <c r="S51" i="32"/>
  <c r="A54" i="32"/>
  <c r="BB52" i="32"/>
  <c r="O50" i="32"/>
  <c r="AR51" i="32"/>
  <c r="AR52" i="32"/>
  <c r="BC52" i="32"/>
  <c r="AY52" i="32"/>
  <c r="AN51" i="31"/>
  <c r="AO51" i="31" s="1"/>
  <c r="AW50" i="31"/>
  <c r="Q50" i="31"/>
  <c r="S51" i="31"/>
  <c r="B51" i="31"/>
  <c r="N51" i="31"/>
  <c r="J51" i="31"/>
  <c r="AL51" i="31"/>
  <c r="BC51" i="31"/>
  <c r="BE51" i="31"/>
  <c r="AR51" i="31"/>
  <c r="BI51" i="31"/>
  <c r="AV50" i="31"/>
  <c r="AZ50" i="31" s="1"/>
  <c r="AS50" i="31"/>
  <c r="AG51" i="31"/>
  <c r="O50" i="31"/>
  <c r="BG51" i="31"/>
  <c r="AP51" i="31"/>
  <c r="BO52" i="31"/>
  <c r="BM52" i="31"/>
  <c r="BK52" i="31"/>
  <c r="A53" i="31"/>
  <c r="AE51" i="31"/>
  <c r="AT50" i="31"/>
  <c r="AM50" i="31"/>
  <c r="U51" i="31"/>
  <c r="P51" i="31"/>
  <c r="Q51" i="31" s="1"/>
  <c r="D51" i="31"/>
  <c r="L51" i="31"/>
  <c r="AU50" i="31"/>
  <c r="AD50" i="26"/>
  <c r="AH50" i="26" s="1"/>
  <c r="Y50" i="26"/>
  <c r="E52" i="28"/>
  <c r="K52" i="28"/>
  <c r="Q52" i="28"/>
  <c r="X51" i="26"/>
  <c r="BJ50" i="28"/>
  <c r="BP51" i="28"/>
  <c r="BT51" i="28"/>
  <c r="BD50" i="28"/>
  <c r="BT52" i="28"/>
  <c r="AS52" i="28"/>
  <c r="AT52" i="28" s="1"/>
  <c r="BX52" i="28"/>
  <c r="AW52" i="28"/>
  <c r="AE50" i="26"/>
  <c r="T51" i="26"/>
  <c r="AK51" i="26"/>
  <c r="AW51" i="26"/>
  <c r="BK50" i="28"/>
  <c r="AH49" i="26"/>
  <c r="N51" i="28"/>
  <c r="I51" i="28"/>
  <c r="E51" i="28"/>
  <c r="BA52" i="28"/>
  <c r="BZ52" i="28"/>
  <c r="CD52" i="28"/>
  <c r="Q51" i="26"/>
  <c r="H51" i="26"/>
  <c r="I51" i="26" s="1"/>
  <c r="F51" i="26"/>
  <c r="B51" i="26"/>
  <c r="C51" i="26" s="1"/>
  <c r="BN52" i="28"/>
  <c r="AC50" i="26"/>
  <c r="AG50" i="26" s="1"/>
  <c r="W50" i="26"/>
  <c r="CL53" i="28"/>
  <c r="BN53" i="28"/>
  <c r="A54" i="28"/>
  <c r="CP53" i="28"/>
  <c r="CF51" i="28"/>
  <c r="AU51" i="26"/>
  <c r="G50" i="26"/>
  <c r="N50" i="28"/>
  <c r="C52" i="28"/>
  <c r="AB50" i="26"/>
  <c r="X51" i="28"/>
  <c r="CL52" i="28"/>
  <c r="Z51" i="26"/>
  <c r="AA51" i="26" s="1"/>
  <c r="AQ51" i="26"/>
  <c r="AM51" i="28"/>
  <c r="CJ51" i="28"/>
  <c r="AG49" i="26"/>
  <c r="K51" i="26"/>
  <c r="BG51" i="28"/>
  <c r="CH52" i="28"/>
  <c r="AM52" i="28"/>
  <c r="AC51" i="28"/>
  <c r="AF52" i="28"/>
  <c r="A53" i="26"/>
  <c r="AW52" i="26"/>
  <c r="AY52" i="26"/>
  <c r="BH51" i="28"/>
  <c r="AR50" i="28"/>
  <c r="CP52" i="28"/>
  <c r="BL50" i="28"/>
  <c r="V51" i="26"/>
  <c r="W51" i="26" s="1"/>
  <c r="BE51" i="28"/>
  <c r="AP51" i="28"/>
  <c r="O51" i="26"/>
  <c r="CR51" i="28"/>
  <c r="BF51" i="28"/>
  <c r="AT51" i="28"/>
  <c r="BI50" i="28"/>
  <c r="AO52" i="28"/>
  <c r="AP52" i="28" s="1"/>
  <c r="AA52" i="28"/>
  <c r="U50" i="26"/>
  <c r="AY51" i="26"/>
  <c r="AA50" i="26"/>
  <c r="H52" i="28"/>
  <c r="AZ50" i="28"/>
  <c r="AK53" i="28" l="1"/>
  <c r="AA53" i="28"/>
  <c r="AP52" i="31"/>
  <c r="AQ52" i="31" s="1"/>
  <c r="W53" i="31"/>
  <c r="AI53" i="31"/>
  <c r="AG53" i="31"/>
  <c r="AC53" i="31"/>
  <c r="AA53" i="31"/>
  <c r="AK53" i="31"/>
  <c r="Y53" i="31"/>
  <c r="BC54" i="32"/>
  <c r="Q54" i="32"/>
  <c r="P54" i="32"/>
  <c r="L52" i="28"/>
  <c r="CA51" i="54"/>
  <c r="CY51" i="54"/>
  <c r="S51" i="54"/>
  <c r="CA52" i="54"/>
  <c r="BC52" i="54"/>
  <c r="CQ52" i="54"/>
  <c r="CE52" i="54"/>
  <c r="AU52" i="54"/>
  <c r="AI52" i="54"/>
  <c r="W52" i="54"/>
  <c r="DC52" i="54"/>
  <c r="BG52" i="54"/>
  <c r="AE51" i="54"/>
  <c r="CM51" i="54"/>
  <c r="AQ51" i="54"/>
  <c r="AS51" i="54"/>
  <c r="C51" i="54"/>
  <c r="DE51" i="54"/>
  <c r="CC51" i="54"/>
  <c r="I51" i="54"/>
  <c r="CO51" i="54"/>
  <c r="K52" i="54"/>
  <c r="A53" i="54"/>
  <c r="CU52" i="54"/>
  <c r="BU52" i="54"/>
  <c r="BI52" i="54"/>
  <c r="AK52" i="54"/>
  <c r="AG52" i="54"/>
  <c r="E52" i="54"/>
  <c r="CS52" i="54"/>
  <c r="Q52" i="54"/>
  <c r="AY52" i="54"/>
  <c r="CO52" i="54"/>
  <c r="BM52" i="54"/>
  <c r="BA52" i="54"/>
  <c r="CK52" i="54"/>
  <c r="Y52" i="54"/>
  <c r="AS52" i="54"/>
  <c r="BW52" i="54"/>
  <c r="M52" i="54"/>
  <c r="DE52" i="54"/>
  <c r="AM52" i="54"/>
  <c r="O52" i="54"/>
  <c r="I52" i="54"/>
  <c r="AC52" i="54"/>
  <c r="AM51" i="54"/>
  <c r="CG51" i="54"/>
  <c r="AK51" i="54"/>
  <c r="CS51" i="54"/>
  <c r="Q51" i="54"/>
  <c r="AY51" i="54"/>
  <c r="BM51" i="54"/>
  <c r="CK51" i="54"/>
  <c r="O51" i="54"/>
  <c r="CU51" i="54"/>
  <c r="L52" i="32"/>
  <c r="S52" i="32"/>
  <c r="O52" i="32"/>
  <c r="V52" i="32"/>
  <c r="P53" i="32"/>
  <c r="L53" i="32" s="1"/>
  <c r="C53" i="32"/>
  <c r="AU52" i="32"/>
  <c r="F53" i="32"/>
  <c r="BC53" i="32"/>
  <c r="BB53" i="32"/>
  <c r="W51" i="32"/>
  <c r="W52" i="32"/>
  <c r="A55" i="32"/>
  <c r="AY53" i="32"/>
  <c r="AZ53" i="32"/>
  <c r="L51" i="32"/>
  <c r="AQ53" i="32"/>
  <c r="AR53" i="32"/>
  <c r="G52" i="32"/>
  <c r="AE53" i="32"/>
  <c r="U53" i="32"/>
  <c r="M53" i="32"/>
  <c r="N53" i="32" s="1"/>
  <c r="AL53" i="32"/>
  <c r="AA53" i="32"/>
  <c r="AB53" i="32"/>
  <c r="R53" i="32"/>
  <c r="J53" i="32"/>
  <c r="K53" i="32" s="1"/>
  <c r="AD53" i="32"/>
  <c r="AJ53" i="32"/>
  <c r="AI53" i="32"/>
  <c r="AT53" i="32"/>
  <c r="AU53" i="32"/>
  <c r="D52" i="32"/>
  <c r="AR52" i="31"/>
  <c r="AS52" i="31" s="1"/>
  <c r="AY50" i="31"/>
  <c r="AX50" i="31"/>
  <c r="BA50" i="31"/>
  <c r="BI52" i="31"/>
  <c r="G52" i="31"/>
  <c r="G51" i="31"/>
  <c r="P52" i="31"/>
  <c r="Q52" i="31" s="1"/>
  <c r="D52" i="31"/>
  <c r="E52" i="31" s="1"/>
  <c r="L52" i="31"/>
  <c r="M52" i="31" s="1"/>
  <c r="U52" i="31"/>
  <c r="AS51" i="31"/>
  <c r="AW51" i="31"/>
  <c r="BA51" i="31" s="1"/>
  <c r="AE52" i="31"/>
  <c r="BK53" i="31"/>
  <c r="BQ53" i="31"/>
  <c r="A54" i="31"/>
  <c r="BM53" i="31"/>
  <c r="BO53" i="31"/>
  <c r="B52" i="31"/>
  <c r="N52" i="31"/>
  <c r="O52" i="31" s="1"/>
  <c r="J52" i="31"/>
  <c r="S52" i="31"/>
  <c r="BE52" i="31"/>
  <c r="AN52" i="31"/>
  <c r="AT51" i="31"/>
  <c r="AX51" i="31" s="1"/>
  <c r="AM51" i="31"/>
  <c r="I52" i="31"/>
  <c r="AG52" i="31"/>
  <c r="K51" i="31"/>
  <c r="AV51" i="31"/>
  <c r="AZ51" i="31" s="1"/>
  <c r="AQ51" i="31"/>
  <c r="BQ52" i="31"/>
  <c r="C51" i="31"/>
  <c r="BC52" i="31"/>
  <c r="AL52" i="31"/>
  <c r="O51" i="31"/>
  <c r="M51" i="31"/>
  <c r="E51" i="31"/>
  <c r="BG52" i="31"/>
  <c r="I51" i="31"/>
  <c r="AU51" i="31"/>
  <c r="AY51" i="31" s="1"/>
  <c r="X52" i="28"/>
  <c r="AC52" i="28"/>
  <c r="AF53" i="28"/>
  <c r="AS53" i="28"/>
  <c r="BR53" i="28"/>
  <c r="AO53" i="28"/>
  <c r="AI50" i="26"/>
  <c r="E51" i="26"/>
  <c r="CN52" i="28"/>
  <c r="AH52" i="28"/>
  <c r="CB53" i="28"/>
  <c r="BA53" i="28"/>
  <c r="BB53" i="28" s="1"/>
  <c r="X53" i="28"/>
  <c r="BZ53" i="28"/>
  <c r="BV53" i="28"/>
  <c r="BD51" i="28"/>
  <c r="AD51" i="26"/>
  <c r="Y51" i="26"/>
  <c r="AV51" i="28"/>
  <c r="AC51" i="26"/>
  <c r="AG51" i="26" s="1"/>
  <c r="BL51" i="28"/>
  <c r="T52" i="26"/>
  <c r="B52" i="26"/>
  <c r="H52" i="26"/>
  <c r="I52" i="26" s="1"/>
  <c r="F52" i="26"/>
  <c r="G52" i="26" s="1"/>
  <c r="E53" i="28"/>
  <c r="BF52" i="28"/>
  <c r="G51" i="26"/>
  <c r="C53" i="28"/>
  <c r="BJ51" i="28"/>
  <c r="BI51" i="28"/>
  <c r="Z52" i="26"/>
  <c r="AQ52" i="26"/>
  <c r="AZ51" i="28"/>
  <c r="CD53" i="28"/>
  <c r="CH53" i="28"/>
  <c r="V53" i="28"/>
  <c r="X52" i="26"/>
  <c r="AO52" i="26"/>
  <c r="CJ52" i="28"/>
  <c r="BK51" i="28"/>
  <c r="AF50" i="26"/>
  <c r="K53" i="28"/>
  <c r="H53" i="28"/>
  <c r="Q52" i="26"/>
  <c r="CF52" i="28"/>
  <c r="I52" i="28"/>
  <c r="BE52" i="28"/>
  <c r="V52" i="26"/>
  <c r="AM52" i="26"/>
  <c r="BG52" i="28"/>
  <c r="AX52" i="28"/>
  <c r="Q53" i="28"/>
  <c r="BP52" i="28"/>
  <c r="AU52" i="26"/>
  <c r="AS52" i="26"/>
  <c r="AE51" i="26"/>
  <c r="AW53" i="28"/>
  <c r="BH52" i="28"/>
  <c r="BB52" i="28"/>
  <c r="AK52" i="26"/>
  <c r="S52" i="28"/>
  <c r="J51" i="28"/>
  <c r="AR51" i="28"/>
  <c r="AS53" i="26"/>
  <c r="AU53" i="26"/>
  <c r="AW53" i="26"/>
  <c r="AK53" i="26"/>
  <c r="A54" i="26"/>
  <c r="A55" i="28"/>
  <c r="K52" i="26"/>
  <c r="CB52" i="28"/>
  <c r="AB51" i="26"/>
  <c r="CR52" i="28"/>
  <c r="U51" i="26"/>
  <c r="AD54" i="32" l="1"/>
  <c r="BB54" i="32"/>
  <c r="AR55" i="32"/>
  <c r="AC54" i="31"/>
  <c r="AA54" i="31"/>
  <c r="Y54" i="31"/>
  <c r="W54" i="31"/>
  <c r="AK54" i="31"/>
  <c r="U54" i="31"/>
  <c r="E54" i="26"/>
  <c r="M54" i="26"/>
  <c r="S53" i="54"/>
  <c r="CQ53" i="54"/>
  <c r="CE53" i="54"/>
  <c r="AI53" i="54"/>
  <c r="W53" i="54"/>
  <c r="BG53" i="54"/>
  <c r="DC53" i="54"/>
  <c r="AU53" i="54"/>
  <c r="S52" i="54"/>
  <c r="AE52" i="54"/>
  <c r="AQ52" i="54"/>
  <c r="CM52" i="54"/>
  <c r="CY52" i="54"/>
  <c r="BQ52" i="54"/>
  <c r="DA52" i="54"/>
  <c r="U52" i="54"/>
  <c r="AA52" i="54"/>
  <c r="C52" i="54"/>
  <c r="G52" i="54"/>
  <c r="CG52" i="54"/>
  <c r="AW52" i="54"/>
  <c r="CW52" i="54"/>
  <c r="AO52" i="54"/>
  <c r="BE52" i="54"/>
  <c r="K53" i="54"/>
  <c r="CK53" i="54"/>
  <c r="U53" i="54"/>
  <c r="DA53" i="54"/>
  <c r="BU53" i="54"/>
  <c r="DE53" i="54"/>
  <c r="BY53" i="54"/>
  <c r="AO53" i="54"/>
  <c r="BK53" i="54"/>
  <c r="BM53" i="54"/>
  <c r="CI53" i="54"/>
  <c r="BQ53" i="54"/>
  <c r="AS53" i="54"/>
  <c r="AK53" i="54"/>
  <c r="AM53" i="54"/>
  <c r="CO53" i="54"/>
  <c r="A54" i="54"/>
  <c r="BA53" i="54"/>
  <c r="BY52" i="54"/>
  <c r="CC52" i="54"/>
  <c r="BK52" i="54"/>
  <c r="CI52" i="54"/>
  <c r="D53" i="32"/>
  <c r="L54" i="32"/>
  <c r="D54" i="32"/>
  <c r="C54" i="32"/>
  <c r="AL54" i="32"/>
  <c r="AM54" i="32"/>
  <c r="U54" i="32"/>
  <c r="M54" i="32"/>
  <c r="N54" i="32" s="1"/>
  <c r="AE54" i="32"/>
  <c r="AU54" i="32"/>
  <c r="AB54" i="32"/>
  <c r="R54" i="32"/>
  <c r="J54" i="32"/>
  <c r="K54" i="32" s="1"/>
  <c r="W53" i="32"/>
  <c r="V53" i="32"/>
  <c r="F54" i="32"/>
  <c r="A56" i="32"/>
  <c r="T53" i="32"/>
  <c r="S53" i="32"/>
  <c r="AR54" i="32"/>
  <c r="AT54" i="32"/>
  <c r="AZ54" i="32"/>
  <c r="AY54" i="32"/>
  <c r="AI54" i="32"/>
  <c r="G54" i="32"/>
  <c r="Q53" i="32"/>
  <c r="G53" i="32"/>
  <c r="AA54" i="32"/>
  <c r="AJ54" i="32"/>
  <c r="AQ54" i="32"/>
  <c r="I53" i="31"/>
  <c r="AN53" i="31"/>
  <c r="AO53" i="31" s="1"/>
  <c r="BE53" i="31"/>
  <c r="AL53" i="31"/>
  <c r="AM53" i="31" s="1"/>
  <c r="BC53" i="31"/>
  <c r="J53" i="31"/>
  <c r="N53" i="31"/>
  <c r="O53" i="31" s="1"/>
  <c r="S53" i="31"/>
  <c r="B53" i="31"/>
  <c r="BI53" i="31"/>
  <c r="AR53" i="31"/>
  <c r="K52" i="31"/>
  <c r="AP53" i="31"/>
  <c r="BG53" i="31"/>
  <c r="U53" i="31"/>
  <c r="D53" i="31"/>
  <c r="L53" i="31"/>
  <c r="P53" i="31"/>
  <c r="A55" i="31"/>
  <c r="BK54" i="31"/>
  <c r="BM54" i="31"/>
  <c r="BQ54" i="31"/>
  <c r="BO54" i="31"/>
  <c r="AW52" i="31"/>
  <c r="BA52" i="31" s="1"/>
  <c r="AT52" i="31"/>
  <c r="AV52" i="31"/>
  <c r="AZ52" i="31" s="1"/>
  <c r="AM52" i="31"/>
  <c r="AO52" i="31"/>
  <c r="AU52" i="31"/>
  <c r="AE53" i="31"/>
  <c r="C52" i="31"/>
  <c r="E54" i="28"/>
  <c r="CD54" i="28"/>
  <c r="AC52" i="26"/>
  <c r="AG52" i="26" s="1"/>
  <c r="CF53" i="28"/>
  <c r="AE52" i="26"/>
  <c r="AI52" i="26" s="1"/>
  <c r="AA52" i="26"/>
  <c r="BH53" i="28"/>
  <c r="BL53" i="28" s="1"/>
  <c r="AF54" i="28"/>
  <c r="H54" i="28"/>
  <c r="K54" i="28"/>
  <c r="S54" i="28"/>
  <c r="AA54" i="28"/>
  <c r="AZ53" i="28"/>
  <c r="BG53" i="28"/>
  <c r="AX53" i="28"/>
  <c r="CR53" i="28"/>
  <c r="BI52" i="28"/>
  <c r="J52" i="28"/>
  <c r="AZ52" i="28"/>
  <c r="CJ53" i="28"/>
  <c r="C52" i="26"/>
  <c r="BE53" i="28"/>
  <c r="BT53" i="28"/>
  <c r="BL52" i="28"/>
  <c r="BA54" i="28"/>
  <c r="BX54" i="28"/>
  <c r="AW54" i="28"/>
  <c r="BV54" i="28"/>
  <c r="AS54" i="28"/>
  <c r="AT54" i="28" s="1"/>
  <c r="BR54" i="28"/>
  <c r="Z53" i="26"/>
  <c r="AC53" i="28"/>
  <c r="N53" i="28"/>
  <c r="AD52" i="26"/>
  <c r="Y52" i="26"/>
  <c r="AH51" i="26"/>
  <c r="E52" i="26"/>
  <c r="AI51" i="26"/>
  <c r="Q54" i="28"/>
  <c r="BZ54" i="28"/>
  <c r="O53" i="26"/>
  <c r="BX53" i="28"/>
  <c r="S53" i="26"/>
  <c r="S53" i="28"/>
  <c r="BJ52" i="28"/>
  <c r="E53" i="26"/>
  <c r="BP53" i="28"/>
  <c r="AP53" i="28"/>
  <c r="AQ54" i="26"/>
  <c r="AU54" i="26"/>
  <c r="A55" i="26"/>
  <c r="AM54" i="26"/>
  <c r="AK54" i="28"/>
  <c r="AV52" i="28"/>
  <c r="W52" i="26"/>
  <c r="L53" i="28"/>
  <c r="AH53" i="28"/>
  <c r="A56" i="28"/>
  <c r="BR55" i="28"/>
  <c r="BZ55" i="28"/>
  <c r="CN54" i="28"/>
  <c r="CL54" i="28"/>
  <c r="H53" i="26"/>
  <c r="F53" i="26"/>
  <c r="G53" i="26" s="1"/>
  <c r="B53" i="26"/>
  <c r="K53" i="26"/>
  <c r="AM53" i="28"/>
  <c r="C54" i="28"/>
  <c r="V54" i="28"/>
  <c r="M53" i="26"/>
  <c r="CH54" i="28"/>
  <c r="T53" i="26"/>
  <c r="U53" i="26" s="1"/>
  <c r="CP54" i="28"/>
  <c r="AO54" i="28"/>
  <c r="BN54" i="28"/>
  <c r="X53" i="26"/>
  <c r="AO53" i="26"/>
  <c r="AY53" i="26"/>
  <c r="BK52" i="28"/>
  <c r="I53" i="28"/>
  <c r="J53" i="28" s="1"/>
  <c r="N52" i="28"/>
  <c r="Q53" i="26"/>
  <c r="V53" i="26"/>
  <c r="W53" i="26" s="1"/>
  <c r="BD52" i="28"/>
  <c r="AR52" i="28"/>
  <c r="AF51" i="26"/>
  <c r="AQ53" i="26"/>
  <c r="AB52" i="26"/>
  <c r="U52" i="26"/>
  <c r="CN53" i="28"/>
  <c r="BF53" i="28"/>
  <c r="AT53" i="28"/>
  <c r="AM53" i="26"/>
  <c r="AF55" i="28" l="1"/>
  <c r="Q55" i="28"/>
  <c r="M55" i="26"/>
  <c r="K55" i="26"/>
  <c r="L54" i="28"/>
  <c r="Y55" i="31"/>
  <c r="W55" i="31"/>
  <c r="AK55" i="31"/>
  <c r="AI55" i="31"/>
  <c r="AC55" i="31"/>
  <c r="AE53" i="54"/>
  <c r="CA53" i="54"/>
  <c r="CM53" i="54"/>
  <c r="CY54" i="54"/>
  <c r="S54" i="54"/>
  <c r="CE54" i="54"/>
  <c r="DC54" i="54"/>
  <c r="BG54" i="54"/>
  <c r="W54" i="54"/>
  <c r="CQ54" i="54"/>
  <c r="AU54" i="54"/>
  <c r="AI54" i="54"/>
  <c r="CY53" i="54"/>
  <c r="BC53" i="54"/>
  <c r="AQ53" i="54"/>
  <c r="AG53" i="54"/>
  <c r="CC53" i="54"/>
  <c r="AA53" i="54"/>
  <c r="CW53" i="54"/>
  <c r="Y53" i="54"/>
  <c r="M53" i="54"/>
  <c r="BI53" i="54"/>
  <c r="Q53" i="54"/>
  <c r="AC53" i="54"/>
  <c r="O53" i="54"/>
  <c r="C53" i="54"/>
  <c r="CG53" i="54"/>
  <c r="CS53" i="54"/>
  <c r="BW53" i="54"/>
  <c r="K54" i="54"/>
  <c r="CU54" i="54"/>
  <c r="BQ54" i="54"/>
  <c r="BM54" i="54"/>
  <c r="CS54" i="54"/>
  <c r="O54" i="54"/>
  <c r="AO54" i="54"/>
  <c r="AG54" i="54"/>
  <c r="I54" i="54"/>
  <c r="BW54" i="54"/>
  <c r="Q54" i="54"/>
  <c r="AC54" i="54"/>
  <c r="AS54" i="54"/>
  <c r="BU54" i="54"/>
  <c r="CW54" i="54"/>
  <c r="AY54" i="54"/>
  <c r="BI54" i="54"/>
  <c r="Y54" i="54"/>
  <c r="U54" i="54"/>
  <c r="AM54" i="54"/>
  <c r="DA54" i="54"/>
  <c r="E54" i="54"/>
  <c r="CC54" i="54"/>
  <c r="BA54" i="54"/>
  <c r="A55" i="54"/>
  <c r="CK54" i="54"/>
  <c r="C54" i="54"/>
  <c r="BE54" i="54"/>
  <c r="CI54" i="54"/>
  <c r="G54" i="54"/>
  <c r="CU53" i="54"/>
  <c r="I53" i="54"/>
  <c r="AY53" i="54"/>
  <c r="E53" i="54"/>
  <c r="G53" i="54"/>
  <c r="BE53" i="54"/>
  <c r="AW53" i="54"/>
  <c r="AZ55" i="32"/>
  <c r="AJ55" i="32"/>
  <c r="AI55" i="32"/>
  <c r="F55" i="32"/>
  <c r="BB55" i="32"/>
  <c r="C55" i="32"/>
  <c r="AD55" i="32"/>
  <c r="AE55" i="32"/>
  <c r="M55" i="32"/>
  <c r="N55" i="32" s="1"/>
  <c r="U55" i="32"/>
  <c r="W54" i="32"/>
  <c r="V54" i="32"/>
  <c r="AU55" i="32"/>
  <c r="AT55" i="32"/>
  <c r="AQ55" i="32"/>
  <c r="O53" i="32"/>
  <c r="O54" i="32"/>
  <c r="A57" i="32"/>
  <c r="AM55" i="32"/>
  <c r="AL55" i="32"/>
  <c r="AA55" i="32"/>
  <c r="R55" i="32"/>
  <c r="J55" i="32"/>
  <c r="K55" i="32" s="1"/>
  <c r="AB55" i="32"/>
  <c r="S54" i="32"/>
  <c r="AY55" i="32"/>
  <c r="AY52" i="31"/>
  <c r="AX52" i="31"/>
  <c r="P54" i="31"/>
  <c r="Q54" i="31" s="1"/>
  <c r="D54" i="31"/>
  <c r="E54" i="31" s="1"/>
  <c r="L54" i="31"/>
  <c r="M54" i="31" s="1"/>
  <c r="AV53" i="31"/>
  <c r="AZ53" i="31" s="1"/>
  <c r="AQ53" i="31"/>
  <c r="AI54" i="31"/>
  <c r="AU53" i="31"/>
  <c r="AY53" i="31" s="1"/>
  <c r="AP54" i="31"/>
  <c r="BG54" i="31"/>
  <c r="AG54" i="31"/>
  <c r="AW53" i="31"/>
  <c r="AS53" i="31"/>
  <c r="A56" i="31"/>
  <c r="BM55" i="31"/>
  <c r="BO55" i="31"/>
  <c r="BQ55" i="31"/>
  <c r="BC54" i="31"/>
  <c r="AL54" i="31"/>
  <c r="J54" i="31"/>
  <c r="K54" i="31" s="1"/>
  <c r="B54" i="31"/>
  <c r="C54" i="31" s="1"/>
  <c r="N54" i="31"/>
  <c r="O54" i="31" s="1"/>
  <c r="BI54" i="31"/>
  <c r="AR54" i="31"/>
  <c r="S54" i="31"/>
  <c r="BE54" i="31"/>
  <c r="AN54" i="31"/>
  <c r="Q53" i="31"/>
  <c r="AT53" i="31"/>
  <c r="AX53" i="31" s="1"/>
  <c r="G54" i="31"/>
  <c r="G53" i="31"/>
  <c r="M53" i="31"/>
  <c r="C53" i="31"/>
  <c r="AE54" i="31"/>
  <c r="E53" i="31"/>
  <c r="K53" i="31"/>
  <c r="Q54" i="26"/>
  <c r="C53" i="26"/>
  <c r="BA55" i="28"/>
  <c r="AE53" i="26"/>
  <c r="AA53" i="26"/>
  <c r="BT55" i="28"/>
  <c r="AS55" i="28"/>
  <c r="X55" i="28"/>
  <c r="X54" i="26"/>
  <c r="I54" i="28"/>
  <c r="BK53" i="28"/>
  <c r="BJ53" i="28"/>
  <c r="AD53" i="26"/>
  <c r="Y53" i="26"/>
  <c r="E55" i="28"/>
  <c r="BZ56" i="28"/>
  <c r="A57" i="28"/>
  <c r="BR56" i="28"/>
  <c r="I53" i="26"/>
  <c r="AH52" i="26"/>
  <c r="BT54" i="28"/>
  <c r="V55" i="28"/>
  <c r="O54" i="26"/>
  <c r="T54" i="26"/>
  <c r="BG54" i="28"/>
  <c r="CR55" i="28"/>
  <c r="CP55" i="28"/>
  <c r="B54" i="26"/>
  <c r="C54" i="26" s="1"/>
  <c r="F54" i="26"/>
  <c r="G54" i="26" s="1"/>
  <c r="H54" i="26"/>
  <c r="BH54" i="28"/>
  <c r="BL54" i="28" s="1"/>
  <c r="BB54" i="28"/>
  <c r="S54" i="26"/>
  <c r="AR53" i="28"/>
  <c r="AH54" i="28"/>
  <c r="X54" i="28"/>
  <c r="AK54" i="26"/>
  <c r="AC54" i="28"/>
  <c r="K54" i="26"/>
  <c r="C55" i="28"/>
  <c r="AO55" i="28"/>
  <c r="AP55" i="28" s="1"/>
  <c r="BN55" i="28"/>
  <c r="AY54" i="26"/>
  <c r="AS54" i="26"/>
  <c r="BI53" i="28"/>
  <c r="AX54" i="28"/>
  <c r="CF54" i="28"/>
  <c r="BE54" i="28"/>
  <c r="AP54" i="28"/>
  <c r="CD55" i="28"/>
  <c r="AW55" i="28"/>
  <c r="BV55" i="28"/>
  <c r="V54" i="26"/>
  <c r="W54" i="26" s="1"/>
  <c r="BF54" i="28"/>
  <c r="CB54" i="28"/>
  <c r="AA55" i="28"/>
  <c r="AO54" i="26"/>
  <c r="AV53" i="28"/>
  <c r="CR54" i="28"/>
  <c r="AB53" i="26"/>
  <c r="CJ54" i="28"/>
  <c r="AF52" i="26"/>
  <c r="AC53" i="26"/>
  <c r="BP54" i="28"/>
  <c r="AM54" i="28"/>
  <c r="CL55" i="28"/>
  <c r="K55" i="28"/>
  <c r="AK55" i="26"/>
  <c r="A56" i="26"/>
  <c r="AQ55" i="26"/>
  <c r="Z54" i="26"/>
  <c r="AK55" i="28"/>
  <c r="AW54" i="26"/>
  <c r="BD53" i="28"/>
  <c r="CH55" i="28"/>
  <c r="AF56" i="28" l="1"/>
  <c r="O56" i="26"/>
  <c r="M56" i="26"/>
  <c r="K56" i="26"/>
  <c r="S56" i="26"/>
  <c r="AA56" i="31"/>
  <c r="W56" i="31"/>
  <c r="AI56" i="31"/>
  <c r="AC56" i="31"/>
  <c r="CE55" i="54"/>
  <c r="DC55" i="54"/>
  <c r="CQ55" i="54"/>
  <c r="W55" i="54"/>
  <c r="BG55" i="54"/>
  <c r="AI55" i="54"/>
  <c r="AU55" i="54"/>
  <c r="S55" i="54"/>
  <c r="BC54" i="54"/>
  <c r="AQ54" i="54"/>
  <c r="CM54" i="54"/>
  <c r="AE54" i="54"/>
  <c r="CA54" i="54"/>
  <c r="CO54" i="54"/>
  <c r="K55" i="54"/>
  <c r="BY55" i="54"/>
  <c r="DE55" i="54"/>
  <c r="AK55" i="54"/>
  <c r="AW55" i="54"/>
  <c r="AA55" i="54"/>
  <c r="AG55" i="54"/>
  <c r="AC55" i="54"/>
  <c r="A56" i="54"/>
  <c r="U55" i="54"/>
  <c r="AY55" i="54"/>
  <c r="CO55" i="54"/>
  <c r="BK55" i="54"/>
  <c r="M55" i="54"/>
  <c r="CG55" i="54"/>
  <c r="E55" i="54"/>
  <c r="DA55" i="54"/>
  <c r="BW55" i="54"/>
  <c r="CS55" i="54"/>
  <c r="CW55" i="54"/>
  <c r="CU55" i="54"/>
  <c r="BI55" i="54"/>
  <c r="CK55" i="54"/>
  <c r="Y55" i="54"/>
  <c r="O55" i="54"/>
  <c r="AK54" i="54"/>
  <c r="BY54" i="54"/>
  <c r="DE54" i="54"/>
  <c r="AW54" i="54"/>
  <c r="CG54" i="54"/>
  <c r="AA54" i="54"/>
  <c r="BK54" i="54"/>
  <c r="M54" i="54"/>
  <c r="T54" i="32"/>
  <c r="AL56" i="32"/>
  <c r="AY56" i="32"/>
  <c r="AZ56" i="32"/>
  <c r="BC55" i="32"/>
  <c r="AE56" i="32"/>
  <c r="M56" i="32"/>
  <c r="U56" i="32"/>
  <c r="BB56" i="32"/>
  <c r="F56" i="32"/>
  <c r="C56" i="32"/>
  <c r="V55" i="32"/>
  <c r="W55" i="32"/>
  <c r="AT56" i="32"/>
  <c r="AU56" i="32"/>
  <c r="Q55" i="32"/>
  <c r="G55" i="32"/>
  <c r="S55" i="32"/>
  <c r="T55" i="32"/>
  <c r="A58" i="32"/>
  <c r="AB56" i="32"/>
  <c r="R56" i="32"/>
  <c r="J56" i="32"/>
  <c r="K56" i="32" s="1"/>
  <c r="AA56" i="32"/>
  <c r="AJ56" i="32"/>
  <c r="AI56" i="32"/>
  <c r="P55" i="32"/>
  <c r="L55" i="32" s="1"/>
  <c r="D55" i="32"/>
  <c r="AD56" i="32"/>
  <c r="AQ56" i="32"/>
  <c r="AR56" i="32"/>
  <c r="BA53" i="31"/>
  <c r="AU54" i="31"/>
  <c r="AY54" i="31" s="1"/>
  <c r="AO54" i="31"/>
  <c r="AL55" i="31"/>
  <c r="BC55" i="31"/>
  <c r="BK55" i="31"/>
  <c r="J55" i="31"/>
  <c r="K55" i="31" s="1"/>
  <c r="N55" i="31"/>
  <c r="B55" i="31"/>
  <c r="BG55" i="31"/>
  <c r="AP55" i="31"/>
  <c r="I54" i="31"/>
  <c r="AW54" i="31"/>
  <c r="AS54" i="31"/>
  <c r="AA55" i="31"/>
  <c r="AQ54" i="31"/>
  <c r="AV54" i="31"/>
  <c r="AZ54" i="31" s="1"/>
  <c r="AR55" i="31"/>
  <c r="BI55" i="31"/>
  <c r="S55" i="31"/>
  <c r="AM54" i="31"/>
  <c r="AT54" i="31"/>
  <c r="AX54" i="31" s="1"/>
  <c r="P55" i="31"/>
  <c r="L55" i="31"/>
  <c r="D55" i="31"/>
  <c r="U55" i="31"/>
  <c r="BK56" i="31"/>
  <c r="BM56" i="31"/>
  <c r="BO56" i="31"/>
  <c r="A57" i="31"/>
  <c r="AN55" i="31"/>
  <c r="BE55" i="31"/>
  <c r="AE55" i="31"/>
  <c r="G55" i="31"/>
  <c r="I55" i="31"/>
  <c r="AG55" i="31"/>
  <c r="O55" i="26"/>
  <c r="AS56" i="26"/>
  <c r="AQ56" i="26"/>
  <c r="AO56" i="26"/>
  <c r="AK56" i="26"/>
  <c r="AU56" i="26"/>
  <c r="A57" i="26"/>
  <c r="AY56" i="26"/>
  <c r="CJ55" i="28"/>
  <c r="AG53" i="26"/>
  <c r="AS55" i="26"/>
  <c r="AH55" i="28"/>
  <c r="BK54" i="28"/>
  <c r="E56" i="28"/>
  <c r="C56" i="28"/>
  <c r="AM56" i="28"/>
  <c r="AK56" i="28"/>
  <c r="AA54" i="26"/>
  <c r="CB55" i="28"/>
  <c r="T55" i="26"/>
  <c r="S55" i="26"/>
  <c r="BR57" i="28"/>
  <c r="BN57" i="28"/>
  <c r="A58" i="28"/>
  <c r="CP57" i="28"/>
  <c r="X55" i="26"/>
  <c r="AO55" i="26"/>
  <c r="AC54" i="26"/>
  <c r="CF55" i="28"/>
  <c r="H55" i="28"/>
  <c r="CF56" i="28"/>
  <c r="CD56" i="28"/>
  <c r="BA56" i="28"/>
  <c r="AE54" i="26"/>
  <c r="AF53" i="26"/>
  <c r="CN55" i="28"/>
  <c r="BE55" i="28"/>
  <c r="BI55" i="28" s="1"/>
  <c r="BX56" i="28"/>
  <c r="AW56" i="28"/>
  <c r="BV56" i="28"/>
  <c r="CH56" i="28"/>
  <c r="J54" i="28"/>
  <c r="BP55" i="28"/>
  <c r="I54" i="26"/>
  <c r="AC55" i="28"/>
  <c r="V56" i="28"/>
  <c r="AA56" i="28"/>
  <c r="AD54" i="26"/>
  <c r="BF55" i="28"/>
  <c r="AT55" i="28"/>
  <c r="AI53" i="26"/>
  <c r="Y54" i="26"/>
  <c r="AU55" i="26"/>
  <c r="AY55" i="26"/>
  <c r="F55" i="26"/>
  <c r="G55" i="26" s="1"/>
  <c r="H55" i="26"/>
  <c r="I55" i="26" s="1"/>
  <c r="B55" i="26"/>
  <c r="C55" i="26" s="1"/>
  <c r="AV54" i="28"/>
  <c r="AB54" i="26"/>
  <c r="U54" i="26"/>
  <c r="CL56" i="28"/>
  <c r="S55" i="28"/>
  <c r="AW55" i="26"/>
  <c r="V55" i="26"/>
  <c r="W55" i="26" s="1"/>
  <c r="AM55" i="26"/>
  <c r="L55" i="28"/>
  <c r="BJ54" i="28"/>
  <c r="BG55" i="28"/>
  <c r="AX55" i="28"/>
  <c r="AR54" i="28"/>
  <c r="N54" i="28"/>
  <c r="AZ54" i="28"/>
  <c r="AM55" i="28"/>
  <c r="AO56" i="28"/>
  <c r="BN56" i="28"/>
  <c r="K56" i="28"/>
  <c r="I55" i="28"/>
  <c r="BH55" i="28"/>
  <c r="BL55" i="28" s="1"/>
  <c r="BB55" i="28"/>
  <c r="Z55" i="26"/>
  <c r="Q55" i="26"/>
  <c r="BX55" i="28"/>
  <c r="BI54" i="28"/>
  <c r="BD54" i="28"/>
  <c r="AS56" i="28"/>
  <c r="CP56" i="28"/>
  <c r="AH53" i="26"/>
  <c r="Q56" i="28"/>
  <c r="C57" i="28" l="1"/>
  <c r="AA57" i="28"/>
  <c r="AA57" i="32"/>
  <c r="W57" i="31"/>
  <c r="AI57" i="31"/>
  <c r="AE57" i="31"/>
  <c r="AC57" i="31"/>
  <c r="AA57" i="31"/>
  <c r="AK57" i="31"/>
  <c r="Y57" i="31"/>
  <c r="AJ58" i="32"/>
  <c r="BC57" i="32"/>
  <c r="CA55" i="54"/>
  <c r="CM55" i="54"/>
  <c r="CY55" i="54"/>
  <c r="AQ55" i="54"/>
  <c r="AE56" i="54"/>
  <c r="CE56" i="54"/>
  <c r="DC56" i="54"/>
  <c r="CQ56" i="54"/>
  <c r="AU56" i="54"/>
  <c r="BG56" i="54"/>
  <c r="W56" i="54"/>
  <c r="AI56" i="54"/>
  <c r="AE55" i="54"/>
  <c r="BC55" i="54"/>
  <c r="Q55" i="54"/>
  <c r="G55" i="54"/>
  <c r="AS55" i="54"/>
  <c r="BA55" i="54"/>
  <c r="K56" i="54"/>
  <c r="BW56" i="54"/>
  <c r="C56" i="54"/>
  <c r="BY56" i="54"/>
  <c r="BI56" i="54"/>
  <c r="AS56" i="54"/>
  <c r="BK56" i="54"/>
  <c r="CU56" i="54"/>
  <c r="BU56" i="54"/>
  <c r="AW56" i="54"/>
  <c r="DE56" i="54"/>
  <c r="BA56" i="54"/>
  <c r="Q56" i="54"/>
  <c r="CO56" i="54"/>
  <c r="AA56" i="54"/>
  <c r="U56" i="54"/>
  <c r="M56" i="54"/>
  <c r="AM56" i="54"/>
  <c r="A57" i="54"/>
  <c r="DA56" i="54"/>
  <c r="CC56" i="54"/>
  <c r="CW56" i="54"/>
  <c r="CK56" i="54"/>
  <c r="BE56" i="54"/>
  <c r="AY56" i="54"/>
  <c r="BQ56" i="54"/>
  <c r="I56" i="54"/>
  <c r="CI56" i="54"/>
  <c r="AO56" i="54"/>
  <c r="Y56" i="54"/>
  <c r="CC55" i="54"/>
  <c r="BM55" i="54"/>
  <c r="I55" i="54"/>
  <c r="BQ55" i="54"/>
  <c r="C55" i="54"/>
  <c r="BE55" i="54"/>
  <c r="BU55" i="54"/>
  <c r="CI55" i="54"/>
  <c r="AO55" i="54"/>
  <c r="AM55" i="54"/>
  <c r="AM57" i="32"/>
  <c r="C57" i="32"/>
  <c r="AM56" i="32"/>
  <c r="F57" i="32"/>
  <c r="AL57" i="32"/>
  <c r="BB57" i="32"/>
  <c r="T56" i="32"/>
  <c r="S56" i="32"/>
  <c r="U57" i="32"/>
  <c r="M57" i="32"/>
  <c r="N57" i="32" s="1"/>
  <c r="AE57" i="32"/>
  <c r="AD57" i="32"/>
  <c r="AP56" i="31"/>
  <c r="AQ56" i="31" s="1"/>
  <c r="J57" i="32"/>
  <c r="K57" i="32" s="1"/>
  <c r="AB57" i="32"/>
  <c r="R57" i="32"/>
  <c r="V56" i="32"/>
  <c r="A59" i="32"/>
  <c r="D56" i="32"/>
  <c r="P56" i="32"/>
  <c r="L56" i="32" s="1"/>
  <c r="N56" i="32"/>
  <c r="AY57" i="32"/>
  <c r="AZ57" i="32"/>
  <c r="AT57" i="32"/>
  <c r="O55" i="32"/>
  <c r="AJ57" i="32"/>
  <c r="AQ57" i="32"/>
  <c r="AR57" i="32"/>
  <c r="Q56" i="32"/>
  <c r="O56" i="32" s="1"/>
  <c r="G56" i="32"/>
  <c r="BC56" i="32"/>
  <c r="AI57" i="32"/>
  <c r="BA54" i="31"/>
  <c r="N56" i="31"/>
  <c r="O56" i="31" s="1"/>
  <c r="J56" i="31"/>
  <c r="K56" i="31" s="1"/>
  <c r="B56" i="31"/>
  <c r="C56" i="31" s="1"/>
  <c r="E55" i="31"/>
  <c r="M55" i="31"/>
  <c r="Q55" i="31"/>
  <c r="AV55" i="31"/>
  <c r="AQ55" i="31"/>
  <c r="BQ56" i="31"/>
  <c r="BG56" i="31"/>
  <c r="Y56" i="31"/>
  <c r="AE56" i="31"/>
  <c r="AL56" i="31"/>
  <c r="BC56" i="31"/>
  <c r="C55" i="31"/>
  <c r="S56" i="31"/>
  <c r="O55" i="31"/>
  <c r="AK56" i="31"/>
  <c r="AR56" i="31"/>
  <c r="BI56" i="31"/>
  <c r="AU55" i="31"/>
  <c r="AY55" i="31" s="1"/>
  <c r="AO55" i="31"/>
  <c r="AS55" i="31"/>
  <c r="AW55" i="31"/>
  <c r="U56" i="31"/>
  <c r="P56" i="31"/>
  <c r="Q56" i="31" s="1"/>
  <c r="L56" i="31"/>
  <c r="M56" i="31" s="1"/>
  <c r="D56" i="31"/>
  <c r="E56" i="31" s="1"/>
  <c r="AN56" i="31"/>
  <c r="BE56" i="31"/>
  <c r="AM55" i="31"/>
  <c r="AT55" i="31"/>
  <c r="A58" i="31"/>
  <c r="BQ57" i="31"/>
  <c r="BM57" i="31"/>
  <c r="BO57" i="31"/>
  <c r="BK57" i="31"/>
  <c r="AG56" i="31"/>
  <c r="BF56" i="28"/>
  <c r="AT56" i="28"/>
  <c r="J55" i="28"/>
  <c r="CJ56" i="28"/>
  <c r="CB56" i="28"/>
  <c r="X57" i="28"/>
  <c r="V57" i="28"/>
  <c r="AW57" i="28"/>
  <c r="AX57" i="28" s="1"/>
  <c r="BV57" i="28"/>
  <c r="I56" i="28"/>
  <c r="A58" i="26"/>
  <c r="AS57" i="26"/>
  <c r="AV55" i="28"/>
  <c r="CN56" i="28"/>
  <c r="K57" i="28"/>
  <c r="H57" i="28"/>
  <c r="Q57" i="28"/>
  <c r="CD57" i="28"/>
  <c r="Z56" i="26"/>
  <c r="AA56" i="26" s="1"/>
  <c r="BT56" i="28"/>
  <c r="BE56" i="28"/>
  <c r="AP56" i="28"/>
  <c r="L56" i="28"/>
  <c r="AC55" i="26"/>
  <c r="AI54" i="26"/>
  <c r="BJ55" i="28"/>
  <c r="AF54" i="26"/>
  <c r="AD55" i="26"/>
  <c r="Y55" i="26"/>
  <c r="BA57" i="28"/>
  <c r="BB57" i="28" s="1"/>
  <c r="BZ57" i="28"/>
  <c r="V56" i="26"/>
  <c r="AM56" i="26"/>
  <c r="Q56" i="26"/>
  <c r="AE55" i="26"/>
  <c r="BP56" i="28"/>
  <c r="S56" i="28"/>
  <c r="AH54" i="26"/>
  <c r="AC56" i="28"/>
  <c r="CR57" i="28"/>
  <c r="AK57" i="28"/>
  <c r="E55" i="26"/>
  <c r="E56" i="26"/>
  <c r="N56" i="28"/>
  <c r="X56" i="28"/>
  <c r="AR55" i="28"/>
  <c r="AG54" i="26"/>
  <c r="A59" i="28"/>
  <c r="CH57" i="28"/>
  <c r="AB55" i="26"/>
  <c r="U55" i="26"/>
  <c r="H56" i="28"/>
  <c r="H56" i="26"/>
  <c r="F56" i="26"/>
  <c r="B56" i="26"/>
  <c r="CR56" i="28"/>
  <c r="BD55" i="28"/>
  <c r="AZ55" i="28"/>
  <c r="BG56" i="28"/>
  <c r="AX56" i="28"/>
  <c r="AO57" i="28"/>
  <c r="E57" i="28"/>
  <c r="T56" i="26"/>
  <c r="BK55" i="28"/>
  <c r="AH56" i="28"/>
  <c r="N55" i="28"/>
  <c r="AS57" i="28"/>
  <c r="AW56" i="26"/>
  <c r="AA55" i="26"/>
  <c r="BH56" i="28"/>
  <c r="BB56" i="28"/>
  <c r="CL57" i="28"/>
  <c r="AH57" i="28"/>
  <c r="AF57" i="28"/>
  <c r="X56" i="26"/>
  <c r="AA58" i="28" l="1"/>
  <c r="AF58" i="28"/>
  <c r="AR59" i="32"/>
  <c r="K58" i="26"/>
  <c r="AI58" i="31"/>
  <c r="AC58" i="31"/>
  <c r="AA58" i="31"/>
  <c r="Y58" i="31"/>
  <c r="W58" i="31"/>
  <c r="AK58" i="31"/>
  <c r="AQ56" i="54"/>
  <c r="BC56" i="54"/>
  <c r="CY57" i="54"/>
  <c r="CM57" i="54"/>
  <c r="CA57" i="54"/>
  <c r="BC57" i="54"/>
  <c r="DC57" i="54"/>
  <c r="AQ57" i="54"/>
  <c r="CQ57" i="54"/>
  <c r="AU57" i="54"/>
  <c r="AI57" i="54"/>
  <c r="BG57" i="54"/>
  <c r="W57" i="54"/>
  <c r="CE57" i="54"/>
  <c r="CM56" i="54"/>
  <c r="CY56" i="54"/>
  <c r="CA56" i="54"/>
  <c r="S56" i="54"/>
  <c r="K57" i="54"/>
  <c r="CW57" i="54"/>
  <c r="I57" i="54"/>
  <c r="CU57" i="54"/>
  <c r="Q57" i="54"/>
  <c r="C57" i="54"/>
  <c r="AS57" i="54"/>
  <c r="CS57" i="54"/>
  <c r="AG57" i="54"/>
  <c r="BK57" i="54"/>
  <c r="BI57" i="54"/>
  <c r="A58" i="54"/>
  <c r="BM57" i="54"/>
  <c r="AC57" i="54"/>
  <c r="E57" i="54"/>
  <c r="BQ57" i="54"/>
  <c r="CC57" i="54"/>
  <c r="G57" i="54"/>
  <c r="BE57" i="54"/>
  <c r="CG56" i="54"/>
  <c r="E56" i="54"/>
  <c r="O56" i="54"/>
  <c r="AC56" i="54"/>
  <c r="AG56" i="54"/>
  <c r="AK56" i="54"/>
  <c r="CS56" i="54"/>
  <c r="G56" i="54"/>
  <c r="BM56" i="54"/>
  <c r="AR58" i="32"/>
  <c r="F58" i="32"/>
  <c r="C58" i="32"/>
  <c r="S57" i="32"/>
  <c r="T57" i="32"/>
  <c r="W57" i="32"/>
  <c r="V57" i="32"/>
  <c r="Q57" i="32"/>
  <c r="O57" i="32" s="1"/>
  <c r="G57" i="32"/>
  <c r="BC58" i="32"/>
  <c r="BB58" i="32"/>
  <c r="AU57" i="32"/>
  <c r="AA58" i="32"/>
  <c r="R58" i="32"/>
  <c r="AB58" i="32"/>
  <c r="J58" i="32"/>
  <c r="K58" i="32" s="1"/>
  <c r="A60" i="32"/>
  <c r="P57" i="32"/>
  <c r="L57" i="32" s="1"/>
  <c r="D57" i="32"/>
  <c r="AM58" i="32"/>
  <c r="AL58" i="32"/>
  <c r="AZ58" i="32"/>
  <c r="AU58" i="32"/>
  <c r="AT58" i="32"/>
  <c r="AE58" i="32"/>
  <c r="U58" i="32"/>
  <c r="M58" i="32"/>
  <c r="N58" i="32" s="1"/>
  <c r="AD58" i="32"/>
  <c r="AI58" i="32"/>
  <c r="AY58" i="32"/>
  <c r="W56" i="32"/>
  <c r="AQ58" i="32"/>
  <c r="AW56" i="31"/>
  <c r="BA56" i="31" s="1"/>
  <c r="AZ55" i="31"/>
  <c r="AX55" i="31"/>
  <c r="BA55" i="31"/>
  <c r="N57" i="31"/>
  <c r="B57" i="31"/>
  <c r="J57" i="31"/>
  <c r="BK58" i="31"/>
  <c r="BQ58" i="31"/>
  <c r="BM58" i="31"/>
  <c r="A59" i="31"/>
  <c r="BO58" i="31"/>
  <c r="I57" i="31"/>
  <c r="AG57" i="31"/>
  <c r="S57" i="31"/>
  <c r="AN57" i="31"/>
  <c r="AO57" i="31" s="1"/>
  <c r="BE57" i="31"/>
  <c r="AO56" i="31"/>
  <c r="AU56" i="31"/>
  <c r="AY56" i="31" s="1"/>
  <c r="BI57" i="31"/>
  <c r="AR57" i="31"/>
  <c r="G56" i="31"/>
  <c r="P57" i="31"/>
  <c r="Q57" i="31" s="1"/>
  <c r="D57" i="31"/>
  <c r="E57" i="31" s="1"/>
  <c r="L57" i="31"/>
  <c r="M57" i="31" s="1"/>
  <c r="U57" i="31"/>
  <c r="AM56" i="31"/>
  <c r="AT56" i="31"/>
  <c r="AX56" i="31" s="1"/>
  <c r="I56" i="31"/>
  <c r="AL57" i="31"/>
  <c r="BC57" i="31"/>
  <c r="AS56" i="31"/>
  <c r="AP57" i="31"/>
  <c r="BG57" i="31"/>
  <c r="G57" i="31"/>
  <c r="AV56" i="31"/>
  <c r="AZ56" i="31" s="1"/>
  <c r="E57" i="26"/>
  <c r="AT57" i="28"/>
  <c r="AR57" i="28"/>
  <c r="BE57" i="28"/>
  <c r="AP57" i="28"/>
  <c r="CB58" i="28"/>
  <c r="BA58" i="28"/>
  <c r="BZ58" i="28"/>
  <c r="CL58" i="28"/>
  <c r="Q58" i="28"/>
  <c r="T57" i="26"/>
  <c r="AK57" i="26"/>
  <c r="Z57" i="26"/>
  <c r="BD56" i="28"/>
  <c r="AB56" i="26"/>
  <c r="AF56" i="26" s="1"/>
  <c r="U56" i="26"/>
  <c r="BP57" i="28"/>
  <c r="AW58" i="28"/>
  <c r="BV58" i="28"/>
  <c r="V58" i="28"/>
  <c r="AH55" i="26"/>
  <c r="AI55" i="26"/>
  <c r="BH57" i="28"/>
  <c r="Y56" i="26"/>
  <c r="H57" i="26"/>
  <c r="F57" i="26"/>
  <c r="G57" i="26" s="1"/>
  <c r="B57" i="26"/>
  <c r="C57" i="26" s="1"/>
  <c r="K57" i="26"/>
  <c r="BG57" i="28"/>
  <c r="BK57" i="28" s="1"/>
  <c r="BF57" i="28"/>
  <c r="BJ57" i="28" s="1"/>
  <c r="AV57" i="28"/>
  <c r="CJ57" i="28"/>
  <c r="CF58" i="28"/>
  <c r="CD58" i="28"/>
  <c r="BP58" i="28"/>
  <c r="AO58" i="28"/>
  <c r="AP58" i="28" s="1"/>
  <c r="BN58" i="28"/>
  <c r="CN57" i="28"/>
  <c r="AK58" i="28"/>
  <c r="AY57" i="26"/>
  <c r="BJ56" i="28"/>
  <c r="AQ57" i="26"/>
  <c r="AZ56" i="28"/>
  <c r="E58" i="28"/>
  <c r="C58" i="28"/>
  <c r="A60" i="28"/>
  <c r="AR56" i="28"/>
  <c r="S57" i="28"/>
  <c r="O57" i="26"/>
  <c r="X57" i="26"/>
  <c r="AO57" i="26"/>
  <c r="BX57" i="28"/>
  <c r="AV56" i="28"/>
  <c r="BT57" i="28"/>
  <c r="G56" i="26"/>
  <c r="AH58" i="28"/>
  <c r="BK56" i="28"/>
  <c r="CB57" i="28"/>
  <c r="AM57" i="28"/>
  <c r="AC56" i="26"/>
  <c r="AG56" i="26" s="1"/>
  <c r="W56" i="26"/>
  <c r="M57" i="26"/>
  <c r="AW57" i="26"/>
  <c r="S57" i="26"/>
  <c r="AD56" i="26"/>
  <c r="I57" i="28"/>
  <c r="I56" i="26"/>
  <c r="AS58" i="28"/>
  <c r="AT58" i="28" s="1"/>
  <c r="BR58" i="28"/>
  <c r="CH58" i="28"/>
  <c r="BI56" i="28"/>
  <c r="C56" i="26"/>
  <c r="A59" i="26"/>
  <c r="AM58" i="26"/>
  <c r="AU58" i="26"/>
  <c r="BL56" i="28"/>
  <c r="AC57" i="28"/>
  <c r="X58" i="28"/>
  <c r="CF57" i="28"/>
  <c r="AU57" i="26"/>
  <c r="J56" i="28"/>
  <c r="AG55" i="26"/>
  <c r="L57" i="28"/>
  <c r="AF55" i="26"/>
  <c r="K58" i="28"/>
  <c r="CP58" i="28"/>
  <c r="AE56" i="26"/>
  <c r="V57" i="26"/>
  <c r="W57" i="26" s="1"/>
  <c r="AM57" i="26"/>
  <c r="Q57" i="26"/>
  <c r="Q59" i="28" l="1"/>
  <c r="AA59" i="28"/>
  <c r="V59" i="28"/>
  <c r="AF59" i="28"/>
  <c r="C59" i="28"/>
  <c r="O59" i="26"/>
  <c r="M59" i="26"/>
  <c r="K59" i="26"/>
  <c r="S59" i="26"/>
  <c r="G59" i="31"/>
  <c r="AA59" i="31"/>
  <c r="Y59" i="31"/>
  <c r="W59" i="31"/>
  <c r="AK59" i="31"/>
  <c r="AI59" i="31"/>
  <c r="AC59" i="31"/>
  <c r="W58" i="32"/>
  <c r="AM60" i="32"/>
  <c r="P60" i="32"/>
  <c r="AE57" i="54"/>
  <c r="S57" i="54"/>
  <c r="CY58" i="54"/>
  <c r="CM58" i="54"/>
  <c r="CQ58" i="54"/>
  <c r="S58" i="54"/>
  <c r="CE58" i="54"/>
  <c r="AI58" i="54"/>
  <c r="BG58" i="54"/>
  <c r="AU58" i="54"/>
  <c r="DC58" i="54"/>
  <c r="W58" i="54"/>
  <c r="DE57" i="54"/>
  <c r="AO57" i="54"/>
  <c r="BA57" i="54"/>
  <c r="AA57" i="54"/>
  <c r="Y57" i="54"/>
  <c r="CO57" i="54"/>
  <c r="DA57" i="54"/>
  <c r="CI57" i="54"/>
  <c r="AY57" i="54"/>
  <c r="AW57" i="54"/>
  <c r="BY57" i="54"/>
  <c r="U57" i="54"/>
  <c r="BW57" i="54"/>
  <c r="CG57" i="54"/>
  <c r="BU57" i="54"/>
  <c r="M57" i="54"/>
  <c r="O57" i="54"/>
  <c r="AM57" i="54"/>
  <c r="CK57" i="54"/>
  <c r="K58" i="54"/>
  <c r="CW58" i="54"/>
  <c r="CU58" i="54"/>
  <c r="CI58" i="54"/>
  <c r="E58" i="54"/>
  <c r="AM58" i="54"/>
  <c r="DA58" i="54"/>
  <c r="AK58" i="54"/>
  <c r="Y58" i="54"/>
  <c r="I58" i="54"/>
  <c r="CC58" i="54"/>
  <c r="CS58" i="54"/>
  <c r="Q58" i="54"/>
  <c r="CO58" i="54"/>
  <c r="BM58" i="54"/>
  <c r="A59" i="54"/>
  <c r="CG58" i="54"/>
  <c r="O58" i="54"/>
  <c r="BY58" i="54"/>
  <c r="AK57" i="54"/>
  <c r="AQ59" i="32"/>
  <c r="AM59" i="32"/>
  <c r="AI59" i="32"/>
  <c r="AJ59" i="32"/>
  <c r="F59" i="32"/>
  <c r="A61" i="32"/>
  <c r="AY59" i="32"/>
  <c r="AZ59" i="32"/>
  <c r="C59" i="32"/>
  <c r="P58" i="32"/>
  <c r="L58" i="32" s="1"/>
  <c r="D58" i="32"/>
  <c r="AU59" i="32"/>
  <c r="J59" i="32"/>
  <c r="K59" i="32" s="1"/>
  <c r="AA59" i="32"/>
  <c r="R59" i="32"/>
  <c r="AB59" i="32"/>
  <c r="S58" i="32"/>
  <c r="T58" i="32"/>
  <c r="BB59" i="32"/>
  <c r="BC59" i="32"/>
  <c r="G58" i="32"/>
  <c r="Q58" i="32"/>
  <c r="O58" i="32" s="1"/>
  <c r="AT59" i="32"/>
  <c r="AE59" i="32"/>
  <c r="U59" i="32"/>
  <c r="M59" i="32"/>
  <c r="N59" i="32" s="1"/>
  <c r="AD59" i="32"/>
  <c r="V58" i="32"/>
  <c r="AL59" i="32"/>
  <c r="AG58" i="31"/>
  <c r="AE58" i="31"/>
  <c r="AQ57" i="31"/>
  <c r="AV57" i="31"/>
  <c r="AZ57" i="31" s="1"/>
  <c r="AP58" i="31"/>
  <c r="BG58" i="31"/>
  <c r="AT57" i="31"/>
  <c r="AX57" i="31" s="1"/>
  <c r="AM57" i="31"/>
  <c r="AU57" i="31"/>
  <c r="L58" i="31"/>
  <c r="M58" i="31" s="1"/>
  <c r="P58" i="31"/>
  <c r="D58" i="31"/>
  <c r="U58" i="31"/>
  <c r="B58" i="31"/>
  <c r="C58" i="31" s="1"/>
  <c r="N58" i="31"/>
  <c r="O58" i="31" s="1"/>
  <c r="J58" i="31"/>
  <c r="S58" i="31"/>
  <c r="BI58" i="31"/>
  <c r="AR58" i="31"/>
  <c r="AS58" i="31" s="1"/>
  <c r="BC58" i="31"/>
  <c r="AL58" i="31"/>
  <c r="AN58" i="31"/>
  <c r="BE58" i="31"/>
  <c r="I58" i="31"/>
  <c r="K57" i="31"/>
  <c r="G58" i="31"/>
  <c r="BO59" i="31"/>
  <c r="BQ59" i="31"/>
  <c r="BM59" i="31"/>
  <c r="A60" i="31"/>
  <c r="BK59" i="31"/>
  <c r="C57" i="31"/>
  <c r="AW57" i="31"/>
  <c r="BA57" i="31" s="1"/>
  <c r="AS57" i="31"/>
  <c r="O57" i="31"/>
  <c r="Q58" i="26"/>
  <c r="E58" i="26"/>
  <c r="H58" i="28"/>
  <c r="AY59" i="26"/>
  <c r="AS59" i="26"/>
  <c r="A60" i="26"/>
  <c r="AK59" i="26"/>
  <c r="AQ59" i="26"/>
  <c r="AO59" i="26"/>
  <c r="AW59" i="28"/>
  <c r="AX59" i="28" s="1"/>
  <c r="BV59" i="28"/>
  <c r="A61" i="28"/>
  <c r="CD60" i="28"/>
  <c r="BN60" i="28"/>
  <c r="BZ60" i="28"/>
  <c r="CL60" i="28"/>
  <c r="BR60" i="28"/>
  <c r="CN58" i="28"/>
  <c r="AW58" i="26"/>
  <c r="Z58" i="26"/>
  <c r="AQ58" i="26"/>
  <c r="N57" i="28"/>
  <c r="AC59" i="28"/>
  <c r="CP59" i="28"/>
  <c r="O58" i="26"/>
  <c r="BF58" i="28"/>
  <c r="BJ58" i="28" s="1"/>
  <c r="BT59" i="28"/>
  <c r="AS59" i="28"/>
  <c r="BR59" i="28"/>
  <c r="BE58" i="28"/>
  <c r="BG58" i="28"/>
  <c r="AX58" i="28"/>
  <c r="BI57" i="28"/>
  <c r="AY58" i="26"/>
  <c r="AS58" i="26"/>
  <c r="AH56" i="26"/>
  <c r="AD57" i="26"/>
  <c r="AH57" i="26" s="1"/>
  <c r="Y57" i="26"/>
  <c r="I58" i="28"/>
  <c r="AI56" i="26"/>
  <c r="BX58" i="28"/>
  <c r="BT58" i="28"/>
  <c r="M58" i="26"/>
  <c r="CL59" i="28"/>
  <c r="BA59" i="28"/>
  <c r="BB59" i="28" s="1"/>
  <c r="BZ59" i="28"/>
  <c r="AZ57" i="28"/>
  <c r="S58" i="28"/>
  <c r="N58" i="28"/>
  <c r="L58" i="28"/>
  <c r="AC57" i="26"/>
  <c r="X58" i="26"/>
  <c r="F58" i="26"/>
  <c r="G58" i="26" s="1"/>
  <c r="B58" i="26"/>
  <c r="C58" i="26" s="1"/>
  <c r="H58" i="26"/>
  <c r="CH59" i="28"/>
  <c r="CD59" i="28"/>
  <c r="I57" i="26"/>
  <c r="BD57" i="28"/>
  <c r="AB57" i="26"/>
  <c r="U57" i="26"/>
  <c r="BH58" i="28"/>
  <c r="BB58" i="28"/>
  <c r="CR58" i="28"/>
  <c r="T58" i="26"/>
  <c r="CJ58" i="28"/>
  <c r="J57" i="28"/>
  <c r="K59" i="28"/>
  <c r="AO59" i="28"/>
  <c r="AP59" i="28" s="1"/>
  <c r="BN59" i="28"/>
  <c r="AE57" i="26"/>
  <c r="AA57" i="26"/>
  <c r="AC58" i="28"/>
  <c r="AM58" i="28"/>
  <c r="V58" i="26"/>
  <c r="AO58" i="26"/>
  <c r="AK59" i="28"/>
  <c r="S58" i="26"/>
  <c r="BL57" i="28"/>
  <c r="AK58" i="26"/>
  <c r="Q59" i="26" l="1"/>
  <c r="V60" i="28"/>
  <c r="AA60" i="28"/>
  <c r="AF60" i="28"/>
  <c r="AK60" i="28"/>
  <c r="C60" i="28"/>
  <c r="Q61" i="32"/>
  <c r="L59" i="28"/>
  <c r="N59" i="28"/>
  <c r="S60" i="26"/>
  <c r="E60" i="26"/>
  <c r="AA60" i="31"/>
  <c r="W60" i="31"/>
  <c r="AK60" i="31"/>
  <c r="AI60" i="31"/>
  <c r="AC60" i="31"/>
  <c r="Y60" i="31"/>
  <c r="BC58" i="54"/>
  <c r="AQ58" i="54"/>
  <c r="BC59" i="54"/>
  <c r="AQ59" i="54"/>
  <c r="CM59" i="54"/>
  <c r="S59" i="54"/>
  <c r="CE59" i="54"/>
  <c r="CQ59" i="54"/>
  <c r="BG59" i="54"/>
  <c r="DC59" i="54"/>
  <c r="AI59" i="54"/>
  <c r="W59" i="54"/>
  <c r="AU59" i="54"/>
  <c r="CA58" i="54"/>
  <c r="AE58" i="54"/>
  <c r="BQ58" i="54"/>
  <c r="BI58" i="54"/>
  <c r="C58" i="54"/>
  <c r="BW58" i="54"/>
  <c r="AC58" i="54"/>
  <c r="G58" i="54"/>
  <c r="BE58" i="54"/>
  <c r="M58" i="54"/>
  <c r="BK58" i="54"/>
  <c r="AA58" i="54"/>
  <c r="AO58" i="54"/>
  <c r="K59" i="54"/>
  <c r="AO59" i="54"/>
  <c r="CC59" i="54"/>
  <c r="M59" i="54"/>
  <c r="AK59" i="54"/>
  <c r="CS59" i="54"/>
  <c r="CO59" i="54"/>
  <c r="U59" i="54"/>
  <c r="CI59" i="54"/>
  <c r="AW59" i="54"/>
  <c r="BM59" i="54"/>
  <c r="BY59" i="54"/>
  <c r="G59" i="54"/>
  <c r="I59" i="54"/>
  <c r="DA59" i="54"/>
  <c r="Y59" i="54"/>
  <c r="CK59" i="54"/>
  <c r="AC59" i="54"/>
  <c r="AY59" i="54"/>
  <c r="BU59" i="54"/>
  <c r="BW59" i="54"/>
  <c r="Q59" i="54"/>
  <c r="BE59" i="54"/>
  <c r="CW59" i="54"/>
  <c r="DE59" i="54"/>
  <c r="O59" i="54"/>
  <c r="CU59" i="54"/>
  <c r="AS59" i="54"/>
  <c r="A60" i="54"/>
  <c r="AG59" i="54"/>
  <c r="AW58" i="54"/>
  <c r="AG58" i="54"/>
  <c r="CK58" i="54"/>
  <c r="BU58" i="54"/>
  <c r="U58" i="54"/>
  <c r="AY58" i="54"/>
  <c r="AS58" i="54"/>
  <c r="DE58" i="54"/>
  <c r="BA58" i="54"/>
  <c r="AE59" i="31"/>
  <c r="A62" i="32"/>
  <c r="AL60" i="32"/>
  <c r="V59" i="32"/>
  <c r="D59" i="32"/>
  <c r="P59" i="32"/>
  <c r="AU60" i="32"/>
  <c r="AT60" i="32"/>
  <c r="Q59" i="32"/>
  <c r="G59" i="32"/>
  <c r="BC60" i="32"/>
  <c r="S59" i="32"/>
  <c r="T59" i="32"/>
  <c r="AJ60" i="32"/>
  <c r="AI60" i="32"/>
  <c r="D60" i="32"/>
  <c r="F60" i="32"/>
  <c r="AY60" i="32"/>
  <c r="AZ60" i="32"/>
  <c r="C60" i="32"/>
  <c r="U60" i="32"/>
  <c r="AE60" i="32"/>
  <c r="M60" i="32"/>
  <c r="N60" i="32" s="1"/>
  <c r="AD60" i="32"/>
  <c r="AB60" i="32"/>
  <c r="R60" i="32"/>
  <c r="J60" i="32"/>
  <c r="K60" i="32" s="1"/>
  <c r="AA60" i="32"/>
  <c r="AQ60" i="32"/>
  <c r="AR60" i="32"/>
  <c r="BB60" i="32"/>
  <c r="AY57" i="31"/>
  <c r="AR59" i="31"/>
  <c r="BI59" i="31"/>
  <c r="AL59" i="31"/>
  <c r="BC59" i="31"/>
  <c r="BE59" i="31"/>
  <c r="AN59" i="31"/>
  <c r="E58" i="31"/>
  <c r="AG59" i="31"/>
  <c r="Q58" i="31"/>
  <c r="BQ60" i="31"/>
  <c r="BO60" i="31"/>
  <c r="A61" i="31"/>
  <c r="BK60" i="31"/>
  <c r="K58" i="31"/>
  <c r="BG59" i="31"/>
  <c r="AP59" i="31"/>
  <c r="D59" i="31"/>
  <c r="E59" i="31" s="1"/>
  <c r="L59" i="31"/>
  <c r="P59" i="31"/>
  <c r="Q59" i="31" s="1"/>
  <c r="U59" i="31"/>
  <c r="AU58" i="31"/>
  <c r="AY58" i="31" s="1"/>
  <c r="AO58" i="31"/>
  <c r="J59" i="31"/>
  <c r="K59" i="31" s="1"/>
  <c r="N59" i="31"/>
  <c r="S59" i="31"/>
  <c r="B59" i="31"/>
  <c r="AM58" i="31"/>
  <c r="AT58" i="31"/>
  <c r="AX58" i="31" s="1"/>
  <c r="AV58" i="31"/>
  <c r="AZ58" i="31" s="1"/>
  <c r="AQ58" i="31"/>
  <c r="AW58" i="31"/>
  <c r="E59" i="26"/>
  <c r="BH59" i="28"/>
  <c r="BL59" i="28" s="1"/>
  <c r="BD59" i="28"/>
  <c r="BF59" i="28"/>
  <c r="BP60" i="28"/>
  <c r="AO60" i="28"/>
  <c r="CP60" i="28"/>
  <c r="T59" i="26"/>
  <c r="U59" i="26" s="1"/>
  <c r="H59" i="28"/>
  <c r="BE59" i="28"/>
  <c r="I58" i="26"/>
  <c r="AZ58" i="28"/>
  <c r="AE58" i="26"/>
  <c r="AA58" i="26"/>
  <c r="CJ60" i="28"/>
  <c r="CH60" i="28"/>
  <c r="X59" i="26"/>
  <c r="V59" i="26"/>
  <c r="AM59" i="26"/>
  <c r="BL58" i="28"/>
  <c r="CB59" i="28"/>
  <c r="AS60" i="28"/>
  <c r="Z59" i="26"/>
  <c r="F59" i="26"/>
  <c r="G59" i="26" s="1"/>
  <c r="H59" i="26"/>
  <c r="I59" i="26" s="1"/>
  <c r="B59" i="26"/>
  <c r="AM59" i="28"/>
  <c r="BP59" i="28"/>
  <c r="AI57" i="26"/>
  <c r="J58" i="28"/>
  <c r="CJ59" i="28"/>
  <c r="CF59" i="28"/>
  <c r="K60" i="28"/>
  <c r="AW60" i="28"/>
  <c r="AX60" i="28" s="1"/>
  <c r="BV60" i="28"/>
  <c r="BG59" i="28"/>
  <c r="A61" i="26"/>
  <c r="CR59" i="28"/>
  <c r="E60" i="28"/>
  <c r="AU59" i="26"/>
  <c r="I59" i="28"/>
  <c r="E59" i="28"/>
  <c r="AH59" i="28"/>
  <c r="AR58" i="28"/>
  <c r="AT59" i="28"/>
  <c r="BX59" i="28"/>
  <c r="AC58" i="26"/>
  <c r="W58" i="26"/>
  <c r="S59" i="28"/>
  <c r="AG57" i="26"/>
  <c r="BI58" i="28"/>
  <c r="BA60" i="28"/>
  <c r="A62" i="28"/>
  <c r="AW59" i="26"/>
  <c r="Q60" i="28"/>
  <c r="AB58" i="26"/>
  <c r="U58" i="26"/>
  <c r="AF57" i="26"/>
  <c r="AD58" i="26"/>
  <c r="Y58" i="26"/>
  <c r="CN59" i="28"/>
  <c r="X59" i="28"/>
  <c r="BK58" i="28"/>
  <c r="AV58" i="28"/>
  <c r="BD58" i="28"/>
  <c r="V61" i="28" l="1"/>
  <c r="AA61" i="28"/>
  <c r="W60" i="32"/>
  <c r="AK61" i="28"/>
  <c r="L60" i="28"/>
  <c r="N60" i="28"/>
  <c r="AI61" i="31"/>
  <c r="AG61" i="31"/>
  <c r="AC61" i="31"/>
  <c r="AA61" i="31"/>
  <c r="Y61" i="31"/>
  <c r="U61" i="31"/>
  <c r="M61" i="26"/>
  <c r="K61" i="26"/>
  <c r="S61" i="26"/>
  <c r="O61" i="26"/>
  <c r="S60" i="32"/>
  <c r="AQ60" i="54"/>
  <c r="AE60" i="54"/>
  <c r="CY60" i="54"/>
  <c r="CM60" i="54"/>
  <c r="CE60" i="54"/>
  <c r="S60" i="54"/>
  <c r="CQ60" i="54"/>
  <c r="DC60" i="54"/>
  <c r="W60" i="54"/>
  <c r="AU60" i="54"/>
  <c r="AI60" i="54"/>
  <c r="BG60" i="54"/>
  <c r="CA59" i="54"/>
  <c r="AE59" i="54"/>
  <c r="CY59" i="54"/>
  <c r="K60" i="54"/>
  <c r="AA60" i="54"/>
  <c r="DE60" i="54"/>
  <c r="BU60" i="54"/>
  <c r="CK60" i="54"/>
  <c r="CG60" i="54"/>
  <c r="BA60" i="54"/>
  <c r="BY60" i="54"/>
  <c r="AM60" i="54"/>
  <c r="AY60" i="54"/>
  <c r="M60" i="54"/>
  <c r="G60" i="54"/>
  <c r="AS60" i="54"/>
  <c r="BM60" i="54"/>
  <c r="CS60" i="54"/>
  <c r="C60" i="54"/>
  <c r="AK60" i="54"/>
  <c r="DA60" i="54"/>
  <c r="BK60" i="54"/>
  <c r="A61" i="54"/>
  <c r="BW60" i="54"/>
  <c r="BI60" i="54"/>
  <c r="CC60" i="54"/>
  <c r="BQ60" i="54"/>
  <c r="AO60" i="54"/>
  <c r="Y60" i="54"/>
  <c r="Q60" i="54"/>
  <c r="CW60" i="54"/>
  <c r="BA59" i="54"/>
  <c r="E59" i="54"/>
  <c r="BI59" i="54"/>
  <c r="BQ59" i="54"/>
  <c r="BK59" i="54"/>
  <c r="AA59" i="54"/>
  <c r="CG59" i="54"/>
  <c r="AM59" i="54"/>
  <c r="C59" i="54"/>
  <c r="T60" i="32"/>
  <c r="G61" i="32"/>
  <c r="AI61" i="32"/>
  <c r="AJ61" i="32"/>
  <c r="AR60" i="31"/>
  <c r="AS60" i="31" s="1"/>
  <c r="Q60" i="32"/>
  <c r="O60" i="32" s="1"/>
  <c r="G60" i="32"/>
  <c r="A63" i="32"/>
  <c r="O59" i="32"/>
  <c r="AQ61" i="32"/>
  <c r="AR61" i="32"/>
  <c r="U61" i="32"/>
  <c r="W61" i="32" s="1"/>
  <c r="AE61" i="32"/>
  <c r="AD61" i="32"/>
  <c r="M61" i="32"/>
  <c r="N61" i="32" s="1"/>
  <c r="AT61" i="32"/>
  <c r="AU61" i="32"/>
  <c r="J61" i="32"/>
  <c r="K61" i="32" s="1"/>
  <c r="AA61" i="32"/>
  <c r="R61" i="32"/>
  <c r="AB61" i="32"/>
  <c r="C61" i="32"/>
  <c r="L59" i="32"/>
  <c r="AY61" i="32"/>
  <c r="AZ61" i="32"/>
  <c r="V60" i="32"/>
  <c r="BB61" i="32"/>
  <c r="BC61" i="32"/>
  <c r="L60" i="32"/>
  <c r="W59" i="32"/>
  <c r="AL61" i="32"/>
  <c r="F61" i="32"/>
  <c r="BA58" i="31"/>
  <c r="U60" i="31"/>
  <c r="D60" i="31"/>
  <c r="E60" i="31" s="1"/>
  <c r="P60" i="31"/>
  <c r="Q60" i="31" s="1"/>
  <c r="L60" i="31"/>
  <c r="M60" i="31" s="1"/>
  <c r="C59" i="31"/>
  <c r="BM61" i="31"/>
  <c r="BO61" i="31"/>
  <c r="BQ61" i="31"/>
  <c r="A62" i="31"/>
  <c r="O59" i="31"/>
  <c r="AE60" i="31"/>
  <c r="I59" i="31"/>
  <c r="I60" i="31"/>
  <c r="AG60" i="31"/>
  <c r="BI60" i="31"/>
  <c r="BM60" i="31"/>
  <c r="M59" i="31"/>
  <c r="AO59" i="31"/>
  <c r="AU59" i="31"/>
  <c r="AP60" i="31"/>
  <c r="BG60" i="31"/>
  <c r="AV59" i="31"/>
  <c r="AZ59" i="31" s="1"/>
  <c r="AQ59" i="31"/>
  <c r="AN60" i="31"/>
  <c r="BE60" i="31"/>
  <c r="AT59" i="31"/>
  <c r="AX59" i="31" s="1"/>
  <c r="AM59" i="31"/>
  <c r="BC60" i="31"/>
  <c r="AL60" i="31"/>
  <c r="AM60" i="31" s="1"/>
  <c r="S60" i="31"/>
  <c r="B60" i="31"/>
  <c r="C60" i="31" s="1"/>
  <c r="N60" i="31"/>
  <c r="O60" i="31" s="1"/>
  <c r="J60" i="31"/>
  <c r="K60" i="31" s="1"/>
  <c r="AS59" i="31"/>
  <c r="AW59" i="31"/>
  <c r="CF61" i="28"/>
  <c r="AM61" i="28"/>
  <c r="CB60" i="28"/>
  <c r="AU60" i="26"/>
  <c r="AM61" i="26"/>
  <c r="AW61" i="26"/>
  <c r="A62" i="26"/>
  <c r="AK61" i="26"/>
  <c r="AY61" i="26"/>
  <c r="AU61" i="26"/>
  <c r="AO61" i="26"/>
  <c r="AQ61" i="26"/>
  <c r="BK59" i="28"/>
  <c r="Q61" i="28"/>
  <c r="AR59" i="28"/>
  <c r="CN60" i="28"/>
  <c r="Z60" i="26"/>
  <c r="AQ60" i="26"/>
  <c r="AZ59" i="28"/>
  <c r="AE59" i="26"/>
  <c r="AA59" i="26"/>
  <c r="AM60" i="28"/>
  <c r="CD61" i="28"/>
  <c r="CP61" i="28"/>
  <c r="AF61" i="28"/>
  <c r="E61" i="28"/>
  <c r="C61" i="28"/>
  <c r="AY60" i="26"/>
  <c r="V60" i="26"/>
  <c r="AM60" i="26"/>
  <c r="X60" i="28"/>
  <c r="AH60" i="28"/>
  <c r="BJ59" i="28"/>
  <c r="AS61" i="28"/>
  <c r="AT61" i="28" s="1"/>
  <c r="AO61" i="28"/>
  <c r="AP61" i="28" s="1"/>
  <c r="BN61" i="28"/>
  <c r="AG58" i="26"/>
  <c r="Q60" i="26"/>
  <c r="J59" i="28"/>
  <c r="O60" i="26"/>
  <c r="F60" i="26"/>
  <c r="G60" i="26" s="1"/>
  <c r="H60" i="26"/>
  <c r="B60" i="26"/>
  <c r="K60" i="26"/>
  <c r="X61" i="28"/>
  <c r="I60" i="28"/>
  <c r="J60" i="28" s="1"/>
  <c r="T60" i="26"/>
  <c r="AK60" i="26"/>
  <c r="S60" i="28"/>
  <c r="C59" i="26"/>
  <c r="BR61" i="28"/>
  <c r="AP60" i="28"/>
  <c r="H60" i="28"/>
  <c r="CH61" i="28"/>
  <c r="AC60" i="28"/>
  <c r="AW61" i="28"/>
  <c r="BV61" i="28"/>
  <c r="CL62" i="28"/>
  <c r="CP62" i="28"/>
  <c r="A63" i="28"/>
  <c r="BV62" i="28"/>
  <c r="AW60" i="26"/>
  <c r="AC59" i="26"/>
  <c r="W59" i="26"/>
  <c r="CR60" i="28"/>
  <c r="BA61" i="28"/>
  <c r="BB61" i="28" s="1"/>
  <c r="BZ61" i="28"/>
  <c r="AF58" i="26"/>
  <c r="M60" i="26"/>
  <c r="X60" i="26"/>
  <c r="AO60" i="26"/>
  <c r="BG60" i="28"/>
  <c r="AZ60" i="28"/>
  <c r="BF60" i="28"/>
  <c r="AT60" i="28"/>
  <c r="AH58" i="26"/>
  <c r="AD59" i="26"/>
  <c r="Y59" i="26"/>
  <c r="AI58" i="26"/>
  <c r="AB59" i="26"/>
  <c r="K61" i="28"/>
  <c r="S61" i="28"/>
  <c r="CL61" i="28"/>
  <c r="BH60" i="28"/>
  <c r="BB60" i="28"/>
  <c r="CF60" i="28"/>
  <c r="AS60" i="26"/>
  <c r="BX60" i="28"/>
  <c r="BT60" i="28"/>
  <c r="BI59" i="28"/>
  <c r="BE60" i="28"/>
  <c r="AV59" i="28"/>
  <c r="AA62" i="28" l="1"/>
  <c r="Q62" i="28"/>
  <c r="S62" i="26"/>
  <c r="Q62" i="26"/>
  <c r="O62" i="26"/>
  <c r="M62" i="26"/>
  <c r="AI62" i="31"/>
  <c r="AC62" i="31"/>
  <c r="AA62" i="31"/>
  <c r="Y62" i="31"/>
  <c r="W62" i="31"/>
  <c r="AK62" i="31"/>
  <c r="P63" i="32"/>
  <c r="O61" i="32"/>
  <c r="CA60" i="54"/>
  <c r="BC61" i="54"/>
  <c r="AQ61" i="54"/>
  <c r="CE61" i="54"/>
  <c r="CQ61" i="54"/>
  <c r="DC61" i="54"/>
  <c r="S61" i="54"/>
  <c r="W61" i="54"/>
  <c r="AU61" i="54"/>
  <c r="AI61" i="54"/>
  <c r="BG61" i="54"/>
  <c r="BC60" i="54"/>
  <c r="K61" i="54"/>
  <c r="BY61" i="54"/>
  <c r="AG61" i="54"/>
  <c r="AC61" i="54"/>
  <c r="BM61" i="54"/>
  <c r="AW61" i="54"/>
  <c r="BW61" i="54"/>
  <c r="E61" i="54"/>
  <c r="DE61" i="54"/>
  <c r="BQ61" i="54"/>
  <c r="BE61" i="54"/>
  <c r="CG61" i="54"/>
  <c r="AA61" i="54"/>
  <c r="CU61" i="54"/>
  <c r="CI61" i="54"/>
  <c r="C61" i="54"/>
  <c r="AM61" i="54"/>
  <c r="BK61" i="54"/>
  <c r="DA61" i="54"/>
  <c r="AS61" i="54"/>
  <c r="AY61" i="54"/>
  <c r="O61" i="54"/>
  <c r="CO61" i="54"/>
  <c r="BA61" i="54"/>
  <c r="CC61" i="54"/>
  <c r="G61" i="54"/>
  <c r="BI61" i="54"/>
  <c r="Y61" i="54"/>
  <c r="CW61" i="54"/>
  <c r="I61" i="54"/>
  <c r="M61" i="54"/>
  <c r="CK61" i="54"/>
  <c r="A62" i="54"/>
  <c r="U60" i="54"/>
  <c r="I60" i="54"/>
  <c r="CO60" i="54"/>
  <c r="O60" i="54"/>
  <c r="CU60" i="54"/>
  <c r="AG60" i="54"/>
  <c r="AC60" i="54"/>
  <c r="BE60" i="54"/>
  <c r="CI60" i="54"/>
  <c r="E60" i="54"/>
  <c r="AW60" i="54"/>
  <c r="BB62" i="32"/>
  <c r="AM61" i="32"/>
  <c r="T61" i="32"/>
  <c r="AJ62" i="32"/>
  <c r="AI62" i="32"/>
  <c r="F62" i="32"/>
  <c r="AZ62" i="32"/>
  <c r="AY62" i="32"/>
  <c r="BC62" i="32"/>
  <c r="A64" i="32"/>
  <c r="Q61" i="26"/>
  <c r="AE62" i="32"/>
  <c r="U62" i="32"/>
  <c r="W62" i="32" s="1"/>
  <c r="M62" i="32"/>
  <c r="N62" i="32" s="1"/>
  <c r="AD62" i="32"/>
  <c r="J62" i="32"/>
  <c r="K62" i="32" s="1"/>
  <c r="AA62" i="32"/>
  <c r="AB62" i="32"/>
  <c r="R62" i="32"/>
  <c r="T62" i="32" s="1"/>
  <c r="S61" i="32"/>
  <c r="P61" i="32"/>
  <c r="L61" i="32" s="1"/>
  <c r="D61" i="32"/>
  <c r="AL62" i="32"/>
  <c r="AM62" i="32"/>
  <c r="V61" i="32"/>
  <c r="AQ62" i="32"/>
  <c r="AR62" i="32"/>
  <c r="AU62" i="32"/>
  <c r="AT62" i="32"/>
  <c r="C62" i="32"/>
  <c r="AE61" i="31"/>
  <c r="AY59" i="31"/>
  <c r="BA59" i="31"/>
  <c r="AV60" i="31"/>
  <c r="AZ60" i="31" s="1"/>
  <c r="AQ60" i="31"/>
  <c r="G60" i="31"/>
  <c r="G61" i="31"/>
  <c r="S61" i="31"/>
  <c r="B61" i="31"/>
  <c r="C61" i="31" s="1"/>
  <c r="N61" i="31"/>
  <c r="O61" i="31" s="1"/>
  <c r="J61" i="31"/>
  <c r="K61" i="31" s="1"/>
  <c r="W61" i="31"/>
  <c r="AW60" i="31"/>
  <c r="BA60" i="31" s="1"/>
  <c r="AT60" i="31"/>
  <c r="BK61" i="31"/>
  <c r="AN61" i="31"/>
  <c r="BE61" i="31"/>
  <c r="BG61" i="31"/>
  <c r="AP61" i="31"/>
  <c r="BI61" i="31"/>
  <c r="AR61" i="31"/>
  <c r="D61" i="31"/>
  <c r="P61" i="31"/>
  <c r="L61" i="31"/>
  <c r="M61" i="31" s="1"/>
  <c r="BO62" i="31"/>
  <c r="BM62" i="31"/>
  <c r="A63" i="31"/>
  <c r="BK62" i="31"/>
  <c r="BQ62" i="31"/>
  <c r="AK61" i="31"/>
  <c r="AO60" i="31"/>
  <c r="AU60" i="31"/>
  <c r="AY60" i="31" s="1"/>
  <c r="BC61" i="31"/>
  <c r="AL61" i="31"/>
  <c r="E61" i="26"/>
  <c r="BK60" i="28"/>
  <c r="AD60" i="26"/>
  <c r="Y60" i="26"/>
  <c r="E62" i="28"/>
  <c r="AC62" i="28"/>
  <c r="C60" i="26"/>
  <c r="CR61" i="28"/>
  <c r="A63" i="26"/>
  <c r="AU62" i="26"/>
  <c r="V62" i="28"/>
  <c r="I60" i="26"/>
  <c r="BX61" i="28"/>
  <c r="X61" i="26"/>
  <c r="H61" i="26"/>
  <c r="I61" i="26" s="1"/>
  <c r="F61" i="26"/>
  <c r="G61" i="26" s="1"/>
  <c r="B61" i="26"/>
  <c r="C61" i="26" s="1"/>
  <c r="CH62" i="28"/>
  <c r="AR60" i="28"/>
  <c r="AF59" i="26"/>
  <c r="AS62" i="28"/>
  <c r="AT62" i="28" s="1"/>
  <c r="CB62" i="28"/>
  <c r="BA62" i="28"/>
  <c r="BZ62" i="28"/>
  <c r="BE61" i="28"/>
  <c r="BI61" i="28" s="1"/>
  <c r="BT61" i="28"/>
  <c r="CB61" i="28"/>
  <c r="CD62" i="28"/>
  <c r="BI60" i="28"/>
  <c r="CN61" i="28"/>
  <c r="BD60" i="28"/>
  <c r="AO62" i="28"/>
  <c r="H62" i="28"/>
  <c r="K62" i="28"/>
  <c r="S62" i="28"/>
  <c r="CJ61" i="28"/>
  <c r="AB60" i="26"/>
  <c r="U60" i="26"/>
  <c r="BP61" i="28"/>
  <c r="C62" i="28"/>
  <c r="AI59" i="26"/>
  <c r="AS61" i="26"/>
  <c r="AC61" i="28"/>
  <c r="BL60" i="28"/>
  <c r="AH61" i="28"/>
  <c r="AC60" i="26"/>
  <c r="W60" i="26"/>
  <c r="I61" i="28"/>
  <c r="J61" i="28" s="1"/>
  <c r="AW62" i="28"/>
  <c r="X62" i="28"/>
  <c r="V61" i="26"/>
  <c r="BR62" i="28"/>
  <c r="AV60" i="28"/>
  <c r="BH61" i="28"/>
  <c r="A64" i="28"/>
  <c r="CH63" i="28"/>
  <c r="CD63" i="28"/>
  <c r="BG61" i="28"/>
  <c r="AX61" i="28"/>
  <c r="BN62" i="28"/>
  <c r="BF61" i="28"/>
  <c r="T61" i="26"/>
  <c r="U61" i="26" s="1"/>
  <c r="AK62" i="28"/>
  <c r="H61" i="28"/>
  <c r="N61" i="28"/>
  <c r="L61" i="28"/>
  <c r="BJ60" i="28"/>
  <c r="AG59" i="26"/>
  <c r="AH59" i="26"/>
  <c r="AF62" i="28"/>
  <c r="AE60" i="26"/>
  <c r="AA60" i="26"/>
  <c r="Z61" i="26"/>
  <c r="AY63" i="32" l="1"/>
  <c r="AK63" i="28"/>
  <c r="V63" i="28"/>
  <c r="C63" i="28"/>
  <c r="S63" i="26"/>
  <c r="O63" i="26"/>
  <c r="M63" i="26"/>
  <c r="K63" i="26"/>
  <c r="L62" i="28"/>
  <c r="N62" i="28"/>
  <c r="AA63" i="31"/>
  <c r="Y63" i="31"/>
  <c r="W63" i="31"/>
  <c r="AE61" i="54"/>
  <c r="CY62" i="54"/>
  <c r="CA62" i="54"/>
  <c r="BC62" i="54"/>
  <c r="AQ62" i="54"/>
  <c r="AE62" i="54"/>
  <c r="CE62" i="54"/>
  <c r="CQ62" i="54"/>
  <c r="DC62" i="54"/>
  <c r="AI62" i="54"/>
  <c r="W62" i="54"/>
  <c r="AU62" i="54"/>
  <c r="BG62" i="54"/>
  <c r="CM61" i="54"/>
  <c r="CY61" i="54"/>
  <c r="CA61" i="54"/>
  <c r="K62" i="54"/>
  <c r="Q62" i="54"/>
  <c r="U62" i="54"/>
  <c r="BW62" i="54"/>
  <c r="AY62" i="54"/>
  <c r="AK62" i="54"/>
  <c r="BU62" i="54"/>
  <c r="CG62" i="54"/>
  <c r="CO62" i="54"/>
  <c r="CI62" i="54"/>
  <c r="BI62" i="54"/>
  <c r="E62" i="54"/>
  <c r="BE62" i="54"/>
  <c r="C62" i="54"/>
  <c r="DA62" i="54"/>
  <c r="AO62" i="54"/>
  <c r="AW62" i="54"/>
  <c r="AC62" i="54"/>
  <c r="BM62" i="54"/>
  <c r="A63" i="54"/>
  <c r="BK62" i="54"/>
  <c r="O62" i="54"/>
  <c r="CS62" i="54"/>
  <c r="I62" i="54"/>
  <c r="AM62" i="54"/>
  <c r="BQ62" i="54"/>
  <c r="DE62" i="54"/>
  <c r="Q61" i="54"/>
  <c r="AK61" i="54"/>
  <c r="U61" i="54"/>
  <c r="BU61" i="54"/>
  <c r="CS61" i="54"/>
  <c r="AO61" i="54"/>
  <c r="AZ63" i="32"/>
  <c r="AP62" i="31"/>
  <c r="AU63" i="32"/>
  <c r="AR62" i="31"/>
  <c r="AS62" i="31" s="1"/>
  <c r="C63" i="32"/>
  <c r="D62" i="32"/>
  <c r="P62" i="32"/>
  <c r="L62" i="32" s="1"/>
  <c r="Q63" i="32"/>
  <c r="F63" i="32"/>
  <c r="R63" i="32"/>
  <c r="T63" i="32" s="1"/>
  <c r="AB63" i="32"/>
  <c r="J63" i="32"/>
  <c r="K63" i="32" s="1"/>
  <c r="AA63" i="32"/>
  <c r="V62" i="32"/>
  <c r="AI63" i="32"/>
  <c r="BC63" i="32"/>
  <c r="BB63" i="32"/>
  <c r="S62" i="32"/>
  <c r="AM63" i="32"/>
  <c r="AL63" i="32"/>
  <c r="AD63" i="32"/>
  <c r="AE63" i="32"/>
  <c r="U63" i="32"/>
  <c r="M63" i="32"/>
  <c r="N63" i="32" s="1"/>
  <c r="A65" i="32"/>
  <c r="AR63" i="32"/>
  <c r="AQ63" i="32"/>
  <c r="D63" i="32"/>
  <c r="Q62" i="32"/>
  <c r="G62" i="32"/>
  <c r="AT63" i="32"/>
  <c r="AX60" i="31"/>
  <c r="D62" i="31"/>
  <c r="E62" i="31" s="1"/>
  <c r="P62" i="31"/>
  <c r="Q62" i="31" s="1"/>
  <c r="L62" i="31"/>
  <c r="M62" i="31" s="1"/>
  <c r="BC62" i="31"/>
  <c r="AL62" i="31"/>
  <c r="I62" i="31"/>
  <c r="AG62" i="31"/>
  <c r="Q61" i="31"/>
  <c r="AN62" i="31"/>
  <c r="BE62" i="31"/>
  <c r="E61" i="31"/>
  <c r="N62" i="31"/>
  <c r="O62" i="31" s="1"/>
  <c r="J62" i="31"/>
  <c r="K62" i="31" s="1"/>
  <c r="S62" i="31"/>
  <c r="B62" i="31"/>
  <c r="C62" i="31" s="1"/>
  <c r="U62" i="31"/>
  <c r="AT61" i="31"/>
  <c r="AX61" i="31" s="1"/>
  <c r="AM61" i="31"/>
  <c r="AW61" i="31"/>
  <c r="BA61" i="31" s="1"/>
  <c r="AS61" i="31"/>
  <c r="BI62" i="31"/>
  <c r="BG62" i="31"/>
  <c r="AE62" i="31"/>
  <c r="AV61" i="31"/>
  <c r="AZ61" i="31" s="1"/>
  <c r="AQ62" i="31"/>
  <c r="AQ61" i="31"/>
  <c r="I61" i="31"/>
  <c r="BM63" i="31"/>
  <c r="BK63" i="31"/>
  <c r="A64" i="31"/>
  <c r="BQ63" i="31"/>
  <c r="AO61" i="31"/>
  <c r="AU61" i="31"/>
  <c r="AY61" i="31" s="1"/>
  <c r="AM63" i="28"/>
  <c r="BT63" i="28"/>
  <c r="AS63" i="28"/>
  <c r="AT63" i="28" s="1"/>
  <c r="BL61" i="28"/>
  <c r="CR62" i="28"/>
  <c r="BF62" i="28"/>
  <c r="BJ62" i="28" s="1"/>
  <c r="AV62" i="28"/>
  <c r="B62" i="26"/>
  <c r="C62" i="26" s="1"/>
  <c r="H62" i="26"/>
  <c r="I62" i="26" s="1"/>
  <c r="F62" i="26"/>
  <c r="G62" i="26" s="1"/>
  <c r="K62" i="26"/>
  <c r="AM63" i="26"/>
  <c r="AS63" i="26"/>
  <c r="AU63" i="26"/>
  <c r="AW63" i="26"/>
  <c r="A64" i="26"/>
  <c r="AZ61" i="28"/>
  <c r="AO63" i="28"/>
  <c r="H63" i="28"/>
  <c r="K63" i="28"/>
  <c r="W61" i="26"/>
  <c r="AI60" i="26"/>
  <c r="BT62" i="28"/>
  <c r="CJ62" i="28"/>
  <c r="AY62" i="26"/>
  <c r="T62" i="26"/>
  <c r="U62" i="26" s="1"/>
  <c r="AK62" i="26"/>
  <c r="AA63" i="28"/>
  <c r="BK61" i="28"/>
  <c r="AE61" i="26"/>
  <c r="AA61" i="26"/>
  <c r="AW63" i="28"/>
  <c r="AX63" i="28" s="1"/>
  <c r="BV63" i="28"/>
  <c r="AM62" i="28"/>
  <c r="BR63" i="28"/>
  <c r="BE62" i="28"/>
  <c r="AR62" i="28"/>
  <c r="AP62" i="28"/>
  <c r="AD61" i="26"/>
  <c r="Z62" i="26"/>
  <c r="AA62" i="26" s="1"/>
  <c r="AQ62" i="26"/>
  <c r="Y61" i="26"/>
  <c r="CF63" i="28"/>
  <c r="CP63" i="28"/>
  <c r="AR61" i="28"/>
  <c r="BH62" i="28"/>
  <c r="BL62" i="28" s="1"/>
  <c r="BB62" i="28"/>
  <c r="AF60" i="26"/>
  <c r="X62" i="26"/>
  <c r="Y62" i="26" s="1"/>
  <c r="AO62" i="26"/>
  <c r="CF62" i="28"/>
  <c r="CL64" i="28"/>
  <c r="BZ64" i="28"/>
  <c r="CP64" i="28"/>
  <c r="BR64" i="28"/>
  <c r="A65" i="28"/>
  <c r="BG62" i="28"/>
  <c r="AX62" i="28"/>
  <c r="V62" i="26"/>
  <c r="W62" i="26" s="1"/>
  <c r="AM62" i="26"/>
  <c r="BD61" i="28"/>
  <c r="I62" i="28"/>
  <c r="AH60" i="26"/>
  <c r="Q63" i="28"/>
  <c r="BA63" i="28"/>
  <c r="BB63" i="28" s="1"/>
  <c r="BZ63" i="28"/>
  <c r="X63" i="28"/>
  <c r="AC61" i="26"/>
  <c r="BJ61" i="28"/>
  <c r="CN62" i="28"/>
  <c r="AG60" i="26"/>
  <c r="AH62" i="28"/>
  <c r="AW62" i="26"/>
  <c r="BN63" i="28"/>
  <c r="AF63" i="28"/>
  <c r="AB61" i="26"/>
  <c r="AV61" i="28"/>
  <c r="CL63" i="28"/>
  <c r="BX62" i="28"/>
  <c r="BP62" i="28"/>
  <c r="AS62" i="26"/>
  <c r="V64" i="28" l="1"/>
  <c r="AA64" i="28"/>
  <c r="AF64" i="28"/>
  <c r="Q64" i="28"/>
  <c r="L63" i="28"/>
  <c r="Q65" i="32"/>
  <c r="P65" i="32"/>
  <c r="W64" i="31"/>
  <c r="U64" i="31"/>
  <c r="AI64" i="31"/>
  <c r="S64" i="31"/>
  <c r="AG64" i="31"/>
  <c r="L63" i="32"/>
  <c r="BC63" i="54"/>
  <c r="DC63" i="54"/>
  <c r="AI63" i="54"/>
  <c r="W63" i="54"/>
  <c r="BG63" i="54"/>
  <c r="AU63" i="54"/>
  <c r="S63" i="54"/>
  <c r="CE63" i="54"/>
  <c r="CQ63" i="54"/>
  <c r="CM62" i="54"/>
  <c r="S62" i="54"/>
  <c r="AG62" i="54"/>
  <c r="BA62" i="54"/>
  <c r="CW62" i="54"/>
  <c r="AS62" i="54"/>
  <c r="CK62" i="54"/>
  <c r="BY62" i="54"/>
  <c r="CC62" i="54"/>
  <c r="M62" i="54"/>
  <c r="AA62" i="54"/>
  <c r="CU62" i="54"/>
  <c r="K63" i="54"/>
  <c r="BA63" i="54"/>
  <c r="A64" i="54"/>
  <c r="BY63" i="54"/>
  <c r="O63" i="54"/>
  <c r="AY63" i="54"/>
  <c r="CG63" i="54"/>
  <c r="AM63" i="54"/>
  <c r="AO63" i="54"/>
  <c r="CO63" i="54"/>
  <c r="DA63" i="54"/>
  <c r="CK63" i="54"/>
  <c r="CC63" i="54"/>
  <c r="CW63" i="54"/>
  <c r="I63" i="54"/>
  <c r="BU63" i="54"/>
  <c r="BK63" i="54"/>
  <c r="AG63" i="54"/>
  <c r="CI63" i="54"/>
  <c r="BM63" i="54"/>
  <c r="AW63" i="54"/>
  <c r="AS63" i="54"/>
  <c r="G63" i="54"/>
  <c r="E63" i="54"/>
  <c r="BI63" i="54"/>
  <c r="Q63" i="54"/>
  <c r="M63" i="54"/>
  <c r="Y63" i="54"/>
  <c r="BW63" i="54"/>
  <c r="Y62" i="54"/>
  <c r="G62" i="54"/>
  <c r="G63" i="32"/>
  <c r="S63" i="32"/>
  <c r="O63" i="32"/>
  <c r="O62" i="32"/>
  <c r="F64" i="32"/>
  <c r="AL64" i="32"/>
  <c r="AM64" i="32"/>
  <c r="AQ64" i="32"/>
  <c r="AU64" i="32"/>
  <c r="AT64" i="32"/>
  <c r="AI64" i="32"/>
  <c r="C64" i="32"/>
  <c r="BB64" i="32"/>
  <c r="BC64" i="32"/>
  <c r="V63" i="32"/>
  <c r="W63" i="32"/>
  <c r="AD64" i="32"/>
  <c r="AE64" i="32"/>
  <c r="M64" i="32"/>
  <c r="N64" i="32" s="1"/>
  <c r="U64" i="32"/>
  <c r="AJ64" i="32"/>
  <c r="AJ63" i="32"/>
  <c r="AY64" i="32"/>
  <c r="A66" i="32"/>
  <c r="R64" i="32"/>
  <c r="J64" i="32"/>
  <c r="AA64" i="32"/>
  <c r="AB64" i="32"/>
  <c r="A65" i="31"/>
  <c r="BQ64" i="31"/>
  <c r="BK64" i="31"/>
  <c r="BO64" i="31"/>
  <c r="BI63" i="31"/>
  <c r="AR63" i="31"/>
  <c r="G62" i="31"/>
  <c r="AK63" i="31"/>
  <c r="AU62" i="31"/>
  <c r="AY62" i="31" s="1"/>
  <c r="AO62" i="31"/>
  <c r="AP63" i="31"/>
  <c r="BG63" i="31"/>
  <c r="AI63" i="31"/>
  <c r="P63" i="31"/>
  <c r="Q63" i="31" s="1"/>
  <c r="D63" i="31"/>
  <c r="E63" i="31" s="1"/>
  <c r="L63" i="31"/>
  <c r="M63" i="31" s="1"/>
  <c r="G63" i="31"/>
  <c r="AE63" i="31"/>
  <c r="I63" i="31"/>
  <c r="AG63" i="31"/>
  <c r="AL63" i="31"/>
  <c r="BC63" i="31"/>
  <c r="BO63" i="31"/>
  <c r="U63" i="31"/>
  <c r="AM62" i="31"/>
  <c r="AV62" i="31"/>
  <c r="AZ62" i="31" s="1"/>
  <c r="AT62" i="31"/>
  <c r="AW62" i="31"/>
  <c r="N63" i="31"/>
  <c r="O63" i="31" s="1"/>
  <c r="B63" i="31"/>
  <c r="C63" i="31" s="1"/>
  <c r="J63" i="31"/>
  <c r="K63" i="31" s="1"/>
  <c r="AC63" i="31"/>
  <c r="AN63" i="31"/>
  <c r="BE63" i="31"/>
  <c r="S63" i="31"/>
  <c r="Q63" i="26"/>
  <c r="E63" i="28"/>
  <c r="CD65" i="28"/>
  <c r="CH65" i="28"/>
  <c r="BZ65" i="28"/>
  <c r="CP65" i="28"/>
  <c r="A66" i="28"/>
  <c r="CB64" i="28"/>
  <c r="BA64" i="28"/>
  <c r="Z63" i="26"/>
  <c r="AA63" i="26" s="1"/>
  <c r="AQ63" i="26"/>
  <c r="T63" i="26"/>
  <c r="AK63" i="26"/>
  <c r="BH63" i="28"/>
  <c r="CD64" i="28"/>
  <c r="AW64" i="28"/>
  <c r="BX63" i="28"/>
  <c r="CH64" i="28"/>
  <c r="CB63" i="28"/>
  <c r="J62" i="28"/>
  <c r="AM64" i="28"/>
  <c r="AK64" i="28"/>
  <c r="CN64" i="28"/>
  <c r="AH61" i="26"/>
  <c r="BN64" i="28"/>
  <c r="AY63" i="26"/>
  <c r="H63" i="26"/>
  <c r="F63" i="26"/>
  <c r="B63" i="26"/>
  <c r="C63" i="26" s="1"/>
  <c r="I63" i="28"/>
  <c r="J63" i="28" s="1"/>
  <c r="AS64" i="28"/>
  <c r="BI62" i="28"/>
  <c r="CJ63" i="28"/>
  <c r="E63" i="26"/>
  <c r="E62" i="26"/>
  <c r="AE62" i="26"/>
  <c r="AF61" i="26"/>
  <c r="BV64" i="28"/>
  <c r="AC63" i="28"/>
  <c r="AH63" i="28"/>
  <c r="AI61" i="26"/>
  <c r="AB62" i="26"/>
  <c r="BE63" i="28"/>
  <c r="AP63" i="28"/>
  <c r="V63" i="26"/>
  <c r="BF63" i="28"/>
  <c r="AG61" i="26"/>
  <c r="AC62" i="26"/>
  <c r="X64" i="28"/>
  <c r="BD62" i="28"/>
  <c r="BP63" i="28"/>
  <c r="X63" i="26"/>
  <c r="AO63" i="26"/>
  <c r="S63" i="28"/>
  <c r="K64" i="28"/>
  <c r="CR64" i="28"/>
  <c r="CR63" i="28"/>
  <c r="AZ62" i="28"/>
  <c r="CN63" i="28"/>
  <c r="AO64" i="28"/>
  <c r="AD62" i="26"/>
  <c r="C64" i="28"/>
  <c r="BG63" i="28"/>
  <c r="BK62" i="28"/>
  <c r="A65" i="26"/>
  <c r="AF65" i="28" l="1"/>
  <c r="C65" i="28"/>
  <c r="Q65" i="28"/>
  <c r="L64" i="28"/>
  <c r="N64" i="28"/>
  <c r="S65" i="26"/>
  <c r="M65" i="26"/>
  <c r="K65" i="26"/>
  <c r="AU66" i="32"/>
  <c r="AM66" i="32"/>
  <c r="Q66" i="32"/>
  <c r="W65" i="31"/>
  <c r="AI65" i="31"/>
  <c r="AC65" i="31"/>
  <c r="AA65" i="31"/>
  <c r="Y65" i="31"/>
  <c r="AE63" i="54"/>
  <c r="AQ63" i="54"/>
  <c r="CY64" i="54"/>
  <c r="CM64" i="54"/>
  <c r="CA64" i="54"/>
  <c r="S64" i="54"/>
  <c r="CE64" i="54"/>
  <c r="CA63" i="54"/>
  <c r="CY63" i="54"/>
  <c r="CM63" i="54"/>
  <c r="CU63" i="54"/>
  <c r="U63" i="54"/>
  <c r="K64" i="54"/>
  <c r="CI64" i="54"/>
  <c r="C64" i="54"/>
  <c r="Q64" i="54"/>
  <c r="AW64" i="54"/>
  <c r="M64" i="54"/>
  <c r="BM64" i="54"/>
  <c r="CG64" i="54"/>
  <c r="AM64" i="54"/>
  <c r="Y64" i="54"/>
  <c r="CW64" i="54"/>
  <c r="U64" i="54"/>
  <c r="CO64" i="54"/>
  <c r="BK64" i="54"/>
  <c r="BQ64" i="54"/>
  <c r="BE64" i="54"/>
  <c r="A65" i="54"/>
  <c r="CS64" i="54"/>
  <c r="AA63" i="54"/>
  <c r="CS63" i="54"/>
  <c r="DE63" i="54"/>
  <c r="C63" i="54"/>
  <c r="BE63" i="54"/>
  <c r="BQ63" i="54"/>
  <c r="AK63" i="54"/>
  <c r="AC63" i="54"/>
  <c r="AM65" i="32"/>
  <c r="D65" i="32"/>
  <c r="G65" i="32"/>
  <c r="AJ65" i="32"/>
  <c r="AI65" i="32"/>
  <c r="AY65" i="32"/>
  <c r="AZ65" i="32"/>
  <c r="AR64" i="32"/>
  <c r="AA65" i="32"/>
  <c r="AB65" i="32"/>
  <c r="R65" i="32"/>
  <c r="J65" i="32"/>
  <c r="K65" i="32" s="1"/>
  <c r="AE65" i="32"/>
  <c r="U65" i="32"/>
  <c r="M65" i="32"/>
  <c r="N65" i="32" s="1"/>
  <c r="AT65" i="32"/>
  <c r="AU65" i="32"/>
  <c r="V64" i="32"/>
  <c r="W64" i="32"/>
  <c r="C65" i="32"/>
  <c r="BB65" i="32"/>
  <c r="BC65" i="32"/>
  <c r="F65" i="32"/>
  <c r="P64" i="32"/>
  <c r="L64" i="32" s="1"/>
  <c r="D64" i="32"/>
  <c r="AL65" i="32"/>
  <c r="G64" i="32"/>
  <c r="Q64" i="32"/>
  <c r="O64" i="32" s="1"/>
  <c r="A67" i="32"/>
  <c r="AD65" i="32"/>
  <c r="K64" i="32"/>
  <c r="AR65" i="32"/>
  <c r="AQ65" i="32"/>
  <c r="S64" i="32"/>
  <c r="AZ64" i="32"/>
  <c r="BA62" i="31"/>
  <c r="AX62" i="31"/>
  <c r="AP64" i="31"/>
  <c r="BG64" i="31"/>
  <c r="BI64" i="31"/>
  <c r="AR64" i="31"/>
  <c r="AV63" i="31"/>
  <c r="AZ63" i="31" s="1"/>
  <c r="AQ63" i="31"/>
  <c r="AO63" i="31"/>
  <c r="AU63" i="31"/>
  <c r="AY63" i="31" s="1"/>
  <c r="AM63" i="31"/>
  <c r="AT63" i="31"/>
  <c r="AX63" i="31" s="1"/>
  <c r="AC64" i="31"/>
  <c r="AK64" i="31"/>
  <c r="AA64" i="31"/>
  <c r="AN64" i="31"/>
  <c r="BE64" i="31"/>
  <c r="AE64" i="31"/>
  <c r="AW63" i="31"/>
  <c r="BA63" i="31" s="1"/>
  <c r="AS63" i="31"/>
  <c r="Y64" i="31"/>
  <c r="G64" i="31"/>
  <c r="I64" i="31"/>
  <c r="BM64" i="31"/>
  <c r="AL64" i="31"/>
  <c r="BC64" i="31"/>
  <c r="N64" i="31"/>
  <c r="O64" i="31" s="1"/>
  <c r="B64" i="31"/>
  <c r="C64" i="31" s="1"/>
  <c r="J64" i="31"/>
  <c r="K64" i="31" s="1"/>
  <c r="D64" i="31"/>
  <c r="L64" i="31"/>
  <c r="M64" i="31" s="1"/>
  <c r="P64" i="31"/>
  <c r="A66" i="31"/>
  <c r="BM65" i="31"/>
  <c r="BK65" i="31"/>
  <c r="BQ65" i="31"/>
  <c r="BO65" i="31"/>
  <c r="AS64" i="26"/>
  <c r="BE64" i="28"/>
  <c r="BI64" i="28" s="1"/>
  <c r="M64" i="26"/>
  <c r="AG62" i="26"/>
  <c r="K65" i="28"/>
  <c r="S65" i="28"/>
  <c r="AC65" i="28"/>
  <c r="AM65" i="26"/>
  <c r="AO65" i="26"/>
  <c r="A66" i="26"/>
  <c r="AU65" i="26"/>
  <c r="AY65" i="26"/>
  <c r="AK65" i="26"/>
  <c r="BP64" i="28"/>
  <c r="AF62" i="26"/>
  <c r="I64" i="28"/>
  <c r="J64" i="28" s="1"/>
  <c r="AH62" i="26"/>
  <c r="S64" i="26"/>
  <c r="S64" i="28"/>
  <c r="G63" i="26"/>
  <c r="H64" i="28"/>
  <c r="CL65" i="28"/>
  <c r="AY64" i="26"/>
  <c r="AW64" i="26"/>
  <c r="CJ64" i="28"/>
  <c r="CF64" i="28"/>
  <c r="BD63" i="28"/>
  <c r="AW65" i="28"/>
  <c r="BV65" i="28"/>
  <c r="AM65" i="28"/>
  <c r="AK65" i="28"/>
  <c r="V64" i="26"/>
  <c r="AM64" i="26"/>
  <c r="AZ63" i="28"/>
  <c r="B64" i="26"/>
  <c r="C64" i="26" s="1"/>
  <c r="H64" i="26"/>
  <c r="I64" i="26" s="1"/>
  <c r="F64" i="26"/>
  <c r="AD63" i="26"/>
  <c r="Y63" i="26"/>
  <c r="AC63" i="26"/>
  <c r="AI62" i="26"/>
  <c r="BL63" i="28"/>
  <c r="AE63" i="26"/>
  <c r="AO65" i="28"/>
  <c r="BN65" i="28"/>
  <c r="CR65" i="28"/>
  <c r="T64" i="26"/>
  <c r="U64" i="26" s="1"/>
  <c r="AK64" i="26"/>
  <c r="BK63" i="28"/>
  <c r="BJ63" i="28"/>
  <c r="Q64" i="26"/>
  <c r="AH64" i="28"/>
  <c r="W63" i="26"/>
  <c r="I63" i="26"/>
  <c r="BG64" i="28"/>
  <c r="BK64" i="28" s="1"/>
  <c r="AX64" i="28"/>
  <c r="A67" i="28"/>
  <c r="BZ66" i="28"/>
  <c r="X64" i="26"/>
  <c r="AO64" i="26"/>
  <c r="AC64" i="28"/>
  <c r="BI63" i="28"/>
  <c r="E64" i="26"/>
  <c r="AV64" i="28"/>
  <c r="BF64" i="28"/>
  <c r="BJ64" i="28" s="1"/>
  <c r="AT64" i="28"/>
  <c r="AP64" i="28"/>
  <c r="AS65" i="28"/>
  <c r="BR65" i="28"/>
  <c r="Z64" i="26"/>
  <c r="AQ64" i="26"/>
  <c r="H65" i="28"/>
  <c r="O64" i="26"/>
  <c r="AV63" i="28"/>
  <c r="AR63" i="28"/>
  <c r="K64" i="26"/>
  <c r="AU64" i="26"/>
  <c r="BX64" i="28"/>
  <c r="AB63" i="26"/>
  <c r="U63" i="26"/>
  <c r="BH64" i="28"/>
  <c r="BB64" i="28"/>
  <c r="V65" i="28"/>
  <c r="BA65" i="28"/>
  <c r="N63" i="28"/>
  <c r="BT64" i="28"/>
  <c r="E64" i="28"/>
  <c r="AA65" i="28"/>
  <c r="C66" i="28" l="1"/>
  <c r="CQ64" i="54"/>
  <c r="DC64" i="54"/>
  <c r="W64" i="54"/>
  <c r="AI64" i="54"/>
  <c r="BG64" i="54"/>
  <c r="AU64" i="54"/>
  <c r="AK66" i="31"/>
  <c r="AI66" i="31"/>
  <c r="AA66" i="31"/>
  <c r="K66" i="26"/>
  <c r="E66" i="26"/>
  <c r="M66" i="26"/>
  <c r="L65" i="28"/>
  <c r="S65" i="32"/>
  <c r="CY65" i="54"/>
  <c r="CM65" i="54"/>
  <c r="CQ65" i="54"/>
  <c r="CE65" i="54"/>
  <c r="DC65" i="54"/>
  <c r="AU65" i="54"/>
  <c r="W65" i="54"/>
  <c r="AI65" i="54"/>
  <c r="BG65" i="54"/>
  <c r="BC64" i="54"/>
  <c r="AE64" i="54"/>
  <c r="AQ64" i="54"/>
  <c r="AS64" i="54"/>
  <c r="BI64" i="54"/>
  <c r="AG64" i="54"/>
  <c r="AY64" i="54"/>
  <c r="BY64" i="54"/>
  <c r="O64" i="54"/>
  <c r="I64" i="54"/>
  <c r="CC64" i="54"/>
  <c r="K65" i="54"/>
  <c r="BE65" i="54"/>
  <c r="BQ65" i="54"/>
  <c r="DE65" i="54"/>
  <c r="CC65" i="54"/>
  <c r="AM65" i="54"/>
  <c r="AO65" i="54"/>
  <c r="CS65" i="54"/>
  <c r="BW65" i="54"/>
  <c r="G65" i="54"/>
  <c r="BI65" i="54"/>
  <c r="AS65" i="54"/>
  <c r="O65" i="54"/>
  <c r="AC65" i="54"/>
  <c r="AG65" i="54"/>
  <c r="M65" i="54"/>
  <c r="E65" i="54"/>
  <c r="AY65" i="54"/>
  <c r="AW65" i="54"/>
  <c r="A66" i="54"/>
  <c r="CU65" i="54"/>
  <c r="CI65" i="54"/>
  <c r="BU65" i="54"/>
  <c r="U65" i="54"/>
  <c r="CW65" i="54"/>
  <c r="CK65" i="54"/>
  <c r="AK64" i="54"/>
  <c r="AO64" i="54"/>
  <c r="E64" i="54"/>
  <c r="DA64" i="54"/>
  <c r="G64" i="54"/>
  <c r="CK64" i="54"/>
  <c r="DE64" i="54"/>
  <c r="AC64" i="54"/>
  <c r="BA64" i="54"/>
  <c r="BU64" i="54"/>
  <c r="BW64" i="54"/>
  <c r="AA64" i="54"/>
  <c r="CU64" i="54"/>
  <c r="G66" i="32"/>
  <c r="AJ66" i="32"/>
  <c r="AT66" i="32"/>
  <c r="L65" i="32"/>
  <c r="A68" i="32"/>
  <c r="AL66" i="32"/>
  <c r="V65" i="32"/>
  <c r="W65" i="32"/>
  <c r="AZ66" i="32"/>
  <c r="AY66" i="32"/>
  <c r="T64" i="32"/>
  <c r="T65" i="32"/>
  <c r="AB66" i="32"/>
  <c r="R66" i="32"/>
  <c r="J66" i="32"/>
  <c r="K66" i="32" s="1"/>
  <c r="AA66" i="32"/>
  <c r="U66" i="32"/>
  <c r="AD66" i="32"/>
  <c r="M66" i="32"/>
  <c r="N66" i="32" s="1"/>
  <c r="AE66" i="32"/>
  <c r="C66" i="32"/>
  <c r="F66" i="32"/>
  <c r="AQ66" i="32"/>
  <c r="BB66" i="32"/>
  <c r="BC66" i="32"/>
  <c r="AI66" i="32"/>
  <c r="AR66" i="32"/>
  <c r="O65" i="32"/>
  <c r="AL65" i="31"/>
  <c r="AM65" i="31" s="1"/>
  <c r="O66" i="32"/>
  <c r="Q65" i="26"/>
  <c r="N65" i="31"/>
  <c r="O65" i="31" s="1"/>
  <c r="J65" i="31"/>
  <c r="K65" i="31" s="1"/>
  <c r="B65" i="31"/>
  <c r="C65" i="31" s="1"/>
  <c r="AM64" i="31"/>
  <c r="AT64" i="31"/>
  <c r="AX64" i="31" s="1"/>
  <c r="I65" i="31"/>
  <c r="BQ66" i="31"/>
  <c r="BO66" i="31"/>
  <c r="A67" i="31"/>
  <c r="G65" i="31"/>
  <c r="AE65" i="31"/>
  <c r="L65" i="31"/>
  <c r="P65" i="31"/>
  <c r="D65" i="31"/>
  <c r="E65" i="31" s="1"/>
  <c r="AG65" i="31"/>
  <c r="Q64" i="31"/>
  <c r="U65" i="31"/>
  <c r="E64" i="31"/>
  <c r="AS64" i="31"/>
  <c r="AW64" i="31"/>
  <c r="BA64" i="31" s="1"/>
  <c r="BE65" i="31"/>
  <c r="AN65" i="31"/>
  <c r="BC65" i="31"/>
  <c r="AP65" i="31"/>
  <c r="BG65" i="31"/>
  <c r="S65" i="31"/>
  <c r="AK65" i="31"/>
  <c r="AR65" i="31"/>
  <c r="BI65" i="31"/>
  <c r="AU64" i="31"/>
  <c r="AY64" i="31" s="1"/>
  <c r="AO64" i="31"/>
  <c r="AV64" i="31"/>
  <c r="AZ64" i="31" s="1"/>
  <c r="AQ64" i="31"/>
  <c r="E65" i="26"/>
  <c r="CB66" i="28"/>
  <c r="BA66" i="28"/>
  <c r="BB66" i="28" s="1"/>
  <c r="AW66" i="28"/>
  <c r="BV66" i="28"/>
  <c r="T65" i="26"/>
  <c r="BD64" i="28"/>
  <c r="BH65" i="28"/>
  <c r="BL65" i="28" s="1"/>
  <c r="BB65" i="28"/>
  <c r="AE64" i="26"/>
  <c r="AI64" i="26" s="1"/>
  <c r="AA64" i="26"/>
  <c r="BF65" i="28"/>
  <c r="AT65" i="28"/>
  <c r="AZ64" i="28"/>
  <c r="AF66" i="28"/>
  <c r="CH67" i="28"/>
  <c r="CD67" i="28"/>
  <c r="A68" i="28"/>
  <c r="CP67" i="28"/>
  <c r="BR67" i="28"/>
  <c r="X65" i="28"/>
  <c r="F65" i="26"/>
  <c r="B65" i="26"/>
  <c r="C65" i="26" s="1"/>
  <c r="H65" i="26"/>
  <c r="I65" i="28"/>
  <c r="CB65" i="28"/>
  <c r="BT65" i="28"/>
  <c r="CH66" i="28"/>
  <c r="V66" i="28"/>
  <c r="AI63" i="26"/>
  <c r="BG65" i="28"/>
  <c r="AX65" i="28"/>
  <c r="Z65" i="26"/>
  <c r="AQ65" i="26"/>
  <c r="AW65" i="26"/>
  <c r="AC66" i="28"/>
  <c r="AA66" i="28"/>
  <c r="CN66" i="28"/>
  <c r="CL66" i="28"/>
  <c r="BL64" i="28"/>
  <c r="BX65" i="28"/>
  <c r="A67" i="26"/>
  <c r="O65" i="26"/>
  <c r="BP65" i="28"/>
  <c r="AD64" i="26"/>
  <c r="AO66" i="28"/>
  <c r="AP66" i="28" s="1"/>
  <c r="BN66" i="28"/>
  <c r="X65" i="26"/>
  <c r="CJ65" i="28"/>
  <c r="AS66" i="28"/>
  <c r="AT66" i="28" s="1"/>
  <c r="BR66" i="28"/>
  <c r="BE65" i="28"/>
  <c r="AP65" i="28"/>
  <c r="Y64" i="26"/>
  <c r="AF63" i="26"/>
  <c r="CN65" i="28"/>
  <c r="V65" i="26"/>
  <c r="CF66" i="28"/>
  <c r="CD66" i="28"/>
  <c r="H66" i="28"/>
  <c r="K66" i="28"/>
  <c r="Q66" i="28"/>
  <c r="AG63" i="26"/>
  <c r="G64" i="26"/>
  <c r="AC64" i="26"/>
  <c r="AG64" i="26" s="1"/>
  <c r="W64" i="26"/>
  <c r="CF65" i="28"/>
  <c r="AS65" i="26"/>
  <c r="E65" i="28"/>
  <c r="AM66" i="28"/>
  <c r="AK66" i="28"/>
  <c r="CP66" i="28"/>
  <c r="AB64" i="26"/>
  <c r="AH63" i="26"/>
  <c r="AR64" i="28"/>
  <c r="AH65" i="28"/>
  <c r="V67" i="28" l="1"/>
  <c r="AA67" i="32"/>
  <c r="Q67" i="28"/>
  <c r="AK67" i="28"/>
  <c r="AA67" i="28"/>
  <c r="C67" i="28"/>
  <c r="P68" i="32"/>
  <c r="L66" i="28"/>
  <c r="O67" i="26"/>
  <c r="M67" i="26"/>
  <c r="K67" i="26"/>
  <c r="S67" i="26"/>
  <c r="W67" i="31"/>
  <c r="AK67" i="31"/>
  <c r="AI67" i="31"/>
  <c r="S67" i="31"/>
  <c r="AC67" i="31"/>
  <c r="AE65" i="54"/>
  <c r="AQ65" i="54"/>
  <c r="S65" i="54"/>
  <c r="CA65" i="54"/>
  <c r="AE66" i="54"/>
  <c r="CY66" i="54"/>
  <c r="CM66" i="54"/>
  <c r="CQ66" i="54"/>
  <c r="CE66" i="54"/>
  <c r="DC66" i="54"/>
  <c r="AI66" i="54"/>
  <c r="BG66" i="54"/>
  <c r="AU66" i="54"/>
  <c r="W66" i="54"/>
  <c r="BC65" i="54"/>
  <c r="Y65" i="54"/>
  <c r="BK65" i="54"/>
  <c r="BM65" i="54"/>
  <c r="Q65" i="54"/>
  <c r="I65" i="54"/>
  <c r="BA65" i="54"/>
  <c r="CO65" i="54"/>
  <c r="K66" i="54"/>
  <c r="AY66" i="54"/>
  <c r="AM66" i="54"/>
  <c r="BA66" i="54"/>
  <c r="AO66" i="54"/>
  <c r="CU66" i="54"/>
  <c r="AW66" i="54"/>
  <c r="BK66" i="54"/>
  <c r="DE66" i="54"/>
  <c r="BY66" i="54"/>
  <c r="CG66" i="54"/>
  <c r="BM66" i="54"/>
  <c r="C66" i="54"/>
  <c r="Y66" i="54"/>
  <c r="E66" i="54"/>
  <c r="DA66" i="54"/>
  <c r="CI66" i="54"/>
  <c r="AS66" i="54"/>
  <c r="BI66" i="54"/>
  <c r="CO66" i="54"/>
  <c r="CC66" i="54"/>
  <c r="CW66" i="54"/>
  <c r="O66" i="54"/>
  <c r="AC66" i="54"/>
  <c r="A67" i="54"/>
  <c r="CK66" i="54"/>
  <c r="BE66" i="54"/>
  <c r="BU66" i="54"/>
  <c r="CG65" i="54"/>
  <c r="DA65" i="54"/>
  <c r="BY65" i="54"/>
  <c r="AA65" i="54"/>
  <c r="C65" i="54"/>
  <c r="AK65" i="54"/>
  <c r="AZ67" i="32"/>
  <c r="W66" i="32"/>
  <c r="V66" i="32"/>
  <c r="F67" i="32"/>
  <c r="AD67" i="32"/>
  <c r="AE67" i="32"/>
  <c r="U67" i="32"/>
  <c r="M67" i="32"/>
  <c r="N67" i="32" s="1"/>
  <c r="S66" i="32"/>
  <c r="AL67" i="32"/>
  <c r="AM67" i="32"/>
  <c r="P66" i="32"/>
  <c r="D66" i="32"/>
  <c r="C67" i="32"/>
  <c r="P67" i="32"/>
  <c r="BC67" i="32"/>
  <c r="BB67" i="32"/>
  <c r="R67" i="32"/>
  <c r="AB67" i="32"/>
  <c r="J67" i="32"/>
  <c r="K67" i="32" s="1"/>
  <c r="A69" i="32"/>
  <c r="AJ67" i="32"/>
  <c r="AI67" i="32"/>
  <c r="AT67" i="32"/>
  <c r="AU67" i="32"/>
  <c r="AQ67" i="32"/>
  <c r="AR67" i="32"/>
  <c r="AY67" i="32"/>
  <c r="AV65" i="31"/>
  <c r="AQ65" i="31"/>
  <c r="AL66" i="31"/>
  <c r="BC66" i="31"/>
  <c r="AT65" i="31"/>
  <c r="AX65" i="31" s="1"/>
  <c r="AU65" i="31"/>
  <c r="AY65" i="31" s="1"/>
  <c r="AO65" i="31"/>
  <c r="W66" i="31"/>
  <c r="BI66" i="31"/>
  <c r="AR66" i="31"/>
  <c r="AN66" i="31"/>
  <c r="BE66" i="31"/>
  <c r="BI67" i="31"/>
  <c r="BO67" i="31"/>
  <c r="A68" i="31"/>
  <c r="AA67" i="31"/>
  <c r="BM67" i="31"/>
  <c r="BK67" i="31"/>
  <c r="Y66" i="31"/>
  <c r="BK66" i="31"/>
  <c r="AC66" i="31"/>
  <c r="U66" i="31"/>
  <c r="P66" i="31"/>
  <c r="D66" i="31"/>
  <c r="E66" i="31" s="1"/>
  <c r="L66" i="31"/>
  <c r="M66" i="31" s="1"/>
  <c r="G66" i="31"/>
  <c r="AE66" i="31"/>
  <c r="AG66" i="31"/>
  <c r="BG66" i="31"/>
  <c r="AP66" i="31"/>
  <c r="AQ66" i="31" s="1"/>
  <c r="I66" i="31"/>
  <c r="BM66" i="31"/>
  <c r="M65" i="31"/>
  <c r="AW65" i="31"/>
  <c r="BA65" i="31" s="1"/>
  <c r="AS65" i="31"/>
  <c r="Q65" i="31"/>
  <c r="S66" i="31"/>
  <c r="N66" i="31"/>
  <c r="O66" i="31" s="1"/>
  <c r="J66" i="31"/>
  <c r="B66" i="31"/>
  <c r="AF64" i="26"/>
  <c r="AC65" i="26"/>
  <c r="W65" i="26"/>
  <c r="AR65" i="28"/>
  <c r="T66" i="26"/>
  <c r="AK66" i="26"/>
  <c r="H67" i="28"/>
  <c r="S67" i="28"/>
  <c r="K67" i="28"/>
  <c r="X67" i="28"/>
  <c r="AF67" i="28"/>
  <c r="BX66" i="28"/>
  <c r="BI65" i="28"/>
  <c r="H66" i="26"/>
  <c r="I66" i="26" s="1"/>
  <c r="F66" i="26"/>
  <c r="B66" i="26"/>
  <c r="C66" i="26" s="1"/>
  <c r="AW66" i="26"/>
  <c r="AE65" i="26"/>
  <c r="AI65" i="26" s="1"/>
  <c r="AA65" i="26"/>
  <c r="CJ66" i="28"/>
  <c r="BJ65" i="28"/>
  <c r="BZ67" i="28"/>
  <c r="BP66" i="28"/>
  <c r="E66" i="28"/>
  <c r="AH64" i="26"/>
  <c r="AY66" i="26"/>
  <c r="O66" i="26"/>
  <c r="I65" i="26"/>
  <c r="AH66" i="28"/>
  <c r="S66" i="28"/>
  <c r="V66" i="26"/>
  <c r="AM66" i="26"/>
  <c r="AH67" i="28"/>
  <c r="BF66" i="28"/>
  <c r="X66" i="26"/>
  <c r="AO66" i="26"/>
  <c r="Z66" i="26"/>
  <c r="AQ66" i="26"/>
  <c r="X66" i="28"/>
  <c r="G65" i="26"/>
  <c r="BA67" i="28"/>
  <c r="AW67" i="28"/>
  <c r="BV67" i="28"/>
  <c r="BT66" i="28"/>
  <c r="Q66" i="26"/>
  <c r="AK67" i="26"/>
  <c r="AU67" i="26"/>
  <c r="A68" i="26"/>
  <c r="CR66" i="28"/>
  <c r="A69" i="28"/>
  <c r="BV68" i="28"/>
  <c r="AS66" i="26"/>
  <c r="AB65" i="26"/>
  <c r="U65" i="26"/>
  <c r="BH66" i="28"/>
  <c r="I66" i="28"/>
  <c r="N65" i="28"/>
  <c r="BE66" i="28"/>
  <c r="AU66" i="26"/>
  <c r="BK65" i="28"/>
  <c r="BD65" i="28"/>
  <c r="J65" i="28"/>
  <c r="AD65" i="26"/>
  <c r="Y65" i="26"/>
  <c r="S66" i="26"/>
  <c r="AZ65" i="28"/>
  <c r="AS67" i="28"/>
  <c r="AO67" i="28"/>
  <c r="BN67" i="28"/>
  <c r="AV65" i="28"/>
  <c r="BG66" i="28"/>
  <c r="AX66" i="28"/>
  <c r="CL67" i="28"/>
  <c r="Q68" i="28" l="1"/>
  <c r="C68" i="28"/>
  <c r="AK68" i="28"/>
  <c r="L67" i="28"/>
  <c r="S68" i="26"/>
  <c r="M68" i="26"/>
  <c r="AJ69" i="32"/>
  <c r="G69" i="32"/>
  <c r="AA68" i="31"/>
  <c r="AK68" i="31"/>
  <c r="U68" i="31"/>
  <c r="AI68" i="31"/>
  <c r="I68" i="31"/>
  <c r="Y68" i="31"/>
  <c r="AQ66" i="54"/>
  <c r="CA66" i="54"/>
  <c r="CQ67" i="54"/>
  <c r="CE67" i="54"/>
  <c r="S67" i="54"/>
  <c r="DC67" i="54"/>
  <c r="AI67" i="54"/>
  <c r="BG67" i="54"/>
  <c r="AU67" i="54"/>
  <c r="W67" i="54"/>
  <c r="BC66" i="54"/>
  <c r="S66" i="54"/>
  <c r="U66" i="54"/>
  <c r="AK66" i="54"/>
  <c r="G66" i="54"/>
  <c r="CS66" i="54"/>
  <c r="K67" i="54"/>
  <c r="AK67" i="54"/>
  <c r="BW67" i="54"/>
  <c r="I67" i="54"/>
  <c r="CU67" i="54"/>
  <c r="AG67" i="54"/>
  <c r="AY67" i="54"/>
  <c r="BK67" i="54"/>
  <c r="M67" i="54"/>
  <c r="BU67" i="54"/>
  <c r="O67" i="54"/>
  <c r="BQ67" i="54"/>
  <c r="CC67" i="54"/>
  <c r="AW67" i="54"/>
  <c r="CS67" i="54"/>
  <c r="Q67" i="54"/>
  <c r="CG67" i="54"/>
  <c r="A68" i="54"/>
  <c r="Y67" i="54"/>
  <c r="BM67" i="54"/>
  <c r="M66" i="54"/>
  <c r="Q66" i="54"/>
  <c r="AG66" i="54"/>
  <c r="AA66" i="54"/>
  <c r="BQ66" i="54"/>
  <c r="BW66" i="54"/>
  <c r="I66" i="54"/>
  <c r="D68" i="32"/>
  <c r="AM68" i="32"/>
  <c r="AL68" i="32"/>
  <c r="T67" i="32"/>
  <c r="S67" i="32"/>
  <c r="AB68" i="32"/>
  <c r="R68" i="32"/>
  <c r="J68" i="32"/>
  <c r="K68" i="32" s="1"/>
  <c r="T66" i="32"/>
  <c r="G67" i="32"/>
  <c r="Q67" i="32"/>
  <c r="O67" i="32" s="1"/>
  <c r="BB68" i="32"/>
  <c r="BC68" i="32"/>
  <c r="F68" i="32"/>
  <c r="M68" i="32"/>
  <c r="U68" i="32"/>
  <c r="AD68" i="32"/>
  <c r="AJ68" i="32"/>
  <c r="AT68" i="32"/>
  <c r="AI68" i="32"/>
  <c r="A70" i="32"/>
  <c r="W67" i="32"/>
  <c r="V67" i="32"/>
  <c r="AA68" i="32"/>
  <c r="L68" i="32"/>
  <c r="AQ68" i="32"/>
  <c r="AR68" i="32"/>
  <c r="L67" i="32"/>
  <c r="L66" i="32"/>
  <c r="C68" i="32"/>
  <c r="AY68" i="32"/>
  <c r="AZ68" i="32"/>
  <c r="D67" i="32"/>
  <c r="AN67" i="31"/>
  <c r="AO67" i="31" s="1"/>
  <c r="AV66" i="31"/>
  <c r="AZ66" i="31" s="1"/>
  <c r="AZ65" i="31"/>
  <c r="I67" i="31"/>
  <c r="BM68" i="31"/>
  <c r="BK68" i="31"/>
  <c r="A69" i="31"/>
  <c r="BQ68" i="31"/>
  <c r="BO68" i="31"/>
  <c r="AU66" i="31"/>
  <c r="AY66" i="31" s="1"/>
  <c r="AO66" i="31"/>
  <c r="AS66" i="31"/>
  <c r="AW66" i="31"/>
  <c r="AL67" i="31"/>
  <c r="U67" i="31"/>
  <c r="L67" i="31"/>
  <c r="D67" i="31"/>
  <c r="E67" i="31" s="1"/>
  <c r="P67" i="31"/>
  <c r="Q67" i="31" s="1"/>
  <c r="Y67" i="31"/>
  <c r="N67" i="31"/>
  <c r="B67" i="31"/>
  <c r="C67" i="31" s="1"/>
  <c r="J67" i="31"/>
  <c r="BC67" i="31"/>
  <c r="AR67" i="31"/>
  <c r="AM66" i="31"/>
  <c r="AT66" i="31"/>
  <c r="AX66" i="31" s="1"/>
  <c r="C66" i="31"/>
  <c r="AG67" i="31"/>
  <c r="K66" i="31"/>
  <c r="BQ67" i="31"/>
  <c r="AP67" i="31"/>
  <c r="BG67" i="31"/>
  <c r="AE67" i="31"/>
  <c r="G67" i="31"/>
  <c r="BE67" i="31"/>
  <c r="Q66" i="31"/>
  <c r="BK66" i="28"/>
  <c r="I67" i="28"/>
  <c r="J67" i="28" s="1"/>
  <c r="BL66" i="28"/>
  <c r="CJ68" i="28"/>
  <c r="CH68" i="28"/>
  <c r="BT68" i="28"/>
  <c r="AS68" i="28"/>
  <c r="AT68" i="28" s="1"/>
  <c r="BR68" i="28"/>
  <c r="V67" i="26"/>
  <c r="W67" i="26" s="1"/>
  <c r="BH67" i="28"/>
  <c r="BB67" i="28"/>
  <c r="BJ66" i="28"/>
  <c r="AA66" i="26"/>
  <c r="AF68" i="28"/>
  <c r="AW67" i="26"/>
  <c r="AG65" i="26"/>
  <c r="BD66" i="28"/>
  <c r="X68" i="28"/>
  <c r="E68" i="28"/>
  <c r="X67" i="26"/>
  <c r="AO67" i="26"/>
  <c r="T67" i="26"/>
  <c r="CB67" i="28"/>
  <c r="AV66" i="28"/>
  <c r="AC66" i="26"/>
  <c r="W66" i="26"/>
  <c r="V68" i="28"/>
  <c r="CJ67" i="28"/>
  <c r="CL69" i="28"/>
  <c r="BZ69" i="28"/>
  <c r="CH69" i="28"/>
  <c r="BN69" i="28"/>
  <c r="A70" i="28"/>
  <c r="CD68" i="28"/>
  <c r="AD66" i="26"/>
  <c r="AH66" i="26" s="1"/>
  <c r="AY67" i="26"/>
  <c r="E67" i="28"/>
  <c r="AM67" i="28"/>
  <c r="BP67" i="28"/>
  <c r="CP68" i="28"/>
  <c r="AS67" i="26"/>
  <c r="BG67" i="28"/>
  <c r="AX67" i="28"/>
  <c r="AC67" i="28"/>
  <c r="CF67" i="28"/>
  <c r="AB66" i="26"/>
  <c r="AF66" i="26" s="1"/>
  <c r="U66" i="26"/>
  <c r="AZ66" i="28"/>
  <c r="BF67" i="28"/>
  <c r="AT67" i="28"/>
  <c r="H68" i="28"/>
  <c r="K68" i="28"/>
  <c r="Q67" i="26"/>
  <c r="BX67" i="28"/>
  <c r="CN67" i="28"/>
  <c r="Y66" i="26"/>
  <c r="BE67" i="28"/>
  <c r="BI67" i="28" s="1"/>
  <c r="AP67" i="28"/>
  <c r="AF65" i="26"/>
  <c r="BA68" i="28"/>
  <c r="BZ68" i="28"/>
  <c r="CN68" i="28"/>
  <c r="CL68" i="28"/>
  <c r="AW68" i="26"/>
  <c r="A69" i="26"/>
  <c r="AM68" i="26"/>
  <c r="AO68" i="26"/>
  <c r="AE66" i="26"/>
  <c r="AI66" i="26" s="1"/>
  <c r="BI66" i="28"/>
  <c r="AO68" i="28"/>
  <c r="AP68" i="28" s="1"/>
  <c r="BN68" i="28"/>
  <c r="B67" i="26"/>
  <c r="F67" i="26"/>
  <c r="H67" i="26"/>
  <c r="I67" i="26" s="1"/>
  <c r="BT67" i="28"/>
  <c r="AM67" i="26"/>
  <c r="CR67" i="28"/>
  <c r="AH65" i="26"/>
  <c r="G66" i="26"/>
  <c r="AR66" i="28"/>
  <c r="J66" i="28"/>
  <c r="AW68" i="28"/>
  <c r="AA68" i="28"/>
  <c r="Z67" i="26"/>
  <c r="AQ67" i="26"/>
  <c r="N66" i="28"/>
  <c r="Q69" i="28" l="1"/>
  <c r="AA69" i="28"/>
  <c r="AK69" i="28"/>
  <c r="C69" i="28"/>
  <c r="L68" i="28"/>
  <c r="AJ70" i="32"/>
  <c r="P70" i="32"/>
  <c r="M69" i="26"/>
  <c r="K69" i="26"/>
  <c r="S69" i="26"/>
  <c r="Y69" i="31"/>
  <c r="W69" i="31"/>
  <c r="AE69" i="31"/>
  <c r="AC69" i="31"/>
  <c r="AK69" i="31"/>
  <c r="F69" i="32"/>
  <c r="CM67" i="54"/>
  <c r="AE67" i="54"/>
  <c r="CA67" i="54"/>
  <c r="BC67" i="54"/>
  <c r="Q69" i="32"/>
  <c r="BC68" i="54"/>
  <c r="CY68" i="54"/>
  <c r="CE68" i="54"/>
  <c r="DC68" i="54"/>
  <c r="BG68" i="54"/>
  <c r="AU68" i="54"/>
  <c r="W68" i="54"/>
  <c r="CQ68" i="54"/>
  <c r="AI68" i="54"/>
  <c r="AQ67" i="54"/>
  <c r="CY67" i="54"/>
  <c r="E67" i="54"/>
  <c r="C67" i="54"/>
  <c r="K68" i="54"/>
  <c r="A69" i="54"/>
  <c r="BA68" i="54"/>
  <c r="E68" i="54"/>
  <c r="CW68" i="54"/>
  <c r="AG68" i="54"/>
  <c r="CO68" i="54"/>
  <c r="CS68" i="54"/>
  <c r="DE68" i="54"/>
  <c r="CG68" i="54"/>
  <c r="AC68" i="54"/>
  <c r="DA68" i="54"/>
  <c r="BY68" i="54"/>
  <c r="BW68" i="54"/>
  <c r="AY68" i="54"/>
  <c r="CK68" i="54"/>
  <c r="U68" i="54"/>
  <c r="BQ68" i="54"/>
  <c r="G68" i="54"/>
  <c r="CI68" i="54"/>
  <c r="O68" i="54"/>
  <c r="AM68" i="54"/>
  <c r="AK68" i="54"/>
  <c r="AW68" i="54"/>
  <c r="AA68" i="54"/>
  <c r="AO68" i="54"/>
  <c r="BI68" i="54"/>
  <c r="M68" i="54"/>
  <c r="I68" i="54"/>
  <c r="BE68" i="54"/>
  <c r="BM68" i="54"/>
  <c r="DA67" i="54"/>
  <c r="AA67" i="54"/>
  <c r="CI67" i="54"/>
  <c r="BI67" i="54"/>
  <c r="CK67" i="54"/>
  <c r="BY67" i="54"/>
  <c r="AS67" i="54"/>
  <c r="BA67" i="54"/>
  <c r="DE67" i="54"/>
  <c r="CO67" i="54"/>
  <c r="AO67" i="54"/>
  <c r="BE67" i="54"/>
  <c r="CW67" i="54"/>
  <c r="AM67" i="54"/>
  <c r="G67" i="54"/>
  <c r="U67" i="54"/>
  <c r="AC67" i="54"/>
  <c r="AZ69" i="32"/>
  <c r="AU68" i="32"/>
  <c r="S68" i="32"/>
  <c r="T68" i="32"/>
  <c r="AP68" i="31"/>
  <c r="AQ68" i="31" s="1"/>
  <c r="AD69" i="32"/>
  <c r="U69" i="32"/>
  <c r="AE69" i="32"/>
  <c r="M69" i="32"/>
  <c r="N69" i="32" s="1"/>
  <c r="AQ69" i="32"/>
  <c r="AR69" i="32"/>
  <c r="AT69" i="32"/>
  <c r="AU69" i="32"/>
  <c r="AA69" i="32"/>
  <c r="AB69" i="32"/>
  <c r="R69" i="32"/>
  <c r="J69" i="32"/>
  <c r="K69" i="32" s="1"/>
  <c r="V68" i="32"/>
  <c r="W68" i="32"/>
  <c r="C69" i="32"/>
  <c r="AM69" i="32"/>
  <c r="AL69" i="32"/>
  <c r="AE68" i="32"/>
  <c r="BB69" i="32"/>
  <c r="BC69" i="32"/>
  <c r="A71" i="32"/>
  <c r="N68" i="32"/>
  <c r="AI69" i="32"/>
  <c r="Q68" i="32"/>
  <c r="O68" i="32" s="1"/>
  <c r="G68" i="32"/>
  <c r="AY69" i="32"/>
  <c r="AG68" i="31"/>
  <c r="BA66" i="31"/>
  <c r="M67" i="31"/>
  <c r="AL68" i="31"/>
  <c r="AM68" i="31" s="1"/>
  <c r="BC68" i="31"/>
  <c r="BM69" i="31"/>
  <c r="BK69" i="31"/>
  <c r="A70" i="31"/>
  <c r="BO69" i="31"/>
  <c r="BQ69" i="31"/>
  <c r="W68" i="31"/>
  <c r="AT67" i="31"/>
  <c r="AX67" i="31" s="1"/>
  <c r="AU67" i="31"/>
  <c r="AY67" i="31" s="1"/>
  <c r="AN68" i="31"/>
  <c r="BE68" i="31"/>
  <c r="AM67" i="31"/>
  <c r="L68" i="31"/>
  <c r="M68" i="31" s="1"/>
  <c r="P68" i="31"/>
  <c r="Q68" i="31" s="1"/>
  <c r="D68" i="31"/>
  <c r="E68" i="31" s="1"/>
  <c r="S68" i="31"/>
  <c r="J68" i="31"/>
  <c r="K68" i="31" s="1"/>
  <c r="N68" i="31"/>
  <c r="O68" i="31" s="1"/>
  <c r="B68" i="31"/>
  <c r="AW67" i="31"/>
  <c r="BA67" i="31" s="1"/>
  <c r="AS67" i="31"/>
  <c r="AC68" i="31"/>
  <c r="AV67" i="31"/>
  <c r="AZ67" i="31" s="1"/>
  <c r="AQ67" i="31"/>
  <c r="O67" i="31"/>
  <c r="BI68" i="31"/>
  <c r="AR68" i="31"/>
  <c r="BG68" i="31"/>
  <c r="K67" i="31"/>
  <c r="AE68" i="31"/>
  <c r="T68" i="26"/>
  <c r="A70" i="26"/>
  <c r="AY69" i="26"/>
  <c r="AW69" i="26"/>
  <c r="AZ67" i="28"/>
  <c r="O68" i="26"/>
  <c r="CF68" i="28"/>
  <c r="CP69" i="28"/>
  <c r="I68" i="28"/>
  <c r="CR68" i="28"/>
  <c r="BP68" i="28"/>
  <c r="AO69" i="28"/>
  <c r="AP69" i="28" s="1"/>
  <c r="AD67" i="26"/>
  <c r="Y67" i="26"/>
  <c r="V69" i="28"/>
  <c r="AC67" i="26"/>
  <c r="AG67" i="26" s="1"/>
  <c r="X68" i="26"/>
  <c r="AU68" i="26"/>
  <c r="AV67" i="28"/>
  <c r="AC68" i="28"/>
  <c r="K69" i="28"/>
  <c r="H69" i="28"/>
  <c r="S69" i="28"/>
  <c r="AE67" i="26"/>
  <c r="AA67" i="26"/>
  <c r="BH68" i="28"/>
  <c r="BL68" i="28" s="1"/>
  <c r="N67" i="28"/>
  <c r="N68" i="28"/>
  <c r="AS69" i="28"/>
  <c r="BJ67" i="28"/>
  <c r="Q68" i="26"/>
  <c r="BF68" i="28"/>
  <c r="BJ68" i="28" s="1"/>
  <c r="AV68" i="28"/>
  <c r="AS68" i="26"/>
  <c r="BG68" i="28"/>
  <c r="AX68" i="28"/>
  <c r="C67" i="26"/>
  <c r="Z68" i="26"/>
  <c r="E68" i="26"/>
  <c r="CH70" i="28"/>
  <c r="A71" i="28"/>
  <c r="BV70" i="28"/>
  <c r="CB69" i="28"/>
  <c r="BA69" i="28"/>
  <c r="BB69" i="28" s="1"/>
  <c r="AG66" i="26"/>
  <c r="AF69" i="28"/>
  <c r="CB68" i="28"/>
  <c r="S68" i="28"/>
  <c r="AM69" i="28"/>
  <c r="AB67" i="26"/>
  <c r="U67" i="26"/>
  <c r="BL67" i="28"/>
  <c r="E67" i="26"/>
  <c r="V68" i="26"/>
  <c r="CD69" i="28"/>
  <c r="AW69" i="28"/>
  <c r="AX69" i="28" s="1"/>
  <c r="BV69" i="28"/>
  <c r="AK68" i="26"/>
  <c r="AQ68" i="26"/>
  <c r="BD67" i="28"/>
  <c r="BB68" i="28"/>
  <c r="AM68" i="28"/>
  <c r="G67" i="26"/>
  <c r="BE68" i="28"/>
  <c r="BX68" i="28"/>
  <c r="H68" i="26"/>
  <c r="F68" i="26"/>
  <c r="B68" i="26"/>
  <c r="K68" i="26"/>
  <c r="AY68" i="26"/>
  <c r="AH68" i="28"/>
  <c r="BK67" i="28"/>
  <c r="AR67" i="28"/>
  <c r="BR69" i="28"/>
  <c r="C70" i="28" l="1"/>
  <c r="AF70" i="28"/>
  <c r="AK70" i="31"/>
  <c r="AI70" i="31"/>
  <c r="S70" i="31"/>
  <c r="AA70" i="31"/>
  <c r="K70" i="26"/>
  <c r="AJ71" i="32"/>
  <c r="P71" i="32"/>
  <c r="L69" i="28"/>
  <c r="N69" i="28"/>
  <c r="CA68" i="54"/>
  <c r="S68" i="54"/>
  <c r="CM68" i="54"/>
  <c r="CM69" i="54"/>
  <c r="CA69" i="54"/>
  <c r="DC69" i="54"/>
  <c r="S69" i="54"/>
  <c r="CQ69" i="54"/>
  <c r="BG69" i="54"/>
  <c r="CY69" i="54"/>
  <c r="AU69" i="54"/>
  <c r="W69" i="54"/>
  <c r="CE69" i="54"/>
  <c r="AI69" i="54"/>
  <c r="AQ68" i="54"/>
  <c r="AE68" i="54"/>
  <c r="K69" i="54"/>
  <c r="CK69" i="54"/>
  <c r="C69" i="54"/>
  <c r="G69" i="54"/>
  <c r="AC69" i="54"/>
  <c r="AA69" i="54"/>
  <c r="CC69" i="54"/>
  <c r="CS69" i="54"/>
  <c r="DA69" i="54"/>
  <c r="A70" i="54"/>
  <c r="CW69" i="54"/>
  <c r="AG69" i="54"/>
  <c r="CO69" i="54"/>
  <c r="CG69" i="54"/>
  <c r="AS69" i="54"/>
  <c r="Q69" i="54"/>
  <c r="Y69" i="54"/>
  <c r="BM69" i="54"/>
  <c r="BQ69" i="54"/>
  <c r="BE69" i="54"/>
  <c r="BY69" i="54"/>
  <c r="CU69" i="54"/>
  <c r="AO69" i="54"/>
  <c r="CI69" i="54"/>
  <c r="U69" i="54"/>
  <c r="BK69" i="54"/>
  <c r="BA69" i="54"/>
  <c r="BU68" i="54"/>
  <c r="C68" i="54"/>
  <c r="Y68" i="54"/>
  <c r="AS68" i="54"/>
  <c r="CU68" i="54"/>
  <c r="CC68" i="54"/>
  <c r="Q68" i="54"/>
  <c r="BK68" i="54"/>
  <c r="O69" i="32"/>
  <c r="A72" i="32"/>
  <c r="U70" i="32"/>
  <c r="AE70" i="32"/>
  <c r="AD70" i="32"/>
  <c r="M70" i="32"/>
  <c r="N70" i="32" s="1"/>
  <c r="V69" i="32"/>
  <c r="W69" i="32"/>
  <c r="AU70" i="32"/>
  <c r="AT70" i="32"/>
  <c r="D69" i="32"/>
  <c r="P69" i="32"/>
  <c r="L69" i="32" s="1"/>
  <c r="BB70" i="32"/>
  <c r="BC70" i="32"/>
  <c r="AI70" i="32"/>
  <c r="AY70" i="32"/>
  <c r="C70" i="32"/>
  <c r="D70" i="32"/>
  <c r="F70" i="32"/>
  <c r="AQ70" i="32"/>
  <c r="AR70" i="32"/>
  <c r="S69" i="32"/>
  <c r="T69" i="32"/>
  <c r="AA70" i="32"/>
  <c r="AB70" i="32"/>
  <c r="R70" i="32"/>
  <c r="J70" i="32"/>
  <c r="K70" i="32" s="1"/>
  <c r="AL70" i="32"/>
  <c r="AM70" i="32"/>
  <c r="AR69" i="31"/>
  <c r="AS69" i="31" s="1"/>
  <c r="AG69" i="31"/>
  <c r="AU68" i="31"/>
  <c r="AY68" i="31" s="1"/>
  <c r="AO68" i="31"/>
  <c r="BG69" i="31"/>
  <c r="AP69" i="31"/>
  <c r="G69" i="31"/>
  <c r="G68" i="31"/>
  <c r="AA69" i="31"/>
  <c r="C68" i="31"/>
  <c r="U69" i="31"/>
  <c r="L69" i="31"/>
  <c r="M69" i="31" s="1"/>
  <c r="P69" i="31"/>
  <c r="Q69" i="31" s="1"/>
  <c r="D69" i="31"/>
  <c r="E69" i="31" s="1"/>
  <c r="BM70" i="31"/>
  <c r="BO70" i="31"/>
  <c r="A71" i="31"/>
  <c r="BK70" i="31"/>
  <c r="AT68" i="31"/>
  <c r="AX68" i="31" s="1"/>
  <c r="AI69" i="31"/>
  <c r="AW68" i="31"/>
  <c r="BA68" i="31" s="1"/>
  <c r="AS68" i="31"/>
  <c r="J69" i="31"/>
  <c r="K69" i="31" s="1"/>
  <c r="N69" i="31"/>
  <c r="B69" i="31"/>
  <c r="S69" i="31"/>
  <c r="AL69" i="31"/>
  <c r="BC69" i="31"/>
  <c r="BI69" i="31"/>
  <c r="AN69" i="31"/>
  <c r="BE69" i="31"/>
  <c r="AV68" i="31"/>
  <c r="AZ68" i="31" s="1"/>
  <c r="I69" i="28"/>
  <c r="J69" i="28" s="1"/>
  <c r="AR68" i="28"/>
  <c r="E69" i="26"/>
  <c r="CF70" i="28"/>
  <c r="CD70" i="28"/>
  <c r="AZ68" i="28"/>
  <c r="CJ69" i="28"/>
  <c r="BP69" i="28"/>
  <c r="BK68" i="28"/>
  <c r="BD68" i="28"/>
  <c r="AI67" i="26"/>
  <c r="Z69" i="26"/>
  <c r="AQ69" i="26"/>
  <c r="T69" i="26"/>
  <c r="AK69" i="26"/>
  <c r="AB68" i="26"/>
  <c r="U68" i="26"/>
  <c r="CP70" i="28"/>
  <c r="BH69" i="28"/>
  <c r="H70" i="28"/>
  <c r="S70" i="28"/>
  <c r="K70" i="28"/>
  <c r="Q70" i="28"/>
  <c r="Q69" i="26"/>
  <c r="BI68" i="28"/>
  <c r="AW70" i="28"/>
  <c r="AX70" i="28" s="1"/>
  <c r="BA70" i="28"/>
  <c r="BZ70" i="28"/>
  <c r="G68" i="26"/>
  <c r="CF69" i="28"/>
  <c r="V69" i="26"/>
  <c r="AM69" i="26"/>
  <c r="BT70" i="28"/>
  <c r="AS70" i="28"/>
  <c r="BF69" i="28"/>
  <c r="AV69" i="28"/>
  <c r="AT69" i="28"/>
  <c r="CN69" i="28"/>
  <c r="O69" i="26"/>
  <c r="BG69" i="28"/>
  <c r="AZ69" i="28"/>
  <c r="AC68" i="26"/>
  <c r="W68" i="26"/>
  <c r="A72" i="28"/>
  <c r="CH71" i="28"/>
  <c r="BN71" i="28"/>
  <c r="CL71" i="28"/>
  <c r="BX69" i="28"/>
  <c r="AF67" i="26"/>
  <c r="E69" i="28"/>
  <c r="AC69" i="28"/>
  <c r="X69" i="26"/>
  <c r="AO69" i="26"/>
  <c r="A71" i="26"/>
  <c r="AK70" i="28"/>
  <c r="AO70" i="28"/>
  <c r="AP70" i="28" s="1"/>
  <c r="BN70" i="28"/>
  <c r="AE68" i="26"/>
  <c r="BT69" i="28"/>
  <c r="AD68" i="26"/>
  <c r="Y68" i="26"/>
  <c r="I68" i="26"/>
  <c r="AH67" i="26"/>
  <c r="AR69" i="28"/>
  <c r="BE69" i="28"/>
  <c r="BI69" i="28" s="1"/>
  <c r="BR70" i="28"/>
  <c r="AS69" i="26"/>
  <c r="AU69" i="26"/>
  <c r="V70" i="28"/>
  <c r="CL70" i="28"/>
  <c r="C68" i="26"/>
  <c r="AA70" i="28"/>
  <c r="AA68" i="26"/>
  <c r="X69" i="28"/>
  <c r="CR69" i="28"/>
  <c r="H69" i="26"/>
  <c r="B69" i="26"/>
  <c r="F69" i="26"/>
  <c r="J68" i="28"/>
  <c r="AH69" i="28"/>
  <c r="AK71" i="28" l="1"/>
  <c r="V71" i="28"/>
  <c r="AT71" i="32"/>
  <c r="I71" i="31"/>
  <c r="AA71" i="31"/>
  <c r="Y71" i="31"/>
  <c r="AK71" i="31"/>
  <c r="S71" i="26"/>
  <c r="O71" i="26"/>
  <c r="K71" i="26"/>
  <c r="L71" i="32"/>
  <c r="AQ69" i="54"/>
  <c r="BC69" i="54"/>
  <c r="AE69" i="54"/>
  <c r="DC70" i="54"/>
  <c r="CQ70" i="54"/>
  <c r="BG70" i="54"/>
  <c r="AU70" i="54"/>
  <c r="W70" i="54"/>
  <c r="CE70" i="54"/>
  <c r="AI70" i="54"/>
  <c r="AK69" i="54"/>
  <c r="AY69" i="54"/>
  <c r="E69" i="54"/>
  <c r="K70" i="54"/>
  <c r="A71" i="54"/>
  <c r="AC70" i="54"/>
  <c r="AM70" i="54"/>
  <c r="CC70" i="54"/>
  <c r="Q70" i="54"/>
  <c r="AY70" i="54"/>
  <c r="CO70" i="54"/>
  <c r="CU70" i="54"/>
  <c r="AW70" i="54"/>
  <c r="I70" i="54"/>
  <c r="AS70" i="54"/>
  <c r="BY70" i="54"/>
  <c r="BW70" i="54"/>
  <c r="CG70" i="54"/>
  <c r="AA70" i="54"/>
  <c r="U70" i="54"/>
  <c r="CS70" i="54"/>
  <c r="BU70" i="54"/>
  <c r="BA70" i="54"/>
  <c r="BK70" i="54"/>
  <c r="BQ70" i="54"/>
  <c r="BM70" i="54"/>
  <c r="G70" i="54"/>
  <c r="CI70" i="54"/>
  <c r="M70" i="54"/>
  <c r="BI70" i="54"/>
  <c r="O70" i="54"/>
  <c r="E70" i="54"/>
  <c r="C70" i="54"/>
  <c r="AM69" i="54"/>
  <c r="DE69" i="54"/>
  <c r="BW69" i="54"/>
  <c r="M69" i="54"/>
  <c r="BU69" i="54"/>
  <c r="I69" i="54"/>
  <c r="AW69" i="54"/>
  <c r="O69" i="54"/>
  <c r="BI69" i="54"/>
  <c r="AM71" i="32"/>
  <c r="C71" i="32"/>
  <c r="W70" i="32"/>
  <c r="V70" i="32"/>
  <c r="AQ71" i="32"/>
  <c r="AR71" i="32"/>
  <c r="AZ70" i="32"/>
  <c r="AE71" i="32"/>
  <c r="U71" i="32"/>
  <c r="M71" i="32"/>
  <c r="N71" i="32" s="1"/>
  <c r="AD71" i="32"/>
  <c r="J71" i="32"/>
  <c r="K71" i="32" s="1"/>
  <c r="AB71" i="32"/>
  <c r="R71" i="32"/>
  <c r="AY71" i="32"/>
  <c r="AZ71" i="32"/>
  <c r="AU71" i="32"/>
  <c r="D71" i="32"/>
  <c r="S70" i="32"/>
  <c r="T70" i="32"/>
  <c r="A73" i="32"/>
  <c r="AI71" i="32"/>
  <c r="L70" i="32"/>
  <c r="Q70" i="32"/>
  <c r="G70" i="32"/>
  <c r="BB71" i="32"/>
  <c r="AL71" i="32"/>
  <c r="Q71" i="32"/>
  <c r="F71" i="32"/>
  <c r="AA71" i="32"/>
  <c r="AP70" i="31"/>
  <c r="AQ70" i="31" s="1"/>
  <c r="C69" i="31"/>
  <c r="O69" i="31"/>
  <c r="J70" i="31"/>
  <c r="K70" i="31" s="1"/>
  <c r="B70" i="31"/>
  <c r="C70" i="31" s="1"/>
  <c r="N70" i="31"/>
  <c r="O70" i="31" s="1"/>
  <c r="BC70" i="31"/>
  <c r="AL70" i="31"/>
  <c r="AN70" i="31"/>
  <c r="BE70" i="31"/>
  <c r="AE70" i="31"/>
  <c r="BG70" i="31"/>
  <c r="AU69" i="31"/>
  <c r="AY69" i="31" s="1"/>
  <c r="AO69" i="31"/>
  <c r="Y70" i="31"/>
  <c r="AV69" i="31"/>
  <c r="AZ69" i="31" s="1"/>
  <c r="AQ69" i="31"/>
  <c r="BQ70" i="31"/>
  <c r="AR70" i="31"/>
  <c r="BI70" i="31"/>
  <c r="BQ71" i="31"/>
  <c r="BO71" i="31"/>
  <c r="A72" i="31"/>
  <c r="BK71" i="31"/>
  <c r="AC70" i="31"/>
  <c r="AM69" i="31"/>
  <c r="AT69" i="31"/>
  <c r="AX69" i="31" s="1"/>
  <c r="AW69" i="31"/>
  <c r="AG70" i="31"/>
  <c r="W70" i="31"/>
  <c r="U70" i="31"/>
  <c r="P70" i="31"/>
  <c r="Q70" i="31" s="1"/>
  <c r="D70" i="31"/>
  <c r="E70" i="31" s="1"/>
  <c r="L70" i="31"/>
  <c r="M70" i="31" s="1"/>
  <c r="I70" i="31"/>
  <c r="I69" i="31"/>
  <c r="Z70" i="26"/>
  <c r="AQ70" i="26"/>
  <c r="AH70" i="28"/>
  <c r="AM70" i="28"/>
  <c r="CD71" i="28"/>
  <c r="AC69" i="26"/>
  <c r="CB70" i="28"/>
  <c r="Q71" i="28"/>
  <c r="BD69" i="28"/>
  <c r="E70" i="26"/>
  <c r="AH71" i="28"/>
  <c r="M70" i="26"/>
  <c r="Q70" i="26"/>
  <c r="AD69" i="26"/>
  <c r="Y69" i="26"/>
  <c r="C71" i="28"/>
  <c r="AW71" i="28"/>
  <c r="BR71" i="28"/>
  <c r="CP71" i="28"/>
  <c r="CJ70" i="28"/>
  <c r="G69" i="26"/>
  <c r="CN70" i="28"/>
  <c r="C69" i="26"/>
  <c r="AS71" i="26"/>
  <c r="AQ71" i="26"/>
  <c r="AY71" i="26"/>
  <c r="A72" i="26"/>
  <c r="AM71" i="26"/>
  <c r="AK71" i="26"/>
  <c r="AW71" i="26"/>
  <c r="AU70" i="26"/>
  <c r="CN71" i="28"/>
  <c r="AO71" i="28"/>
  <c r="AP71" i="28" s="1"/>
  <c r="W69" i="26"/>
  <c r="BV71" i="28"/>
  <c r="BX70" i="28"/>
  <c r="BK69" i="28"/>
  <c r="E70" i="28"/>
  <c r="I69" i="26"/>
  <c r="BE70" i="28"/>
  <c r="BI70" i="28" s="1"/>
  <c r="AY70" i="26"/>
  <c r="O70" i="26"/>
  <c r="H71" i="28"/>
  <c r="K71" i="28"/>
  <c r="S71" i="28"/>
  <c r="AG68" i="26"/>
  <c r="AT70" i="28"/>
  <c r="N70" i="28"/>
  <c r="L70" i="28"/>
  <c r="AF68" i="26"/>
  <c r="BJ69" i="28"/>
  <c r="AW70" i="26"/>
  <c r="AF71" i="28"/>
  <c r="B70" i="26"/>
  <c r="C70" i="26" s="1"/>
  <c r="H70" i="26"/>
  <c r="F70" i="26"/>
  <c r="G70" i="26" s="1"/>
  <c r="AS70" i="26"/>
  <c r="AS71" i="28"/>
  <c r="CJ71" i="28"/>
  <c r="BG70" i="28"/>
  <c r="BK70" i="28" s="1"/>
  <c r="AE69" i="26"/>
  <c r="AA69" i="26"/>
  <c r="AH68" i="26"/>
  <c r="AI68" i="26"/>
  <c r="BP70" i="28"/>
  <c r="V70" i="26"/>
  <c r="AM70" i="26"/>
  <c r="T70" i="26"/>
  <c r="AK70" i="26"/>
  <c r="X70" i="28"/>
  <c r="A73" i="28"/>
  <c r="CD72" i="28"/>
  <c r="CP72" i="28"/>
  <c r="BZ71" i="28"/>
  <c r="AA71" i="28"/>
  <c r="X70" i="26"/>
  <c r="AO70" i="26"/>
  <c r="S70" i="26"/>
  <c r="X71" i="28"/>
  <c r="I70" i="28"/>
  <c r="J70" i="28" s="1"/>
  <c r="CR70" i="28"/>
  <c r="AB69" i="26"/>
  <c r="U69" i="26"/>
  <c r="CR71" i="28"/>
  <c r="BA71" i="28"/>
  <c r="BF70" i="28"/>
  <c r="BH70" i="28"/>
  <c r="BB70" i="28"/>
  <c r="AC70" i="28"/>
  <c r="BL69" i="28"/>
  <c r="AA72" i="28" l="1"/>
  <c r="Q72" i="28"/>
  <c r="AK72" i="28"/>
  <c r="V72" i="28"/>
  <c r="AC72" i="31"/>
  <c r="AA72" i="31"/>
  <c r="W72" i="31"/>
  <c r="AK72" i="31"/>
  <c r="AI72" i="31"/>
  <c r="S72" i="31"/>
  <c r="Y72" i="31"/>
  <c r="O72" i="26"/>
  <c r="AR73" i="32"/>
  <c r="P73" i="32"/>
  <c r="CA71" i="54"/>
  <c r="BC71" i="54"/>
  <c r="AQ71" i="54"/>
  <c r="BG71" i="54"/>
  <c r="AU71" i="54"/>
  <c r="S71" i="54"/>
  <c r="DC71" i="54"/>
  <c r="AI71" i="54"/>
  <c r="AQ70" i="54"/>
  <c r="CA70" i="54"/>
  <c r="CM70" i="54"/>
  <c r="AE70" i="54"/>
  <c r="CY70" i="54"/>
  <c r="S70" i="54"/>
  <c r="BC70" i="54"/>
  <c r="AO70" i="54"/>
  <c r="CW70" i="54"/>
  <c r="AK70" i="54"/>
  <c r="DA70" i="54"/>
  <c r="A72" i="54"/>
  <c r="BU71" i="54"/>
  <c r="AS71" i="54"/>
  <c r="DE71" i="54"/>
  <c r="BW71" i="54"/>
  <c r="CI71" i="54"/>
  <c r="CS71" i="54"/>
  <c r="BA71" i="54"/>
  <c r="E71" i="54"/>
  <c r="CK71" i="54"/>
  <c r="AG71" i="54"/>
  <c r="AK71" i="54"/>
  <c r="I71" i="54"/>
  <c r="M71" i="54"/>
  <c r="AO71" i="54"/>
  <c r="C71" i="54"/>
  <c r="U71" i="54"/>
  <c r="BI71" i="54"/>
  <c r="CC71" i="54"/>
  <c r="O71" i="54"/>
  <c r="DE70" i="54"/>
  <c r="Y70" i="54"/>
  <c r="BE70" i="54"/>
  <c r="CK70" i="54"/>
  <c r="AG70" i="54"/>
  <c r="AR72" i="32"/>
  <c r="AZ72" i="32"/>
  <c r="AQ72" i="32"/>
  <c r="BC71" i="32"/>
  <c r="BB72" i="32"/>
  <c r="BC72" i="32"/>
  <c r="C72" i="32"/>
  <c r="AE72" i="32"/>
  <c r="M72" i="32"/>
  <c r="N72" i="32" s="1"/>
  <c r="AD72" i="32"/>
  <c r="U72" i="32"/>
  <c r="AT72" i="32"/>
  <c r="AI72" i="32"/>
  <c r="S71" i="32"/>
  <c r="T71" i="32"/>
  <c r="O70" i="32"/>
  <c r="O71" i="32"/>
  <c r="G71" i="32"/>
  <c r="F72" i="32"/>
  <c r="AY72" i="32"/>
  <c r="AA72" i="32"/>
  <c r="R72" i="32"/>
  <c r="AB72" i="32"/>
  <c r="J72" i="32"/>
  <c r="K72" i="32" s="1"/>
  <c r="A74" i="32"/>
  <c r="AL72" i="32"/>
  <c r="W71" i="32"/>
  <c r="V71" i="32"/>
  <c r="BA69" i="31"/>
  <c r="AT70" i="31"/>
  <c r="AM70" i="31"/>
  <c r="AV70" i="31"/>
  <c r="AR71" i="31"/>
  <c r="BI71" i="31"/>
  <c r="B71" i="31"/>
  <c r="S71" i="31"/>
  <c r="N71" i="31"/>
  <c r="O71" i="31" s="1"/>
  <c r="J71" i="31"/>
  <c r="L71" i="31"/>
  <c r="M71" i="31" s="1"/>
  <c r="P71" i="31"/>
  <c r="Q71" i="31" s="1"/>
  <c r="D71" i="31"/>
  <c r="E71" i="31" s="1"/>
  <c r="BG71" i="31"/>
  <c r="AP71" i="31"/>
  <c r="AW70" i="31"/>
  <c r="BA70" i="31" s="1"/>
  <c r="AS70" i="31"/>
  <c r="BC71" i="31"/>
  <c r="AL71" i="31"/>
  <c r="G71" i="31"/>
  <c r="G70" i="31"/>
  <c r="BE71" i="31"/>
  <c r="AN71" i="31"/>
  <c r="AO71" i="31" s="1"/>
  <c r="AE71" i="31"/>
  <c r="W71" i="31"/>
  <c r="BM71" i="31"/>
  <c r="BE72" i="31"/>
  <c r="A73" i="31"/>
  <c r="BK72" i="31"/>
  <c r="BO72" i="31"/>
  <c r="BM72" i="31"/>
  <c r="AG71" i="31"/>
  <c r="AI71" i="31"/>
  <c r="AC71" i="31"/>
  <c r="AU70" i="31"/>
  <c r="AY70" i="31" s="1"/>
  <c r="AO70" i="31"/>
  <c r="U71" i="31"/>
  <c r="AS72" i="28"/>
  <c r="AT72" i="28" s="1"/>
  <c r="BR72" i="28"/>
  <c r="A74" i="28"/>
  <c r="CH73" i="28"/>
  <c r="BZ73" i="28"/>
  <c r="BV73" i="28"/>
  <c r="CP73" i="28"/>
  <c r="I70" i="26"/>
  <c r="N71" i="28"/>
  <c r="BP71" i="28"/>
  <c r="BX71" i="28"/>
  <c r="AI69" i="26"/>
  <c r="BH71" i="28"/>
  <c r="BB71" i="28"/>
  <c r="AH72" i="28"/>
  <c r="AO72" i="28"/>
  <c r="BN72" i="28"/>
  <c r="AV71" i="28"/>
  <c r="BF71" i="28"/>
  <c r="BJ71" i="28" s="1"/>
  <c r="AT71" i="28"/>
  <c r="C72" i="28"/>
  <c r="BA72" i="28"/>
  <c r="BB72" i="28" s="1"/>
  <c r="BZ72" i="28"/>
  <c r="AZ70" i="28"/>
  <c r="AH69" i="26"/>
  <c r="BD70" i="28"/>
  <c r="BJ70" i="28"/>
  <c r="BT71" i="28"/>
  <c r="L71" i="28"/>
  <c r="T71" i="26"/>
  <c r="Z71" i="26"/>
  <c r="I71" i="28"/>
  <c r="AC72" i="28"/>
  <c r="K72" i="28"/>
  <c r="H72" i="28"/>
  <c r="AC70" i="26"/>
  <c r="W70" i="26"/>
  <c r="AF72" i="28"/>
  <c r="CB71" i="28"/>
  <c r="AF69" i="26"/>
  <c r="AU71" i="26"/>
  <c r="BV72" i="28"/>
  <c r="Q71" i="26"/>
  <c r="AR70" i="28"/>
  <c r="AM71" i="28"/>
  <c r="V71" i="26"/>
  <c r="W71" i="26" s="1"/>
  <c r="E71" i="28"/>
  <c r="AG69" i="26"/>
  <c r="CL72" i="28"/>
  <c r="CH72" i="28"/>
  <c r="AC71" i="28"/>
  <c r="B71" i="26"/>
  <c r="H71" i="26"/>
  <c r="I71" i="26" s="1"/>
  <c r="F71" i="26"/>
  <c r="BG71" i="28"/>
  <c r="AX71" i="28"/>
  <c r="M71" i="26"/>
  <c r="CF71" i="28"/>
  <c r="AW72" i="28"/>
  <c r="AB70" i="26"/>
  <c r="BL70" i="28"/>
  <c r="AD70" i="26"/>
  <c r="Y70" i="26"/>
  <c r="AV70" i="28"/>
  <c r="E72" i="28"/>
  <c r="CF72" i="28"/>
  <c r="U70" i="26"/>
  <c r="BE71" i="28"/>
  <c r="AU72" i="26"/>
  <c r="A73" i="26"/>
  <c r="X71" i="26"/>
  <c r="AO71" i="26"/>
  <c r="AE70" i="26"/>
  <c r="AA70" i="26"/>
  <c r="AF73" i="28" l="1"/>
  <c r="V73" i="28"/>
  <c r="Q73" i="28"/>
  <c r="C73" i="28"/>
  <c r="W71" i="54"/>
  <c r="CQ71" i="54"/>
  <c r="CE71" i="54"/>
  <c r="K71" i="54"/>
  <c r="AK73" i="28"/>
  <c r="Y73" i="31"/>
  <c r="AA73" i="31"/>
  <c r="O73" i="26"/>
  <c r="M73" i="26"/>
  <c r="AZ74" i="32"/>
  <c r="AR74" i="32"/>
  <c r="L72" i="28"/>
  <c r="CY71" i="54"/>
  <c r="CA72" i="54"/>
  <c r="AQ72" i="54"/>
  <c r="S72" i="54"/>
  <c r="BG72" i="54"/>
  <c r="CE72" i="54"/>
  <c r="AI72" i="54"/>
  <c r="DC72" i="54"/>
  <c r="CQ72" i="54"/>
  <c r="W72" i="54"/>
  <c r="AU72" i="54"/>
  <c r="AE71" i="54"/>
  <c r="CM71" i="54"/>
  <c r="AM71" i="54"/>
  <c r="AY71" i="54"/>
  <c r="BM71" i="54"/>
  <c r="AA71" i="54"/>
  <c r="G71" i="54"/>
  <c r="CO71" i="54"/>
  <c r="K72" i="54"/>
  <c r="BI72" i="54"/>
  <c r="BK72" i="54"/>
  <c r="AG72" i="54"/>
  <c r="BW72" i="54"/>
  <c r="U72" i="54"/>
  <c r="BE72" i="54"/>
  <c r="Y72" i="54"/>
  <c r="BA72" i="54"/>
  <c r="DA72" i="54"/>
  <c r="AY72" i="54"/>
  <c r="AC72" i="54"/>
  <c r="BM72" i="54"/>
  <c r="BQ72" i="54"/>
  <c r="CK72" i="54"/>
  <c r="I72" i="54"/>
  <c r="BY72" i="54"/>
  <c r="A73" i="54"/>
  <c r="CC72" i="54"/>
  <c r="C72" i="54"/>
  <c r="AK72" i="54"/>
  <c r="AW72" i="54"/>
  <c r="CS72" i="54"/>
  <c r="CO72" i="54"/>
  <c r="E72" i="54"/>
  <c r="G72" i="54"/>
  <c r="DE72" i="54"/>
  <c r="CG72" i="54"/>
  <c r="CW71" i="54"/>
  <c r="Q71" i="54"/>
  <c r="CU71" i="54"/>
  <c r="AW71" i="54"/>
  <c r="BK71" i="54"/>
  <c r="DA71" i="54"/>
  <c r="CG71" i="54"/>
  <c r="Y71" i="54"/>
  <c r="BQ71" i="54"/>
  <c r="BY71" i="54"/>
  <c r="AC71" i="54"/>
  <c r="BE71" i="54"/>
  <c r="AT73" i="32"/>
  <c r="AZ73" i="32"/>
  <c r="AY73" i="32"/>
  <c r="Q72" i="32"/>
  <c r="AJ72" i="32"/>
  <c r="AJ73" i="32"/>
  <c r="Q73" i="32"/>
  <c r="F73" i="32"/>
  <c r="AI73" i="32"/>
  <c r="C73" i="32"/>
  <c r="AQ73" i="32"/>
  <c r="AU72" i="32"/>
  <c r="AU73" i="32"/>
  <c r="D73" i="32"/>
  <c r="D72" i="32"/>
  <c r="P72" i="32"/>
  <c r="AM72" i="32"/>
  <c r="A75" i="32"/>
  <c r="S72" i="32"/>
  <c r="T72" i="32"/>
  <c r="R73" i="32"/>
  <c r="AB73" i="32"/>
  <c r="J73" i="32"/>
  <c r="AA73" i="32"/>
  <c r="V72" i="32"/>
  <c r="AM73" i="32"/>
  <c r="AL73" i="32"/>
  <c r="BC73" i="32"/>
  <c r="BB73" i="32"/>
  <c r="G72" i="32"/>
  <c r="U73" i="32"/>
  <c r="M73" i="32"/>
  <c r="N73" i="32" s="1"/>
  <c r="AD73" i="32"/>
  <c r="AE73" i="32"/>
  <c r="AL72" i="31"/>
  <c r="AM72" i="31" s="1"/>
  <c r="AZ70" i="31"/>
  <c r="AX70" i="31"/>
  <c r="AV71" i="31"/>
  <c r="AQ71" i="31"/>
  <c r="AE72" i="31"/>
  <c r="P72" i="31"/>
  <c r="Q72" i="31" s="1"/>
  <c r="L72" i="31"/>
  <c r="M72" i="31" s="1"/>
  <c r="D72" i="31"/>
  <c r="E72" i="31" s="1"/>
  <c r="U72" i="31"/>
  <c r="N72" i="31"/>
  <c r="J72" i="31"/>
  <c r="K72" i="31" s="1"/>
  <c r="B72" i="31"/>
  <c r="K71" i="31"/>
  <c r="AU71" i="31"/>
  <c r="BQ72" i="31"/>
  <c r="C71" i="31"/>
  <c r="AP72" i="31"/>
  <c r="BG72" i="31"/>
  <c r="AM71" i="31"/>
  <c r="AT71" i="31"/>
  <c r="AX71" i="31" s="1"/>
  <c r="AW71" i="31"/>
  <c r="BA71" i="31" s="1"/>
  <c r="AS71" i="31"/>
  <c r="BC72" i="31"/>
  <c r="AG72" i="31"/>
  <c r="BO73" i="31"/>
  <c r="BM73" i="31"/>
  <c r="BQ73" i="31"/>
  <c r="A74" i="31"/>
  <c r="AR72" i="31"/>
  <c r="BI72" i="31"/>
  <c r="AN72" i="31"/>
  <c r="M72" i="26"/>
  <c r="I72" i="28"/>
  <c r="J72" i="28" s="1"/>
  <c r="CR72" i="28"/>
  <c r="BI71" i="28"/>
  <c r="BP72" i="28"/>
  <c r="AH73" i="28"/>
  <c r="BA73" i="28"/>
  <c r="BB73" i="28" s="1"/>
  <c r="Z72" i="26"/>
  <c r="AQ72" i="26"/>
  <c r="AI70" i="26"/>
  <c r="X72" i="26"/>
  <c r="AO72" i="26"/>
  <c r="AG70" i="26"/>
  <c r="AW73" i="28"/>
  <c r="AM73" i="28"/>
  <c r="C71" i="26"/>
  <c r="AW72" i="26"/>
  <c r="B72" i="26"/>
  <c r="C72" i="26" s="1"/>
  <c r="F72" i="26"/>
  <c r="H72" i="26"/>
  <c r="I72" i="26" s="1"/>
  <c r="AC71" i="26"/>
  <c r="AG71" i="26" s="1"/>
  <c r="J71" i="28"/>
  <c r="BD71" i="28"/>
  <c r="CF73" i="28"/>
  <c r="CD73" i="28"/>
  <c r="BF72" i="28"/>
  <c r="AY72" i="26"/>
  <c r="AH70" i="26"/>
  <c r="AZ72" i="28"/>
  <c r="BG72" i="28"/>
  <c r="BK72" i="28" s="1"/>
  <c r="AO73" i="28"/>
  <c r="AP73" i="28" s="1"/>
  <c r="BN73" i="28"/>
  <c r="CJ73" i="28"/>
  <c r="BT72" i="28"/>
  <c r="V72" i="26"/>
  <c r="AM72" i="26"/>
  <c r="Q72" i="26"/>
  <c r="AX72" i="28"/>
  <c r="K72" i="26"/>
  <c r="CN72" i="28"/>
  <c r="AM72" i="28"/>
  <c r="AF70" i="26"/>
  <c r="AA73" i="28"/>
  <c r="K73" i="28"/>
  <c r="H73" i="28"/>
  <c r="S73" i="28"/>
  <c r="BX72" i="28"/>
  <c r="G71" i="26"/>
  <c r="AZ71" i="28"/>
  <c r="AE71" i="26"/>
  <c r="AA71" i="26"/>
  <c r="CJ72" i="28"/>
  <c r="BH72" i="28"/>
  <c r="E72" i="26"/>
  <c r="E71" i="26"/>
  <c r="CL73" i="28"/>
  <c r="A75" i="28"/>
  <c r="A74" i="26"/>
  <c r="AR71" i="28"/>
  <c r="BK71" i="28"/>
  <c r="S72" i="28"/>
  <c r="BE72" i="28"/>
  <c r="AP72" i="28"/>
  <c r="BL71" i="28"/>
  <c r="CB72" i="28"/>
  <c r="S72" i="26"/>
  <c r="AD71" i="26"/>
  <c r="Y71" i="26"/>
  <c r="T72" i="26"/>
  <c r="AK72" i="26"/>
  <c r="AS72" i="26"/>
  <c r="AB71" i="26"/>
  <c r="AF71" i="26" s="1"/>
  <c r="U71" i="26"/>
  <c r="X72" i="28"/>
  <c r="AS73" i="28"/>
  <c r="BR73" i="28"/>
  <c r="C74" i="28" l="1"/>
  <c r="AY74" i="32"/>
  <c r="S74" i="26"/>
  <c r="E74" i="26"/>
  <c r="O74" i="26"/>
  <c r="K74" i="26"/>
  <c r="AK74" i="31"/>
  <c r="AI74" i="31"/>
  <c r="AC74" i="31"/>
  <c r="W74" i="31"/>
  <c r="CA73" i="54"/>
  <c r="BC73" i="54"/>
  <c r="S73" i="54"/>
  <c r="CE73" i="54"/>
  <c r="AQ73" i="54"/>
  <c r="DC73" i="54"/>
  <c r="CQ73" i="54"/>
  <c r="BG73" i="54"/>
  <c r="W73" i="54"/>
  <c r="AU73" i="54"/>
  <c r="AE73" i="54"/>
  <c r="AI73" i="54"/>
  <c r="CM72" i="54"/>
  <c r="AE72" i="54"/>
  <c r="BC72" i="54"/>
  <c r="CY72" i="54"/>
  <c r="AS72" i="54"/>
  <c r="O72" i="54"/>
  <c r="AO72" i="54"/>
  <c r="BU72" i="54"/>
  <c r="CU72" i="54"/>
  <c r="AA72" i="54"/>
  <c r="AM72" i="54"/>
  <c r="Q72" i="54"/>
  <c r="K73" i="54"/>
  <c r="BW73" i="54"/>
  <c r="M73" i="54"/>
  <c r="G73" i="54"/>
  <c r="A74" i="54"/>
  <c r="CG73" i="54"/>
  <c r="CI73" i="54"/>
  <c r="CC73" i="54"/>
  <c r="BK73" i="54"/>
  <c r="I73" i="54"/>
  <c r="AW73" i="54"/>
  <c r="AA73" i="54"/>
  <c r="BI73" i="54"/>
  <c r="BY73" i="54"/>
  <c r="CW73" i="54"/>
  <c r="AO73" i="54"/>
  <c r="AY73" i="54"/>
  <c r="DA73" i="54"/>
  <c r="Y73" i="54"/>
  <c r="CI72" i="54"/>
  <c r="M72" i="54"/>
  <c r="CW72" i="54"/>
  <c r="AR73" i="31"/>
  <c r="AS73" i="31" s="1"/>
  <c r="AM74" i="32"/>
  <c r="W72" i="32"/>
  <c r="W73" i="32"/>
  <c r="AE74" i="32"/>
  <c r="M74" i="32"/>
  <c r="N74" i="32" s="1"/>
  <c r="U74" i="32"/>
  <c r="W74" i="32" s="1"/>
  <c r="F74" i="32"/>
  <c r="R74" i="32"/>
  <c r="J74" i="32"/>
  <c r="K74" i="32" s="1"/>
  <c r="AA74" i="32"/>
  <c r="AB74" i="32"/>
  <c r="AI74" i="32"/>
  <c r="AJ74" i="32"/>
  <c r="C74" i="32"/>
  <c r="O72" i="32"/>
  <c r="O73" i="32"/>
  <c r="K73" i="32"/>
  <c r="G73" i="32"/>
  <c r="BC74" i="32"/>
  <c r="BB74" i="32"/>
  <c r="S73" i="32"/>
  <c r="AT74" i="32"/>
  <c r="AQ74" i="32"/>
  <c r="A76" i="32"/>
  <c r="L72" i="32"/>
  <c r="L73" i="32"/>
  <c r="AD74" i="32"/>
  <c r="V73" i="32"/>
  <c r="AL74" i="32"/>
  <c r="AZ71" i="31"/>
  <c r="AY71" i="31"/>
  <c r="AK73" i="31"/>
  <c r="S73" i="31"/>
  <c r="N73" i="31"/>
  <c r="O73" i="31" s="1"/>
  <c r="J73" i="31"/>
  <c r="B73" i="31"/>
  <c r="C73" i="31" s="1"/>
  <c r="O72" i="31"/>
  <c r="AI73" i="31"/>
  <c r="AG73" i="31"/>
  <c r="I73" i="31"/>
  <c r="AC73" i="31"/>
  <c r="W73" i="31"/>
  <c r="AV72" i="31"/>
  <c r="AZ72" i="31" s="1"/>
  <c r="AU72" i="31"/>
  <c r="AY72" i="31" s="1"/>
  <c r="AT72" i="31"/>
  <c r="G73" i="31"/>
  <c r="AE73" i="31"/>
  <c r="C72" i="31"/>
  <c r="AW72" i="31"/>
  <c r="BA72" i="31" s="1"/>
  <c r="AS72" i="31"/>
  <c r="BC73" i="31"/>
  <c r="AL73" i="31"/>
  <c r="BG73" i="31"/>
  <c r="AP73" i="31"/>
  <c r="AQ73" i="31" s="1"/>
  <c r="A75" i="31"/>
  <c r="BM74" i="31"/>
  <c r="BO74" i="31"/>
  <c r="BK74" i="31"/>
  <c r="BQ74" i="31"/>
  <c r="G72" i="31"/>
  <c r="AN73" i="31"/>
  <c r="BE73" i="31"/>
  <c r="AO72" i="31"/>
  <c r="AQ72" i="31"/>
  <c r="D73" i="31"/>
  <c r="U73" i="31"/>
  <c r="P73" i="31"/>
  <c r="Q73" i="31" s="1"/>
  <c r="L73" i="31"/>
  <c r="I72" i="31"/>
  <c r="BK73" i="31"/>
  <c r="BI73" i="31"/>
  <c r="AR72" i="28"/>
  <c r="AU73" i="26"/>
  <c r="X74" i="28"/>
  <c r="V74" i="28"/>
  <c r="CH75" i="28"/>
  <c r="CD75" i="28"/>
  <c r="BZ75" i="28"/>
  <c r="BN75" i="28"/>
  <c r="A76" i="28"/>
  <c r="CP75" i="28"/>
  <c r="N73" i="28"/>
  <c r="CN73" i="28"/>
  <c r="BI72" i="28"/>
  <c r="AV73" i="28"/>
  <c r="BF73" i="28"/>
  <c r="AT73" i="28"/>
  <c r="AB72" i="26"/>
  <c r="U72" i="26"/>
  <c r="Z73" i="26"/>
  <c r="AK74" i="28"/>
  <c r="BE73" i="28"/>
  <c r="BX73" i="28"/>
  <c r="CB74" i="28"/>
  <c r="BA74" i="28"/>
  <c r="BB74" i="28" s="1"/>
  <c r="BZ74" i="28"/>
  <c r="CD74" i="28"/>
  <c r="I73" i="28"/>
  <c r="AD72" i="26"/>
  <c r="AH72" i="26" s="1"/>
  <c r="AE72" i="26"/>
  <c r="AI72" i="26" s="1"/>
  <c r="AA72" i="26"/>
  <c r="AS73" i="26"/>
  <c r="CR74" i="28"/>
  <c r="CP74" i="28"/>
  <c r="S74" i="28"/>
  <c r="K74" i="28"/>
  <c r="Q73" i="26"/>
  <c r="L73" i="28"/>
  <c r="AV72" i="28"/>
  <c r="K73" i="26"/>
  <c r="N72" i="28"/>
  <c r="BH73" i="28"/>
  <c r="BD73" i="28"/>
  <c r="Q74" i="28"/>
  <c r="T73" i="26"/>
  <c r="CL74" i="28"/>
  <c r="AW74" i="28"/>
  <c r="BV74" i="28"/>
  <c r="E73" i="26"/>
  <c r="BL72" i="28"/>
  <c r="S73" i="26"/>
  <c r="AY73" i="26"/>
  <c r="BJ72" i="28"/>
  <c r="AW73" i="26"/>
  <c r="Y72" i="26"/>
  <c r="AH71" i="26"/>
  <c r="AC74" i="28"/>
  <c r="AA74" i="28"/>
  <c r="BD72" i="28"/>
  <c r="X73" i="28"/>
  <c r="AC73" i="28"/>
  <c r="CB73" i="28"/>
  <c r="E73" i="28"/>
  <c r="G72" i="26"/>
  <c r="BT73" i="28"/>
  <c r="H73" i="26"/>
  <c r="F73" i="26"/>
  <c r="G73" i="26" s="1"/>
  <c r="B73" i="26"/>
  <c r="C73" i="26" s="1"/>
  <c r="CH74" i="28"/>
  <c r="CR73" i="28"/>
  <c r="AK73" i="26"/>
  <c r="AW74" i="26"/>
  <c r="AO74" i="26"/>
  <c r="A75" i="26"/>
  <c r="AY74" i="26"/>
  <c r="V73" i="26"/>
  <c r="AM73" i="26"/>
  <c r="AO74" i="28"/>
  <c r="BN74" i="28"/>
  <c r="AQ73" i="26"/>
  <c r="AC72" i="26"/>
  <c r="W72" i="26"/>
  <c r="X73" i="26"/>
  <c r="AS74" i="28"/>
  <c r="BR74" i="28"/>
  <c r="AF74" i="28"/>
  <c r="AI71" i="26"/>
  <c r="BG73" i="28"/>
  <c r="AX73" i="28"/>
  <c r="AO73" i="26"/>
  <c r="BP73" i="28"/>
  <c r="V75" i="28" l="1"/>
  <c r="AK75" i="28"/>
  <c r="C75" i="28"/>
  <c r="AF75" i="28"/>
  <c r="Q75" i="28"/>
  <c r="AA75" i="28"/>
  <c r="E75" i="26"/>
  <c r="AA75" i="31"/>
  <c r="Y75" i="31"/>
  <c r="W75" i="31"/>
  <c r="AK75" i="31"/>
  <c r="AI75" i="31"/>
  <c r="AC75" i="31"/>
  <c r="AM76" i="32"/>
  <c r="Q76" i="32"/>
  <c r="L74" i="28"/>
  <c r="CM73" i="54"/>
  <c r="AQ74" i="54"/>
  <c r="AE74" i="54"/>
  <c r="CE74" i="54"/>
  <c r="S74" i="54"/>
  <c r="DC74" i="54"/>
  <c r="CQ74" i="54"/>
  <c r="BG74" i="54"/>
  <c r="BC74" i="54"/>
  <c r="AU74" i="54"/>
  <c r="AI74" i="54"/>
  <c r="W74" i="54"/>
  <c r="CY73" i="54"/>
  <c r="BE73" i="54"/>
  <c r="BA73" i="54"/>
  <c r="K74" i="54"/>
  <c r="A75" i="54"/>
  <c r="AO74" i="54"/>
  <c r="AA74" i="54"/>
  <c r="BA74" i="54"/>
  <c r="AK74" i="54"/>
  <c r="C74" i="54"/>
  <c r="M74" i="54"/>
  <c r="CK74" i="54"/>
  <c r="AW74" i="54"/>
  <c r="I74" i="54"/>
  <c r="O74" i="54"/>
  <c r="CU74" i="54"/>
  <c r="CC74" i="54"/>
  <c r="BM74" i="54"/>
  <c r="BU74" i="54"/>
  <c r="AG74" i="54"/>
  <c r="BI74" i="54"/>
  <c r="CI74" i="54"/>
  <c r="CO74" i="54"/>
  <c r="BW74" i="54"/>
  <c r="CW74" i="54"/>
  <c r="DA74" i="54"/>
  <c r="BY74" i="54"/>
  <c r="DE74" i="54"/>
  <c r="BK74" i="54"/>
  <c r="Y74" i="54"/>
  <c r="CG74" i="54"/>
  <c r="E74" i="54"/>
  <c r="U74" i="54"/>
  <c r="AC74" i="54"/>
  <c r="BQ74" i="54"/>
  <c r="CS74" i="54"/>
  <c r="AC73" i="54"/>
  <c r="E73" i="54"/>
  <c r="AM73" i="54"/>
  <c r="BM73" i="54"/>
  <c r="CS73" i="54"/>
  <c r="BQ73" i="54"/>
  <c r="AG73" i="54"/>
  <c r="CK73" i="54"/>
  <c r="CU73" i="54"/>
  <c r="U73" i="54"/>
  <c r="DE73" i="54"/>
  <c r="Q73" i="54"/>
  <c r="BU73" i="54"/>
  <c r="O73" i="54"/>
  <c r="AS73" i="54"/>
  <c r="CO73" i="54"/>
  <c r="AK73" i="54"/>
  <c r="C73" i="54"/>
  <c r="V74" i="32"/>
  <c r="AM75" i="32"/>
  <c r="AL75" i="32"/>
  <c r="AY75" i="32"/>
  <c r="T73" i="32"/>
  <c r="D74" i="32"/>
  <c r="P74" i="32"/>
  <c r="L74" i="32" s="1"/>
  <c r="C75" i="32"/>
  <c r="AB75" i="32"/>
  <c r="R75" i="32"/>
  <c r="J75" i="32"/>
  <c r="K75" i="32" s="1"/>
  <c r="AA75" i="32"/>
  <c r="G74" i="32"/>
  <c r="Q74" i="32"/>
  <c r="O74" i="32" s="1"/>
  <c r="AU75" i="32"/>
  <c r="AT75" i="32"/>
  <c r="F75" i="32"/>
  <c r="AJ75" i="32"/>
  <c r="AI75" i="32"/>
  <c r="G74" i="31"/>
  <c r="AQ75" i="32"/>
  <c r="BC75" i="32"/>
  <c r="BB75" i="32"/>
  <c r="AU74" i="32"/>
  <c r="AD75" i="32"/>
  <c r="AE75" i="32"/>
  <c r="U75" i="32"/>
  <c r="M75" i="32"/>
  <c r="N75" i="32" s="1"/>
  <c r="A77" i="32"/>
  <c r="T74" i="32"/>
  <c r="S74" i="32"/>
  <c r="AL74" i="31"/>
  <c r="AM74" i="31" s="1"/>
  <c r="AR74" i="31"/>
  <c r="AS74" i="31" s="1"/>
  <c r="BC74" i="31"/>
  <c r="AX72" i="31"/>
  <c r="AU73" i="31"/>
  <c r="AY73" i="31" s="1"/>
  <c r="BE74" i="31"/>
  <c r="AN74" i="31"/>
  <c r="AP74" i="31"/>
  <c r="AE74" i="31"/>
  <c r="Y74" i="31"/>
  <c r="BK75" i="31"/>
  <c r="BQ75" i="31"/>
  <c r="BO75" i="31"/>
  <c r="BM75" i="31"/>
  <c r="A76" i="31"/>
  <c r="N74" i="31"/>
  <c r="O74" i="31" s="1"/>
  <c r="J74" i="31"/>
  <c r="B74" i="31"/>
  <c r="AO73" i="31"/>
  <c r="U74" i="31"/>
  <c r="L74" i="31"/>
  <c r="M74" i="31" s="1"/>
  <c r="P74" i="31"/>
  <c r="Q74" i="31" s="1"/>
  <c r="D74" i="31"/>
  <c r="E74" i="31" s="1"/>
  <c r="AG74" i="31"/>
  <c r="AV73" i="31"/>
  <c r="AZ73" i="31" s="1"/>
  <c r="BI74" i="31"/>
  <c r="S74" i="31"/>
  <c r="BG74" i="31"/>
  <c r="K73" i="31"/>
  <c r="M73" i="31"/>
  <c r="AT73" i="31"/>
  <c r="AX73" i="31" s="1"/>
  <c r="AM73" i="31"/>
  <c r="AW73" i="31"/>
  <c r="BA73" i="31" s="1"/>
  <c r="AA74" i="31"/>
  <c r="E73" i="31"/>
  <c r="T74" i="26"/>
  <c r="AK74" i="26"/>
  <c r="CF74" i="28"/>
  <c r="BI73" i="28"/>
  <c r="AM74" i="28"/>
  <c r="CF75" i="28"/>
  <c r="BE74" i="28"/>
  <c r="AP74" i="28"/>
  <c r="X74" i="26"/>
  <c r="Y74" i="26" s="1"/>
  <c r="CJ74" i="28"/>
  <c r="AQ74" i="26"/>
  <c r="BR76" i="28"/>
  <c r="A77" i="28"/>
  <c r="AD73" i="26"/>
  <c r="AH73" i="26" s="1"/>
  <c r="Y73" i="26"/>
  <c r="BL73" i="28"/>
  <c r="AB73" i="26"/>
  <c r="BJ73" i="28"/>
  <c r="AH74" i="28"/>
  <c r="BK73" i="28"/>
  <c r="I74" i="28"/>
  <c r="J74" i="28" s="1"/>
  <c r="E74" i="28"/>
  <c r="BP74" i="28"/>
  <c r="AT74" i="28"/>
  <c r="BX75" i="28"/>
  <c r="AW75" i="28"/>
  <c r="AX75" i="28" s="1"/>
  <c r="BV75" i="28"/>
  <c r="CL75" i="28"/>
  <c r="AC73" i="26"/>
  <c r="W73" i="26"/>
  <c r="Z74" i="26"/>
  <c r="CN74" i="28"/>
  <c r="AO75" i="28"/>
  <c r="AP75" i="28" s="1"/>
  <c r="BT75" i="28"/>
  <c r="AS75" i="28"/>
  <c r="BR75" i="28"/>
  <c r="AZ73" i="28"/>
  <c r="BF74" i="28"/>
  <c r="BT74" i="28"/>
  <c r="AG72" i="26"/>
  <c r="AS74" i="26"/>
  <c r="H74" i="28"/>
  <c r="AU74" i="26"/>
  <c r="BH74" i="28"/>
  <c r="AE73" i="26"/>
  <c r="AA73" i="26"/>
  <c r="AR73" i="28"/>
  <c r="V74" i="26"/>
  <c r="B74" i="26"/>
  <c r="C74" i="26" s="1"/>
  <c r="F74" i="26"/>
  <c r="H74" i="26"/>
  <c r="I74" i="26" s="1"/>
  <c r="Q74" i="26"/>
  <c r="AM74" i="26"/>
  <c r="BG74" i="28"/>
  <c r="BK74" i="28" s="1"/>
  <c r="AZ74" i="28"/>
  <c r="AX74" i="28"/>
  <c r="U73" i="26"/>
  <c r="H75" i="28"/>
  <c r="K75" i="28"/>
  <c r="S75" i="28"/>
  <c r="A76" i="26"/>
  <c r="I73" i="26"/>
  <c r="BX74" i="28"/>
  <c r="J73" i="28"/>
  <c r="AF72" i="26"/>
  <c r="M74" i="26"/>
  <c r="AM75" i="28"/>
  <c r="BA75" i="28"/>
  <c r="C76" i="28" l="1"/>
  <c r="AA76" i="28"/>
  <c r="V76" i="28"/>
  <c r="AF76" i="28"/>
  <c r="Q76" i="26"/>
  <c r="O76" i="26"/>
  <c r="M76" i="26"/>
  <c r="K76" i="26"/>
  <c r="AA76" i="31"/>
  <c r="AK76" i="31"/>
  <c r="AE76" i="31"/>
  <c r="Y76" i="31"/>
  <c r="CM74" i="54"/>
  <c r="CY74" i="54"/>
  <c r="AE75" i="54"/>
  <c r="CE75" i="54"/>
  <c r="CA75" i="54"/>
  <c r="DC75" i="54"/>
  <c r="CQ75" i="54"/>
  <c r="BG75" i="54"/>
  <c r="AU75" i="54"/>
  <c r="AI75" i="54"/>
  <c r="W75" i="54"/>
  <c r="CA74" i="54"/>
  <c r="G74" i="54"/>
  <c r="Q74" i="54"/>
  <c r="AS74" i="54"/>
  <c r="AM74" i="54"/>
  <c r="AY74" i="54"/>
  <c r="K75" i="54"/>
  <c r="I75" i="54"/>
  <c r="CK75" i="54"/>
  <c r="BY75" i="54"/>
  <c r="G75" i="54"/>
  <c r="AK75" i="54"/>
  <c r="AW75" i="54"/>
  <c r="AS75" i="54"/>
  <c r="BU75" i="54"/>
  <c r="BK75" i="54"/>
  <c r="AG75" i="54"/>
  <c r="CI75" i="54"/>
  <c r="Y75" i="54"/>
  <c r="BW75" i="54"/>
  <c r="A76" i="54"/>
  <c r="BQ75" i="54"/>
  <c r="BE75" i="54"/>
  <c r="CO75" i="54"/>
  <c r="BM75" i="54"/>
  <c r="CU75" i="54"/>
  <c r="M75" i="54"/>
  <c r="U75" i="54"/>
  <c r="CS75" i="54"/>
  <c r="CW75" i="54"/>
  <c r="BE74" i="54"/>
  <c r="AI76" i="32"/>
  <c r="R76" i="32"/>
  <c r="AB76" i="32"/>
  <c r="J76" i="32"/>
  <c r="K76" i="32" s="1"/>
  <c r="AU76" i="32"/>
  <c r="AA76" i="32"/>
  <c r="C76" i="32"/>
  <c r="T75" i="32"/>
  <c r="AD76" i="32"/>
  <c r="AE76" i="32"/>
  <c r="U76" i="32"/>
  <c r="M76" i="32"/>
  <c r="N76" i="32" s="1"/>
  <c r="G75" i="32"/>
  <c r="Q75" i="32"/>
  <c r="O75" i="32" s="1"/>
  <c r="AR76" i="32"/>
  <c r="AQ76" i="32"/>
  <c r="AZ75" i="32"/>
  <c r="V75" i="32"/>
  <c r="W75" i="32"/>
  <c r="AR75" i="32"/>
  <c r="BB76" i="32"/>
  <c r="AT76" i="32"/>
  <c r="P75" i="32"/>
  <c r="D75" i="32"/>
  <c r="G76" i="32"/>
  <c r="S75" i="32"/>
  <c r="A78" i="32"/>
  <c r="AZ76" i="32"/>
  <c r="AY76" i="32"/>
  <c r="AL76" i="32"/>
  <c r="F76" i="32"/>
  <c r="AP75" i="31"/>
  <c r="AQ75" i="31" s="1"/>
  <c r="AN75" i="31"/>
  <c r="AO75" i="31" s="1"/>
  <c r="AL75" i="31"/>
  <c r="BC75" i="31"/>
  <c r="C74" i="31"/>
  <c r="U75" i="31"/>
  <c r="L75" i="31"/>
  <c r="M75" i="31" s="1"/>
  <c r="P75" i="31"/>
  <c r="Q75" i="31" s="1"/>
  <c r="D75" i="31"/>
  <c r="E75" i="31" s="1"/>
  <c r="K74" i="31"/>
  <c r="BM76" i="31"/>
  <c r="A77" i="31"/>
  <c r="BQ76" i="31"/>
  <c r="S75" i="31"/>
  <c r="N75" i="31"/>
  <c r="O75" i="31" s="1"/>
  <c r="J75" i="31"/>
  <c r="K75" i="31" s="1"/>
  <c r="B75" i="31"/>
  <c r="C75" i="31" s="1"/>
  <c r="AE75" i="31"/>
  <c r="AG75" i="31"/>
  <c r="AR75" i="31"/>
  <c r="BI75" i="31"/>
  <c r="I74" i="31"/>
  <c r="BG75" i="31"/>
  <c r="AV74" i="31"/>
  <c r="AZ74" i="31" s="1"/>
  <c r="AQ74" i="31"/>
  <c r="BE75" i="31"/>
  <c r="AU74" i="31"/>
  <c r="AY74" i="31" s="1"/>
  <c r="AO74" i="31"/>
  <c r="AT74" i="31"/>
  <c r="AW74" i="31"/>
  <c r="BA74" i="31" s="1"/>
  <c r="X75" i="26"/>
  <c r="AO75" i="26"/>
  <c r="Q75" i="26"/>
  <c r="AY76" i="26"/>
  <c r="AS76" i="26"/>
  <c r="AK76" i="26"/>
  <c r="AW76" i="26"/>
  <c r="A77" i="26"/>
  <c r="CJ76" i="28"/>
  <c r="CH76" i="28"/>
  <c r="X76" i="28"/>
  <c r="AY75" i="26"/>
  <c r="N75" i="28"/>
  <c r="L75" i="28"/>
  <c r="AU75" i="26"/>
  <c r="G74" i="26"/>
  <c r="AC74" i="26"/>
  <c r="AG74" i="26" s="1"/>
  <c r="W74" i="26"/>
  <c r="BF75" i="28"/>
  <c r="AT75" i="28"/>
  <c r="CP76" i="28"/>
  <c r="BP76" i="28"/>
  <c r="AO76" i="28"/>
  <c r="AP76" i="28" s="1"/>
  <c r="BN76" i="28"/>
  <c r="AD74" i="26"/>
  <c r="BI74" i="28"/>
  <c r="CB75" i="28"/>
  <c r="AI73" i="26"/>
  <c r="CN75" i="28"/>
  <c r="X75" i="28"/>
  <c r="CB76" i="28"/>
  <c r="BA76" i="28"/>
  <c r="BZ76" i="28"/>
  <c r="AS76" i="28"/>
  <c r="AT76" i="28" s="1"/>
  <c r="AK75" i="26"/>
  <c r="M75" i="26"/>
  <c r="Z75" i="26"/>
  <c r="AA75" i="26" s="1"/>
  <c r="AQ75" i="26"/>
  <c r="B75" i="26"/>
  <c r="C75" i="26" s="1"/>
  <c r="F75" i="26"/>
  <c r="H75" i="26"/>
  <c r="K75" i="26"/>
  <c r="AE74" i="26"/>
  <c r="AA74" i="26"/>
  <c r="AW76" i="28"/>
  <c r="BV76" i="28"/>
  <c r="H76" i="28"/>
  <c r="K76" i="28"/>
  <c r="Q76" i="28"/>
  <c r="AB74" i="26"/>
  <c r="U74" i="26"/>
  <c r="V75" i="26"/>
  <c r="AW75" i="26"/>
  <c r="AV74" i="28"/>
  <c r="BE75" i="28"/>
  <c r="AF73" i="26"/>
  <c r="E76" i="28"/>
  <c r="T75" i="26"/>
  <c r="CJ75" i="28"/>
  <c r="BL74" i="28"/>
  <c r="BG75" i="28"/>
  <c r="AM75" i="26"/>
  <c r="O75" i="26"/>
  <c r="AC75" i="28"/>
  <c r="CD76" i="28"/>
  <c r="AK76" i="28"/>
  <c r="I75" i="28"/>
  <c r="E75" i="28"/>
  <c r="BD74" i="28"/>
  <c r="BJ74" i="28"/>
  <c r="BP75" i="28"/>
  <c r="CL76" i="28"/>
  <c r="AH75" i="28"/>
  <c r="CR75" i="28"/>
  <c r="BH75" i="28"/>
  <c r="BB75" i="28"/>
  <c r="S75" i="26"/>
  <c r="N74" i="28"/>
  <c r="AG73" i="26"/>
  <c r="A78" i="28"/>
  <c r="AR74" i="28"/>
  <c r="AS75" i="26"/>
  <c r="V77" i="28" l="1"/>
  <c r="Y77" i="31"/>
  <c r="W77" i="31"/>
  <c r="AI77" i="31"/>
  <c r="AE77" i="31"/>
  <c r="AC77" i="31"/>
  <c r="AA77" i="31"/>
  <c r="AK77" i="31"/>
  <c r="BC78" i="32"/>
  <c r="P78" i="32"/>
  <c r="K77" i="26"/>
  <c r="AQ75" i="54"/>
  <c r="AE76" i="54"/>
  <c r="CQ76" i="54"/>
  <c r="DC76" i="54"/>
  <c r="BG76" i="54"/>
  <c r="CM76" i="54"/>
  <c r="AU76" i="54"/>
  <c r="CE76" i="54"/>
  <c r="AI76" i="54"/>
  <c r="W76" i="54"/>
  <c r="CY75" i="54"/>
  <c r="S75" i="54"/>
  <c r="BC75" i="54"/>
  <c r="CM75" i="54"/>
  <c r="CG75" i="54"/>
  <c r="CC75" i="54"/>
  <c r="DA75" i="54"/>
  <c r="DE75" i="54"/>
  <c r="E75" i="54"/>
  <c r="Q75" i="54"/>
  <c r="C75" i="54"/>
  <c r="AM75" i="54"/>
  <c r="BA75" i="54"/>
  <c r="O75" i="54"/>
  <c r="BI75" i="54"/>
  <c r="K76" i="54"/>
  <c r="BU76" i="54"/>
  <c r="CW76" i="54"/>
  <c r="CK76" i="54"/>
  <c r="G76" i="54"/>
  <c r="CI76" i="54"/>
  <c r="E76" i="54"/>
  <c r="Q76" i="54"/>
  <c r="U76" i="54"/>
  <c r="AC76" i="54"/>
  <c r="BI76" i="54"/>
  <c r="BK76" i="54"/>
  <c r="BE76" i="54"/>
  <c r="DA76" i="54"/>
  <c r="AY76" i="54"/>
  <c r="CS76" i="54"/>
  <c r="BA76" i="54"/>
  <c r="Y76" i="54"/>
  <c r="A77" i="54"/>
  <c r="O76" i="54"/>
  <c r="M76" i="54"/>
  <c r="AY75" i="54"/>
  <c r="AC75" i="54"/>
  <c r="AO75" i="54"/>
  <c r="AA75" i="54"/>
  <c r="AL76" i="31"/>
  <c r="AM76" i="31" s="1"/>
  <c r="W76" i="32"/>
  <c r="C77" i="32"/>
  <c r="L75" i="32"/>
  <c r="F77" i="32"/>
  <c r="A79" i="32"/>
  <c r="S76" i="32"/>
  <c r="T76" i="32"/>
  <c r="AT77" i="32"/>
  <c r="R77" i="32"/>
  <c r="J77" i="32"/>
  <c r="K77" i="32" s="1"/>
  <c r="AA77" i="32"/>
  <c r="AZ77" i="32"/>
  <c r="AY77" i="32"/>
  <c r="AL77" i="32"/>
  <c r="BC76" i="32"/>
  <c r="P76" i="32"/>
  <c r="L76" i="32" s="1"/>
  <c r="D76" i="32"/>
  <c r="AJ76" i="32"/>
  <c r="AR77" i="32"/>
  <c r="AQ77" i="32"/>
  <c r="AI77" i="32"/>
  <c r="AJ77" i="32"/>
  <c r="BB77" i="32"/>
  <c r="O76" i="32"/>
  <c r="U77" i="32"/>
  <c r="M77" i="32"/>
  <c r="N77" i="32" s="1"/>
  <c r="AE77" i="32"/>
  <c r="V76" i="32"/>
  <c r="BC77" i="32"/>
  <c r="AD77" i="32"/>
  <c r="AX74" i="31"/>
  <c r="D76" i="31"/>
  <c r="E76" i="31" s="1"/>
  <c r="L76" i="31"/>
  <c r="M76" i="31" s="1"/>
  <c r="P76" i="31"/>
  <c r="Q76" i="31" s="1"/>
  <c r="W76" i="31"/>
  <c r="I75" i="31"/>
  <c r="AI76" i="31"/>
  <c r="U76" i="31"/>
  <c r="AW75" i="31"/>
  <c r="BA75" i="31" s="1"/>
  <c r="AS75" i="31"/>
  <c r="S76" i="31"/>
  <c r="J76" i="31"/>
  <c r="B76" i="31"/>
  <c r="N76" i="31"/>
  <c r="O76" i="31" s="1"/>
  <c r="BC76" i="31"/>
  <c r="AN76" i="31"/>
  <c r="BE76" i="31"/>
  <c r="I76" i="31"/>
  <c r="AG76" i="31"/>
  <c r="G76" i="31"/>
  <c r="AR76" i="31"/>
  <c r="BI76" i="31"/>
  <c r="G75" i="31"/>
  <c r="AC76" i="31"/>
  <c r="BG76" i="31"/>
  <c r="AP76" i="31"/>
  <c r="AU75" i="31"/>
  <c r="AY75" i="31" s="1"/>
  <c r="AT75" i="31"/>
  <c r="AX75" i="31" s="1"/>
  <c r="AM75" i="31"/>
  <c r="BO77" i="31"/>
  <c r="BI77" i="31"/>
  <c r="BM77" i="31"/>
  <c r="A78" i="31"/>
  <c r="BK77" i="31"/>
  <c r="BQ77" i="31"/>
  <c r="BK76" i="31"/>
  <c r="BO76" i="31"/>
  <c r="AV75" i="31"/>
  <c r="AA77" i="28"/>
  <c r="AH76" i="28"/>
  <c r="AC75" i="26"/>
  <c r="BR77" i="28"/>
  <c r="BZ77" i="28"/>
  <c r="BN77" i="28"/>
  <c r="AC76" i="28"/>
  <c r="N76" i="28"/>
  <c r="L76" i="28"/>
  <c r="BX76" i="28"/>
  <c r="AE75" i="26"/>
  <c r="CR76" i="28"/>
  <c r="J75" i="28"/>
  <c r="T76" i="26"/>
  <c r="U76" i="26" s="1"/>
  <c r="BD75" i="28"/>
  <c r="X77" i="28"/>
  <c r="BK75" i="28"/>
  <c r="CP77" i="28"/>
  <c r="AR75" i="28"/>
  <c r="CF76" i="28"/>
  <c r="CN76" i="28"/>
  <c r="BE76" i="28"/>
  <c r="S76" i="26"/>
  <c r="BL75" i="28"/>
  <c r="AF74" i="26"/>
  <c r="I75" i="26"/>
  <c r="BF76" i="28"/>
  <c r="BD76" i="28"/>
  <c r="BH76" i="28"/>
  <c r="AH74" i="26"/>
  <c r="X76" i="26"/>
  <c r="Y76" i="26" s="1"/>
  <c r="AO76" i="26"/>
  <c r="AW77" i="28"/>
  <c r="AX77" i="28" s="1"/>
  <c r="A79" i="28"/>
  <c r="BN78" i="28"/>
  <c r="CH78" i="28"/>
  <c r="CP78" i="28"/>
  <c r="BZ78" i="28"/>
  <c r="BV78" i="28"/>
  <c r="CL78" i="28"/>
  <c r="CL77" i="28"/>
  <c r="AZ75" i="28"/>
  <c r="BV77" i="28"/>
  <c r="AI74" i="26"/>
  <c r="BB76" i="28"/>
  <c r="Z76" i="26"/>
  <c r="AQ76" i="26"/>
  <c r="F76" i="26"/>
  <c r="B76" i="26"/>
  <c r="H76" i="26"/>
  <c r="I76" i="26" s="1"/>
  <c r="AD75" i="26"/>
  <c r="Y75" i="26"/>
  <c r="BA77" i="28"/>
  <c r="E77" i="28"/>
  <c r="AC77" i="28"/>
  <c r="AB75" i="26"/>
  <c r="U75" i="26"/>
  <c r="C77" i="28"/>
  <c r="BI75" i="28"/>
  <c r="AM76" i="28"/>
  <c r="AU76" i="26"/>
  <c r="BT76" i="28"/>
  <c r="AS77" i="28"/>
  <c r="AF77" i="28"/>
  <c r="K77" i="28"/>
  <c r="H77" i="28"/>
  <c r="S77" i="28"/>
  <c r="I76" i="28"/>
  <c r="J76" i="28" s="1"/>
  <c r="Q77" i="28"/>
  <c r="AV75" i="28"/>
  <c r="W75" i="26"/>
  <c r="CH77" i="28"/>
  <c r="A78" i="26"/>
  <c r="V76" i="26"/>
  <c r="AM76" i="26"/>
  <c r="G75" i="26"/>
  <c r="CD77" i="28"/>
  <c r="AO77" i="28"/>
  <c r="AP77" i="28" s="1"/>
  <c r="AK77" i="28"/>
  <c r="BG76" i="28"/>
  <c r="AX76" i="28"/>
  <c r="BJ75" i="28"/>
  <c r="S76" i="28"/>
  <c r="AK78" i="28" l="1"/>
  <c r="AF78" i="28"/>
  <c r="C78" i="28"/>
  <c r="AA78" i="28"/>
  <c r="AK78" i="31"/>
  <c r="AI78" i="31"/>
  <c r="AC78" i="31"/>
  <c r="AA78" i="31"/>
  <c r="Y78" i="31"/>
  <c r="W78" i="31"/>
  <c r="Q78" i="28"/>
  <c r="O78" i="26"/>
  <c r="M78" i="26"/>
  <c r="Q78" i="26"/>
  <c r="AU79" i="32"/>
  <c r="CA77" i="54"/>
  <c r="CY77" i="54"/>
  <c r="AE77" i="54"/>
  <c r="DC77" i="54"/>
  <c r="S77" i="54"/>
  <c r="CE77" i="54"/>
  <c r="W77" i="54"/>
  <c r="CQ77" i="54"/>
  <c r="AI77" i="54"/>
  <c r="BG77" i="54"/>
  <c r="AU77" i="54"/>
  <c r="CA76" i="54"/>
  <c r="CY76" i="54"/>
  <c r="AQ76" i="54"/>
  <c r="BC76" i="54"/>
  <c r="S76" i="54"/>
  <c r="AS76" i="54"/>
  <c r="BY76" i="54"/>
  <c r="C76" i="54"/>
  <c r="CU76" i="54"/>
  <c r="K77" i="54"/>
  <c r="U77" i="54"/>
  <c r="AO77" i="54"/>
  <c r="O77" i="54"/>
  <c r="AW77" i="54"/>
  <c r="AM77" i="54"/>
  <c r="A78" i="54"/>
  <c r="BM77" i="54"/>
  <c r="DA77" i="54"/>
  <c r="BI77" i="54"/>
  <c r="AK77" i="54"/>
  <c r="BW77" i="54"/>
  <c r="BE77" i="54"/>
  <c r="BA77" i="54"/>
  <c r="CO77" i="54"/>
  <c r="G77" i="54"/>
  <c r="M77" i="54"/>
  <c r="AS77" i="54"/>
  <c r="BK77" i="54"/>
  <c r="BY77" i="54"/>
  <c r="CI77" i="54"/>
  <c r="BQ77" i="54"/>
  <c r="I77" i="54"/>
  <c r="CU77" i="54"/>
  <c r="AC77" i="54"/>
  <c r="BU77" i="54"/>
  <c r="CC77" i="54"/>
  <c r="AA77" i="54"/>
  <c r="DE77" i="54"/>
  <c r="AY77" i="54"/>
  <c r="AG77" i="54"/>
  <c r="CG77" i="54"/>
  <c r="E77" i="54"/>
  <c r="Q77" i="54"/>
  <c r="AW76" i="54"/>
  <c r="AK76" i="54"/>
  <c r="CC76" i="54"/>
  <c r="BW76" i="54"/>
  <c r="AA76" i="54"/>
  <c r="AM76" i="54"/>
  <c r="BM76" i="54"/>
  <c r="AO76" i="54"/>
  <c r="BQ76" i="54"/>
  <c r="DE76" i="54"/>
  <c r="CO76" i="54"/>
  <c r="AG76" i="54"/>
  <c r="I76" i="54"/>
  <c r="CG76" i="54"/>
  <c r="AT78" i="32"/>
  <c r="D78" i="32"/>
  <c r="AL78" i="32"/>
  <c r="AM77" i="32"/>
  <c r="AM78" i="32"/>
  <c r="AU77" i="32"/>
  <c r="AU78" i="32"/>
  <c r="Q77" i="32"/>
  <c r="O77" i="32" s="1"/>
  <c r="G77" i="32"/>
  <c r="C78" i="32"/>
  <c r="F78" i="32"/>
  <c r="BB78" i="32"/>
  <c r="AB77" i="32"/>
  <c r="AJ78" i="32"/>
  <c r="AI78" i="32"/>
  <c r="M78" i="32"/>
  <c r="N78" i="32" s="1"/>
  <c r="AD78" i="32"/>
  <c r="AE78" i="32"/>
  <c r="U78" i="32"/>
  <c r="AY78" i="32"/>
  <c r="AZ78" i="32"/>
  <c r="AL77" i="31"/>
  <c r="AM77" i="31" s="1"/>
  <c r="T77" i="32"/>
  <c r="S77" i="32"/>
  <c r="J78" i="32"/>
  <c r="K78" i="32" s="1"/>
  <c r="AA78" i="32"/>
  <c r="R78" i="32"/>
  <c r="AB78" i="32"/>
  <c r="A80" i="32"/>
  <c r="D77" i="32"/>
  <c r="P77" i="32"/>
  <c r="L77" i="32" s="1"/>
  <c r="W77" i="32"/>
  <c r="V77" i="32"/>
  <c r="AQ78" i="32"/>
  <c r="AR78" i="32"/>
  <c r="AZ75" i="31"/>
  <c r="C76" i="31"/>
  <c r="K76" i="31"/>
  <c r="G77" i="31"/>
  <c r="AP77" i="31"/>
  <c r="BG77" i="31"/>
  <c r="AR77" i="31"/>
  <c r="L77" i="31"/>
  <c r="P77" i="31"/>
  <c r="D77" i="31"/>
  <c r="AS76" i="31"/>
  <c r="AW76" i="31"/>
  <c r="BA76" i="31" s="1"/>
  <c r="N77" i="31"/>
  <c r="O77" i="31" s="1"/>
  <c r="J77" i="31"/>
  <c r="K77" i="31" s="1"/>
  <c r="B77" i="31"/>
  <c r="C77" i="31" s="1"/>
  <c r="AG77" i="31"/>
  <c r="I77" i="31"/>
  <c r="AT76" i="31"/>
  <c r="AX76" i="31" s="1"/>
  <c r="AU76" i="31"/>
  <c r="AY76" i="31" s="1"/>
  <c r="AO76" i="31"/>
  <c r="A79" i="31"/>
  <c r="BM78" i="31"/>
  <c r="BK78" i="31"/>
  <c r="BQ78" i="31"/>
  <c r="BO78" i="31"/>
  <c r="BC77" i="31"/>
  <c r="AV76" i="31"/>
  <c r="AZ76" i="31" s="1"/>
  <c r="AQ76" i="31"/>
  <c r="AN77" i="31"/>
  <c r="BE77" i="31"/>
  <c r="S77" i="31"/>
  <c r="U77" i="31"/>
  <c r="AC76" i="26"/>
  <c r="AS77" i="26"/>
  <c r="E77" i="26"/>
  <c r="E76" i="26"/>
  <c r="X78" i="28"/>
  <c r="E78" i="28"/>
  <c r="V78" i="28"/>
  <c r="G76" i="26"/>
  <c r="CF78" i="28"/>
  <c r="CJ77" i="28"/>
  <c r="X77" i="26"/>
  <c r="AO77" i="26"/>
  <c r="F77" i="26"/>
  <c r="H77" i="26"/>
  <c r="I77" i="26" s="1"/>
  <c r="B77" i="26"/>
  <c r="C77" i="26" s="1"/>
  <c r="I77" i="28"/>
  <c r="J77" i="28" s="1"/>
  <c r="AQ77" i="26"/>
  <c r="BX78" i="28"/>
  <c r="AW78" i="28"/>
  <c r="AG75" i="26"/>
  <c r="BE77" i="28"/>
  <c r="BI77" i="28" s="1"/>
  <c r="V77" i="26"/>
  <c r="AM77" i="26"/>
  <c r="AW77" i="26"/>
  <c r="BF77" i="28"/>
  <c r="BJ77" i="28" s="1"/>
  <c r="AT77" i="28"/>
  <c r="CB78" i="28"/>
  <c r="BA78" i="28"/>
  <c r="BB78" i="28" s="1"/>
  <c r="AO78" i="28"/>
  <c r="AP78" i="28" s="1"/>
  <c r="CF77" i="28"/>
  <c r="AR76" i="28"/>
  <c r="AB76" i="26"/>
  <c r="AY77" i="26"/>
  <c r="BT77" i="28"/>
  <c r="AF75" i="26"/>
  <c r="BP77" i="28"/>
  <c r="CN77" i="28"/>
  <c r="AC78" i="28"/>
  <c r="AH75" i="26"/>
  <c r="AV76" i="28"/>
  <c r="AI75" i="26"/>
  <c r="O77" i="26"/>
  <c r="BK76" i="28"/>
  <c r="AO78" i="26"/>
  <c r="AK78" i="26"/>
  <c r="A79" i="26"/>
  <c r="S77" i="26"/>
  <c r="BH77" i="28"/>
  <c r="BB77" i="28"/>
  <c r="AE76" i="26"/>
  <c r="AA76" i="26"/>
  <c r="AS78" i="28"/>
  <c r="BR78" i="28"/>
  <c r="A80" i="28"/>
  <c r="BJ76" i="28"/>
  <c r="BI76" i="28"/>
  <c r="BL76" i="28"/>
  <c r="BX77" i="28"/>
  <c r="AZ76" i="28"/>
  <c r="Z77" i="26"/>
  <c r="AA77" i="26" s="1"/>
  <c r="T77" i="26"/>
  <c r="AK77" i="26"/>
  <c r="W76" i="26"/>
  <c r="CD78" i="28"/>
  <c r="K78" i="28"/>
  <c r="BG77" i="28"/>
  <c r="AU77" i="26"/>
  <c r="M77" i="26"/>
  <c r="Q77" i="26"/>
  <c r="AM77" i="28"/>
  <c r="CB77" i="28"/>
  <c r="C76" i="26"/>
  <c r="AH78" i="28"/>
  <c r="AD76" i="26"/>
  <c r="L77" i="28"/>
  <c r="CR77" i="28"/>
  <c r="AH77" i="28"/>
  <c r="V79" i="28" l="1"/>
  <c r="AK79" i="28"/>
  <c r="AA79" i="28"/>
  <c r="AA79" i="31"/>
  <c r="Y79" i="31"/>
  <c r="W79" i="31"/>
  <c r="AK79" i="31"/>
  <c r="AI79" i="31"/>
  <c r="AC79" i="31"/>
  <c r="AU80" i="32"/>
  <c r="AM80" i="32"/>
  <c r="Q80" i="32"/>
  <c r="S79" i="26"/>
  <c r="Q79" i="26"/>
  <c r="M79" i="26"/>
  <c r="K79" i="26"/>
  <c r="BC78" i="54"/>
  <c r="AE78" i="54"/>
  <c r="CE78" i="54"/>
  <c r="CQ78" i="54"/>
  <c r="BG78" i="54"/>
  <c r="AU78" i="54"/>
  <c r="W78" i="54"/>
  <c r="S78" i="54"/>
  <c r="DC78" i="54"/>
  <c r="AI78" i="54"/>
  <c r="AQ77" i="54"/>
  <c r="BC77" i="54"/>
  <c r="CM77" i="54"/>
  <c r="CW77" i="54"/>
  <c r="K78" i="54"/>
  <c r="BQ78" i="54"/>
  <c r="A79" i="54"/>
  <c r="CS78" i="54"/>
  <c r="BI78" i="54"/>
  <c r="Y78" i="54"/>
  <c r="AW78" i="54"/>
  <c r="I78" i="54"/>
  <c r="C78" i="54"/>
  <c r="O78" i="54"/>
  <c r="AM78" i="54"/>
  <c r="AK78" i="54"/>
  <c r="CO78" i="54"/>
  <c r="BA78" i="54"/>
  <c r="CC78" i="54"/>
  <c r="BE78" i="54"/>
  <c r="AG78" i="54"/>
  <c r="CK78" i="54"/>
  <c r="CI78" i="54"/>
  <c r="CU78" i="54"/>
  <c r="Y77" i="54"/>
  <c r="CK77" i="54"/>
  <c r="CS77" i="54"/>
  <c r="C77" i="54"/>
  <c r="AR78" i="31"/>
  <c r="AS78" i="31" s="1"/>
  <c r="AM79" i="32"/>
  <c r="AL79" i="32"/>
  <c r="M79" i="32"/>
  <c r="N79" i="32" s="1"/>
  <c r="AD79" i="32"/>
  <c r="AE79" i="32"/>
  <c r="U79" i="32"/>
  <c r="V79" i="32" s="1"/>
  <c r="C79" i="32"/>
  <c r="T78" i="32"/>
  <c r="S78" i="32"/>
  <c r="L78" i="32"/>
  <c r="AI79" i="32"/>
  <c r="V78" i="32"/>
  <c r="AY79" i="32"/>
  <c r="AZ79" i="32"/>
  <c r="Q78" i="32"/>
  <c r="G78" i="32"/>
  <c r="BC79" i="32"/>
  <c r="BB79" i="32"/>
  <c r="A81" i="32"/>
  <c r="F79" i="32"/>
  <c r="AT79" i="32"/>
  <c r="AR79" i="32"/>
  <c r="AQ79" i="32"/>
  <c r="J79" i="32"/>
  <c r="AA79" i="32"/>
  <c r="R79" i="32"/>
  <c r="AB79" i="32"/>
  <c r="AL78" i="31"/>
  <c r="AM78" i="31" s="1"/>
  <c r="E77" i="31"/>
  <c r="N78" i="31"/>
  <c r="O78" i="31" s="1"/>
  <c r="S78" i="31"/>
  <c r="J78" i="31"/>
  <c r="K78" i="31" s="1"/>
  <c r="B78" i="31"/>
  <c r="C78" i="31" s="1"/>
  <c r="Q77" i="31"/>
  <c r="AG78" i="31"/>
  <c r="M77" i="31"/>
  <c r="BE78" i="31"/>
  <c r="AN78" i="31"/>
  <c r="AW77" i="31"/>
  <c r="AS77" i="31"/>
  <c r="AE78" i="31"/>
  <c r="AP78" i="31"/>
  <c r="AQ78" i="31" s="1"/>
  <c r="BG78" i="31"/>
  <c r="A80" i="31"/>
  <c r="BK79" i="31"/>
  <c r="BO79" i="31"/>
  <c r="BM79" i="31"/>
  <c r="BQ79" i="31"/>
  <c r="AQ77" i="31"/>
  <c r="AV77" i="31"/>
  <c r="BC78" i="31"/>
  <c r="AO77" i="31"/>
  <c r="AU77" i="31"/>
  <c r="AY77" i="31" s="1"/>
  <c r="U78" i="31"/>
  <c r="D78" i="31"/>
  <c r="E78" i="31" s="1"/>
  <c r="P78" i="31"/>
  <c r="Q78" i="31" s="1"/>
  <c r="L78" i="31"/>
  <c r="M78" i="31" s="1"/>
  <c r="BI78" i="31"/>
  <c r="AT77" i="31"/>
  <c r="AX77" i="31" s="1"/>
  <c r="AZ77" i="28"/>
  <c r="AO79" i="28"/>
  <c r="BN79" i="28"/>
  <c r="F78" i="26"/>
  <c r="G78" i="26" s="1"/>
  <c r="B78" i="26"/>
  <c r="C78" i="26" s="1"/>
  <c r="H78" i="26"/>
  <c r="AS79" i="26"/>
  <c r="A80" i="26"/>
  <c r="BE78" i="28"/>
  <c r="AT78" i="28"/>
  <c r="E79" i="28"/>
  <c r="C79" i="28"/>
  <c r="CR78" i="28"/>
  <c r="AH76" i="26"/>
  <c r="CR79" i="28"/>
  <c r="CP79" i="28"/>
  <c r="CH80" i="28"/>
  <c r="CL80" i="28"/>
  <c r="A81" i="28"/>
  <c r="BV80" i="28"/>
  <c r="BR80" i="28"/>
  <c r="CP80" i="28"/>
  <c r="CD80" i="28"/>
  <c r="Z78" i="26"/>
  <c r="AA78" i="26" s="1"/>
  <c r="AQ78" i="26"/>
  <c r="AY78" i="26"/>
  <c r="AR77" i="28"/>
  <c r="BP78" i="28"/>
  <c r="H78" i="28"/>
  <c r="CF79" i="28"/>
  <c r="CD79" i="28"/>
  <c r="G77" i="26"/>
  <c r="AS78" i="26"/>
  <c r="L78" i="28"/>
  <c r="BA79" i="28"/>
  <c r="BZ79" i="28"/>
  <c r="K79" i="28"/>
  <c r="S79" i="28"/>
  <c r="H79" i="28"/>
  <c r="Q79" i="28"/>
  <c r="T78" i="26"/>
  <c r="U78" i="26" s="1"/>
  <c r="BH78" i="28"/>
  <c r="BL78" i="28" s="1"/>
  <c r="AV77" i="28"/>
  <c r="AC77" i="26"/>
  <c r="I78" i="28"/>
  <c r="J78" i="28" s="1"/>
  <c r="CN78" i="28"/>
  <c r="AE77" i="26"/>
  <c r="S78" i="26"/>
  <c r="AW78" i="26"/>
  <c r="AF76" i="26"/>
  <c r="BG78" i="28"/>
  <c r="AX78" i="28"/>
  <c r="W77" i="26"/>
  <c r="BK77" i="28"/>
  <c r="CJ79" i="28"/>
  <c r="CH79" i="28"/>
  <c r="AW79" i="28"/>
  <c r="BV79" i="28"/>
  <c r="BF78" i="28"/>
  <c r="AV78" i="28"/>
  <c r="X78" i="26"/>
  <c r="Y78" i="26" s="1"/>
  <c r="AM78" i="28"/>
  <c r="AS79" i="28"/>
  <c r="BR79" i="28"/>
  <c r="BT78" i="28"/>
  <c r="AI76" i="26"/>
  <c r="BD77" i="28"/>
  <c r="AU78" i="26"/>
  <c r="BL77" i="28"/>
  <c r="CJ78" i="28"/>
  <c r="AB77" i="26"/>
  <c r="AF77" i="26" s="1"/>
  <c r="U77" i="26"/>
  <c r="CL79" i="28"/>
  <c r="AF79" i="28"/>
  <c r="V78" i="26"/>
  <c r="AM78" i="26"/>
  <c r="N77" i="28"/>
  <c r="S78" i="28"/>
  <c r="K78" i="26"/>
  <c r="AD77" i="26"/>
  <c r="Y77" i="26"/>
  <c r="AG76" i="26"/>
  <c r="V80" i="28" l="1"/>
  <c r="AK80" i="28"/>
  <c r="AL80" i="32"/>
  <c r="Q80" i="28"/>
  <c r="AF80" i="28"/>
  <c r="C80" i="28"/>
  <c r="AD80" i="32"/>
  <c r="S80" i="26"/>
  <c r="Q80" i="26"/>
  <c r="M80" i="26"/>
  <c r="AC80" i="31"/>
  <c r="AA80" i="31"/>
  <c r="W80" i="31"/>
  <c r="AK80" i="31"/>
  <c r="AI80" i="31"/>
  <c r="Y80" i="31"/>
  <c r="L79" i="28"/>
  <c r="BC81" i="32"/>
  <c r="AR81" i="32"/>
  <c r="CA79" i="54"/>
  <c r="BC79" i="54"/>
  <c r="CQ79" i="54"/>
  <c r="CE79" i="54"/>
  <c r="BG79" i="54"/>
  <c r="DC79" i="54"/>
  <c r="S79" i="54"/>
  <c r="AI79" i="54"/>
  <c r="AU79" i="54"/>
  <c r="W79" i="54"/>
  <c r="CA78" i="54"/>
  <c r="CM78" i="54"/>
  <c r="AQ78" i="54"/>
  <c r="CY78" i="54"/>
  <c r="G78" i="54"/>
  <c r="U78" i="54"/>
  <c r="K79" i="54"/>
  <c r="G79" i="54"/>
  <c r="CG79" i="54"/>
  <c r="C79" i="54"/>
  <c r="CO79" i="54"/>
  <c r="CS79" i="54"/>
  <c r="BQ79" i="54"/>
  <c r="AY79" i="54"/>
  <c r="BI79" i="54"/>
  <c r="BE79" i="54"/>
  <c r="AS79" i="54"/>
  <c r="BU79" i="54"/>
  <c r="A80" i="54"/>
  <c r="M79" i="54"/>
  <c r="BW79" i="54"/>
  <c r="BM79" i="54"/>
  <c r="BY79" i="54"/>
  <c r="AC79" i="54"/>
  <c r="Y79" i="54"/>
  <c r="U79" i="54"/>
  <c r="DE79" i="54"/>
  <c r="E79" i="54"/>
  <c r="CU79" i="54"/>
  <c r="Q79" i="54"/>
  <c r="CI79" i="54"/>
  <c r="AA79" i="54"/>
  <c r="BK79" i="54"/>
  <c r="DA79" i="54"/>
  <c r="CW79" i="54"/>
  <c r="AG79" i="54"/>
  <c r="AO79" i="54"/>
  <c r="BW78" i="54"/>
  <c r="BU78" i="54"/>
  <c r="E78" i="54"/>
  <c r="Q78" i="54"/>
  <c r="DA78" i="54"/>
  <c r="AS78" i="54"/>
  <c r="DE78" i="54"/>
  <c r="CW78" i="54"/>
  <c r="BM78" i="54"/>
  <c r="M78" i="54"/>
  <c r="AA78" i="54"/>
  <c r="BY78" i="54"/>
  <c r="AC78" i="54"/>
  <c r="AY78" i="54"/>
  <c r="AO78" i="54"/>
  <c r="BK78" i="54"/>
  <c r="CG78" i="54"/>
  <c r="AZ80" i="32"/>
  <c r="BC80" i="32"/>
  <c r="AY80" i="32"/>
  <c r="G79" i="32"/>
  <c r="Q79" i="32"/>
  <c r="O79" i="32" s="1"/>
  <c r="G80" i="32"/>
  <c r="AJ80" i="32"/>
  <c r="AI80" i="32"/>
  <c r="AA80" i="32"/>
  <c r="R80" i="32"/>
  <c r="AB80" i="32"/>
  <c r="J80" i="32"/>
  <c r="K80" i="32" s="1"/>
  <c r="D79" i="32"/>
  <c r="P79" i="32"/>
  <c r="L79" i="32" s="1"/>
  <c r="C80" i="32"/>
  <c r="W78" i="32"/>
  <c r="AT80" i="32"/>
  <c r="A82" i="32"/>
  <c r="K79" i="32"/>
  <c r="AQ80" i="32"/>
  <c r="T79" i="32"/>
  <c r="S79" i="32"/>
  <c r="AJ79" i="32"/>
  <c r="W79" i="32"/>
  <c r="F80" i="32"/>
  <c r="AR80" i="32"/>
  <c r="AE80" i="32"/>
  <c r="U80" i="32"/>
  <c r="M80" i="32"/>
  <c r="N80" i="32" s="1"/>
  <c r="O78" i="32"/>
  <c r="BB80" i="32"/>
  <c r="AR79" i="31"/>
  <c r="AS79" i="31" s="1"/>
  <c r="BA77" i="31"/>
  <c r="AZ77" i="31"/>
  <c r="BG79" i="31"/>
  <c r="AP79" i="31"/>
  <c r="B79" i="31"/>
  <c r="J79" i="31"/>
  <c r="K79" i="31" s="1"/>
  <c r="N79" i="31"/>
  <c r="S79" i="31"/>
  <c r="AO78" i="31"/>
  <c r="AU78" i="31"/>
  <c r="AY78" i="31" s="1"/>
  <c r="AT78" i="31"/>
  <c r="AX78" i="31" s="1"/>
  <c r="E79" i="26"/>
  <c r="BI79" i="31"/>
  <c r="I79" i="31"/>
  <c r="AG79" i="31"/>
  <c r="BC79" i="31"/>
  <c r="AL79" i="31"/>
  <c r="I78" i="31"/>
  <c r="BM80" i="31"/>
  <c r="BO80" i="31"/>
  <c r="BK80" i="31"/>
  <c r="BI80" i="31"/>
  <c r="BQ80" i="31"/>
  <c r="A81" i="31"/>
  <c r="G79" i="31"/>
  <c r="AE79" i="31"/>
  <c r="BE79" i="31"/>
  <c r="AN79" i="31"/>
  <c r="AV78" i="31"/>
  <c r="AZ78" i="31" s="1"/>
  <c r="G78" i="31"/>
  <c r="U79" i="31"/>
  <c r="L79" i="31"/>
  <c r="M79" i="31" s="1"/>
  <c r="P79" i="31"/>
  <c r="Q79" i="31" s="1"/>
  <c r="D79" i="31"/>
  <c r="E79" i="31" s="1"/>
  <c r="AW78" i="31"/>
  <c r="BA78" i="31" s="1"/>
  <c r="E78" i="26"/>
  <c r="AZ78" i="28"/>
  <c r="CN80" i="28"/>
  <c r="I79" i="28"/>
  <c r="J79" i="28" s="1"/>
  <c r="AR78" i="28"/>
  <c r="Z79" i="26"/>
  <c r="AQ79" i="26"/>
  <c r="BX79" i="28"/>
  <c r="H80" i="28"/>
  <c r="K80" i="28"/>
  <c r="AW79" i="26"/>
  <c r="I78" i="26"/>
  <c r="BN80" i="28"/>
  <c r="BF79" i="28"/>
  <c r="AT79" i="28"/>
  <c r="BJ78" i="28"/>
  <c r="AM80" i="26"/>
  <c r="A81" i="26"/>
  <c r="AH77" i="26"/>
  <c r="N78" i="28"/>
  <c r="BH79" i="28"/>
  <c r="BB79" i="28"/>
  <c r="AA80" i="28"/>
  <c r="AE78" i="26"/>
  <c r="AS80" i="28"/>
  <c r="BA80" i="28"/>
  <c r="BZ80" i="28"/>
  <c r="B79" i="26"/>
  <c r="H79" i="26"/>
  <c r="F79" i="26"/>
  <c r="AU79" i="26"/>
  <c r="BE79" i="28"/>
  <c r="AP79" i="28"/>
  <c r="AM79" i="28"/>
  <c r="AC79" i="28"/>
  <c r="AI77" i="26"/>
  <c r="AW80" i="28"/>
  <c r="O79" i="26"/>
  <c r="CN79" i="28"/>
  <c r="AH79" i="28"/>
  <c r="AC78" i="26"/>
  <c r="W78" i="26"/>
  <c r="AG77" i="26"/>
  <c r="CB79" i="28"/>
  <c r="A82" i="28"/>
  <c r="X79" i="26"/>
  <c r="AO79" i="26"/>
  <c r="AY79" i="26"/>
  <c r="BP79" i="28"/>
  <c r="AM80" i="28"/>
  <c r="T79" i="26"/>
  <c r="AK79" i="26"/>
  <c r="V79" i="26"/>
  <c r="AM79" i="26"/>
  <c r="BK78" i="28"/>
  <c r="X80" i="28"/>
  <c r="BD78" i="28"/>
  <c r="X79" i="28"/>
  <c r="AD78" i="26"/>
  <c r="BG79" i="28"/>
  <c r="AX79" i="28"/>
  <c r="BT79" i="28"/>
  <c r="AB78" i="26"/>
  <c r="AO80" i="28"/>
  <c r="BI78" i="28"/>
  <c r="AF81" i="28" l="1"/>
  <c r="S81" i="26"/>
  <c r="AK81" i="31"/>
  <c r="BC82" i="32"/>
  <c r="Q82" i="32"/>
  <c r="O80" i="32"/>
  <c r="CM79" i="54"/>
  <c r="CY79" i="54"/>
  <c r="CA80" i="54"/>
  <c r="BC80" i="54"/>
  <c r="S80" i="54"/>
  <c r="CQ80" i="54"/>
  <c r="CE80" i="54"/>
  <c r="BG80" i="54"/>
  <c r="DC80" i="54"/>
  <c r="AI80" i="54"/>
  <c r="AU80" i="54"/>
  <c r="W80" i="54"/>
  <c r="AQ79" i="54"/>
  <c r="AE79" i="54"/>
  <c r="K80" i="54"/>
  <c r="BK80" i="54"/>
  <c r="AM80" i="54"/>
  <c r="AK80" i="54"/>
  <c r="CW80" i="54"/>
  <c r="CI80" i="54"/>
  <c r="G80" i="54"/>
  <c r="AW80" i="54"/>
  <c r="Y80" i="54"/>
  <c r="BE80" i="54"/>
  <c r="BW80" i="54"/>
  <c r="O80" i="54"/>
  <c r="AO80" i="54"/>
  <c r="A81" i="54"/>
  <c r="DA80" i="54"/>
  <c r="AC80" i="54"/>
  <c r="AA80" i="54"/>
  <c r="CG80" i="54"/>
  <c r="I80" i="54"/>
  <c r="BQ80" i="54"/>
  <c r="BY80" i="54"/>
  <c r="CC80" i="54"/>
  <c r="BI80" i="54"/>
  <c r="BA80" i="54"/>
  <c r="BU80" i="54"/>
  <c r="CK80" i="54"/>
  <c r="BA79" i="54"/>
  <c r="I79" i="54"/>
  <c r="AK79" i="54"/>
  <c r="AM79" i="54"/>
  <c r="CC79" i="54"/>
  <c r="CK79" i="54"/>
  <c r="AW79" i="54"/>
  <c r="O79" i="54"/>
  <c r="AJ81" i="32"/>
  <c r="V80" i="32"/>
  <c r="AU79" i="31"/>
  <c r="AY79" i="31" s="1"/>
  <c r="D81" i="32"/>
  <c r="P81" i="32"/>
  <c r="AM81" i="32"/>
  <c r="AL81" i="32"/>
  <c r="F81" i="32"/>
  <c r="D80" i="32"/>
  <c r="P80" i="32"/>
  <c r="L80" i="32" s="1"/>
  <c r="U81" i="32"/>
  <c r="M81" i="32"/>
  <c r="N81" i="32" s="1"/>
  <c r="AD81" i="32"/>
  <c r="AE81" i="32"/>
  <c r="AB81" i="32"/>
  <c r="R81" i="32"/>
  <c r="J81" i="32"/>
  <c r="K81" i="32" s="1"/>
  <c r="AA81" i="32"/>
  <c r="AI81" i="32"/>
  <c r="AT81" i="32"/>
  <c r="AQ81" i="32"/>
  <c r="A83" i="32"/>
  <c r="BB81" i="32"/>
  <c r="AZ81" i="32"/>
  <c r="AY81" i="32"/>
  <c r="W80" i="32"/>
  <c r="T80" i="32"/>
  <c r="S80" i="32"/>
  <c r="C81" i="32"/>
  <c r="U80" i="31"/>
  <c r="P80" i="31"/>
  <c r="D80" i="31"/>
  <c r="L80" i="31"/>
  <c r="M80" i="31" s="1"/>
  <c r="AM79" i="31"/>
  <c r="AW79" i="31"/>
  <c r="AT79" i="31"/>
  <c r="AX79" i="31" s="1"/>
  <c r="AN80" i="31"/>
  <c r="BE80" i="31"/>
  <c r="BG80" i="31"/>
  <c r="AP80" i="31"/>
  <c r="G80" i="31"/>
  <c r="AE80" i="31"/>
  <c r="AG80" i="31"/>
  <c r="I80" i="31"/>
  <c r="AO79" i="31"/>
  <c r="BQ81" i="31"/>
  <c r="A82" i="31"/>
  <c r="BK81" i="31"/>
  <c r="B80" i="31"/>
  <c r="C80" i="31" s="1"/>
  <c r="N80" i="31"/>
  <c r="O80" i="31" s="1"/>
  <c r="J80" i="31"/>
  <c r="K80" i="31" s="1"/>
  <c r="S80" i="31"/>
  <c r="O79" i="31"/>
  <c r="AL80" i="31"/>
  <c r="BC80" i="31"/>
  <c r="C79" i="31"/>
  <c r="AV79" i="31"/>
  <c r="AQ79" i="31"/>
  <c r="AR80" i="31"/>
  <c r="BP81" i="28"/>
  <c r="AO81" i="28"/>
  <c r="AC80" i="28"/>
  <c r="AD79" i="26"/>
  <c r="Y79" i="26"/>
  <c r="CD81" i="28"/>
  <c r="CL81" i="28"/>
  <c r="BG80" i="28"/>
  <c r="AX80" i="28"/>
  <c r="X80" i="26"/>
  <c r="AO80" i="26"/>
  <c r="V80" i="26"/>
  <c r="W80" i="26" s="1"/>
  <c r="AA81" i="28"/>
  <c r="AR79" i="28"/>
  <c r="CB80" i="28"/>
  <c r="AI78" i="26"/>
  <c r="S80" i="28"/>
  <c r="AE79" i="26"/>
  <c r="AA79" i="26"/>
  <c r="CF80" i="28"/>
  <c r="BX81" i="28"/>
  <c r="AW81" i="28"/>
  <c r="BV81" i="28"/>
  <c r="X81" i="28"/>
  <c r="V81" i="28"/>
  <c r="BX80" i="28"/>
  <c r="BI79" i="28"/>
  <c r="AZ79" i="28"/>
  <c r="T80" i="26"/>
  <c r="AK80" i="26"/>
  <c r="AW80" i="26"/>
  <c r="AV79" i="28"/>
  <c r="N80" i="28"/>
  <c r="AC79" i="26"/>
  <c r="W79" i="26"/>
  <c r="BN81" i="28"/>
  <c r="BP80" i="28"/>
  <c r="I80" i="28"/>
  <c r="CH81" i="28"/>
  <c r="BF80" i="28"/>
  <c r="BJ80" i="28" s="1"/>
  <c r="AT80" i="28"/>
  <c r="AY80" i="26"/>
  <c r="AS80" i="26"/>
  <c r="CP81" i="28"/>
  <c r="BK79" i="28"/>
  <c r="CB81" i="28"/>
  <c r="BA81" i="28"/>
  <c r="BZ81" i="28"/>
  <c r="A83" i="28"/>
  <c r="BT80" i="28"/>
  <c r="Z80" i="26"/>
  <c r="O80" i="26"/>
  <c r="L80" i="28"/>
  <c r="AB79" i="26"/>
  <c r="U79" i="26"/>
  <c r="K81" i="28"/>
  <c r="AM81" i="28"/>
  <c r="AK81" i="28"/>
  <c r="CJ80" i="28"/>
  <c r="BL79" i="28"/>
  <c r="N79" i="28"/>
  <c r="AQ80" i="26"/>
  <c r="E80" i="28"/>
  <c r="AH78" i="26"/>
  <c r="BE80" i="28"/>
  <c r="AR80" i="28"/>
  <c r="AP80" i="28"/>
  <c r="AF78" i="26"/>
  <c r="C81" i="28"/>
  <c r="AH81" i="28"/>
  <c r="AG78" i="26"/>
  <c r="C79" i="26"/>
  <c r="AU81" i="26"/>
  <c r="A82" i="26"/>
  <c r="AU80" i="26"/>
  <c r="BJ79" i="28"/>
  <c r="AS81" i="28"/>
  <c r="AT81" i="28" s="1"/>
  <c r="BR81" i="28"/>
  <c r="G79" i="26"/>
  <c r="BH80" i="28"/>
  <c r="BD80" i="28"/>
  <c r="BB80" i="28"/>
  <c r="BD79" i="28"/>
  <c r="F80" i="26"/>
  <c r="H80" i="26"/>
  <c r="B80" i="26"/>
  <c r="K80" i="26"/>
  <c r="CR80" i="28"/>
  <c r="I79" i="26"/>
  <c r="Q81" i="28"/>
  <c r="AH80" i="28"/>
  <c r="AK82" i="28" l="1"/>
  <c r="Q82" i="28"/>
  <c r="AF82" i="28"/>
  <c r="Q83" i="32"/>
  <c r="S82" i="26"/>
  <c r="M82" i="26"/>
  <c r="AK82" i="31"/>
  <c r="U82" i="31"/>
  <c r="AI82" i="31"/>
  <c r="S82" i="31"/>
  <c r="AC82" i="31"/>
  <c r="AA82" i="31"/>
  <c r="Y82" i="31"/>
  <c r="W82" i="31"/>
  <c r="AG82" i="31"/>
  <c r="CM80" i="54"/>
  <c r="CA81" i="54"/>
  <c r="BC81" i="54"/>
  <c r="CQ81" i="54"/>
  <c r="CE81" i="54"/>
  <c r="BG81" i="54"/>
  <c r="DC81" i="54"/>
  <c r="AI81" i="54"/>
  <c r="AU81" i="54"/>
  <c r="W81" i="54"/>
  <c r="AQ80" i="54"/>
  <c r="CY80" i="54"/>
  <c r="AE80" i="54"/>
  <c r="AS80" i="54"/>
  <c r="E80" i="54"/>
  <c r="AY80" i="54"/>
  <c r="K81" i="54"/>
  <c r="E81" i="54"/>
  <c r="A82" i="54"/>
  <c r="AM81" i="54"/>
  <c r="U81" i="54"/>
  <c r="CK81" i="54"/>
  <c r="BY81" i="54"/>
  <c r="AA81" i="54"/>
  <c r="DA81" i="54"/>
  <c r="AO81" i="54"/>
  <c r="DE81" i="54"/>
  <c r="M81" i="54"/>
  <c r="CI81" i="54"/>
  <c r="AC81" i="54"/>
  <c r="BW81" i="54"/>
  <c r="AK81" i="54"/>
  <c r="BK81" i="54"/>
  <c r="BU81" i="54"/>
  <c r="BM81" i="54"/>
  <c r="C81" i="54"/>
  <c r="CG81" i="54"/>
  <c r="Q81" i="54"/>
  <c r="AW81" i="54"/>
  <c r="CO81" i="54"/>
  <c r="CC81" i="54"/>
  <c r="CS81" i="54"/>
  <c r="CU81" i="54"/>
  <c r="AY81" i="54"/>
  <c r="AS81" i="54"/>
  <c r="I81" i="54"/>
  <c r="CW81" i="54"/>
  <c r="AG81" i="54"/>
  <c r="DE80" i="54"/>
  <c r="CO80" i="54"/>
  <c r="U80" i="54"/>
  <c r="Q80" i="54"/>
  <c r="CU80" i="54"/>
  <c r="C80" i="54"/>
  <c r="BM80" i="54"/>
  <c r="M80" i="54"/>
  <c r="AG80" i="54"/>
  <c r="CS80" i="54"/>
  <c r="BB82" i="32"/>
  <c r="G82" i="32"/>
  <c r="AE82" i="32"/>
  <c r="U82" i="32"/>
  <c r="M82" i="32"/>
  <c r="N82" i="32" s="1"/>
  <c r="AZ82" i="32"/>
  <c r="AY82" i="32"/>
  <c r="V81" i="32"/>
  <c r="W81" i="32"/>
  <c r="AA82" i="32"/>
  <c r="R82" i="32"/>
  <c r="AB82" i="32"/>
  <c r="J82" i="32"/>
  <c r="K82" i="32" s="1"/>
  <c r="A84" i="32"/>
  <c r="L81" i="32"/>
  <c r="AI82" i="32"/>
  <c r="AJ82" i="32"/>
  <c r="C82" i="32"/>
  <c r="AU81" i="32"/>
  <c r="S81" i="32"/>
  <c r="T81" i="32"/>
  <c r="AM82" i="32"/>
  <c r="AL82" i="32"/>
  <c r="AQ82" i="32"/>
  <c r="Q81" i="32"/>
  <c r="G81" i="32"/>
  <c r="F82" i="32"/>
  <c r="AT82" i="32"/>
  <c r="AU82" i="32"/>
  <c r="AD82" i="32"/>
  <c r="AN81" i="31"/>
  <c r="AO81" i="31" s="1"/>
  <c r="AZ79" i="31"/>
  <c r="BA79" i="31"/>
  <c r="A83" i="31"/>
  <c r="BQ82" i="31"/>
  <c r="BK82" i="31"/>
  <c r="BO82" i="31"/>
  <c r="BM82" i="31"/>
  <c r="AT80" i="31"/>
  <c r="AX80" i="31" s="1"/>
  <c r="AM80" i="31"/>
  <c r="W81" i="31"/>
  <c r="BI81" i="31"/>
  <c r="AR81" i="31"/>
  <c r="AE81" i="31"/>
  <c r="G81" i="31"/>
  <c r="AI81" i="31"/>
  <c r="AQ80" i="31"/>
  <c r="AV80" i="31"/>
  <c r="AZ80" i="31" s="1"/>
  <c r="Y81" i="31"/>
  <c r="BG81" i="31"/>
  <c r="AP81" i="31"/>
  <c r="BO81" i="31"/>
  <c r="AU80" i="31"/>
  <c r="AY80" i="31" s="1"/>
  <c r="AO80" i="31"/>
  <c r="S81" i="31"/>
  <c r="B81" i="31"/>
  <c r="C81" i="31" s="1"/>
  <c r="N81" i="31"/>
  <c r="O81" i="31" s="1"/>
  <c r="J81" i="31"/>
  <c r="K81" i="31" s="1"/>
  <c r="AA81" i="31"/>
  <c r="I81" i="31"/>
  <c r="AG81" i="31"/>
  <c r="AL81" i="31"/>
  <c r="BC81" i="31"/>
  <c r="AS80" i="31"/>
  <c r="AW80" i="31"/>
  <c r="BA80" i="31" s="1"/>
  <c r="D81" i="31"/>
  <c r="E81" i="31" s="1"/>
  <c r="U81" i="31"/>
  <c r="P81" i="31"/>
  <c r="Q81" i="31" s="1"/>
  <c r="L81" i="31"/>
  <c r="M81" i="31" s="1"/>
  <c r="BM81" i="31"/>
  <c r="E80" i="31"/>
  <c r="Q80" i="31"/>
  <c r="AC81" i="31"/>
  <c r="BE81" i="31"/>
  <c r="C82" i="28"/>
  <c r="AC82" i="28"/>
  <c r="J80" i="28"/>
  <c r="AB80" i="26"/>
  <c r="AF80" i="26" s="1"/>
  <c r="U80" i="26"/>
  <c r="BB81" i="28"/>
  <c r="AC81" i="28"/>
  <c r="CN81" i="28"/>
  <c r="AH79" i="26"/>
  <c r="X81" i="26"/>
  <c r="Y81" i="26" s="1"/>
  <c r="AO81" i="26"/>
  <c r="I81" i="28"/>
  <c r="J81" i="28" s="1"/>
  <c r="K82" i="28"/>
  <c r="H82" i="28"/>
  <c r="CH82" i="28"/>
  <c r="H81" i="28"/>
  <c r="V82" i="28"/>
  <c r="H81" i="26"/>
  <c r="I81" i="26" s="1"/>
  <c r="F81" i="26"/>
  <c r="G81" i="26" s="1"/>
  <c r="B81" i="26"/>
  <c r="K81" i="26"/>
  <c r="AO82" i="28"/>
  <c r="BN82" i="28"/>
  <c r="CP82" i="28"/>
  <c r="BE81" i="28"/>
  <c r="BI81" i="28" s="1"/>
  <c r="AP81" i="28"/>
  <c r="V81" i="26"/>
  <c r="AM81" i="26"/>
  <c r="AY81" i="26"/>
  <c r="M81" i="26"/>
  <c r="AH82" i="28"/>
  <c r="AV80" i="28"/>
  <c r="AW81" i="26"/>
  <c r="AI79" i="26"/>
  <c r="AD80" i="26"/>
  <c r="Y80" i="26"/>
  <c r="AS81" i="26"/>
  <c r="BI80" i="28"/>
  <c r="AE80" i="26"/>
  <c r="AA80" i="26"/>
  <c r="AS82" i="28"/>
  <c r="BR82" i="28"/>
  <c r="CL83" i="28"/>
  <c r="BZ83" i="28"/>
  <c r="CP83" i="28"/>
  <c r="A84" i="28"/>
  <c r="CH83" i="28"/>
  <c r="BN83" i="28"/>
  <c r="L81" i="28"/>
  <c r="C80" i="26"/>
  <c r="AZ80" i="28"/>
  <c r="CF81" i="28"/>
  <c r="Z81" i="26"/>
  <c r="E81" i="26"/>
  <c r="E80" i="26"/>
  <c r="AQ81" i="26"/>
  <c r="AM82" i="28"/>
  <c r="CL82" i="28"/>
  <c r="AA82" i="28"/>
  <c r="CR81" i="28"/>
  <c r="BT81" i="28"/>
  <c r="G80" i="26"/>
  <c r="BF81" i="28"/>
  <c r="BJ81" i="28" s="1"/>
  <c r="T81" i="26"/>
  <c r="AK81" i="26"/>
  <c r="AU82" i="26"/>
  <c r="A83" i="26"/>
  <c r="AF79" i="26"/>
  <c r="O81" i="26"/>
  <c r="BA82" i="28"/>
  <c r="BZ82" i="28"/>
  <c r="AW82" i="28"/>
  <c r="BV82" i="28"/>
  <c r="E81" i="28"/>
  <c r="AG79" i="26"/>
  <c r="BG81" i="28"/>
  <c r="AX81" i="28"/>
  <c r="AC80" i="26"/>
  <c r="I80" i="26"/>
  <c r="BK80" i="28"/>
  <c r="BL80" i="28"/>
  <c r="CD82" i="28"/>
  <c r="BH81" i="28"/>
  <c r="CJ81" i="28"/>
  <c r="S81" i="28"/>
  <c r="Q81" i="26"/>
  <c r="C83" i="28" l="1"/>
  <c r="AP82" i="31"/>
  <c r="AR84" i="32"/>
  <c r="AM84" i="32"/>
  <c r="M83" i="26"/>
  <c r="K83" i="26"/>
  <c r="S83" i="26"/>
  <c r="O83" i="26"/>
  <c r="L82" i="28"/>
  <c r="N82" i="28"/>
  <c r="AE83" i="31"/>
  <c r="AA83" i="31"/>
  <c r="Y83" i="31"/>
  <c r="W83" i="31"/>
  <c r="AK83" i="31"/>
  <c r="AC83" i="31"/>
  <c r="F83" i="32"/>
  <c r="G83" i="32"/>
  <c r="AQ82" i="54"/>
  <c r="AE82" i="54"/>
  <c r="CA82" i="54"/>
  <c r="BC82" i="54"/>
  <c r="DC82" i="54"/>
  <c r="S82" i="54"/>
  <c r="CQ82" i="54"/>
  <c r="AI82" i="54"/>
  <c r="CE82" i="54"/>
  <c r="AU82" i="54"/>
  <c r="W82" i="54"/>
  <c r="BG82" i="54"/>
  <c r="AE81" i="54"/>
  <c r="AQ81" i="54"/>
  <c r="CY81" i="54"/>
  <c r="CM81" i="54"/>
  <c r="S81" i="54"/>
  <c r="Y81" i="54"/>
  <c r="G81" i="54"/>
  <c r="BQ81" i="54"/>
  <c r="BI81" i="54"/>
  <c r="BA81" i="54"/>
  <c r="O81" i="54"/>
  <c r="BE81" i="54"/>
  <c r="K82" i="54"/>
  <c r="A83" i="54"/>
  <c r="BQ82" i="54"/>
  <c r="AW82" i="54"/>
  <c r="E82" i="54"/>
  <c r="BK82" i="54"/>
  <c r="G82" i="54"/>
  <c r="BA82" i="54"/>
  <c r="M82" i="54"/>
  <c r="AC82" i="54"/>
  <c r="AA82" i="54"/>
  <c r="BE82" i="54"/>
  <c r="C82" i="54"/>
  <c r="BM82" i="54"/>
  <c r="BI82" i="54"/>
  <c r="AQ82" i="31"/>
  <c r="O83" i="32"/>
  <c r="AR82" i="31"/>
  <c r="AS82" i="31" s="1"/>
  <c r="AE83" i="32"/>
  <c r="U83" i="32"/>
  <c r="M83" i="32"/>
  <c r="N83" i="32" s="1"/>
  <c r="O81" i="32"/>
  <c r="O82" i="32"/>
  <c r="AI83" i="32"/>
  <c r="C83" i="32"/>
  <c r="A85" i="32"/>
  <c r="AM83" i="32"/>
  <c r="AR82" i="32"/>
  <c r="AR83" i="32"/>
  <c r="D82" i="32"/>
  <c r="P82" i="32"/>
  <c r="L82" i="32" s="1"/>
  <c r="J83" i="32"/>
  <c r="K83" i="32" s="1"/>
  <c r="AA83" i="32"/>
  <c r="R83" i="32"/>
  <c r="AB83" i="32"/>
  <c r="W82" i="32"/>
  <c r="V82" i="32"/>
  <c r="BB83" i="32"/>
  <c r="T82" i="32"/>
  <c r="S82" i="32"/>
  <c r="AU83" i="32"/>
  <c r="AT83" i="32"/>
  <c r="AL83" i="32"/>
  <c r="AD83" i="32"/>
  <c r="AY83" i="32"/>
  <c r="AZ83" i="32"/>
  <c r="AQ83" i="32"/>
  <c r="I82" i="31"/>
  <c r="AL82" i="31"/>
  <c r="BC82" i="31"/>
  <c r="AW81" i="31"/>
  <c r="BA81" i="31" s="1"/>
  <c r="AS81" i="31"/>
  <c r="BI82" i="31"/>
  <c r="AQ81" i="31"/>
  <c r="AV81" i="31"/>
  <c r="AZ81" i="31" s="1"/>
  <c r="BG82" i="31"/>
  <c r="AU81" i="31"/>
  <c r="AY81" i="31" s="1"/>
  <c r="AT81" i="31"/>
  <c r="AX81" i="31" s="1"/>
  <c r="AM81" i="31"/>
  <c r="L82" i="31"/>
  <c r="M82" i="31" s="1"/>
  <c r="D82" i="31"/>
  <c r="P82" i="31"/>
  <c r="Q82" i="31" s="1"/>
  <c r="N82" i="31"/>
  <c r="O82" i="31" s="1"/>
  <c r="J82" i="31"/>
  <c r="K82" i="31" s="1"/>
  <c r="B82" i="31"/>
  <c r="C82" i="31" s="1"/>
  <c r="AN82" i="31"/>
  <c r="BE82" i="31"/>
  <c r="AE82" i="31"/>
  <c r="G82" i="31"/>
  <c r="A84" i="31"/>
  <c r="BM83" i="31"/>
  <c r="BO83" i="31"/>
  <c r="BK83" i="31"/>
  <c r="T82" i="26"/>
  <c r="AK82" i="26"/>
  <c r="CB82" i="28"/>
  <c r="A84" i="26"/>
  <c r="AO83" i="26"/>
  <c r="AQ83" i="26"/>
  <c r="AY83" i="26"/>
  <c r="AS83" i="26"/>
  <c r="BK81" i="28"/>
  <c r="BX83" i="28"/>
  <c r="AW83" i="28"/>
  <c r="BV83" i="28"/>
  <c r="CR82" i="28"/>
  <c r="CJ82" i="28"/>
  <c r="BG82" i="28"/>
  <c r="F82" i="26"/>
  <c r="G82" i="26" s="1"/>
  <c r="B82" i="26"/>
  <c r="C82" i="26" s="1"/>
  <c r="H82" i="26"/>
  <c r="CN82" i="28"/>
  <c r="BB82" i="28"/>
  <c r="AX82" i="28"/>
  <c r="AM82" i="26"/>
  <c r="Q82" i="26"/>
  <c r="AD81" i="26"/>
  <c r="CF82" i="28"/>
  <c r="AZ81" i="28"/>
  <c r="AM83" i="28"/>
  <c r="AS83" i="28"/>
  <c r="BR83" i="28"/>
  <c r="I82" i="28"/>
  <c r="J82" i="28" s="1"/>
  <c r="E82" i="28"/>
  <c r="AK83" i="28"/>
  <c r="X82" i="26"/>
  <c r="AV81" i="28"/>
  <c r="BE82" i="28"/>
  <c r="AP82" i="28"/>
  <c r="K82" i="26"/>
  <c r="S82" i="28"/>
  <c r="BX82" i="28"/>
  <c r="AO83" i="28"/>
  <c r="AP83" i="28" s="1"/>
  <c r="E82" i="26"/>
  <c r="AE81" i="26"/>
  <c r="AA81" i="26"/>
  <c r="V83" i="28"/>
  <c r="AI80" i="26"/>
  <c r="O82" i="26"/>
  <c r="AA83" i="28"/>
  <c r="AC81" i="26"/>
  <c r="W81" i="26"/>
  <c r="BD81" i="28"/>
  <c r="AY82" i="26"/>
  <c r="AH83" i="28"/>
  <c r="BF82" i="28"/>
  <c r="AT82" i="28"/>
  <c r="AR81" i="28"/>
  <c r="BP82" i="28"/>
  <c r="C81" i="26"/>
  <c r="CD83" i="28"/>
  <c r="AW82" i="26"/>
  <c r="AG80" i="26"/>
  <c r="BH82" i="28"/>
  <c r="BL81" i="28"/>
  <c r="A85" i="28"/>
  <c r="BT82" i="28"/>
  <c r="AS82" i="26"/>
  <c r="AH80" i="26"/>
  <c r="AF83" i="28"/>
  <c r="Z82" i="26"/>
  <c r="AA82" i="26" s="1"/>
  <c r="AQ82" i="26"/>
  <c r="AB81" i="26"/>
  <c r="U81" i="26"/>
  <c r="V82" i="26"/>
  <c r="S83" i="28"/>
  <c r="K83" i="28"/>
  <c r="CB83" i="28"/>
  <c r="BA83" i="28"/>
  <c r="Q83" i="28"/>
  <c r="X82" i="28"/>
  <c r="N81" i="28"/>
  <c r="AO82" i="26"/>
  <c r="Q84" i="28" l="1"/>
  <c r="Q85" i="32"/>
  <c r="P85" i="32"/>
  <c r="AC84" i="31"/>
  <c r="AA84" i="31"/>
  <c r="W84" i="31"/>
  <c r="AK84" i="31"/>
  <c r="AI84" i="31"/>
  <c r="S84" i="31"/>
  <c r="Y84" i="31"/>
  <c r="K84" i="26"/>
  <c r="BC83" i="54"/>
  <c r="AQ83" i="54"/>
  <c r="CM83" i="54"/>
  <c r="DC83" i="54"/>
  <c r="CA83" i="54"/>
  <c r="S83" i="54"/>
  <c r="CQ83" i="54"/>
  <c r="BG83" i="54"/>
  <c r="AU83" i="54"/>
  <c r="W83" i="54"/>
  <c r="CE83" i="54"/>
  <c r="AI83" i="54"/>
  <c r="CM82" i="54"/>
  <c r="CY82" i="54"/>
  <c r="AM82" i="54"/>
  <c r="AK82" i="54"/>
  <c r="CO82" i="54"/>
  <c r="CI82" i="54"/>
  <c r="CU82" i="54"/>
  <c r="CS82" i="54"/>
  <c r="DE82" i="54"/>
  <c r="AO82" i="54"/>
  <c r="CC82" i="54"/>
  <c r="AG82" i="54"/>
  <c r="CW82" i="54"/>
  <c r="AY82" i="54"/>
  <c r="I82" i="54"/>
  <c r="CG82" i="54"/>
  <c r="CK82" i="54"/>
  <c r="O82" i="54"/>
  <c r="U82" i="54"/>
  <c r="BU82" i="54"/>
  <c r="BW82" i="54"/>
  <c r="DA82" i="54"/>
  <c r="Y82" i="54"/>
  <c r="AS82" i="54"/>
  <c r="BY82" i="54"/>
  <c r="K83" i="54"/>
  <c r="A84" i="54"/>
  <c r="AO83" i="54"/>
  <c r="BW83" i="54"/>
  <c r="AG83" i="54"/>
  <c r="M83" i="54"/>
  <c r="G83" i="54"/>
  <c r="CK83" i="54"/>
  <c r="AW83" i="54"/>
  <c r="BY83" i="54"/>
  <c r="AK83" i="54"/>
  <c r="E83" i="54"/>
  <c r="DE83" i="54"/>
  <c r="O83" i="54"/>
  <c r="CS83" i="54"/>
  <c r="Y83" i="54"/>
  <c r="CW83" i="54"/>
  <c r="BU83" i="54"/>
  <c r="DA83" i="54"/>
  <c r="CU83" i="54"/>
  <c r="BM83" i="54"/>
  <c r="I83" i="54"/>
  <c r="CO83" i="54"/>
  <c r="AC83" i="54"/>
  <c r="Q83" i="54"/>
  <c r="AS83" i="54"/>
  <c r="CC83" i="54"/>
  <c r="BQ83" i="54"/>
  <c r="AY83" i="54"/>
  <c r="U83" i="54"/>
  <c r="BA83" i="54"/>
  <c r="CI83" i="54"/>
  <c r="AA83" i="54"/>
  <c r="CG83" i="54"/>
  <c r="Q82" i="54"/>
  <c r="AJ84" i="32"/>
  <c r="AI84" i="32"/>
  <c r="AD84" i="32"/>
  <c r="M84" i="32"/>
  <c r="N84" i="32" s="1"/>
  <c r="AE84" i="32"/>
  <c r="U84" i="32"/>
  <c r="BC83" i="32"/>
  <c r="Q83" i="26"/>
  <c r="A86" i="32"/>
  <c r="J84" i="32"/>
  <c r="K84" i="32" s="1"/>
  <c r="R84" i="32"/>
  <c r="AA84" i="32"/>
  <c r="AL84" i="32"/>
  <c r="AB84" i="32"/>
  <c r="F84" i="32"/>
  <c r="D83" i="32"/>
  <c r="P83" i="32"/>
  <c r="AU84" i="32"/>
  <c r="AT84" i="32"/>
  <c r="C84" i="32"/>
  <c r="AJ83" i="32"/>
  <c r="W83" i="32"/>
  <c r="V83" i="32"/>
  <c r="AQ84" i="32"/>
  <c r="S83" i="32"/>
  <c r="T83" i="32"/>
  <c r="BC84" i="32"/>
  <c r="BB84" i="32"/>
  <c r="AZ84" i="32"/>
  <c r="AY84" i="32"/>
  <c r="AP83" i="31"/>
  <c r="AQ83" i="31" s="1"/>
  <c r="AR83" i="31"/>
  <c r="BI83" i="31"/>
  <c r="D83" i="31"/>
  <c r="E83" i="31" s="1"/>
  <c r="P83" i="31"/>
  <c r="Q83" i="31" s="1"/>
  <c r="L83" i="31"/>
  <c r="M83" i="31" s="1"/>
  <c r="U83" i="31"/>
  <c r="BC83" i="31"/>
  <c r="AL83" i="31"/>
  <c r="AG83" i="31"/>
  <c r="BM84" i="31"/>
  <c r="BO84" i="31"/>
  <c r="BK84" i="31"/>
  <c r="BQ84" i="31"/>
  <c r="A85" i="31"/>
  <c r="BG83" i="31"/>
  <c r="AI83" i="31"/>
  <c r="AO82" i="31"/>
  <c r="AU82" i="31"/>
  <c r="AY82" i="31" s="1"/>
  <c r="B83" i="31"/>
  <c r="C83" i="31" s="1"/>
  <c r="N83" i="31"/>
  <c r="J83" i="31"/>
  <c r="S83" i="31"/>
  <c r="BQ83" i="31"/>
  <c r="BE83" i="31"/>
  <c r="AN83" i="31"/>
  <c r="AW82" i="31"/>
  <c r="BA82" i="31" s="1"/>
  <c r="AT82" i="31"/>
  <c r="AM82" i="31"/>
  <c r="AV82" i="31"/>
  <c r="AZ82" i="31" s="1"/>
  <c r="E82" i="31"/>
  <c r="E83" i="26"/>
  <c r="BV84" i="28"/>
  <c r="AC83" i="28"/>
  <c r="BA84" i="28"/>
  <c r="BB84" i="28" s="1"/>
  <c r="BZ84" i="28"/>
  <c r="CD84" i="28"/>
  <c r="AF84" i="28"/>
  <c r="BI82" i="28"/>
  <c r="AK84" i="28"/>
  <c r="CF83" i="28"/>
  <c r="X83" i="26"/>
  <c r="Y83" i="26" s="1"/>
  <c r="AA84" i="28"/>
  <c r="CR84" i="28"/>
  <c r="BD82" i="28"/>
  <c r="AF81" i="26"/>
  <c r="H83" i="28"/>
  <c r="BE83" i="28"/>
  <c r="AR83" i="28"/>
  <c r="BR84" i="28"/>
  <c r="AW83" i="26"/>
  <c r="AC82" i="26"/>
  <c r="AE82" i="26"/>
  <c r="AI82" i="26" s="1"/>
  <c r="AH84" i="28"/>
  <c r="BV85" i="28"/>
  <c r="CD85" i="28"/>
  <c r="CL85" i="28"/>
  <c r="CH85" i="28"/>
  <c r="A86" i="28"/>
  <c r="BR85" i="28"/>
  <c r="W82" i="26"/>
  <c r="AH81" i="26"/>
  <c r="BG83" i="28"/>
  <c r="BK83" i="28" s="1"/>
  <c r="AX83" i="28"/>
  <c r="AU83" i="26"/>
  <c r="BH83" i="28"/>
  <c r="CJ84" i="28"/>
  <c r="CH84" i="28"/>
  <c r="BL82" i="28"/>
  <c r="BP83" i="28"/>
  <c r="BK82" i="28"/>
  <c r="T83" i="26"/>
  <c r="AK83" i="26"/>
  <c r="X83" i="28"/>
  <c r="BB83" i="28"/>
  <c r="AO84" i="28"/>
  <c r="BN84" i="28"/>
  <c r="K84" i="28"/>
  <c r="CP84" i="28"/>
  <c r="AZ82" i="28"/>
  <c r="B83" i="26"/>
  <c r="C83" i="26" s="1"/>
  <c r="F83" i="26"/>
  <c r="G83" i="26" s="1"/>
  <c r="H83" i="26"/>
  <c r="I83" i="26" s="1"/>
  <c r="AW84" i="28"/>
  <c r="AS84" i="28"/>
  <c r="CJ83" i="28"/>
  <c r="BJ82" i="28"/>
  <c r="AI81" i="26"/>
  <c r="AD82" i="26"/>
  <c r="Y82" i="26"/>
  <c r="CN83" i="28"/>
  <c r="I82" i="26"/>
  <c r="A85" i="26"/>
  <c r="N83" i="28"/>
  <c r="L83" i="28"/>
  <c r="E84" i="28"/>
  <c r="AV82" i="28"/>
  <c r="BF83" i="28"/>
  <c r="AT83" i="28"/>
  <c r="C84" i="28"/>
  <c r="V83" i="26"/>
  <c r="AM83" i="26"/>
  <c r="CL84" i="28"/>
  <c r="V84" i="28"/>
  <c r="AR82" i="28"/>
  <c r="CR83" i="28"/>
  <c r="BT83" i="28"/>
  <c r="I83" i="28"/>
  <c r="E83" i="28"/>
  <c r="AG81" i="26"/>
  <c r="Z83" i="26"/>
  <c r="AB82" i="26"/>
  <c r="U82" i="26"/>
  <c r="Q85" i="28" l="1"/>
  <c r="V85" i="28"/>
  <c r="C85" i="28"/>
  <c r="AA85" i="28"/>
  <c r="AF85" i="28"/>
  <c r="AK85" i="28"/>
  <c r="L84" i="28"/>
  <c r="N84" i="28"/>
  <c r="S85" i="26"/>
  <c r="O85" i="26"/>
  <c r="M85" i="26"/>
  <c r="K85" i="26"/>
  <c r="Y85" i="31"/>
  <c r="W85" i="31"/>
  <c r="AI85" i="31"/>
  <c r="AC85" i="31"/>
  <c r="AA85" i="31"/>
  <c r="AK85" i="31"/>
  <c r="G85" i="32"/>
  <c r="BC84" i="54"/>
  <c r="CY84" i="54"/>
  <c r="CQ84" i="54"/>
  <c r="BG84" i="54"/>
  <c r="S84" i="54"/>
  <c r="CE84" i="54"/>
  <c r="DC84" i="54"/>
  <c r="CY83" i="54"/>
  <c r="AE83" i="54"/>
  <c r="CW84" i="54"/>
  <c r="BE84" i="54"/>
  <c r="AM84" i="54"/>
  <c r="CG84" i="54"/>
  <c r="AO84" i="54"/>
  <c r="CC84" i="54"/>
  <c r="CO84" i="54"/>
  <c r="CS84" i="54"/>
  <c r="BQ84" i="54"/>
  <c r="E84" i="54"/>
  <c r="BY84" i="54"/>
  <c r="C84" i="54"/>
  <c r="A85" i="54"/>
  <c r="O84" i="54"/>
  <c r="CI84" i="54"/>
  <c r="BI84" i="54"/>
  <c r="BK83" i="54"/>
  <c r="BI83" i="54"/>
  <c r="C83" i="54"/>
  <c r="AM83" i="54"/>
  <c r="BE83" i="54"/>
  <c r="BB85" i="32"/>
  <c r="L83" i="32"/>
  <c r="S84" i="32"/>
  <c r="T84" i="32"/>
  <c r="AD85" i="32"/>
  <c r="AE85" i="32"/>
  <c r="U85" i="32"/>
  <c r="M85" i="32"/>
  <c r="N85" i="32" s="1"/>
  <c r="V84" i="32"/>
  <c r="A87" i="32"/>
  <c r="AY85" i="32"/>
  <c r="AA85" i="32"/>
  <c r="AB85" i="32"/>
  <c r="R85" i="32"/>
  <c r="J85" i="32"/>
  <c r="K85" i="32" s="1"/>
  <c r="AL84" i="31"/>
  <c r="AM84" i="31" s="1"/>
  <c r="BC85" i="32"/>
  <c r="Q84" i="32"/>
  <c r="O84" i="32" s="1"/>
  <c r="G84" i="32"/>
  <c r="AU85" i="32"/>
  <c r="AT85" i="32"/>
  <c r="AJ85" i="32"/>
  <c r="AI85" i="32"/>
  <c r="P84" i="32"/>
  <c r="L85" i="32" s="1"/>
  <c r="D84" i="32"/>
  <c r="AR85" i="32"/>
  <c r="AQ85" i="32"/>
  <c r="F85" i="32"/>
  <c r="D85" i="32"/>
  <c r="AL85" i="32"/>
  <c r="AM85" i="32"/>
  <c r="C85" i="32"/>
  <c r="AX82" i="31"/>
  <c r="N84" i="31"/>
  <c r="O84" i="31" s="1"/>
  <c r="B84" i="31"/>
  <c r="C84" i="31" s="1"/>
  <c r="J84" i="31"/>
  <c r="K84" i="31" s="1"/>
  <c r="AO83" i="31"/>
  <c r="AU83" i="31"/>
  <c r="AY83" i="31" s="1"/>
  <c r="U84" i="31"/>
  <c r="L84" i="31"/>
  <c r="M84" i="31" s="1"/>
  <c r="P84" i="31"/>
  <c r="Q84" i="31" s="1"/>
  <c r="D84" i="31"/>
  <c r="E84" i="31" s="1"/>
  <c r="AP84" i="31"/>
  <c r="BG84" i="31"/>
  <c r="AN84" i="31"/>
  <c r="BE84" i="31"/>
  <c r="I84" i="31"/>
  <c r="AG84" i="31"/>
  <c r="BQ85" i="31"/>
  <c r="A86" i="31"/>
  <c r="BM85" i="31"/>
  <c r="BO85" i="31"/>
  <c r="BK85" i="31"/>
  <c r="I83" i="31"/>
  <c r="BC84" i="31"/>
  <c r="K83" i="31"/>
  <c r="AT83" i="31"/>
  <c r="AX83" i="31" s="1"/>
  <c r="AM83" i="31"/>
  <c r="AV83" i="31"/>
  <c r="AZ83" i="31" s="1"/>
  <c r="O83" i="31"/>
  <c r="AR84" i="31"/>
  <c r="BI84" i="31"/>
  <c r="G83" i="31"/>
  <c r="G84" i="31"/>
  <c r="AE84" i="31"/>
  <c r="AS83" i="31"/>
  <c r="AW83" i="31"/>
  <c r="BA83" i="31" s="1"/>
  <c r="AE83" i="26"/>
  <c r="AZ84" i="28"/>
  <c r="BG84" i="28"/>
  <c r="AX84" i="28"/>
  <c r="BP84" i="28"/>
  <c r="AH82" i="26"/>
  <c r="BJ83" i="28"/>
  <c r="BF84" i="28"/>
  <c r="AT84" i="28"/>
  <c r="BX84" i="28"/>
  <c r="X84" i="28"/>
  <c r="A87" i="28"/>
  <c r="CF85" i="28"/>
  <c r="AP84" i="28"/>
  <c r="H84" i="28"/>
  <c r="J83" i="28"/>
  <c r="BZ85" i="28"/>
  <c r="Q84" i="26"/>
  <c r="I84" i="28"/>
  <c r="J84" i="28" s="1"/>
  <c r="AS84" i="26"/>
  <c r="AB83" i="26"/>
  <c r="AF83" i="26" s="1"/>
  <c r="U83" i="26"/>
  <c r="BX85" i="28"/>
  <c r="AW85" i="28"/>
  <c r="AG82" i="26"/>
  <c r="BI83" i="28"/>
  <c r="CN84" i="28"/>
  <c r="A86" i="26"/>
  <c r="AU85" i="26"/>
  <c r="AM85" i="26"/>
  <c r="AK85" i="26"/>
  <c r="O84" i="26"/>
  <c r="BT84" i="28"/>
  <c r="AF82" i="26"/>
  <c r="S84" i="28"/>
  <c r="AM85" i="28"/>
  <c r="T84" i="26"/>
  <c r="AK84" i="26"/>
  <c r="X84" i="26"/>
  <c r="AO84" i="26"/>
  <c r="AV83" i="28"/>
  <c r="AZ83" i="28"/>
  <c r="AC85" i="28"/>
  <c r="AD83" i="26"/>
  <c r="BH84" i="28"/>
  <c r="M84" i="26"/>
  <c r="AU84" i="26"/>
  <c r="BD83" i="28"/>
  <c r="BA85" i="28"/>
  <c r="X85" i="28"/>
  <c r="AW84" i="26"/>
  <c r="S84" i="26"/>
  <c r="BE84" i="28"/>
  <c r="AR84" i="28"/>
  <c r="K85" i="28"/>
  <c r="AO85" i="28"/>
  <c r="AP85" i="28" s="1"/>
  <c r="BN85" i="28"/>
  <c r="AA83" i="26"/>
  <c r="BL83" i="28"/>
  <c r="CB84" i="28"/>
  <c r="AC83" i="26"/>
  <c r="W83" i="26"/>
  <c r="H84" i="26"/>
  <c r="I84" i="26" s="1"/>
  <c r="F84" i="26"/>
  <c r="B84" i="26"/>
  <c r="Z84" i="26"/>
  <c r="AQ84" i="26"/>
  <c r="AS85" i="28"/>
  <c r="CP85" i="28"/>
  <c r="AC84" i="28"/>
  <c r="AM84" i="28"/>
  <c r="V84" i="26"/>
  <c r="AM84" i="26"/>
  <c r="AY84" i="26"/>
  <c r="AH85" i="28"/>
  <c r="CF84" i="28"/>
  <c r="AF86" i="28" l="1"/>
  <c r="C86" i="28"/>
  <c r="W84" i="54"/>
  <c r="K84" i="54"/>
  <c r="AI84" i="54"/>
  <c r="AU84" i="54"/>
  <c r="Q86" i="28"/>
  <c r="AA86" i="28"/>
  <c r="AK86" i="28"/>
  <c r="AK86" i="31"/>
  <c r="AI86" i="31"/>
  <c r="O86" i="26"/>
  <c r="K86" i="26"/>
  <c r="Q86" i="26"/>
  <c r="CM85" i="54"/>
  <c r="BC85" i="54"/>
  <c r="AQ85" i="54"/>
  <c r="CQ85" i="54"/>
  <c r="BG85" i="54"/>
  <c r="CY85" i="54"/>
  <c r="CE85" i="54"/>
  <c r="AI85" i="54"/>
  <c r="DC85" i="54"/>
  <c r="AU85" i="54"/>
  <c r="W85" i="54"/>
  <c r="AE84" i="54"/>
  <c r="CM84" i="54"/>
  <c r="CA84" i="54"/>
  <c r="AQ84" i="54"/>
  <c r="Q84" i="54"/>
  <c r="M84" i="54"/>
  <c r="U84" i="54"/>
  <c r="AA84" i="54"/>
  <c r="CU84" i="54"/>
  <c r="I84" i="54"/>
  <c r="Y84" i="54"/>
  <c r="BU84" i="54"/>
  <c r="AG84" i="54"/>
  <c r="CK84" i="54"/>
  <c r="AY84" i="54"/>
  <c r="BW84" i="54"/>
  <c r="DA84" i="54"/>
  <c r="K85" i="54"/>
  <c r="A86" i="54"/>
  <c r="G85" i="54"/>
  <c r="CS85" i="54"/>
  <c r="CU85" i="54"/>
  <c r="BU85" i="54"/>
  <c r="C85" i="54"/>
  <c r="CK85" i="54"/>
  <c r="BA85" i="54"/>
  <c r="BQ85" i="54"/>
  <c r="AY85" i="54"/>
  <c r="M85" i="54"/>
  <c r="Y85" i="54"/>
  <c r="AC85" i="54"/>
  <c r="AO85" i="54"/>
  <c r="I85" i="54"/>
  <c r="AW85" i="54"/>
  <c r="DE85" i="54"/>
  <c r="AS85" i="54"/>
  <c r="AK85" i="54"/>
  <c r="AA85" i="54"/>
  <c r="BM85" i="54"/>
  <c r="AG85" i="54"/>
  <c r="BI85" i="54"/>
  <c r="E85" i="54"/>
  <c r="U85" i="54"/>
  <c r="AM85" i="54"/>
  <c r="CO85" i="54"/>
  <c r="BW85" i="54"/>
  <c r="CI85" i="54"/>
  <c r="CC85" i="54"/>
  <c r="CG85" i="54"/>
  <c r="DA85" i="54"/>
  <c r="G84" i="54"/>
  <c r="AS84" i="54"/>
  <c r="DE84" i="54"/>
  <c r="BA84" i="54"/>
  <c r="AK84" i="54"/>
  <c r="BM84" i="54"/>
  <c r="AC84" i="54"/>
  <c r="AW84" i="54"/>
  <c r="BK84" i="54"/>
  <c r="C86" i="32"/>
  <c r="AL86" i="32"/>
  <c r="AM86" i="32"/>
  <c r="A88" i="32"/>
  <c r="R86" i="32"/>
  <c r="AB86" i="32"/>
  <c r="J86" i="32"/>
  <c r="K86" i="32" s="1"/>
  <c r="AA86" i="32"/>
  <c r="AY86" i="32"/>
  <c r="AZ86" i="32"/>
  <c r="AD86" i="32"/>
  <c r="AE86" i="32"/>
  <c r="U86" i="32"/>
  <c r="M86" i="32"/>
  <c r="N86" i="32" s="1"/>
  <c r="T85" i="32"/>
  <c r="S85" i="32"/>
  <c r="AU86" i="32"/>
  <c r="AT86" i="32"/>
  <c r="W84" i="32"/>
  <c r="L84" i="32"/>
  <c r="BC86" i="32"/>
  <c r="BB86" i="32"/>
  <c r="AQ86" i="32"/>
  <c r="AR86" i="32"/>
  <c r="O85" i="32"/>
  <c r="AZ85" i="32"/>
  <c r="F86" i="32"/>
  <c r="W85" i="32"/>
  <c r="V85" i="32"/>
  <c r="AI86" i="32"/>
  <c r="AJ86" i="32"/>
  <c r="AN85" i="31"/>
  <c r="BE85" i="31"/>
  <c r="AS84" i="31"/>
  <c r="AW84" i="31"/>
  <c r="BA84" i="31" s="1"/>
  <c r="BG85" i="31"/>
  <c r="AP85" i="31"/>
  <c r="B85" i="31"/>
  <c r="J85" i="31"/>
  <c r="S85" i="31"/>
  <c r="N85" i="31"/>
  <c r="AO84" i="31"/>
  <c r="AU84" i="31"/>
  <c r="AY84" i="31" s="1"/>
  <c r="AR85" i="31"/>
  <c r="BI85" i="31"/>
  <c r="AV84" i="31"/>
  <c r="AZ84" i="31" s="1"/>
  <c r="AQ84" i="31"/>
  <c r="AL85" i="31"/>
  <c r="BC85" i="31"/>
  <c r="AG85" i="31"/>
  <c r="A87" i="31"/>
  <c r="BO86" i="31"/>
  <c r="BM86" i="31"/>
  <c r="AE85" i="31"/>
  <c r="D85" i="31"/>
  <c r="L85" i="31"/>
  <c r="P85" i="31"/>
  <c r="Q85" i="31" s="1"/>
  <c r="U85" i="31"/>
  <c r="AT84" i="31"/>
  <c r="AX84" i="31" s="1"/>
  <c r="BE85" i="28"/>
  <c r="CN85" i="28"/>
  <c r="AD84" i="26"/>
  <c r="AH84" i="26" s="1"/>
  <c r="Y84" i="26"/>
  <c r="AY85" i="26"/>
  <c r="AW86" i="28"/>
  <c r="BV86" i="28"/>
  <c r="BT85" i="28"/>
  <c r="AE84" i="26"/>
  <c r="AG83" i="26"/>
  <c r="CB85" i="28"/>
  <c r="V85" i="26"/>
  <c r="BI84" i="28"/>
  <c r="CD86" i="28"/>
  <c r="CP86" i="28"/>
  <c r="AV84" i="28"/>
  <c r="BJ84" i="28"/>
  <c r="CR85" i="28"/>
  <c r="A87" i="26"/>
  <c r="AZ85" i="28"/>
  <c r="BG85" i="28"/>
  <c r="BK85" i="28" s="1"/>
  <c r="U84" i="26"/>
  <c r="AS85" i="26"/>
  <c r="CJ86" i="28"/>
  <c r="CH86" i="28"/>
  <c r="A88" i="28"/>
  <c r="BN87" i="28"/>
  <c r="CL87" i="28"/>
  <c r="BR87" i="28"/>
  <c r="BF85" i="28"/>
  <c r="AT85" i="28"/>
  <c r="AA84" i="26"/>
  <c r="I85" i="28"/>
  <c r="J85" i="28" s="1"/>
  <c r="X85" i="26"/>
  <c r="AW85" i="26"/>
  <c r="K86" i="28"/>
  <c r="BK84" i="28"/>
  <c r="AC84" i="26"/>
  <c r="W84" i="26"/>
  <c r="H85" i="28"/>
  <c r="S85" i="28"/>
  <c r="E85" i="26"/>
  <c r="E84" i="26"/>
  <c r="AH86" i="28"/>
  <c r="X86" i="28"/>
  <c r="V86" i="28"/>
  <c r="G84" i="26"/>
  <c r="AH83" i="26"/>
  <c r="BP85" i="28"/>
  <c r="AI83" i="26"/>
  <c r="BL84" i="28"/>
  <c r="Z85" i="26"/>
  <c r="AQ85" i="26"/>
  <c r="C84" i="26"/>
  <c r="CL86" i="28"/>
  <c r="BD84" i="28"/>
  <c r="AO85" i="26"/>
  <c r="AB84" i="26"/>
  <c r="H85" i="26"/>
  <c r="B85" i="26"/>
  <c r="C85" i="26" s="1"/>
  <c r="F85" i="26"/>
  <c r="CJ85" i="28"/>
  <c r="E85" i="28"/>
  <c r="AO86" i="28"/>
  <c r="BN86" i="28"/>
  <c r="CB86" i="28"/>
  <c r="BA86" i="28"/>
  <c r="BZ86" i="28"/>
  <c r="Q85" i="26"/>
  <c r="BH85" i="28"/>
  <c r="BB85" i="28"/>
  <c r="T85" i="26"/>
  <c r="L85" i="28"/>
  <c r="AS86" i="28"/>
  <c r="BR86" i="28"/>
  <c r="AX85" i="28"/>
  <c r="AA87" i="32" l="1"/>
  <c r="Q87" i="28"/>
  <c r="C87" i="28"/>
  <c r="V87" i="28"/>
  <c r="S86" i="32"/>
  <c r="AK87" i="28"/>
  <c r="AF87" i="28"/>
  <c r="S87" i="26"/>
  <c r="M87" i="26"/>
  <c r="K87" i="26"/>
  <c r="L86" i="28"/>
  <c r="AA87" i="31"/>
  <c r="Y87" i="31"/>
  <c r="W87" i="31"/>
  <c r="AK87" i="31"/>
  <c r="AI87" i="31"/>
  <c r="S85" i="54"/>
  <c r="AE85" i="54"/>
  <c r="CA85" i="54"/>
  <c r="CE86" i="54"/>
  <c r="DC86" i="54"/>
  <c r="BG86" i="54"/>
  <c r="W86" i="54"/>
  <c r="CQ86" i="54"/>
  <c r="AU86" i="54"/>
  <c r="AI86" i="54"/>
  <c r="O85" i="54"/>
  <c r="CW85" i="54"/>
  <c r="BY85" i="54"/>
  <c r="K86" i="54"/>
  <c r="M86" i="54"/>
  <c r="BE86" i="54"/>
  <c r="AC86" i="54"/>
  <c r="AM86" i="54"/>
  <c r="AK86" i="54"/>
  <c r="CW86" i="54"/>
  <c r="C86" i="54"/>
  <c r="Y86" i="54"/>
  <c r="A87" i="54"/>
  <c r="U86" i="54"/>
  <c r="CC86" i="54"/>
  <c r="I86" i="54"/>
  <c r="AS86" i="54"/>
  <c r="BK85" i="54"/>
  <c r="BE85" i="54"/>
  <c r="Q85" i="54"/>
  <c r="AZ87" i="32"/>
  <c r="AY87" i="32"/>
  <c r="U87" i="32"/>
  <c r="M87" i="32"/>
  <c r="N87" i="32" s="1"/>
  <c r="AD87" i="32"/>
  <c r="T86" i="32"/>
  <c r="W86" i="32"/>
  <c r="F87" i="32"/>
  <c r="AR87" i="32"/>
  <c r="AQ87" i="32"/>
  <c r="AL87" i="32"/>
  <c r="A89" i="32"/>
  <c r="V86" i="32"/>
  <c r="R87" i="32"/>
  <c r="AB87" i="32"/>
  <c r="J87" i="32"/>
  <c r="K87" i="32" s="1"/>
  <c r="BB87" i="32"/>
  <c r="C87" i="32"/>
  <c r="Q86" i="32"/>
  <c r="O86" i="32" s="1"/>
  <c r="G86" i="32"/>
  <c r="AT87" i="32"/>
  <c r="AU87" i="32"/>
  <c r="AI87" i="32"/>
  <c r="AJ87" i="32"/>
  <c r="P86" i="32"/>
  <c r="L86" i="32" s="1"/>
  <c r="D86" i="32"/>
  <c r="AW85" i="31"/>
  <c r="BA85" i="31" s="1"/>
  <c r="I86" i="31"/>
  <c r="AG86" i="31"/>
  <c r="Y86" i="31"/>
  <c r="G86" i="31"/>
  <c r="AE86" i="31"/>
  <c r="AN86" i="31"/>
  <c r="AO86" i="31" s="1"/>
  <c r="BE86" i="31"/>
  <c r="M85" i="31"/>
  <c r="BI86" i="31"/>
  <c r="AR86" i="31"/>
  <c r="E85" i="31"/>
  <c r="P86" i="31"/>
  <c r="Q86" i="31" s="1"/>
  <c r="D86" i="31"/>
  <c r="E86" i="31" s="1"/>
  <c r="L86" i="31"/>
  <c r="M86" i="31" s="1"/>
  <c r="U86" i="31"/>
  <c r="G85" i="31"/>
  <c r="O85" i="31"/>
  <c r="AC86" i="31"/>
  <c r="BQ86" i="31"/>
  <c r="BC86" i="31"/>
  <c r="AL86" i="31"/>
  <c r="K85" i="31"/>
  <c r="BG86" i="31"/>
  <c r="AP86" i="31"/>
  <c r="AQ86" i="31" s="1"/>
  <c r="AA86" i="31"/>
  <c r="C85" i="31"/>
  <c r="BK86" i="31"/>
  <c r="AV85" i="31"/>
  <c r="AZ85" i="31" s="1"/>
  <c r="AQ85" i="31"/>
  <c r="W86" i="31"/>
  <c r="I85" i="31"/>
  <c r="AS85" i="31"/>
  <c r="S86" i="31"/>
  <c r="N86" i="31"/>
  <c r="O86" i="31" s="1"/>
  <c r="B86" i="31"/>
  <c r="C86" i="31" s="1"/>
  <c r="J86" i="31"/>
  <c r="K86" i="31" s="1"/>
  <c r="E86" i="26"/>
  <c r="BQ87" i="31"/>
  <c r="A88" i="31"/>
  <c r="BM87" i="31"/>
  <c r="BK87" i="31"/>
  <c r="BO87" i="31"/>
  <c r="AT85" i="31"/>
  <c r="AX85" i="31" s="1"/>
  <c r="AM85" i="31"/>
  <c r="AO85" i="31"/>
  <c r="AU85" i="31"/>
  <c r="AY85" i="31" s="1"/>
  <c r="CN86" i="28"/>
  <c r="K87" i="28"/>
  <c r="CH87" i="28"/>
  <c r="AU87" i="26"/>
  <c r="AK87" i="26"/>
  <c r="AM87" i="26"/>
  <c r="AY87" i="26"/>
  <c r="AW87" i="26"/>
  <c r="A88" i="26"/>
  <c r="X86" i="26"/>
  <c r="Y86" i="26" s="1"/>
  <c r="AO86" i="26"/>
  <c r="BX86" i="28"/>
  <c r="N85" i="28"/>
  <c r="S86" i="28"/>
  <c r="AO87" i="28"/>
  <c r="AP87" i="28" s="1"/>
  <c r="AW86" i="26"/>
  <c r="CF86" i="28"/>
  <c r="AY86" i="26"/>
  <c r="AP86" i="28"/>
  <c r="AF84" i="26"/>
  <c r="AS87" i="28"/>
  <c r="AT87" i="28" s="1"/>
  <c r="Z86" i="26"/>
  <c r="AA86" i="26" s="1"/>
  <c r="AQ86" i="26"/>
  <c r="AR85" i="28"/>
  <c r="G85" i="26"/>
  <c r="BD85" i="28"/>
  <c r="BH86" i="28"/>
  <c r="AE85" i="26"/>
  <c r="AA85" i="26"/>
  <c r="E86" i="28"/>
  <c r="BA87" i="28"/>
  <c r="BB87" i="28" s="1"/>
  <c r="BZ87" i="28"/>
  <c r="CH88" i="28"/>
  <c r="CP88" i="28"/>
  <c r="A89" i="28"/>
  <c r="CD88" i="28"/>
  <c r="V86" i="26"/>
  <c r="AM86" i="26"/>
  <c r="CP87" i="28"/>
  <c r="AC85" i="26"/>
  <c r="W85" i="26"/>
  <c r="BI85" i="28"/>
  <c r="H86" i="28"/>
  <c r="BL85" i="28"/>
  <c r="BP86" i="28"/>
  <c r="AH87" i="28"/>
  <c r="AS86" i="26"/>
  <c r="B86" i="26"/>
  <c r="C86" i="26" s="1"/>
  <c r="H86" i="26"/>
  <c r="I86" i="26" s="1"/>
  <c r="F86" i="26"/>
  <c r="G86" i="26" s="1"/>
  <c r="AM86" i="28"/>
  <c r="AV85" i="28"/>
  <c r="AW87" i="28"/>
  <c r="AX87" i="28" s="1"/>
  <c r="BV87" i="28"/>
  <c r="CR86" i="28"/>
  <c r="I85" i="26"/>
  <c r="AI84" i="26"/>
  <c r="S86" i="26"/>
  <c r="BF86" i="28"/>
  <c r="BJ86" i="28" s="1"/>
  <c r="AT86" i="28"/>
  <c r="BE86" i="28"/>
  <c r="AB85" i="26"/>
  <c r="BB86" i="28"/>
  <c r="AD85" i="26"/>
  <c r="Y85" i="26"/>
  <c r="M86" i="26"/>
  <c r="U85" i="26"/>
  <c r="BJ85" i="28"/>
  <c r="BG86" i="28"/>
  <c r="AX86" i="28"/>
  <c r="AC86" i="28"/>
  <c r="I86" i="28"/>
  <c r="AG84" i="26"/>
  <c r="CD87" i="28"/>
  <c r="AA87" i="28"/>
  <c r="T86" i="26"/>
  <c r="AK86" i="26"/>
  <c r="AU86" i="26"/>
  <c r="BT86" i="28"/>
  <c r="C88" i="28" l="1"/>
  <c r="AF88" i="28"/>
  <c r="V88" i="28"/>
  <c r="Q88" i="28"/>
  <c r="L87" i="28"/>
  <c r="AA88" i="28"/>
  <c r="AC88" i="31"/>
  <c r="W88" i="31"/>
  <c r="AK88" i="31"/>
  <c r="AI88" i="31"/>
  <c r="Y88" i="31"/>
  <c r="BC89" i="32"/>
  <c r="K88" i="26"/>
  <c r="Q88" i="26"/>
  <c r="O88" i="26"/>
  <c r="M88" i="26"/>
  <c r="I87" i="31"/>
  <c r="S86" i="54"/>
  <c r="CY86" i="54"/>
  <c r="BC86" i="54"/>
  <c r="AE86" i="54"/>
  <c r="CA86" i="54"/>
  <c r="CY87" i="54"/>
  <c r="CM87" i="54"/>
  <c r="AE87" i="54"/>
  <c r="CE87" i="54"/>
  <c r="DC87" i="54"/>
  <c r="CQ87" i="54"/>
  <c r="BG87" i="54"/>
  <c r="W87" i="54"/>
  <c r="AU87" i="54"/>
  <c r="AI87" i="54"/>
  <c r="CM86" i="54"/>
  <c r="AQ86" i="54"/>
  <c r="CU86" i="54"/>
  <c r="BW86" i="54"/>
  <c r="DE86" i="54"/>
  <c r="AW86" i="54"/>
  <c r="E86" i="54"/>
  <c r="CS86" i="54"/>
  <c r="CI86" i="54"/>
  <c r="BQ86" i="54"/>
  <c r="CK86" i="54"/>
  <c r="AG86" i="54"/>
  <c r="BA86" i="54"/>
  <c r="K87" i="54"/>
  <c r="BU87" i="54"/>
  <c r="AC87" i="54"/>
  <c r="BK87" i="54"/>
  <c r="Y87" i="54"/>
  <c r="CO87" i="54"/>
  <c r="A88" i="54"/>
  <c r="M87" i="54"/>
  <c r="BI87" i="54"/>
  <c r="AW87" i="54"/>
  <c r="BY87" i="54"/>
  <c r="G87" i="54"/>
  <c r="AA87" i="54"/>
  <c r="CW87" i="54"/>
  <c r="CK87" i="54"/>
  <c r="AO87" i="54"/>
  <c r="BM87" i="54"/>
  <c r="O87" i="54"/>
  <c r="CI87" i="54"/>
  <c r="DE87" i="54"/>
  <c r="DA87" i="54"/>
  <c r="AY87" i="54"/>
  <c r="Q87" i="54"/>
  <c r="BK86" i="54"/>
  <c r="AO86" i="54"/>
  <c r="CO86" i="54"/>
  <c r="BU86" i="54"/>
  <c r="Q86" i="54"/>
  <c r="DA86" i="54"/>
  <c r="BM86" i="54"/>
  <c r="O86" i="54"/>
  <c r="AY86" i="54"/>
  <c r="BY86" i="54"/>
  <c r="BI86" i="54"/>
  <c r="AA86" i="54"/>
  <c r="G86" i="54"/>
  <c r="CG86" i="54"/>
  <c r="BC88" i="32"/>
  <c r="BB88" i="32"/>
  <c r="G87" i="32"/>
  <c r="Q87" i="32"/>
  <c r="O87" i="32" s="1"/>
  <c r="AT88" i="32"/>
  <c r="AU88" i="32"/>
  <c r="A90" i="32"/>
  <c r="D87" i="32"/>
  <c r="P87" i="32"/>
  <c r="L87" i="32" s="1"/>
  <c r="AY88" i="32"/>
  <c r="AZ88" i="32"/>
  <c r="J88" i="32"/>
  <c r="K88" i="32" s="1"/>
  <c r="AA88" i="32"/>
  <c r="R88" i="32"/>
  <c r="AB88" i="32"/>
  <c r="F88" i="32"/>
  <c r="AR88" i="32"/>
  <c r="AQ88" i="32"/>
  <c r="BC87" i="32"/>
  <c r="AI88" i="32"/>
  <c r="AJ88" i="32"/>
  <c r="C88" i="32"/>
  <c r="P88" i="32"/>
  <c r="AM87" i="32"/>
  <c r="AM88" i="32"/>
  <c r="AL88" i="32"/>
  <c r="V87" i="32"/>
  <c r="T87" i="32"/>
  <c r="S87" i="32"/>
  <c r="U88" i="32"/>
  <c r="M88" i="32"/>
  <c r="N88" i="32" s="1"/>
  <c r="AD88" i="32"/>
  <c r="AE88" i="32"/>
  <c r="AE87" i="32"/>
  <c r="AN87" i="31"/>
  <c r="AO87" i="31" s="1"/>
  <c r="AT86" i="31"/>
  <c r="AX86" i="31" s="1"/>
  <c r="L87" i="31"/>
  <c r="M87" i="31" s="1"/>
  <c r="D87" i="31"/>
  <c r="E87" i="31" s="1"/>
  <c r="P87" i="31"/>
  <c r="Q87" i="31" s="1"/>
  <c r="AS86" i="31"/>
  <c r="AW86" i="31"/>
  <c r="BA86" i="31" s="1"/>
  <c r="AM86" i="31"/>
  <c r="A89" i="31"/>
  <c r="BQ88" i="31"/>
  <c r="BM88" i="31"/>
  <c r="BK88" i="31"/>
  <c r="AC87" i="31"/>
  <c r="BE87" i="31"/>
  <c r="AE87" i="31"/>
  <c r="G87" i="31"/>
  <c r="AU86" i="31"/>
  <c r="AY86" i="31" s="1"/>
  <c r="N87" i="31"/>
  <c r="O87" i="31" s="1"/>
  <c r="B87" i="31"/>
  <c r="J87" i="31"/>
  <c r="K87" i="31" s="1"/>
  <c r="AP87" i="31"/>
  <c r="AQ87" i="31" s="1"/>
  <c r="BG87" i="31"/>
  <c r="U87" i="31"/>
  <c r="BC87" i="31"/>
  <c r="AL87" i="31"/>
  <c r="AV86" i="31"/>
  <c r="AZ86" i="31" s="1"/>
  <c r="AG87" i="31"/>
  <c r="AR87" i="31"/>
  <c r="BI87" i="31"/>
  <c r="S87" i="31"/>
  <c r="Q87" i="26"/>
  <c r="E87" i="26"/>
  <c r="AO88" i="28"/>
  <c r="BN88" i="28"/>
  <c r="BL86" i="28"/>
  <c r="AM87" i="28"/>
  <c r="BP87" i="28"/>
  <c r="AO88" i="26"/>
  <c r="AY88" i="26"/>
  <c r="A89" i="26"/>
  <c r="Z87" i="26"/>
  <c r="AQ87" i="26"/>
  <c r="AB86" i="26"/>
  <c r="U86" i="26"/>
  <c r="I87" i="28"/>
  <c r="J87" i="28" s="1"/>
  <c r="E87" i="28"/>
  <c r="AH85" i="26"/>
  <c r="BG87" i="28"/>
  <c r="BK87" i="28" s="1"/>
  <c r="CJ87" i="28"/>
  <c r="AC86" i="26"/>
  <c r="AW88" i="28"/>
  <c r="X88" i="28"/>
  <c r="H87" i="26"/>
  <c r="I87" i="26" s="1"/>
  <c r="B87" i="26"/>
  <c r="C87" i="26" s="1"/>
  <c r="F87" i="26"/>
  <c r="G87" i="26" s="1"/>
  <c r="BI86" i="28"/>
  <c r="BX87" i="28"/>
  <c r="AV86" i="28"/>
  <c r="AC87" i="28"/>
  <c r="AR86" i="28"/>
  <c r="AK88" i="28"/>
  <c r="W86" i="26"/>
  <c r="AZ86" i="28"/>
  <c r="X87" i="28"/>
  <c r="CL88" i="28"/>
  <c r="AS88" i="28"/>
  <c r="BR88" i="28"/>
  <c r="BT87" i="28"/>
  <c r="AD86" i="26"/>
  <c r="AS87" i="26"/>
  <c r="O87" i="26"/>
  <c r="CR87" i="28"/>
  <c r="CF88" i="28"/>
  <c r="AH88" i="28"/>
  <c r="BH87" i="28"/>
  <c r="AE86" i="26"/>
  <c r="AF85" i="26"/>
  <c r="S87" i="28"/>
  <c r="AG85" i="26"/>
  <c r="A90" i="28"/>
  <c r="BR89" i="28"/>
  <c r="BA88" i="28"/>
  <c r="BZ88" i="28"/>
  <c r="X87" i="26"/>
  <c r="AO87" i="26"/>
  <c r="V87" i="26"/>
  <c r="CN87" i="28"/>
  <c r="BK86" i="28"/>
  <c r="E88" i="28"/>
  <c r="CB87" i="28"/>
  <c r="AI85" i="26"/>
  <c r="N86" i="28"/>
  <c r="BE87" i="28"/>
  <c r="T87" i="26"/>
  <c r="H87" i="28"/>
  <c r="BV88" i="28"/>
  <c r="J86" i="28"/>
  <c r="K88" i="28"/>
  <c r="BD86" i="28"/>
  <c r="BF87" i="28"/>
  <c r="CF87" i="28"/>
  <c r="Q89" i="28" l="1"/>
  <c r="C89" i="28"/>
  <c r="AA89" i="28"/>
  <c r="L88" i="32"/>
  <c r="O89" i="26"/>
  <c r="M89" i="26"/>
  <c r="K89" i="26"/>
  <c r="S89" i="26"/>
  <c r="Y89" i="31"/>
  <c r="W89" i="31"/>
  <c r="AI89" i="31"/>
  <c r="AC89" i="31"/>
  <c r="AA89" i="31"/>
  <c r="AK89" i="31"/>
  <c r="BB89" i="32"/>
  <c r="AQ87" i="54"/>
  <c r="BC87" i="54"/>
  <c r="AQ89" i="32"/>
  <c r="CY88" i="54"/>
  <c r="CM88" i="54"/>
  <c r="CA88" i="54"/>
  <c r="BC88" i="54"/>
  <c r="AQ88" i="54"/>
  <c r="S88" i="54"/>
  <c r="CE88" i="54"/>
  <c r="DC88" i="54"/>
  <c r="CQ88" i="54"/>
  <c r="BG88" i="54"/>
  <c r="AU88" i="54"/>
  <c r="W88" i="54"/>
  <c r="AI88" i="54"/>
  <c r="CA87" i="54"/>
  <c r="S87" i="54"/>
  <c r="AK87" i="54"/>
  <c r="I87" i="54"/>
  <c r="CG87" i="54"/>
  <c r="AS87" i="54"/>
  <c r="K88" i="54"/>
  <c r="BA88" i="54"/>
  <c r="BY88" i="54"/>
  <c r="Y88" i="54"/>
  <c r="BE88" i="54"/>
  <c r="C88" i="54"/>
  <c r="CU88" i="54"/>
  <c r="CW88" i="54"/>
  <c r="AO88" i="54"/>
  <c r="AK88" i="54"/>
  <c r="CS88" i="54"/>
  <c r="DA88" i="54"/>
  <c r="AM88" i="54"/>
  <c r="CC88" i="54"/>
  <c r="DE88" i="54"/>
  <c r="U88" i="54"/>
  <c r="AS88" i="54"/>
  <c r="BQ88" i="54"/>
  <c r="G88" i="54"/>
  <c r="AW88" i="54"/>
  <c r="O88" i="54"/>
  <c r="CK88" i="54"/>
  <c r="BK88" i="54"/>
  <c r="I88" i="54"/>
  <c r="BI88" i="54"/>
  <c r="A89" i="54"/>
  <c r="E88" i="54"/>
  <c r="CI88" i="54"/>
  <c r="BU88" i="54"/>
  <c r="BW88" i="54"/>
  <c r="CG88" i="54"/>
  <c r="AG87" i="54"/>
  <c r="CC87" i="54"/>
  <c r="U87" i="54"/>
  <c r="CS87" i="54"/>
  <c r="BW87" i="54"/>
  <c r="C87" i="54"/>
  <c r="BA87" i="54"/>
  <c r="AM87" i="54"/>
  <c r="BQ87" i="54"/>
  <c r="E87" i="54"/>
  <c r="CU87" i="54"/>
  <c r="BE87" i="54"/>
  <c r="T88" i="32"/>
  <c r="AR89" i="32"/>
  <c r="A91" i="32"/>
  <c r="U89" i="32"/>
  <c r="M89" i="32"/>
  <c r="N89" i="32" s="1"/>
  <c r="AE89" i="32"/>
  <c r="G88" i="32"/>
  <c r="Q88" i="32"/>
  <c r="O88" i="32" s="1"/>
  <c r="W88" i="32"/>
  <c r="V88" i="32"/>
  <c r="AY89" i="32"/>
  <c r="AZ89" i="32"/>
  <c r="J89" i="32"/>
  <c r="K89" i="32" s="1"/>
  <c r="AA89" i="32"/>
  <c r="AB89" i="32"/>
  <c r="R89" i="32"/>
  <c r="T89" i="32" s="1"/>
  <c r="P89" i="32"/>
  <c r="L89" i="32" s="1"/>
  <c r="C89" i="32"/>
  <c r="AM89" i="32"/>
  <c r="AL89" i="32"/>
  <c r="AJ89" i="32"/>
  <c r="AI89" i="32"/>
  <c r="AD89" i="32"/>
  <c r="AT89" i="32"/>
  <c r="AU89" i="32"/>
  <c r="S88" i="32"/>
  <c r="W87" i="32"/>
  <c r="Q89" i="32"/>
  <c r="F89" i="32"/>
  <c r="D88" i="32"/>
  <c r="AN88" i="31"/>
  <c r="AO88" i="31" s="1"/>
  <c r="AL88" i="31"/>
  <c r="BC88" i="31"/>
  <c r="AS87" i="31"/>
  <c r="AW87" i="31"/>
  <c r="BA87" i="31" s="1"/>
  <c r="AA88" i="31"/>
  <c r="N88" i="31"/>
  <c r="O88" i="31" s="1"/>
  <c r="J88" i="31"/>
  <c r="K88" i="31" s="1"/>
  <c r="B88" i="31"/>
  <c r="C88" i="31" s="1"/>
  <c r="S88" i="31"/>
  <c r="AP88" i="31"/>
  <c r="BG88" i="31"/>
  <c r="AU87" i="31"/>
  <c r="AY87" i="31" s="1"/>
  <c r="AT87" i="31"/>
  <c r="AM87" i="31"/>
  <c r="AG88" i="31"/>
  <c r="I88" i="31"/>
  <c r="BM89" i="31"/>
  <c r="A90" i="31"/>
  <c r="BQ89" i="31"/>
  <c r="BK89" i="31"/>
  <c r="BO89" i="31"/>
  <c r="BO88" i="31"/>
  <c r="BE88" i="31"/>
  <c r="G88" i="31"/>
  <c r="AE88" i="31"/>
  <c r="AV87" i="31"/>
  <c r="AZ87" i="31" s="1"/>
  <c r="C87" i="31"/>
  <c r="L88" i="31"/>
  <c r="M88" i="31" s="1"/>
  <c r="P88" i="31"/>
  <c r="Q88" i="31" s="1"/>
  <c r="D88" i="31"/>
  <c r="E88" i="31" s="1"/>
  <c r="U88" i="31"/>
  <c r="AR88" i="31"/>
  <c r="BI88" i="31"/>
  <c r="AR87" i="28"/>
  <c r="CJ88" i="28"/>
  <c r="X89" i="28"/>
  <c r="AC89" i="28"/>
  <c r="AG86" i="26"/>
  <c r="AS88" i="26"/>
  <c r="BP88" i="28"/>
  <c r="AV87" i="28"/>
  <c r="BJ87" i="28"/>
  <c r="AC87" i="26"/>
  <c r="W87" i="26"/>
  <c r="CJ89" i="28"/>
  <c r="CH89" i="28"/>
  <c r="E89" i="28"/>
  <c r="CP89" i="28"/>
  <c r="BT88" i="28"/>
  <c r="AF86" i="26"/>
  <c r="AE87" i="26"/>
  <c r="AA87" i="26"/>
  <c r="AZ87" i="28"/>
  <c r="H88" i="28"/>
  <c r="I88" i="28"/>
  <c r="J88" i="28" s="1"/>
  <c r="K89" i="28"/>
  <c r="S88" i="28"/>
  <c r="T88" i="26"/>
  <c r="AK88" i="26"/>
  <c r="AQ89" i="26"/>
  <c r="A90" i="26"/>
  <c r="AY89" i="26"/>
  <c r="AU89" i="26"/>
  <c r="CR88" i="28"/>
  <c r="AO89" i="28"/>
  <c r="BN89" i="28"/>
  <c r="BX89" i="28"/>
  <c r="AW89" i="28"/>
  <c r="AX89" i="28" s="1"/>
  <c r="BV89" i="28"/>
  <c r="AI86" i="26"/>
  <c r="AK89" i="28"/>
  <c r="BG88" i="28"/>
  <c r="AX88" i="28"/>
  <c r="AB87" i="26"/>
  <c r="L88" i="28"/>
  <c r="AD87" i="26"/>
  <c r="AH87" i="26" s="1"/>
  <c r="Y87" i="26"/>
  <c r="BH88" i="28"/>
  <c r="BL88" i="28" s="1"/>
  <c r="BB88" i="28"/>
  <c r="CB89" i="28"/>
  <c r="BA89" i="28"/>
  <c r="BZ89" i="28"/>
  <c r="CL89" i="28"/>
  <c r="AU88" i="26"/>
  <c r="U87" i="26"/>
  <c r="BL87" i="28"/>
  <c r="AM88" i="28"/>
  <c r="BX88" i="28"/>
  <c r="AC88" i="28"/>
  <c r="F88" i="26"/>
  <c r="H88" i="26"/>
  <c r="B88" i="26"/>
  <c r="X88" i="26"/>
  <c r="N87" i="28"/>
  <c r="AS89" i="28"/>
  <c r="CD89" i="28"/>
  <c r="BD87" i="28"/>
  <c r="CN88" i="28"/>
  <c r="V88" i="26"/>
  <c r="W88" i="26" s="1"/>
  <c r="AM88" i="26"/>
  <c r="S88" i="26"/>
  <c r="CB88" i="28"/>
  <c r="N88" i="28"/>
  <c r="BR90" i="28"/>
  <c r="A91" i="28"/>
  <c r="AF89" i="28"/>
  <c r="BF88" i="28"/>
  <c r="AT88" i="28"/>
  <c r="BI87" i="28"/>
  <c r="V89" i="28"/>
  <c r="AH86" i="26"/>
  <c r="Z88" i="26"/>
  <c r="AQ88" i="26"/>
  <c r="AW88" i="26"/>
  <c r="BE88" i="28"/>
  <c r="AP88" i="28"/>
  <c r="AF90" i="28" l="1"/>
  <c r="AI90" i="31"/>
  <c r="AC90" i="31"/>
  <c r="L89" i="28"/>
  <c r="N89" i="28"/>
  <c r="S90" i="26"/>
  <c r="AE88" i="54"/>
  <c r="CM89" i="54"/>
  <c r="CA89" i="54"/>
  <c r="BG89" i="54"/>
  <c r="AQ89" i="54"/>
  <c r="AS89" i="54"/>
  <c r="G89" i="54"/>
  <c r="CU89" i="54"/>
  <c r="BA89" i="54"/>
  <c r="A90" i="54"/>
  <c r="CK89" i="54"/>
  <c r="BI89" i="54"/>
  <c r="AO89" i="54"/>
  <c r="CC89" i="54"/>
  <c r="CO89" i="54"/>
  <c r="Q89" i="54"/>
  <c r="AW89" i="54"/>
  <c r="AA89" i="54"/>
  <c r="CW89" i="54"/>
  <c r="C89" i="54"/>
  <c r="O89" i="54"/>
  <c r="CS89" i="54"/>
  <c r="M89" i="54"/>
  <c r="BW89" i="54"/>
  <c r="BM89" i="54"/>
  <c r="BE89" i="54"/>
  <c r="DE89" i="54"/>
  <c r="BY89" i="54"/>
  <c r="BU89" i="54"/>
  <c r="DA89" i="54"/>
  <c r="AG89" i="54"/>
  <c r="AM89" i="54"/>
  <c r="CG89" i="54"/>
  <c r="AC89" i="54"/>
  <c r="AY89" i="54"/>
  <c r="U89" i="54"/>
  <c r="CO88" i="54"/>
  <c r="AC88" i="54"/>
  <c r="AA88" i="54"/>
  <c r="M88" i="54"/>
  <c r="BM88" i="54"/>
  <c r="Q88" i="54"/>
  <c r="AG88" i="54"/>
  <c r="AY88" i="54"/>
  <c r="O89" i="32"/>
  <c r="AE89" i="31"/>
  <c r="S89" i="32"/>
  <c r="C90" i="32"/>
  <c r="P90" i="32"/>
  <c r="L90" i="32" s="1"/>
  <c r="AU90" i="32"/>
  <c r="A92" i="32"/>
  <c r="AZ90" i="32"/>
  <c r="AY90" i="32"/>
  <c r="F90" i="32"/>
  <c r="Q90" i="32"/>
  <c r="AR90" i="32"/>
  <c r="AQ90" i="32"/>
  <c r="AB90" i="32"/>
  <c r="J90" i="32"/>
  <c r="K90" i="32" s="1"/>
  <c r="AA90" i="32"/>
  <c r="R90" i="32"/>
  <c r="AJ90" i="32"/>
  <c r="AI90" i="32"/>
  <c r="BC90" i="32"/>
  <c r="BB90" i="32"/>
  <c r="V89" i="32"/>
  <c r="W89" i="32"/>
  <c r="U90" i="32"/>
  <c r="M90" i="32"/>
  <c r="N90" i="32" s="1"/>
  <c r="AD90" i="32"/>
  <c r="AE90" i="32"/>
  <c r="G89" i="32"/>
  <c r="D89" i="32"/>
  <c r="AM90" i="32"/>
  <c r="AL90" i="32"/>
  <c r="AT90" i="32"/>
  <c r="G89" i="31"/>
  <c r="AL89" i="31"/>
  <c r="AM89" i="31" s="1"/>
  <c r="AX87" i="31"/>
  <c r="S89" i="31"/>
  <c r="N89" i="31"/>
  <c r="J89" i="31"/>
  <c r="B89" i="31"/>
  <c r="AV88" i="31"/>
  <c r="AZ88" i="31" s="1"/>
  <c r="AQ88" i="31"/>
  <c r="U89" i="31"/>
  <c r="D89" i="31"/>
  <c r="E89" i="31" s="1"/>
  <c r="P89" i="31"/>
  <c r="L89" i="31"/>
  <c r="M89" i="31" s="1"/>
  <c r="AN89" i="31"/>
  <c r="BE89" i="31"/>
  <c r="BQ90" i="31"/>
  <c r="BC90" i="31"/>
  <c r="BM90" i="31"/>
  <c r="BO90" i="31"/>
  <c r="A91" i="31"/>
  <c r="BK90" i="31"/>
  <c r="AP89" i="31"/>
  <c r="BG89" i="31"/>
  <c r="AW88" i="31"/>
  <c r="BA88" i="31" s="1"/>
  <c r="AS88" i="31"/>
  <c r="AR89" i="31"/>
  <c r="BI89" i="31"/>
  <c r="AG89" i="31"/>
  <c r="BC89" i="31"/>
  <c r="AM88" i="31"/>
  <c r="AT88" i="31"/>
  <c r="AX88" i="31" s="1"/>
  <c r="AU88" i="31"/>
  <c r="AY88" i="31" s="1"/>
  <c r="AV88" i="28"/>
  <c r="E88" i="26"/>
  <c r="BB89" i="28"/>
  <c r="AH89" i="28"/>
  <c r="AZ88" i="28"/>
  <c r="V89" i="26"/>
  <c r="AM89" i="26"/>
  <c r="I89" i="28"/>
  <c r="J89" i="28" s="1"/>
  <c r="H89" i="28"/>
  <c r="V90" i="28"/>
  <c r="CL90" i="28"/>
  <c r="AE88" i="26"/>
  <c r="BJ88" i="28"/>
  <c r="AM90" i="28"/>
  <c r="CL91" i="28"/>
  <c r="BN91" i="28"/>
  <c r="A92" i="28"/>
  <c r="CH91" i="28"/>
  <c r="BR91" i="28"/>
  <c r="B89" i="26"/>
  <c r="C89" i="26" s="1"/>
  <c r="H89" i="26"/>
  <c r="F89" i="26"/>
  <c r="G89" i="26" s="1"/>
  <c r="A91" i="26"/>
  <c r="AB88" i="26"/>
  <c r="U88" i="26"/>
  <c r="BP89" i="28"/>
  <c r="AW90" i="28"/>
  <c r="AX90" i="28" s="1"/>
  <c r="CF89" i="28"/>
  <c r="AD88" i="26"/>
  <c r="AH88" i="26" s="1"/>
  <c r="BN90" i="28"/>
  <c r="CN89" i="28"/>
  <c r="BK88" i="28"/>
  <c r="BG89" i="28"/>
  <c r="BK89" i="28" s="1"/>
  <c r="X89" i="26"/>
  <c r="AO89" i="26"/>
  <c r="AW89" i="26"/>
  <c r="CR89" i="28"/>
  <c r="BT90" i="28"/>
  <c r="AS90" i="28"/>
  <c r="AS89" i="26"/>
  <c r="S89" i="28"/>
  <c r="CH90" i="28"/>
  <c r="AG87" i="26"/>
  <c r="BD88" i="28"/>
  <c r="AO90" i="28"/>
  <c r="BI88" i="28"/>
  <c r="K90" i="28"/>
  <c r="Q90" i="28"/>
  <c r="BF89" i="28"/>
  <c r="BD89" i="28"/>
  <c r="BH89" i="28"/>
  <c r="T89" i="26"/>
  <c r="AK89" i="26"/>
  <c r="Z89" i="26"/>
  <c r="AA88" i="26"/>
  <c r="G88" i="26"/>
  <c r="Q89" i="26"/>
  <c r="AM89" i="28"/>
  <c r="BA90" i="28"/>
  <c r="CP90" i="28"/>
  <c r="AC88" i="26"/>
  <c r="BT89" i="28"/>
  <c r="I88" i="26"/>
  <c r="AR89" i="28"/>
  <c r="BE89" i="28"/>
  <c r="AP89" i="28"/>
  <c r="AT89" i="28"/>
  <c r="AA90" i="28"/>
  <c r="CD90" i="28"/>
  <c r="AR88" i="28"/>
  <c r="Y88" i="26"/>
  <c r="AF87" i="26"/>
  <c r="BV90" i="28"/>
  <c r="C88" i="26"/>
  <c r="AI87" i="26"/>
  <c r="AK90" i="28"/>
  <c r="C90" i="28"/>
  <c r="BZ90" i="28"/>
  <c r="C91" i="28" l="1"/>
  <c r="AA91" i="28"/>
  <c r="V91" i="28"/>
  <c r="AR90" i="31"/>
  <c r="Q91" i="28"/>
  <c r="AK91" i="28"/>
  <c r="AF91" i="28"/>
  <c r="AA91" i="31"/>
  <c r="Y91" i="31"/>
  <c r="W91" i="31"/>
  <c r="AK91" i="31"/>
  <c r="AI91" i="31"/>
  <c r="S91" i="31"/>
  <c r="AC91" i="31"/>
  <c r="M91" i="26"/>
  <c r="S91" i="26"/>
  <c r="O91" i="26"/>
  <c r="D90" i="32"/>
  <c r="AI89" i="54"/>
  <c r="DC89" i="54"/>
  <c r="S89" i="54"/>
  <c r="CY89" i="54"/>
  <c r="CE89" i="54"/>
  <c r="CQ89" i="54"/>
  <c r="AE90" i="54"/>
  <c r="BC90" i="54"/>
  <c r="BG90" i="54"/>
  <c r="AU90" i="54"/>
  <c r="W89" i="54"/>
  <c r="BC89" i="54"/>
  <c r="AU89" i="54"/>
  <c r="AE89" i="54"/>
  <c r="AK89" i="54"/>
  <c r="BK89" i="54"/>
  <c r="K90" i="54"/>
  <c r="A91" i="54"/>
  <c r="AA90" i="54"/>
  <c r="E90" i="54"/>
  <c r="BM90" i="54"/>
  <c r="BQ90" i="54"/>
  <c r="CC90" i="54"/>
  <c r="CI90" i="54"/>
  <c r="AY90" i="54"/>
  <c r="Y90" i="54"/>
  <c r="CU90" i="54"/>
  <c r="I90" i="54"/>
  <c r="CS90" i="54"/>
  <c r="AM90" i="54"/>
  <c r="BQ89" i="54"/>
  <c r="I89" i="54"/>
  <c r="E89" i="54"/>
  <c r="Y89" i="54"/>
  <c r="CI89" i="54"/>
  <c r="K89" i="54"/>
  <c r="AR91" i="32"/>
  <c r="AY91" i="32"/>
  <c r="BC91" i="32"/>
  <c r="BB91" i="32"/>
  <c r="A93" i="32"/>
  <c r="O90" i="32"/>
  <c r="AI91" i="32"/>
  <c r="AJ91" i="32"/>
  <c r="AZ91" i="32"/>
  <c r="R91" i="32"/>
  <c r="J91" i="32"/>
  <c r="K91" i="32" s="1"/>
  <c r="AA91" i="32"/>
  <c r="AB91" i="32"/>
  <c r="S90" i="32"/>
  <c r="AD91" i="32"/>
  <c r="AE91" i="32"/>
  <c r="M91" i="32"/>
  <c r="N91" i="32" s="1"/>
  <c r="U91" i="32"/>
  <c r="V90" i="32"/>
  <c r="Q91" i="32"/>
  <c r="O91" i="32" s="1"/>
  <c r="F91" i="32"/>
  <c r="AM91" i="32"/>
  <c r="AL91" i="32"/>
  <c r="G90" i="32"/>
  <c r="AT91" i="32"/>
  <c r="AU91" i="32"/>
  <c r="C91" i="32"/>
  <c r="AQ91" i="32"/>
  <c r="AS90" i="31"/>
  <c r="Q90" i="26"/>
  <c r="B90" i="31"/>
  <c r="C90" i="31" s="1"/>
  <c r="N90" i="31"/>
  <c r="O90" i="31" s="1"/>
  <c r="J90" i="31"/>
  <c r="K90" i="31" s="1"/>
  <c r="S90" i="31"/>
  <c r="AP90" i="31"/>
  <c r="BG90" i="31"/>
  <c r="AT89" i="31"/>
  <c r="AX89" i="31" s="1"/>
  <c r="AU89" i="31"/>
  <c r="AY89" i="31" s="1"/>
  <c r="AO89" i="31"/>
  <c r="I89" i="31"/>
  <c r="I90" i="31"/>
  <c r="BQ91" i="31"/>
  <c r="BO91" i="31"/>
  <c r="A92" i="31"/>
  <c r="BM91" i="31"/>
  <c r="BK91" i="31"/>
  <c r="AK90" i="31"/>
  <c r="Q89" i="31"/>
  <c r="AS89" i="31"/>
  <c r="AW89" i="31"/>
  <c r="BA89" i="31" s="1"/>
  <c r="C89" i="31"/>
  <c r="AE90" i="31"/>
  <c r="K89" i="31"/>
  <c r="O89" i="31"/>
  <c r="AV89" i="31"/>
  <c r="AQ89" i="31"/>
  <c r="AA90" i="31"/>
  <c r="W90" i="31"/>
  <c r="L90" i="31"/>
  <c r="M90" i="31" s="1"/>
  <c r="P90" i="31"/>
  <c r="Q90" i="31" s="1"/>
  <c r="D90" i="31"/>
  <c r="E90" i="31" s="1"/>
  <c r="U90" i="31"/>
  <c r="AL90" i="31"/>
  <c r="AG90" i="31"/>
  <c r="Y90" i="31"/>
  <c r="AN90" i="31"/>
  <c r="BE90" i="31"/>
  <c r="BI90" i="31"/>
  <c r="AV90" i="28"/>
  <c r="BF90" i="28"/>
  <c r="BJ90" i="28" s="1"/>
  <c r="AT90" i="28"/>
  <c r="H90" i="26"/>
  <c r="F90" i="26"/>
  <c r="B90" i="26"/>
  <c r="A92" i="26"/>
  <c r="X91" i="28"/>
  <c r="I90" i="28"/>
  <c r="J90" i="28" s="1"/>
  <c r="E90" i="28"/>
  <c r="E90" i="26"/>
  <c r="AY90" i="26"/>
  <c r="AG88" i="26"/>
  <c r="N90" i="28"/>
  <c r="AS90" i="26"/>
  <c r="T90" i="26"/>
  <c r="AK90" i="26"/>
  <c r="AC91" i="28"/>
  <c r="O90" i="26"/>
  <c r="E89" i="26"/>
  <c r="BV91" i="28"/>
  <c r="CJ90" i="28"/>
  <c r="AU90" i="26"/>
  <c r="CP91" i="28"/>
  <c r="CF91" i="28"/>
  <c r="CD91" i="28"/>
  <c r="BD90" i="28"/>
  <c r="BH90" i="28"/>
  <c r="BL90" i="28" s="1"/>
  <c r="AV89" i="28"/>
  <c r="CR90" i="28"/>
  <c r="AF88" i="26"/>
  <c r="AW90" i="26"/>
  <c r="K91" i="28"/>
  <c r="CN91" i="28"/>
  <c r="AH90" i="28"/>
  <c r="CB90" i="28"/>
  <c r="AB89" i="26"/>
  <c r="U89" i="26"/>
  <c r="S90" i="28"/>
  <c r="BE90" i="28"/>
  <c r="AP90" i="28"/>
  <c r="L90" i="28"/>
  <c r="AD89" i="26"/>
  <c r="Y89" i="26"/>
  <c r="AC90" i="28"/>
  <c r="V90" i="26"/>
  <c r="AM90" i="26"/>
  <c r="K90" i="26"/>
  <c r="A93" i="28"/>
  <c r="M90" i="26"/>
  <c r="BL89" i="28"/>
  <c r="CN90" i="28"/>
  <c r="X90" i="28"/>
  <c r="AZ89" i="28"/>
  <c r="X90" i="26"/>
  <c r="AO90" i="26"/>
  <c r="AM91" i="28"/>
  <c r="AI88" i="26"/>
  <c r="H90" i="28"/>
  <c r="AE89" i="26"/>
  <c r="BP90" i="28"/>
  <c r="CF90" i="28"/>
  <c r="AA89" i="26"/>
  <c r="BJ89" i="28"/>
  <c r="BG90" i="28"/>
  <c r="I89" i="26"/>
  <c r="AS91" i="28"/>
  <c r="AO91" i="28"/>
  <c r="BB90" i="28"/>
  <c r="AC89" i="26"/>
  <c r="W89" i="26"/>
  <c r="BX90" i="28"/>
  <c r="BI89" i="28"/>
  <c r="Z90" i="26"/>
  <c r="AQ90" i="26"/>
  <c r="BA91" i="28"/>
  <c r="BZ91" i="28"/>
  <c r="AW91" i="28"/>
  <c r="AF92" i="28" l="1"/>
  <c r="Q92" i="28"/>
  <c r="AP91" i="31"/>
  <c r="AR93" i="32"/>
  <c r="K92" i="26"/>
  <c r="L91" i="28"/>
  <c r="AC92" i="31"/>
  <c r="AA92" i="31"/>
  <c r="W92" i="31"/>
  <c r="AK92" i="31"/>
  <c r="AI92" i="31"/>
  <c r="AE92" i="31"/>
  <c r="BC91" i="54"/>
  <c r="AE91" i="54"/>
  <c r="CY91" i="54"/>
  <c r="CM91" i="54"/>
  <c r="S91" i="54"/>
  <c r="CA91" i="54"/>
  <c r="CE91" i="54"/>
  <c r="W91" i="54"/>
  <c r="AI91" i="54"/>
  <c r="AU91" i="54"/>
  <c r="DC90" i="54"/>
  <c r="CM90" i="54"/>
  <c r="W90" i="54"/>
  <c r="CA90" i="54"/>
  <c r="AQ90" i="54"/>
  <c r="AI90" i="54"/>
  <c r="CQ90" i="54"/>
  <c r="CE90" i="54"/>
  <c r="S90" i="54"/>
  <c r="CY90" i="54"/>
  <c r="C90" i="54"/>
  <c r="BW90" i="54"/>
  <c r="CK90" i="54"/>
  <c r="AS90" i="54"/>
  <c r="BE90" i="54"/>
  <c r="G90" i="54"/>
  <c r="Q90" i="54"/>
  <c r="AO90" i="54"/>
  <c r="AK90" i="54"/>
  <c r="U90" i="54"/>
  <c r="BK90" i="54"/>
  <c r="AW90" i="54"/>
  <c r="BY90" i="54"/>
  <c r="AO91" i="54"/>
  <c r="CG91" i="54"/>
  <c r="A92" i="54"/>
  <c r="CO91" i="54"/>
  <c r="CC91" i="54"/>
  <c r="AC91" i="54"/>
  <c r="M91" i="54"/>
  <c r="BE91" i="54"/>
  <c r="U91" i="54"/>
  <c r="Y91" i="54"/>
  <c r="BU91" i="54"/>
  <c r="CW91" i="54"/>
  <c r="DE91" i="54"/>
  <c r="CI91" i="54"/>
  <c r="AM91" i="54"/>
  <c r="BA91" i="54"/>
  <c r="AK91" i="54"/>
  <c r="DA91" i="54"/>
  <c r="BM91" i="54"/>
  <c r="Q91" i="54"/>
  <c r="BQ91" i="54"/>
  <c r="CU91" i="54"/>
  <c r="CK91" i="54"/>
  <c r="BY91" i="54"/>
  <c r="AS91" i="54"/>
  <c r="BW91" i="54"/>
  <c r="AW91" i="54"/>
  <c r="C91" i="54"/>
  <c r="BI91" i="54"/>
  <c r="BI90" i="54"/>
  <c r="BU90" i="54"/>
  <c r="M90" i="54"/>
  <c r="DA90" i="54"/>
  <c r="CG90" i="54"/>
  <c r="O90" i="54"/>
  <c r="AC90" i="54"/>
  <c r="CO90" i="54"/>
  <c r="BA90" i="54"/>
  <c r="CW90" i="54"/>
  <c r="DE90" i="54"/>
  <c r="AG90" i="54"/>
  <c r="AQ91" i="31"/>
  <c r="AT92" i="32"/>
  <c r="AU92" i="32"/>
  <c r="V91" i="32"/>
  <c r="W91" i="32"/>
  <c r="BB92" i="32"/>
  <c r="BC92" i="32"/>
  <c r="C92" i="32"/>
  <c r="P92" i="32"/>
  <c r="AE92" i="32"/>
  <c r="U92" i="32"/>
  <c r="M92" i="32"/>
  <c r="N92" i="32" s="1"/>
  <c r="AD92" i="32"/>
  <c r="Q92" i="32"/>
  <c r="O92" i="32" s="1"/>
  <c r="F92" i="32"/>
  <c r="T91" i="32"/>
  <c r="S91" i="32"/>
  <c r="AL92" i="32"/>
  <c r="AM92" i="32"/>
  <c r="AI92" i="32"/>
  <c r="AJ92" i="32"/>
  <c r="AY92" i="32"/>
  <c r="AQ92" i="32"/>
  <c r="AR92" i="32"/>
  <c r="T90" i="32"/>
  <c r="A94" i="32"/>
  <c r="P91" i="32"/>
  <c r="L91" i="32" s="1"/>
  <c r="D91" i="32"/>
  <c r="W90" i="32"/>
  <c r="G91" i="32"/>
  <c r="R92" i="32"/>
  <c r="AA92" i="32"/>
  <c r="AB92" i="32"/>
  <c r="J92" i="32"/>
  <c r="K92" i="32" s="1"/>
  <c r="AZ89" i="31"/>
  <c r="U91" i="31"/>
  <c r="L91" i="31"/>
  <c r="P91" i="31"/>
  <c r="Q91" i="31" s="1"/>
  <c r="D91" i="31"/>
  <c r="AO90" i="31"/>
  <c r="AU90" i="31"/>
  <c r="AY90" i="31" s="1"/>
  <c r="BI91" i="31"/>
  <c r="AR91" i="31"/>
  <c r="G90" i="31"/>
  <c r="I91" i="31"/>
  <c r="AG91" i="31"/>
  <c r="AT90" i="31"/>
  <c r="AX90" i="31" s="1"/>
  <c r="AM90" i="31"/>
  <c r="AW90" i="31"/>
  <c r="BA90" i="31" s="1"/>
  <c r="J91" i="31"/>
  <c r="K91" i="31" s="1"/>
  <c r="B91" i="31"/>
  <c r="C91" i="31" s="1"/>
  <c r="N91" i="31"/>
  <c r="O91" i="31" s="1"/>
  <c r="BC91" i="31"/>
  <c r="AL91" i="31"/>
  <c r="BG91" i="31"/>
  <c r="AE91" i="31"/>
  <c r="AQ90" i="31"/>
  <c r="AV90" i="31"/>
  <c r="AZ90" i="31" s="1"/>
  <c r="BE91" i="31"/>
  <c r="AN91" i="31"/>
  <c r="A93" i="31"/>
  <c r="BK92" i="31"/>
  <c r="BQ92" i="31"/>
  <c r="BM92" i="31"/>
  <c r="BO92" i="31"/>
  <c r="BH91" i="28"/>
  <c r="BB91" i="28"/>
  <c r="CP92" i="28"/>
  <c r="AA92" i="28"/>
  <c r="E91" i="28"/>
  <c r="AW91" i="26"/>
  <c r="AA90" i="26"/>
  <c r="AD90" i="26"/>
  <c r="Y90" i="26"/>
  <c r="AR90" i="28"/>
  <c r="C92" i="28"/>
  <c r="B91" i="26"/>
  <c r="C91" i="26" s="1"/>
  <c r="F91" i="26"/>
  <c r="G91" i="26" s="1"/>
  <c r="H91" i="26"/>
  <c r="I91" i="26" s="1"/>
  <c r="BG91" i="28"/>
  <c r="AX91" i="28"/>
  <c r="BE91" i="28"/>
  <c r="AP91" i="28"/>
  <c r="AS92" i="28"/>
  <c r="AT92" i="28" s="1"/>
  <c r="BR92" i="28"/>
  <c r="AW92" i="28"/>
  <c r="AX92" i="28" s="1"/>
  <c r="BV92" i="28"/>
  <c r="H91" i="28"/>
  <c r="T91" i="26"/>
  <c r="U91" i="26" s="1"/>
  <c r="AK91" i="26"/>
  <c r="K91" i="26"/>
  <c r="BX91" i="28"/>
  <c r="CB92" i="28"/>
  <c r="BA92" i="28"/>
  <c r="BB92" i="28" s="1"/>
  <c r="BZ92" i="28"/>
  <c r="AO92" i="28"/>
  <c r="AP92" i="28" s="1"/>
  <c r="BN92" i="28"/>
  <c r="BI90" i="28"/>
  <c r="AS91" i="26"/>
  <c r="AY91" i="26"/>
  <c r="BP91" i="28"/>
  <c r="BF91" i="28"/>
  <c r="BJ91" i="28" s="1"/>
  <c r="AT91" i="28"/>
  <c r="AI89" i="26"/>
  <c r="AG89" i="26"/>
  <c r="S92" i="28"/>
  <c r="K92" i="28"/>
  <c r="AM92" i="28"/>
  <c r="AK92" i="28"/>
  <c r="CR91" i="28"/>
  <c r="I91" i="28"/>
  <c r="Z91" i="26"/>
  <c r="AQ91" i="26"/>
  <c r="V91" i="26"/>
  <c r="AM91" i="26"/>
  <c r="G90" i="26"/>
  <c r="AH91" i="28"/>
  <c r="E92" i="28"/>
  <c r="CL92" i="28"/>
  <c r="AC90" i="26"/>
  <c r="W90" i="26"/>
  <c r="AF89" i="26"/>
  <c r="AZ90" i="28"/>
  <c r="Q91" i="26"/>
  <c r="A93" i="26"/>
  <c r="I90" i="26"/>
  <c r="C90" i="26"/>
  <c r="AE90" i="26"/>
  <c r="AI90" i="26" s="1"/>
  <c r="AC92" i="28"/>
  <c r="CD92" i="28"/>
  <c r="AH89" i="26"/>
  <c r="S91" i="28"/>
  <c r="CJ91" i="28"/>
  <c r="V92" i="28"/>
  <c r="AU91" i="26"/>
  <c r="X91" i="26"/>
  <c r="AO91" i="26"/>
  <c r="BT91" i="28"/>
  <c r="CB91" i="28"/>
  <c r="CH92" i="28"/>
  <c r="A94" i="28"/>
  <c r="CH93" i="28"/>
  <c r="AB90" i="26"/>
  <c r="U90" i="26"/>
  <c r="BK90" i="28"/>
  <c r="AH92" i="28"/>
  <c r="AA93" i="28" l="1"/>
  <c r="W93" i="31"/>
  <c r="AI93" i="31"/>
  <c r="AC93" i="31"/>
  <c r="AK93" i="31"/>
  <c r="S93" i="26"/>
  <c r="Q93" i="26"/>
  <c r="BC92" i="54"/>
  <c r="AE92" i="54"/>
  <c r="CY92" i="54"/>
  <c r="BG92" i="54"/>
  <c r="CE92" i="54"/>
  <c r="W92" i="54"/>
  <c r="DC91" i="54"/>
  <c r="AQ91" i="54"/>
  <c r="BG91" i="54"/>
  <c r="CQ91" i="54"/>
  <c r="CS91" i="54"/>
  <c r="BK91" i="54"/>
  <c r="I91" i="54"/>
  <c r="K92" i="54"/>
  <c r="BA92" i="54"/>
  <c r="I92" i="54"/>
  <c r="AK92" i="54"/>
  <c r="AY92" i="54"/>
  <c r="CW92" i="54"/>
  <c r="G92" i="54"/>
  <c r="E92" i="54"/>
  <c r="A93" i="54"/>
  <c r="BI92" i="54"/>
  <c r="BU92" i="54"/>
  <c r="O92" i="54"/>
  <c r="BE92" i="54"/>
  <c r="AS92" i="54"/>
  <c r="DE92" i="54"/>
  <c r="BK92" i="54"/>
  <c r="O91" i="54"/>
  <c r="K91" i="54"/>
  <c r="G91" i="54"/>
  <c r="E91" i="54"/>
  <c r="AG91" i="54"/>
  <c r="AA91" i="54"/>
  <c r="AY91" i="54"/>
  <c r="AT93" i="32"/>
  <c r="AZ92" i="32"/>
  <c r="A95" i="32"/>
  <c r="AY93" i="32"/>
  <c r="AZ93" i="32"/>
  <c r="T92" i="32"/>
  <c r="S92" i="32"/>
  <c r="AM93" i="32"/>
  <c r="AL93" i="32"/>
  <c r="BB93" i="32"/>
  <c r="BC93" i="32"/>
  <c r="AA93" i="32"/>
  <c r="AB93" i="32"/>
  <c r="R93" i="32"/>
  <c r="J93" i="32"/>
  <c r="K93" i="32" s="1"/>
  <c r="W92" i="32"/>
  <c r="V92" i="32"/>
  <c r="AI93" i="32"/>
  <c r="AJ93" i="32"/>
  <c r="M93" i="32"/>
  <c r="AE93" i="32"/>
  <c r="AD93" i="32"/>
  <c r="U93" i="32"/>
  <c r="L92" i="32"/>
  <c r="G92" i="32"/>
  <c r="C93" i="32"/>
  <c r="AQ93" i="32"/>
  <c r="F93" i="32"/>
  <c r="D92" i="32"/>
  <c r="AU91" i="31"/>
  <c r="AY91" i="31" s="1"/>
  <c r="AP92" i="31"/>
  <c r="BG92" i="31"/>
  <c r="S92" i="31"/>
  <c r="J92" i="31"/>
  <c r="K92" i="31" s="1"/>
  <c r="N92" i="31"/>
  <c r="O92" i="31" s="1"/>
  <c r="B92" i="31"/>
  <c r="C92" i="31" s="1"/>
  <c r="AO91" i="31"/>
  <c r="L92" i="31"/>
  <c r="M92" i="31" s="1"/>
  <c r="P92" i="31"/>
  <c r="Q92" i="31" s="1"/>
  <c r="D92" i="31"/>
  <c r="E92" i="31" s="1"/>
  <c r="AG92" i="31"/>
  <c r="G91" i="31"/>
  <c r="AN92" i="31"/>
  <c r="BE92" i="31"/>
  <c r="AW91" i="31"/>
  <c r="BA91" i="31" s="1"/>
  <c r="AS91" i="31"/>
  <c r="AR92" i="31"/>
  <c r="BI92" i="31"/>
  <c r="AV91" i="31"/>
  <c r="AZ91" i="31" s="1"/>
  <c r="AT91" i="31"/>
  <c r="AX91" i="31" s="1"/>
  <c r="U92" i="31"/>
  <c r="BQ93" i="31"/>
  <c r="BO93" i="31"/>
  <c r="BK93" i="31"/>
  <c r="A94" i="31"/>
  <c r="BM93" i="31"/>
  <c r="E91" i="31"/>
  <c r="AL92" i="31"/>
  <c r="BC92" i="31"/>
  <c r="Y92" i="31"/>
  <c r="G92" i="31"/>
  <c r="AM91" i="31"/>
  <c r="M91" i="31"/>
  <c r="AK93" i="28"/>
  <c r="AC91" i="26"/>
  <c r="AB91" i="26"/>
  <c r="AF91" i="26" s="1"/>
  <c r="X92" i="28"/>
  <c r="BL91" i="28"/>
  <c r="E91" i="26"/>
  <c r="CR93" i="28"/>
  <c r="CL93" i="28"/>
  <c r="CJ93" i="28"/>
  <c r="CD93" i="28"/>
  <c r="T92" i="26"/>
  <c r="AK92" i="26"/>
  <c r="E92" i="26"/>
  <c r="O92" i="26"/>
  <c r="AS92" i="26"/>
  <c r="BH92" i="28"/>
  <c r="BL92" i="28" s="1"/>
  <c r="AW93" i="28"/>
  <c r="Q92" i="26"/>
  <c r="AF90" i="26"/>
  <c r="BE92" i="28"/>
  <c r="BV93" i="28"/>
  <c r="BF92" i="28"/>
  <c r="BI91" i="28"/>
  <c r="BK91" i="28"/>
  <c r="S92" i="26"/>
  <c r="BD91" i="28"/>
  <c r="K93" i="28"/>
  <c r="S93" i="28"/>
  <c r="CD94" i="28"/>
  <c r="BN94" i="28"/>
  <c r="CH94" i="28"/>
  <c r="BZ94" i="28"/>
  <c r="A95" i="28"/>
  <c r="X93" i="28"/>
  <c r="A94" i="26"/>
  <c r="AW93" i="26"/>
  <c r="X92" i="26"/>
  <c r="AO92" i="26"/>
  <c r="Q93" i="28"/>
  <c r="BP92" i="28"/>
  <c r="BG92" i="28"/>
  <c r="BK92" i="28" s="1"/>
  <c r="Y91" i="26"/>
  <c r="H92" i="28"/>
  <c r="M92" i="26"/>
  <c r="CF92" i="28"/>
  <c r="AU92" i="26"/>
  <c r="B92" i="26"/>
  <c r="C92" i="26" s="1"/>
  <c r="H92" i="26"/>
  <c r="I92" i="26" s="1"/>
  <c r="F92" i="26"/>
  <c r="G92" i="26" s="1"/>
  <c r="AE91" i="26"/>
  <c r="AI91" i="26" s="1"/>
  <c r="N92" i="28"/>
  <c r="L92" i="28"/>
  <c r="AV91" i="28"/>
  <c r="BT92" i="28"/>
  <c r="J91" i="28"/>
  <c r="AF93" i="28"/>
  <c r="N91" i="28"/>
  <c r="CR92" i="28"/>
  <c r="BP93" i="28"/>
  <c r="AO93" i="28"/>
  <c r="AP93" i="28" s="1"/>
  <c r="CJ92" i="28"/>
  <c r="V92" i="26"/>
  <c r="AM92" i="26"/>
  <c r="BX92" i="28"/>
  <c r="AR91" i="28"/>
  <c r="AZ91" i="28"/>
  <c r="AS93" i="28"/>
  <c r="AW92" i="26"/>
  <c r="Z92" i="26"/>
  <c r="AQ92" i="26"/>
  <c r="CN92" i="28"/>
  <c r="W91" i="26"/>
  <c r="I92" i="28"/>
  <c r="CP93" i="28"/>
  <c r="AH90" i="26"/>
  <c r="V93" i="28"/>
  <c r="AA91" i="26"/>
  <c r="BA93" i="28"/>
  <c r="BZ93" i="28"/>
  <c r="C93" i="28"/>
  <c r="AD91" i="26"/>
  <c r="AY92" i="26"/>
  <c r="AG90" i="26"/>
  <c r="BN93" i="28"/>
  <c r="BR93" i="28"/>
  <c r="V94" i="28" l="1"/>
  <c r="AL94" i="32"/>
  <c r="AK94" i="28"/>
  <c r="AA94" i="28"/>
  <c r="U94" i="31"/>
  <c r="AI94" i="31"/>
  <c r="AC94" i="31"/>
  <c r="AA94" i="31"/>
  <c r="Y94" i="31"/>
  <c r="AU92" i="54"/>
  <c r="CQ92" i="54"/>
  <c r="CM92" i="54"/>
  <c r="CM93" i="54"/>
  <c r="AQ93" i="54"/>
  <c r="AE93" i="54"/>
  <c r="S92" i="54"/>
  <c r="DC92" i="54"/>
  <c r="AI92" i="54"/>
  <c r="AQ92" i="54"/>
  <c r="CA92" i="54"/>
  <c r="BW92" i="54"/>
  <c r="AC92" i="54"/>
  <c r="BM92" i="54"/>
  <c r="C92" i="54"/>
  <c r="AO92" i="54"/>
  <c r="K93" i="54"/>
  <c r="BK93" i="54"/>
  <c r="AM93" i="54"/>
  <c r="O93" i="54"/>
  <c r="AK93" i="54"/>
  <c r="A94" i="54"/>
  <c r="AY93" i="54"/>
  <c r="M93" i="54"/>
  <c r="CO93" i="54"/>
  <c r="CW93" i="54"/>
  <c r="BE93" i="54"/>
  <c r="I93" i="54"/>
  <c r="Q93" i="54"/>
  <c r="G93" i="54"/>
  <c r="AA93" i="54"/>
  <c r="BQ93" i="54"/>
  <c r="AW93" i="54"/>
  <c r="DE93" i="54"/>
  <c r="U93" i="54"/>
  <c r="CI93" i="54"/>
  <c r="AG93" i="54"/>
  <c r="DA93" i="54"/>
  <c r="BY93" i="54"/>
  <c r="E93" i="54"/>
  <c r="AO93" i="54"/>
  <c r="AC93" i="54"/>
  <c r="BI93" i="54"/>
  <c r="AS93" i="54"/>
  <c r="CU93" i="54"/>
  <c r="Y93" i="54"/>
  <c r="CK93" i="54"/>
  <c r="CG93" i="54"/>
  <c r="CS92" i="54"/>
  <c r="CO92" i="54"/>
  <c r="Y92" i="54"/>
  <c r="CU92" i="54"/>
  <c r="M92" i="54"/>
  <c r="DA92" i="54"/>
  <c r="Q92" i="54"/>
  <c r="U92" i="54"/>
  <c r="CC92" i="54"/>
  <c r="AG92" i="54"/>
  <c r="CG92" i="54"/>
  <c r="AM92" i="54"/>
  <c r="CI92" i="54"/>
  <c r="BY92" i="54"/>
  <c r="AA92" i="54"/>
  <c r="BQ92" i="54"/>
  <c r="AW92" i="54"/>
  <c r="CK92" i="54"/>
  <c r="AT94" i="32"/>
  <c r="AP93" i="31"/>
  <c r="AQ93" i="31" s="1"/>
  <c r="AM94" i="32"/>
  <c r="AY94" i="32"/>
  <c r="A96" i="32"/>
  <c r="AD94" i="32"/>
  <c r="AE94" i="32"/>
  <c r="U94" i="32"/>
  <c r="M94" i="32"/>
  <c r="N94" i="32" s="1"/>
  <c r="G93" i="32"/>
  <c r="Q93" i="32"/>
  <c r="O93" i="32" s="1"/>
  <c r="W93" i="32"/>
  <c r="V93" i="32"/>
  <c r="AJ94" i="32"/>
  <c r="AI94" i="32"/>
  <c r="BC94" i="32"/>
  <c r="BB94" i="32"/>
  <c r="P94" i="32"/>
  <c r="C94" i="32"/>
  <c r="F94" i="32"/>
  <c r="AZ94" i="32"/>
  <c r="N93" i="32"/>
  <c r="AB94" i="32"/>
  <c r="J94" i="32"/>
  <c r="K94" i="32" s="1"/>
  <c r="AA94" i="32"/>
  <c r="R94" i="32"/>
  <c r="P93" i="32"/>
  <c r="L93" i="32" s="1"/>
  <c r="D93" i="32"/>
  <c r="S93" i="32"/>
  <c r="T93" i="32"/>
  <c r="AR94" i="32"/>
  <c r="AQ94" i="32"/>
  <c r="AU93" i="32"/>
  <c r="AU94" i="32"/>
  <c r="AT92" i="31"/>
  <c r="AX92" i="31" s="1"/>
  <c r="AM92" i="31"/>
  <c r="J93" i="31"/>
  <c r="B93" i="31"/>
  <c r="C93" i="31" s="1"/>
  <c r="N93" i="31"/>
  <c r="O93" i="31" s="1"/>
  <c r="I92" i="31"/>
  <c r="AR93" i="31"/>
  <c r="BI93" i="31"/>
  <c r="AA93" i="31"/>
  <c r="AL93" i="31"/>
  <c r="S93" i="31"/>
  <c r="BE93" i="31"/>
  <c r="AN93" i="31"/>
  <c r="AO93" i="31" s="1"/>
  <c r="BM94" i="31"/>
  <c r="BK94" i="31"/>
  <c r="BQ94" i="31"/>
  <c r="A95" i="31"/>
  <c r="BO94" i="31"/>
  <c r="AS92" i="31"/>
  <c r="AW92" i="31"/>
  <c r="BA92" i="31" s="1"/>
  <c r="BC93" i="31"/>
  <c r="Y93" i="31"/>
  <c r="AG93" i="31"/>
  <c r="I93" i="31"/>
  <c r="AQ92" i="31"/>
  <c r="AV92" i="31"/>
  <c r="U93" i="31"/>
  <c r="D93" i="31"/>
  <c r="E93" i="31" s="1"/>
  <c r="P93" i="31"/>
  <c r="Q93" i="31" s="1"/>
  <c r="L93" i="31"/>
  <c r="M93" i="31" s="1"/>
  <c r="BG93" i="31"/>
  <c r="AE93" i="31"/>
  <c r="G93" i="31"/>
  <c r="AO92" i="31"/>
  <c r="AU92" i="31"/>
  <c r="AY92" i="31" s="1"/>
  <c r="BF93" i="28"/>
  <c r="BJ93" i="28" s="1"/>
  <c r="AT93" i="28"/>
  <c r="AZ92" i="28"/>
  <c r="AY93" i="26"/>
  <c r="CH95" i="28"/>
  <c r="BR95" i="28"/>
  <c r="A96" i="28"/>
  <c r="E94" i="28"/>
  <c r="AE92" i="26"/>
  <c r="AI92" i="26" s="1"/>
  <c r="AD92" i="26"/>
  <c r="AH92" i="26" s="1"/>
  <c r="Z93" i="26"/>
  <c r="AQ93" i="26"/>
  <c r="V93" i="26"/>
  <c r="AM93" i="26"/>
  <c r="K94" i="28"/>
  <c r="S94" i="28"/>
  <c r="AH94" i="28"/>
  <c r="N93" i="28"/>
  <c r="L93" i="28"/>
  <c r="BB93" i="28"/>
  <c r="AC93" i="28"/>
  <c r="BT93" i="28"/>
  <c r="X94" i="28"/>
  <c r="H93" i="28"/>
  <c r="BG93" i="28"/>
  <c r="BK93" i="28" s="1"/>
  <c r="AX93" i="28"/>
  <c r="CN93" i="28"/>
  <c r="AG91" i="26"/>
  <c r="AA92" i="26"/>
  <c r="BH93" i="28"/>
  <c r="T93" i="26"/>
  <c r="U93" i="26" s="1"/>
  <c r="AU93" i="26"/>
  <c r="BA94" i="28"/>
  <c r="BP94" i="28"/>
  <c r="AO94" i="28"/>
  <c r="AP94" i="28" s="1"/>
  <c r="AV92" i="28"/>
  <c r="AM93" i="28"/>
  <c r="BX93" i="28"/>
  <c r="AS93" i="26"/>
  <c r="Q94" i="28"/>
  <c r="AH91" i="26"/>
  <c r="AC92" i="26"/>
  <c r="W92" i="26"/>
  <c r="BE93" i="28"/>
  <c r="AS94" i="28"/>
  <c r="BR94" i="28"/>
  <c r="AW94" i="28"/>
  <c r="BV94" i="28"/>
  <c r="BJ92" i="28"/>
  <c r="AR92" i="28"/>
  <c r="M93" i="26"/>
  <c r="BD92" i="28"/>
  <c r="AB92" i="26"/>
  <c r="U92" i="26"/>
  <c r="H94" i="28"/>
  <c r="AF94" i="28"/>
  <c r="CB93" i="28"/>
  <c r="X93" i="26"/>
  <c r="AO93" i="26"/>
  <c r="Y92" i="26"/>
  <c r="BI92" i="28"/>
  <c r="AH93" i="28"/>
  <c r="CL94" i="28"/>
  <c r="I93" i="28"/>
  <c r="J93" i="28" s="1"/>
  <c r="AK93" i="26"/>
  <c r="E93" i="26"/>
  <c r="H93" i="26"/>
  <c r="B93" i="26"/>
  <c r="F93" i="26"/>
  <c r="K93" i="26"/>
  <c r="CP94" i="28"/>
  <c r="O93" i="26"/>
  <c r="C94" i="28"/>
  <c r="A95" i="26"/>
  <c r="CF93" i="28"/>
  <c r="J92" i="28"/>
  <c r="E93" i="28"/>
  <c r="AL94" i="31" l="1"/>
  <c r="AM94" i="31" s="1"/>
  <c r="AD95" i="32"/>
  <c r="AK95" i="28"/>
  <c r="AG95" i="31"/>
  <c r="G95" i="31"/>
  <c r="S95" i="31"/>
  <c r="S95" i="26"/>
  <c r="O95" i="26"/>
  <c r="K95" i="26"/>
  <c r="CE93" i="54"/>
  <c r="S93" i="54"/>
  <c r="CM94" i="54"/>
  <c r="CA94" i="54"/>
  <c r="BC94" i="54"/>
  <c r="AQ94" i="54"/>
  <c r="DC94" i="54"/>
  <c r="CQ94" i="54"/>
  <c r="AU94" i="54"/>
  <c r="AI94" i="54"/>
  <c r="W94" i="54"/>
  <c r="S94" i="54"/>
  <c r="BG93" i="54"/>
  <c r="DC93" i="54"/>
  <c r="CQ93" i="54"/>
  <c r="BC93" i="54"/>
  <c r="AI93" i="54"/>
  <c r="CA93" i="54"/>
  <c r="AU93" i="54"/>
  <c r="CY93" i="54"/>
  <c r="W93" i="54"/>
  <c r="BA93" i="54"/>
  <c r="AO94" i="54"/>
  <c r="U94" i="54"/>
  <c r="C94" i="54"/>
  <c r="CC94" i="54"/>
  <c r="O94" i="54"/>
  <c r="BW94" i="54"/>
  <c r="G94" i="54"/>
  <c r="BK94" i="54"/>
  <c r="Q94" i="54"/>
  <c r="BM94" i="54"/>
  <c r="DE94" i="54"/>
  <c r="CI94" i="54"/>
  <c r="BE94" i="54"/>
  <c r="A95" i="54"/>
  <c r="C93" i="54"/>
  <c r="CS93" i="54"/>
  <c r="CC93" i="54"/>
  <c r="BU93" i="54"/>
  <c r="BM93" i="54"/>
  <c r="BW93" i="54"/>
  <c r="G94" i="31"/>
  <c r="L94" i="32"/>
  <c r="D94" i="32"/>
  <c r="F95" i="32"/>
  <c r="Q95" i="32"/>
  <c r="W94" i="32"/>
  <c r="AQ95" i="32"/>
  <c r="AR95" i="32"/>
  <c r="G94" i="32"/>
  <c r="Q94" i="32"/>
  <c r="O94" i="32" s="1"/>
  <c r="A97" i="32"/>
  <c r="T94" i="32"/>
  <c r="V94" i="32"/>
  <c r="C95" i="32"/>
  <c r="AY95" i="32"/>
  <c r="AZ95" i="32"/>
  <c r="BB95" i="32"/>
  <c r="AI95" i="32"/>
  <c r="AJ95" i="32"/>
  <c r="AL95" i="32"/>
  <c r="R95" i="32"/>
  <c r="J95" i="32"/>
  <c r="K95" i="32" s="1"/>
  <c r="AA95" i="32"/>
  <c r="AB95" i="32"/>
  <c r="AT95" i="32"/>
  <c r="AU95" i="32"/>
  <c r="U95" i="32"/>
  <c r="M95" i="32"/>
  <c r="N95" i="32" s="1"/>
  <c r="AE95" i="32"/>
  <c r="S94" i="32"/>
  <c r="AN94" i="31"/>
  <c r="AO94" i="31" s="1"/>
  <c r="AR94" i="31"/>
  <c r="AS94" i="31" s="1"/>
  <c r="AZ92" i="31"/>
  <c r="W94" i="31"/>
  <c r="AT93" i="31"/>
  <c r="AX93" i="31" s="1"/>
  <c r="AM93" i="31"/>
  <c r="AV93" i="31"/>
  <c r="AP94" i="31"/>
  <c r="BG94" i="31"/>
  <c r="AE94" i="31"/>
  <c r="D94" i="31"/>
  <c r="P94" i="31"/>
  <c r="Q94" i="31" s="1"/>
  <c r="L94" i="31"/>
  <c r="I94" i="31"/>
  <c r="J94" i="31"/>
  <c r="K94" i="31" s="1"/>
  <c r="B94" i="31"/>
  <c r="C94" i="31" s="1"/>
  <c r="N94" i="31"/>
  <c r="O94" i="31" s="1"/>
  <c r="BI94" i="31"/>
  <c r="AW93" i="31"/>
  <c r="BA93" i="31" s="1"/>
  <c r="AS93" i="31"/>
  <c r="AU93" i="31"/>
  <c r="A96" i="31"/>
  <c r="BO95" i="31"/>
  <c r="BM95" i="31"/>
  <c r="BQ95" i="31"/>
  <c r="S94" i="31"/>
  <c r="BE94" i="31"/>
  <c r="K93" i="31"/>
  <c r="AG94" i="31"/>
  <c r="AK94" i="31"/>
  <c r="BC94" i="31"/>
  <c r="CN94" i="28"/>
  <c r="AY94" i="26"/>
  <c r="BX94" i="28"/>
  <c r="M94" i="26"/>
  <c r="AR93" i="28"/>
  <c r="BH94" i="28"/>
  <c r="BL94" i="28" s="1"/>
  <c r="I94" i="28"/>
  <c r="CF95" i="28"/>
  <c r="X94" i="26"/>
  <c r="AQ95" i="26"/>
  <c r="AO95" i="26"/>
  <c r="A96" i="26"/>
  <c r="AM95" i="26"/>
  <c r="AY95" i="26"/>
  <c r="AU95" i="26"/>
  <c r="AO94" i="26"/>
  <c r="AF92" i="26"/>
  <c r="I93" i="26"/>
  <c r="BL93" i="28"/>
  <c r="CL95" i="28"/>
  <c r="CR95" i="28"/>
  <c r="CP95" i="28"/>
  <c r="T94" i="26"/>
  <c r="U94" i="26" s="1"/>
  <c r="AK94" i="26"/>
  <c r="Q94" i="26"/>
  <c r="BF94" i="28"/>
  <c r="BD93" i="28"/>
  <c r="AC93" i="26"/>
  <c r="W93" i="26"/>
  <c r="AH95" i="28"/>
  <c r="AF95" i="28"/>
  <c r="AV93" i="28"/>
  <c r="AS94" i="26"/>
  <c r="C93" i="26"/>
  <c r="AB93" i="26"/>
  <c r="BZ96" i="28"/>
  <c r="A97" i="28"/>
  <c r="V95" i="28"/>
  <c r="CD95" i="28"/>
  <c r="AW94" i="26"/>
  <c r="BT94" i="28"/>
  <c r="AO95" i="28"/>
  <c r="BN95" i="28"/>
  <c r="BT95" i="28"/>
  <c r="AS95" i="28"/>
  <c r="V94" i="26"/>
  <c r="AM94" i="26"/>
  <c r="CF94" i="28"/>
  <c r="AU94" i="26"/>
  <c r="CJ94" i="28"/>
  <c r="E94" i="26"/>
  <c r="AD93" i="26"/>
  <c r="Y93" i="26"/>
  <c r="AG92" i="26"/>
  <c r="BE94" i="28"/>
  <c r="BI94" i="28" s="1"/>
  <c r="AW95" i="28"/>
  <c r="BV95" i="28"/>
  <c r="BA95" i="28"/>
  <c r="BZ95" i="28"/>
  <c r="CB94" i="28"/>
  <c r="Z94" i="26"/>
  <c r="O94" i="26"/>
  <c r="AQ94" i="26"/>
  <c r="AC94" i="28"/>
  <c r="G93" i="26"/>
  <c r="C95" i="28"/>
  <c r="H95" i="28"/>
  <c r="K95" i="28"/>
  <c r="Q95" i="28"/>
  <c r="AT94" i="28"/>
  <c r="H94" i="26"/>
  <c r="F94" i="26"/>
  <c r="B94" i="26"/>
  <c r="K94" i="26"/>
  <c r="CR94" i="28"/>
  <c r="AM95" i="28"/>
  <c r="BG94" i="28"/>
  <c r="AX94" i="28"/>
  <c r="BI93" i="28"/>
  <c r="BB94" i="28"/>
  <c r="AZ93" i="28"/>
  <c r="AM94" i="28"/>
  <c r="L94" i="28"/>
  <c r="AE93" i="26"/>
  <c r="AA93" i="26"/>
  <c r="AA95" i="28"/>
  <c r="S94" i="26"/>
  <c r="C96" i="28" l="1"/>
  <c r="AK96" i="28"/>
  <c r="AA96" i="28"/>
  <c r="L95" i="28"/>
  <c r="S96" i="26"/>
  <c r="O96" i="26"/>
  <c r="M96" i="26"/>
  <c r="AU97" i="32"/>
  <c r="AR97" i="32"/>
  <c r="AZ97" i="32"/>
  <c r="AC96" i="31"/>
  <c r="AA96" i="31"/>
  <c r="W96" i="31"/>
  <c r="AK96" i="31"/>
  <c r="AI96" i="31"/>
  <c r="Y96" i="31"/>
  <c r="AJ96" i="32"/>
  <c r="CE94" i="54"/>
  <c r="CY95" i="54"/>
  <c r="BC95" i="54"/>
  <c r="AQ95" i="54"/>
  <c r="DC95" i="54"/>
  <c r="AU95" i="54"/>
  <c r="AI95" i="54"/>
  <c r="S95" i="54"/>
  <c r="AE94" i="54"/>
  <c r="BG94" i="54"/>
  <c r="CY94" i="54"/>
  <c r="AC94" i="54"/>
  <c r="I94" i="54"/>
  <c r="CU94" i="54"/>
  <c r="CO94" i="54"/>
  <c r="CG94" i="54"/>
  <c r="CK94" i="54"/>
  <c r="AG94" i="54"/>
  <c r="AW94" i="54"/>
  <c r="E94" i="54"/>
  <c r="K94" i="54"/>
  <c r="BI95" i="54"/>
  <c r="AS95" i="54"/>
  <c r="Y95" i="54"/>
  <c r="DA95" i="54"/>
  <c r="I95" i="54"/>
  <c r="BW95" i="54"/>
  <c r="A96" i="54"/>
  <c r="AC95" i="54"/>
  <c r="Q95" i="54"/>
  <c r="AO95" i="54"/>
  <c r="CW95" i="54"/>
  <c r="BE95" i="54"/>
  <c r="M95" i="54"/>
  <c r="BM95" i="54"/>
  <c r="CS95" i="54"/>
  <c r="U95" i="54"/>
  <c r="BQ95" i="54"/>
  <c r="BY95" i="54"/>
  <c r="BA95" i="54"/>
  <c r="AK95" i="54"/>
  <c r="CC95" i="54"/>
  <c r="AA95" i="54"/>
  <c r="AM95" i="54"/>
  <c r="O95" i="54"/>
  <c r="BI94" i="54"/>
  <c r="AA94" i="54"/>
  <c r="AY94" i="54"/>
  <c r="M94" i="54"/>
  <c r="AS94" i="54"/>
  <c r="BA94" i="54"/>
  <c r="BQ94" i="54"/>
  <c r="CW94" i="54"/>
  <c r="Y94" i="54"/>
  <c r="BY94" i="54"/>
  <c r="BU94" i="54"/>
  <c r="AM94" i="54"/>
  <c r="AK94" i="54"/>
  <c r="DA94" i="54"/>
  <c r="CS94" i="54"/>
  <c r="AR96" i="32"/>
  <c r="O95" i="32"/>
  <c r="BC95" i="32"/>
  <c r="AU96" i="32"/>
  <c r="AT96" i="32"/>
  <c r="M96" i="32"/>
  <c r="N96" i="32" s="1"/>
  <c r="AD96" i="32"/>
  <c r="AE96" i="32"/>
  <c r="U96" i="32"/>
  <c r="W96" i="32" s="1"/>
  <c r="W95" i="32"/>
  <c r="AA96" i="32"/>
  <c r="R96" i="32"/>
  <c r="AB96" i="32"/>
  <c r="J96" i="32"/>
  <c r="K96" i="32" s="1"/>
  <c r="S95" i="32"/>
  <c r="C96" i="32"/>
  <c r="P96" i="32"/>
  <c r="AM95" i="32"/>
  <c r="AL96" i="32"/>
  <c r="AM96" i="32"/>
  <c r="D95" i="32"/>
  <c r="P95" i="32"/>
  <c r="AI96" i="32"/>
  <c r="BC96" i="32"/>
  <c r="BB96" i="32"/>
  <c r="AY96" i="32"/>
  <c r="F96" i="32"/>
  <c r="V95" i="32"/>
  <c r="G95" i="32"/>
  <c r="A98" i="32"/>
  <c r="AZ96" i="32"/>
  <c r="AQ96" i="32"/>
  <c r="AR95" i="31"/>
  <c r="AS95" i="31" s="1"/>
  <c r="AY93" i="31"/>
  <c r="AZ93" i="31"/>
  <c r="BI95" i="31"/>
  <c r="AC95" i="31"/>
  <c r="AN95" i="31"/>
  <c r="BE95" i="31"/>
  <c r="M94" i="31"/>
  <c r="A97" i="31"/>
  <c r="BO96" i="31"/>
  <c r="BM96" i="31"/>
  <c r="BK96" i="31"/>
  <c r="BQ96" i="31"/>
  <c r="Y95" i="31"/>
  <c r="AA95" i="31"/>
  <c r="E94" i="31"/>
  <c r="AI95" i="31"/>
  <c r="AE95" i="31"/>
  <c r="AL95" i="31"/>
  <c r="BC95" i="31"/>
  <c r="AT94" i="31"/>
  <c r="AV94" i="31"/>
  <c r="AZ94" i="31" s="1"/>
  <c r="AQ94" i="31"/>
  <c r="AW94" i="31"/>
  <c r="BA94" i="31" s="1"/>
  <c r="AU94" i="31"/>
  <c r="AY94" i="31" s="1"/>
  <c r="U95" i="31"/>
  <c r="L95" i="31"/>
  <c r="M95" i="31" s="1"/>
  <c r="P95" i="31"/>
  <c r="Q95" i="31" s="1"/>
  <c r="D95" i="31"/>
  <c r="E95" i="31" s="1"/>
  <c r="AP95" i="31"/>
  <c r="BG95" i="31"/>
  <c r="AK95" i="31"/>
  <c r="I95" i="31"/>
  <c r="BK95" i="31"/>
  <c r="J95" i="31"/>
  <c r="K95" i="31" s="1"/>
  <c r="B95" i="31"/>
  <c r="C95" i="31" s="1"/>
  <c r="N95" i="31"/>
  <c r="W95" i="31"/>
  <c r="Q95" i="26"/>
  <c r="AC95" i="28"/>
  <c r="BX95" i="28"/>
  <c r="AP95" i="28"/>
  <c r="AC94" i="26"/>
  <c r="W94" i="26"/>
  <c r="S95" i="28"/>
  <c r="CH96" i="28"/>
  <c r="S96" i="28"/>
  <c r="H96" i="28"/>
  <c r="K96" i="28"/>
  <c r="AA94" i="26"/>
  <c r="AZ95" i="28"/>
  <c r="BG95" i="28"/>
  <c r="BK95" i="28" s="1"/>
  <c r="AX95" i="28"/>
  <c r="BK94" i="28"/>
  <c r="I95" i="28"/>
  <c r="J95" i="28" s="1"/>
  <c r="BH95" i="28"/>
  <c r="BB95" i="28"/>
  <c r="AV95" i="28"/>
  <c r="BF95" i="28"/>
  <c r="BP95" i="28"/>
  <c r="CL96" i="28"/>
  <c r="CP96" i="28"/>
  <c r="AI93" i="26"/>
  <c r="AU96" i="26"/>
  <c r="A97" i="26"/>
  <c r="AY96" i="26"/>
  <c r="I94" i="26"/>
  <c r="CD96" i="28"/>
  <c r="BJ94" i="28"/>
  <c r="X95" i="26"/>
  <c r="CB95" i="28"/>
  <c r="BN97" i="28"/>
  <c r="BV97" i="28"/>
  <c r="A98" i="28"/>
  <c r="CP97" i="28"/>
  <c r="X96" i="28"/>
  <c r="AG93" i="26"/>
  <c r="AV94" i="28"/>
  <c r="AW95" i="26"/>
  <c r="F95" i="26"/>
  <c r="B95" i="26"/>
  <c r="C95" i="26" s="1"/>
  <c r="H95" i="26"/>
  <c r="I95" i="26" s="1"/>
  <c r="CJ95" i="28"/>
  <c r="BD94" i="28"/>
  <c r="AS95" i="26"/>
  <c r="AE94" i="26"/>
  <c r="V96" i="28"/>
  <c r="AF96" i="28"/>
  <c r="G94" i="26"/>
  <c r="AK95" i="26"/>
  <c r="AF93" i="26"/>
  <c r="Z95" i="26"/>
  <c r="AT95" i="28"/>
  <c r="N94" i="28"/>
  <c r="X95" i="28"/>
  <c r="AS96" i="28"/>
  <c r="BR96" i="28"/>
  <c r="BX96" i="28"/>
  <c r="AW96" i="28"/>
  <c r="BV96" i="28"/>
  <c r="C94" i="26"/>
  <c r="J94" i="28"/>
  <c r="M95" i="26"/>
  <c r="Q96" i="28"/>
  <c r="AZ94" i="28"/>
  <c r="BA96" i="28"/>
  <c r="BB96" i="28" s="1"/>
  <c r="AO96" i="28"/>
  <c r="AP96" i="28" s="1"/>
  <c r="BN96" i="28"/>
  <c r="AB94" i="26"/>
  <c r="CN95" i="28"/>
  <c r="T95" i="26"/>
  <c r="U95" i="26" s="1"/>
  <c r="AH93" i="26"/>
  <c r="E95" i="26"/>
  <c r="BE95" i="28"/>
  <c r="V95" i="26"/>
  <c r="AD94" i="26"/>
  <c r="Y94" i="26"/>
  <c r="E95" i="28"/>
  <c r="AR94" i="28"/>
  <c r="AK97" i="28" l="1"/>
  <c r="V97" i="28"/>
  <c r="Q96" i="26"/>
  <c r="AA97" i="28"/>
  <c r="AF97" i="28"/>
  <c r="L96" i="28"/>
  <c r="N96" i="28"/>
  <c r="Q98" i="32"/>
  <c r="Y97" i="31"/>
  <c r="W97" i="31"/>
  <c r="AI97" i="31"/>
  <c r="AC97" i="31"/>
  <c r="AA97" i="31"/>
  <c r="AK97" i="31"/>
  <c r="U97" i="31"/>
  <c r="M97" i="26"/>
  <c r="K97" i="26"/>
  <c r="CQ95" i="54"/>
  <c r="BG95" i="54"/>
  <c r="W95" i="54"/>
  <c r="CE95" i="54"/>
  <c r="CA95" i="54"/>
  <c r="CY96" i="54"/>
  <c r="CM96" i="54"/>
  <c r="AQ96" i="54"/>
  <c r="CQ96" i="54"/>
  <c r="BG96" i="54"/>
  <c r="W96" i="54"/>
  <c r="AU96" i="54"/>
  <c r="CM95" i="54"/>
  <c r="AE95" i="54"/>
  <c r="C95" i="54"/>
  <c r="E95" i="54"/>
  <c r="AG95" i="54"/>
  <c r="BK95" i="54"/>
  <c r="BU95" i="54"/>
  <c r="BE96" i="54"/>
  <c r="CS96" i="54"/>
  <c r="G96" i="54"/>
  <c r="U96" i="54"/>
  <c r="AY96" i="54"/>
  <c r="BU96" i="54"/>
  <c r="BI96" i="54"/>
  <c r="CU96" i="54"/>
  <c r="BA96" i="54"/>
  <c r="CO96" i="54"/>
  <c r="AK96" i="54"/>
  <c r="CK96" i="54"/>
  <c r="CC96" i="54"/>
  <c r="AW96" i="54"/>
  <c r="C96" i="54"/>
  <c r="AA96" i="54"/>
  <c r="I96" i="54"/>
  <c r="BY96" i="54"/>
  <c r="CW96" i="54"/>
  <c r="M96" i="54"/>
  <c r="BQ96" i="54"/>
  <c r="A97" i="54"/>
  <c r="CG96" i="54"/>
  <c r="DE96" i="54"/>
  <c r="Y96" i="54"/>
  <c r="AW95" i="54"/>
  <c r="K95" i="54"/>
  <c r="G95" i="54"/>
  <c r="CO95" i="54"/>
  <c r="CK95" i="54"/>
  <c r="DE95" i="54"/>
  <c r="CG95" i="54"/>
  <c r="AY95" i="54"/>
  <c r="CU95" i="54"/>
  <c r="CI95" i="54"/>
  <c r="AG96" i="31"/>
  <c r="AN96" i="31"/>
  <c r="AO96" i="31" s="1"/>
  <c r="V96" i="32"/>
  <c r="AQ97" i="32"/>
  <c r="F97" i="32"/>
  <c r="AE97" i="32"/>
  <c r="U97" i="32"/>
  <c r="M97" i="32"/>
  <c r="N97" i="32" s="1"/>
  <c r="AD97" i="32"/>
  <c r="C97" i="32"/>
  <c r="AT97" i="32"/>
  <c r="BC97" i="32"/>
  <c r="BB97" i="32"/>
  <c r="AB97" i="32"/>
  <c r="R97" i="32"/>
  <c r="J97" i="32"/>
  <c r="K97" i="32" s="1"/>
  <c r="AA97" i="32"/>
  <c r="AM97" i="32"/>
  <c r="AI97" i="32"/>
  <c r="AJ97" i="32"/>
  <c r="A99" i="32"/>
  <c r="AY97" i="32"/>
  <c r="T96" i="32"/>
  <c r="S96" i="32"/>
  <c r="Q96" i="32"/>
  <c r="O96" i="32" s="1"/>
  <c r="G96" i="32"/>
  <c r="L95" i="32"/>
  <c r="L96" i="32"/>
  <c r="T95" i="32"/>
  <c r="AL97" i="32"/>
  <c r="D96" i="32"/>
  <c r="AX94" i="31"/>
  <c r="A98" i="31"/>
  <c r="BM97" i="31"/>
  <c r="BK97" i="31"/>
  <c r="BQ97" i="31"/>
  <c r="BO97" i="31"/>
  <c r="O95" i="31"/>
  <c r="BC96" i="31"/>
  <c r="AL96" i="31"/>
  <c r="S96" i="31"/>
  <c r="N96" i="31"/>
  <c r="J96" i="31"/>
  <c r="K96" i="31" s="1"/>
  <c r="B96" i="31"/>
  <c r="C96" i="31" s="1"/>
  <c r="L96" i="31"/>
  <c r="M96" i="31" s="1"/>
  <c r="P96" i="31"/>
  <c r="Q96" i="31" s="1"/>
  <c r="D96" i="31"/>
  <c r="E96" i="31" s="1"/>
  <c r="G96" i="31"/>
  <c r="AE96" i="31"/>
  <c r="AP96" i="31"/>
  <c r="BG96" i="31"/>
  <c r="AW95" i="31"/>
  <c r="BA95" i="31" s="1"/>
  <c r="AM95" i="31"/>
  <c r="AT95" i="31"/>
  <c r="AX95" i="31" s="1"/>
  <c r="AR96" i="31"/>
  <c r="BI96" i="31"/>
  <c r="I96" i="31"/>
  <c r="BE96" i="31"/>
  <c r="AU95" i="31"/>
  <c r="AY95" i="31" s="1"/>
  <c r="AO95" i="31"/>
  <c r="AV95" i="31"/>
  <c r="AZ95" i="31" s="1"/>
  <c r="AQ95" i="31"/>
  <c r="U96" i="31"/>
  <c r="E96" i="26"/>
  <c r="CH98" i="28"/>
  <c r="A99" i="28"/>
  <c r="CL98" i="28"/>
  <c r="BV98" i="28"/>
  <c r="S97" i="28"/>
  <c r="H97" i="28"/>
  <c r="K97" i="28"/>
  <c r="C97" i="28"/>
  <c r="CF96" i="28"/>
  <c r="AH94" i="26"/>
  <c r="BF96" i="28"/>
  <c r="AT96" i="28"/>
  <c r="AW97" i="28"/>
  <c r="AX97" i="28" s="1"/>
  <c r="V96" i="26"/>
  <c r="W96" i="26" s="1"/>
  <c r="AM96" i="26"/>
  <c r="F96" i="26"/>
  <c r="B96" i="26"/>
  <c r="H96" i="26"/>
  <c r="N95" i="28"/>
  <c r="BA97" i="28"/>
  <c r="BZ97" i="28"/>
  <c r="AO97" i="28"/>
  <c r="I96" i="28"/>
  <c r="X96" i="26"/>
  <c r="AO96" i="26"/>
  <c r="CN96" i="28"/>
  <c r="W95" i="26"/>
  <c r="CJ96" i="28"/>
  <c r="AC95" i="26"/>
  <c r="BH96" i="28"/>
  <c r="BT96" i="28"/>
  <c r="AE95" i="26"/>
  <c r="AM96" i="28"/>
  <c r="AS97" i="28"/>
  <c r="BR97" i="28"/>
  <c r="E97" i="28"/>
  <c r="Z96" i="26"/>
  <c r="AQ96" i="26"/>
  <c r="CR96" i="28"/>
  <c r="BL95" i="28"/>
  <c r="AM97" i="28"/>
  <c r="AH97" i="28"/>
  <c r="AD95" i="26"/>
  <c r="Y95" i="26"/>
  <c r="CD97" i="28"/>
  <c r="BI95" i="28"/>
  <c r="BD95" i="28"/>
  <c r="AI94" i="26"/>
  <c r="K96" i="26"/>
  <c r="AR95" i="28"/>
  <c r="AB95" i="26"/>
  <c r="CB96" i="28"/>
  <c r="BG96" i="28"/>
  <c r="AX96" i="28"/>
  <c r="CL97" i="28"/>
  <c r="T96" i="26"/>
  <c r="AK96" i="26"/>
  <c r="AS96" i="26"/>
  <c r="BJ95" i="28"/>
  <c r="AF94" i="26"/>
  <c r="BE96" i="28"/>
  <c r="AA95" i="26"/>
  <c r="G95" i="26"/>
  <c r="CH97" i="28"/>
  <c r="BP96" i="28"/>
  <c r="X97" i="28"/>
  <c r="AH96" i="28"/>
  <c r="AW96" i="26"/>
  <c r="A98" i="26"/>
  <c r="E96" i="28"/>
  <c r="Q97" i="28"/>
  <c r="AC96" i="28"/>
  <c r="AG94" i="26"/>
  <c r="AA98" i="28" l="1"/>
  <c r="Q98" i="28"/>
  <c r="C98" i="28"/>
  <c r="M98" i="26"/>
  <c r="K98" i="26"/>
  <c r="AM99" i="32"/>
  <c r="L97" i="28"/>
  <c r="N97" i="28"/>
  <c r="AK98" i="31"/>
  <c r="AC98" i="31"/>
  <c r="AA98" i="31"/>
  <c r="Y98" i="31"/>
  <c r="W98" i="31"/>
  <c r="AI96" i="54"/>
  <c r="AE96" i="54"/>
  <c r="CY97" i="54"/>
  <c r="CM97" i="54"/>
  <c r="AE97" i="54"/>
  <c r="CQ97" i="54"/>
  <c r="BG97" i="54"/>
  <c r="AI97" i="54"/>
  <c r="AQ97" i="54"/>
  <c r="AU97" i="54"/>
  <c r="CE96" i="54"/>
  <c r="BC96" i="54"/>
  <c r="S96" i="54"/>
  <c r="G98" i="32"/>
  <c r="CA96" i="54"/>
  <c r="DC96" i="54"/>
  <c r="BW96" i="54"/>
  <c r="AO96" i="54"/>
  <c r="BM96" i="54"/>
  <c r="AC96" i="54"/>
  <c r="AM96" i="54"/>
  <c r="O96" i="54"/>
  <c r="CI96" i="54"/>
  <c r="BY97" i="54"/>
  <c r="O97" i="54"/>
  <c r="CW97" i="54"/>
  <c r="CI97" i="54"/>
  <c r="Q97" i="54"/>
  <c r="DA97" i="54"/>
  <c r="BU97" i="54"/>
  <c r="AG97" i="54"/>
  <c r="BA97" i="54"/>
  <c r="G97" i="54"/>
  <c r="AK97" i="54"/>
  <c r="CO97" i="54"/>
  <c r="AM97" i="54"/>
  <c r="AO97" i="54"/>
  <c r="E97" i="54"/>
  <c r="CK97" i="54"/>
  <c r="BE97" i="54"/>
  <c r="A98" i="54"/>
  <c r="Q96" i="54"/>
  <c r="BK96" i="54"/>
  <c r="E96" i="54"/>
  <c r="AS96" i="54"/>
  <c r="DA96" i="54"/>
  <c r="K96" i="54"/>
  <c r="AG96" i="54"/>
  <c r="AP97" i="31"/>
  <c r="AQ97" i="31" s="1"/>
  <c r="A100" i="32"/>
  <c r="D97" i="32"/>
  <c r="P97" i="32"/>
  <c r="AQ98" i="32"/>
  <c r="AR98" i="32"/>
  <c r="C98" i="32"/>
  <c r="AE98" i="32"/>
  <c r="U98" i="32"/>
  <c r="M98" i="32"/>
  <c r="N98" i="32" s="1"/>
  <c r="R98" i="32"/>
  <c r="J98" i="32"/>
  <c r="K98" i="32" s="1"/>
  <c r="AA98" i="32"/>
  <c r="AT98" i="32"/>
  <c r="AD98" i="32"/>
  <c r="S97" i="32"/>
  <c r="T97" i="32"/>
  <c r="AI98" i="32"/>
  <c r="AJ98" i="32"/>
  <c r="AL98" i="32"/>
  <c r="W97" i="32"/>
  <c r="V97" i="32"/>
  <c r="AM98" i="32"/>
  <c r="AZ98" i="32"/>
  <c r="AY98" i="32"/>
  <c r="G97" i="32"/>
  <c r="Q97" i="32"/>
  <c r="O98" i="32" s="1"/>
  <c r="BC98" i="32"/>
  <c r="BB98" i="32"/>
  <c r="F98" i="32"/>
  <c r="G97" i="31"/>
  <c r="BE97" i="31"/>
  <c r="AN97" i="31"/>
  <c r="AL97" i="31"/>
  <c r="BC97" i="31"/>
  <c r="AS96" i="31"/>
  <c r="AW96" i="31"/>
  <c r="BA96" i="31" s="1"/>
  <c r="L97" i="31"/>
  <c r="P97" i="31"/>
  <c r="Q97" i="31" s="1"/>
  <c r="D97" i="31"/>
  <c r="E97" i="31" s="1"/>
  <c r="AU96" i="31"/>
  <c r="AY96" i="31" s="1"/>
  <c r="AT96" i="31"/>
  <c r="AX96" i="31" s="1"/>
  <c r="I97" i="31"/>
  <c r="AG97" i="31"/>
  <c r="O96" i="31"/>
  <c r="AQ96" i="31"/>
  <c r="AV96" i="31"/>
  <c r="AZ96" i="31" s="1"/>
  <c r="BI97" i="31"/>
  <c r="AR97" i="31"/>
  <c r="AE97" i="31"/>
  <c r="BO98" i="31"/>
  <c r="BM98" i="31"/>
  <c r="BK98" i="31"/>
  <c r="A99" i="31"/>
  <c r="BQ98" i="31"/>
  <c r="S97" i="31"/>
  <c r="N97" i="31"/>
  <c r="J97" i="31"/>
  <c r="K97" i="31" s="1"/>
  <c r="B97" i="31"/>
  <c r="C97" i="31" s="1"/>
  <c r="AM96" i="31"/>
  <c r="BG97" i="31"/>
  <c r="E97" i="26"/>
  <c r="CF97" i="28"/>
  <c r="CR97" i="28"/>
  <c r="CJ97" i="28"/>
  <c r="Q97" i="26"/>
  <c r="BI96" i="28"/>
  <c r="CN97" i="28"/>
  <c r="AW98" i="28"/>
  <c r="AX98" i="28" s="1"/>
  <c r="AS98" i="28"/>
  <c r="AT98" i="28" s="1"/>
  <c r="BR98" i="28"/>
  <c r="V97" i="26"/>
  <c r="AW97" i="26"/>
  <c r="J96" i="28"/>
  <c r="H98" i="28"/>
  <c r="K98" i="28"/>
  <c r="S98" i="28"/>
  <c r="AC98" i="28"/>
  <c r="AR96" i="28"/>
  <c r="AF95" i="26"/>
  <c r="O97" i="26"/>
  <c r="AG95" i="26"/>
  <c r="AM97" i="26"/>
  <c r="BJ96" i="28"/>
  <c r="AK98" i="28"/>
  <c r="CP98" i="28"/>
  <c r="AK97" i="26"/>
  <c r="BK96" i="28"/>
  <c r="AE96" i="26"/>
  <c r="AA96" i="26"/>
  <c r="BF97" i="28"/>
  <c r="AT97" i="28"/>
  <c r="BL96" i="28"/>
  <c r="AV96" i="28"/>
  <c r="CF98" i="28"/>
  <c r="CD98" i="28"/>
  <c r="CJ98" i="28"/>
  <c r="I96" i="26"/>
  <c r="X97" i="26"/>
  <c r="AO97" i="26"/>
  <c r="AY98" i="26"/>
  <c r="AM98" i="26"/>
  <c r="A99" i="26"/>
  <c r="AZ96" i="28"/>
  <c r="BD96" i="28"/>
  <c r="BH97" i="28"/>
  <c r="C96" i="26"/>
  <c r="AC96" i="26"/>
  <c r="AG96" i="26" s="1"/>
  <c r="BG97" i="28"/>
  <c r="CN98" i="28"/>
  <c r="E98" i="28"/>
  <c r="AC97" i="28"/>
  <c r="H97" i="26"/>
  <c r="B97" i="26"/>
  <c r="F97" i="26"/>
  <c r="AY97" i="26"/>
  <c r="AS97" i="26"/>
  <c r="BT97" i="28"/>
  <c r="BE97" i="28"/>
  <c r="BI97" i="28" s="1"/>
  <c r="AP97" i="28"/>
  <c r="G96" i="26"/>
  <c r="BX97" i="28"/>
  <c r="A100" i="28"/>
  <c r="Z97" i="26"/>
  <c r="AQ97" i="26"/>
  <c r="S97" i="26"/>
  <c r="AB96" i="26"/>
  <c r="U96" i="26"/>
  <c r="I97" i="28"/>
  <c r="J97" i="28" s="1"/>
  <c r="AD96" i="26"/>
  <c r="AH96" i="26" s="1"/>
  <c r="Y96" i="26"/>
  <c r="BB97" i="28"/>
  <c r="CB97" i="28"/>
  <c r="V98" i="28"/>
  <c r="AF98" i="28"/>
  <c r="T97" i="26"/>
  <c r="AU97" i="26"/>
  <c r="AH95" i="26"/>
  <c r="AI95" i="26"/>
  <c r="BP97" i="28"/>
  <c r="AO98" i="28"/>
  <c r="BN98" i="28"/>
  <c r="BA98" i="28"/>
  <c r="BZ98" i="28"/>
  <c r="AQ99" i="32" l="1"/>
  <c r="C99" i="28"/>
  <c r="V99" i="28"/>
  <c r="AD99" i="32"/>
  <c r="AE99" i="31"/>
  <c r="AA99" i="31"/>
  <c r="Y99" i="31"/>
  <c r="W99" i="31"/>
  <c r="AK99" i="31"/>
  <c r="AI99" i="31"/>
  <c r="AC99" i="31"/>
  <c r="L98" i="28"/>
  <c r="E99" i="26"/>
  <c r="O99" i="26"/>
  <c r="BC97" i="54"/>
  <c r="CA97" i="54"/>
  <c r="CM98" i="54"/>
  <c r="CE98" i="54"/>
  <c r="AU98" i="54"/>
  <c r="S97" i="54"/>
  <c r="W97" i="54"/>
  <c r="DC97" i="54"/>
  <c r="CE97" i="54"/>
  <c r="CS97" i="54"/>
  <c r="AA97" i="54"/>
  <c r="I97" i="54"/>
  <c r="U97" i="54"/>
  <c r="BI97" i="54"/>
  <c r="M97" i="54"/>
  <c r="CC97" i="54"/>
  <c r="BQ97" i="54"/>
  <c r="C97" i="54"/>
  <c r="DE97" i="54"/>
  <c r="AY97" i="54"/>
  <c r="Y97" i="54"/>
  <c r="K97" i="54"/>
  <c r="CU97" i="54"/>
  <c r="BW97" i="54"/>
  <c r="AS97" i="54"/>
  <c r="AC97" i="54"/>
  <c r="AW97" i="54"/>
  <c r="CG98" i="54"/>
  <c r="BI98" i="54"/>
  <c r="AO98" i="54"/>
  <c r="BU98" i="54"/>
  <c r="AW98" i="54"/>
  <c r="M98" i="54"/>
  <c r="AS98" i="54"/>
  <c r="O98" i="54"/>
  <c r="AC98" i="54"/>
  <c r="DA98" i="54"/>
  <c r="BY98" i="54"/>
  <c r="E98" i="54"/>
  <c r="Q98" i="54"/>
  <c r="A99" i="54"/>
  <c r="AA98" i="54"/>
  <c r="CI98" i="54"/>
  <c r="BE98" i="54"/>
  <c r="I98" i="54"/>
  <c r="BQ98" i="54"/>
  <c r="U98" i="54"/>
  <c r="CU98" i="54"/>
  <c r="CS98" i="54"/>
  <c r="AM98" i="54"/>
  <c r="BK98" i="54"/>
  <c r="C98" i="54"/>
  <c r="CK98" i="54"/>
  <c r="CW98" i="54"/>
  <c r="AY98" i="54"/>
  <c r="AG98" i="54"/>
  <c r="CG97" i="54"/>
  <c r="BK97" i="54"/>
  <c r="BM97" i="54"/>
  <c r="AJ99" i="32"/>
  <c r="AZ99" i="32"/>
  <c r="S98" i="32"/>
  <c r="T98" i="32"/>
  <c r="L97" i="32"/>
  <c r="F99" i="32"/>
  <c r="AB99" i="32"/>
  <c r="R99" i="32"/>
  <c r="S99" i="32" s="1"/>
  <c r="J99" i="32"/>
  <c r="AA99" i="32"/>
  <c r="O97" i="32"/>
  <c r="AU98" i="32"/>
  <c r="V98" i="32"/>
  <c r="W98" i="32"/>
  <c r="C99" i="32"/>
  <c r="AU99" i="32"/>
  <c r="AT99" i="32"/>
  <c r="A101" i="32"/>
  <c r="P98" i="32"/>
  <c r="L98" i="32" s="1"/>
  <c r="D98" i="32"/>
  <c r="AR99" i="32"/>
  <c r="AB98" i="32"/>
  <c r="BC99" i="32"/>
  <c r="BB99" i="32"/>
  <c r="AL99" i="32"/>
  <c r="AI99" i="32"/>
  <c r="AE99" i="32"/>
  <c r="M99" i="32"/>
  <c r="N99" i="32" s="1"/>
  <c r="U99" i="32"/>
  <c r="AY99" i="32"/>
  <c r="AR98" i="31"/>
  <c r="AS98" i="31" s="1"/>
  <c r="B98" i="31"/>
  <c r="N98" i="31"/>
  <c r="O98" i="31" s="1"/>
  <c r="S98" i="31"/>
  <c r="J98" i="31"/>
  <c r="BC98" i="31"/>
  <c r="AL98" i="31"/>
  <c r="M97" i="31"/>
  <c r="AN98" i="31"/>
  <c r="AO98" i="31" s="1"/>
  <c r="BE98" i="31"/>
  <c r="O97" i="31"/>
  <c r="BQ99" i="31"/>
  <c r="BO99" i="31"/>
  <c r="A100" i="31"/>
  <c r="BM99" i="31"/>
  <c r="BK99" i="31"/>
  <c r="AI98" i="31"/>
  <c r="AW97" i="31"/>
  <c r="BA97" i="31" s="1"/>
  <c r="AS97" i="31"/>
  <c r="U98" i="31"/>
  <c r="P98" i="31"/>
  <c r="L98" i="31"/>
  <c r="M98" i="31" s="1"/>
  <c r="D98" i="31"/>
  <c r="E98" i="31" s="1"/>
  <c r="AT97" i="31"/>
  <c r="AX97" i="31" s="1"/>
  <c r="AM97" i="31"/>
  <c r="AV97" i="31"/>
  <c r="AZ97" i="31" s="1"/>
  <c r="AE98" i="31"/>
  <c r="AU97" i="31"/>
  <c r="AY97" i="31" s="1"/>
  <c r="AO97" i="31"/>
  <c r="BG98" i="31"/>
  <c r="AP98" i="31"/>
  <c r="AG98" i="31"/>
  <c r="BI98" i="31"/>
  <c r="Q98" i="26"/>
  <c r="BX99" i="28"/>
  <c r="AW99" i="28"/>
  <c r="BV99" i="28"/>
  <c r="CL99" i="28"/>
  <c r="AV97" i="28"/>
  <c r="AQ98" i="26"/>
  <c r="AC97" i="26"/>
  <c r="W97" i="26"/>
  <c r="BG98" i="28"/>
  <c r="AB97" i="26"/>
  <c r="U97" i="26"/>
  <c r="X99" i="28"/>
  <c r="G97" i="26"/>
  <c r="BP98" i="28"/>
  <c r="A100" i="26"/>
  <c r="BJ97" i="28"/>
  <c r="CR98" i="28"/>
  <c r="BX98" i="28"/>
  <c r="BE98" i="28"/>
  <c r="BI98" i="28" s="1"/>
  <c r="AP98" i="28"/>
  <c r="BV100" i="28"/>
  <c r="CP100" i="28"/>
  <c r="CH100" i="28"/>
  <c r="BR100" i="28"/>
  <c r="A101" i="28"/>
  <c r="T98" i="26"/>
  <c r="AK98" i="26"/>
  <c r="AK99" i="28"/>
  <c r="AR97" i="28"/>
  <c r="BF98" i="28"/>
  <c r="BJ98" i="28" s="1"/>
  <c r="AF99" i="28"/>
  <c r="AS99" i="28"/>
  <c r="BR99" i="28"/>
  <c r="BP99" i="28"/>
  <c r="AO99" i="28"/>
  <c r="BN99" i="28"/>
  <c r="CB99" i="28"/>
  <c r="BA99" i="28"/>
  <c r="BZ99" i="28"/>
  <c r="I97" i="26"/>
  <c r="B98" i="26"/>
  <c r="F98" i="26"/>
  <c r="H98" i="26"/>
  <c r="I98" i="26" s="1"/>
  <c r="AU98" i="26"/>
  <c r="S98" i="26"/>
  <c r="AA99" i="28"/>
  <c r="C97" i="26"/>
  <c r="BL97" i="28"/>
  <c r="AS98" i="26"/>
  <c r="AD97" i="26"/>
  <c r="Y97" i="26"/>
  <c r="BT98" i="28"/>
  <c r="AF96" i="26"/>
  <c r="AE97" i="26"/>
  <c r="AA97" i="26"/>
  <c r="CH99" i="28"/>
  <c r="E99" i="28"/>
  <c r="BD97" i="28"/>
  <c r="V98" i="26"/>
  <c r="Z98" i="26"/>
  <c r="AM98" i="28"/>
  <c r="BK97" i="28"/>
  <c r="AH98" i="28"/>
  <c r="BH98" i="28"/>
  <c r="BB98" i="28"/>
  <c r="CP99" i="28"/>
  <c r="AM99" i="28"/>
  <c r="AZ97" i="28"/>
  <c r="AW98" i="26"/>
  <c r="AI96" i="26"/>
  <c r="O98" i="26"/>
  <c r="CB98" i="28"/>
  <c r="S99" i="28"/>
  <c r="K99" i="28"/>
  <c r="H99" i="28"/>
  <c r="Q99" i="28"/>
  <c r="CD99" i="28"/>
  <c r="I98" i="28"/>
  <c r="X98" i="28"/>
  <c r="X98" i="26"/>
  <c r="AO98" i="26"/>
  <c r="E98" i="26"/>
  <c r="C100" i="28" l="1"/>
  <c r="AK100" i="28"/>
  <c r="AF100" i="28"/>
  <c r="M100" i="26"/>
  <c r="AI100" i="31"/>
  <c r="Y100" i="31"/>
  <c r="AU101" i="32"/>
  <c r="DC98" i="54"/>
  <c r="CY98" i="54"/>
  <c r="AE99" i="54"/>
  <c r="CM99" i="54"/>
  <c r="CE99" i="54"/>
  <c r="S99" i="54"/>
  <c r="DC99" i="54"/>
  <c r="BG99" i="54"/>
  <c r="CA99" i="54"/>
  <c r="W99" i="54"/>
  <c r="AQ98" i="54"/>
  <c r="CA98" i="54"/>
  <c r="S98" i="54"/>
  <c r="AI98" i="54"/>
  <c r="CQ98" i="54"/>
  <c r="W98" i="54"/>
  <c r="BG98" i="54"/>
  <c r="AE98" i="54"/>
  <c r="BC98" i="54"/>
  <c r="K98" i="54"/>
  <c r="BA98" i="54"/>
  <c r="K99" i="54"/>
  <c r="U99" i="54"/>
  <c r="Y99" i="54"/>
  <c r="C99" i="54"/>
  <c r="BY99" i="54"/>
  <c r="BI99" i="54"/>
  <c r="BM99" i="54"/>
  <c r="AG99" i="54"/>
  <c r="E99" i="54"/>
  <c r="AK99" i="54"/>
  <c r="AW99" i="54"/>
  <c r="CK99" i="54"/>
  <c r="BE99" i="54"/>
  <c r="BQ99" i="54"/>
  <c r="I99" i="54"/>
  <c r="A100" i="54"/>
  <c r="Q99" i="54"/>
  <c r="BW99" i="54"/>
  <c r="G99" i="54"/>
  <c r="AY99" i="54"/>
  <c r="BK99" i="54"/>
  <c r="CO99" i="54"/>
  <c r="BM98" i="54"/>
  <c r="BW98" i="54"/>
  <c r="CC98" i="54"/>
  <c r="AK98" i="54"/>
  <c r="G98" i="54"/>
  <c r="Y98" i="54"/>
  <c r="CO98" i="54"/>
  <c r="DE98" i="54"/>
  <c r="Q99" i="26"/>
  <c r="AZ100" i="32"/>
  <c r="AY100" i="32"/>
  <c r="AB100" i="32"/>
  <c r="R100" i="32"/>
  <c r="S100" i="32" s="1"/>
  <c r="J100" i="32"/>
  <c r="K100" i="32" s="1"/>
  <c r="Q99" i="32"/>
  <c r="O99" i="32" s="1"/>
  <c r="G99" i="32"/>
  <c r="BB100" i="32"/>
  <c r="BC100" i="32"/>
  <c r="V99" i="32"/>
  <c r="W99" i="32"/>
  <c r="AR100" i="32"/>
  <c r="AQ100" i="32"/>
  <c r="AU100" i="32"/>
  <c r="AT100" i="32"/>
  <c r="P99" i="32"/>
  <c r="L99" i="32" s="1"/>
  <c r="D99" i="32"/>
  <c r="AM100" i="32"/>
  <c r="AL100" i="32"/>
  <c r="K99" i="32"/>
  <c r="U100" i="32"/>
  <c r="AE100" i="32"/>
  <c r="M100" i="32"/>
  <c r="N100" i="32" s="1"/>
  <c r="T99" i="32"/>
  <c r="F100" i="32"/>
  <c r="C100" i="32"/>
  <c r="AD100" i="32"/>
  <c r="AJ100" i="32"/>
  <c r="AI100" i="32"/>
  <c r="A102" i="32"/>
  <c r="AA100" i="32"/>
  <c r="AN99" i="31"/>
  <c r="AO99" i="31" s="1"/>
  <c r="BG99" i="31"/>
  <c r="AP99" i="31"/>
  <c r="AQ99" i="31" s="1"/>
  <c r="G98" i="31"/>
  <c r="I99" i="31"/>
  <c r="AG99" i="31"/>
  <c r="B99" i="31"/>
  <c r="C99" i="31" s="1"/>
  <c r="N99" i="31"/>
  <c r="O99" i="31" s="1"/>
  <c r="J99" i="31"/>
  <c r="K99" i="31" s="1"/>
  <c r="BK100" i="31"/>
  <c r="A101" i="31"/>
  <c r="BO100" i="31"/>
  <c r="AU98" i="31"/>
  <c r="AY98" i="31" s="1"/>
  <c r="Q98" i="31"/>
  <c r="AM98" i="31"/>
  <c r="AW98" i="31"/>
  <c r="BA98" i="31" s="1"/>
  <c r="AT98" i="31"/>
  <c r="I98" i="31"/>
  <c r="AL99" i="31"/>
  <c r="BC99" i="31"/>
  <c r="BE99" i="31"/>
  <c r="AR99" i="31"/>
  <c r="BI99" i="31"/>
  <c r="K98" i="31"/>
  <c r="L99" i="31"/>
  <c r="M99" i="31" s="1"/>
  <c r="P99" i="31"/>
  <c r="Q99" i="31" s="1"/>
  <c r="U99" i="31"/>
  <c r="D99" i="31"/>
  <c r="E99" i="31" s="1"/>
  <c r="AV98" i="31"/>
  <c r="AZ98" i="31" s="1"/>
  <c r="AQ98" i="31"/>
  <c r="S99" i="31"/>
  <c r="C98" i="31"/>
  <c r="G99" i="31"/>
  <c r="I99" i="28"/>
  <c r="J99" i="28" s="1"/>
  <c r="AH99" i="28"/>
  <c r="BD98" i="28"/>
  <c r="X100" i="28"/>
  <c r="V99" i="26"/>
  <c r="W99" i="26" s="1"/>
  <c r="AM99" i="26"/>
  <c r="AF97" i="26"/>
  <c r="AB98" i="26"/>
  <c r="U98" i="26"/>
  <c r="K100" i="28"/>
  <c r="S100" i="28"/>
  <c r="H100" i="28"/>
  <c r="S99" i="26"/>
  <c r="M99" i="26"/>
  <c r="AZ98" i="28"/>
  <c r="AG97" i="26"/>
  <c r="BG99" i="28"/>
  <c r="AX99" i="28"/>
  <c r="AD98" i="26"/>
  <c r="Y98" i="26"/>
  <c r="N99" i="28"/>
  <c r="L99" i="28"/>
  <c r="CR99" i="28"/>
  <c r="CL100" i="28"/>
  <c r="T99" i="26"/>
  <c r="U99" i="26" s="1"/>
  <c r="AK99" i="26"/>
  <c r="G98" i="26"/>
  <c r="BK98" i="28"/>
  <c r="AE98" i="26"/>
  <c r="AA98" i="26"/>
  <c r="BF99" i="28"/>
  <c r="BJ99" i="28" s="1"/>
  <c r="AT99" i="28"/>
  <c r="CD100" i="28"/>
  <c r="X99" i="26"/>
  <c r="AO99" i="26"/>
  <c r="AC98" i="26"/>
  <c r="AI97" i="26"/>
  <c r="BE99" i="28"/>
  <c r="AP99" i="28"/>
  <c r="BT99" i="28"/>
  <c r="BL98" i="28"/>
  <c r="H99" i="26"/>
  <c r="B99" i="26"/>
  <c r="F99" i="26"/>
  <c r="G99" i="26" s="1"/>
  <c r="K99" i="26"/>
  <c r="AW99" i="26"/>
  <c r="CN99" i="28"/>
  <c r="CF99" i="28"/>
  <c r="J98" i="28"/>
  <c r="N98" i="28"/>
  <c r="AV98" i="28"/>
  <c r="A102" i="28"/>
  <c r="AM100" i="28"/>
  <c r="A101" i="26"/>
  <c r="AM100" i="26"/>
  <c r="AO100" i="26"/>
  <c r="AY100" i="26"/>
  <c r="V100" i="28"/>
  <c r="AA100" i="28"/>
  <c r="AU99" i="26"/>
  <c r="AH97" i="26"/>
  <c r="BH99" i="28"/>
  <c r="BL99" i="28" s="1"/>
  <c r="BB99" i="28"/>
  <c r="C98" i="26"/>
  <c r="AS100" i="28"/>
  <c r="AW100" i="28"/>
  <c r="AR98" i="28"/>
  <c r="AS99" i="26"/>
  <c r="AY99" i="26"/>
  <c r="W98" i="26"/>
  <c r="Q100" i="28"/>
  <c r="CJ99" i="28"/>
  <c r="BA100" i="28"/>
  <c r="BZ100" i="28"/>
  <c r="AO100" i="28"/>
  <c r="BN100" i="28"/>
  <c r="Z99" i="26"/>
  <c r="AQ99" i="26"/>
  <c r="AC99" i="28"/>
  <c r="AK101" i="28" l="1"/>
  <c r="Q101" i="28"/>
  <c r="Y101" i="31"/>
  <c r="W101" i="31"/>
  <c r="S101" i="31"/>
  <c r="AE101" i="31"/>
  <c r="AC101" i="31"/>
  <c r="AK101" i="31"/>
  <c r="AJ102" i="32"/>
  <c r="Q102" i="32"/>
  <c r="L100" i="28"/>
  <c r="AJ101" i="32"/>
  <c r="CA100" i="54"/>
  <c r="BC100" i="54"/>
  <c r="AQ100" i="54"/>
  <c r="AE100" i="54"/>
  <c r="CY100" i="54"/>
  <c r="CM100" i="54"/>
  <c r="CQ100" i="54"/>
  <c r="S100" i="54"/>
  <c r="AU100" i="54"/>
  <c r="AI100" i="54"/>
  <c r="BC99" i="54"/>
  <c r="AI99" i="54"/>
  <c r="CY99" i="54"/>
  <c r="CQ99" i="54"/>
  <c r="AU99" i="54"/>
  <c r="AQ99" i="54"/>
  <c r="AC99" i="54"/>
  <c r="M99" i="54"/>
  <c r="CU99" i="54"/>
  <c r="CI99" i="54"/>
  <c r="CW99" i="54"/>
  <c r="K100" i="54"/>
  <c r="BA100" i="54"/>
  <c r="BY100" i="54"/>
  <c r="CW100" i="54"/>
  <c r="AW100" i="54"/>
  <c r="Y100" i="54"/>
  <c r="U100" i="54"/>
  <c r="CS100" i="54"/>
  <c r="O100" i="54"/>
  <c r="I100" i="54"/>
  <c r="AC100" i="54"/>
  <c r="BU100" i="54"/>
  <c r="BM100" i="54"/>
  <c r="Q100" i="54"/>
  <c r="DE100" i="54"/>
  <c r="AM100" i="54"/>
  <c r="C100" i="54"/>
  <c r="BI100" i="54"/>
  <c r="AO100" i="54"/>
  <c r="CG100" i="54"/>
  <c r="CU100" i="54"/>
  <c r="A101" i="54"/>
  <c r="AG100" i="54"/>
  <c r="CO100" i="54"/>
  <c r="DA100" i="54"/>
  <c r="BW100" i="54"/>
  <c r="AA100" i="54"/>
  <c r="BU99" i="54"/>
  <c r="CS99" i="54"/>
  <c r="O99" i="54"/>
  <c r="AS99" i="54"/>
  <c r="AA99" i="54"/>
  <c r="DA99" i="54"/>
  <c r="AO99" i="54"/>
  <c r="AM99" i="54"/>
  <c r="DE99" i="54"/>
  <c r="CG99" i="54"/>
  <c r="BA99" i="54"/>
  <c r="CC99" i="54"/>
  <c r="Q101" i="32"/>
  <c r="F101" i="32"/>
  <c r="P100" i="32"/>
  <c r="L100" i="32" s="1"/>
  <c r="D100" i="32"/>
  <c r="C101" i="32"/>
  <c r="J101" i="32"/>
  <c r="AA101" i="32"/>
  <c r="AB101" i="32"/>
  <c r="R101" i="32"/>
  <c r="S101" i="32" s="1"/>
  <c r="AL101" i="32"/>
  <c r="AM101" i="32"/>
  <c r="AQ101" i="32"/>
  <c r="AR101" i="32"/>
  <c r="G100" i="32"/>
  <c r="Q100" i="32"/>
  <c r="T100" i="32"/>
  <c r="M101" i="32"/>
  <c r="N101" i="32" s="1"/>
  <c r="U101" i="32"/>
  <c r="AE101" i="32"/>
  <c r="A103" i="32"/>
  <c r="BB101" i="32"/>
  <c r="BC101" i="32"/>
  <c r="AT101" i="32"/>
  <c r="AY101" i="32"/>
  <c r="AI101" i="32"/>
  <c r="V100" i="32"/>
  <c r="W100" i="32"/>
  <c r="AD101" i="32"/>
  <c r="AX98" i="31"/>
  <c r="AA100" i="31"/>
  <c r="BG100" i="31"/>
  <c r="AP100" i="31"/>
  <c r="AQ100" i="31" s="1"/>
  <c r="W100" i="31"/>
  <c r="AK100" i="31"/>
  <c r="U100" i="31"/>
  <c r="L100" i="31"/>
  <c r="M100" i="31" s="1"/>
  <c r="P100" i="31"/>
  <c r="Q100" i="31" s="1"/>
  <c r="D100" i="31"/>
  <c r="E100" i="31" s="1"/>
  <c r="BI100" i="31"/>
  <c r="AR100" i="31"/>
  <c r="BM100" i="31"/>
  <c r="AS99" i="31"/>
  <c r="AW99" i="31"/>
  <c r="BA99" i="31" s="1"/>
  <c r="BQ101" i="31"/>
  <c r="BO101" i="31"/>
  <c r="BM101" i="31"/>
  <c r="A102" i="31"/>
  <c r="AG100" i="31"/>
  <c r="AE100" i="31"/>
  <c r="AM99" i="31"/>
  <c r="AU99" i="31"/>
  <c r="AY99" i="31" s="1"/>
  <c r="AT99" i="31"/>
  <c r="AX99" i="31" s="1"/>
  <c r="BQ100" i="31"/>
  <c r="N100" i="31"/>
  <c r="O100" i="31" s="1"/>
  <c r="J100" i="31"/>
  <c r="K100" i="31" s="1"/>
  <c r="S100" i="31"/>
  <c r="B100" i="31"/>
  <c r="BC100" i="31"/>
  <c r="AL100" i="31"/>
  <c r="AV99" i="31"/>
  <c r="AC100" i="31"/>
  <c r="AN100" i="31"/>
  <c r="BE100" i="31"/>
  <c r="Q100" i="26"/>
  <c r="AU100" i="26"/>
  <c r="CH101" i="28"/>
  <c r="I100" i="28"/>
  <c r="AB99" i="26"/>
  <c r="BP100" i="28"/>
  <c r="AZ100" i="28"/>
  <c r="BG100" i="28"/>
  <c r="BK100" i="28" s="1"/>
  <c r="AX100" i="28"/>
  <c r="V100" i="26"/>
  <c r="H100" i="26"/>
  <c r="I100" i="26" s="1"/>
  <c r="B100" i="26"/>
  <c r="F100" i="26"/>
  <c r="G100" i="26" s="1"/>
  <c r="BV102" i="28"/>
  <c r="CP102" i="28"/>
  <c r="A103" i="28"/>
  <c r="CL102" i="28"/>
  <c r="BT100" i="28"/>
  <c r="BI99" i="28"/>
  <c r="V101" i="28"/>
  <c r="K100" i="26"/>
  <c r="AI98" i="26"/>
  <c r="AG98" i="26"/>
  <c r="AC99" i="26"/>
  <c r="AG99" i="26" s="1"/>
  <c r="AH100" i="28"/>
  <c r="E100" i="28"/>
  <c r="AE99" i="26"/>
  <c r="BF100" i="28"/>
  <c r="BJ100" i="28" s="1"/>
  <c r="AV100" i="28"/>
  <c r="AT100" i="28"/>
  <c r="Z100" i="26"/>
  <c r="BA101" i="28"/>
  <c r="BZ101" i="28"/>
  <c r="BX101" i="28"/>
  <c r="AW101" i="28"/>
  <c r="CD101" i="28"/>
  <c r="AC100" i="28"/>
  <c r="AD99" i="26"/>
  <c r="AV99" i="28"/>
  <c r="CJ100" i="28"/>
  <c r="AH98" i="26"/>
  <c r="CF100" i="28"/>
  <c r="AQ100" i="26"/>
  <c r="BD99" i="28"/>
  <c r="BH100" i="28"/>
  <c r="BB100" i="28"/>
  <c r="E100" i="26"/>
  <c r="CL101" i="28"/>
  <c r="AW100" i="26"/>
  <c r="O100" i="26"/>
  <c r="AS101" i="28"/>
  <c r="BR101" i="28"/>
  <c r="AO101" i="28"/>
  <c r="AP101" i="28" s="1"/>
  <c r="BN101" i="28"/>
  <c r="AF101" i="28"/>
  <c r="C99" i="26"/>
  <c r="CB100" i="28"/>
  <c r="T100" i="26"/>
  <c r="AS100" i="26"/>
  <c r="K101" i="28"/>
  <c r="C101" i="28"/>
  <c r="I99" i="26"/>
  <c r="BX100" i="28"/>
  <c r="AK100" i="26"/>
  <c r="AZ99" i="28"/>
  <c r="BV101" i="28"/>
  <c r="BE100" i="28"/>
  <c r="BI100" i="28" s="1"/>
  <c r="AP100" i="28"/>
  <c r="S100" i="26"/>
  <c r="CN100" i="28"/>
  <c r="Y99" i="26"/>
  <c r="CR100" i="28"/>
  <c r="BK99" i="28"/>
  <c r="AA99" i="26"/>
  <c r="X100" i="26"/>
  <c r="Y100" i="26" s="1"/>
  <c r="A102" i="26"/>
  <c r="AO101" i="26"/>
  <c r="CP101" i="28"/>
  <c r="AA101" i="28"/>
  <c r="AR99" i="28"/>
  <c r="AF98" i="26"/>
  <c r="AK102" i="28" l="1"/>
  <c r="AF102" i="28"/>
  <c r="Q102" i="28"/>
  <c r="C102" i="28"/>
  <c r="AK102" i="31"/>
  <c r="AI102" i="31"/>
  <c r="AC102" i="31"/>
  <c r="AA102" i="31"/>
  <c r="W102" i="31"/>
  <c r="I102" i="31"/>
  <c r="AJ103" i="32"/>
  <c r="O102" i="26"/>
  <c r="M102" i="26"/>
  <c r="K102" i="26"/>
  <c r="S102" i="26"/>
  <c r="Q102" i="26"/>
  <c r="L101" i="28"/>
  <c r="N101" i="28"/>
  <c r="DC100" i="54"/>
  <c r="BG100" i="54"/>
  <c r="W100" i="54"/>
  <c r="AQ101" i="54"/>
  <c r="CQ101" i="54"/>
  <c r="BG101" i="54"/>
  <c r="AE101" i="54"/>
  <c r="S101" i="54"/>
  <c r="CE101" i="54"/>
  <c r="AI101" i="54"/>
  <c r="CE100" i="54"/>
  <c r="AK100" i="54"/>
  <c r="G100" i="54"/>
  <c r="K101" i="54"/>
  <c r="BY101" i="54"/>
  <c r="M101" i="54"/>
  <c r="DE101" i="54"/>
  <c r="E101" i="54"/>
  <c r="CI101" i="54"/>
  <c r="AS101" i="54"/>
  <c r="Q101" i="54"/>
  <c r="AY101" i="54"/>
  <c r="Y101" i="54"/>
  <c r="AC101" i="54"/>
  <c r="I101" i="54"/>
  <c r="C101" i="54"/>
  <c r="AA101" i="54"/>
  <c r="CO101" i="54"/>
  <c r="AO101" i="54"/>
  <c r="BQ101" i="54"/>
  <c r="CS101" i="54"/>
  <c r="BK101" i="54"/>
  <c r="BW101" i="54"/>
  <c r="BE101" i="54"/>
  <c r="A102" i="54"/>
  <c r="BA101" i="54"/>
  <c r="G101" i="54"/>
  <c r="U101" i="54"/>
  <c r="AW101" i="54"/>
  <c r="BU101" i="54"/>
  <c r="CC100" i="54"/>
  <c r="BK100" i="54"/>
  <c r="BE100" i="54"/>
  <c r="AY100" i="54"/>
  <c r="E100" i="54"/>
  <c r="CK100" i="54"/>
  <c r="M100" i="54"/>
  <c r="AS100" i="54"/>
  <c r="CI100" i="54"/>
  <c r="BQ100" i="54"/>
  <c r="O102" i="32"/>
  <c r="G101" i="32"/>
  <c r="F102" i="32"/>
  <c r="G102" i="32"/>
  <c r="AD102" i="32"/>
  <c r="AE102" i="32"/>
  <c r="U102" i="32"/>
  <c r="M102" i="32"/>
  <c r="N102" i="32" s="1"/>
  <c r="K101" i="32"/>
  <c r="AZ101" i="32"/>
  <c r="AA102" i="32"/>
  <c r="R102" i="32"/>
  <c r="S102" i="32" s="1"/>
  <c r="AB102" i="32"/>
  <c r="J102" i="32"/>
  <c r="K102" i="32" s="1"/>
  <c r="V101" i="32"/>
  <c r="W101" i="32"/>
  <c r="D101" i="32"/>
  <c r="P101" i="32"/>
  <c r="L101" i="32" s="1"/>
  <c r="AQ102" i="32"/>
  <c r="AR102" i="32"/>
  <c r="AI102" i="32"/>
  <c r="AT102" i="32"/>
  <c r="AY102" i="32"/>
  <c r="AZ102" i="32"/>
  <c r="T101" i="32"/>
  <c r="AM102" i="32"/>
  <c r="AL102" i="32"/>
  <c r="BB102" i="32"/>
  <c r="BC102" i="32"/>
  <c r="O100" i="32"/>
  <c r="O101" i="32"/>
  <c r="C102" i="32"/>
  <c r="A104" i="32"/>
  <c r="G101" i="31"/>
  <c r="AZ99" i="31"/>
  <c r="AW100" i="31"/>
  <c r="BA100" i="31" s="1"/>
  <c r="AS100" i="31"/>
  <c r="G100" i="31"/>
  <c r="B101" i="31"/>
  <c r="C101" i="31" s="1"/>
  <c r="N101" i="31"/>
  <c r="O101" i="31" s="1"/>
  <c r="J101" i="31"/>
  <c r="K101" i="31" s="1"/>
  <c r="AP101" i="31"/>
  <c r="BG101" i="31"/>
  <c r="AT100" i="31"/>
  <c r="AX100" i="31" s="1"/>
  <c r="AG101" i="31"/>
  <c r="AL101" i="31"/>
  <c r="BC101" i="31"/>
  <c r="C100" i="31"/>
  <c r="I101" i="31"/>
  <c r="BK101" i="31"/>
  <c r="A103" i="31"/>
  <c r="BQ102" i="31"/>
  <c r="BM102" i="31"/>
  <c r="BO102" i="31"/>
  <c r="BK102" i="31"/>
  <c r="BI101" i="31"/>
  <c r="AR101" i="31"/>
  <c r="BE101" i="31"/>
  <c r="AN101" i="31"/>
  <c r="AV100" i="31"/>
  <c r="AZ100" i="31" s="1"/>
  <c r="AI101" i="31"/>
  <c r="AO100" i="31"/>
  <c r="AU100" i="31"/>
  <c r="AY100" i="31" s="1"/>
  <c r="D101" i="31"/>
  <c r="L101" i="31"/>
  <c r="U101" i="31"/>
  <c r="P101" i="31"/>
  <c r="Q101" i="31" s="1"/>
  <c r="AA101" i="31"/>
  <c r="AM100" i="31"/>
  <c r="I100" i="31"/>
  <c r="V101" i="26"/>
  <c r="W101" i="26" s="1"/>
  <c r="AU102" i="26"/>
  <c r="AW102" i="26"/>
  <c r="AS102" i="26"/>
  <c r="AM102" i="26"/>
  <c r="A103" i="26"/>
  <c r="AK102" i="26"/>
  <c r="AY102" i="26"/>
  <c r="AR100" i="28"/>
  <c r="BB101" i="28"/>
  <c r="X101" i="28"/>
  <c r="AU101" i="26"/>
  <c r="H101" i="28"/>
  <c r="AM101" i="26"/>
  <c r="BL100" i="28"/>
  <c r="E101" i="28"/>
  <c r="CN101" i="28"/>
  <c r="X101" i="26"/>
  <c r="Y101" i="26" s="1"/>
  <c r="AB100" i="26"/>
  <c r="U100" i="26"/>
  <c r="AE100" i="26"/>
  <c r="AA100" i="26"/>
  <c r="Q101" i="26"/>
  <c r="BV103" i="28"/>
  <c r="A104" i="28"/>
  <c r="S102" i="28"/>
  <c r="K102" i="28"/>
  <c r="J100" i="28"/>
  <c r="T101" i="26"/>
  <c r="U101" i="26" s="1"/>
  <c r="H101" i="26"/>
  <c r="I101" i="26" s="1"/>
  <c r="F101" i="26"/>
  <c r="G101" i="26" s="1"/>
  <c r="B101" i="26"/>
  <c r="C101" i="26" s="1"/>
  <c r="CR101" i="28"/>
  <c r="BF101" i="28"/>
  <c r="AT101" i="28"/>
  <c r="AW101" i="26"/>
  <c r="AC102" i="28"/>
  <c r="AA102" i="28"/>
  <c r="CF101" i="28"/>
  <c r="AS101" i="26"/>
  <c r="BT101" i="28"/>
  <c r="BD100" i="28"/>
  <c r="AX101" i="28"/>
  <c r="BA102" i="28"/>
  <c r="BZ102" i="28"/>
  <c r="AO102" i="28"/>
  <c r="BN102" i="28"/>
  <c r="K101" i="26"/>
  <c r="S101" i="28"/>
  <c r="CH102" i="28"/>
  <c r="AK101" i="26"/>
  <c r="S101" i="26"/>
  <c r="AY101" i="26"/>
  <c r="Z101" i="26"/>
  <c r="AQ101" i="26"/>
  <c r="AD100" i="26"/>
  <c r="M101" i="26"/>
  <c r="I101" i="28"/>
  <c r="AS102" i="28"/>
  <c r="AT102" i="28" s="1"/>
  <c r="BR102" i="28"/>
  <c r="BX102" i="28"/>
  <c r="AW102" i="28"/>
  <c r="E101" i="26"/>
  <c r="BE101" i="28"/>
  <c r="AH99" i="26"/>
  <c r="BH101" i="28"/>
  <c r="BL101" i="28" s="1"/>
  <c r="AI99" i="26"/>
  <c r="AH101" i="28"/>
  <c r="N100" i="28"/>
  <c r="C100" i="26"/>
  <c r="AC100" i="26"/>
  <c r="W100" i="26"/>
  <c r="AM101" i="28"/>
  <c r="AF99" i="26"/>
  <c r="BP101" i="28"/>
  <c r="O101" i="26"/>
  <c r="AC101" i="28"/>
  <c r="BG101" i="28"/>
  <c r="CB101" i="28"/>
  <c r="V102" i="28"/>
  <c r="CD102" i="28"/>
  <c r="CJ101" i="28"/>
  <c r="AK103" i="28" l="1"/>
  <c r="AA103" i="28"/>
  <c r="AF103" i="28"/>
  <c r="C103" i="28"/>
  <c r="L102" i="28"/>
  <c r="N102" i="28"/>
  <c r="S103" i="26"/>
  <c r="K103" i="26"/>
  <c r="AA103" i="31"/>
  <c r="Y103" i="31"/>
  <c r="W103" i="31"/>
  <c r="AI103" i="31"/>
  <c r="S103" i="31"/>
  <c r="AC103" i="31"/>
  <c r="CA101" i="54"/>
  <c r="BC101" i="54"/>
  <c r="CM101" i="54"/>
  <c r="BC102" i="54"/>
  <c r="AQ102" i="54"/>
  <c r="CE102" i="54"/>
  <c r="BG102" i="54"/>
  <c r="AI102" i="54"/>
  <c r="AU102" i="54"/>
  <c r="AU101" i="54"/>
  <c r="DC101" i="54"/>
  <c r="W101" i="54"/>
  <c r="CY101" i="54"/>
  <c r="BI101" i="54"/>
  <c r="CK101" i="54"/>
  <c r="A103" i="54"/>
  <c r="E102" i="54"/>
  <c r="CO102" i="54"/>
  <c r="Q102" i="54"/>
  <c r="Y102" i="54"/>
  <c r="AS102" i="54"/>
  <c r="BQ102" i="54"/>
  <c r="M102" i="54"/>
  <c r="AG102" i="54"/>
  <c r="O102" i="54"/>
  <c r="AM102" i="54"/>
  <c r="DE102" i="54"/>
  <c r="AY102" i="54"/>
  <c r="BU102" i="54"/>
  <c r="CU102" i="54"/>
  <c r="CS102" i="54"/>
  <c r="G102" i="54"/>
  <c r="DA102" i="54"/>
  <c r="I102" i="54"/>
  <c r="AK102" i="54"/>
  <c r="U102" i="54"/>
  <c r="BW102" i="54"/>
  <c r="CW102" i="54"/>
  <c r="BA102" i="54"/>
  <c r="AC102" i="54"/>
  <c r="CC102" i="54"/>
  <c r="BY102" i="54"/>
  <c r="BM102" i="54"/>
  <c r="CI102" i="54"/>
  <c r="C102" i="54"/>
  <c r="CG102" i="54"/>
  <c r="BI102" i="54"/>
  <c r="AO102" i="54"/>
  <c r="BK102" i="54"/>
  <c r="AM101" i="54"/>
  <c r="BM101" i="54"/>
  <c r="CW101" i="54"/>
  <c r="CC101" i="54"/>
  <c r="DA101" i="54"/>
  <c r="O101" i="54"/>
  <c r="AK101" i="54"/>
  <c r="CU101" i="54"/>
  <c r="CG101" i="54"/>
  <c r="AG101" i="54"/>
  <c r="AI103" i="32"/>
  <c r="AD103" i="32"/>
  <c r="AE103" i="32"/>
  <c r="M103" i="32"/>
  <c r="N103" i="32" s="1"/>
  <c r="U103" i="32"/>
  <c r="A105" i="32"/>
  <c r="P103" i="32"/>
  <c r="C103" i="32"/>
  <c r="AU102" i="32"/>
  <c r="AZ103" i="32"/>
  <c r="AY103" i="32"/>
  <c r="AM103" i="32"/>
  <c r="AA103" i="32"/>
  <c r="F103" i="32"/>
  <c r="BB103" i="32"/>
  <c r="BC103" i="32"/>
  <c r="AQ103" i="32"/>
  <c r="AR103" i="32"/>
  <c r="P102" i="32"/>
  <c r="L102" i="32" s="1"/>
  <c r="D102" i="32"/>
  <c r="W102" i="32"/>
  <c r="V102" i="32"/>
  <c r="AB103" i="32"/>
  <c r="R103" i="32"/>
  <c r="J103" i="32"/>
  <c r="K103" i="32" s="1"/>
  <c r="AU103" i="32"/>
  <c r="AT103" i="32"/>
  <c r="AL103" i="32"/>
  <c r="AU101" i="31"/>
  <c r="AY101" i="31" s="1"/>
  <c r="AO101" i="31"/>
  <c r="AN102" i="31"/>
  <c r="BE102" i="31"/>
  <c r="AW101" i="31"/>
  <c r="BA101" i="31" s="1"/>
  <c r="AS101" i="31"/>
  <c r="BG102" i="31"/>
  <c r="AP102" i="31"/>
  <c r="AG102" i="31"/>
  <c r="A104" i="31"/>
  <c r="BC103" i="31"/>
  <c r="BQ103" i="31"/>
  <c r="BM103" i="31"/>
  <c r="BO103" i="31"/>
  <c r="BK103" i="31"/>
  <c r="Y102" i="31"/>
  <c r="AR102" i="31"/>
  <c r="BI102" i="31"/>
  <c r="AV101" i="31"/>
  <c r="AZ101" i="31" s="1"/>
  <c r="AQ101" i="31"/>
  <c r="L102" i="31"/>
  <c r="M102" i="31" s="1"/>
  <c r="P102" i="31"/>
  <c r="Q102" i="31" s="1"/>
  <c r="D102" i="31"/>
  <c r="E102" i="31" s="1"/>
  <c r="U102" i="31"/>
  <c r="M101" i="31"/>
  <c r="E101" i="31"/>
  <c r="J102" i="31"/>
  <c r="K102" i="31" s="1"/>
  <c r="S102" i="31"/>
  <c r="B102" i="31"/>
  <c r="C102" i="31" s="1"/>
  <c r="N102" i="31"/>
  <c r="AE102" i="31"/>
  <c r="BC102" i="31"/>
  <c r="AL102" i="31"/>
  <c r="AT101" i="31"/>
  <c r="AX101" i="31" s="1"/>
  <c r="AM101" i="31"/>
  <c r="AG100" i="26"/>
  <c r="I102" i="28"/>
  <c r="J102" i="28" s="1"/>
  <c r="E102" i="28"/>
  <c r="J101" i="28"/>
  <c r="CJ103" i="28"/>
  <c r="CR102" i="28"/>
  <c r="B102" i="26"/>
  <c r="C102" i="26" s="1"/>
  <c r="F102" i="26"/>
  <c r="G102" i="26" s="1"/>
  <c r="H102" i="26"/>
  <c r="I102" i="26" s="1"/>
  <c r="BP102" i="28"/>
  <c r="CF103" i="28"/>
  <c r="CP103" i="28"/>
  <c r="AF100" i="26"/>
  <c r="CJ102" i="28"/>
  <c r="X102" i="26"/>
  <c r="AR101" i="28"/>
  <c r="CL103" i="28"/>
  <c r="AC103" i="28"/>
  <c r="AI100" i="26"/>
  <c r="CN102" i="28"/>
  <c r="X102" i="28"/>
  <c r="AO102" i="26"/>
  <c r="BF102" i="28"/>
  <c r="AM102" i="28"/>
  <c r="AV101" i="28"/>
  <c r="BV104" i="28"/>
  <c r="A105" i="28"/>
  <c r="Z102" i="26"/>
  <c r="AQ102" i="26"/>
  <c r="AC101" i="26"/>
  <c r="AZ101" i="28"/>
  <c r="BJ101" i="28"/>
  <c r="H103" i="28"/>
  <c r="K103" i="28"/>
  <c r="Q103" i="28"/>
  <c r="AO103" i="28"/>
  <c r="BN103" i="28"/>
  <c r="CH103" i="28"/>
  <c r="T102" i="26"/>
  <c r="U102" i="26" s="1"/>
  <c r="BI101" i="28"/>
  <c r="BK101" i="28"/>
  <c r="BT102" i="28"/>
  <c r="AE101" i="26"/>
  <c r="AI101" i="26" s="1"/>
  <c r="AA101" i="26"/>
  <c r="AX102" i="28"/>
  <c r="AS103" i="28"/>
  <c r="AT103" i="28" s="1"/>
  <c r="BR103" i="28"/>
  <c r="AW103" i="28"/>
  <c r="AD101" i="26"/>
  <c r="CD103" i="28"/>
  <c r="AH102" i="28"/>
  <c r="BH102" i="28"/>
  <c r="CF102" i="28"/>
  <c r="AB101" i="26"/>
  <c r="BA103" i="28"/>
  <c r="BZ103" i="28"/>
  <c r="E103" i="28"/>
  <c r="BD101" i="28"/>
  <c r="H102" i="28"/>
  <c r="A104" i="26"/>
  <c r="AZ102" i="28"/>
  <c r="BG102" i="28"/>
  <c r="AH100" i="26"/>
  <c r="BE102" i="28"/>
  <c r="AP102" i="28"/>
  <c r="CB102" i="28"/>
  <c r="BB102" i="28"/>
  <c r="X103" i="28"/>
  <c r="V103" i="28"/>
  <c r="V102" i="26"/>
  <c r="V104" i="28" l="1"/>
  <c r="AK104" i="28"/>
  <c r="C104" i="28"/>
  <c r="AY104" i="32"/>
  <c r="S104" i="26"/>
  <c r="E104" i="26"/>
  <c r="O104" i="26"/>
  <c r="M104" i="26"/>
  <c r="Q105" i="32"/>
  <c r="Q104" i="28"/>
  <c r="AC104" i="31"/>
  <c r="AA104" i="31"/>
  <c r="W104" i="31"/>
  <c r="AK104" i="31"/>
  <c r="AE104" i="31"/>
  <c r="CA102" i="54"/>
  <c r="CY103" i="54"/>
  <c r="BC103" i="54"/>
  <c r="AQ103" i="54"/>
  <c r="AE103" i="54"/>
  <c r="CE103" i="54"/>
  <c r="CQ103" i="54"/>
  <c r="BG103" i="54"/>
  <c r="S103" i="54"/>
  <c r="DC103" i="54"/>
  <c r="AU103" i="54"/>
  <c r="W102" i="54"/>
  <c r="CM102" i="54"/>
  <c r="CY102" i="54"/>
  <c r="CQ102" i="54"/>
  <c r="AE102" i="54"/>
  <c r="S102" i="54"/>
  <c r="DC102" i="54"/>
  <c r="AA102" i="54"/>
  <c r="K102" i="54"/>
  <c r="BE102" i="54"/>
  <c r="CK102" i="54"/>
  <c r="K103" i="54"/>
  <c r="G103" i="54"/>
  <c r="AK103" i="54"/>
  <c r="O103" i="54"/>
  <c r="AW103" i="54"/>
  <c r="CC103" i="54"/>
  <c r="CG103" i="54"/>
  <c r="BE103" i="54"/>
  <c r="CS103" i="54"/>
  <c r="AS103" i="54"/>
  <c r="BQ103" i="54"/>
  <c r="BM103" i="54"/>
  <c r="AG103" i="54"/>
  <c r="A104" i="54"/>
  <c r="BU103" i="54"/>
  <c r="CW103" i="54"/>
  <c r="BK103" i="54"/>
  <c r="I103" i="54"/>
  <c r="AW102" i="54"/>
  <c r="L103" i="32"/>
  <c r="T103" i="32"/>
  <c r="A106" i="32"/>
  <c r="R104" i="32"/>
  <c r="J104" i="32"/>
  <c r="K104" i="32" s="1"/>
  <c r="AB104" i="32"/>
  <c r="AJ104" i="32"/>
  <c r="AI104" i="32"/>
  <c r="AM104" i="32"/>
  <c r="AL104" i="32"/>
  <c r="AD104" i="32"/>
  <c r="AE104" i="32"/>
  <c r="U104" i="32"/>
  <c r="M104" i="32"/>
  <c r="N104" i="32" s="1"/>
  <c r="V103" i="32"/>
  <c r="W103" i="32"/>
  <c r="AQ104" i="32"/>
  <c r="Q103" i="32"/>
  <c r="O103" i="32" s="1"/>
  <c r="G103" i="32"/>
  <c r="C104" i="32"/>
  <c r="AR104" i="32"/>
  <c r="S103" i="32"/>
  <c r="BB104" i="32"/>
  <c r="BC104" i="32"/>
  <c r="D103" i="32"/>
  <c r="T102" i="32"/>
  <c r="Q104" i="32"/>
  <c r="F104" i="32"/>
  <c r="AU104" i="32"/>
  <c r="AT104" i="32"/>
  <c r="AA104" i="32"/>
  <c r="AS102" i="31"/>
  <c r="AW102" i="31"/>
  <c r="O102" i="31"/>
  <c r="BE103" i="31"/>
  <c r="AN103" i="31"/>
  <c r="BG103" i="31"/>
  <c r="AP103" i="31"/>
  <c r="AR103" i="31"/>
  <c r="BI103" i="31"/>
  <c r="AK103" i="31"/>
  <c r="AQ102" i="31"/>
  <c r="AV102" i="31"/>
  <c r="AZ102" i="31" s="1"/>
  <c r="P103" i="31"/>
  <c r="Q103" i="31" s="1"/>
  <c r="L103" i="31"/>
  <c r="M103" i="31" s="1"/>
  <c r="D103" i="31"/>
  <c r="E103" i="31" s="1"/>
  <c r="U103" i="31"/>
  <c r="AT102" i="31"/>
  <c r="AX102" i="31" s="1"/>
  <c r="AM102" i="31"/>
  <c r="I103" i="31"/>
  <c r="AG103" i="31"/>
  <c r="AU102" i="31"/>
  <c r="AY102" i="31" s="1"/>
  <c r="G102" i="31"/>
  <c r="G103" i="31"/>
  <c r="J103" i="31"/>
  <c r="K103" i="31" s="1"/>
  <c r="B103" i="31"/>
  <c r="C103" i="31" s="1"/>
  <c r="N103" i="31"/>
  <c r="O103" i="31" s="1"/>
  <c r="AL103" i="31"/>
  <c r="AE103" i="31"/>
  <c r="A105" i="31"/>
  <c r="BQ104" i="31"/>
  <c r="BM104" i="31"/>
  <c r="BO104" i="31"/>
  <c r="BK104" i="31"/>
  <c r="AO102" i="31"/>
  <c r="AW103" i="26"/>
  <c r="BL102" i="28"/>
  <c r="S103" i="28"/>
  <c r="CJ104" i="28"/>
  <c r="CH104" i="28"/>
  <c r="CD104" i="28"/>
  <c r="CR103" i="28"/>
  <c r="E103" i="26"/>
  <c r="E102" i="26"/>
  <c r="AK104" i="26"/>
  <c r="AY104" i="26"/>
  <c r="AO104" i="26"/>
  <c r="AU104" i="26"/>
  <c r="A105" i="26"/>
  <c r="AS104" i="26"/>
  <c r="K104" i="26"/>
  <c r="AM104" i="26"/>
  <c r="CB103" i="28"/>
  <c r="BD102" i="28"/>
  <c r="A106" i="28"/>
  <c r="CP105" i="28"/>
  <c r="CN105" i="28"/>
  <c r="CR104" i="28"/>
  <c r="CP104" i="28"/>
  <c r="AG101" i="26"/>
  <c r="Z103" i="26"/>
  <c r="AQ103" i="26"/>
  <c r="AY103" i="26"/>
  <c r="N103" i="28"/>
  <c r="L103" i="28"/>
  <c r="AX103" i="28"/>
  <c r="AC104" i="28"/>
  <c r="AM104" i="28"/>
  <c r="AM103" i="28"/>
  <c r="Q103" i="26"/>
  <c r="BI102" i="28"/>
  <c r="T103" i="26"/>
  <c r="U103" i="26" s="1"/>
  <c r="AK103" i="26"/>
  <c r="I103" i="28"/>
  <c r="J103" i="28" s="1"/>
  <c r="AS104" i="28"/>
  <c r="BR104" i="28"/>
  <c r="K104" i="28"/>
  <c r="AS103" i="26"/>
  <c r="V103" i="26"/>
  <c r="AM103" i="26"/>
  <c r="BE103" i="28"/>
  <c r="BI103" i="28" s="1"/>
  <c r="AP103" i="28"/>
  <c r="BA104" i="28"/>
  <c r="BZ104" i="28"/>
  <c r="AW104" i="28"/>
  <c r="CN103" i="28"/>
  <c r="CL104" i="28"/>
  <c r="AF101" i="26"/>
  <c r="M103" i="26"/>
  <c r="AH101" i="26"/>
  <c r="BK102" i="28"/>
  <c r="AB102" i="26"/>
  <c r="BP103" i="28"/>
  <c r="E104" i="28"/>
  <c r="BP104" i="28"/>
  <c r="AO104" i="28"/>
  <c r="BN104" i="28"/>
  <c r="CN104" i="28"/>
  <c r="AC102" i="26"/>
  <c r="W102" i="26"/>
  <c r="AU103" i="26"/>
  <c r="X103" i="26"/>
  <c r="AO103" i="26"/>
  <c r="BF103" i="28"/>
  <c r="AE102" i="26"/>
  <c r="AA102" i="26"/>
  <c r="X104" i="28"/>
  <c r="AV102" i="28"/>
  <c r="BJ102" i="28"/>
  <c r="AR102" i="28"/>
  <c r="AD102" i="26"/>
  <c r="Y102" i="26"/>
  <c r="BX103" i="28"/>
  <c r="AH103" i="28"/>
  <c r="B103" i="26"/>
  <c r="H103" i="26"/>
  <c r="F103" i="26"/>
  <c r="G103" i="26" s="1"/>
  <c r="BH103" i="28"/>
  <c r="BB103" i="28"/>
  <c r="BG103" i="28"/>
  <c r="BK103" i="28" s="1"/>
  <c r="BT103" i="28"/>
  <c r="AA104" i="28"/>
  <c r="O103" i="26"/>
  <c r="AF104" i="28"/>
  <c r="V105" i="28" l="1"/>
  <c r="AA105" i="28"/>
  <c r="Z104" i="26"/>
  <c r="C105" i="28"/>
  <c r="Q105" i="28"/>
  <c r="AF105" i="28"/>
  <c r="AK105" i="28"/>
  <c r="M105" i="26"/>
  <c r="Y105" i="31"/>
  <c r="W105" i="31"/>
  <c r="AI105" i="31"/>
  <c r="AE105" i="31"/>
  <c r="AC105" i="31"/>
  <c r="AA105" i="31"/>
  <c r="AK105" i="31"/>
  <c r="O105" i="32"/>
  <c r="O104" i="32"/>
  <c r="CA103" i="54"/>
  <c r="CM103" i="54"/>
  <c r="W103" i="54"/>
  <c r="CY104" i="54"/>
  <c r="CM104" i="54"/>
  <c r="CA104" i="54"/>
  <c r="BC104" i="54"/>
  <c r="AQ104" i="54"/>
  <c r="CE104" i="54"/>
  <c r="CQ104" i="54"/>
  <c r="BG104" i="54"/>
  <c r="W104" i="54"/>
  <c r="DC104" i="54"/>
  <c r="AI103" i="54"/>
  <c r="BA103" i="54"/>
  <c r="E103" i="54"/>
  <c r="AM103" i="54"/>
  <c r="K104" i="54"/>
  <c r="CU104" i="54"/>
  <c r="AA104" i="54"/>
  <c r="BY104" i="54"/>
  <c r="G104" i="54"/>
  <c r="CI104" i="54"/>
  <c r="CO104" i="54"/>
  <c r="C104" i="54"/>
  <c r="M104" i="54"/>
  <c r="BK104" i="54"/>
  <c r="CC104" i="54"/>
  <c r="DE104" i="54"/>
  <c r="BW104" i="54"/>
  <c r="AG104" i="54"/>
  <c r="AO104" i="54"/>
  <c r="AY104" i="54"/>
  <c r="CG104" i="54"/>
  <c r="DA104" i="54"/>
  <c r="U104" i="54"/>
  <c r="CK104" i="54"/>
  <c r="AC104" i="54"/>
  <c r="Y104" i="54"/>
  <c r="Q104" i="54"/>
  <c r="BE104" i="54"/>
  <c r="I104" i="54"/>
  <c r="A105" i="54"/>
  <c r="BI104" i="54"/>
  <c r="BY103" i="54"/>
  <c r="AC103" i="54"/>
  <c r="CI103" i="54"/>
  <c r="BI103" i="54"/>
  <c r="BW103" i="54"/>
  <c r="AO103" i="54"/>
  <c r="DE103" i="54"/>
  <c r="Q103" i="54"/>
  <c r="CU103" i="54"/>
  <c r="M103" i="54"/>
  <c r="Y103" i="54"/>
  <c r="AA103" i="54"/>
  <c r="DA103" i="54"/>
  <c r="C103" i="54"/>
  <c r="AY103" i="54"/>
  <c r="U103" i="54"/>
  <c r="CO103" i="54"/>
  <c r="CK103" i="54"/>
  <c r="CJ105" i="28"/>
  <c r="AA104" i="26"/>
  <c r="AY105" i="32"/>
  <c r="G105" i="32"/>
  <c r="V104" i="32"/>
  <c r="AE105" i="32"/>
  <c r="M105" i="32"/>
  <c r="N105" i="32" s="1"/>
  <c r="U105" i="32"/>
  <c r="AD105" i="32"/>
  <c r="T104" i="32"/>
  <c r="S104" i="32"/>
  <c r="BB105" i="32"/>
  <c r="BC105" i="32"/>
  <c r="AZ104" i="32"/>
  <c r="AZ105" i="32"/>
  <c r="AB105" i="32"/>
  <c r="R105" i="32"/>
  <c r="J105" i="32"/>
  <c r="K105" i="32" s="1"/>
  <c r="AA105" i="32"/>
  <c r="A107" i="32"/>
  <c r="AI105" i="32"/>
  <c r="AJ105" i="32"/>
  <c r="AT105" i="32"/>
  <c r="AU105" i="32"/>
  <c r="P105" i="32"/>
  <c r="C105" i="32"/>
  <c r="P104" i="32"/>
  <c r="L104" i="32" s="1"/>
  <c r="D104" i="32"/>
  <c r="AQ105" i="32"/>
  <c r="AR105" i="32"/>
  <c r="G104" i="32"/>
  <c r="AM105" i="32"/>
  <c r="AL105" i="32"/>
  <c r="F105" i="32"/>
  <c r="BA102" i="31"/>
  <c r="AT103" i="31"/>
  <c r="AX103" i="31" s="1"/>
  <c r="AM103" i="31"/>
  <c r="BQ105" i="31"/>
  <c r="BO105" i="31"/>
  <c r="BM105" i="31"/>
  <c r="A106" i="31"/>
  <c r="BK105" i="31"/>
  <c r="AI104" i="31"/>
  <c r="AQ104" i="26"/>
  <c r="Y104" i="31"/>
  <c r="AW103" i="31"/>
  <c r="BA103" i="31" s="1"/>
  <c r="AS103" i="31"/>
  <c r="Q104" i="26"/>
  <c r="U104" i="31"/>
  <c r="L104" i="31"/>
  <c r="M104" i="31" s="1"/>
  <c r="P104" i="31"/>
  <c r="Q104" i="31" s="1"/>
  <c r="D104" i="31"/>
  <c r="E104" i="31" s="1"/>
  <c r="AV103" i="31"/>
  <c r="AZ103" i="31" s="1"/>
  <c r="AQ103" i="31"/>
  <c r="BE104" i="31"/>
  <c r="AN104" i="31"/>
  <c r="AG104" i="31"/>
  <c r="AU103" i="31"/>
  <c r="AY103" i="31" s="1"/>
  <c r="AO103" i="31"/>
  <c r="BC104" i="31"/>
  <c r="AL104" i="31"/>
  <c r="AR104" i="31"/>
  <c r="BI104" i="31"/>
  <c r="AP104" i="31"/>
  <c r="BG104" i="31"/>
  <c r="J104" i="31"/>
  <c r="K104" i="31" s="1"/>
  <c r="B104" i="31"/>
  <c r="C104" i="31" s="1"/>
  <c r="N104" i="31"/>
  <c r="O104" i="31" s="1"/>
  <c r="S104" i="31"/>
  <c r="X104" i="26"/>
  <c r="Y104" i="26" s="1"/>
  <c r="Y103" i="26"/>
  <c r="CL105" i="28"/>
  <c r="AI102" i="26"/>
  <c r="BE104" i="28"/>
  <c r="AR104" i="28"/>
  <c r="BL103" i="28"/>
  <c r="AP104" i="28"/>
  <c r="AV104" i="28"/>
  <c r="BF104" i="28"/>
  <c r="BJ104" i="28" s="1"/>
  <c r="AT104" i="28"/>
  <c r="T104" i="26"/>
  <c r="BT104" i="28"/>
  <c r="BD104" i="28"/>
  <c r="BH104" i="28"/>
  <c r="AE103" i="26"/>
  <c r="AI103" i="26" s="1"/>
  <c r="AA103" i="26"/>
  <c r="CF105" i="28"/>
  <c r="CD105" i="28"/>
  <c r="A107" i="28"/>
  <c r="AW104" i="26"/>
  <c r="CB104" i="28"/>
  <c r="AR103" i="28"/>
  <c r="AC103" i="26"/>
  <c r="W103" i="26"/>
  <c r="S104" i="28"/>
  <c r="AB103" i="26"/>
  <c r="K105" i="28"/>
  <c r="S105" i="28"/>
  <c r="H105" i="28"/>
  <c r="AG102" i="26"/>
  <c r="CF104" i="28"/>
  <c r="BB104" i="28"/>
  <c r="I104" i="28"/>
  <c r="J104" i="28" s="1"/>
  <c r="I103" i="26"/>
  <c r="L104" i="28"/>
  <c r="AM105" i="28"/>
  <c r="V104" i="26"/>
  <c r="AV103" i="28"/>
  <c r="AH102" i="26"/>
  <c r="AD103" i="26"/>
  <c r="BG104" i="28"/>
  <c r="BK104" i="28" s="1"/>
  <c r="AX104" i="28"/>
  <c r="H104" i="28"/>
  <c r="CB105" i="28"/>
  <c r="BA105" i="28"/>
  <c r="BZ105" i="28"/>
  <c r="AW105" i="28"/>
  <c r="AX105" i="28" s="1"/>
  <c r="BV105" i="28"/>
  <c r="B104" i="26"/>
  <c r="H104" i="26"/>
  <c r="F104" i="26"/>
  <c r="AZ103" i="28"/>
  <c r="AF102" i="26"/>
  <c r="BJ103" i="28"/>
  <c r="AS105" i="28"/>
  <c r="BR105" i="28"/>
  <c r="BP105" i="28"/>
  <c r="AO105" i="28"/>
  <c r="BN105" i="28"/>
  <c r="BX104" i="28"/>
  <c r="CH105" i="28"/>
  <c r="BD103" i="28"/>
  <c r="C103" i="26"/>
  <c r="AW105" i="26"/>
  <c r="A106" i="26"/>
  <c r="AH104" i="28"/>
  <c r="V106" i="28" l="1"/>
  <c r="Q106" i="28"/>
  <c r="AA106" i="28"/>
  <c r="AF106" i="28"/>
  <c r="AG105" i="31"/>
  <c r="AI106" i="32"/>
  <c r="C106" i="28"/>
  <c r="P107" i="32"/>
  <c r="AK106" i="31"/>
  <c r="AE106" i="31"/>
  <c r="Y106" i="31"/>
  <c r="W106" i="31"/>
  <c r="S106" i="26"/>
  <c r="O106" i="26"/>
  <c r="M106" i="26"/>
  <c r="K106" i="26"/>
  <c r="S104" i="54"/>
  <c r="CY105" i="54"/>
  <c r="CM105" i="54"/>
  <c r="CA105" i="54"/>
  <c r="BC105" i="54"/>
  <c r="S105" i="54"/>
  <c r="DC105" i="54"/>
  <c r="AI105" i="54"/>
  <c r="CE105" i="54"/>
  <c r="W105" i="54"/>
  <c r="AU104" i="54"/>
  <c r="AE104" i="54"/>
  <c r="AI104" i="54"/>
  <c r="O104" i="54"/>
  <c r="BM104" i="54"/>
  <c r="K105" i="54"/>
  <c r="AG105" i="54"/>
  <c r="AM105" i="54"/>
  <c r="Y105" i="54"/>
  <c r="CO105" i="54"/>
  <c r="BU105" i="54"/>
  <c r="A106" i="54"/>
  <c r="Q105" i="54"/>
  <c r="BK105" i="54"/>
  <c r="AY105" i="54"/>
  <c r="AO105" i="54"/>
  <c r="DA105" i="54"/>
  <c r="CU105" i="54"/>
  <c r="BY105" i="54"/>
  <c r="C105" i="54"/>
  <c r="CS105" i="54"/>
  <c r="CW105" i="54"/>
  <c r="AW105" i="54"/>
  <c r="CI105" i="54"/>
  <c r="G105" i="54"/>
  <c r="BM105" i="54"/>
  <c r="M105" i="54"/>
  <c r="CC105" i="54"/>
  <c r="DE105" i="54"/>
  <c r="BQ105" i="54"/>
  <c r="U105" i="54"/>
  <c r="AA105" i="54"/>
  <c r="O105" i="54"/>
  <c r="AS105" i="54"/>
  <c r="AK105" i="54"/>
  <c r="AC105" i="54"/>
  <c r="BU104" i="54"/>
  <c r="CS104" i="54"/>
  <c r="AM104" i="54"/>
  <c r="CW104" i="54"/>
  <c r="E104" i="54"/>
  <c r="BQ104" i="54"/>
  <c r="AS104" i="54"/>
  <c r="AW104" i="54"/>
  <c r="AK104" i="54"/>
  <c r="BA104" i="54"/>
  <c r="AE104" i="26"/>
  <c r="AI104" i="26" s="1"/>
  <c r="W105" i="32"/>
  <c r="V105" i="32"/>
  <c r="F106" i="32"/>
  <c r="M106" i="32"/>
  <c r="N106" i="32" s="1"/>
  <c r="AD106" i="32"/>
  <c r="AE106" i="32"/>
  <c r="U106" i="32"/>
  <c r="BC106" i="32"/>
  <c r="BB106" i="32"/>
  <c r="AY106" i="32"/>
  <c r="AZ106" i="32"/>
  <c r="AT106" i="32"/>
  <c r="AU106" i="32"/>
  <c r="AB106" i="32"/>
  <c r="R106" i="32"/>
  <c r="J106" i="32"/>
  <c r="K106" i="32" s="1"/>
  <c r="AA106" i="32"/>
  <c r="A108" i="32"/>
  <c r="W104" i="32"/>
  <c r="AL106" i="32"/>
  <c r="AM106" i="32"/>
  <c r="C106" i="32"/>
  <c r="AJ106" i="32"/>
  <c r="L105" i="32"/>
  <c r="AQ106" i="32"/>
  <c r="AR106" i="32"/>
  <c r="S105" i="32"/>
  <c r="T105" i="32"/>
  <c r="D105" i="32"/>
  <c r="N105" i="31"/>
  <c r="O105" i="31" s="1"/>
  <c r="J105" i="31"/>
  <c r="K105" i="31" s="1"/>
  <c r="B105" i="31"/>
  <c r="C105" i="31" s="1"/>
  <c r="S105" i="31"/>
  <c r="AW104" i="31"/>
  <c r="BA104" i="31" s="1"/>
  <c r="AS104" i="31"/>
  <c r="AT104" i="31"/>
  <c r="AM104" i="31"/>
  <c r="BC105" i="31"/>
  <c r="AL105" i="31"/>
  <c r="I104" i="31"/>
  <c r="I105" i="31"/>
  <c r="AN105" i="31"/>
  <c r="BE105" i="31"/>
  <c r="AO104" i="31"/>
  <c r="AU104" i="31"/>
  <c r="AY104" i="31" s="1"/>
  <c r="AR105" i="31"/>
  <c r="AS105" i="31" s="1"/>
  <c r="BI105" i="31"/>
  <c r="BG105" i="31"/>
  <c r="AP105" i="31"/>
  <c r="BO106" i="31"/>
  <c r="BK106" i="31"/>
  <c r="A107" i="31"/>
  <c r="BQ106" i="31"/>
  <c r="BM106" i="31"/>
  <c r="AV104" i="31"/>
  <c r="AZ104" i="31" s="1"/>
  <c r="AQ104" i="31"/>
  <c r="U105" i="31"/>
  <c r="D105" i="31"/>
  <c r="E105" i="31" s="1"/>
  <c r="P105" i="31"/>
  <c r="Q105" i="31" s="1"/>
  <c r="L105" i="31"/>
  <c r="M105" i="31" s="1"/>
  <c r="G104" i="31"/>
  <c r="AS105" i="26"/>
  <c r="AU106" i="26"/>
  <c r="AS106" i="26"/>
  <c r="AO106" i="26"/>
  <c r="AW106" i="26"/>
  <c r="A107" i="26"/>
  <c r="AY106" i="26"/>
  <c r="X105" i="28"/>
  <c r="CB106" i="28"/>
  <c r="BA106" i="28"/>
  <c r="BZ106" i="28"/>
  <c r="CL106" i="28"/>
  <c r="BL104" i="28"/>
  <c r="AB104" i="26"/>
  <c r="U104" i="26"/>
  <c r="AH105" i="28"/>
  <c r="V105" i="26"/>
  <c r="AM105" i="26"/>
  <c r="CH106" i="28"/>
  <c r="BI104" i="28"/>
  <c r="CR105" i="28"/>
  <c r="X105" i="26"/>
  <c r="AO105" i="26"/>
  <c r="T105" i="26"/>
  <c r="U105" i="26" s="1"/>
  <c r="AK105" i="26"/>
  <c r="AK106" i="28"/>
  <c r="BT106" i="28"/>
  <c r="AS106" i="28"/>
  <c r="BR106" i="28"/>
  <c r="AY105" i="26"/>
  <c r="I105" i="28"/>
  <c r="E105" i="28"/>
  <c r="BH105" i="28"/>
  <c r="BB105" i="28"/>
  <c r="N104" i="28"/>
  <c r="AO106" i="28"/>
  <c r="AP106" i="28" s="1"/>
  <c r="BN106" i="28"/>
  <c r="CR106" i="28"/>
  <c r="CP106" i="28"/>
  <c r="G104" i="26"/>
  <c r="O105" i="26"/>
  <c r="S105" i="26"/>
  <c r="BF105" i="28"/>
  <c r="AT105" i="28"/>
  <c r="AZ104" i="28"/>
  <c r="AC105" i="28"/>
  <c r="AF103" i="26"/>
  <c r="AG103" i="26"/>
  <c r="BX106" i="28"/>
  <c r="AW106" i="28"/>
  <c r="BV106" i="28"/>
  <c r="K106" i="28"/>
  <c r="Q105" i="26"/>
  <c r="Z105" i="26"/>
  <c r="AQ105" i="26"/>
  <c r="BT105" i="28"/>
  <c r="AD104" i="26"/>
  <c r="L105" i="28"/>
  <c r="A108" i="28"/>
  <c r="CP107" i="28"/>
  <c r="B105" i="26"/>
  <c r="F105" i="26"/>
  <c r="G105" i="26" s="1"/>
  <c r="H105" i="26"/>
  <c r="I105" i="26" s="1"/>
  <c r="K105" i="26"/>
  <c r="BG105" i="28"/>
  <c r="AH106" i="28"/>
  <c r="AC106" i="28"/>
  <c r="AU105" i="26"/>
  <c r="BE105" i="28"/>
  <c r="AP105" i="28"/>
  <c r="BX105" i="28"/>
  <c r="C104" i="26"/>
  <c r="AC104" i="26"/>
  <c r="W104" i="26"/>
  <c r="CD106" i="28"/>
  <c r="I104" i="26"/>
  <c r="AH103" i="26"/>
  <c r="Q107" i="28" l="1"/>
  <c r="AA107" i="31"/>
  <c r="Y107" i="31"/>
  <c r="AK107" i="31"/>
  <c r="U107" i="31"/>
  <c r="AI107" i="31"/>
  <c r="AC107" i="31"/>
  <c r="K107" i="26"/>
  <c r="S107" i="26"/>
  <c r="I108" i="28"/>
  <c r="AM108" i="32"/>
  <c r="AJ108" i="32"/>
  <c r="L106" i="28"/>
  <c r="N106" i="28"/>
  <c r="C107" i="32"/>
  <c r="D107" i="32"/>
  <c r="AM107" i="32"/>
  <c r="AE106" i="54"/>
  <c r="CY106" i="54"/>
  <c r="CM106" i="54"/>
  <c r="S106" i="54"/>
  <c r="CQ106" i="54"/>
  <c r="BG105" i="54"/>
  <c r="AQ105" i="54"/>
  <c r="CQ105" i="54"/>
  <c r="AE105" i="54"/>
  <c r="AU105" i="54"/>
  <c r="CK105" i="54"/>
  <c r="BI105" i="54"/>
  <c r="K106" i="54"/>
  <c r="BE106" i="54"/>
  <c r="AY106" i="54"/>
  <c r="CS106" i="54"/>
  <c r="Y106" i="54"/>
  <c r="CI106" i="54"/>
  <c r="DA106" i="54"/>
  <c r="Q106" i="54"/>
  <c r="BU106" i="54"/>
  <c r="C106" i="54"/>
  <c r="AW106" i="54"/>
  <c r="CU106" i="54"/>
  <c r="U106" i="54"/>
  <c r="BI106" i="54"/>
  <c r="E106" i="54"/>
  <c r="BA106" i="54"/>
  <c r="A107" i="54"/>
  <c r="AA106" i="54"/>
  <c r="BM106" i="54"/>
  <c r="CK106" i="54"/>
  <c r="BK106" i="54"/>
  <c r="DE106" i="54"/>
  <c r="G106" i="54"/>
  <c r="AC106" i="54"/>
  <c r="BQ106" i="54"/>
  <c r="AK106" i="54"/>
  <c r="AM106" i="54"/>
  <c r="CC106" i="54"/>
  <c r="I106" i="54"/>
  <c r="CO106" i="54"/>
  <c r="BW106" i="54"/>
  <c r="CG106" i="54"/>
  <c r="BA105" i="54"/>
  <c r="BE105" i="54"/>
  <c r="I105" i="54"/>
  <c r="CG105" i="54"/>
  <c r="BW105" i="54"/>
  <c r="E105" i="54"/>
  <c r="Q106" i="26"/>
  <c r="BB107" i="32"/>
  <c r="BC107" i="32"/>
  <c r="AU107" i="32"/>
  <c r="AT107" i="32"/>
  <c r="AB107" i="32"/>
  <c r="R107" i="32"/>
  <c r="J107" i="32"/>
  <c r="K107" i="32" s="1"/>
  <c r="AJ107" i="32"/>
  <c r="AI107" i="32"/>
  <c r="G106" i="32"/>
  <c r="Q106" i="32"/>
  <c r="O106" i="32" s="1"/>
  <c r="AE107" i="32"/>
  <c r="M107" i="32"/>
  <c r="N107" i="32" s="1"/>
  <c r="U107" i="32"/>
  <c r="AD107" i="32"/>
  <c r="AQ107" i="32"/>
  <c r="AR107" i="32"/>
  <c r="P106" i="32"/>
  <c r="L106" i="32" s="1"/>
  <c r="D106" i="32"/>
  <c r="F107" i="32"/>
  <c r="A109" i="32"/>
  <c r="S106" i="32"/>
  <c r="W106" i="32"/>
  <c r="V106" i="32"/>
  <c r="AL107" i="32"/>
  <c r="AZ107" i="32"/>
  <c r="AY107" i="32"/>
  <c r="AA107" i="32"/>
  <c r="V106" i="26"/>
  <c r="W106" i="26" s="1"/>
  <c r="AX104" i="31"/>
  <c r="AG106" i="31"/>
  <c r="AU105" i="31"/>
  <c r="AY105" i="31" s="1"/>
  <c r="AO105" i="31"/>
  <c r="AI106" i="31"/>
  <c r="BE107" i="31"/>
  <c r="A108" i="31"/>
  <c r="BO107" i="31"/>
  <c r="BQ107" i="31"/>
  <c r="BM107" i="31"/>
  <c r="BK107" i="31"/>
  <c r="U106" i="31"/>
  <c r="L106" i="31"/>
  <c r="M106" i="31" s="1"/>
  <c r="P106" i="31"/>
  <c r="D106" i="31"/>
  <c r="E106" i="31" s="1"/>
  <c r="AT105" i="31"/>
  <c r="AX105" i="31" s="1"/>
  <c r="AM105" i="31"/>
  <c r="AA106" i="31"/>
  <c r="B106" i="31"/>
  <c r="C106" i="31" s="1"/>
  <c r="N106" i="31"/>
  <c r="O106" i="31" s="1"/>
  <c r="J106" i="31"/>
  <c r="S106" i="31"/>
  <c r="AC106" i="31"/>
  <c r="AR106" i="31"/>
  <c r="BI106" i="31"/>
  <c r="AV105" i="31"/>
  <c r="AZ105" i="31" s="1"/>
  <c r="AQ105" i="31"/>
  <c r="G105" i="31"/>
  <c r="G106" i="31"/>
  <c r="AL106" i="31"/>
  <c r="BC106" i="31"/>
  <c r="AW105" i="31"/>
  <c r="BA105" i="31" s="1"/>
  <c r="AP106" i="31"/>
  <c r="BG106" i="31"/>
  <c r="AN106" i="31"/>
  <c r="BE106" i="31"/>
  <c r="AM106" i="26"/>
  <c r="BI105" i="28"/>
  <c r="CF106" i="28"/>
  <c r="AR105" i="28"/>
  <c r="CD107" i="28"/>
  <c r="CJ107" i="28"/>
  <c r="CH107" i="28"/>
  <c r="CL107" i="28"/>
  <c r="C105" i="26"/>
  <c r="AH107" i="28"/>
  <c r="AZ106" i="28"/>
  <c r="BG106" i="28"/>
  <c r="AX106" i="28"/>
  <c r="AM106" i="28"/>
  <c r="H106" i="28"/>
  <c r="V107" i="28"/>
  <c r="CN107" i="28"/>
  <c r="CN106" i="28"/>
  <c r="X106" i="26"/>
  <c r="Y106" i="26" s="1"/>
  <c r="AC107" i="28"/>
  <c r="BD105" i="28"/>
  <c r="AC105" i="26"/>
  <c r="AG105" i="26" s="1"/>
  <c r="W105" i="26"/>
  <c r="C107" i="28"/>
  <c r="AW107" i="28"/>
  <c r="BV107" i="28"/>
  <c r="BV108" i="28"/>
  <c r="A109" i="28"/>
  <c r="BZ108" i="28"/>
  <c r="BR108" i="28"/>
  <c r="S106" i="28"/>
  <c r="AV105" i="28"/>
  <c r="AD105" i="26"/>
  <c r="Y105" i="26"/>
  <c r="X107" i="28"/>
  <c r="X106" i="28"/>
  <c r="F106" i="26"/>
  <c r="B106" i="26"/>
  <c r="C106" i="26" s="1"/>
  <c r="H106" i="26"/>
  <c r="Z106" i="26"/>
  <c r="AQ106" i="26"/>
  <c r="I106" i="28"/>
  <c r="J106" i="28" s="1"/>
  <c r="E106" i="28"/>
  <c r="AS107" i="28"/>
  <c r="BR107" i="28"/>
  <c r="AH104" i="26"/>
  <c r="BJ105" i="28"/>
  <c r="BD106" i="28"/>
  <c r="BH106" i="28"/>
  <c r="BL106" i="28" s="1"/>
  <c r="BB106" i="28"/>
  <c r="J105" i="28"/>
  <c r="AS107" i="26"/>
  <c r="A108" i="26"/>
  <c r="I107" i="28"/>
  <c r="AA107" i="28"/>
  <c r="BP107" i="28"/>
  <c r="AO107" i="28"/>
  <c r="AP107" i="28" s="1"/>
  <c r="BN107" i="28"/>
  <c r="AE105" i="26"/>
  <c r="AA105" i="26"/>
  <c r="BF106" i="28"/>
  <c r="AT106" i="28"/>
  <c r="AF104" i="26"/>
  <c r="T106" i="26"/>
  <c r="AK106" i="26"/>
  <c r="AZ105" i="28"/>
  <c r="AF107" i="28"/>
  <c r="AG104" i="26"/>
  <c r="K107" i="28"/>
  <c r="H107" i="28"/>
  <c r="BE106" i="28"/>
  <c r="AR106" i="28"/>
  <c r="N105" i="28"/>
  <c r="AB105" i="26"/>
  <c r="BK105" i="28"/>
  <c r="CJ106" i="28"/>
  <c r="BL105" i="28"/>
  <c r="BA107" i="28"/>
  <c r="BZ107" i="28"/>
  <c r="BP106" i="28"/>
  <c r="AK107" i="28"/>
  <c r="E106" i="26"/>
  <c r="E105" i="26"/>
  <c r="Q108" i="28" l="1"/>
  <c r="AA108" i="31"/>
  <c r="W108" i="31"/>
  <c r="S108" i="31"/>
  <c r="Y108" i="31"/>
  <c r="AC109" i="28"/>
  <c r="AM109" i="28"/>
  <c r="L107" i="28"/>
  <c r="N107" i="28"/>
  <c r="Q109" i="32"/>
  <c r="P109" i="32"/>
  <c r="S108" i="26"/>
  <c r="O108" i="26"/>
  <c r="M108" i="26"/>
  <c r="K108" i="26"/>
  <c r="AG107" i="31"/>
  <c r="AA108" i="32"/>
  <c r="G107" i="31"/>
  <c r="AQ107" i="54"/>
  <c r="AE107" i="54"/>
  <c r="CY107" i="54"/>
  <c r="CQ107" i="54"/>
  <c r="AU107" i="54"/>
  <c r="AI107" i="54"/>
  <c r="W107" i="54"/>
  <c r="DC106" i="54"/>
  <c r="CE106" i="54"/>
  <c r="W106" i="54"/>
  <c r="CA106" i="54"/>
  <c r="AI106" i="54"/>
  <c r="BG106" i="54"/>
  <c r="AU106" i="54"/>
  <c r="AQ106" i="54"/>
  <c r="BC106" i="54"/>
  <c r="AS106" i="54"/>
  <c r="CW106" i="54"/>
  <c r="O106" i="54"/>
  <c r="K107" i="54"/>
  <c r="U107" i="54"/>
  <c r="BA107" i="54"/>
  <c r="AS107" i="54"/>
  <c r="E107" i="54"/>
  <c r="AO107" i="54"/>
  <c r="CO107" i="54"/>
  <c r="CW107" i="54"/>
  <c r="BU107" i="54"/>
  <c r="O107" i="54"/>
  <c r="CC107" i="54"/>
  <c r="BM107" i="54"/>
  <c r="AG107" i="54"/>
  <c r="BY107" i="54"/>
  <c r="BQ107" i="54"/>
  <c r="C107" i="54"/>
  <c r="A108" i="54"/>
  <c r="CU107" i="54"/>
  <c r="I107" i="54"/>
  <c r="BK107" i="54"/>
  <c r="M107" i="54"/>
  <c r="AG106" i="54"/>
  <c r="AO106" i="54"/>
  <c r="BY106" i="54"/>
  <c r="M106" i="54"/>
  <c r="AM108" i="28"/>
  <c r="A110" i="32"/>
  <c r="Q107" i="32"/>
  <c r="O107" i="32" s="1"/>
  <c r="G107" i="32"/>
  <c r="T106" i="32"/>
  <c r="AE108" i="32"/>
  <c r="U108" i="32"/>
  <c r="M108" i="32"/>
  <c r="N108" i="32" s="1"/>
  <c r="Q108" i="32"/>
  <c r="F108" i="32"/>
  <c r="AT108" i="32"/>
  <c r="C108" i="32"/>
  <c r="L107" i="32"/>
  <c r="AL108" i="32"/>
  <c r="AY108" i="32"/>
  <c r="AZ108" i="32"/>
  <c r="AB108" i="32"/>
  <c r="R108" i="32"/>
  <c r="J108" i="32"/>
  <c r="K108" i="32" s="1"/>
  <c r="AD108" i="32"/>
  <c r="BB108" i="32"/>
  <c r="W107" i="32"/>
  <c r="S107" i="32"/>
  <c r="T107" i="32"/>
  <c r="AI108" i="32"/>
  <c r="AQ108" i="32"/>
  <c r="AR108" i="32"/>
  <c r="V107" i="32"/>
  <c r="AL107" i="31"/>
  <c r="AM107" i="31" s="1"/>
  <c r="CP108" i="28"/>
  <c r="CJ108" i="28"/>
  <c r="AN107" i="31"/>
  <c r="AO107" i="31" s="1"/>
  <c r="AC108" i="28"/>
  <c r="C108" i="28"/>
  <c r="J108" i="28"/>
  <c r="Q106" i="31"/>
  <c r="A109" i="31"/>
  <c r="BM108" i="31"/>
  <c r="BQ108" i="31"/>
  <c r="BK108" i="31"/>
  <c r="BO108" i="31"/>
  <c r="AW106" i="31"/>
  <c r="BA106" i="31" s="1"/>
  <c r="AS106" i="31"/>
  <c r="J107" i="31"/>
  <c r="K107" i="31" s="1"/>
  <c r="B107" i="31"/>
  <c r="C107" i="31" s="1"/>
  <c r="N107" i="31"/>
  <c r="O107" i="31" s="1"/>
  <c r="S107" i="31"/>
  <c r="AU106" i="31"/>
  <c r="AY106" i="31" s="1"/>
  <c r="AO106" i="31"/>
  <c r="BI107" i="31"/>
  <c r="AR107" i="31"/>
  <c r="BG107" i="31"/>
  <c r="AP107" i="31"/>
  <c r="K106" i="31"/>
  <c r="AV106" i="31"/>
  <c r="AQ106" i="31"/>
  <c r="W107" i="31"/>
  <c r="AM106" i="31"/>
  <c r="AT106" i="31"/>
  <c r="AX106" i="31" s="1"/>
  <c r="AK108" i="28"/>
  <c r="AE107" i="31"/>
  <c r="I106" i="31"/>
  <c r="I107" i="31"/>
  <c r="D107" i="31"/>
  <c r="E107" i="31" s="1"/>
  <c r="L107" i="31"/>
  <c r="M107" i="31" s="1"/>
  <c r="P107" i="31"/>
  <c r="Q107" i="31" s="1"/>
  <c r="BC107" i="31"/>
  <c r="Q107" i="26"/>
  <c r="AC106" i="26"/>
  <c r="AG106" i="26" s="1"/>
  <c r="J107" i="28"/>
  <c r="E108" i="28"/>
  <c r="E107" i="28"/>
  <c r="CR108" i="28"/>
  <c r="E107" i="26"/>
  <c r="CB107" i="28"/>
  <c r="T107" i="26"/>
  <c r="AK107" i="26"/>
  <c r="AS108" i="26"/>
  <c r="A109" i="26"/>
  <c r="AQ108" i="26"/>
  <c r="AY108" i="26"/>
  <c r="AM108" i="26"/>
  <c r="AW108" i="26"/>
  <c r="AU108" i="26"/>
  <c r="G106" i="26"/>
  <c r="AF105" i="26"/>
  <c r="AI105" i="26"/>
  <c r="M107" i="26"/>
  <c r="S107" i="28"/>
  <c r="V108" i="28"/>
  <c r="BI106" i="28"/>
  <c r="BK106" i="28"/>
  <c r="V107" i="26"/>
  <c r="AM107" i="26"/>
  <c r="AE106" i="26"/>
  <c r="AI106" i="26" s="1"/>
  <c r="AA106" i="26"/>
  <c r="AH105" i="26"/>
  <c r="CL108" i="28"/>
  <c r="AO108" i="28"/>
  <c r="AP108" i="28" s="1"/>
  <c r="BN108" i="28"/>
  <c r="CR107" i="28"/>
  <c r="BE107" i="28"/>
  <c r="BI107" i="28" s="1"/>
  <c r="AR107" i="28"/>
  <c r="AU107" i="26"/>
  <c r="K108" i="28"/>
  <c r="H108" i="28"/>
  <c r="BV109" i="28"/>
  <c r="CR109" i="28"/>
  <c r="AM107" i="28"/>
  <c r="I106" i="26"/>
  <c r="X107" i="26"/>
  <c r="AO107" i="26"/>
  <c r="B107" i="26"/>
  <c r="F107" i="26"/>
  <c r="G107" i="26" s="1"/>
  <c r="H107" i="26"/>
  <c r="AZ107" i="28"/>
  <c r="BG107" i="28"/>
  <c r="BK107" i="28" s="1"/>
  <c r="AX107" i="28"/>
  <c r="AA108" i="28"/>
  <c r="AF108" i="28"/>
  <c r="AB106" i="26"/>
  <c r="AF106" i="26" s="1"/>
  <c r="U106" i="26"/>
  <c r="BT108" i="28"/>
  <c r="AS108" i="28"/>
  <c r="AT108" i="28" s="1"/>
  <c r="BX107" i="28"/>
  <c r="AH108" i="28"/>
  <c r="CH108" i="28"/>
  <c r="CF107" i="28"/>
  <c r="BJ106" i="28"/>
  <c r="AW107" i="26"/>
  <c r="Z107" i="26"/>
  <c r="AQ107" i="26"/>
  <c r="AV107" i="28"/>
  <c r="BF107" i="28"/>
  <c r="BJ107" i="28" s="1"/>
  <c r="AT107" i="28"/>
  <c r="AV106" i="28"/>
  <c r="CB108" i="28"/>
  <c r="BA108" i="28"/>
  <c r="BX108" i="28"/>
  <c r="AW108" i="28"/>
  <c r="BH107" i="28"/>
  <c r="BL107" i="28" s="1"/>
  <c r="BD107" i="28"/>
  <c r="BB107" i="28"/>
  <c r="AY107" i="26"/>
  <c r="O107" i="26"/>
  <c r="BT107" i="28"/>
  <c r="CF108" i="28"/>
  <c r="CD108" i="28"/>
  <c r="AD106" i="26"/>
  <c r="AR108" i="31" l="1"/>
  <c r="BB109" i="32"/>
  <c r="Y109" i="31"/>
  <c r="W109" i="31"/>
  <c r="AI109" i="31"/>
  <c r="S109" i="31"/>
  <c r="AC109" i="31"/>
  <c r="AA109" i="31"/>
  <c r="AK109" i="31"/>
  <c r="L108" i="28"/>
  <c r="S109" i="26"/>
  <c r="E109" i="26"/>
  <c r="O109" i="26"/>
  <c r="M109" i="26"/>
  <c r="S108" i="32"/>
  <c r="F109" i="32"/>
  <c r="C109" i="32"/>
  <c r="D109" i="32"/>
  <c r="O109" i="32"/>
  <c r="BG107" i="54"/>
  <c r="CA107" i="54"/>
  <c r="DC107" i="54"/>
  <c r="CE107" i="54"/>
  <c r="CM107" i="54"/>
  <c r="BC107" i="54"/>
  <c r="AQ108" i="54"/>
  <c r="AE108" i="54"/>
  <c r="DC108" i="54"/>
  <c r="CE108" i="54"/>
  <c r="S108" i="54"/>
  <c r="AI108" i="54"/>
  <c r="S107" i="54"/>
  <c r="AC107" i="54"/>
  <c r="AW107" i="54"/>
  <c r="AY107" i="54"/>
  <c r="CK107" i="54"/>
  <c r="CG107" i="54"/>
  <c r="CI107" i="54"/>
  <c r="G107" i="54"/>
  <c r="DA107" i="54"/>
  <c r="Y107" i="54"/>
  <c r="AK107" i="54"/>
  <c r="BE107" i="54"/>
  <c r="DE107" i="54"/>
  <c r="BI107" i="54"/>
  <c r="CS107" i="54"/>
  <c r="AA107" i="54"/>
  <c r="Q107" i="54"/>
  <c r="K108" i="54"/>
  <c r="BQ108" i="54"/>
  <c r="U108" i="54"/>
  <c r="Q108" i="54"/>
  <c r="M108" i="54"/>
  <c r="AW108" i="54"/>
  <c r="DE108" i="54"/>
  <c r="BI108" i="54"/>
  <c r="CC108" i="54"/>
  <c r="Y108" i="54"/>
  <c r="AC108" i="54"/>
  <c r="BW108" i="54"/>
  <c r="AA108" i="54"/>
  <c r="A109" i="54"/>
  <c r="CS108" i="54"/>
  <c r="BM108" i="54"/>
  <c r="BY108" i="54"/>
  <c r="BK108" i="54"/>
  <c r="AG108" i="54"/>
  <c r="E108" i="54"/>
  <c r="G108" i="54"/>
  <c r="I108" i="54"/>
  <c r="CW108" i="54"/>
  <c r="AM108" i="54"/>
  <c r="CG108" i="54"/>
  <c r="BU108" i="54"/>
  <c r="DA108" i="54"/>
  <c r="CU108" i="54"/>
  <c r="BE108" i="54"/>
  <c r="CI108" i="54"/>
  <c r="AS108" i="54"/>
  <c r="CO108" i="54"/>
  <c r="C108" i="54"/>
  <c r="AO108" i="54"/>
  <c r="BA108" i="54"/>
  <c r="BW107" i="54"/>
  <c r="AM107" i="54"/>
  <c r="Q108" i="26"/>
  <c r="O108" i="32"/>
  <c r="AS108" i="31"/>
  <c r="G109" i="32"/>
  <c r="AU108" i="32"/>
  <c r="R109" i="32"/>
  <c r="AB109" i="32"/>
  <c r="AA109" i="32"/>
  <c r="J109" i="32"/>
  <c r="K109" i="32" s="1"/>
  <c r="AY109" i="32"/>
  <c r="G108" i="32"/>
  <c r="BC108" i="32"/>
  <c r="BC109" i="32"/>
  <c r="AI109" i="32"/>
  <c r="AJ109" i="32"/>
  <c r="AM109" i="32"/>
  <c r="AL109" i="32"/>
  <c r="P108" i="32"/>
  <c r="D108" i="32"/>
  <c r="V108" i="32"/>
  <c r="AD109" i="32"/>
  <c r="U109" i="32"/>
  <c r="AE109" i="32"/>
  <c r="M109" i="32"/>
  <c r="N109" i="32" s="1"/>
  <c r="AU109" i="32"/>
  <c r="AT109" i="32"/>
  <c r="A111" i="32"/>
  <c r="T108" i="32"/>
  <c r="AR109" i="32"/>
  <c r="AQ109" i="32"/>
  <c r="AN108" i="31"/>
  <c r="AO108" i="31" s="1"/>
  <c r="CD109" i="28"/>
  <c r="AZ106" i="31"/>
  <c r="T108" i="26"/>
  <c r="U108" i="26" s="1"/>
  <c r="D108" i="31"/>
  <c r="E108" i="31" s="1"/>
  <c r="L108" i="31"/>
  <c r="P108" i="31"/>
  <c r="Q108" i="31" s="1"/>
  <c r="U108" i="31"/>
  <c r="AI108" i="31"/>
  <c r="BE108" i="31"/>
  <c r="AG108" i="31"/>
  <c r="B108" i="31"/>
  <c r="C108" i="31" s="1"/>
  <c r="N108" i="31"/>
  <c r="O108" i="31" s="1"/>
  <c r="J108" i="31"/>
  <c r="K108" i="31" s="1"/>
  <c r="BC108" i="31"/>
  <c r="AL108" i="31"/>
  <c r="BI109" i="31"/>
  <c r="BO109" i="31"/>
  <c r="BM109" i="31"/>
  <c r="BK109" i="31"/>
  <c r="A110" i="31"/>
  <c r="BQ109" i="31"/>
  <c r="AE108" i="31"/>
  <c r="BI108" i="31"/>
  <c r="AP108" i="31"/>
  <c r="BG108" i="31"/>
  <c r="AV107" i="31"/>
  <c r="AZ107" i="31" s="1"/>
  <c r="AT107" i="31"/>
  <c r="AX107" i="31" s="1"/>
  <c r="AU107" i="31"/>
  <c r="AY107" i="31" s="1"/>
  <c r="AQ107" i="31"/>
  <c r="AK108" i="31"/>
  <c r="AC108" i="31"/>
  <c r="AS107" i="31"/>
  <c r="AW107" i="31"/>
  <c r="BA107" i="31" s="1"/>
  <c r="AK109" i="28"/>
  <c r="N108" i="28"/>
  <c r="CF109" i="28"/>
  <c r="E108" i="26"/>
  <c r="BH108" i="28"/>
  <c r="BD108" i="28"/>
  <c r="BF108" i="28"/>
  <c r="BJ108" i="28" s="1"/>
  <c r="AV108" i="28"/>
  <c r="BT109" i="28"/>
  <c r="AS109" i="28"/>
  <c r="BR109" i="28"/>
  <c r="BP109" i="28"/>
  <c r="AO109" i="28"/>
  <c r="BN109" i="28"/>
  <c r="V109" i="28"/>
  <c r="V108" i="26"/>
  <c r="W108" i="26" s="1"/>
  <c r="BB108" i="28"/>
  <c r="CB109" i="28"/>
  <c r="BA109" i="28"/>
  <c r="BZ109" i="28"/>
  <c r="CN108" i="28"/>
  <c r="S108" i="28"/>
  <c r="S109" i="28"/>
  <c r="H109" i="28"/>
  <c r="K109" i="28"/>
  <c r="Q109" i="28"/>
  <c r="I109" i="28"/>
  <c r="J109" i="28" s="1"/>
  <c r="E109" i="28"/>
  <c r="AC107" i="26"/>
  <c r="AG107" i="26" s="1"/>
  <c r="W107" i="26"/>
  <c r="H108" i="26"/>
  <c r="I108" i="26" s="1"/>
  <c r="F108" i="26"/>
  <c r="G108" i="26" s="1"/>
  <c r="B108" i="26"/>
  <c r="C108" i="26" s="1"/>
  <c r="AD107" i="26"/>
  <c r="AH107" i="26" s="1"/>
  <c r="Y107" i="26"/>
  <c r="X108" i="28"/>
  <c r="X109" i="28"/>
  <c r="CP109" i="28"/>
  <c r="X108" i="26"/>
  <c r="Y108" i="26" s="1"/>
  <c r="AO108" i="26"/>
  <c r="CN109" i="28"/>
  <c r="CL109" i="28"/>
  <c r="CJ109" i="28"/>
  <c r="CH109" i="28"/>
  <c r="Z108" i="26"/>
  <c r="AK108" i="26"/>
  <c r="AB107" i="26"/>
  <c r="AF107" i="26" s="1"/>
  <c r="U107" i="26"/>
  <c r="C107" i="26"/>
  <c r="AH106" i="26"/>
  <c r="BG108" i="28"/>
  <c r="BK108" i="28" s="1"/>
  <c r="AZ108" i="28"/>
  <c r="AX108" i="28"/>
  <c r="I107" i="26"/>
  <c r="AH109" i="28"/>
  <c r="AF109" i="28"/>
  <c r="C109" i="28"/>
  <c r="AR108" i="28"/>
  <c r="BE108" i="28"/>
  <c r="BI108" i="28" s="1"/>
  <c r="AS109" i="26"/>
  <c r="AY109" i="26"/>
  <c r="AW109" i="26"/>
  <c r="AU109" i="26"/>
  <c r="AE107" i="26"/>
  <c r="AA107" i="26"/>
  <c r="BX109" i="28"/>
  <c r="AW109" i="28"/>
  <c r="BP108" i="28"/>
  <c r="AA109" i="28"/>
  <c r="T109" i="26" l="1"/>
  <c r="U109" i="26" s="1"/>
  <c r="AK110" i="31"/>
  <c r="AI110" i="31"/>
  <c r="AC110" i="31"/>
  <c r="AA110" i="31"/>
  <c r="Y110" i="31"/>
  <c r="W110" i="31"/>
  <c r="N109" i="28"/>
  <c r="AM111" i="32"/>
  <c r="AN109" i="31"/>
  <c r="AO109" i="31" s="1"/>
  <c r="AP109" i="31"/>
  <c r="AQ109" i="31" s="1"/>
  <c r="AU108" i="54"/>
  <c r="CM109" i="54"/>
  <c r="CA109" i="54"/>
  <c r="BC109" i="54"/>
  <c r="AQ109" i="54"/>
  <c r="DC109" i="54"/>
  <c r="CQ109" i="54"/>
  <c r="BG109" i="54"/>
  <c r="CE109" i="54"/>
  <c r="CY109" i="54"/>
  <c r="AE109" i="54"/>
  <c r="S109" i="54"/>
  <c r="AI109" i="54"/>
  <c r="W109" i="54"/>
  <c r="AU109" i="54"/>
  <c r="BC108" i="54"/>
  <c r="CY108" i="54"/>
  <c r="CA108" i="54"/>
  <c r="BG108" i="54"/>
  <c r="W108" i="54"/>
  <c r="CM108" i="54"/>
  <c r="CQ108" i="54"/>
  <c r="AY108" i="54"/>
  <c r="K109" i="54"/>
  <c r="E109" i="54"/>
  <c r="AY109" i="54"/>
  <c r="G109" i="54"/>
  <c r="U109" i="54"/>
  <c r="CK109" i="54"/>
  <c r="Y109" i="54"/>
  <c r="C109" i="54"/>
  <c r="BQ109" i="54"/>
  <c r="BI109" i="54"/>
  <c r="BM109" i="54"/>
  <c r="AM109" i="54"/>
  <c r="DE109" i="54"/>
  <c r="I109" i="54"/>
  <c r="BE109" i="54"/>
  <c r="DA109" i="54"/>
  <c r="CU109" i="54"/>
  <c r="CS109" i="54"/>
  <c r="BK109" i="54"/>
  <c r="AW109" i="54"/>
  <c r="CO109" i="54"/>
  <c r="BW109" i="54"/>
  <c r="AK109" i="54"/>
  <c r="M109" i="54"/>
  <c r="CI109" i="54"/>
  <c r="O109" i="54"/>
  <c r="AS109" i="54"/>
  <c r="AC109" i="54"/>
  <c r="CC109" i="54"/>
  <c r="CW109" i="54"/>
  <c r="AO109" i="54"/>
  <c r="CG109" i="54"/>
  <c r="BA109" i="54"/>
  <c r="Q109" i="54"/>
  <c r="BY109" i="54"/>
  <c r="AA109" i="54"/>
  <c r="AG109" i="54"/>
  <c r="BU109" i="54"/>
  <c r="O108" i="54"/>
  <c r="AK108" i="54"/>
  <c r="CK108" i="54"/>
  <c r="AQ32" i="3"/>
  <c r="AQ33" i="3" s="1"/>
  <c r="AQ112" i="3"/>
  <c r="AQ113" i="3" s="1"/>
  <c r="AQ79" i="3"/>
  <c r="AQ80" i="3" s="1"/>
  <c r="AQ55" i="3"/>
  <c r="AQ56" i="3" s="1"/>
  <c r="AQ85" i="3"/>
  <c r="AQ86" i="3" s="1"/>
  <c r="BB110" i="32"/>
  <c r="AM110" i="32"/>
  <c r="AL110" i="32"/>
  <c r="AI110" i="32"/>
  <c r="AJ110" i="32"/>
  <c r="AE110" i="32"/>
  <c r="U110" i="32"/>
  <c r="M110" i="32"/>
  <c r="N110" i="32" s="1"/>
  <c r="F110" i="32"/>
  <c r="W108" i="32"/>
  <c r="W109" i="32"/>
  <c r="AB110" i="32"/>
  <c r="R110" i="32"/>
  <c r="J110" i="32"/>
  <c r="K110" i="32" s="1"/>
  <c r="AA110" i="32"/>
  <c r="AQ110" i="32"/>
  <c r="V109" i="32"/>
  <c r="C110" i="32"/>
  <c r="S109" i="32"/>
  <c r="T109" i="32"/>
  <c r="AS26" i="58"/>
  <c r="AS43" i="58"/>
  <c r="AS79" i="58"/>
  <c r="AS61" i="58"/>
  <c r="AS62" i="58" s="1"/>
  <c r="AQ61" i="57"/>
  <c r="AQ62" i="57" s="1"/>
  <c r="AS49" i="58"/>
  <c r="AS67" i="58"/>
  <c r="AS68" i="58" s="1"/>
  <c r="AQ67" i="57"/>
  <c r="AQ68" i="57" s="1"/>
  <c r="AS85" i="58"/>
  <c r="AT110" i="32"/>
  <c r="AZ109" i="32"/>
  <c r="L109" i="32"/>
  <c r="L108" i="32"/>
  <c r="AZ110" i="32"/>
  <c r="AY110" i="32"/>
  <c r="AD110" i="32"/>
  <c r="BG109" i="31"/>
  <c r="AE108" i="26"/>
  <c r="AI108" i="26" s="1"/>
  <c r="AA108" i="26"/>
  <c r="AL109" i="31"/>
  <c r="BC109" i="31"/>
  <c r="N109" i="31"/>
  <c r="J109" i="31"/>
  <c r="K109" i="31" s="1"/>
  <c r="B109" i="31"/>
  <c r="G109" i="31"/>
  <c r="AE109" i="31"/>
  <c r="I108" i="31"/>
  <c r="I109" i="31"/>
  <c r="AG109" i="31"/>
  <c r="AQ108" i="31"/>
  <c r="AV108" i="31"/>
  <c r="BE109" i="31"/>
  <c r="G108" i="31"/>
  <c r="AR109" i="31"/>
  <c r="BK110" i="31"/>
  <c r="BQ110" i="31"/>
  <c r="BO110" i="31"/>
  <c r="BM110" i="31"/>
  <c r="AW108" i="31"/>
  <c r="BA108" i="31" s="1"/>
  <c r="AU108" i="31"/>
  <c r="AT108" i="31"/>
  <c r="AX108" i="31" s="1"/>
  <c r="AM108" i="31"/>
  <c r="M108" i="31"/>
  <c r="U109" i="31"/>
  <c r="P109" i="31"/>
  <c r="Q109" i="31" s="1"/>
  <c r="D109" i="31"/>
  <c r="E109" i="31" s="1"/>
  <c r="L109" i="31"/>
  <c r="M109" i="31" s="1"/>
  <c r="L109" i="28"/>
  <c r="AI107" i="26"/>
  <c r="Q109" i="26"/>
  <c r="AV109" i="28"/>
  <c r="BF109" i="28"/>
  <c r="BJ109" i="28" s="1"/>
  <c r="AT109" i="28"/>
  <c r="X109" i="26"/>
  <c r="AO109" i="26"/>
  <c r="AC108" i="26"/>
  <c r="AG108" i="26" s="1"/>
  <c r="V109" i="26"/>
  <c r="AM109" i="26"/>
  <c r="BD109" i="28"/>
  <c r="BH109" i="28"/>
  <c r="BL109" i="28" s="1"/>
  <c r="BB109" i="28"/>
  <c r="BL108" i="28"/>
  <c r="AQ50" i="65"/>
  <c r="AQ52" i="65" s="1"/>
  <c r="AQ33" i="66"/>
  <c r="AQ35" i="66" s="1"/>
  <c r="AQ68" i="65"/>
  <c r="AQ8" i="65"/>
  <c r="AQ84" i="67"/>
  <c r="AQ86" i="67" s="1"/>
  <c r="AQ67" i="67"/>
  <c r="AQ69" i="67" s="1"/>
  <c r="AQ25" i="66"/>
  <c r="AQ65" i="67"/>
  <c r="AQ82" i="66"/>
  <c r="AQ51" i="64"/>
  <c r="AQ27" i="64"/>
  <c r="AQ29" i="64" s="1"/>
  <c r="AQ24" i="64"/>
  <c r="AQ5" i="63"/>
  <c r="AQ55" i="63"/>
  <c r="AQ83" i="63"/>
  <c r="AQ59" i="62"/>
  <c r="AQ25" i="62"/>
  <c r="AQ9" i="62"/>
  <c r="AQ61" i="61"/>
  <c r="AQ11" i="61"/>
  <c r="AQ84" i="65"/>
  <c r="AQ86" i="65" s="1"/>
  <c r="AQ67" i="66"/>
  <c r="AQ69" i="66" s="1"/>
  <c r="AQ14" i="65"/>
  <c r="AQ45" i="66"/>
  <c r="AQ15" i="67"/>
  <c r="AQ24" i="65"/>
  <c r="AQ28" i="66"/>
  <c r="AQ6" i="67"/>
  <c r="AQ5" i="64"/>
  <c r="AQ110" i="63"/>
  <c r="AQ77" i="63"/>
  <c r="AQ100" i="63"/>
  <c r="AQ42" i="62"/>
  <c r="AQ41" i="61"/>
  <c r="AQ51" i="61"/>
  <c r="AQ27" i="61"/>
  <c r="AS32" i="58"/>
  <c r="AQ62" i="64"/>
  <c r="AQ44" i="65"/>
  <c r="AQ48" i="66"/>
  <c r="AQ81" i="65"/>
  <c r="AQ59" i="67"/>
  <c r="AQ42" i="67"/>
  <c r="AQ12" i="67"/>
  <c r="AQ61" i="64"/>
  <c r="AQ63" i="64" s="1"/>
  <c r="AQ14" i="64"/>
  <c r="AQ11" i="64"/>
  <c r="AQ78" i="63"/>
  <c r="AQ103" i="63"/>
  <c r="AQ50" i="62"/>
  <c r="AQ52" i="62" s="1"/>
  <c r="AQ76" i="62"/>
  <c r="AQ82" i="62"/>
  <c r="AQ44" i="61"/>
  <c r="AQ34" i="61"/>
  <c r="AS6" i="58"/>
  <c r="AS12" i="58"/>
  <c r="AQ62" i="61"/>
  <c r="AQ61" i="65"/>
  <c r="AQ84" i="66"/>
  <c r="AQ86" i="66" s="1"/>
  <c r="AQ5" i="65"/>
  <c r="AQ64" i="65"/>
  <c r="AQ65" i="66"/>
  <c r="AQ82" i="67"/>
  <c r="AQ50" i="64"/>
  <c r="AQ52" i="64" s="1"/>
  <c r="AQ68" i="64"/>
  <c r="AQ47" i="64"/>
  <c r="AQ49" i="64" s="1"/>
  <c r="AQ109" i="63"/>
  <c r="AQ111" i="63" s="1"/>
  <c r="AQ60" i="63"/>
  <c r="AQ79" i="62"/>
  <c r="AQ67" i="61"/>
  <c r="AQ69" i="61" s="1"/>
  <c r="AQ75" i="61"/>
  <c r="AQ64" i="61"/>
  <c r="AQ6" i="63"/>
  <c r="AQ75" i="65"/>
  <c r="AQ78" i="65"/>
  <c r="AQ9" i="67"/>
  <c r="AQ76" i="66"/>
  <c r="AQ84" i="64"/>
  <c r="AQ86" i="64" s="1"/>
  <c r="AQ8" i="63"/>
  <c r="AQ11" i="63"/>
  <c r="AQ84" i="62"/>
  <c r="AQ86" i="62" s="1"/>
  <c r="AQ12" i="62"/>
  <c r="AQ14" i="61"/>
  <c r="AQ30" i="61"/>
  <c r="AQ62" i="65"/>
  <c r="AQ6" i="3"/>
  <c r="AQ58" i="65"/>
  <c r="AQ62" i="66"/>
  <c r="AQ34" i="65"/>
  <c r="AQ30" i="65"/>
  <c r="AQ12" i="66"/>
  <c r="AQ78" i="64"/>
  <c r="AQ81" i="64"/>
  <c r="AQ31" i="63"/>
  <c r="AQ33" i="62"/>
  <c r="AQ35" i="62" s="1"/>
  <c r="AQ84" i="61"/>
  <c r="AQ86" i="61" s="1"/>
  <c r="AQ85" i="61"/>
  <c r="AQ84" i="63"/>
  <c r="AQ65" i="61"/>
  <c r="AQ67" i="65"/>
  <c r="AQ69" i="65" s="1"/>
  <c r="AQ33" i="67"/>
  <c r="AQ35" i="67" s="1"/>
  <c r="AQ50" i="67"/>
  <c r="AQ52" i="67" s="1"/>
  <c r="AQ42" i="66"/>
  <c r="AQ41" i="64"/>
  <c r="AQ106" i="63"/>
  <c r="AQ101" i="63"/>
  <c r="AQ45" i="62"/>
  <c r="AQ33" i="61"/>
  <c r="AQ35" i="61" s="1"/>
  <c r="AQ58" i="61"/>
  <c r="AQ59" i="61"/>
  <c r="AQ59" i="64"/>
  <c r="AQ65" i="64"/>
  <c r="AQ50" i="66"/>
  <c r="AQ52" i="66" s="1"/>
  <c r="AQ79" i="66"/>
  <c r="AQ48" i="67"/>
  <c r="AQ33" i="64"/>
  <c r="AQ35" i="64" s="1"/>
  <c r="AQ75" i="64"/>
  <c r="AQ30" i="64"/>
  <c r="AQ32" i="64" s="1"/>
  <c r="AQ107" i="63"/>
  <c r="AQ67" i="62"/>
  <c r="AQ69" i="62" s="1"/>
  <c r="AQ28" i="62"/>
  <c r="AQ50" i="61"/>
  <c r="AQ52" i="61" s="1"/>
  <c r="AQ5" i="61"/>
  <c r="AQ59" i="66"/>
  <c r="AQ15" i="66"/>
  <c r="AQ79" i="67"/>
  <c r="AQ27" i="65"/>
  <c r="AQ31" i="66"/>
  <c r="AQ44" i="64"/>
  <c r="AQ46" i="64" s="1"/>
  <c r="AQ58" i="64"/>
  <c r="AQ54" i="63"/>
  <c r="AQ62" i="62"/>
  <c r="AQ31" i="62"/>
  <c r="AQ81" i="61"/>
  <c r="AS15" i="58"/>
  <c r="AQ32" i="63"/>
  <c r="AQ11" i="65"/>
  <c r="AQ6" i="66"/>
  <c r="AQ57" i="63"/>
  <c r="AQ47" i="61"/>
  <c r="AQ81" i="63"/>
  <c r="AQ33" i="65"/>
  <c r="AQ35" i="65" s="1"/>
  <c r="AQ25" i="67"/>
  <c r="AQ67" i="64"/>
  <c r="AQ69" i="64" s="1"/>
  <c r="AQ80" i="63"/>
  <c r="AQ15" i="62"/>
  <c r="AQ45" i="67"/>
  <c r="AQ14" i="63"/>
  <c r="AQ6" i="62"/>
  <c r="AQ31" i="67"/>
  <c r="AQ104" i="63"/>
  <c r="AQ59" i="65"/>
  <c r="AQ41" i="65"/>
  <c r="AQ47" i="65"/>
  <c r="AQ85" i="64"/>
  <c r="AQ34" i="63"/>
  <c r="AQ78" i="61"/>
  <c r="AQ51" i="65"/>
  <c r="AQ28" i="67"/>
  <c r="AQ8" i="64"/>
  <c r="AQ37" i="63"/>
  <c r="AQ68" i="61"/>
  <c r="AQ85" i="65"/>
  <c r="AQ62" i="67"/>
  <c r="AQ34" i="64"/>
  <c r="AQ65" i="62"/>
  <c r="AQ8" i="61"/>
  <c r="AQ65" i="65"/>
  <c r="AQ9" i="66"/>
  <c r="AQ76" i="67"/>
  <c r="AQ64" i="64"/>
  <c r="AQ66" i="64" s="1"/>
  <c r="AQ48" i="62"/>
  <c r="AQ24" i="61"/>
  <c r="Z109" i="26"/>
  <c r="AQ109" i="26"/>
  <c r="AK109" i="26"/>
  <c r="AZ109" i="28"/>
  <c r="BG109" i="28"/>
  <c r="BK109" i="28" s="1"/>
  <c r="AR109" i="28"/>
  <c r="BE109" i="28"/>
  <c r="BI109" i="28" s="1"/>
  <c r="AP109" i="28"/>
  <c r="AD108" i="26"/>
  <c r="AH108" i="26" s="1"/>
  <c r="F109" i="26"/>
  <c r="G109" i="26" s="1"/>
  <c r="B109" i="26"/>
  <c r="C109" i="26" s="1"/>
  <c r="H109" i="26"/>
  <c r="I109" i="26" s="1"/>
  <c r="K109" i="26"/>
  <c r="AB108" i="26"/>
  <c r="AF108" i="26" s="1"/>
  <c r="AX109" i="28"/>
  <c r="AL110" i="31" l="1"/>
  <c r="AB109" i="26"/>
  <c r="AF109" i="26" s="1"/>
  <c r="AQ89" i="3"/>
  <c r="AQ65" i="3"/>
  <c r="AP110" i="31"/>
  <c r="AQ110" i="31" s="1"/>
  <c r="BB111" i="32"/>
  <c r="AL111" i="32"/>
  <c r="T110" i="32"/>
  <c r="S110" i="32"/>
  <c r="M111" i="32"/>
  <c r="N111" i="32" s="1"/>
  <c r="AD111" i="32"/>
  <c r="AE111" i="32"/>
  <c r="U111" i="32"/>
  <c r="AU110" i="32"/>
  <c r="AU111" i="32"/>
  <c r="R111" i="32"/>
  <c r="J111" i="32"/>
  <c r="K111" i="32" s="1"/>
  <c r="AB111" i="32"/>
  <c r="AQ111" i="32"/>
  <c r="Q111" i="32"/>
  <c r="F111" i="32"/>
  <c r="AR111" i="32"/>
  <c r="AR110" i="32"/>
  <c r="AY111" i="32"/>
  <c r="AZ111" i="32"/>
  <c r="P111" i="32"/>
  <c r="C111" i="32"/>
  <c r="Q110" i="32"/>
  <c r="G110" i="32"/>
  <c r="AJ111" i="32"/>
  <c r="AI111" i="32"/>
  <c r="AA111" i="32"/>
  <c r="BC110" i="32"/>
  <c r="BC111" i="32"/>
  <c r="AT111" i="32"/>
  <c r="D110" i="32"/>
  <c r="P110" i="32"/>
  <c r="V110" i="32"/>
  <c r="AQ56" i="63"/>
  <c r="AU109" i="31"/>
  <c r="AY109" i="31" s="1"/>
  <c r="AN110" i="31"/>
  <c r="AO110" i="31" s="1"/>
  <c r="AZ108" i="31"/>
  <c r="AY108" i="31"/>
  <c r="BE110" i="31"/>
  <c r="J110" i="31"/>
  <c r="K110" i="31" s="1"/>
  <c r="S110" i="31"/>
  <c r="B110" i="31"/>
  <c r="C110" i="31" s="1"/>
  <c r="N110" i="31"/>
  <c r="O110" i="31" s="1"/>
  <c r="AM110" i="31"/>
  <c r="AG110" i="31"/>
  <c r="I110" i="31"/>
  <c r="BI110" i="31"/>
  <c r="AR110" i="31"/>
  <c r="AE110" i="31"/>
  <c r="G110" i="31"/>
  <c r="BG110" i="31"/>
  <c r="BC110" i="31"/>
  <c r="C109" i="31"/>
  <c r="U110" i="31"/>
  <c r="L110" i="31"/>
  <c r="M110" i="31" s="1"/>
  <c r="P110" i="31"/>
  <c r="Q110" i="31" s="1"/>
  <c r="D110" i="31"/>
  <c r="E110" i="31" s="1"/>
  <c r="AS109" i="31"/>
  <c r="AW109" i="31"/>
  <c r="BA109" i="31" s="1"/>
  <c r="O109" i="31"/>
  <c r="AV109" i="31"/>
  <c r="AZ109" i="31" s="1"/>
  <c r="AT109" i="31"/>
  <c r="AX109" i="31" s="1"/>
  <c r="AM109" i="31"/>
  <c r="AQ82" i="63"/>
  <c r="AQ63" i="61"/>
  <c r="AQ105" i="63"/>
  <c r="AQ60" i="64"/>
  <c r="AQ79" i="63"/>
  <c r="AQ85" i="63"/>
  <c r="AQ108" i="63"/>
  <c r="AQ33" i="63"/>
  <c r="AQ7" i="63"/>
  <c r="AE109" i="26"/>
  <c r="AI109" i="26" s="1"/>
  <c r="AA109" i="26"/>
  <c r="AC109" i="26"/>
  <c r="AG109" i="26" s="1"/>
  <c r="W109" i="26"/>
  <c r="AQ7" i="3"/>
  <c r="AQ66" i="65"/>
  <c r="AQ102" i="63"/>
  <c r="AQ60" i="65"/>
  <c r="AQ63" i="65"/>
  <c r="AQ66" i="61"/>
  <c r="AD109" i="26"/>
  <c r="AH109" i="26" s="1"/>
  <c r="Y109" i="26"/>
  <c r="AQ60" i="61"/>
  <c r="V111" i="32" l="1"/>
  <c r="AU110" i="31"/>
  <c r="AY110" i="31" s="1"/>
  <c r="W110" i="32"/>
  <c r="W111" i="32"/>
  <c r="T111" i="32"/>
  <c r="S111" i="32"/>
  <c r="L111" i="32"/>
  <c r="L110" i="32"/>
  <c r="D111" i="32"/>
  <c r="G111" i="32"/>
  <c r="O111" i="32"/>
  <c r="O110" i="32"/>
  <c r="AS110" i="31"/>
  <c r="AW110" i="31"/>
  <c r="BA110" i="31" s="1"/>
  <c r="AT110" i="31"/>
  <c r="AX110" i="31" s="1"/>
  <c r="AV110" i="31"/>
  <c r="AZ110" i="31" s="1"/>
  <c r="R95" i="55" l="1"/>
  <c r="P95" i="55"/>
  <c r="N95" i="55"/>
  <c r="J95" i="55"/>
  <c r="H95" i="55"/>
  <c r="D95" i="55" l="1"/>
  <c r="F95" i="55"/>
  <c r="R104" i="55"/>
  <c r="R99" i="55"/>
  <c r="P98" i="55"/>
  <c r="P100" i="55"/>
  <c r="R98" i="55"/>
  <c r="R97" i="55"/>
  <c r="R100" i="55"/>
  <c r="P101" i="55"/>
  <c r="P97" i="55"/>
  <c r="R103" i="55"/>
  <c r="P104" i="55"/>
  <c r="R102" i="55"/>
  <c r="R101" i="55"/>
  <c r="R96" i="55"/>
  <c r="P99" i="55"/>
  <c r="P103" i="55"/>
  <c r="P96" i="55"/>
  <c r="P102" i="55"/>
  <c r="J103" i="55"/>
  <c r="N104" i="55"/>
  <c r="H104" i="55"/>
  <c r="H97" i="55"/>
  <c r="H102" i="55"/>
  <c r="J104" i="55"/>
  <c r="J96" i="55"/>
  <c r="H99" i="55"/>
  <c r="J100" i="55"/>
  <c r="H98" i="55"/>
  <c r="J98" i="55"/>
  <c r="H103" i="55"/>
  <c r="N101" i="55"/>
  <c r="J102" i="55"/>
  <c r="N97" i="55"/>
  <c r="J101" i="55"/>
  <c r="H96" i="55"/>
  <c r="N103" i="55"/>
  <c r="N98" i="55"/>
  <c r="H100" i="55"/>
  <c r="N100" i="55"/>
  <c r="J99" i="55"/>
  <c r="N102" i="55"/>
  <c r="N99" i="55"/>
  <c r="N96" i="55"/>
  <c r="H101" i="55"/>
  <c r="J97" i="55"/>
  <c r="D101" i="55" l="1"/>
  <c r="F104" i="55"/>
  <c r="M15" i="61" s="1"/>
  <c r="M16" i="61" s="1"/>
  <c r="D104" i="55"/>
  <c r="D99" i="55"/>
  <c r="D97" i="55"/>
  <c r="D96" i="55"/>
  <c r="D98" i="55"/>
  <c r="F97" i="55"/>
  <c r="D103" i="55"/>
  <c r="F96" i="55"/>
  <c r="F102" i="55"/>
  <c r="D102" i="55"/>
  <c r="F98" i="55"/>
  <c r="G15" i="64" s="1"/>
  <c r="G16" i="64" s="1"/>
  <c r="F99" i="55"/>
  <c r="F101" i="55"/>
  <c r="F100" i="55"/>
  <c r="F103" i="55"/>
  <c r="L15" i="65" s="1"/>
  <c r="L16" i="65" s="1"/>
  <c r="D100" i="55"/>
  <c r="I45" i="61"/>
  <c r="I45" i="64"/>
  <c r="I45" i="65"/>
  <c r="H45" i="65"/>
  <c r="H45" i="61"/>
  <c r="H45" i="64"/>
  <c r="P45" i="61"/>
  <c r="P45" i="64"/>
  <c r="P45" i="65"/>
  <c r="E96" i="61"/>
  <c r="E82" i="57"/>
  <c r="E79" i="65"/>
  <c r="E82" i="65" s="1"/>
  <c r="E79" i="61"/>
  <c r="E82" i="61" s="1"/>
  <c r="E79" i="64"/>
  <c r="E82" i="64" s="1"/>
  <c r="E96" i="65"/>
  <c r="E96" i="64"/>
  <c r="E99" i="57"/>
  <c r="F79" i="64"/>
  <c r="F82" i="64" s="1"/>
  <c r="F79" i="61"/>
  <c r="F82" i="61" s="1"/>
  <c r="F79" i="65"/>
  <c r="F82" i="65" s="1"/>
  <c r="F82" i="57"/>
  <c r="G79" i="65"/>
  <c r="G82" i="65" s="1"/>
  <c r="G79" i="64"/>
  <c r="G79" i="61"/>
  <c r="I79" i="61"/>
  <c r="I79" i="65"/>
  <c r="I82" i="65" s="1"/>
  <c r="I79" i="64"/>
  <c r="L79" i="65"/>
  <c r="L82" i="65" s="1"/>
  <c r="L79" i="61"/>
  <c r="L79" i="64"/>
  <c r="P79" i="64"/>
  <c r="P79" i="65"/>
  <c r="P79" i="61"/>
  <c r="J45" i="61"/>
  <c r="J45" i="64"/>
  <c r="J45" i="65"/>
  <c r="H79" i="64"/>
  <c r="H79" i="61"/>
  <c r="H79" i="65"/>
  <c r="H82" i="65" s="1"/>
  <c r="O79" i="61"/>
  <c r="O79" i="65"/>
  <c r="O82" i="65" s="1"/>
  <c r="O79" i="64"/>
  <c r="Q45" i="64"/>
  <c r="Q45" i="61"/>
  <c r="Q45" i="65"/>
  <c r="Q28" i="65" s="1"/>
  <c r="K79" i="61"/>
  <c r="K79" i="64"/>
  <c r="K79" i="65"/>
  <c r="K82" i="65" s="1"/>
  <c r="K45" i="65"/>
  <c r="K45" i="61"/>
  <c r="K45" i="64"/>
  <c r="N45" i="64"/>
  <c r="N45" i="61"/>
  <c r="N45" i="65"/>
  <c r="J79" i="64"/>
  <c r="J79" i="65"/>
  <c r="J82" i="65" s="1"/>
  <c r="J79" i="61"/>
  <c r="R45" i="61"/>
  <c r="R45" i="65"/>
  <c r="R45" i="64"/>
  <c r="L45" i="65"/>
  <c r="L45" i="61"/>
  <c r="L45" i="64"/>
  <c r="F45" i="64"/>
  <c r="F45" i="65"/>
  <c r="F45" i="61"/>
  <c r="F46" i="57"/>
  <c r="O45" i="65"/>
  <c r="O45" i="64"/>
  <c r="O45" i="61"/>
  <c r="R96" i="61"/>
  <c r="R79" i="61"/>
  <c r="R79" i="64"/>
  <c r="R96" i="64"/>
  <c r="R96" i="65"/>
  <c r="R79" i="65"/>
  <c r="M45" i="61"/>
  <c r="M45" i="65"/>
  <c r="M45" i="64"/>
  <c r="N79" i="65"/>
  <c r="N82" i="65" s="1"/>
  <c r="N79" i="61"/>
  <c r="N79" i="64"/>
  <c r="E45" i="61"/>
  <c r="E45" i="64"/>
  <c r="E46" i="57"/>
  <c r="AQ46" i="57" s="1" a="1"/>
  <c r="AQ46" i="57" s="1"/>
  <c r="E45" i="65"/>
  <c r="G45" i="65"/>
  <c r="G45" i="61"/>
  <c r="G45" i="64"/>
  <c r="Q79" i="64"/>
  <c r="Q80" i="64" s="1"/>
  <c r="Q79" i="61"/>
  <c r="Q80" i="61" s="1"/>
  <c r="Q79" i="65"/>
  <c r="M79" i="61"/>
  <c r="M79" i="65"/>
  <c r="M82" i="65" s="1"/>
  <c r="M79" i="64"/>
  <c r="E83" i="57" l="1"/>
  <c r="AQ82" i="57" a="1"/>
  <c r="AQ82" i="57" s="1"/>
  <c r="F83" i="57"/>
  <c r="G15" i="61"/>
  <c r="G16" i="61" s="1"/>
  <c r="N15" i="61"/>
  <c r="N16" i="61" s="1"/>
  <c r="N15" i="65"/>
  <c r="N16" i="65" s="1"/>
  <c r="G15" i="65"/>
  <c r="G16" i="65" s="1"/>
  <c r="J15" i="61"/>
  <c r="J16" i="61" s="1"/>
  <c r="P15" i="65"/>
  <c r="P16" i="65" s="1"/>
  <c r="P15" i="64"/>
  <c r="P16" i="64" s="1"/>
  <c r="J15" i="65"/>
  <c r="J16" i="65" s="1"/>
  <c r="J15" i="64"/>
  <c r="J16" i="64" s="1"/>
  <c r="L15" i="64"/>
  <c r="L16" i="64" s="1"/>
  <c r="L15" i="61"/>
  <c r="L16" i="61" s="1"/>
  <c r="M15" i="64"/>
  <c r="M16" i="64" s="1"/>
  <c r="M15" i="65"/>
  <c r="M16" i="65" s="1"/>
  <c r="R97" i="64"/>
  <c r="AP97" i="64" s="1"/>
  <c r="N46" i="64"/>
  <c r="N48" i="64"/>
  <c r="N49" i="64" s="1"/>
  <c r="N28" i="64"/>
  <c r="I80" i="64"/>
  <c r="I82" i="64"/>
  <c r="I83" i="64" s="1"/>
  <c r="P46" i="61"/>
  <c r="P28" i="61"/>
  <c r="E28" i="65"/>
  <c r="E31" i="65" s="1"/>
  <c r="E48" i="65"/>
  <c r="O48" i="65"/>
  <c r="O28" i="65"/>
  <c r="O31" i="65" s="1"/>
  <c r="L46" i="64"/>
  <c r="L48" i="64"/>
  <c r="L49" i="64" s="1"/>
  <c r="L28" i="64"/>
  <c r="R28" i="64"/>
  <c r="R46" i="64"/>
  <c r="K9" i="64"/>
  <c r="K9" i="65"/>
  <c r="K12" i="65" s="1"/>
  <c r="K9" i="61"/>
  <c r="K80" i="61"/>
  <c r="K82" i="61"/>
  <c r="K83" i="61" s="1"/>
  <c r="J28" i="65"/>
  <c r="J31" i="65" s="1"/>
  <c r="J48" i="65"/>
  <c r="L80" i="64"/>
  <c r="L82" i="64"/>
  <c r="L83" i="64" s="1"/>
  <c r="H48" i="64"/>
  <c r="H49" i="64" s="1"/>
  <c r="H46" i="64"/>
  <c r="H28" i="64"/>
  <c r="I46" i="64"/>
  <c r="I48" i="64"/>
  <c r="I49" i="64" s="1"/>
  <c r="I28" i="64"/>
  <c r="G48" i="65"/>
  <c r="G28" i="65"/>
  <c r="G31" i="65" s="1"/>
  <c r="O46" i="64"/>
  <c r="O48" i="64"/>
  <c r="O49" i="64" s="1"/>
  <c r="O28" i="64"/>
  <c r="E29" i="57"/>
  <c r="AQ29" i="57" s="1" a="1"/>
  <c r="AQ29" i="57" s="1"/>
  <c r="E47" i="57"/>
  <c r="M9" i="61"/>
  <c r="M9" i="65"/>
  <c r="M12" i="65" s="1"/>
  <c r="M9" i="64"/>
  <c r="L46" i="61"/>
  <c r="L28" i="61"/>
  <c r="L48" i="61"/>
  <c r="L49" i="61" s="1"/>
  <c r="R28" i="65"/>
  <c r="K46" i="64"/>
  <c r="K28" i="64"/>
  <c r="K48" i="64"/>
  <c r="K49" i="64" s="1"/>
  <c r="I15" i="65"/>
  <c r="I16" i="65" s="1"/>
  <c r="I15" i="61"/>
  <c r="I16" i="61" s="1"/>
  <c r="I15" i="64"/>
  <c r="I16" i="64" s="1"/>
  <c r="H80" i="61"/>
  <c r="H82" i="61"/>
  <c r="H83" i="61" s="1"/>
  <c r="J46" i="64"/>
  <c r="J28" i="64"/>
  <c r="J48" i="64"/>
  <c r="J49" i="64" s="1"/>
  <c r="L80" i="61"/>
  <c r="L82" i="61"/>
  <c r="L83" i="61" s="1"/>
  <c r="F15" i="65"/>
  <c r="F16" i="65" s="1"/>
  <c r="F15" i="61"/>
  <c r="F16" i="61" s="1"/>
  <c r="F15" i="64"/>
  <c r="F16" i="64" s="1"/>
  <c r="F15" i="57"/>
  <c r="I80" i="61"/>
  <c r="I82" i="61"/>
  <c r="I83" i="61" s="1"/>
  <c r="H28" i="61"/>
  <c r="H46" i="61"/>
  <c r="H48" i="61"/>
  <c r="H49" i="61" s="1"/>
  <c r="I46" i="61"/>
  <c r="I48" i="61"/>
  <c r="I49" i="61" s="1"/>
  <c r="I28" i="61"/>
  <c r="E48" i="64"/>
  <c r="E49" i="64" s="1"/>
  <c r="E46" i="64"/>
  <c r="E28" i="64"/>
  <c r="R80" i="64"/>
  <c r="F29" i="57"/>
  <c r="F47" i="57"/>
  <c r="L48" i="65"/>
  <c r="L28" i="65"/>
  <c r="L31" i="65" s="1"/>
  <c r="R9" i="65"/>
  <c r="R9" i="61"/>
  <c r="R9" i="64"/>
  <c r="K48" i="61"/>
  <c r="K49" i="61" s="1"/>
  <c r="K46" i="61"/>
  <c r="K28" i="61"/>
  <c r="H82" i="64"/>
  <c r="H83" i="64" s="1"/>
  <c r="H80" i="64"/>
  <c r="J48" i="61"/>
  <c r="J49" i="61" s="1"/>
  <c r="J46" i="61"/>
  <c r="J28" i="61"/>
  <c r="E97" i="61"/>
  <c r="E99" i="61"/>
  <c r="E100" i="61" s="1"/>
  <c r="H48" i="65"/>
  <c r="H28" i="65"/>
  <c r="H31" i="65" s="1"/>
  <c r="Q15" i="64"/>
  <c r="Q16" i="64" s="1"/>
  <c r="Q15" i="61"/>
  <c r="Q16" i="61" s="1"/>
  <c r="Q15" i="65"/>
  <c r="Q16" i="65" s="1"/>
  <c r="M80" i="64"/>
  <c r="M82" i="64"/>
  <c r="M83" i="64" s="1"/>
  <c r="G28" i="64"/>
  <c r="G46" i="64"/>
  <c r="G48" i="64"/>
  <c r="G49" i="64" s="1"/>
  <c r="E9" i="65"/>
  <c r="E12" i="65" s="1"/>
  <c r="E9" i="57"/>
  <c r="E9" i="61"/>
  <c r="E9" i="64"/>
  <c r="M48" i="64"/>
  <c r="M49" i="64" s="1"/>
  <c r="M46" i="64"/>
  <c r="M28" i="64"/>
  <c r="R80" i="61"/>
  <c r="F48" i="61"/>
  <c r="F49" i="61" s="1"/>
  <c r="F46" i="61"/>
  <c r="F28" i="61"/>
  <c r="L9" i="65"/>
  <c r="L12" i="65" s="1"/>
  <c r="L9" i="64"/>
  <c r="L9" i="61"/>
  <c r="J82" i="61"/>
  <c r="J83" i="61" s="1"/>
  <c r="J80" i="61"/>
  <c r="N9" i="61"/>
  <c r="N9" i="65"/>
  <c r="N12" i="65" s="1"/>
  <c r="N9" i="64"/>
  <c r="K15" i="65"/>
  <c r="K16" i="65" s="1"/>
  <c r="K15" i="64"/>
  <c r="K16" i="64" s="1"/>
  <c r="K15" i="61"/>
  <c r="K16" i="61" s="1"/>
  <c r="P80" i="61"/>
  <c r="E15" i="57"/>
  <c r="E15" i="61"/>
  <c r="E16" i="61" s="1"/>
  <c r="E15" i="65"/>
  <c r="E16" i="65" s="1"/>
  <c r="E15" i="64"/>
  <c r="E16" i="64" s="1"/>
  <c r="E100" i="57"/>
  <c r="P9" i="64"/>
  <c r="P9" i="65"/>
  <c r="P9" i="61"/>
  <c r="H9" i="61"/>
  <c r="H9" i="65"/>
  <c r="H12" i="65" s="1"/>
  <c r="H9" i="64"/>
  <c r="G48" i="61"/>
  <c r="G49" i="61" s="1"/>
  <c r="G46" i="61"/>
  <c r="G28" i="61"/>
  <c r="E46" i="61"/>
  <c r="E28" i="61"/>
  <c r="E48" i="61"/>
  <c r="E49" i="61" s="1"/>
  <c r="M28" i="65"/>
  <c r="M31" i="65" s="1"/>
  <c r="M48" i="65"/>
  <c r="R97" i="61"/>
  <c r="AP97" i="61" s="1"/>
  <c r="F28" i="65"/>
  <c r="F31" i="65" s="1"/>
  <c r="F48" i="65"/>
  <c r="R28" i="61"/>
  <c r="R46" i="61"/>
  <c r="N48" i="65"/>
  <c r="N28" i="65"/>
  <c r="N31" i="65" s="1"/>
  <c r="K28" i="65"/>
  <c r="K31" i="65" s="1"/>
  <c r="K48" i="65"/>
  <c r="Q46" i="61"/>
  <c r="Q28" i="61"/>
  <c r="Q29" i="61" s="1"/>
  <c r="O80" i="64"/>
  <c r="O82" i="64"/>
  <c r="O83" i="64" s="1"/>
  <c r="J9" i="65"/>
  <c r="J12" i="65" s="1"/>
  <c r="J9" i="61"/>
  <c r="J9" i="64"/>
  <c r="O15" i="64"/>
  <c r="O16" i="64" s="1"/>
  <c r="O15" i="65"/>
  <c r="O16" i="65" s="1"/>
  <c r="O15" i="61"/>
  <c r="O16" i="61" s="1"/>
  <c r="G80" i="61"/>
  <c r="G82" i="61"/>
  <c r="G83" i="61" s="1"/>
  <c r="E97" i="64"/>
  <c r="E99" i="64"/>
  <c r="E100" i="64" s="1"/>
  <c r="G9" i="65"/>
  <c r="G12" i="65" s="1"/>
  <c r="G9" i="64"/>
  <c r="G9" i="61"/>
  <c r="H15" i="65"/>
  <c r="H16" i="65" s="1"/>
  <c r="H15" i="61"/>
  <c r="H16" i="61" s="1"/>
  <c r="H15" i="64"/>
  <c r="H16" i="64" s="1"/>
  <c r="N80" i="64"/>
  <c r="N82" i="64"/>
  <c r="N83" i="64" s="1"/>
  <c r="M46" i="61"/>
  <c r="M28" i="61"/>
  <c r="M48" i="61"/>
  <c r="M49" i="61" s="1"/>
  <c r="O9" i="64"/>
  <c r="O9" i="65"/>
  <c r="O12" i="65" s="1"/>
  <c r="O9" i="61"/>
  <c r="F46" i="64"/>
  <c r="F28" i="64"/>
  <c r="F48" i="64"/>
  <c r="F49" i="64" s="1"/>
  <c r="N48" i="61"/>
  <c r="N49" i="61" s="1"/>
  <c r="N46" i="61"/>
  <c r="N28" i="61"/>
  <c r="R15" i="65"/>
  <c r="R15" i="64"/>
  <c r="R15" i="61"/>
  <c r="Q46" i="64"/>
  <c r="Q28" i="64"/>
  <c r="Q29" i="64" s="1"/>
  <c r="G80" i="64"/>
  <c r="G82" i="64"/>
  <c r="G83" i="64" s="1"/>
  <c r="E97" i="65"/>
  <c r="E99" i="65"/>
  <c r="E100" i="65" s="1"/>
  <c r="P28" i="65"/>
  <c r="I9" i="64"/>
  <c r="I9" i="65"/>
  <c r="I12" i="65" s="1"/>
  <c r="I9" i="61"/>
  <c r="M80" i="61"/>
  <c r="M82" i="61"/>
  <c r="M83" i="61" s="1"/>
  <c r="N80" i="61"/>
  <c r="N82" i="61"/>
  <c r="N83" i="61" s="1"/>
  <c r="R97" i="65"/>
  <c r="AP97" i="65" s="1"/>
  <c r="O46" i="61"/>
  <c r="O48" i="61"/>
  <c r="O49" i="61" s="1"/>
  <c r="O28" i="61"/>
  <c r="F9" i="61"/>
  <c r="F9" i="64"/>
  <c r="F9" i="65"/>
  <c r="F12" i="65" s="1"/>
  <c r="F9" i="57"/>
  <c r="J80" i="64"/>
  <c r="J82" i="64"/>
  <c r="J83" i="64" s="1"/>
  <c r="K80" i="64"/>
  <c r="K82" i="64"/>
  <c r="K83" i="64" s="1"/>
  <c r="Q9" i="64"/>
  <c r="Q10" i="64" s="1"/>
  <c r="Q9" i="61"/>
  <c r="Q10" i="61" s="1"/>
  <c r="Q9" i="65"/>
  <c r="O80" i="61"/>
  <c r="O82" i="61"/>
  <c r="O83" i="61" s="1"/>
  <c r="P80" i="64"/>
  <c r="P46" i="64"/>
  <c r="P28" i="64"/>
  <c r="I28" i="65"/>
  <c r="I31" i="65" s="1"/>
  <c r="I48" i="65"/>
  <c r="AQ9" i="57" l="1" a="1"/>
  <c r="AQ9" i="57" s="1"/>
  <c r="F16" i="57"/>
  <c r="E16" i="57"/>
  <c r="F12" i="61"/>
  <c r="F13" i="61" s="1"/>
  <c r="F10" i="61"/>
  <c r="L29" i="61"/>
  <c r="L31" i="61"/>
  <c r="L32" i="61" s="1"/>
  <c r="P29" i="64"/>
  <c r="O31" i="61"/>
  <c r="O32" i="61" s="1"/>
  <c r="O29" i="61"/>
  <c r="N31" i="61"/>
  <c r="N32" i="61" s="1"/>
  <c r="N29" i="61"/>
  <c r="J12" i="64"/>
  <c r="J13" i="64" s="1"/>
  <c r="J10" i="64"/>
  <c r="H10" i="64"/>
  <c r="H12" i="64"/>
  <c r="H13" i="64" s="1"/>
  <c r="L10" i="64"/>
  <c r="L12" i="64"/>
  <c r="L13" i="64" s="1"/>
  <c r="M10" i="64"/>
  <c r="M12" i="64"/>
  <c r="M13" i="64" s="1"/>
  <c r="E30" i="57"/>
  <c r="L29" i="64"/>
  <c r="L31" i="64"/>
  <c r="L32" i="64" s="1"/>
  <c r="I10" i="64"/>
  <c r="I12" i="64"/>
  <c r="I13" i="64" s="1"/>
  <c r="E29" i="61"/>
  <c r="E31" i="61"/>
  <c r="E32" i="61" s="1"/>
  <c r="N10" i="61"/>
  <c r="N12" i="61"/>
  <c r="N13" i="61" s="1"/>
  <c r="G31" i="64"/>
  <c r="G32" i="64" s="1"/>
  <c r="G29" i="64"/>
  <c r="I29" i="64"/>
  <c r="I31" i="64"/>
  <c r="I32" i="64" s="1"/>
  <c r="F29" i="64"/>
  <c r="F31" i="64"/>
  <c r="F32" i="64" s="1"/>
  <c r="M29" i="61"/>
  <c r="M31" i="61"/>
  <c r="M32" i="61" s="1"/>
  <c r="J12" i="61"/>
  <c r="J13" i="61" s="1"/>
  <c r="J10" i="61"/>
  <c r="R10" i="64"/>
  <c r="F30" i="57"/>
  <c r="H29" i="61"/>
  <c r="H31" i="61"/>
  <c r="H32" i="61" s="1"/>
  <c r="R29" i="61"/>
  <c r="G31" i="61"/>
  <c r="G32" i="61" s="1"/>
  <c r="G29" i="61"/>
  <c r="H10" i="61"/>
  <c r="H12" i="61"/>
  <c r="H13" i="61" s="1"/>
  <c r="F31" i="61"/>
  <c r="F32" i="61" s="1"/>
  <c r="F29" i="61"/>
  <c r="E12" i="64"/>
  <c r="E13" i="64" s="1"/>
  <c r="E10" i="64"/>
  <c r="M10" i="61"/>
  <c r="M12" i="61"/>
  <c r="M13" i="61" s="1"/>
  <c r="N29" i="64"/>
  <c r="N31" i="64"/>
  <c r="N32" i="64" s="1"/>
  <c r="R16" i="65"/>
  <c r="K29" i="61"/>
  <c r="K31" i="61"/>
  <c r="K32" i="61" s="1"/>
  <c r="K10" i="64"/>
  <c r="K12" i="64"/>
  <c r="K13" i="64" s="1"/>
  <c r="F10" i="57"/>
  <c r="R16" i="61"/>
  <c r="O12" i="61"/>
  <c r="O13" i="61" s="1"/>
  <c r="O10" i="61"/>
  <c r="G10" i="61"/>
  <c r="G12" i="61"/>
  <c r="G13" i="61" s="1"/>
  <c r="P10" i="61"/>
  <c r="M29" i="64"/>
  <c r="M31" i="64"/>
  <c r="M32" i="64" s="1"/>
  <c r="E10" i="61"/>
  <c r="E12" i="61"/>
  <c r="E13" i="61" s="1"/>
  <c r="R10" i="61"/>
  <c r="E29" i="64"/>
  <c r="E31" i="64"/>
  <c r="E32" i="64" s="1"/>
  <c r="O31" i="64"/>
  <c r="O32" i="64" s="1"/>
  <c r="O29" i="64"/>
  <c r="H29" i="64"/>
  <c r="H31" i="64"/>
  <c r="H32" i="64" s="1"/>
  <c r="K10" i="61"/>
  <c r="K12" i="61"/>
  <c r="K13" i="61" s="1"/>
  <c r="O10" i="64"/>
  <c r="O12" i="64"/>
  <c r="O13" i="64" s="1"/>
  <c r="L10" i="61"/>
  <c r="L12" i="61"/>
  <c r="L13" i="61" s="1"/>
  <c r="R29" i="64"/>
  <c r="P29" i="61"/>
  <c r="R16" i="64"/>
  <c r="G10" i="64"/>
  <c r="G12" i="64"/>
  <c r="G13" i="64" s="1"/>
  <c r="E10" i="57"/>
  <c r="I29" i="61"/>
  <c r="I31" i="61"/>
  <c r="I32" i="61" s="1"/>
  <c r="F12" i="64"/>
  <c r="F13" i="64" s="1"/>
  <c r="F10" i="64"/>
  <c r="I10" i="61"/>
  <c r="I12" i="61"/>
  <c r="I13" i="61" s="1"/>
  <c r="P10" i="64"/>
  <c r="N12" i="64"/>
  <c r="N13" i="64" s="1"/>
  <c r="N10" i="64"/>
  <c r="J29" i="61"/>
  <c r="J31" i="61"/>
  <c r="J32" i="61" s="1"/>
  <c r="J29" i="64"/>
  <c r="J31" i="64"/>
  <c r="J32" i="64" s="1"/>
  <c r="K29" i="64"/>
  <c r="K31" i="64"/>
  <c r="K32" i="64" s="1"/>
  <c r="Q76" i="64" l="1"/>
  <c r="Q77" i="64" s="1"/>
  <c r="E96" i="57"/>
  <c r="E79" i="57"/>
  <c r="Q76" i="65"/>
  <c r="Q77" i="65" s="1"/>
  <c r="Q76" i="61"/>
  <c r="Q77" i="61" s="1"/>
  <c r="Q42" i="61"/>
  <c r="Q42" i="64"/>
  <c r="Q42" i="65"/>
  <c r="E80" i="57" l="1"/>
  <c r="E85" i="57"/>
  <c r="E86" i="57" s="1"/>
  <c r="E97" i="57"/>
  <c r="E102" i="57"/>
  <c r="E103" i="57" s="1"/>
  <c r="R76" i="61"/>
  <c r="R77" i="61" s="1"/>
  <c r="F79" i="57"/>
  <c r="Q82" i="64"/>
  <c r="Q83" i="64" s="1"/>
  <c r="Q82" i="61"/>
  <c r="Q83" i="61" s="1"/>
  <c r="Q82" i="65"/>
  <c r="R93" i="61"/>
  <c r="R99" i="61" s="1"/>
  <c r="R100" i="61" s="1"/>
  <c r="R93" i="65"/>
  <c r="R94" i="65" s="1"/>
  <c r="AP94" i="65" s="1"/>
  <c r="R76" i="65"/>
  <c r="R82" i="65" s="1"/>
  <c r="R93" i="64"/>
  <c r="R99" i="64" s="1"/>
  <c r="R100" i="64" s="1"/>
  <c r="R76" i="64"/>
  <c r="R82" i="64" s="1"/>
  <c r="R83" i="64" s="1"/>
  <c r="R42" i="61"/>
  <c r="R42" i="65"/>
  <c r="R42" i="64"/>
  <c r="Q25" i="65"/>
  <c r="Q43" i="65"/>
  <c r="Q48" i="65"/>
  <c r="Q43" i="64"/>
  <c r="Q25" i="64"/>
  <c r="Q48" i="64"/>
  <c r="Q49" i="64" s="1"/>
  <c r="Q43" i="61"/>
  <c r="Q25" i="61"/>
  <c r="Q48" i="61"/>
  <c r="Q49" i="61" s="1"/>
  <c r="Q6" i="65"/>
  <c r="Q6" i="64"/>
  <c r="Q6" i="61"/>
  <c r="F6" i="57" l="1"/>
  <c r="F80" i="57"/>
  <c r="F85" i="57"/>
  <c r="F86" i="57" s="1"/>
  <c r="R82" i="61"/>
  <c r="R83" i="61" s="1"/>
  <c r="R77" i="64"/>
  <c r="R94" i="61"/>
  <c r="AP94" i="61" s="1"/>
  <c r="R77" i="65"/>
  <c r="R94" i="64"/>
  <c r="AP94" i="64" s="1"/>
  <c r="R99" i="65"/>
  <c r="R100" i="65" s="1"/>
  <c r="Q7" i="64"/>
  <c r="Q12" i="64"/>
  <c r="Q13" i="64" s="1"/>
  <c r="R43" i="65"/>
  <c r="R25" i="65"/>
  <c r="R48" i="65"/>
  <c r="R43" i="61"/>
  <c r="R25" i="61"/>
  <c r="R48" i="61"/>
  <c r="R49" i="61" s="1"/>
  <c r="Q7" i="65"/>
  <c r="Q12" i="65"/>
  <c r="Q26" i="65"/>
  <c r="Q31" i="65"/>
  <c r="Q26" i="61"/>
  <c r="Q31" i="61"/>
  <c r="Q32" i="61" s="1"/>
  <c r="Q26" i="64"/>
  <c r="Q31" i="64"/>
  <c r="Q32" i="64" s="1"/>
  <c r="R43" i="64"/>
  <c r="R25" i="64"/>
  <c r="R48" i="64"/>
  <c r="R49" i="64" s="1"/>
  <c r="Q7" i="61"/>
  <c r="Q12" i="61"/>
  <c r="Q13" i="61" s="1"/>
  <c r="R6" i="65"/>
  <c r="R6" i="61"/>
  <c r="R6" i="64"/>
  <c r="F7" i="57" l="1"/>
  <c r="F12" i="57"/>
  <c r="R26" i="64"/>
  <c r="R31" i="64"/>
  <c r="R32" i="64" s="1"/>
  <c r="R7" i="64"/>
  <c r="R12" i="64"/>
  <c r="R13" i="64" s="1"/>
  <c r="R7" i="61"/>
  <c r="R12" i="61"/>
  <c r="R13" i="61" s="1"/>
  <c r="R26" i="65"/>
  <c r="R31" i="65"/>
  <c r="R26" i="61"/>
  <c r="R31" i="61"/>
  <c r="R32" i="61" s="1"/>
  <c r="R7" i="65"/>
  <c r="R12" i="65"/>
  <c r="F13" i="57" l="1"/>
  <c r="O95" i="55" l="1"/>
  <c r="G95" i="55"/>
  <c r="P42" i="65" l="1"/>
  <c r="P42" i="64"/>
  <c r="P42" i="61"/>
  <c r="P76" i="65"/>
  <c r="P76" i="61"/>
  <c r="P76" i="64"/>
  <c r="C95" i="55"/>
  <c r="O81" i="58" l="1"/>
  <c r="O88" i="58"/>
  <c r="R105" i="55"/>
  <c r="P105" i="55"/>
  <c r="O45" i="58"/>
  <c r="O14" i="58"/>
  <c r="O52" i="58"/>
  <c r="O35" i="58" s="1"/>
  <c r="O8" i="58"/>
  <c r="H105" i="55"/>
  <c r="N105" i="55"/>
  <c r="J105" i="55"/>
  <c r="P6" i="65"/>
  <c r="P6" i="61"/>
  <c r="P6" i="64"/>
  <c r="P77" i="61"/>
  <c r="P82" i="61"/>
  <c r="P83" i="61" s="1"/>
  <c r="P43" i="61"/>
  <c r="P25" i="61"/>
  <c r="P48" i="61"/>
  <c r="P49" i="61" s="1"/>
  <c r="P77" i="64"/>
  <c r="P82" i="64"/>
  <c r="P83" i="64" s="1"/>
  <c r="P77" i="65"/>
  <c r="P82" i="65"/>
  <c r="P43" i="64"/>
  <c r="P25" i="64"/>
  <c r="P48" i="64"/>
  <c r="P49" i="64" s="1"/>
  <c r="P43" i="65"/>
  <c r="P25" i="65"/>
  <c r="P48" i="65"/>
  <c r="F105" i="55" l="1"/>
  <c r="N15" i="64" s="1"/>
  <c r="N16" i="64" s="1"/>
  <c r="P88" i="58"/>
  <c r="P81" i="58"/>
  <c r="R106" i="55"/>
  <c r="P106" i="55"/>
  <c r="P52" i="58"/>
  <c r="P35" i="58" s="1"/>
  <c r="P8" i="58"/>
  <c r="P14" i="58"/>
  <c r="P45" i="58"/>
  <c r="H106" i="55"/>
  <c r="N106" i="55"/>
  <c r="J106" i="55"/>
  <c r="D105" i="55"/>
  <c r="O71" i="58"/>
  <c r="O10" i="58"/>
  <c r="O16" i="58"/>
  <c r="O18" i="58"/>
  <c r="O47" i="58"/>
  <c r="O28" i="58"/>
  <c r="O53" i="58"/>
  <c r="O83" i="58"/>
  <c r="O89" i="58"/>
  <c r="P26" i="61"/>
  <c r="P31" i="61"/>
  <c r="P32" i="61" s="1"/>
  <c r="P26" i="64"/>
  <c r="P31" i="64"/>
  <c r="P32" i="64" s="1"/>
  <c r="P26" i="65"/>
  <c r="P31" i="65"/>
  <c r="P7" i="64"/>
  <c r="P12" i="64"/>
  <c r="P13" i="64" s="1"/>
  <c r="P7" i="61"/>
  <c r="P12" i="61"/>
  <c r="P13" i="61" s="1"/>
  <c r="P7" i="65"/>
  <c r="P12" i="65"/>
  <c r="S45" i="61"/>
  <c r="S45" i="65"/>
  <c r="S45" i="64"/>
  <c r="S96" i="65"/>
  <c r="S96" i="61"/>
  <c r="S79" i="64"/>
  <c r="S96" i="64"/>
  <c r="S79" i="65"/>
  <c r="S79" i="61"/>
  <c r="F106" i="55" l="1"/>
  <c r="Q45" i="58"/>
  <c r="Q8" i="58"/>
  <c r="Q14" i="58"/>
  <c r="Q52" i="58"/>
  <c r="Q35" i="58" s="1"/>
  <c r="J107" i="55"/>
  <c r="N107" i="55"/>
  <c r="H107" i="55"/>
  <c r="D106" i="55"/>
  <c r="Q88" i="58"/>
  <c r="Q81" i="58"/>
  <c r="R107" i="55"/>
  <c r="P107" i="55"/>
  <c r="O54" i="58"/>
  <c r="O36" i="58"/>
  <c r="O72" i="58"/>
  <c r="O30" i="58"/>
  <c r="P28" i="58"/>
  <c r="P54" i="58" s="1"/>
  <c r="P53" i="58"/>
  <c r="P47" i="58"/>
  <c r="P18" i="58"/>
  <c r="P16" i="58"/>
  <c r="P10" i="58"/>
  <c r="P71" i="58"/>
  <c r="P89" i="58"/>
  <c r="P83" i="58"/>
  <c r="G15" i="57"/>
  <c r="S15" i="61"/>
  <c r="S16" i="61" s="1"/>
  <c r="S15" i="64"/>
  <c r="S16" i="64" s="1"/>
  <c r="S15" i="65"/>
  <c r="S16" i="65" s="1"/>
  <c r="S80" i="61"/>
  <c r="S97" i="64"/>
  <c r="S80" i="64"/>
  <c r="S97" i="61"/>
  <c r="S97" i="65"/>
  <c r="S46" i="64"/>
  <c r="S28" i="64"/>
  <c r="S28" i="65"/>
  <c r="S28" i="61"/>
  <c r="S46" i="61"/>
  <c r="S9" i="64"/>
  <c r="S9" i="65"/>
  <c r="S9" i="61"/>
  <c r="T45" i="65"/>
  <c r="T45" i="64"/>
  <c r="T45" i="61"/>
  <c r="T79" i="61"/>
  <c r="T79" i="64"/>
  <c r="T96" i="65"/>
  <c r="T96" i="64"/>
  <c r="T79" i="65"/>
  <c r="T96" i="61"/>
  <c r="F107" i="55" l="1"/>
  <c r="P15" i="61" s="1"/>
  <c r="P16" i="61" s="1"/>
  <c r="P72" i="58"/>
  <c r="P30" i="58"/>
  <c r="P36" i="58"/>
  <c r="D107" i="55"/>
  <c r="Q89" i="58"/>
  <c r="Q83" i="58"/>
  <c r="R88" i="58"/>
  <c r="R81" i="58"/>
  <c r="R108" i="55"/>
  <c r="P108" i="55"/>
  <c r="R14" i="58"/>
  <c r="R8" i="58"/>
  <c r="R45" i="58"/>
  <c r="R52" i="58"/>
  <c r="R35" i="58" s="1"/>
  <c r="J108" i="55"/>
  <c r="H108" i="55"/>
  <c r="N108" i="55"/>
  <c r="Q71" i="58"/>
  <c r="Q10" i="58"/>
  <c r="G16" i="57"/>
  <c r="Q16" i="58"/>
  <c r="Q18" i="58"/>
  <c r="Q47" i="58"/>
  <c r="Q28" i="58"/>
  <c r="Q53" i="58"/>
  <c r="T15" i="64"/>
  <c r="T16" i="64" s="1"/>
  <c r="H15" i="57"/>
  <c r="T15" i="65"/>
  <c r="T16" i="65" s="1"/>
  <c r="T15" i="61"/>
  <c r="T16" i="61" s="1"/>
  <c r="T97" i="64"/>
  <c r="T97" i="65"/>
  <c r="T80" i="64"/>
  <c r="T28" i="65"/>
  <c r="T80" i="61"/>
  <c r="T97" i="61"/>
  <c r="T9" i="61"/>
  <c r="T9" i="65"/>
  <c r="T9" i="64"/>
  <c r="T28" i="61"/>
  <c r="T46" i="61"/>
  <c r="T46" i="64"/>
  <c r="T28" i="64"/>
  <c r="S10" i="61"/>
  <c r="S10" i="64"/>
  <c r="S29" i="61"/>
  <c r="S29" i="64"/>
  <c r="U45" i="61"/>
  <c r="U45" i="65"/>
  <c r="U45" i="64"/>
  <c r="U96" i="64"/>
  <c r="U79" i="64"/>
  <c r="U96" i="61"/>
  <c r="U79" i="65"/>
  <c r="U96" i="65"/>
  <c r="U79" i="61"/>
  <c r="D108" i="55" l="1"/>
  <c r="Q54" i="58"/>
  <c r="Q30" i="58"/>
  <c r="Q36" i="58"/>
  <c r="Q72" i="58"/>
  <c r="F108" i="55"/>
  <c r="R28" i="58"/>
  <c r="R47" i="58"/>
  <c r="R53" i="58"/>
  <c r="H16" i="57"/>
  <c r="R10" i="58"/>
  <c r="R71" i="58"/>
  <c r="R18" i="58"/>
  <c r="R16" i="58"/>
  <c r="R83" i="58"/>
  <c r="R89" i="58"/>
  <c r="I15" i="57"/>
  <c r="U15" i="61"/>
  <c r="U16" i="61" s="1"/>
  <c r="U15" i="65"/>
  <c r="U16" i="65" s="1"/>
  <c r="U15" i="64"/>
  <c r="U16" i="64" s="1"/>
  <c r="U80" i="64"/>
  <c r="T29" i="61"/>
  <c r="U97" i="64"/>
  <c r="T10" i="64"/>
  <c r="U97" i="61"/>
  <c r="T10" i="61"/>
  <c r="U80" i="65"/>
  <c r="T29" i="64"/>
  <c r="U80" i="61"/>
  <c r="U97" i="65"/>
  <c r="U9" i="65"/>
  <c r="U9" i="64"/>
  <c r="U9" i="61"/>
  <c r="U46" i="64"/>
  <c r="AP46" i="64" s="1"/>
  <c r="U28" i="64"/>
  <c r="U46" i="65"/>
  <c r="U28" i="65"/>
  <c r="U28" i="61"/>
  <c r="U46" i="61"/>
  <c r="V45" i="61"/>
  <c r="V45" i="65"/>
  <c r="V45" i="64"/>
  <c r="V79" i="65"/>
  <c r="V96" i="64"/>
  <c r="V79" i="64"/>
  <c r="V79" i="61"/>
  <c r="V96" i="65"/>
  <c r="V96" i="61"/>
  <c r="I16" i="57" l="1"/>
  <c r="R54" i="58"/>
  <c r="R72" i="58"/>
  <c r="R30" i="58"/>
  <c r="R36" i="58"/>
  <c r="J15" i="57"/>
  <c r="V15" i="61"/>
  <c r="V16" i="61" s="1"/>
  <c r="V15" i="65"/>
  <c r="V16" i="65" s="1"/>
  <c r="V15" i="64"/>
  <c r="V16" i="64" s="1"/>
  <c r="V80" i="65"/>
  <c r="U10" i="61"/>
  <c r="V97" i="61"/>
  <c r="V28" i="64"/>
  <c r="U10" i="64"/>
  <c r="V97" i="65"/>
  <c r="U10" i="65"/>
  <c r="U29" i="61"/>
  <c r="V80" i="61"/>
  <c r="V80" i="64"/>
  <c r="U29" i="65"/>
  <c r="V97" i="64"/>
  <c r="U29" i="64"/>
  <c r="AP29" i="64" s="1"/>
  <c r="V28" i="65"/>
  <c r="V46" i="65"/>
  <c r="V46" i="61"/>
  <c r="V28" i="61"/>
  <c r="V9" i="61"/>
  <c r="V9" i="64"/>
  <c r="V9" i="65"/>
  <c r="W45" i="65"/>
  <c r="W45" i="61"/>
  <c r="W45" i="64"/>
  <c r="W79" i="61"/>
  <c r="W96" i="65"/>
  <c r="W96" i="61"/>
  <c r="W79" i="64"/>
  <c r="W96" i="64"/>
  <c r="W79" i="65"/>
  <c r="G46" i="57" l="1"/>
  <c r="J16" i="57"/>
  <c r="G82" i="57"/>
  <c r="G83" i="57" s="1"/>
  <c r="W15" i="61"/>
  <c r="W16" i="61" s="1"/>
  <c r="K15" i="57"/>
  <c r="W15" i="64"/>
  <c r="W16" i="64" s="1"/>
  <c r="W15" i="65"/>
  <c r="W16" i="65" s="1"/>
  <c r="W80" i="64"/>
  <c r="W97" i="65"/>
  <c r="W80" i="61"/>
  <c r="V29" i="65"/>
  <c r="W80" i="65"/>
  <c r="W28" i="64"/>
  <c r="V10" i="65"/>
  <c r="W97" i="64"/>
  <c r="V10" i="64"/>
  <c r="V10" i="61"/>
  <c r="V29" i="61"/>
  <c r="W97" i="61"/>
  <c r="W9" i="65"/>
  <c r="W9" i="61"/>
  <c r="W9" i="64"/>
  <c r="W46" i="61"/>
  <c r="W28" i="61"/>
  <c r="W46" i="65"/>
  <c r="W28" i="65"/>
  <c r="X45" i="61"/>
  <c r="X45" i="64"/>
  <c r="X45" i="65"/>
  <c r="X96" i="65"/>
  <c r="X96" i="64"/>
  <c r="X79" i="64"/>
  <c r="X79" i="61"/>
  <c r="X79" i="65"/>
  <c r="X96" i="61"/>
  <c r="H46" i="57" l="1"/>
  <c r="G47" i="57"/>
  <c r="G29" i="57"/>
  <c r="G30" i="57" s="1"/>
  <c r="K16" i="57"/>
  <c r="H82" i="57"/>
  <c r="H83" i="57" s="1"/>
  <c r="X15" i="64"/>
  <c r="X16" i="64" s="1"/>
  <c r="L15" i="57"/>
  <c r="X15" i="61"/>
  <c r="X16" i="61" s="1"/>
  <c r="X15" i="65"/>
  <c r="X16" i="65" s="1"/>
  <c r="X80" i="64"/>
  <c r="X28" i="64"/>
  <c r="W10" i="61"/>
  <c r="X97" i="64"/>
  <c r="W10" i="65"/>
  <c r="X80" i="61"/>
  <c r="X97" i="65"/>
  <c r="W29" i="65"/>
  <c r="X97" i="61"/>
  <c r="W29" i="61"/>
  <c r="X80" i="65"/>
  <c r="W10" i="64"/>
  <c r="X28" i="65"/>
  <c r="X46" i="65"/>
  <c r="X46" i="61"/>
  <c r="X28" i="61"/>
  <c r="X9" i="65"/>
  <c r="X9" i="61"/>
  <c r="X9" i="64"/>
  <c r="Y45" i="61"/>
  <c r="Y45" i="65"/>
  <c r="Y45" i="64"/>
  <c r="Y79" i="61"/>
  <c r="Y96" i="64"/>
  <c r="Y79" i="65"/>
  <c r="Y79" i="64"/>
  <c r="Y96" i="65"/>
  <c r="Y96" i="61"/>
  <c r="I46" i="57" l="1"/>
  <c r="H47" i="57"/>
  <c r="H29" i="57"/>
  <c r="H30" i="57" s="1"/>
  <c r="L16" i="57"/>
  <c r="I82" i="57"/>
  <c r="I83" i="57" s="1"/>
  <c r="Y15" i="65"/>
  <c r="Y16" i="65" s="1"/>
  <c r="M15" i="57"/>
  <c r="Y15" i="64"/>
  <c r="Y16" i="64" s="1"/>
  <c r="Y15" i="61"/>
  <c r="Y16" i="61" s="1"/>
  <c r="Y97" i="64"/>
  <c r="Y28" i="64"/>
  <c r="X29" i="65"/>
  <c r="X10" i="61"/>
  <c r="Y80" i="65"/>
  <c r="X10" i="65"/>
  <c r="Y80" i="61"/>
  <c r="X29" i="61"/>
  <c r="Y97" i="61"/>
  <c r="Y97" i="65"/>
  <c r="X10" i="64"/>
  <c r="Y80" i="64"/>
  <c r="Y46" i="65"/>
  <c r="Y28" i="65"/>
  <c r="Y46" i="61"/>
  <c r="Y28" i="61"/>
  <c r="Y9" i="65"/>
  <c r="Y9" i="61"/>
  <c r="Y9" i="64"/>
  <c r="Z45" i="65"/>
  <c r="Z45" i="61"/>
  <c r="Z45" i="64"/>
  <c r="Z79" i="64"/>
  <c r="Z96" i="64"/>
  <c r="Z96" i="61"/>
  <c r="Z79" i="61"/>
  <c r="Z79" i="65"/>
  <c r="Z96" i="65"/>
  <c r="M16" i="57" l="1"/>
  <c r="J46" i="57"/>
  <c r="J82" i="57"/>
  <c r="J83" i="57" s="1"/>
  <c r="I29" i="57"/>
  <c r="I30" i="57" s="1"/>
  <c r="I47" i="57"/>
  <c r="Z15" i="65"/>
  <c r="Z16" i="65" s="1"/>
  <c r="N15" i="57"/>
  <c r="Z15" i="61"/>
  <c r="Z16" i="61" s="1"/>
  <c r="Z15" i="64"/>
  <c r="Z16" i="64" s="1"/>
  <c r="Z97" i="65"/>
  <c r="AO97" i="65" s="1"/>
  <c r="Y29" i="65"/>
  <c r="Z97" i="61"/>
  <c r="AO97" i="61" s="1"/>
  <c r="Y10" i="64"/>
  <c r="Z97" i="64"/>
  <c r="AO97" i="64" s="1"/>
  <c r="Y10" i="61"/>
  <c r="Y10" i="65"/>
  <c r="Y29" i="61"/>
  <c r="Z80" i="65"/>
  <c r="Z80" i="61"/>
  <c r="Z80" i="64"/>
  <c r="Z28" i="64"/>
  <c r="Z46" i="61"/>
  <c r="Z28" i="61"/>
  <c r="Z46" i="65"/>
  <c r="Z28" i="65"/>
  <c r="Z9" i="65"/>
  <c r="Z9" i="61"/>
  <c r="Z9" i="64"/>
  <c r="AA45" i="65"/>
  <c r="AA45" i="64"/>
  <c r="AA45" i="61"/>
  <c r="AA96" i="64"/>
  <c r="AA79" i="65"/>
  <c r="AA96" i="65"/>
  <c r="AA96" i="61"/>
  <c r="AA79" i="64"/>
  <c r="AA79" i="61"/>
  <c r="N16" i="57" l="1"/>
  <c r="K46" i="57"/>
  <c r="K82" i="57"/>
  <c r="K83" i="57" s="1"/>
  <c r="J29" i="57"/>
  <c r="J30" i="57" s="1"/>
  <c r="J47" i="57"/>
  <c r="AA15" i="65"/>
  <c r="AA16" i="65" s="1"/>
  <c r="O15" i="57"/>
  <c r="AA15" i="61"/>
  <c r="AA16" i="61" s="1"/>
  <c r="AA15" i="64"/>
  <c r="AA16" i="64" s="1"/>
  <c r="AA80" i="64"/>
  <c r="AA97" i="61"/>
  <c r="Z29" i="61"/>
  <c r="AA97" i="65"/>
  <c r="Z10" i="61"/>
  <c r="Z10" i="65"/>
  <c r="AA80" i="65"/>
  <c r="AA97" i="64"/>
  <c r="AA28" i="64"/>
  <c r="AA80" i="61"/>
  <c r="AA46" i="61"/>
  <c r="AA28" i="61"/>
  <c r="AA9" i="64"/>
  <c r="AA9" i="65"/>
  <c r="AA9" i="61"/>
  <c r="AA46" i="65"/>
  <c r="AA28" i="65"/>
  <c r="Z10" i="64"/>
  <c r="Z29" i="65"/>
  <c r="AB45" i="61"/>
  <c r="AB45" i="64"/>
  <c r="AB45" i="65"/>
  <c r="AB79" i="64"/>
  <c r="AB79" i="61"/>
  <c r="AB96" i="64"/>
  <c r="AB96" i="61"/>
  <c r="AB79" i="65"/>
  <c r="AB96" i="65"/>
  <c r="L46" i="57" l="1"/>
  <c r="O16" i="57"/>
  <c r="K29" i="57"/>
  <c r="K30" i="57" s="1"/>
  <c r="K47" i="57"/>
  <c r="L82" i="57"/>
  <c r="L83" i="57" s="1"/>
  <c r="AB15" i="61"/>
  <c r="AB16" i="61" s="1"/>
  <c r="P15" i="57"/>
  <c r="AB15" i="65"/>
  <c r="AB16" i="65" s="1"/>
  <c r="AB15" i="64"/>
  <c r="AB16" i="64" s="1"/>
  <c r="AB97" i="65"/>
  <c r="AB28" i="64"/>
  <c r="AB80" i="65"/>
  <c r="AA29" i="65"/>
  <c r="AA29" i="61"/>
  <c r="AB97" i="61"/>
  <c r="AB97" i="64"/>
  <c r="AB80" i="61"/>
  <c r="AA10" i="64"/>
  <c r="AB80" i="64"/>
  <c r="AA10" i="61"/>
  <c r="AA10" i="65"/>
  <c r="AB46" i="65"/>
  <c r="AB28" i="65"/>
  <c r="AB28" i="61"/>
  <c r="AB46" i="61"/>
  <c r="AB9" i="64"/>
  <c r="AB9" i="61"/>
  <c r="AB9" i="65"/>
  <c r="AC45" i="65"/>
  <c r="AC45" i="61"/>
  <c r="AC45" i="64"/>
  <c r="AO45" i="64" s="1"/>
  <c r="AC79" i="64"/>
  <c r="AC79" i="65"/>
  <c r="AC96" i="64"/>
  <c r="AC96" i="61"/>
  <c r="AC79" i="61"/>
  <c r="AC96" i="65"/>
  <c r="L29" i="57" l="1"/>
  <c r="L30" i="57" s="1"/>
  <c r="L47" i="57"/>
  <c r="P16" i="57"/>
  <c r="M46" i="57"/>
  <c r="M82" i="57"/>
  <c r="M83" i="57" s="1"/>
  <c r="AC15" i="65"/>
  <c r="AP15" i="65" s="1"/>
  <c r="Q15" i="57"/>
  <c r="AP45" i="61"/>
  <c r="AO45" i="61"/>
  <c r="AC80" i="65"/>
  <c r="AP80" i="65" s="1"/>
  <c r="AP79" i="65"/>
  <c r="AB29" i="65"/>
  <c r="AB29" i="61"/>
  <c r="AC80" i="64"/>
  <c r="AP80" i="64" s="1"/>
  <c r="AP79" i="64"/>
  <c r="AC15" i="61"/>
  <c r="AP15" i="61" s="1"/>
  <c r="AP45" i="65"/>
  <c r="AO79" i="65"/>
  <c r="AP96" i="65"/>
  <c r="AC15" i="64"/>
  <c r="AC80" i="61"/>
  <c r="AP80" i="61" s="1"/>
  <c r="AP79" i="61"/>
  <c r="AB10" i="61"/>
  <c r="AO79" i="64"/>
  <c r="AB10" i="64"/>
  <c r="AP96" i="64"/>
  <c r="AB10" i="65"/>
  <c r="AP96" i="61"/>
  <c r="AC28" i="64"/>
  <c r="AP45" i="64"/>
  <c r="AO79" i="61"/>
  <c r="AO96" i="65"/>
  <c r="AC97" i="65"/>
  <c r="AO96" i="61"/>
  <c r="AC97" i="61"/>
  <c r="AO96" i="64"/>
  <c r="AC97" i="64"/>
  <c r="AC28" i="61"/>
  <c r="AC46" i="61"/>
  <c r="AP46" i="61" s="1"/>
  <c r="AO45" i="65"/>
  <c r="AC46" i="65"/>
  <c r="AP46" i="65" s="1"/>
  <c r="AC28" i="65"/>
  <c r="AC9" i="61"/>
  <c r="AC9" i="64"/>
  <c r="AC9" i="65"/>
  <c r="M47" i="57" l="1"/>
  <c r="M29" i="57"/>
  <c r="M30" i="57" s="1"/>
  <c r="N82" i="57"/>
  <c r="N83" i="57" s="1"/>
  <c r="Q16" i="57"/>
  <c r="N46" i="57"/>
  <c r="AO15" i="65"/>
  <c r="AC16" i="65"/>
  <c r="AP16" i="65" s="1"/>
  <c r="AO15" i="61"/>
  <c r="AC16" i="61"/>
  <c r="AP16" i="61" s="1"/>
  <c r="AO80" i="65"/>
  <c r="AO80" i="64"/>
  <c r="AC10" i="64"/>
  <c r="AP10" i="64" s="1"/>
  <c r="AP9" i="64"/>
  <c r="AP15" i="64"/>
  <c r="AO15" i="64"/>
  <c r="AO9" i="64"/>
  <c r="AC29" i="65"/>
  <c r="AP29" i="65" s="1"/>
  <c r="AP28" i="65"/>
  <c r="AP9" i="61"/>
  <c r="AO28" i="65"/>
  <c r="AO46" i="61"/>
  <c r="AO46" i="65"/>
  <c r="AP9" i="65"/>
  <c r="AO28" i="64"/>
  <c r="AP28" i="64"/>
  <c r="AP28" i="61"/>
  <c r="AC16" i="64"/>
  <c r="AO80" i="61"/>
  <c r="AD83" i="57"/>
  <c r="AO9" i="65"/>
  <c r="AC10" i="65"/>
  <c r="AP10" i="65" s="1"/>
  <c r="AO9" i="61"/>
  <c r="AC10" i="61"/>
  <c r="AO28" i="61"/>
  <c r="AC29" i="61"/>
  <c r="AP29" i="61" s="1"/>
  <c r="O46" i="57" l="1"/>
  <c r="N47" i="57"/>
  <c r="N29" i="57"/>
  <c r="N30" i="57" s="1"/>
  <c r="O82" i="57"/>
  <c r="O83" i="57" s="1"/>
  <c r="AO16" i="65"/>
  <c r="AO16" i="61"/>
  <c r="AO29" i="65"/>
  <c r="AO10" i="65"/>
  <c r="AO29" i="61"/>
  <c r="AO10" i="64"/>
  <c r="AP10" i="61"/>
  <c r="AO10" i="61"/>
  <c r="AP16" i="64"/>
  <c r="AO16" i="64"/>
  <c r="AE83" i="57"/>
  <c r="P82" i="57" l="1"/>
  <c r="P83" i="57" s="1"/>
  <c r="P46" i="57"/>
  <c r="O47" i="57"/>
  <c r="O29" i="57"/>
  <c r="O30" i="57" s="1"/>
  <c r="R131" i="55"/>
  <c r="P131" i="55"/>
  <c r="N131" i="55"/>
  <c r="J131" i="55"/>
  <c r="H131" i="55"/>
  <c r="H130" i="55"/>
  <c r="J130" i="55"/>
  <c r="N130" i="55"/>
  <c r="R130" i="55"/>
  <c r="P130" i="55"/>
  <c r="R129" i="55"/>
  <c r="P129" i="55"/>
  <c r="J129" i="55"/>
  <c r="H129" i="55"/>
  <c r="N129" i="55"/>
  <c r="N128" i="55"/>
  <c r="H128" i="55"/>
  <c r="J128" i="55"/>
  <c r="R128" i="55"/>
  <c r="P128" i="55"/>
  <c r="AF83" i="57"/>
  <c r="Q82" i="57" l="1"/>
  <c r="Q83" i="57" s="1"/>
  <c r="P29" i="57"/>
  <c r="P30" i="57" s="1"/>
  <c r="P47" i="57"/>
  <c r="Q46" i="57"/>
  <c r="F131" i="55"/>
  <c r="D131" i="55"/>
  <c r="AN46" i="57"/>
  <c r="AN47" i="57" s="1"/>
  <c r="AN82" i="57"/>
  <c r="F130" i="55"/>
  <c r="AM82" i="57"/>
  <c r="AO81" i="58"/>
  <c r="AO88" i="58"/>
  <c r="AO8" i="58"/>
  <c r="AO52" i="58"/>
  <c r="AO14" i="58"/>
  <c r="AO45" i="58"/>
  <c r="AM46" i="57"/>
  <c r="D130" i="55"/>
  <c r="AN88" i="58"/>
  <c r="AN81" i="58"/>
  <c r="AN8" i="58"/>
  <c r="AN14" i="58"/>
  <c r="AN45" i="58"/>
  <c r="AN52" i="58"/>
  <c r="AN35" i="58" s="1"/>
  <c r="D129" i="55"/>
  <c r="AL46" i="57"/>
  <c r="F129" i="55"/>
  <c r="AL82" i="57"/>
  <c r="AK82" i="57"/>
  <c r="F128" i="55"/>
  <c r="AK46" i="57"/>
  <c r="AK47" i="57" s="1"/>
  <c r="D128" i="55"/>
  <c r="AM81" i="58"/>
  <c r="AM88" i="58"/>
  <c r="AM45" i="58"/>
  <c r="AM52" i="58"/>
  <c r="AM35" i="58" s="1"/>
  <c r="AM14" i="58"/>
  <c r="AM8" i="58"/>
  <c r="AG83" i="57"/>
  <c r="Q9" i="57" l="1"/>
  <c r="Q47" i="57"/>
  <c r="Q29" i="57"/>
  <c r="Q30" i="57" s="1"/>
  <c r="AO35" i="58"/>
  <c r="AN85" i="57"/>
  <c r="AN86" i="57" s="1"/>
  <c r="AN83" i="57"/>
  <c r="AN110" i="3"/>
  <c r="AN29" i="57"/>
  <c r="AN30" i="57" s="1"/>
  <c r="AN9" i="57"/>
  <c r="AO71" i="58"/>
  <c r="AO10" i="58"/>
  <c r="AM9" i="57"/>
  <c r="AO83" i="58"/>
  <c r="AO89" i="58"/>
  <c r="AM110" i="3"/>
  <c r="AM85" i="57"/>
  <c r="AM86" i="57" s="1"/>
  <c r="AM83" i="57"/>
  <c r="AM47" i="57"/>
  <c r="AM29" i="57"/>
  <c r="AO47" i="58"/>
  <c r="AO28" i="58"/>
  <c r="AO53" i="58"/>
  <c r="AO18" i="58"/>
  <c r="AO16" i="58"/>
  <c r="AL85" i="57"/>
  <c r="AL86" i="57" s="1"/>
  <c r="AL83" i="57"/>
  <c r="AN47" i="58"/>
  <c r="AN28" i="58"/>
  <c r="AN54" i="58" s="1"/>
  <c r="AN53" i="58"/>
  <c r="AL110" i="3"/>
  <c r="AN18" i="58"/>
  <c r="AN16" i="58"/>
  <c r="AL47" i="57"/>
  <c r="AL29" i="57"/>
  <c r="AN71" i="58"/>
  <c r="AN10" i="58"/>
  <c r="AN83" i="58"/>
  <c r="AN89" i="58"/>
  <c r="AL9" i="57"/>
  <c r="AK110" i="3"/>
  <c r="AK85" i="57"/>
  <c r="AK86" i="57" s="1"/>
  <c r="AK83" i="57"/>
  <c r="AM10" i="58"/>
  <c r="AM71" i="58"/>
  <c r="AM18" i="58"/>
  <c r="AM16" i="58"/>
  <c r="AK29" i="57"/>
  <c r="AK30" i="57" s="1"/>
  <c r="AM47" i="58"/>
  <c r="AM28" i="58"/>
  <c r="AM53" i="58"/>
  <c r="AM83" i="58"/>
  <c r="AM89" i="58"/>
  <c r="AK9" i="57"/>
  <c r="AJ83" i="57"/>
  <c r="AJ110" i="3"/>
  <c r="AI83" i="57"/>
  <c r="AI110" i="3"/>
  <c r="I58" i="63"/>
  <c r="F58" i="63"/>
  <c r="AE110" i="3"/>
  <c r="AH110" i="3"/>
  <c r="F107" i="63"/>
  <c r="F110" i="63" s="1"/>
  <c r="G107" i="63"/>
  <c r="O107" i="63"/>
  <c r="AH83" i="57"/>
  <c r="M58" i="63"/>
  <c r="L58" i="63"/>
  <c r="L107" i="63"/>
  <c r="J107" i="63"/>
  <c r="I107" i="63"/>
  <c r="AD110" i="3"/>
  <c r="E58" i="63"/>
  <c r="K107" i="63"/>
  <c r="G58" i="63"/>
  <c r="N107" i="63"/>
  <c r="H107" i="63"/>
  <c r="AF110" i="3"/>
  <c r="K58" i="63"/>
  <c r="O58" i="63"/>
  <c r="E107" i="63"/>
  <c r="E110" i="63" s="1"/>
  <c r="E130" i="63"/>
  <c r="J58" i="63"/>
  <c r="H58" i="63"/>
  <c r="M107" i="63"/>
  <c r="AG110" i="3"/>
  <c r="N58" i="63"/>
  <c r="Q10" i="57" l="1"/>
  <c r="AN12" i="57"/>
  <c r="AN10" i="57"/>
  <c r="AM10" i="57"/>
  <c r="AM12" i="57"/>
  <c r="AO54" i="58"/>
  <c r="AO30" i="58"/>
  <c r="AO72" i="58"/>
  <c r="AO36" i="58"/>
  <c r="AM30" i="57"/>
  <c r="AL30" i="57"/>
  <c r="AN72" i="58"/>
  <c r="AN30" i="58"/>
  <c r="AN36" i="58"/>
  <c r="AL10" i="57"/>
  <c r="AL12" i="57"/>
  <c r="AK12" i="57"/>
  <c r="AK10" i="57"/>
  <c r="AM54" i="58"/>
  <c r="AM72" i="58"/>
  <c r="AM30" i="58"/>
  <c r="AM36" i="58"/>
  <c r="N15" i="63"/>
  <c r="N16" i="63" s="1"/>
  <c r="L15" i="63"/>
  <c r="L16" i="63" s="1"/>
  <c r="G15" i="63"/>
  <c r="G16" i="63" s="1"/>
  <c r="M15" i="63"/>
  <c r="M16" i="63" s="1"/>
  <c r="AO83" i="57"/>
  <c r="O15" i="63"/>
  <c r="O16" i="63" s="1"/>
  <c r="F15" i="63"/>
  <c r="F16" i="63" s="1"/>
  <c r="E15" i="63"/>
  <c r="E16" i="63" s="1"/>
  <c r="E131" i="63"/>
  <c r="E133" i="63"/>
  <c r="E134" i="63" s="1"/>
  <c r="N108" i="63"/>
  <c r="N110" i="63"/>
  <c r="N111" i="63" s="1"/>
  <c r="E59" i="63"/>
  <c r="E61" i="63"/>
  <c r="E62" i="63" s="1"/>
  <c r="E35" i="63"/>
  <c r="I108" i="63"/>
  <c r="I110" i="63"/>
  <c r="I111" i="63" s="1"/>
  <c r="H15" i="63"/>
  <c r="H16" i="63" s="1"/>
  <c r="M108" i="63"/>
  <c r="M110" i="63"/>
  <c r="M111" i="63" s="1"/>
  <c r="F9" i="63"/>
  <c r="I9" i="63"/>
  <c r="H9" i="63"/>
  <c r="G59" i="63"/>
  <c r="G35" i="63"/>
  <c r="G61" i="63"/>
  <c r="G62" i="63" s="1"/>
  <c r="J108" i="63"/>
  <c r="J110" i="63"/>
  <c r="J111" i="63" s="1"/>
  <c r="L9" i="63"/>
  <c r="H59" i="63"/>
  <c r="H61" i="63"/>
  <c r="H62" i="63" s="1"/>
  <c r="H35" i="63"/>
  <c r="K9" i="63"/>
  <c r="G9" i="63"/>
  <c r="F59" i="63"/>
  <c r="F61" i="63"/>
  <c r="F62" i="63" s="1"/>
  <c r="F35" i="63"/>
  <c r="J59" i="63"/>
  <c r="J61" i="63"/>
  <c r="J62" i="63" s="1"/>
  <c r="J35" i="63"/>
  <c r="O9" i="63"/>
  <c r="K59" i="63"/>
  <c r="K35" i="63"/>
  <c r="K61" i="63"/>
  <c r="K62" i="63" s="1"/>
  <c r="J15" i="63"/>
  <c r="J16" i="63" s="1"/>
  <c r="K108" i="63"/>
  <c r="K110" i="63"/>
  <c r="K111" i="63" s="1"/>
  <c r="L59" i="63"/>
  <c r="L35" i="63"/>
  <c r="L61" i="63"/>
  <c r="L62" i="63" s="1"/>
  <c r="O110" i="63"/>
  <c r="O111" i="63" s="1"/>
  <c r="O108" i="63"/>
  <c r="G108" i="63"/>
  <c r="G110" i="63"/>
  <c r="G111" i="63" s="1"/>
  <c r="I15" i="63"/>
  <c r="I16" i="63" s="1"/>
  <c r="K15" i="63"/>
  <c r="K16" i="63" s="1"/>
  <c r="L108" i="63"/>
  <c r="L110" i="63"/>
  <c r="L111" i="63" s="1"/>
  <c r="M9" i="63"/>
  <c r="N9" i="63"/>
  <c r="J9" i="63"/>
  <c r="O35" i="63"/>
  <c r="O59" i="63"/>
  <c r="O61" i="63"/>
  <c r="O62" i="63" s="1"/>
  <c r="H108" i="63"/>
  <c r="H110" i="63"/>
  <c r="H111" i="63" s="1"/>
  <c r="E9" i="63"/>
  <c r="M35" i="63"/>
  <c r="M61" i="63"/>
  <c r="M62" i="63" s="1"/>
  <c r="M59" i="63"/>
  <c r="N61" i="63"/>
  <c r="N62" i="63" s="1"/>
  <c r="N35" i="63"/>
  <c r="N59" i="63"/>
  <c r="I61" i="63"/>
  <c r="I62" i="63" s="1"/>
  <c r="I35" i="63"/>
  <c r="I59" i="63"/>
  <c r="AN10" i="3" l="1"/>
  <c r="AM10" i="3"/>
  <c r="AN13" i="57"/>
  <c r="AK10" i="3"/>
  <c r="AK13" i="57"/>
  <c r="AL13" i="57"/>
  <c r="AL10" i="3"/>
  <c r="G105" i="55"/>
  <c r="O42" i="58"/>
  <c r="O5" i="58"/>
  <c r="AM13" i="57"/>
  <c r="O105" i="55"/>
  <c r="O78" i="58"/>
  <c r="AN36" i="3"/>
  <c r="AM36" i="3"/>
  <c r="AL36" i="3"/>
  <c r="AK36" i="3"/>
  <c r="N36" i="63"/>
  <c r="N38" i="63"/>
  <c r="N39" i="63" s="1"/>
  <c r="M10" i="63"/>
  <c r="M12" i="63"/>
  <c r="M13" i="63" s="1"/>
  <c r="M38" i="63"/>
  <c r="M39" i="63" s="1"/>
  <c r="M36" i="63"/>
  <c r="K36" i="63"/>
  <c r="K38" i="63"/>
  <c r="K39" i="63" s="1"/>
  <c r="G12" i="63"/>
  <c r="G13" i="63" s="1"/>
  <c r="G10" i="63"/>
  <c r="H38" i="63"/>
  <c r="H39" i="63" s="1"/>
  <c r="H36" i="63"/>
  <c r="F10" i="63"/>
  <c r="F12" i="63"/>
  <c r="F13" i="63" s="1"/>
  <c r="O10" i="63"/>
  <c r="O12" i="63"/>
  <c r="O13" i="63" s="1"/>
  <c r="I36" i="63"/>
  <c r="I38" i="63"/>
  <c r="I39" i="63" s="1"/>
  <c r="E10" i="63"/>
  <c r="E12" i="63"/>
  <c r="E13" i="63" s="1"/>
  <c r="F36" i="63"/>
  <c r="F38" i="63"/>
  <c r="F39" i="63" s="1"/>
  <c r="O36" i="63"/>
  <c r="O38" i="63"/>
  <c r="O39" i="63" s="1"/>
  <c r="K12" i="63"/>
  <c r="K13" i="63" s="1"/>
  <c r="K10" i="63"/>
  <c r="E38" i="63"/>
  <c r="E39" i="63" s="1"/>
  <c r="E36" i="63"/>
  <c r="J10" i="63"/>
  <c r="J12" i="63"/>
  <c r="J13" i="63" s="1"/>
  <c r="L36" i="63"/>
  <c r="L38" i="63"/>
  <c r="L39" i="63" s="1"/>
  <c r="L10" i="63"/>
  <c r="L12" i="63"/>
  <c r="L13" i="63" s="1"/>
  <c r="G38" i="63"/>
  <c r="G39" i="63" s="1"/>
  <c r="G36" i="63"/>
  <c r="N12" i="63"/>
  <c r="N13" i="63" s="1"/>
  <c r="N10" i="63"/>
  <c r="J36" i="63"/>
  <c r="J38" i="63"/>
  <c r="J39" i="63" s="1"/>
  <c r="H12" i="63"/>
  <c r="H13" i="63" s="1"/>
  <c r="H10" i="63"/>
  <c r="I12" i="63"/>
  <c r="I13" i="63" s="1"/>
  <c r="I10" i="63"/>
  <c r="C105" i="55" l="1"/>
  <c r="G106" i="55"/>
  <c r="P5" i="58"/>
  <c r="P42" i="58"/>
  <c r="O7" i="58"/>
  <c r="O11" i="58"/>
  <c r="O106" i="55"/>
  <c r="P78" i="58"/>
  <c r="O80" i="58"/>
  <c r="O84" i="58"/>
  <c r="O86" i="58" s="1"/>
  <c r="O25" i="58"/>
  <c r="O44" i="58"/>
  <c r="O48" i="58"/>
  <c r="O50" i="58" s="1"/>
  <c r="G79" i="57"/>
  <c r="G80" i="57" s="1"/>
  <c r="S42" i="64"/>
  <c r="S42" i="61"/>
  <c r="S42" i="65"/>
  <c r="S76" i="61"/>
  <c r="S93" i="61"/>
  <c r="S76" i="65"/>
  <c r="S76" i="64"/>
  <c r="S93" i="65"/>
  <c r="S93" i="64"/>
  <c r="O13" i="58" l="1"/>
  <c r="G107" i="55"/>
  <c r="Q5" i="58"/>
  <c r="Q42" i="58"/>
  <c r="P80" i="58"/>
  <c r="P84" i="58"/>
  <c r="P86" i="58" s="1"/>
  <c r="P44" i="58"/>
  <c r="P25" i="58"/>
  <c r="P48" i="58"/>
  <c r="P50" i="58" s="1"/>
  <c r="O27" i="58"/>
  <c r="O31" i="58"/>
  <c r="O33" i="58" s="1"/>
  <c r="P7" i="58"/>
  <c r="P11" i="58"/>
  <c r="O107" i="55"/>
  <c r="Q78" i="58"/>
  <c r="C106" i="55"/>
  <c r="G85" i="57"/>
  <c r="G86" i="57" s="1"/>
  <c r="G6" i="57"/>
  <c r="H79" i="57"/>
  <c r="H80" i="57" s="1"/>
  <c r="S94" i="61"/>
  <c r="S99" i="61"/>
  <c r="S100" i="61" s="1"/>
  <c r="S43" i="65"/>
  <c r="S25" i="65"/>
  <c r="S48" i="65"/>
  <c r="S77" i="61"/>
  <c r="S82" i="61"/>
  <c r="S83" i="61" s="1"/>
  <c r="S6" i="65"/>
  <c r="S6" i="61"/>
  <c r="S6" i="64"/>
  <c r="S43" i="61"/>
  <c r="S25" i="61"/>
  <c r="S48" i="61"/>
  <c r="S49" i="61" s="1"/>
  <c r="S94" i="64"/>
  <c r="S99" i="64"/>
  <c r="S100" i="64" s="1"/>
  <c r="S43" i="64"/>
  <c r="S25" i="64"/>
  <c r="S48" i="64"/>
  <c r="S49" i="64" s="1"/>
  <c r="S94" i="65"/>
  <c r="S99" i="65"/>
  <c r="S100" i="65" s="1"/>
  <c r="S77" i="64"/>
  <c r="S82" i="64"/>
  <c r="S83" i="64" s="1"/>
  <c r="T93" i="64"/>
  <c r="T93" i="61"/>
  <c r="T76" i="65"/>
  <c r="T76" i="61"/>
  <c r="T93" i="65"/>
  <c r="T76" i="64"/>
  <c r="S77" i="65"/>
  <c r="S82" i="65"/>
  <c r="T42" i="64"/>
  <c r="T42" i="65"/>
  <c r="T42" i="61"/>
  <c r="R5" i="58" l="1"/>
  <c r="R42" i="58"/>
  <c r="G108" i="55"/>
  <c r="Q80" i="58"/>
  <c r="Q84" i="58"/>
  <c r="Q86" i="58" s="1"/>
  <c r="P13" i="58"/>
  <c r="R78" i="58"/>
  <c r="O108" i="55"/>
  <c r="Q25" i="58"/>
  <c r="Q44" i="58"/>
  <c r="Q48" i="58"/>
  <c r="Q50" i="58" s="1"/>
  <c r="G7" i="57"/>
  <c r="Q7" i="58"/>
  <c r="Q11" i="58"/>
  <c r="C107" i="55"/>
  <c r="P27" i="58"/>
  <c r="P31" i="58"/>
  <c r="P33" i="58" s="1"/>
  <c r="H85" i="57"/>
  <c r="H86" i="57" s="1"/>
  <c r="I79" i="57"/>
  <c r="I80" i="57" s="1"/>
  <c r="H6" i="57"/>
  <c r="T43" i="64"/>
  <c r="T25" i="64"/>
  <c r="T48" i="64"/>
  <c r="T49" i="64" s="1"/>
  <c r="S7" i="64"/>
  <c r="S12" i="64"/>
  <c r="S13" i="64" s="1"/>
  <c r="U42" i="65"/>
  <c r="U42" i="64"/>
  <c r="U42" i="61"/>
  <c r="T77" i="61"/>
  <c r="T82" i="61"/>
  <c r="T83" i="61" s="1"/>
  <c r="T77" i="65"/>
  <c r="T82" i="65"/>
  <c r="S7" i="61"/>
  <c r="S12" i="61"/>
  <c r="S13" i="61" s="1"/>
  <c r="T94" i="61"/>
  <c r="T99" i="61"/>
  <c r="T100" i="61" s="1"/>
  <c r="S7" i="65"/>
  <c r="S12" i="65"/>
  <c r="T94" i="64"/>
  <c r="T99" i="64"/>
  <c r="T100" i="64" s="1"/>
  <c r="U76" i="65"/>
  <c r="U93" i="64"/>
  <c r="U93" i="61"/>
  <c r="U76" i="61"/>
  <c r="U93" i="65"/>
  <c r="U76" i="64"/>
  <c r="S26" i="61"/>
  <c r="S31" i="61"/>
  <c r="S32" i="61" s="1"/>
  <c r="T25" i="61"/>
  <c r="T43" i="61"/>
  <c r="T48" i="61"/>
  <c r="T49" i="61" s="1"/>
  <c r="T77" i="64"/>
  <c r="T82" i="64"/>
  <c r="T83" i="64" s="1"/>
  <c r="S26" i="64"/>
  <c r="S31" i="64"/>
  <c r="S32" i="64" s="1"/>
  <c r="S26" i="65"/>
  <c r="S31" i="65"/>
  <c r="T6" i="64"/>
  <c r="T6" i="65"/>
  <c r="T6" i="61"/>
  <c r="T94" i="65"/>
  <c r="T99" i="65"/>
  <c r="T100" i="65" s="1"/>
  <c r="T25" i="65"/>
  <c r="T43" i="65"/>
  <c r="T48" i="65"/>
  <c r="H7" i="57" l="1"/>
  <c r="R80" i="58"/>
  <c r="R84" i="58"/>
  <c r="R86" i="58" s="1"/>
  <c r="Q13" i="58"/>
  <c r="E43" i="57"/>
  <c r="C108" i="55"/>
  <c r="E6" i="57" s="1"/>
  <c r="R44" i="58"/>
  <c r="R25" i="58"/>
  <c r="R48" i="58"/>
  <c r="R50" i="58" s="1"/>
  <c r="Q27" i="58"/>
  <c r="Q31" i="58"/>
  <c r="Q33" i="58" s="1"/>
  <c r="R7" i="58"/>
  <c r="R11" i="58"/>
  <c r="I85" i="57"/>
  <c r="I86" i="57" s="1"/>
  <c r="J79" i="57"/>
  <c r="J80" i="57" s="1"/>
  <c r="I6" i="57"/>
  <c r="T7" i="64"/>
  <c r="T12" i="64"/>
  <c r="T13" i="64" s="1"/>
  <c r="T26" i="61"/>
  <c r="T31" i="61"/>
  <c r="T32" i="61" s="1"/>
  <c r="T26" i="65"/>
  <c r="T31" i="65"/>
  <c r="U94" i="61"/>
  <c r="U99" i="61"/>
  <c r="U100" i="61" s="1"/>
  <c r="U6" i="61"/>
  <c r="U6" i="64"/>
  <c r="U6" i="65"/>
  <c r="U94" i="64"/>
  <c r="U99" i="64"/>
  <c r="U100" i="64" s="1"/>
  <c r="U25" i="61"/>
  <c r="U43" i="61"/>
  <c r="U48" i="61"/>
  <c r="U49" i="61" s="1"/>
  <c r="T7" i="65"/>
  <c r="T12" i="65"/>
  <c r="U77" i="65"/>
  <c r="U82" i="65"/>
  <c r="U83" i="65" s="1"/>
  <c r="U43" i="64"/>
  <c r="U25" i="64"/>
  <c r="U48" i="64"/>
  <c r="U49" i="64" s="1"/>
  <c r="T26" i="64"/>
  <c r="T31" i="64"/>
  <c r="T32" i="64" s="1"/>
  <c r="U77" i="64"/>
  <c r="U82" i="64"/>
  <c r="U83" i="64" s="1"/>
  <c r="U43" i="65"/>
  <c r="U25" i="65"/>
  <c r="U48" i="65"/>
  <c r="U49" i="65" s="1"/>
  <c r="T7" i="61"/>
  <c r="T12" i="61"/>
  <c r="T13" i="61" s="1"/>
  <c r="U94" i="65"/>
  <c r="U99" i="65"/>
  <c r="U100" i="65" s="1"/>
  <c r="V93" i="65"/>
  <c r="V76" i="64"/>
  <c r="V93" i="64"/>
  <c r="V76" i="65"/>
  <c r="V93" i="61"/>
  <c r="V76" i="61"/>
  <c r="V42" i="65"/>
  <c r="V42" i="61"/>
  <c r="V42" i="64"/>
  <c r="U77" i="61"/>
  <c r="U82" i="61"/>
  <c r="U83" i="61" s="1"/>
  <c r="F43" i="57" l="1"/>
  <c r="R27" i="58"/>
  <c r="R31" i="58"/>
  <c r="R33" i="58" s="1"/>
  <c r="R13" i="58"/>
  <c r="I7" i="57"/>
  <c r="E7" i="57"/>
  <c r="E12" i="57"/>
  <c r="E49" i="57"/>
  <c r="E50" i="57" s="1"/>
  <c r="E26" i="57"/>
  <c r="E44" i="57"/>
  <c r="J85" i="57"/>
  <c r="J86" i="57" s="1"/>
  <c r="K79" i="57"/>
  <c r="K80" i="57" s="1"/>
  <c r="J6" i="57"/>
  <c r="V94" i="61"/>
  <c r="V99" i="61"/>
  <c r="V100" i="61" s="1"/>
  <c r="U26" i="65"/>
  <c r="U31" i="65"/>
  <c r="U32" i="65" s="1"/>
  <c r="U26" i="61"/>
  <c r="U31" i="61"/>
  <c r="U32" i="61" s="1"/>
  <c r="U7" i="64"/>
  <c r="U12" i="64"/>
  <c r="U13" i="64" s="1"/>
  <c r="U7" i="65"/>
  <c r="U12" i="65"/>
  <c r="U13" i="65" s="1"/>
  <c r="V25" i="65"/>
  <c r="V43" i="65"/>
  <c r="V48" i="65"/>
  <c r="V49" i="65" s="1"/>
  <c r="U26" i="64"/>
  <c r="U31" i="64"/>
  <c r="U32" i="64" s="1"/>
  <c r="V77" i="65"/>
  <c r="V82" i="65"/>
  <c r="V83" i="65" s="1"/>
  <c r="U7" i="61"/>
  <c r="U12" i="61"/>
  <c r="U13" i="61" s="1"/>
  <c r="V94" i="64"/>
  <c r="V99" i="64"/>
  <c r="V100" i="64" s="1"/>
  <c r="V77" i="64"/>
  <c r="V82" i="64"/>
  <c r="V83" i="64" s="1"/>
  <c r="V25" i="64"/>
  <c r="V43" i="64"/>
  <c r="V48" i="64"/>
  <c r="V94" i="65"/>
  <c r="V99" i="65"/>
  <c r="V100" i="65" s="1"/>
  <c r="W93" i="65"/>
  <c r="W76" i="64"/>
  <c r="W93" i="61"/>
  <c r="W93" i="64"/>
  <c r="W76" i="61"/>
  <c r="W76" i="65"/>
  <c r="V6" i="64"/>
  <c r="V6" i="61"/>
  <c r="V6" i="65"/>
  <c r="V43" i="61"/>
  <c r="V25" i="61"/>
  <c r="V48" i="61"/>
  <c r="V49" i="61" s="1"/>
  <c r="V77" i="61"/>
  <c r="V82" i="61"/>
  <c r="V83" i="61" s="1"/>
  <c r="W42" i="61"/>
  <c r="W42" i="65"/>
  <c r="W42" i="64"/>
  <c r="E13" i="57" l="1"/>
  <c r="G43" i="57"/>
  <c r="J7" i="57"/>
  <c r="E27" i="57"/>
  <c r="E32" i="57"/>
  <c r="E33" i="57" s="1"/>
  <c r="F26" i="57"/>
  <c r="F44" i="57"/>
  <c r="F49" i="57"/>
  <c r="F50" i="57" s="1"/>
  <c r="K85" i="57"/>
  <c r="K86" i="57" s="1"/>
  <c r="L79" i="57"/>
  <c r="L85" i="57" s="1"/>
  <c r="L86" i="57" s="1"/>
  <c r="K6" i="57"/>
  <c r="V7" i="64"/>
  <c r="V12" i="64"/>
  <c r="V13" i="64" s="1"/>
  <c r="X76" i="61"/>
  <c r="X76" i="64"/>
  <c r="X93" i="64"/>
  <c r="X93" i="61"/>
  <c r="X76" i="65"/>
  <c r="X93" i="65"/>
  <c r="W94" i="65"/>
  <c r="W99" i="65"/>
  <c r="W100" i="65" s="1"/>
  <c r="W43" i="64"/>
  <c r="W25" i="64"/>
  <c r="W48" i="64"/>
  <c r="V26" i="61"/>
  <c r="V31" i="61"/>
  <c r="V32" i="61" s="1"/>
  <c r="W43" i="61"/>
  <c r="W25" i="61"/>
  <c r="W48" i="61"/>
  <c r="W49" i="61" s="1"/>
  <c r="W77" i="65"/>
  <c r="W82" i="65"/>
  <c r="W83" i="65" s="1"/>
  <c r="V26" i="64"/>
  <c r="V31" i="64"/>
  <c r="W77" i="64"/>
  <c r="W82" i="64"/>
  <c r="W83" i="64" s="1"/>
  <c r="W6" i="61"/>
  <c r="W6" i="64"/>
  <c r="W6" i="65"/>
  <c r="W77" i="61"/>
  <c r="W82" i="61"/>
  <c r="W83" i="61" s="1"/>
  <c r="V26" i="65"/>
  <c r="V31" i="65"/>
  <c r="V32" i="65" s="1"/>
  <c r="W25" i="65"/>
  <c r="W43" i="65"/>
  <c r="W48" i="65"/>
  <c r="W49" i="65" s="1"/>
  <c r="W94" i="64"/>
  <c r="W99" i="64"/>
  <c r="W100" i="64" s="1"/>
  <c r="X42" i="65"/>
  <c r="X42" i="64"/>
  <c r="X42" i="61"/>
  <c r="V7" i="65"/>
  <c r="V12" i="65"/>
  <c r="V13" i="65" s="1"/>
  <c r="V7" i="61"/>
  <c r="V12" i="61"/>
  <c r="V13" i="61" s="1"/>
  <c r="W94" i="61"/>
  <c r="W99" i="61"/>
  <c r="W100" i="61" s="1"/>
  <c r="H43" i="57" l="1"/>
  <c r="K7" i="57"/>
  <c r="G26" i="57"/>
  <c r="G44" i="57"/>
  <c r="G49" i="57"/>
  <c r="G50" i="57" s="1"/>
  <c r="F27" i="57"/>
  <c r="F32" i="57"/>
  <c r="F33" i="57" s="1"/>
  <c r="L80" i="57"/>
  <c r="M79" i="57"/>
  <c r="M85" i="57" s="1"/>
  <c r="M86" i="57" s="1"/>
  <c r="L6" i="57"/>
  <c r="W7" i="65"/>
  <c r="W12" i="65"/>
  <c r="W13" i="65" s="1"/>
  <c r="W7" i="64"/>
  <c r="W12" i="64"/>
  <c r="W13" i="64" s="1"/>
  <c r="X77" i="65"/>
  <c r="X82" i="65"/>
  <c r="X83" i="65" s="1"/>
  <c r="W26" i="65"/>
  <c r="W31" i="65"/>
  <c r="W32" i="65" s="1"/>
  <c r="W7" i="61"/>
  <c r="W12" i="61"/>
  <c r="W13" i="61" s="1"/>
  <c r="W26" i="61"/>
  <c r="W31" i="61"/>
  <c r="W32" i="61" s="1"/>
  <c r="X94" i="61"/>
  <c r="X99" i="61"/>
  <c r="X100" i="61" s="1"/>
  <c r="X43" i="61"/>
  <c r="X25" i="61"/>
  <c r="X48" i="61"/>
  <c r="X49" i="61" s="1"/>
  <c r="X94" i="64"/>
  <c r="X99" i="64"/>
  <c r="X100" i="64" s="1"/>
  <c r="X25" i="64"/>
  <c r="X43" i="64"/>
  <c r="X48" i="64"/>
  <c r="X77" i="64"/>
  <c r="X82" i="64"/>
  <c r="X83" i="64" s="1"/>
  <c r="X6" i="65"/>
  <c r="X6" i="61"/>
  <c r="X6" i="64"/>
  <c r="X77" i="61"/>
  <c r="X82" i="61"/>
  <c r="X83" i="61" s="1"/>
  <c r="Y93" i="65"/>
  <c r="Y93" i="64"/>
  <c r="Y93" i="61"/>
  <c r="Y76" i="65"/>
  <c r="Y76" i="61"/>
  <c r="Y76" i="64"/>
  <c r="X25" i="65"/>
  <c r="X43" i="65"/>
  <c r="X48" i="65"/>
  <c r="X49" i="65" s="1"/>
  <c r="W26" i="64"/>
  <c r="W31" i="64"/>
  <c r="Y42" i="64"/>
  <c r="Y42" i="65"/>
  <c r="Y42" i="61"/>
  <c r="X94" i="65"/>
  <c r="X99" i="65"/>
  <c r="X100" i="65" s="1"/>
  <c r="M80" i="57" l="1"/>
  <c r="L7" i="57"/>
  <c r="H44" i="57"/>
  <c r="H26" i="57"/>
  <c r="H49" i="57"/>
  <c r="H50" i="57" s="1"/>
  <c r="G27" i="57"/>
  <c r="G32" i="57"/>
  <c r="G33" i="57" s="1"/>
  <c r="I43" i="57"/>
  <c r="N79" i="57"/>
  <c r="N85" i="57" s="1"/>
  <c r="N86" i="57" s="1"/>
  <c r="M6" i="57"/>
  <c r="Y77" i="61"/>
  <c r="Y82" i="61"/>
  <c r="Y83" i="61" s="1"/>
  <c r="Y77" i="65"/>
  <c r="Y82" i="65"/>
  <c r="Y83" i="65" s="1"/>
  <c r="X26" i="61"/>
  <c r="X31" i="61"/>
  <c r="X32" i="61" s="1"/>
  <c r="Y6" i="61"/>
  <c r="Y6" i="65"/>
  <c r="Y6" i="64"/>
  <c r="Y94" i="61"/>
  <c r="Y99" i="61"/>
  <c r="Y100" i="61" s="1"/>
  <c r="X7" i="64"/>
  <c r="X12" i="64"/>
  <c r="X13" i="64" s="1"/>
  <c r="Y43" i="61"/>
  <c r="Y25" i="61"/>
  <c r="Y48" i="61"/>
  <c r="Y49" i="61" s="1"/>
  <c r="Y94" i="64"/>
  <c r="Y99" i="64"/>
  <c r="Y100" i="64" s="1"/>
  <c r="X7" i="61"/>
  <c r="X12" i="61"/>
  <c r="X13" i="61" s="1"/>
  <c r="X7" i="65"/>
  <c r="X12" i="65"/>
  <c r="X13" i="65" s="1"/>
  <c r="Y43" i="65"/>
  <c r="Y25" i="65"/>
  <c r="Y48" i="65"/>
  <c r="Y49" i="65" s="1"/>
  <c r="X26" i="65"/>
  <c r="X31" i="65"/>
  <c r="X32" i="65" s="1"/>
  <c r="Y94" i="65"/>
  <c r="Y99" i="65"/>
  <c r="Y100" i="65" s="1"/>
  <c r="X26" i="64"/>
  <c r="X31" i="64"/>
  <c r="Z93" i="65"/>
  <c r="Z76" i="65"/>
  <c r="Z93" i="64"/>
  <c r="Z93" i="61"/>
  <c r="Z76" i="61"/>
  <c r="Z76" i="64"/>
  <c r="Z42" i="61"/>
  <c r="Z42" i="65"/>
  <c r="Z42" i="64"/>
  <c r="Y43" i="64"/>
  <c r="Y25" i="64"/>
  <c r="Y48" i="64"/>
  <c r="Y77" i="64"/>
  <c r="Y82" i="64"/>
  <c r="Y83" i="64" s="1"/>
  <c r="N80" i="57" l="1"/>
  <c r="M7" i="57"/>
  <c r="I26" i="57"/>
  <c r="I44" i="57"/>
  <c r="I49" i="57"/>
  <c r="I50" i="57" s="1"/>
  <c r="H27" i="57"/>
  <c r="H32" i="57"/>
  <c r="H33" i="57" s="1"/>
  <c r="J43" i="57"/>
  <c r="N6" i="57"/>
  <c r="O79" i="57"/>
  <c r="O80" i="57" s="1"/>
  <c r="Z6" i="65"/>
  <c r="Z6" i="64"/>
  <c r="Z6" i="61"/>
  <c r="Z43" i="64"/>
  <c r="Z25" i="64"/>
  <c r="Z48" i="64"/>
  <c r="AA42" i="64"/>
  <c r="AA42" i="61"/>
  <c r="AA42" i="65"/>
  <c r="AA76" i="64"/>
  <c r="AA93" i="64"/>
  <c r="AA93" i="61"/>
  <c r="AA76" i="65"/>
  <c r="AA93" i="65"/>
  <c r="AA76" i="61"/>
  <c r="Z25" i="65"/>
  <c r="Z43" i="65"/>
  <c r="Z48" i="65"/>
  <c r="Z49" i="65" s="1"/>
  <c r="Z94" i="64"/>
  <c r="AO94" i="64" s="1"/>
  <c r="Z99" i="64"/>
  <c r="Z100" i="64" s="1"/>
  <c r="Z77" i="61"/>
  <c r="Z82" i="61"/>
  <c r="Z83" i="61" s="1"/>
  <c r="Z94" i="61"/>
  <c r="AO94" i="61" s="1"/>
  <c r="Z99" i="61"/>
  <c r="Z100" i="61" s="1"/>
  <c r="Y26" i="64"/>
  <c r="Y31" i="64"/>
  <c r="Z25" i="61"/>
  <c r="Z43" i="61"/>
  <c r="Z48" i="61"/>
  <c r="Z49" i="61" s="1"/>
  <c r="Z77" i="65"/>
  <c r="Z82" i="65"/>
  <c r="Z83" i="65" s="1"/>
  <c r="Y26" i="61"/>
  <c r="Y31" i="61"/>
  <c r="Y32" i="61" s="1"/>
  <c r="Y7" i="64"/>
  <c r="Y12" i="64"/>
  <c r="Y13" i="64" s="1"/>
  <c r="Z94" i="65"/>
  <c r="AO94" i="65" s="1"/>
  <c r="Z99" i="65"/>
  <c r="Z100" i="65" s="1"/>
  <c r="Z77" i="64"/>
  <c r="Z82" i="64"/>
  <c r="Z83" i="64" s="1"/>
  <c r="Y7" i="65"/>
  <c r="Y12" i="65"/>
  <c r="Y13" i="65" s="1"/>
  <c r="Y26" i="65"/>
  <c r="Y31" i="65"/>
  <c r="Y32" i="65" s="1"/>
  <c r="Y7" i="61"/>
  <c r="Y12" i="61"/>
  <c r="Y13" i="61" s="1"/>
  <c r="N7" i="57" l="1"/>
  <c r="K43" i="57"/>
  <c r="J26" i="57"/>
  <c r="J44" i="57"/>
  <c r="J49" i="57"/>
  <c r="J50" i="57" s="1"/>
  <c r="I32" i="57"/>
  <c r="I33" i="57" s="1"/>
  <c r="I27" i="57"/>
  <c r="O85" i="57"/>
  <c r="O86" i="57" s="1"/>
  <c r="O6" i="57"/>
  <c r="P79" i="57"/>
  <c r="P80" i="57" s="1"/>
  <c r="Z7" i="64"/>
  <c r="Z12" i="64"/>
  <c r="Z13" i="64" s="1"/>
  <c r="AA77" i="65"/>
  <c r="AA82" i="65"/>
  <c r="AA83" i="65" s="1"/>
  <c r="Z7" i="65"/>
  <c r="Z12" i="65"/>
  <c r="Z13" i="65" s="1"/>
  <c r="Z26" i="61"/>
  <c r="Z31" i="61"/>
  <c r="Z32" i="61" s="1"/>
  <c r="AB42" i="65"/>
  <c r="AB42" i="64"/>
  <c r="AB42" i="61"/>
  <c r="AA94" i="61"/>
  <c r="AA99" i="61"/>
  <c r="AA100" i="61" s="1"/>
  <c r="AA94" i="65"/>
  <c r="AA99" i="65"/>
  <c r="AA100" i="65" s="1"/>
  <c r="Z26" i="64"/>
  <c r="Z31" i="64"/>
  <c r="AA94" i="64"/>
  <c r="AA99" i="64"/>
  <c r="AA100" i="64" s="1"/>
  <c r="AA43" i="65"/>
  <c r="AA25" i="65"/>
  <c r="AA48" i="65"/>
  <c r="AA49" i="65" s="1"/>
  <c r="AA43" i="61"/>
  <c r="AA25" i="61"/>
  <c r="AA48" i="61"/>
  <c r="AA49" i="61" s="1"/>
  <c r="AB93" i="61"/>
  <c r="AB93" i="65"/>
  <c r="AB76" i="61"/>
  <c r="AB76" i="64"/>
  <c r="AB76" i="65"/>
  <c r="AB93" i="64"/>
  <c r="Z26" i="65"/>
  <c r="Z31" i="65"/>
  <c r="Z32" i="65" s="1"/>
  <c r="AA77" i="64"/>
  <c r="AA82" i="64"/>
  <c r="AA83" i="64" s="1"/>
  <c r="AA6" i="61"/>
  <c r="AA6" i="64"/>
  <c r="AA6" i="65"/>
  <c r="Z7" i="61"/>
  <c r="Z12" i="61"/>
  <c r="Z13" i="61" s="1"/>
  <c r="AA77" i="61"/>
  <c r="AA82" i="61"/>
  <c r="AA83" i="61" s="1"/>
  <c r="AA43" i="64"/>
  <c r="AA25" i="64"/>
  <c r="AA48" i="64"/>
  <c r="O7" i="57" l="1"/>
  <c r="K26" i="57"/>
  <c r="K49" i="57"/>
  <c r="K50" i="57" s="1"/>
  <c r="K44" i="57"/>
  <c r="J27" i="57"/>
  <c r="J32" i="57"/>
  <c r="J33" i="57" s="1"/>
  <c r="L43" i="57"/>
  <c r="P85" i="57"/>
  <c r="P86" i="57" s="1"/>
  <c r="P6" i="57"/>
  <c r="AB94" i="64"/>
  <c r="AB99" i="64"/>
  <c r="AB100" i="64" s="1"/>
  <c r="AA7" i="65"/>
  <c r="AA12" i="65"/>
  <c r="AA13" i="65" s="1"/>
  <c r="AB77" i="65"/>
  <c r="AB82" i="65"/>
  <c r="AB83" i="65" s="1"/>
  <c r="AA26" i="61"/>
  <c r="AA31" i="61"/>
  <c r="AA32" i="61" s="1"/>
  <c r="AB25" i="61"/>
  <c r="AB43" i="61"/>
  <c r="AB48" i="61"/>
  <c r="AB49" i="61" s="1"/>
  <c r="AB94" i="61"/>
  <c r="AB99" i="61"/>
  <c r="AB100" i="61" s="1"/>
  <c r="AB43" i="64"/>
  <c r="AB25" i="64"/>
  <c r="AB48" i="64"/>
  <c r="AA7" i="64"/>
  <c r="AA12" i="64"/>
  <c r="AA13" i="64" s="1"/>
  <c r="AB77" i="64"/>
  <c r="AB82" i="64"/>
  <c r="AB83" i="64" s="1"/>
  <c r="AB6" i="64"/>
  <c r="AB6" i="61"/>
  <c r="AB6" i="65"/>
  <c r="AC93" i="61"/>
  <c r="AC76" i="64"/>
  <c r="AC76" i="65"/>
  <c r="AO76" i="65" s="1"/>
  <c r="AO82" i="65" s="1"/>
  <c r="AO83" i="65" s="1"/>
  <c r="AC93" i="64"/>
  <c r="AO93" i="64" s="1"/>
  <c r="AO99" i="64" s="1"/>
  <c r="AO100" i="64" s="1"/>
  <c r="AC93" i="65"/>
  <c r="AC76" i="61"/>
  <c r="AO76" i="61" s="1"/>
  <c r="AO82" i="61" s="1"/>
  <c r="AO83" i="61" s="1"/>
  <c r="AA26" i="64"/>
  <c r="AA31" i="64"/>
  <c r="AA7" i="61"/>
  <c r="AA12" i="61"/>
  <c r="AA13" i="61" s="1"/>
  <c r="AB77" i="61"/>
  <c r="AB82" i="61"/>
  <c r="AB83" i="61" s="1"/>
  <c r="AC42" i="64"/>
  <c r="AC42" i="65"/>
  <c r="AC42" i="61"/>
  <c r="AB94" i="65"/>
  <c r="AB99" i="65"/>
  <c r="AB100" i="65" s="1"/>
  <c r="AB43" i="65"/>
  <c r="AB25" i="65"/>
  <c r="AB48" i="65"/>
  <c r="AB49" i="65" s="1"/>
  <c r="AA26" i="65"/>
  <c r="AA31" i="65"/>
  <c r="AA32" i="65" s="1"/>
  <c r="P7" i="57" l="1"/>
  <c r="M43" i="57"/>
  <c r="L49" i="57"/>
  <c r="L50" i="57" s="1"/>
  <c r="L26" i="57"/>
  <c r="L44" i="57"/>
  <c r="K27" i="57"/>
  <c r="K32" i="57"/>
  <c r="K33" i="57" s="1"/>
  <c r="AC6" i="64"/>
  <c r="AC6" i="61"/>
  <c r="AC6" i="65"/>
  <c r="AO42" i="64"/>
  <c r="AO48" i="64" s="1"/>
  <c r="AO49" i="64" s="1"/>
  <c r="AC43" i="64"/>
  <c r="AP43" i="64" s="1"/>
  <c r="AC25" i="64"/>
  <c r="AO25" i="64" s="1"/>
  <c r="AO31" i="64" s="1"/>
  <c r="AO32" i="64" s="1"/>
  <c r="AC48" i="64"/>
  <c r="AP42" i="64"/>
  <c r="AP48" i="64" s="1"/>
  <c r="AP49" i="64" s="1"/>
  <c r="AO76" i="64"/>
  <c r="AO82" i="64" s="1"/>
  <c r="AO83" i="64" s="1"/>
  <c r="AC77" i="64"/>
  <c r="AP77" i="64" s="1"/>
  <c r="AC82" i="64"/>
  <c r="AP76" i="64"/>
  <c r="AP82" i="64" s="1"/>
  <c r="AP83" i="64" s="1"/>
  <c r="AB7" i="65"/>
  <c r="AB12" i="65"/>
  <c r="AB13" i="65" s="1"/>
  <c r="AB7" i="61"/>
  <c r="AB12" i="61"/>
  <c r="AB13" i="61" s="1"/>
  <c r="AB7" i="64"/>
  <c r="AB12" i="64"/>
  <c r="AB13" i="64" s="1"/>
  <c r="AC77" i="65"/>
  <c r="AP77" i="65" s="1"/>
  <c r="AC82" i="65"/>
  <c r="AP76" i="65"/>
  <c r="AP82" i="65" s="1"/>
  <c r="AP83" i="65" s="1"/>
  <c r="AB26" i="65"/>
  <c r="AB31" i="65"/>
  <c r="AB32" i="65" s="1"/>
  <c r="AO93" i="61"/>
  <c r="AO99" i="61" s="1"/>
  <c r="AO100" i="61" s="1"/>
  <c r="AC94" i="61"/>
  <c r="AC99" i="61"/>
  <c r="AC100" i="61" s="1"/>
  <c r="AP93" i="61"/>
  <c r="AP99" i="61" s="1"/>
  <c r="AP100" i="61" s="1"/>
  <c r="AB26" i="64"/>
  <c r="AB31" i="64"/>
  <c r="AO42" i="61"/>
  <c r="AO48" i="61" s="1"/>
  <c r="AO49" i="61" s="1"/>
  <c r="AC43" i="61"/>
  <c r="AP43" i="61" s="1"/>
  <c r="AC25" i="61"/>
  <c r="AC48" i="61"/>
  <c r="AP42" i="61"/>
  <c r="AP48" i="61" s="1"/>
  <c r="AP49" i="61" s="1"/>
  <c r="AC77" i="61"/>
  <c r="AP77" i="61" s="1"/>
  <c r="AC82" i="61"/>
  <c r="AP76" i="61"/>
  <c r="AP82" i="61" s="1"/>
  <c r="AP83" i="61" s="1"/>
  <c r="AO93" i="65"/>
  <c r="AO99" i="65" s="1"/>
  <c r="AO100" i="65" s="1"/>
  <c r="AC94" i="65"/>
  <c r="AC99" i="65"/>
  <c r="AC100" i="65" s="1"/>
  <c r="AP93" i="65"/>
  <c r="AP99" i="65" s="1"/>
  <c r="AP100" i="65" s="1"/>
  <c r="AO42" i="65"/>
  <c r="AO48" i="65" s="1"/>
  <c r="AO49" i="65" s="1"/>
  <c r="AC25" i="65"/>
  <c r="AO25" i="65" s="1"/>
  <c r="AO31" i="65" s="1"/>
  <c r="AO32" i="65" s="1"/>
  <c r="AC43" i="65"/>
  <c r="AP43" i="65" s="1"/>
  <c r="AC48" i="65"/>
  <c r="AP42" i="65"/>
  <c r="AP48" i="65" s="1"/>
  <c r="AP49" i="65" s="1"/>
  <c r="AC94" i="64"/>
  <c r="AC99" i="64"/>
  <c r="AC100" i="64" s="1"/>
  <c r="AP93" i="64"/>
  <c r="AP99" i="64" s="1"/>
  <c r="AP100" i="64" s="1"/>
  <c r="AB26" i="61"/>
  <c r="AB31" i="61"/>
  <c r="AB32" i="61" s="1"/>
  <c r="N43" i="57" l="1"/>
  <c r="M26" i="57"/>
  <c r="M49" i="57"/>
  <c r="M50" i="57" s="1"/>
  <c r="M44" i="57"/>
  <c r="L32" i="57"/>
  <c r="L33" i="57" s="1"/>
  <c r="L27" i="57"/>
  <c r="AO43" i="61"/>
  <c r="AO77" i="65"/>
  <c r="AO77" i="64"/>
  <c r="AO77" i="61"/>
  <c r="AO6" i="65"/>
  <c r="AO12" i="65" s="1"/>
  <c r="AO13" i="65" s="1"/>
  <c r="AC7" i="65"/>
  <c r="AP7" i="65" s="1"/>
  <c r="AC12" i="65"/>
  <c r="AP6" i="65"/>
  <c r="AP12" i="65" s="1"/>
  <c r="AP13" i="65" s="1"/>
  <c r="AC83" i="64"/>
  <c r="AC83" i="65"/>
  <c r="AC7" i="61"/>
  <c r="AP7" i="61" s="1"/>
  <c r="AC12" i="61"/>
  <c r="AP6" i="61"/>
  <c r="AP12" i="61" s="1"/>
  <c r="AP13" i="61" s="1"/>
  <c r="AO6" i="61"/>
  <c r="AO12" i="61" s="1"/>
  <c r="AO13" i="61" s="1"/>
  <c r="AC49" i="61"/>
  <c r="AO6" i="64"/>
  <c r="AO12" i="64" s="1"/>
  <c r="AO13" i="64" s="1"/>
  <c r="AC7" i="64"/>
  <c r="AP7" i="64" s="1"/>
  <c r="AC12" i="64"/>
  <c r="AP6" i="64"/>
  <c r="AP12" i="64" s="1"/>
  <c r="AP13" i="64" s="1"/>
  <c r="AO43" i="64"/>
  <c r="AC49" i="65"/>
  <c r="AC83" i="61"/>
  <c r="AO25" i="61"/>
  <c r="AO31" i="61" s="1"/>
  <c r="AO32" i="61" s="1"/>
  <c r="AC26" i="61"/>
  <c r="AP26" i="61" s="1"/>
  <c r="AC31" i="61"/>
  <c r="AP25" i="61"/>
  <c r="AP31" i="61" s="1"/>
  <c r="AP32" i="61" s="1"/>
  <c r="AC26" i="65"/>
  <c r="AP26" i="65" s="1"/>
  <c r="AC31" i="65"/>
  <c r="AP25" i="65"/>
  <c r="AP31" i="65" s="1"/>
  <c r="AP32" i="65" s="1"/>
  <c r="AO43" i="65"/>
  <c r="AC26" i="64"/>
  <c r="AP26" i="64" s="1"/>
  <c r="AC31" i="64"/>
  <c r="AP25" i="64"/>
  <c r="AP31" i="64" s="1"/>
  <c r="AP32" i="64" s="1"/>
  <c r="O43" i="57" l="1"/>
  <c r="N44" i="57"/>
  <c r="N26" i="57"/>
  <c r="N49" i="57"/>
  <c r="N50" i="57" s="1"/>
  <c r="M32" i="57"/>
  <c r="M33" i="57" s="1"/>
  <c r="M27" i="57"/>
  <c r="AR11" i="57"/>
  <c r="AC32" i="65"/>
  <c r="AC13" i="61"/>
  <c r="AO26" i="61"/>
  <c r="AO26" i="64"/>
  <c r="AC13" i="64"/>
  <c r="AO7" i="64"/>
  <c r="AC13" i="65"/>
  <c r="AO26" i="65"/>
  <c r="AC32" i="61"/>
  <c r="AO7" i="65"/>
  <c r="AO7" i="61"/>
  <c r="O49" i="57" l="1"/>
  <c r="O50" i="57" s="1"/>
  <c r="O26" i="57"/>
  <c r="O44" i="57"/>
  <c r="P43" i="57"/>
  <c r="N27" i="57"/>
  <c r="N32" i="57"/>
  <c r="N33" i="57" s="1"/>
  <c r="O131" i="55"/>
  <c r="AO78" i="58"/>
  <c r="G131" i="55"/>
  <c r="AO42" i="58"/>
  <c r="AO5" i="58"/>
  <c r="G130" i="55"/>
  <c r="AN5" i="58"/>
  <c r="AN42" i="58"/>
  <c r="O130" i="55"/>
  <c r="AN78" i="58"/>
  <c r="G129" i="55"/>
  <c r="AM5" i="58"/>
  <c r="AM42" i="58"/>
  <c r="O129" i="55"/>
  <c r="AM78" i="58"/>
  <c r="G128" i="55"/>
  <c r="AL42" i="58"/>
  <c r="AL5" i="58"/>
  <c r="O128" i="55"/>
  <c r="AL78" i="58"/>
  <c r="Q43" i="57" l="1"/>
  <c r="P26" i="57"/>
  <c r="P44" i="57"/>
  <c r="P49" i="57"/>
  <c r="P50" i="57" s="1"/>
  <c r="O32" i="57"/>
  <c r="O33" i="57" s="1"/>
  <c r="O27" i="57"/>
  <c r="Q79" i="57"/>
  <c r="AO7" i="58"/>
  <c r="AO11" i="58"/>
  <c r="AO44" i="58"/>
  <c r="AO25" i="58"/>
  <c r="AO48" i="58"/>
  <c r="AO50" i="58" s="1"/>
  <c r="C131" i="55"/>
  <c r="AN43" i="57"/>
  <c r="AN44" i="57" s="1"/>
  <c r="AO80" i="58"/>
  <c r="AO84" i="58"/>
  <c r="AO86" i="58" s="1"/>
  <c r="AN80" i="58"/>
  <c r="AN84" i="58"/>
  <c r="AN86" i="58" s="1"/>
  <c r="AN25" i="58"/>
  <c r="AN44" i="58"/>
  <c r="AN48" i="58"/>
  <c r="AN50" i="58" s="1"/>
  <c r="AN7" i="58"/>
  <c r="AN11" i="58"/>
  <c r="C130" i="55"/>
  <c r="AM43" i="57"/>
  <c r="AM80" i="58"/>
  <c r="AM84" i="58"/>
  <c r="AM86" i="58" s="1"/>
  <c r="AM44" i="58"/>
  <c r="AM25" i="58"/>
  <c r="AM48" i="58"/>
  <c r="AM50" i="58" s="1"/>
  <c r="AM7" i="58"/>
  <c r="AM11" i="58"/>
  <c r="C129" i="55"/>
  <c r="AL43" i="57"/>
  <c r="AL80" i="58"/>
  <c r="AL7" i="58"/>
  <c r="AL44" i="58"/>
  <c r="AL25" i="58"/>
  <c r="AK43" i="57"/>
  <c r="AK44" i="57" s="1"/>
  <c r="C128" i="55"/>
  <c r="AN13" i="58" l="1"/>
  <c r="Q85" i="57"/>
  <c r="Q86" i="57" s="1"/>
  <c r="Q80" i="57"/>
  <c r="P27" i="57"/>
  <c r="P32" i="57"/>
  <c r="P33" i="57" s="1"/>
  <c r="AO13" i="58"/>
  <c r="AM13" i="58"/>
  <c r="Q6" i="57"/>
  <c r="Q44" i="57"/>
  <c r="Q26" i="57"/>
  <c r="Q49" i="57"/>
  <c r="Q50" i="57" s="1"/>
  <c r="AO27" i="58"/>
  <c r="AO31" i="58"/>
  <c r="AO33" i="58" s="1"/>
  <c r="AN26" i="57"/>
  <c r="AN49" i="57"/>
  <c r="AN50" i="57" s="1"/>
  <c r="AM44" i="57"/>
  <c r="AM26" i="57"/>
  <c r="AM49" i="57"/>
  <c r="AM50" i="57" s="1"/>
  <c r="AN27" i="58"/>
  <c r="AN31" i="58"/>
  <c r="AN33" i="58" s="1"/>
  <c r="AL44" i="57"/>
  <c r="AL26" i="57"/>
  <c r="AL49" i="57"/>
  <c r="AL50" i="57" s="1"/>
  <c r="AM27" i="58"/>
  <c r="AM31" i="58"/>
  <c r="AM33" i="58" s="1"/>
  <c r="AK26" i="57"/>
  <c r="AK49" i="57"/>
  <c r="AK50" i="57" s="1"/>
  <c r="AL27" i="58"/>
  <c r="Q7" i="57" l="1"/>
  <c r="Q12" i="57"/>
  <c r="Q27" i="57"/>
  <c r="Q32" i="57"/>
  <c r="Q33" i="57" s="1"/>
  <c r="AN32" i="57"/>
  <c r="AN33" i="57" s="1"/>
  <c r="AN27" i="57"/>
  <c r="AM27" i="57"/>
  <c r="AM32" i="57"/>
  <c r="AM33" i="57" s="1"/>
  <c r="AL27" i="57"/>
  <c r="AL32" i="57"/>
  <c r="AL33" i="57" s="1"/>
  <c r="AK32" i="57"/>
  <c r="AK33" i="57" s="1"/>
  <c r="AK27" i="57"/>
  <c r="Q13" i="57" l="1"/>
  <c r="K24" i="75" l="1" a="1"/>
  <c r="K24" i="75" s="1"/>
  <c r="K17" i="75" a="1"/>
  <c r="K17" i="75" s="1"/>
  <c r="J16" i="75" a="1"/>
  <c r="J16" i="75" s="1"/>
  <c r="K23" i="75" a="1"/>
  <c r="K23" i="75" s="1"/>
  <c r="J22" i="75" a="1"/>
  <c r="J22" i="75" s="1"/>
  <c r="J19" i="75" a="1"/>
  <c r="J19" i="75" s="1"/>
  <c r="K16" i="75" a="1"/>
  <c r="K16" i="75" s="1"/>
  <c r="C21" i="75"/>
  <c r="F21" i="75" s="1"/>
  <c r="C19" i="75"/>
  <c r="F19" i="75" s="1"/>
  <c r="J24" i="75" a="1"/>
  <c r="J24" i="75" s="1"/>
  <c r="C18" i="75"/>
  <c r="K26" i="75" a="1"/>
  <c r="K26" i="75" s="1"/>
  <c r="J17" i="75" a="1"/>
  <c r="J17" i="75" s="1"/>
  <c r="J23" i="75" a="1"/>
  <c r="J23" i="75" s="1"/>
  <c r="G23" i="75" s="1"/>
  <c r="K25" i="75" a="1"/>
  <c r="K25" i="75" s="1"/>
  <c r="J26" i="75" a="1"/>
  <c r="J26" i="75" s="1"/>
  <c r="C24" i="75"/>
  <c r="F24" i="75" s="1"/>
  <c r="K15" i="75"/>
  <c r="K15" i="75" a="1"/>
  <c r="K18" i="75" a="1"/>
  <c r="K18" i="75" s="1"/>
  <c r="C25" i="75"/>
  <c r="F25" i="75" s="1"/>
  <c r="J20" i="75" a="1"/>
  <c r="J20" i="75" s="1"/>
  <c r="C17" i="75"/>
  <c r="D17" i="75" s="1"/>
  <c r="J25" i="75" a="1"/>
  <c r="J25" i="75" s="1"/>
  <c r="J21" i="75" a="1"/>
  <c r="J21" i="75" s="1"/>
  <c r="C23" i="75"/>
  <c r="F23" i="75" s="1"/>
  <c r="K22" i="75" a="1"/>
  <c r="K22" i="75" s="1"/>
  <c r="C22" i="75"/>
  <c r="F22" i="75" s="1"/>
  <c r="J18" i="75" a="1"/>
  <c r="J18" i="75" s="1"/>
  <c r="K21" i="75" a="1"/>
  <c r="K21" i="75" s="1"/>
  <c r="K20" i="75" a="1"/>
  <c r="K20" i="75" s="1"/>
  <c r="C26" i="75"/>
  <c r="F26" i="75" s="1"/>
  <c r="K19" i="75" a="1"/>
  <c r="K19" i="75" s="1"/>
  <c r="C20" i="75"/>
  <c r="F20" i="75" s="1"/>
  <c r="J15" i="75" a="1"/>
  <c r="J15" i="75" s="1"/>
  <c r="C16" i="75"/>
  <c r="D16" i="75" s="1"/>
  <c r="C15" i="75"/>
  <c r="G25" i="75" l="1"/>
  <c r="D8" i="76" a="1"/>
  <c r="G24" i="75"/>
  <c r="G21" i="75"/>
  <c r="G19" i="75"/>
  <c r="G20" i="75"/>
  <c r="G17" i="75"/>
  <c r="F17" i="75" s="1"/>
  <c r="G22" i="75"/>
  <c r="G26" i="75"/>
  <c r="G16" i="75"/>
  <c r="F16" i="75" s="1"/>
  <c r="D18" i="75"/>
  <c r="G18" i="75" s="1"/>
  <c r="F18" i="75" s="1"/>
  <c r="D15" i="75"/>
  <c r="G15" i="75" s="1"/>
  <c r="N23" i="76" l="1"/>
  <c r="M23" i="76"/>
  <c r="L23" i="76"/>
  <c r="K23" i="76"/>
  <c r="K27" i="76" s="1"/>
  <c r="J23" i="76"/>
  <c r="I23" i="76"/>
  <c r="H23" i="76"/>
  <c r="O23" i="76"/>
  <c r="J19" i="76"/>
  <c r="L19" i="76"/>
  <c r="M19" i="76"/>
  <c r="H19" i="76"/>
  <c r="O19" i="76"/>
  <c r="I19" i="76"/>
  <c r="N19" i="76"/>
  <c r="D8" i="76"/>
  <c r="K19" i="76"/>
  <c r="D13" i="76" a="1"/>
  <c r="F15" i="75"/>
  <c r="D12" i="76" s="1" a="1"/>
  <c r="D9" i="76" a="1"/>
  <c r="O27" i="76" l="1"/>
  <c r="I27" i="76"/>
  <c r="J27" i="76"/>
  <c r="L24" i="76"/>
  <c r="K24" i="76"/>
  <c r="I24" i="76"/>
  <c r="H24" i="76"/>
  <c r="O24" i="76"/>
  <c r="N24" i="76"/>
  <c r="M24" i="76"/>
  <c r="J24" i="76"/>
  <c r="L27" i="76"/>
  <c r="M27" i="76"/>
  <c r="H27" i="76"/>
  <c r="N27" i="76"/>
  <c r="D19" i="76"/>
  <c r="E19" i="76" s="1"/>
  <c r="P8" i="76"/>
  <c r="P19" i="76" s="1"/>
  <c r="D12" i="76"/>
  <c r="D23" i="76" s="1"/>
  <c r="I15" i="76"/>
  <c r="H15" i="76"/>
  <c r="F15" i="76"/>
  <c r="K15" i="76"/>
  <c r="G15" i="76"/>
  <c r="J15" i="76"/>
  <c r="D13" i="76"/>
  <c r="O15" i="76"/>
  <c r="E15" i="76"/>
  <c r="M15" i="76"/>
  <c r="N15" i="76"/>
  <c r="L15" i="76"/>
  <c r="I20" i="76"/>
  <c r="H20" i="76"/>
  <c r="D9" i="76"/>
  <c r="D24" i="76" s="1"/>
  <c r="N20" i="76"/>
  <c r="M20" i="76"/>
  <c r="K20" i="76"/>
  <c r="L20" i="76"/>
  <c r="O20" i="76"/>
  <c r="J20" i="76"/>
  <c r="D27" i="76" l="1"/>
  <c r="G24" i="76"/>
  <c r="O28" i="76"/>
  <c r="H28" i="76"/>
  <c r="F23" i="76"/>
  <c r="E23" i="76"/>
  <c r="E27" i="76" s="1"/>
  <c r="G23" i="76"/>
  <c r="I28" i="76"/>
  <c r="E24" i="76"/>
  <c r="K28" i="76"/>
  <c r="J28" i="76"/>
  <c r="M28" i="76"/>
  <c r="L28" i="76"/>
  <c r="F24" i="76"/>
  <c r="N28" i="76"/>
  <c r="F19" i="76"/>
  <c r="P9" i="76"/>
  <c r="D20" i="76"/>
  <c r="D28" i="76" s="1"/>
  <c r="D15" i="76"/>
  <c r="I30" i="76" l="1"/>
  <c r="N30" i="76"/>
  <c r="L30" i="76"/>
  <c r="H30" i="76"/>
  <c r="J30" i="76"/>
  <c r="O30" i="76"/>
  <c r="M30" i="76"/>
  <c r="K30" i="76"/>
  <c r="F27" i="76"/>
  <c r="D30" i="76"/>
  <c r="E20" i="76"/>
  <c r="E28" i="76" s="1"/>
  <c r="G19" i="76"/>
  <c r="G27" i="76" s="1"/>
  <c r="P20" i="76"/>
  <c r="P13" i="76"/>
  <c r="E30" i="76" l="1"/>
  <c r="F20" i="76"/>
  <c r="F28" i="76" s="1"/>
  <c r="P28" i="76"/>
  <c r="P12" i="76"/>
  <c r="P15" i="76"/>
  <c r="F30" i="76" l="1"/>
  <c r="P27" i="76"/>
  <c r="G20" i="76"/>
  <c r="G28" i="76" s="1"/>
  <c r="P30" i="76"/>
  <c r="G30" i="76" l="1"/>
  <c r="B7" i="42" l="1"/>
  <c r="B6" i="42" s="1"/>
  <c r="B5" i="42" s="1"/>
  <c r="B4" i="42" s="1"/>
  <c r="P3" i="41" s="1"/>
  <c r="O3" i="41" s="1"/>
  <c r="N3" i="41" s="1"/>
  <c r="P6" i="41" l="1"/>
  <c r="O6" i="41"/>
  <c r="N6" i="41"/>
  <c r="M3" i="41"/>
  <c r="L3" i="41" l="1"/>
  <c r="M6" i="41"/>
  <c r="K3" i="41" l="1"/>
  <c r="L6" i="41"/>
  <c r="J3" i="41" l="1"/>
  <c r="K6" i="41"/>
  <c r="I3" i="41" l="1"/>
  <c r="J6" i="41"/>
  <c r="H3" i="41" l="1"/>
  <c r="I6" i="41"/>
  <c r="G3" i="41" l="1"/>
  <c r="H6" i="41"/>
  <c r="G6" i="41" l="1"/>
  <c r="F3" i="41"/>
  <c r="E3" i="41" l="1"/>
  <c r="F6" i="41"/>
  <c r="E6" i="41" l="1"/>
  <c r="D3" i="41"/>
  <c r="AA19" i="63" l="1"/>
  <c r="F19" i="63"/>
  <c r="N19" i="3"/>
  <c r="AJ19" i="3"/>
  <c r="AG19" i="63"/>
  <c r="S19" i="3"/>
  <c r="J19" i="63"/>
  <c r="AN19" i="63"/>
  <c r="AD19" i="3"/>
  <c r="U19" i="63"/>
  <c r="W19" i="63"/>
  <c r="Z19" i="3"/>
  <c r="R19" i="63"/>
  <c r="AM19" i="3"/>
  <c r="L19" i="3"/>
  <c r="AM19" i="63"/>
  <c r="D6" i="41"/>
  <c r="S19" i="63" s="1"/>
  <c r="AI19" i="63"/>
  <c r="AD19" i="63"/>
  <c r="K19" i="3"/>
  <c r="O19" i="3"/>
  <c r="U19" i="3"/>
  <c r="AI19" i="3"/>
  <c r="E19" i="3"/>
  <c r="AL19" i="63"/>
  <c r="M19" i="3"/>
  <c r="AF19" i="3"/>
  <c r="AH19" i="63"/>
  <c r="AB19" i="3"/>
  <c r="P19" i="3"/>
  <c r="AG19" i="3"/>
  <c r="Y19" i="63"/>
  <c r="E19" i="63"/>
  <c r="I19" i="63"/>
  <c r="H19" i="63"/>
  <c r="J19" i="3"/>
  <c r="T19" i="3"/>
  <c r="Y19" i="3"/>
  <c r="AA19" i="3"/>
  <c r="AJ19" i="63"/>
  <c r="N19" i="63"/>
  <c r="AF19" i="63"/>
  <c r="AH19" i="3"/>
  <c r="O19" i="63"/>
  <c r="K19" i="63"/>
  <c r="AL19" i="3"/>
  <c r="F19" i="3"/>
  <c r="W19" i="3"/>
  <c r="R19" i="3"/>
  <c r="P19" i="63"/>
  <c r="H19" i="3"/>
  <c r="M19" i="63"/>
  <c r="V19" i="63"/>
  <c r="Q19" i="3"/>
  <c r="L19" i="63"/>
  <c r="AN19" i="3"/>
  <c r="AC19" i="63"/>
  <c r="Z19" i="63"/>
  <c r="AE19" i="63"/>
  <c r="T19" i="63"/>
  <c r="AK19" i="3"/>
  <c r="AK19" i="63"/>
  <c r="I19" i="3"/>
  <c r="X19" i="3"/>
  <c r="G19" i="63"/>
  <c r="AB19" i="63"/>
  <c r="V19" i="3"/>
  <c r="X19" i="63"/>
  <c r="AE19" i="3"/>
  <c r="AC19" i="3"/>
  <c r="Q19" i="63"/>
  <c r="G19" i="3" l="1"/>
  <c r="S81" i="58" l="1"/>
  <c r="S88" i="58"/>
  <c r="P109" i="55"/>
  <c r="R109" i="55"/>
  <c r="N109" i="55"/>
  <c r="J109" i="55"/>
  <c r="H109" i="55"/>
  <c r="S45" i="58"/>
  <c r="S8" i="58"/>
  <c r="S14" i="58"/>
  <c r="S52" i="58"/>
  <c r="S106" i="58" l="1"/>
  <c r="S71" i="58"/>
  <c r="S10" i="58"/>
  <c r="R99" i="57"/>
  <c r="AD79" i="65"/>
  <c r="AD79" i="64"/>
  <c r="AD79" i="61"/>
  <c r="R82" i="57"/>
  <c r="T88" i="58"/>
  <c r="T81" i="58"/>
  <c r="R110" i="55"/>
  <c r="P110" i="55"/>
  <c r="F109" i="55"/>
  <c r="S83" i="58"/>
  <c r="S89" i="58"/>
  <c r="S35" i="58"/>
  <c r="D109" i="55"/>
  <c r="AD45" i="64"/>
  <c r="AD45" i="61"/>
  <c r="AD45" i="65"/>
  <c r="R46" i="57"/>
  <c r="T45" i="58"/>
  <c r="N110" i="55"/>
  <c r="J110" i="55"/>
  <c r="T14" i="58"/>
  <c r="T52" i="58"/>
  <c r="T35" i="58" s="1"/>
  <c r="T8" i="58"/>
  <c r="H110" i="55"/>
  <c r="S18" i="58"/>
  <c r="S16" i="58"/>
  <c r="S47" i="58"/>
  <c r="S28" i="58"/>
  <c r="S53" i="58"/>
  <c r="D110" i="55" l="1"/>
  <c r="AE45" i="65"/>
  <c r="AE45" i="64"/>
  <c r="AE45" i="61"/>
  <c r="S46" i="57"/>
  <c r="R100" i="57"/>
  <c r="AD80" i="64"/>
  <c r="AD80" i="65"/>
  <c r="T10" i="58"/>
  <c r="T106" i="58"/>
  <c r="T71" i="58"/>
  <c r="AD15" i="61"/>
  <c r="AD15" i="64"/>
  <c r="R15" i="57"/>
  <c r="AD15" i="65"/>
  <c r="R47" i="57"/>
  <c r="R29" i="57"/>
  <c r="S99" i="57"/>
  <c r="AE79" i="61"/>
  <c r="AE79" i="65"/>
  <c r="AE79" i="64"/>
  <c r="S82" i="57"/>
  <c r="T18" i="58"/>
  <c r="T16" i="58"/>
  <c r="F110" i="55"/>
  <c r="AD28" i="61"/>
  <c r="AD46" i="61"/>
  <c r="T89" i="58"/>
  <c r="T83" i="58"/>
  <c r="AD28" i="64"/>
  <c r="AD28" i="65"/>
  <c r="AD46" i="65"/>
  <c r="T53" i="58"/>
  <c r="T28" i="58"/>
  <c r="T47" i="58"/>
  <c r="AD9" i="64"/>
  <c r="AD9" i="61"/>
  <c r="AD9" i="65"/>
  <c r="R9" i="57"/>
  <c r="S54" i="58"/>
  <c r="S72" i="58"/>
  <c r="S30" i="58"/>
  <c r="S36" i="58"/>
  <c r="R83" i="57"/>
  <c r="AD80" i="61"/>
  <c r="AD29" i="61" l="1"/>
  <c r="AD16" i="65"/>
  <c r="AE15" i="65"/>
  <c r="AE16" i="65" s="1"/>
  <c r="AE15" i="64"/>
  <c r="AE16" i="64" s="1"/>
  <c r="S15" i="57"/>
  <c r="S16" i="57" s="1"/>
  <c r="AE15" i="61"/>
  <c r="AE16" i="61" s="1"/>
  <c r="R16" i="57"/>
  <c r="AD16" i="64"/>
  <c r="AD29" i="65"/>
  <c r="AD16" i="61"/>
  <c r="AE80" i="64"/>
  <c r="AE80" i="65"/>
  <c r="AD10" i="65"/>
  <c r="AE80" i="61"/>
  <c r="S29" i="57"/>
  <c r="S47" i="57"/>
  <c r="AD10" i="61"/>
  <c r="S100" i="57"/>
  <c r="AE46" i="61"/>
  <c r="AE28" i="61"/>
  <c r="AE28" i="64"/>
  <c r="S83" i="57"/>
  <c r="R10" i="57"/>
  <c r="AD10" i="64"/>
  <c r="AE28" i="65"/>
  <c r="AE46" i="65"/>
  <c r="T54" i="58"/>
  <c r="T72" i="58"/>
  <c r="T30" i="58"/>
  <c r="T36" i="58"/>
  <c r="R30" i="57"/>
  <c r="G9" i="57"/>
  <c r="AE9" i="61"/>
  <c r="AE9" i="64"/>
  <c r="AE9" i="65"/>
  <c r="S9" i="57"/>
  <c r="H9" i="57" l="1"/>
  <c r="AE10" i="61"/>
  <c r="G10" i="57"/>
  <c r="G12" i="57"/>
  <c r="G13" i="57" s="1"/>
  <c r="S30" i="57"/>
  <c r="AE10" i="64"/>
  <c r="AE29" i="65"/>
  <c r="AE29" i="61"/>
  <c r="S10" i="57"/>
  <c r="AE10" i="65"/>
  <c r="H10" i="57" l="1"/>
  <c r="H12" i="57"/>
  <c r="H13" i="57" s="1"/>
  <c r="I9" i="57"/>
  <c r="I10" i="57" l="1"/>
  <c r="I12" i="57"/>
  <c r="I13" i="57" s="1"/>
  <c r="J9" i="57"/>
  <c r="K9" i="57" l="1"/>
  <c r="J10" i="57"/>
  <c r="J12" i="57"/>
  <c r="J13" i="57" s="1"/>
  <c r="L9" i="57" l="1"/>
  <c r="K10" i="57"/>
  <c r="K12" i="57"/>
  <c r="K13" i="57" s="1"/>
  <c r="L10" i="57" l="1"/>
  <c r="L12" i="57"/>
  <c r="L13" i="57" s="1"/>
  <c r="M9" i="57"/>
  <c r="M10" i="57" l="1"/>
  <c r="M12" i="57"/>
  <c r="M13" i="57" s="1"/>
  <c r="N9" i="57"/>
  <c r="O9" i="57" l="1"/>
  <c r="N10" i="57"/>
  <c r="N12" i="57"/>
  <c r="N13" i="57" s="1"/>
  <c r="P9" i="57" l="1"/>
  <c r="O10" i="57"/>
  <c r="O12" i="57"/>
  <c r="O13" i="57" s="1"/>
  <c r="P10" i="57" l="1"/>
  <c r="P12" i="57"/>
  <c r="P13" i="57" s="1"/>
  <c r="AK59" i="3" l="1"/>
  <c r="AN59" i="3"/>
  <c r="AM59" i="3"/>
  <c r="AL59" i="3"/>
  <c r="S78" i="58" l="1"/>
  <c r="O109" i="55"/>
  <c r="S42" i="58"/>
  <c r="S5" i="58"/>
  <c r="G109" i="55"/>
  <c r="AD76" i="64" l="1"/>
  <c r="AD76" i="61"/>
  <c r="AD76" i="65"/>
  <c r="R96" i="57"/>
  <c r="R79" i="57"/>
  <c r="S80" i="58"/>
  <c r="S84" i="58"/>
  <c r="S86" i="58" s="1"/>
  <c r="O110" i="55"/>
  <c r="T78" i="58"/>
  <c r="S7" i="58"/>
  <c r="S11" i="58"/>
  <c r="S13" i="58" s="1"/>
  <c r="C109" i="55"/>
  <c r="AD42" i="65"/>
  <c r="AD42" i="64"/>
  <c r="AD42" i="61"/>
  <c r="R43" i="57"/>
  <c r="S44" i="58"/>
  <c r="S25" i="58"/>
  <c r="S48" i="58"/>
  <c r="S50" i="58" s="1"/>
  <c r="T5" i="58"/>
  <c r="G110" i="55"/>
  <c r="T42" i="58"/>
  <c r="C110" i="55" l="1"/>
  <c r="AE42" i="64"/>
  <c r="AE42" i="65"/>
  <c r="AE42" i="61"/>
  <c r="S43" i="57"/>
  <c r="AD25" i="64"/>
  <c r="AD43" i="64"/>
  <c r="AD48" i="64"/>
  <c r="T7" i="58"/>
  <c r="T11" i="58"/>
  <c r="T13" i="58" s="1"/>
  <c r="AD25" i="65"/>
  <c r="AD43" i="65"/>
  <c r="AD48" i="65"/>
  <c r="R44" i="57"/>
  <c r="R26" i="57"/>
  <c r="R49" i="57"/>
  <c r="R50" i="57" s="1"/>
  <c r="AD6" i="61"/>
  <c r="AD6" i="65"/>
  <c r="AD6" i="64"/>
  <c r="R6" i="57"/>
  <c r="R80" i="57"/>
  <c r="R85" i="57"/>
  <c r="R86" i="57" s="1"/>
  <c r="R97" i="57"/>
  <c r="R102" i="57"/>
  <c r="R103" i="57" s="1"/>
  <c r="T25" i="58"/>
  <c r="T44" i="58"/>
  <c r="T48" i="58"/>
  <c r="T50" i="58" s="1"/>
  <c r="AD77" i="65"/>
  <c r="AD82" i="65"/>
  <c r="AD25" i="61"/>
  <c r="AD43" i="61"/>
  <c r="AD48" i="61"/>
  <c r="S27" i="58"/>
  <c r="S31" i="58"/>
  <c r="S33" i="58" s="1"/>
  <c r="AD77" i="61"/>
  <c r="AD82" i="61"/>
  <c r="T80" i="58"/>
  <c r="T84" i="58"/>
  <c r="T86" i="58" s="1"/>
  <c r="AD77" i="64"/>
  <c r="AD82" i="64"/>
  <c r="AD83" i="64" s="1"/>
  <c r="AE76" i="64"/>
  <c r="S79" i="57"/>
  <c r="AE76" i="65"/>
  <c r="AE76" i="61"/>
  <c r="S96" i="57"/>
  <c r="R7" i="57" l="1"/>
  <c r="R12" i="57"/>
  <c r="R13" i="57" s="1"/>
  <c r="AD49" i="61"/>
  <c r="AD7" i="64"/>
  <c r="AD12" i="64"/>
  <c r="AD13" i="64" s="1"/>
  <c r="AD7" i="65"/>
  <c r="AD12" i="65"/>
  <c r="AD7" i="61"/>
  <c r="AD12" i="61"/>
  <c r="AD26" i="64"/>
  <c r="AD31" i="64"/>
  <c r="AD26" i="61"/>
  <c r="AD31" i="61"/>
  <c r="R27" i="57"/>
  <c r="R32" i="57"/>
  <c r="R33" i="57" s="1"/>
  <c r="S44" i="57"/>
  <c r="S26" i="57"/>
  <c r="S49" i="57"/>
  <c r="S50" i="57" s="1"/>
  <c r="S97" i="57"/>
  <c r="S102" i="57"/>
  <c r="S103" i="57" s="1"/>
  <c r="AD83" i="61"/>
  <c r="T27" i="58"/>
  <c r="T31" i="58"/>
  <c r="T33" i="58" s="1"/>
  <c r="AE25" i="61"/>
  <c r="AE43" i="61"/>
  <c r="AE48" i="61"/>
  <c r="AE49" i="61" s="1"/>
  <c r="AD49" i="65"/>
  <c r="AE25" i="65"/>
  <c r="AE43" i="65"/>
  <c r="AE48" i="65"/>
  <c r="AE49" i="65" s="1"/>
  <c r="AE43" i="64"/>
  <c r="AE25" i="64"/>
  <c r="AE48" i="64"/>
  <c r="AE77" i="65"/>
  <c r="AE82" i="65"/>
  <c r="AE83" i="65" s="1"/>
  <c r="S80" i="57"/>
  <c r="S85" i="57"/>
  <c r="S86" i="57" s="1"/>
  <c r="AE6" i="64"/>
  <c r="AE6" i="61"/>
  <c r="AE6" i="65"/>
  <c r="S6" i="57"/>
  <c r="AE77" i="61"/>
  <c r="AE82" i="61"/>
  <c r="AE83" i="61" s="1"/>
  <c r="AE77" i="64"/>
  <c r="AE82" i="64"/>
  <c r="AE83" i="64" s="1"/>
  <c r="AD83" i="65"/>
  <c r="AD26" i="65"/>
  <c r="AD31" i="65"/>
  <c r="AE7" i="65" l="1"/>
  <c r="AE12" i="65"/>
  <c r="AE13" i="65" s="1"/>
  <c r="AE7" i="61"/>
  <c r="AE12" i="61"/>
  <c r="AE13" i="61" s="1"/>
  <c r="AE7" i="64"/>
  <c r="AE12" i="64"/>
  <c r="AE13" i="64" s="1"/>
  <c r="AD32" i="61"/>
  <c r="AD32" i="65"/>
  <c r="AE26" i="65"/>
  <c r="AE31" i="65"/>
  <c r="AE32" i="65" s="1"/>
  <c r="AD13" i="61"/>
  <c r="AE26" i="61"/>
  <c r="AE31" i="61"/>
  <c r="AE32" i="61" s="1"/>
  <c r="AD13" i="65"/>
  <c r="AE26" i="64"/>
  <c r="AE31" i="64"/>
  <c r="S27" i="57"/>
  <c r="S32" i="57"/>
  <c r="S33" i="57" s="1"/>
  <c r="S7" i="57"/>
  <c r="S12" i="57"/>
  <c r="S13" i="57" s="1"/>
  <c r="P78" i="67" l="1"/>
  <c r="P80" i="67" s="1"/>
  <c r="P78" i="66"/>
  <c r="P80" i="66" s="1"/>
  <c r="P78" i="62"/>
  <c r="P80" i="62" s="1"/>
  <c r="R111" i="55"/>
  <c r="P111" i="55"/>
  <c r="U88" i="58"/>
  <c r="U81" i="58"/>
  <c r="U14" i="58"/>
  <c r="N111" i="55"/>
  <c r="P44" i="62"/>
  <c r="P46" i="62" s="1"/>
  <c r="P61" i="67"/>
  <c r="P63" i="67" s="1"/>
  <c r="U8" i="58"/>
  <c r="H111" i="55"/>
  <c r="P44" i="67"/>
  <c r="P46" i="67" s="1"/>
  <c r="P44" i="66"/>
  <c r="P46" i="66" s="1"/>
  <c r="J111" i="55"/>
  <c r="P61" i="62"/>
  <c r="P63" i="62" s="1"/>
  <c r="P27" i="67"/>
  <c r="P61" i="66"/>
  <c r="P63" i="66" s="1"/>
  <c r="U45" i="58"/>
  <c r="N27" i="62"/>
  <c r="U52" i="58"/>
  <c r="P27" i="66"/>
  <c r="F111" i="55" l="1"/>
  <c r="T15" i="57" s="1"/>
  <c r="P29" i="66"/>
  <c r="P8" i="66"/>
  <c r="P10" i="66" s="1"/>
  <c r="U71" i="58"/>
  <c r="U106" i="58"/>
  <c r="U10" i="58"/>
  <c r="N29" i="62"/>
  <c r="N8" i="62"/>
  <c r="N10" i="62" s="1"/>
  <c r="U83" i="58"/>
  <c r="U89" i="58"/>
  <c r="U53" i="58"/>
  <c r="U28" i="58"/>
  <c r="U54" i="58" s="1"/>
  <c r="U47" i="58"/>
  <c r="Q78" i="66"/>
  <c r="Q80" i="66" s="1"/>
  <c r="V81" i="58"/>
  <c r="Q78" i="67"/>
  <c r="Q80" i="67" s="1"/>
  <c r="R112" i="55"/>
  <c r="P112" i="55"/>
  <c r="Q78" i="62"/>
  <c r="Q80" i="62" s="1"/>
  <c r="V88" i="58"/>
  <c r="D111" i="55"/>
  <c r="AF45" i="65"/>
  <c r="AF45" i="61"/>
  <c r="AF45" i="64"/>
  <c r="T46" i="57"/>
  <c r="U35" i="58"/>
  <c r="T82" i="57"/>
  <c r="T99" i="57"/>
  <c r="AF79" i="64"/>
  <c r="AF79" i="65"/>
  <c r="AF79" i="61"/>
  <c r="P29" i="67"/>
  <c r="P8" i="67"/>
  <c r="P10" i="67" s="1"/>
  <c r="Q27" i="66"/>
  <c r="Q61" i="67"/>
  <c r="Q63" i="67" s="1"/>
  <c r="Q44" i="62"/>
  <c r="Q46" i="62" s="1"/>
  <c r="V8" i="58"/>
  <c r="Q44" i="66"/>
  <c r="Q46" i="66" s="1"/>
  <c r="Q61" i="66"/>
  <c r="Q63" i="66" s="1"/>
  <c r="H112" i="55"/>
  <c r="N112" i="55"/>
  <c r="Q44" i="67"/>
  <c r="Q46" i="67" s="1"/>
  <c r="Q61" i="62"/>
  <c r="Q63" i="62" s="1"/>
  <c r="V52" i="58"/>
  <c r="V35" i="58" s="1"/>
  <c r="O27" i="62"/>
  <c r="Q27" i="67"/>
  <c r="V45" i="58"/>
  <c r="J112" i="55"/>
  <c r="V14" i="58"/>
  <c r="U18" i="58"/>
  <c r="U16" i="58"/>
  <c r="AF15" i="65" l="1"/>
  <c r="AF16" i="65" s="1"/>
  <c r="AF15" i="61"/>
  <c r="AF16" i="61" s="1"/>
  <c r="AF15" i="64"/>
  <c r="AF16" i="64" s="1"/>
  <c r="F112" i="55"/>
  <c r="AG15" i="65" s="1"/>
  <c r="AG16" i="65" s="1"/>
  <c r="AF80" i="65"/>
  <c r="T83" i="57"/>
  <c r="AG79" i="61"/>
  <c r="U82" i="57"/>
  <c r="AG79" i="65"/>
  <c r="U99" i="57"/>
  <c r="AG79" i="64"/>
  <c r="AG45" i="61"/>
  <c r="D112" i="55"/>
  <c r="AG45" i="65"/>
  <c r="U46" i="57"/>
  <c r="AG45" i="64"/>
  <c r="R78" i="62"/>
  <c r="W81" i="58"/>
  <c r="R113" i="55"/>
  <c r="R78" i="66"/>
  <c r="P113" i="55"/>
  <c r="R78" i="67"/>
  <c r="W88" i="58"/>
  <c r="T100" i="57"/>
  <c r="V89" i="58"/>
  <c r="V83" i="58"/>
  <c r="T16" i="57"/>
  <c r="V71" i="58"/>
  <c r="V10" i="58"/>
  <c r="V106" i="58"/>
  <c r="T29" i="57"/>
  <c r="T47" i="57"/>
  <c r="W45" i="58"/>
  <c r="W14" i="58"/>
  <c r="R44" i="66"/>
  <c r="H113" i="55"/>
  <c r="R44" i="62"/>
  <c r="P27" i="62"/>
  <c r="R61" i="66"/>
  <c r="R61" i="67"/>
  <c r="R27" i="67"/>
  <c r="R44" i="67"/>
  <c r="N113" i="55"/>
  <c r="R61" i="62"/>
  <c r="R27" i="66"/>
  <c r="W52" i="58"/>
  <c r="W35" i="58" s="1"/>
  <c r="J113" i="55"/>
  <c r="W8" i="58"/>
  <c r="AF80" i="64"/>
  <c r="AF28" i="64"/>
  <c r="Q8" i="66"/>
  <c r="Q10" i="66" s="1"/>
  <c r="Q29" i="66"/>
  <c r="V16" i="58"/>
  <c r="V18" i="58"/>
  <c r="AF46" i="61"/>
  <c r="AF28" i="61"/>
  <c r="AF28" i="65"/>
  <c r="AF46" i="65"/>
  <c r="U36" i="58"/>
  <c r="U72" i="58"/>
  <c r="U30" i="58"/>
  <c r="V47" i="58"/>
  <c r="V28" i="58"/>
  <c r="V54" i="58" s="1"/>
  <c r="V53" i="58"/>
  <c r="AF9" i="64"/>
  <c r="T9" i="57"/>
  <c r="AF9" i="61"/>
  <c r="AF9" i="65"/>
  <c r="Q29" i="67"/>
  <c r="Q8" i="67"/>
  <c r="Q10" i="67" s="1"/>
  <c r="O29" i="62"/>
  <c r="O8" i="62"/>
  <c r="O10" i="62" s="1"/>
  <c r="AF80" i="61"/>
  <c r="U15" i="57" l="1"/>
  <c r="U16" i="57" s="1"/>
  <c r="AG15" i="64"/>
  <c r="AG16" i="64" s="1"/>
  <c r="AG15" i="61"/>
  <c r="AG16" i="61" s="1"/>
  <c r="F113" i="55"/>
  <c r="AH15" i="61" s="1"/>
  <c r="AH16" i="61" s="1"/>
  <c r="W53" i="58"/>
  <c r="W47" i="58"/>
  <c r="W28" i="58"/>
  <c r="W54" i="58" s="1"/>
  <c r="R80" i="62"/>
  <c r="T10" i="57"/>
  <c r="AF10" i="64"/>
  <c r="V46" i="57"/>
  <c r="AH45" i="61"/>
  <c r="D113" i="55"/>
  <c r="AH45" i="64"/>
  <c r="AH45" i="65"/>
  <c r="AG28" i="64"/>
  <c r="H114" i="55"/>
  <c r="S44" i="62"/>
  <c r="R29" i="35"/>
  <c r="S44" i="66"/>
  <c r="S61" i="62"/>
  <c r="S27" i="66"/>
  <c r="J114" i="55"/>
  <c r="X8" i="58"/>
  <c r="R35" i="35"/>
  <c r="R29" i="60"/>
  <c r="S44" i="67"/>
  <c r="X52" i="58"/>
  <c r="X35" i="58" s="1"/>
  <c r="R35" i="60"/>
  <c r="Q27" i="62"/>
  <c r="S61" i="67"/>
  <c r="S61" i="66"/>
  <c r="X45" i="58"/>
  <c r="S27" i="67"/>
  <c r="N114" i="55"/>
  <c r="X14" i="58"/>
  <c r="AG80" i="65"/>
  <c r="R80" i="66"/>
  <c r="R63" i="62"/>
  <c r="U29" i="57"/>
  <c r="U47" i="57"/>
  <c r="U83" i="57"/>
  <c r="AG80" i="61"/>
  <c r="AF29" i="61"/>
  <c r="AG28" i="65"/>
  <c r="AG46" i="65"/>
  <c r="R46" i="67"/>
  <c r="T30" i="57"/>
  <c r="AG9" i="64"/>
  <c r="AG9" i="65"/>
  <c r="AG9" i="61"/>
  <c r="U9" i="57"/>
  <c r="P8" i="62"/>
  <c r="P10" i="62" s="1"/>
  <c r="P29" i="62"/>
  <c r="R80" i="67"/>
  <c r="AF29" i="65"/>
  <c r="V30" i="58"/>
  <c r="V36" i="58"/>
  <c r="V72" i="58"/>
  <c r="W83" i="58"/>
  <c r="W89" i="58"/>
  <c r="R29" i="66"/>
  <c r="R8" i="66"/>
  <c r="R86" i="66" s="1"/>
  <c r="R29" i="67"/>
  <c r="R8" i="67"/>
  <c r="R86" i="67" s="1"/>
  <c r="AG46" i="61"/>
  <c r="AG28" i="61"/>
  <c r="V99" i="57"/>
  <c r="AH79" i="65"/>
  <c r="AH79" i="64"/>
  <c r="AH79" i="61"/>
  <c r="V82" i="57"/>
  <c r="R46" i="66"/>
  <c r="W16" i="58"/>
  <c r="W18" i="58"/>
  <c r="AF10" i="65"/>
  <c r="R63" i="67"/>
  <c r="R46" i="62"/>
  <c r="W71" i="58"/>
  <c r="W106" i="58"/>
  <c r="W10" i="58"/>
  <c r="R49" i="60"/>
  <c r="S78" i="67"/>
  <c r="S78" i="62"/>
  <c r="X81" i="58"/>
  <c r="P114" i="55"/>
  <c r="R55" i="60"/>
  <c r="R114" i="55"/>
  <c r="S78" i="66"/>
  <c r="X88" i="58"/>
  <c r="L57" i="43" a="1"/>
  <c r="L57" i="43" s="1"/>
  <c r="N57" i="43" s="1"/>
  <c r="R55" i="35"/>
  <c r="R49" i="35"/>
  <c r="AF10" i="61"/>
  <c r="R63" i="66"/>
  <c r="U100" i="57"/>
  <c r="R69" i="67" l="1"/>
  <c r="R35" i="67"/>
  <c r="AH15" i="65"/>
  <c r="AH16" i="65" s="1"/>
  <c r="AH15" i="64"/>
  <c r="AH16" i="64" s="1"/>
  <c r="V15" i="57"/>
  <c r="V16" i="57" s="1"/>
  <c r="R52" i="67"/>
  <c r="R16" i="60"/>
  <c r="S80" i="67"/>
  <c r="S46" i="67"/>
  <c r="AH80" i="61"/>
  <c r="R52" i="66"/>
  <c r="R10" i="60"/>
  <c r="V83" i="57"/>
  <c r="R16" i="35"/>
  <c r="AN85" i="66"/>
  <c r="Y81" i="58"/>
  <c r="AS81" i="58" s="1"/>
  <c r="L54" i="43" a="1"/>
  <c r="L54" i="43" s="1"/>
  <c r="N54" i="43" s="1"/>
  <c r="T78" i="62"/>
  <c r="R85" i="67"/>
  <c r="AN85" i="62"/>
  <c r="L55" i="43" a="1"/>
  <c r="L55" i="43" s="1"/>
  <c r="N55" i="43" s="1"/>
  <c r="S49" i="35"/>
  <c r="L53" i="43" a="1"/>
  <c r="L53" i="43" s="1"/>
  <c r="N53" i="43" s="1"/>
  <c r="P115" i="55"/>
  <c r="AN85" i="67"/>
  <c r="L56" i="43" a="1"/>
  <c r="L56" i="43" s="1"/>
  <c r="N56" i="43" s="1"/>
  <c r="R85" i="66"/>
  <c r="S55" i="35"/>
  <c r="T78" i="66"/>
  <c r="T78" i="67"/>
  <c r="R115" i="55"/>
  <c r="S55" i="60"/>
  <c r="Y88" i="58"/>
  <c r="AS88" i="58" s="1"/>
  <c r="R85" i="62"/>
  <c r="S49" i="60"/>
  <c r="R35" i="66"/>
  <c r="R103" i="66"/>
  <c r="R10" i="66"/>
  <c r="F114" i="55"/>
  <c r="AH80" i="65"/>
  <c r="X16" i="58"/>
  <c r="X18" i="58"/>
  <c r="S29" i="66"/>
  <c r="S8" i="66"/>
  <c r="S69" i="66" s="1"/>
  <c r="AH28" i="65"/>
  <c r="AH46" i="65"/>
  <c r="AH28" i="64"/>
  <c r="W72" i="58"/>
  <c r="W30" i="58"/>
  <c r="W36" i="58"/>
  <c r="V100" i="57"/>
  <c r="S46" i="66"/>
  <c r="AG29" i="61"/>
  <c r="U30" i="57"/>
  <c r="X28" i="58"/>
  <c r="X53" i="58"/>
  <c r="X47" i="58"/>
  <c r="R10" i="35"/>
  <c r="AH28" i="61"/>
  <c r="AH46" i="61"/>
  <c r="X71" i="58"/>
  <c r="X106" i="58"/>
  <c r="X10" i="58"/>
  <c r="S63" i="62"/>
  <c r="S29" i="67"/>
  <c r="S8" i="67"/>
  <c r="S86" i="67" s="1"/>
  <c r="S80" i="66"/>
  <c r="S86" i="66"/>
  <c r="AG29" i="65"/>
  <c r="S63" i="66"/>
  <c r="S46" i="62"/>
  <c r="V47" i="57"/>
  <c r="V29" i="57"/>
  <c r="AH9" i="61"/>
  <c r="AH9" i="65"/>
  <c r="AH9" i="64"/>
  <c r="V9" i="57"/>
  <c r="S63" i="67"/>
  <c r="AI45" i="64"/>
  <c r="AI45" i="61"/>
  <c r="D114" i="55"/>
  <c r="W46" i="57"/>
  <c r="AI45" i="65"/>
  <c r="R34" i="62"/>
  <c r="R34" i="67"/>
  <c r="T44" i="62"/>
  <c r="R27" i="62"/>
  <c r="AN34" i="67"/>
  <c r="AN34" i="66"/>
  <c r="AN68" i="66"/>
  <c r="S29" i="60"/>
  <c r="S35" i="60"/>
  <c r="AN51" i="66"/>
  <c r="R51" i="66"/>
  <c r="AN34" i="62"/>
  <c r="R57" i="43" a="1"/>
  <c r="R57" i="43" s="1"/>
  <c r="T57" i="43" s="1"/>
  <c r="R51" i="62"/>
  <c r="N115" i="55"/>
  <c r="T27" i="67"/>
  <c r="R51" i="67"/>
  <c r="T27" i="66"/>
  <c r="T61" i="66"/>
  <c r="AN68" i="67"/>
  <c r="AN51" i="62"/>
  <c r="R68" i="66"/>
  <c r="T44" i="67"/>
  <c r="AN51" i="67"/>
  <c r="T61" i="62"/>
  <c r="H115" i="55"/>
  <c r="AN27" i="62"/>
  <c r="Y8" i="58"/>
  <c r="AS8" i="58" s="1"/>
  <c r="AN68" i="62"/>
  <c r="T44" i="66"/>
  <c r="R68" i="67"/>
  <c r="Y45" i="58"/>
  <c r="AS45" i="58" s="1"/>
  <c r="T61" i="67"/>
  <c r="S35" i="35"/>
  <c r="J115" i="55"/>
  <c r="Y52" i="58"/>
  <c r="AS52" i="58" s="1"/>
  <c r="R34" i="66"/>
  <c r="R68" i="62"/>
  <c r="S29" i="35"/>
  <c r="Y14" i="58"/>
  <c r="AS14" i="58" s="1"/>
  <c r="AS16" i="58" s="1"/>
  <c r="W82" i="57"/>
  <c r="W99" i="57"/>
  <c r="AI79" i="61"/>
  <c r="AI79" i="65"/>
  <c r="AI79" i="64"/>
  <c r="U10" i="57"/>
  <c r="Q8" i="62"/>
  <c r="Q10" i="62" s="1"/>
  <c r="Q29" i="62"/>
  <c r="AG10" i="61"/>
  <c r="X83" i="58"/>
  <c r="X89" i="58"/>
  <c r="R69" i="66"/>
  <c r="S80" i="62"/>
  <c r="R103" i="67"/>
  <c r="R10" i="67"/>
  <c r="AG10" i="65"/>
  <c r="S35" i="66" l="1"/>
  <c r="AS53" i="58"/>
  <c r="S69" i="67"/>
  <c r="AN14" i="67"/>
  <c r="AN16" i="67" s="1"/>
  <c r="S35" i="67"/>
  <c r="AN14" i="66"/>
  <c r="AN16" i="66" s="1"/>
  <c r="AS18" i="58"/>
  <c r="S52" i="66"/>
  <c r="Y16" i="58"/>
  <c r="Y18" i="58"/>
  <c r="T80" i="62"/>
  <c r="S10" i="35"/>
  <c r="T63" i="62"/>
  <c r="W9" i="57"/>
  <c r="AI9" i="65"/>
  <c r="AI9" i="61"/>
  <c r="AI9" i="64"/>
  <c r="AH10" i="61"/>
  <c r="AN29" i="62"/>
  <c r="AN14" i="62"/>
  <c r="AN16" i="62" s="1"/>
  <c r="AS71" i="58"/>
  <c r="AI46" i="61"/>
  <c r="AI28" i="61"/>
  <c r="T80" i="67"/>
  <c r="Y83" i="58"/>
  <c r="Y89" i="58"/>
  <c r="S52" i="67"/>
  <c r="R14" i="66"/>
  <c r="T46" i="67"/>
  <c r="S16" i="60"/>
  <c r="AI28" i="64"/>
  <c r="V30" i="57"/>
  <c r="AI15" i="64"/>
  <c r="AI15" i="61"/>
  <c r="AI15" i="65"/>
  <c r="W15" i="57"/>
  <c r="T80" i="66"/>
  <c r="Y35" i="58"/>
  <c r="AM85" i="67"/>
  <c r="S85" i="67"/>
  <c r="T49" i="60"/>
  <c r="U78" i="67"/>
  <c r="T55" i="60"/>
  <c r="T49" i="35"/>
  <c r="L50" i="43" a="1"/>
  <c r="L50" i="43" s="1"/>
  <c r="N50" i="43" s="1"/>
  <c r="L49" i="43" a="1"/>
  <c r="L49" i="43" s="1"/>
  <c r="N49" i="43" s="1"/>
  <c r="AM85" i="62"/>
  <c r="Z88" i="58"/>
  <c r="AM85" i="66"/>
  <c r="P116" i="55"/>
  <c r="S85" i="62"/>
  <c r="S85" i="66"/>
  <c r="U78" i="66"/>
  <c r="T55" i="35"/>
  <c r="R116" i="55"/>
  <c r="L52" i="43" a="1"/>
  <c r="L52" i="43" s="1"/>
  <c r="N52" i="43" s="1"/>
  <c r="U78" i="62"/>
  <c r="L51" i="43" a="1"/>
  <c r="L51" i="43" s="1"/>
  <c r="N51" i="43" s="1"/>
  <c r="Z81" i="58"/>
  <c r="AH29" i="65"/>
  <c r="W100" i="57"/>
  <c r="F115" i="55"/>
  <c r="U27" i="67"/>
  <c r="N116" i="55"/>
  <c r="AM51" i="66"/>
  <c r="T29" i="60"/>
  <c r="S27" i="62"/>
  <c r="U27" i="66"/>
  <c r="T35" i="35"/>
  <c r="R54" i="43" a="1"/>
  <c r="R54" i="43" s="1"/>
  <c r="T54" i="43" s="1"/>
  <c r="AM34" i="62"/>
  <c r="S51" i="67"/>
  <c r="Z45" i="58"/>
  <c r="R53" i="43" a="1"/>
  <c r="R53" i="43" s="1"/>
  <c r="T53" i="43" s="1"/>
  <c r="H116" i="55"/>
  <c r="U61" i="66"/>
  <c r="R56" i="43" a="1"/>
  <c r="R56" i="43" s="1"/>
  <c r="T56" i="43" s="1"/>
  <c r="U61" i="67"/>
  <c r="T29" i="35"/>
  <c r="AM68" i="62"/>
  <c r="S34" i="62"/>
  <c r="AM34" i="66"/>
  <c r="AM14" i="66" s="1"/>
  <c r="AM16" i="66" s="1"/>
  <c r="Z14" i="58"/>
  <c r="Z52" i="58"/>
  <c r="Z35" i="58" s="1"/>
  <c r="AM68" i="67"/>
  <c r="S51" i="66"/>
  <c r="S68" i="62"/>
  <c r="Z8" i="58"/>
  <c r="S68" i="66"/>
  <c r="AM34" i="67"/>
  <c r="J116" i="55"/>
  <c r="S68" i="67"/>
  <c r="U61" i="62"/>
  <c r="T35" i="60"/>
  <c r="AM68" i="66"/>
  <c r="U44" i="66"/>
  <c r="AM51" i="62"/>
  <c r="U44" i="62"/>
  <c r="AM51" i="67"/>
  <c r="R55" i="43" a="1"/>
  <c r="R55" i="43" s="1"/>
  <c r="T55" i="43" s="1"/>
  <c r="S51" i="62"/>
  <c r="S34" i="67"/>
  <c r="S34" i="66"/>
  <c r="U44" i="67"/>
  <c r="AM27" i="62"/>
  <c r="S16" i="35"/>
  <c r="S10" i="67"/>
  <c r="S103" i="67"/>
  <c r="AH29" i="61"/>
  <c r="T63" i="66"/>
  <c r="X54" i="58"/>
  <c r="X30" i="58"/>
  <c r="X72" i="58"/>
  <c r="X36" i="58"/>
  <c r="S10" i="60"/>
  <c r="T63" i="67"/>
  <c r="Y53" i="58"/>
  <c r="Y28" i="58"/>
  <c r="AS28" i="58" s="1"/>
  <c r="Y47" i="58"/>
  <c r="T29" i="66"/>
  <c r="T8" i="66"/>
  <c r="T86" i="66" s="1"/>
  <c r="R29" i="62"/>
  <c r="R8" i="62"/>
  <c r="R35" i="62" s="1"/>
  <c r="S10" i="66"/>
  <c r="S103" i="66"/>
  <c r="X82" i="57"/>
  <c r="X99" i="57"/>
  <c r="AJ79" i="65"/>
  <c r="AJ79" i="61"/>
  <c r="AJ79" i="64"/>
  <c r="AI28" i="65"/>
  <c r="AI46" i="65"/>
  <c r="W47" i="57"/>
  <c r="W29" i="57"/>
  <c r="T46" i="62"/>
  <c r="V10" i="57"/>
  <c r="AS89" i="58"/>
  <c r="Y10" i="58"/>
  <c r="Y71" i="58"/>
  <c r="Y106" i="58"/>
  <c r="W83" i="57"/>
  <c r="AJ45" i="61"/>
  <c r="AJ45" i="64"/>
  <c r="AJ45" i="65"/>
  <c r="D115" i="55"/>
  <c r="X46" i="57"/>
  <c r="AI80" i="65"/>
  <c r="T46" i="66"/>
  <c r="T8" i="67"/>
  <c r="T35" i="67" s="1"/>
  <c r="T29" i="67"/>
  <c r="R14" i="67"/>
  <c r="AI80" i="61"/>
  <c r="R14" i="62"/>
  <c r="AH10" i="65"/>
  <c r="S14" i="67" l="1"/>
  <c r="S16" i="67" s="1"/>
  <c r="T16" i="35"/>
  <c r="S14" i="62"/>
  <c r="S16" i="62" s="1"/>
  <c r="T35" i="66"/>
  <c r="S14" i="66"/>
  <c r="S16" i="66" s="1"/>
  <c r="T69" i="66"/>
  <c r="T16" i="60"/>
  <c r="X29" i="57"/>
  <c r="X47" i="57"/>
  <c r="AS72" i="58"/>
  <c r="AS36" i="58"/>
  <c r="AS54" i="58"/>
  <c r="Z28" i="58"/>
  <c r="Z54" i="58" s="1"/>
  <c r="Z53" i="58"/>
  <c r="Z47" i="58"/>
  <c r="U80" i="66"/>
  <c r="W30" i="57"/>
  <c r="Y72" i="58"/>
  <c r="Y30" i="58"/>
  <c r="Y36" i="58"/>
  <c r="AJ9" i="65"/>
  <c r="X9" i="57"/>
  <c r="AJ9" i="61"/>
  <c r="AJ9" i="64"/>
  <c r="Y99" i="57"/>
  <c r="AK79" i="64"/>
  <c r="AK79" i="65"/>
  <c r="Y82" i="57"/>
  <c r="AK79" i="61"/>
  <c r="AJ46" i="65"/>
  <c r="AJ28" i="65"/>
  <c r="R10" i="62"/>
  <c r="R103" i="62"/>
  <c r="R69" i="62"/>
  <c r="R52" i="62"/>
  <c r="R86" i="62"/>
  <c r="AM14" i="62"/>
  <c r="AM16" i="62" s="1"/>
  <c r="T86" i="67"/>
  <c r="X83" i="57"/>
  <c r="Z106" i="58"/>
  <c r="Z10" i="58"/>
  <c r="Z71" i="58"/>
  <c r="R16" i="67"/>
  <c r="AJ28" i="64"/>
  <c r="U46" i="62"/>
  <c r="AI29" i="65"/>
  <c r="T69" i="67"/>
  <c r="U46" i="66"/>
  <c r="U8" i="66"/>
  <c r="U69" i="66" s="1"/>
  <c r="U29" i="66"/>
  <c r="T52" i="67"/>
  <c r="AI29" i="61"/>
  <c r="V44" i="66"/>
  <c r="T34" i="67"/>
  <c r="R52" i="43" a="1"/>
  <c r="R52" i="43" s="1"/>
  <c r="T52" i="43" s="1"/>
  <c r="V61" i="62"/>
  <c r="J117" i="55"/>
  <c r="AN61" i="62"/>
  <c r="AN44" i="66"/>
  <c r="T51" i="62"/>
  <c r="T51" i="66"/>
  <c r="AL68" i="66"/>
  <c r="AL34" i="67"/>
  <c r="AN44" i="67"/>
  <c r="T27" i="62"/>
  <c r="R50" i="43" a="1"/>
  <c r="R50" i="43" s="1"/>
  <c r="T50" i="43" s="1"/>
  <c r="AN61" i="67"/>
  <c r="T68" i="62"/>
  <c r="AL51" i="66"/>
  <c r="AA14" i="58"/>
  <c r="AL27" i="62"/>
  <c r="V44" i="62"/>
  <c r="U35" i="60"/>
  <c r="AA8" i="58"/>
  <c r="V27" i="66"/>
  <c r="R51" i="43" a="1"/>
  <c r="R51" i="43" s="1"/>
  <c r="T51" i="43" s="1"/>
  <c r="T68" i="66"/>
  <c r="AN44" i="62"/>
  <c r="AN61" i="66"/>
  <c r="AL51" i="62"/>
  <c r="U29" i="60"/>
  <c r="H117" i="55"/>
  <c r="AL34" i="66"/>
  <c r="AL68" i="62"/>
  <c r="AL51" i="67"/>
  <c r="AL68" i="67"/>
  <c r="U29" i="35"/>
  <c r="N117" i="55"/>
  <c r="T34" i="66"/>
  <c r="T51" i="67"/>
  <c r="V61" i="66"/>
  <c r="AA45" i="58"/>
  <c r="AL34" i="62"/>
  <c r="AN27" i="67"/>
  <c r="T68" i="67"/>
  <c r="AA52" i="58"/>
  <c r="V44" i="67"/>
  <c r="V61" i="67"/>
  <c r="AN27" i="66"/>
  <c r="U35" i="35"/>
  <c r="R49" i="43" a="1"/>
  <c r="R49" i="43" s="1"/>
  <c r="T49" i="43" s="1"/>
  <c r="T34" i="62"/>
  <c r="V27" i="67"/>
  <c r="AJ46" i="61"/>
  <c r="AJ28" i="61"/>
  <c r="Z18" i="58"/>
  <c r="Z16" i="58"/>
  <c r="AJ80" i="61"/>
  <c r="Z83" i="58"/>
  <c r="Z89" i="58"/>
  <c r="U63" i="67"/>
  <c r="AK45" i="61"/>
  <c r="AK45" i="64"/>
  <c r="D116" i="55"/>
  <c r="Y46" i="57"/>
  <c r="AK45" i="65"/>
  <c r="S8" i="62"/>
  <c r="S35" i="62" s="1"/>
  <c r="S29" i="62"/>
  <c r="AJ80" i="65"/>
  <c r="T52" i="66"/>
  <c r="T10" i="66"/>
  <c r="T103" i="66"/>
  <c r="T10" i="60"/>
  <c r="W16" i="57"/>
  <c r="AA88" i="58"/>
  <c r="V78" i="67"/>
  <c r="L47" i="43" a="1"/>
  <c r="L47" i="43" s="1"/>
  <c r="N47" i="43" s="1"/>
  <c r="AN78" i="67"/>
  <c r="AN78" i="66"/>
  <c r="V78" i="66"/>
  <c r="AA81" i="58"/>
  <c r="AN78" i="62"/>
  <c r="R117" i="55"/>
  <c r="T85" i="67"/>
  <c r="L46" i="43" a="1"/>
  <c r="L46" i="43" s="1"/>
  <c r="N46" i="43" s="1"/>
  <c r="T85" i="66"/>
  <c r="U49" i="35"/>
  <c r="AL85" i="67"/>
  <c r="U49" i="60"/>
  <c r="L48" i="43" a="1"/>
  <c r="L48" i="43" s="1"/>
  <c r="N48" i="43" s="1"/>
  <c r="L45" i="43" a="1"/>
  <c r="L45" i="43" s="1"/>
  <c r="N45" i="43" s="1"/>
  <c r="AL85" i="66"/>
  <c r="P117" i="55"/>
  <c r="T85" i="62"/>
  <c r="U55" i="60"/>
  <c r="V78" i="62"/>
  <c r="U55" i="35"/>
  <c r="AL85" i="62"/>
  <c r="T103" i="67"/>
  <c r="T10" i="67"/>
  <c r="X100" i="57"/>
  <c r="U63" i="62"/>
  <c r="T10" i="35"/>
  <c r="U80" i="62"/>
  <c r="AI16" i="65"/>
  <c r="R16" i="66"/>
  <c r="AI10" i="61"/>
  <c r="U80" i="67"/>
  <c r="AI16" i="61"/>
  <c r="AI10" i="65"/>
  <c r="F116" i="55"/>
  <c r="AM29" i="62"/>
  <c r="U29" i="67"/>
  <c r="U8" i="67"/>
  <c r="U35" i="67" s="1"/>
  <c r="AI16" i="64"/>
  <c r="W10" i="57"/>
  <c r="R16" i="62"/>
  <c r="Y54" i="58"/>
  <c r="U46" i="67"/>
  <c r="AM14" i="67"/>
  <c r="AM16" i="67" s="1"/>
  <c r="U63" i="66"/>
  <c r="X15" i="57"/>
  <c r="X16" i="57" s="1"/>
  <c r="AJ15" i="64"/>
  <c r="AJ16" i="64" s="1"/>
  <c r="AJ15" i="61"/>
  <c r="AJ16" i="61" s="1"/>
  <c r="AJ15" i="65"/>
  <c r="AJ16" i="65" s="1"/>
  <c r="U52" i="67" l="1"/>
  <c r="U16" i="60"/>
  <c r="U16" i="35"/>
  <c r="T14" i="66"/>
  <c r="T16" i="66" s="1"/>
  <c r="AK80" i="65"/>
  <c r="U10" i="35"/>
  <c r="AA106" i="58"/>
  <c r="AA10" i="58"/>
  <c r="AA71" i="58"/>
  <c r="AA18" i="58"/>
  <c r="AA16" i="58"/>
  <c r="V63" i="62"/>
  <c r="U52" i="66"/>
  <c r="X10" i="57"/>
  <c r="V80" i="67"/>
  <c r="V29" i="66"/>
  <c r="V8" i="66"/>
  <c r="V52" i="66" s="1"/>
  <c r="Y100" i="57"/>
  <c r="V46" i="62"/>
  <c r="AJ10" i="65"/>
  <c r="X30" i="57"/>
  <c r="AN63" i="62"/>
  <c r="AL29" i="62"/>
  <c r="S103" i="62"/>
  <c r="S10" i="62"/>
  <c r="S69" i="62"/>
  <c r="S52" i="62"/>
  <c r="S86" i="62"/>
  <c r="V46" i="67"/>
  <c r="V80" i="62"/>
  <c r="AA35" i="58"/>
  <c r="Z46" i="57"/>
  <c r="AL45" i="61"/>
  <c r="D117" i="55"/>
  <c r="AL45" i="65"/>
  <c r="AL45" i="64"/>
  <c r="T14" i="67"/>
  <c r="AK15" i="65"/>
  <c r="Y15" i="57"/>
  <c r="Y16" i="57" s="1"/>
  <c r="AK15" i="61"/>
  <c r="AK16" i="61" s="1"/>
  <c r="AK15" i="64"/>
  <c r="AN8" i="66"/>
  <c r="AN35" i="66" s="1"/>
  <c r="AN29" i="66"/>
  <c r="F117" i="55"/>
  <c r="AJ10" i="61"/>
  <c r="V63" i="67"/>
  <c r="AL14" i="66"/>
  <c r="AL16" i="66" s="1"/>
  <c r="AN80" i="62"/>
  <c r="AN8" i="62"/>
  <c r="AN52" i="62" s="1"/>
  <c r="AA83" i="58"/>
  <c r="AA89" i="58"/>
  <c r="AK46" i="65"/>
  <c r="AK28" i="65"/>
  <c r="U10" i="60"/>
  <c r="AN63" i="67"/>
  <c r="V46" i="66"/>
  <c r="Z30" i="58"/>
  <c r="Z36" i="58"/>
  <c r="Z72" i="58"/>
  <c r="V8" i="67"/>
  <c r="V69" i="67" s="1"/>
  <c r="V29" i="67"/>
  <c r="T14" i="62"/>
  <c r="U10" i="66"/>
  <c r="U103" i="66"/>
  <c r="U86" i="66"/>
  <c r="AN46" i="66"/>
  <c r="U35" i="66"/>
  <c r="V55" i="35"/>
  <c r="AM78" i="66"/>
  <c r="W78" i="67"/>
  <c r="V49" i="35"/>
  <c r="AK85" i="62"/>
  <c r="AM78" i="62"/>
  <c r="AB81" i="58"/>
  <c r="AK85" i="67"/>
  <c r="R118" i="55"/>
  <c r="L41" i="43" a="1"/>
  <c r="L41" i="43" s="1"/>
  <c r="N41" i="43" s="1"/>
  <c r="P118" i="55"/>
  <c r="L42" i="43" a="1"/>
  <c r="L42" i="43" s="1"/>
  <c r="N42" i="43" s="1"/>
  <c r="W78" i="62"/>
  <c r="V49" i="60"/>
  <c r="V55" i="60"/>
  <c r="U85" i="66"/>
  <c r="U85" i="62"/>
  <c r="AM78" i="67"/>
  <c r="AB88" i="58"/>
  <c r="W78" i="66"/>
  <c r="AK85" i="66"/>
  <c r="L43" i="43" a="1"/>
  <c r="L43" i="43" s="1"/>
  <c r="N43" i="43" s="1"/>
  <c r="L44" i="43" a="1"/>
  <c r="L44" i="43" s="1"/>
  <c r="N44" i="43" s="1"/>
  <c r="U85" i="67"/>
  <c r="U69" i="67"/>
  <c r="U10" i="67"/>
  <c r="U103" i="67"/>
  <c r="U86" i="67"/>
  <c r="V80" i="66"/>
  <c r="V86" i="66"/>
  <c r="Y29" i="57"/>
  <c r="Y47" i="57"/>
  <c r="AN29" i="67"/>
  <c r="AN8" i="67"/>
  <c r="AN69" i="67" s="1"/>
  <c r="AM27" i="67"/>
  <c r="R47" i="43" a="1"/>
  <c r="R47" i="43" s="1"/>
  <c r="T47" i="43" s="1"/>
  <c r="U27" i="62"/>
  <c r="W44" i="67"/>
  <c r="AB45" i="58"/>
  <c r="U34" i="62"/>
  <c r="U34" i="66"/>
  <c r="AK34" i="67"/>
  <c r="AB52" i="58"/>
  <c r="AM44" i="62"/>
  <c r="U68" i="66"/>
  <c r="H118" i="55"/>
  <c r="W44" i="62"/>
  <c r="W27" i="67"/>
  <c r="U51" i="66"/>
  <c r="W61" i="62"/>
  <c r="AM61" i="66"/>
  <c r="R45" i="43" a="1"/>
  <c r="R45" i="43" s="1"/>
  <c r="T45" i="43" s="1"/>
  <c r="AK34" i="62"/>
  <c r="U34" i="67"/>
  <c r="W27" i="66"/>
  <c r="V35" i="35"/>
  <c r="AB14" i="58"/>
  <c r="W44" i="66"/>
  <c r="J118" i="55"/>
  <c r="AK68" i="67"/>
  <c r="AM27" i="66"/>
  <c r="AK51" i="66"/>
  <c r="AK51" i="67"/>
  <c r="V29" i="60"/>
  <c r="U51" i="62"/>
  <c r="U68" i="62"/>
  <c r="AB8" i="58"/>
  <c r="AM61" i="62"/>
  <c r="V29" i="35"/>
  <c r="W61" i="67"/>
  <c r="R48" i="43" a="1"/>
  <c r="R48" i="43" s="1"/>
  <c r="T48" i="43" s="1"/>
  <c r="N118" i="55"/>
  <c r="AK34" i="66"/>
  <c r="AM44" i="66"/>
  <c r="R46" i="43" a="1"/>
  <c r="R46" i="43" s="1"/>
  <c r="T46" i="43" s="1"/>
  <c r="U68" i="67"/>
  <c r="AK68" i="66"/>
  <c r="AK27" i="62"/>
  <c r="AM61" i="67"/>
  <c r="AK51" i="62"/>
  <c r="AM44" i="67"/>
  <c r="W61" i="66"/>
  <c r="U51" i="67"/>
  <c r="V35" i="60"/>
  <c r="AK68" i="62"/>
  <c r="Z99" i="57"/>
  <c r="Z82" i="57"/>
  <c r="AL79" i="64"/>
  <c r="AL79" i="65"/>
  <c r="AL79" i="61"/>
  <c r="AN80" i="66"/>
  <c r="Y9" i="57"/>
  <c r="AK9" i="61"/>
  <c r="AK9" i="64"/>
  <c r="AK9" i="65"/>
  <c r="AL14" i="62"/>
  <c r="AL16" i="62" s="1"/>
  <c r="AN63" i="66"/>
  <c r="T8" i="62"/>
  <c r="T29" i="62"/>
  <c r="AJ29" i="65"/>
  <c r="AN80" i="67"/>
  <c r="AK28" i="64"/>
  <c r="AA28" i="58"/>
  <c r="AA54" i="58" s="1"/>
  <c r="AA47" i="58"/>
  <c r="AA53" i="58"/>
  <c r="AN46" i="62"/>
  <c r="AN46" i="67"/>
  <c r="AK28" i="61"/>
  <c r="AK46" i="61"/>
  <c r="AJ29" i="61"/>
  <c r="V63" i="66"/>
  <c r="V69" i="66"/>
  <c r="AL14" i="67"/>
  <c r="AL16" i="67" s="1"/>
  <c r="AK80" i="61"/>
  <c r="Y83" i="57"/>
  <c r="AK14" i="67" l="1"/>
  <c r="AK16" i="67" s="1"/>
  <c r="AN86" i="67"/>
  <c r="AK14" i="66"/>
  <c r="AK16" i="66" s="1"/>
  <c r="V86" i="67"/>
  <c r="AN35" i="67"/>
  <c r="V35" i="67"/>
  <c r="AN86" i="62"/>
  <c r="AN69" i="62"/>
  <c r="F118" i="55"/>
  <c r="AA15" i="57" s="1"/>
  <c r="AA16" i="57" s="1"/>
  <c r="AN52" i="67"/>
  <c r="U14" i="66"/>
  <c r="AN86" i="66"/>
  <c r="U14" i="62"/>
  <c r="U16" i="62" s="1"/>
  <c r="AN52" i="66"/>
  <c r="AK14" i="62"/>
  <c r="AK16" i="62" s="1"/>
  <c r="AK29" i="62"/>
  <c r="AM63" i="67"/>
  <c r="AM63" i="66"/>
  <c r="U8" i="62"/>
  <c r="U35" i="62" s="1"/>
  <c r="U29" i="62"/>
  <c r="V10" i="60"/>
  <c r="AL80" i="61"/>
  <c r="W46" i="62"/>
  <c r="AM45" i="64"/>
  <c r="AM45" i="65"/>
  <c r="AM45" i="61"/>
  <c r="D118" i="55"/>
  <c r="AA46" i="57"/>
  <c r="AN10" i="67"/>
  <c r="T16" i="67"/>
  <c r="W8" i="67"/>
  <c r="W52" i="67" s="1"/>
  <c r="W29" i="67"/>
  <c r="AM46" i="66"/>
  <c r="T35" i="62"/>
  <c r="T103" i="62"/>
  <c r="T10" i="62"/>
  <c r="T86" i="62"/>
  <c r="T52" i="62"/>
  <c r="T69" i="62"/>
  <c r="AL28" i="64"/>
  <c r="AK16" i="65"/>
  <c r="Z83" i="57"/>
  <c r="Z100" i="57"/>
  <c r="W46" i="66"/>
  <c r="AM46" i="62"/>
  <c r="AL15" i="65"/>
  <c r="AL16" i="65" s="1"/>
  <c r="AL15" i="64"/>
  <c r="AL16" i="64" s="1"/>
  <c r="AL15" i="61"/>
  <c r="AL16" i="61" s="1"/>
  <c r="Z15" i="57"/>
  <c r="Z16" i="57" s="1"/>
  <c r="AL28" i="65"/>
  <c r="AL46" i="65"/>
  <c r="V35" i="66"/>
  <c r="V103" i="66"/>
  <c r="V10" i="66"/>
  <c r="W63" i="62"/>
  <c r="AK29" i="65"/>
  <c r="AM29" i="66"/>
  <c r="AM8" i="66"/>
  <c r="AM69" i="66" s="1"/>
  <c r="AB16" i="58"/>
  <c r="AB18" i="58"/>
  <c r="AB35" i="58"/>
  <c r="AB83" i="58"/>
  <c r="AB89" i="58"/>
  <c r="AN10" i="62"/>
  <c r="AN35" i="62"/>
  <c r="AL9" i="65"/>
  <c r="AL9" i="61"/>
  <c r="AL9" i="64"/>
  <c r="Z9" i="57"/>
  <c r="W80" i="62"/>
  <c r="AL80" i="65"/>
  <c r="AM79" i="65"/>
  <c r="AA82" i="57"/>
  <c r="AM79" i="61"/>
  <c r="AA99" i="57"/>
  <c r="AM79" i="64"/>
  <c r="V34" i="66"/>
  <c r="AJ68" i="62"/>
  <c r="X27" i="66"/>
  <c r="R41" i="43" a="1"/>
  <c r="R41" i="43" s="1"/>
  <c r="T41" i="43" s="1"/>
  <c r="AL61" i="67"/>
  <c r="W35" i="60"/>
  <c r="AC45" i="58"/>
  <c r="V34" i="62"/>
  <c r="AL61" i="66"/>
  <c r="AL27" i="67"/>
  <c r="AJ34" i="67"/>
  <c r="AJ34" i="66"/>
  <c r="AC52" i="58"/>
  <c r="AC35" i="58" s="1"/>
  <c r="AS35" i="58" s="1"/>
  <c r="AJ34" i="62"/>
  <c r="AJ51" i="66"/>
  <c r="H119" i="55"/>
  <c r="J119" i="55"/>
  <c r="AC8" i="58"/>
  <c r="R42" i="43" a="1"/>
  <c r="R42" i="43" s="1"/>
  <c r="T42" i="43" s="1"/>
  <c r="AJ51" i="62"/>
  <c r="V68" i="67"/>
  <c r="X61" i="62"/>
  <c r="AL44" i="66"/>
  <c r="AJ51" i="67"/>
  <c r="V34" i="67"/>
  <c r="AJ68" i="67"/>
  <c r="X61" i="66"/>
  <c r="AL27" i="66"/>
  <c r="X44" i="62"/>
  <c r="V51" i="66"/>
  <c r="R43" i="43" a="1"/>
  <c r="R43" i="43" s="1"/>
  <c r="T43" i="43" s="1"/>
  <c r="X61" i="67"/>
  <c r="AL44" i="67"/>
  <c r="V27" i="62"/>
  <c r="W35" i="35"/>
  <c r="X27" i="67"/>
  <c r="V68" i="66"/>
  <c r="AJ68" i="66"/>
  <c r="W29" i="60"/>
  <c r="AJ27" i="62"/>
  <c r="W29" i="35"/>
  <c r="N119" i="55"/>
  <c r="X44" i="67"/>
  <c r="X44" i="66"/>
  <c r="V51" i="67"/>
  <c r="AL61" i="62"/>
  <c r="R44" i="43" a="1"/>
  <c r="R44" i="43" s="1"/>
  <c r="T44" i="43" s="1"/>
  <c r="V68" i="62"/>
  <c r="AL44" i="62"/>
  <c r="V51" i="62"/>
  <c r="AC14" i="58"/>
  <c r="AA72" i="58"/>
  <c r="AA30" i="58"/>
  <c r="AA36" i="58"/>
  <c r="V16" i="60"/>
  <c r="W63" i="67"/>
  <c r="V16" i="35"/>
  <c r="Y30" i="57"/>
  <c r="W80" i="66"/>
  <c r="AM80" i="62"/>
  <c r="AM8" i="62"/>
  <c r="AM52" i="62" s="1"/>
  <c r="AL46" i="61"/>
  <c r="AL28" i="61"/>
  <c r="AM29" i="67"/>
  <c r="AM8" i="67"/>
  <c r="AM35" i="67" s="1"/>
  <c r="AC81" i="58"/>
  <c r="L37" i="43" a="1"/>
  <c r="L37" i="43" s="1"/>
  <c r="N37" i="43" s="1"/>
  <c r="AL78" i="66"/>
  <c r="X78" i="66"/>
  <c r="AJ85" i="62"/>
  <c r="AL78" i="62"/>
  <c r="W49" i="35"/>
  <c r="L39" i="43" a="1"/>
  <c r="L39" i="43" s="1"/>
  <c r="N39" i="43" s="1"/>
  <c r="L40" i="43" a="1"/>
  <c r="L40" i="43" s="1"/>
  <c r="N40" i="43" s="1"/>
  <c r="X78" i="62"/>
  <c r="X78" i="67"/>
  <c r="W49" i="60"/>
  <c r="V85" i="62"/>
  <c r="AC88" i="58"/>
  <c r="V85" i="66"/>
  <c r="AJ85" i="67"/>
  <c r="AL78" i="67"/>
  <c r="W55" i="60"/>
  <c r="W55" i="35"/>
  <c r="R119" i="55"/>
  <c r="AJ85" i="66"/>
  <c r="L38" i="43" a="1"/>
  <c r="L38" i="43" s="1"/>
  <c r="N38" i="43" s="1"/>
  <c r="V85" i="67"/>
  <c r="P119" i="55"/>
  <c r="AK10" i="65"/>
  <c r="V10" i="35"/>
  <c r="W8" i="66"/>
  <c r="W35" i="66" s="1"/>
  <c r="W29" i="66"/>
  <c r="U16" i="66"/>
  <c r="T16" i="62"/>
  <c r="Z29" i="57"/>
  <c r="Z47" i="57"/>
  <c r="U14" i="67"/>
  <c r="U16" i="67" s="1"/>
  <c r="AN69" i="66"/>
  <c r="AN10" i="66"/>
  <c r="AK10" i="61"/>
  <c r="AB106" i="58"/>
  <c r="AB10" i="58"/>
  <c r="AB71" i="58"/>
  <c r="AB47" i="58"/>
  <c r="AB28" i="58"/>
  <c r="AB53" i="58"/>
  <c r="W80" i="67"/>
  <c r="AK29" i="61"/>
  <c r="W63" i="66"/>
  <c r="AM63" i="62"/>
  <c r="AM80" i="67"/>
  <c r="AM46" i="67"/>
  <c r="Y10" i="57"/>
  <c r="W46" i="67"/>
  <c r="AM80" i="66"/>
  <c r="V52" i="67"/>
  <c r="V10" i="67"/>
  <c r="V103" i="67"/>
  <c r="AK16" i="64"/>
  <c r="AM86" i="66" l="1"/>
  <c r="AM52" i="67"/>
  <c r="AM86" i="67"/>
  <c r="AM52" i="66"/>
  <c r="AM15" i="61"/>
  <c r="AM16" i="61" s="1"/>
  <c r="AM15" i="65"/>
  <c r="AM16" i="65" s="1"/>
  <c r="AM15" i="64"/>
  <c r="AM16" i="64" s="1"/>
  <c r="W69" i="67"/>
  <c r="V14" i="62"/>
  <c r="V16" i="62" s="1"/>
  <c r="W86" i="67"/>
  <c r="AM46" i="65"/>
  <c r="AM28" i="65"/>
  <c r="X80" i="66"/>
  <c r="AM69" i="62"/>
  <c r="AM10" i="62"/>
  <c r="AM35" i="62"/>
  <c r="X46" i="67"/>
  <c r="X46" i="62"/>
  <c r="V14" i="66"/>
  <c r="AL80" i="62"/>
  <c r="AL8" i="62"/>
  <c r="AL69" i="62" s="1"/>
  <c r="Z10" i="57"/>
  <c r="AL8" i="66"/>
  <c r="AL35" i="66" s="1"/>
  <c r="AL29" i="66"/>
  <c r="AJ14" i="62"/>
  <c r="AJ16" i="62" s="1"/>
  <c r="AL10" i="61"/>
  <c r="AM69" i="67"/>
  <c r="AC10" i="58"/>
  <c r="AC71" i="58"/>
  <c r="AC106" i="58"/>
  <c r="F119" i="55"/>
  <c r="Y27" i="66"/>
  <c r="W68" i="66"/>
  <c r="Y61" i="67"/>
  <c r="W27" i="62"/>
  <c r="AD8" i="58"/>
  <c r="W34" i="67"/>
  <c r="Y61" i="66"/>
  <c r="Y44" i="67"/>
  <c r="W68" i="62"/>
  <c r="W34" i="66"/>
  <c r="J120" i="55"/>
  <c r="W51" i="66"/>
  <c r="AI68" i="66"/>
  <c r="Y61" i="62"/>
  <c r="X35" i="35"/>
  <c r="W51" i="62"/>
  <c r="W68" i="67"/>
  <c r="AI27" i="62"/>
  <c r="AI51" i="62"/>
  <c r="X35" i="60"/>
  <c r="AI34" i="66"/>
  <c r="AD45" i="58"/>
  <c r="AI51" i="67"/>
  <c r="R39" i="43" a="1"/>
  <c r="R39" i="43" s="1"/>
  <c r="T39" i="43" s="1"/>
  <c r="AI51" i="66"/>
  <c r="AK27" i="67"/>
  <c r="AI34" i="67"/>
  <c r="AI68" i="62"/>
  <c r="AK61" i="66"/>
  <c r="Y27" i="67"/>
  <c r="AK44" i="62"/>
  <c r="W51" i="67"/>
  <c r="AD14" i="58"/>
  <c r="AK44" i="66"/>
  <c r="W34" i="62"/>
  <c r="R40" i="43" a="1"/>
  <c r="R40" i="43" s="1"/>
  <c r="T40" i="43" s="1"/>
  <c r="Y44" i="62"/>
  <c r="AI68" i="67"/>
  <c r="AK61" i="67"/>
  <c r="N120" i="55"/>
  <c r="H120" i="55"/>
  <c r="R37" i="43" a="1"/>
  <c r="R37" i="43" s="1"/>
  <c r="T37" i="43" s="1"/>
  <c r="X29" i="35"/>
  <c r="AK44" i="67"/>
  <c r="AI34" i="62"/>
  <c r="AD52" i="58"/>
  <c r="AK61" i="62"/>
  <c r="AK27" i="66"/>
  <c r="Y44" i="66"/>
  <c r="R38" i="43" a="1"/>
  <c r="R38" i="43" s="1"/>
  <c r="T38" i="43" s="1"/>
  <c r="X29" i="60"/>
  <c r="W103" i="66"/>
  <c r="W10" i="66"/>
  <c r="AM86" i="62"/>
  <c r="W10" i="35"/>
  <c r="X63" i="66"/>
  <c r="AA100" i="57"/>
  <c r="AL10" i="65"/>
  <c r="W52" i="66"/>
  <c r="X29" i="66"/>
  <c r="X8" i="66"/>
  <c r="X86" i="66" s="1"/>
  <c r="AM28" i="64"/>
  <c r="AL80" i="67"/>
  <c r="AL80" i="66"/>
  <c r="W10" i="60"/>
  <c r="V14" i="67"/>
  <c r="V16" i="67" s="1"/>
  <c r="AJ14" i="67"/>
  <c r="AJ16" i="67" s="1"/>
  <c r="AA83" i="57"/>
  <c r="AM35" i="66"/>
  <c r="AM10" i="66"/>
  <c r="AL29" i="61"/>
  <c r="D119" i="55"/>
  <c r="AN45" i="61"/>
  <c r="AN45" i="65"/>
  <c r="AB46" i="57"/>
  <c r="AN45" i="64"/>
  <c r="AC89" i="58"/>
  <c r="AC83" i="58"/>
  <c r="AJ29" i="62"/>
  <c r="AJ14" i="66"/>
  <c r="AJ16" i="66" s="1"/>
  <c r="W35" i="67"/>
  <c r="W103" i="67"/>
  <c r="W10" i="67"/>
  <c r="W69" i="66"/>
  <c r="W86" i="66"/>
  <c r="AL29" i="67"/>
  <c r="AL8" i="67"/>
  <c r="AL86" i="67" s="1"/>
  <c r="AM80" i="65"/>
  <c r="AL63" i="62"/>
  <c r="X46" i="66"/>
  <c r="AK78" i="66"/>
  <c r="L33" i="43" a="1"/>
  <c r="L33" i="43" s="1"/>
  <c r="N33" i="43" s="1"/>
  <c r="W85" i="67"/>
  <c r="R120" i="55"/>
  <c r="AI85" i="66"/>
  <c r="L36" i="43" a="1"/>
  <c r="L36" i="43" s="1"/>
  <c r="N36" i="43" s="1"/>
  <c r="Y78" i="67"/>
  <c r="L34" i="43" a="1"/>
  <c r="L34" i="43" s="1"/>
  <c r="N34" i="43" s="1"/>
  <c r="AI85" i="62"/>
  <c r="X55" i="60"/>
  <c r="AD88" i="58"/>
  <c r="X49" i="35"/>
  <c r="Y78" i="62"/>
  <c r="X49" i="60"/>
  <c r="X55" i="35"/>
  <c r="W85" i="62"/>
  <c r="AK78" i="62"/>
  <c r="L35" i="43" a="1"/>
  <c r="L35" i="43" s="1"/>
  <c r="N35" i="43" s="1"/>
  <c r="AK78" i="67"/>
  <c r="AI85" i="67"/>
  <c r="W85" i="66"/>
  <c r="AD81" i="58"/>
  <c r="Y78" i="66"/>
  <c r="P120" i="55"/>
  <c r="AM80" i="61"/>
  <c r="AM10" i="67"/>
  <c r="AC16" i="58"/>
  <c r="AC18" i="58"/>
  <c r="AL52" i="66"/>
  <c r="AL46" i="66"/>
  <c r="AL63" i="66"/>
  <c r="AL29" i="65"/>
  <c r="X63" i="67"/>
  <c r="AB54" i="58"/>
  <c r="AB30" i="58"/>
  <c r="AB72" i="58"/>
  <c r="AB36" i="58"/>
  <c r="X80" i="67"/>
  <c r="X29" i="67"/>
  <c r="X8" i="67"/>
  <c r="X69" i="67" s="1"/>
  <c r="X63" i="62"/>
  <c r="AN79" i="65"/>
  <c r="AB82" i="57"/>
  <c r="AN79" i="61"/>
  <c r="AN79" i="64"/>
  <c r="AQ79" i="64" s="1"/>
  <c r="AQ80" i="64" s="1"/>
  <c r="AB99" i="57"/>
  <c r="X80" i="62"/>
  <c r="AL46" i="62"/>
  <c r="W16" i="35"/>
  <c r="AC28" i="58"/>
  <c r="AC53" i="58"/>
  <c r="AC47" i="58"/>
  <c r="AA29" i="57"/>
  <c r="AA47" i="57"/>
  <c r="V8" i="62"/>
  <c r="V35" i="62" s="1"/>
  <c r="V29" i="62"/>
  <c r="W16" i="60"/>
  <c r="AM9" i="64"/>
  <c r="AM9" i="61"/>
  <c r="AA9" i="57"/>
  <c r="AM9" i="65"/>
  <c r="Z30" i="57"/>
  <c r="AL46" i="67"/>
  <c r="AL63" i="67"/>
  <c r="AM46" i="61"/>
  <c r="AM28" i="61"/>
  <c r="U103" i="62"/>
  <c r="U10" i="62"/>
  <c r="U52" i="62"/>
  <c r="U69" i="62"/>
  <c r="U86" i="62"/>
  <c r="AL35" i="67" l="1"/>
  <c r="X35" i="66"/>
  <c r="AL86" i="62"/>
  <c r="X69" i="66"/>
  <c r="X52" i="66"/>
  <c r="AL86" i="66"/>
  <c r="X16" i="60"/>
  <c r="AI14" i="62"/>
  <c r="AI16" i="62" s="1"/>
  <c r="AD89" i="58"/>
  <c r="AD83" i="58"/>
  <c r="Y46" i="67"/>
  <c r="AA10" i="57"/>
  <c r="AB83" i="57"/>
  <c r="Y80" i="67"/>
  <c r="Y46" i="66"/>
  <c r="W14" i="62"/>
  <c r="AI14" i="66"/>
  <c r="AI16" i="66" s="1"/>
  <c r="Y63" i="66"/>
  <c r="AK63" i="62"/>
  <c r="W29" i="62"/>
  <c r="W8" i="62"/>
  <c r="W35" i="62" s="1"/>
  <c r="AK8" i="66"/>
  <c r="AK52" i="66" s="1"/>
  <c r="AK29" i="66"/>
  <c r="AN80" i="65"/>
  <c r="AQ79" i="65"/>
  <c r="AQ80" i="65" s="1"/>
  <c r="AK46" i="66"/>
  <c r="W14" i="67"/>
  <c r="AK80" i="67"/>
  <c r="AD18" i="58"/>
  <c r="AD16" i="58"/>
  <c r="AQ16" i="58" s="1"/>
  <c r="AM29" i="61"/>
  <c r="AD35" i="58"/>
  <c r="AI29" i="62"/>
  <c r="AK46" i="62"/>
  <c r="AH85" i="62"/>
  <c r="AJ78" i="62"/>
  <c r="AH85" i="66"/>
  <c r="X85" i="66"/>
  <c r="P121" i="55"/>
  <c r="AD82" i="57" s="1"/>
  <c r="AD85" i="57" s="1"/>
  <c r="AD86" i="57" s="1"/>
  <c r="Y55" i="35"/>
  <c r="Z78" i="66"/>
  <c r="AE88" i="58"/>
  <c r="AE81" i="58"/>
  <c r="Y55" i="60"/>
  <c r="L31" i="43" a="1"/>
  <c r="L31" i="43" s="1"/>
  <c r="N31" i="43" s="1"/>
  <c r="L30" i="43" a="1"/>
  <c r="L30" i="43" s="1"/>
  <c r="N30" i="43" s="1"/>
  <c r="Y49" i="60"/>
  <c r="X85" i="62"/>
  <c r="R121" i="55"/>
  <c r="AJ78" i="66"/>
  <c r="X85" i="67"/>
  <c r="Y49" i="35"/>
  <c r="Z78" i="62"/>
  <c r="AH85" i="67"/>
  <c r="Z78" i="67"/>
  <c r="L32" i="43" a="1"/>
  <c r="L32" i="43" s="1"/>
  <c r="N32" i="43" s="1"/>
  <c r="L29" i="43" a="1"/>
  <c r="L29" i="43" s="1"/>
  <c r="N29" i="43" s="1"/>
  <c r="AJ78" i="67"/>
  <c r="AL52" i="67"/>
  <c r="AL10" i="67"/>
  <c r="Y35" i="35"/>
  <c r="AH51" i="66"/>
  <c r="AH68" i="66"/>
  <c r="AJ27" i="66"/>
  <c r="AJ61" i="67"/>
  <c r="X34" i="67"/>
  <c r="AE45" i="58"/>
  <c r="X51" i="67"/>
  <c r="AJ61" i="66"/>
  <c r="AH34" i="67"/>
  <c r="Z44" i="62"/>
  <c r="AH34" i="62"/>
  <c r="X68" i="62"/>
  <c r="AJ44" i="67"/>
  <c r="AE14" i="58"/>
  <c r="AJ27" i="67"/>
  <c r="Z27" i="67"/>
  <c r="R35" i="43" a="1"/>
  <c r="R35" i="43" s="1"/>
  <c r="T35" i="43" s="1"/>
  <c r="R36" i="43" a="1"/>
  <c r="R36" i="43" s="1"/>
  <c r="T36" i="43" s="1"/>
  <c r="N121" i="55"/>
  <c r="X68" i="67"/>
  <c r="J121" i="55"/>
  <c r="AH27" i="62"/>
  <c r="Y29" i="35"/>
  <c r="X51" i="66"/>
  <c r="X51" i="62"/>
  <c r="Z61" i="62"/>
  <c r="AJ44" i="62"/>
  <c r="R34" i="43" a="1"/>
  <c r="R34" i="43" s="1"/>
  <c r="T34" i="43" s="1"/>
  <c r="AJ61" i="62"/>
  <c r="AE52" i="58"/>
  <c r="AE35" i="58" s="1"/>
  <c r="X27" i="62"/>
  <c r="Z27" i="66"/>
  <c r="AH34" i="66"/>
  <c r="Z61" i="66"/>
  <c r="Z61" i="67"/>
  <c r="AH51" i="62"/>
  <c r="X34" i="66"/>
  <c r="X68" i="66"/>
  <c r="AH68" i="67"/>
  <c r="R33" i="43" a="1"/>
  <c r="R33" i="43" s="1"/>
  <c r="T33" i="43" s="1"/>
  <c r="AH51" i="67"/>
  <c r="X34" i="62"/>
  <c r="X14" i="62" s="1"/>
  <c r="X16" i="62" s="1"/>
  <c r="AH68" i="62"/>
  <c r="AJ44" i="66"/>
  <c r="Z44" i="66"/>
  <c r="AE8" i="58"/>
  <c r="Z44" i="67"/>
  <c r="Y29" i="60"/>
  <c r="H121" i="55"/>
  <c r="Y35" i="60"/>
  <c r="Y16" i="60" s="1"/>
  <c r="AL52" i="62"/>
  <c r="AK80" i="66"/>
  <c r="X10" i="35"/>
  <c r="AK63" i="66"/>
  <c r="AK69" i="66"/>
  <c r="X16" i="35"/>
  <c r="Y29" i="66"/>
  <c r="Y8" i="66"/>
  <c r="Y52" i="66" s="1"/>
  <c r="AC54" i="58"/>
  <c r="AC36" i="58"/>
  <c r="AC30" i="58"/>
  <c r="AC72" i="58"/>
  <c r="AD106" i="58"/>
  <c r="AD71" i="58"/>
  <c r="AD10" i="58"/>
  <c r="AK80" i="62"/>
  <c r="AK8" i="62"/>
  <c r="AK86" i="62" s="1"/>
  <c r="AK46" i="67"/>
  <c r="V10" i="62"/>
  <c r="V103" i="62"/>
  <c r="V52" i="62"/>
  <c r="V69" i="62"/>
  <c r="V86" i="62"/>
  <c r="AN28" i="64"/>
  <c r="AQ45" i="64"/>
  <c r="Y63" i="62"/>
  <c r="AN15" i="61"/>
  <c r="AB15" i="57"/>
  <c r="AN15" i="65"/>
  <c r="AN15" i="64"/>
  <c r="V16" i="66"/>
  <c r="Y63" i="67"/>
  <c r="Y8" i="67"/>
  <c r="Y69" i="67" s="1"/>
  <c r="Y29" i="67"/>
  <c r="AL69" i="67"/>
  <c r="X35" i="67"/>
  <c r="X10" i="67"/>
  <c r="X103" i="67"/>
  <c r="Y80" i="62"/>
  <c r="AB29" i="57"/>
  <c r="AB47" i="57"/>
  <c r="X10" i="66"/>
  <c r="X103" i="66"/>
  <c r="AC46" i="57"/>
  <c r="D120" i="55"/>
  <c r="AC9" i="57" s="1"/>
  <c r="AI14" i="67"/>
  <c r="AI16" i="67" s="1"/>
  <c r="AM29" i="65"/>
  <c r="AN80" i="61"/>
  <c r="AQ79" i="61"/>
  <c r="AQ80" i="61" s="1"/>
  <c r="AM10" i="61"/>
  <c r="AK29" i="67"/>
  <c r="AK8" i="67"/>
  <c r="AK86" i="67" s="1"/>
  <c r="AL10" i="66"/>
  <c r="AN46" i="61"/>
  <c r="AN28" i="61"/>
  <c r="AQ45" i="61"/>
  <c r="AQ46" i="61" s="1"/>
  <c r="AK63" i="67"/>
  <c r="F120" i="55"/>
  <c r="AC15" i="57" s="1"/>
  <c r="AA30" i="57"/>
  <c r="AB100" i="57"/>
  <c r="X86" i="67"/>
  <c r="AC82" i="57"/>
  <c r="AC99" i="57"/>
  <c r="AN9" i="64"/>
  <c r="AQ9" i="64" s="1"/>
  <c r="AQ10" i="64" s="1"/>
  <c r="AB9" i="57"/>
  <c r="AN9" i="61"/>
  <c r="AN9" i="65"/>
  <c r="W14" i="66"/>
  <c r="W16" i="66" s="1"/>
  <c r="AN46" i="65"/>
  <c r="AN28" i="65"/>
  <c r="AQ45" i="65"/>
  <c r="AQ46" i="65" s="1"/>
  <c r="AL69" i="66"/>
  <c r="Y80" i="66"/>
  <c r="X10" i="60"/>
  <c r="Y46" i="62"/>
  <c r="X52" i="67"/>
  <c r="AM10" i="65"/>
  <c r="AD53" i="58"/>
  <c r="AD47" i="58"/>
  <c r="AD28" i="58"/>
  <c r="AD54" i="58" s="1"/>
  <c r="AL10" i="62"/>
  <c r="AL35" i="62"/>
  <c r="AH14" i="67" l="1"/>
  <c r="AH16" i="67" s="1"/>
  <c r="Y86" i="66"/>
  <c r="AK86" i="66"/>
  <c r="Y35" i="66"/>
  <c r="Y35" i="67"/>
  <c r="AK35" i="66"/>
  <c r="Y69" i="66"/>
  <c r="Y16" i="35"/>
  <c r="AK69" i="62"/>
  <c r="Z46" i="66"/>
  <c r="X29" i="62"/>
  <c r="X8" i="62"/>
  <c r="X35" i="62" s="1"/>
  <c r="AJ8" i="66"/>
  <c r="AJ35" i="66" s="1"/>
  <c r="AJ29" i="66"/>
  <c r="Z8" i="67"/>
  <c r="Z86" i="67" s="1"/>
  <c r="Z29" i="67"/>
  <c r="AJ80" i="62"/>
  <c r="AJ8" i="62"/>
  <c r="AJ86" i="62" s="1"/>
  <c r="AN29" i="65"/>
  <c r="AQ28" i="65"/>
  <c r="AQ29" i="65" s="1"/>
  <c r="AK52" i="67"/>
  <c r="Z63" i="62"/>
  <c r="AK52" i="62"/>
  <c r="AC10" i="57"/>
  <c r="AN16" i="65"/>
  <c r="AQ15" i="65"/>
  <c r="AQ16" i="65" s="1"/>
  <c r="AJ46" i="67"/>
  <c r="AN10" i="65"/>
  <c r="AQ9" i="65"/>
  <c r="AQ10" i="65" s="1"/>
  <c r="Z46" i="62"/>
  <c r="AP16" i="58"/>
  <c r="W16" i="62"/>
  <c r="AJ46" i="62"/>
  <c r="AJ52" i="62"/>
  <c r="AN10" i="61"/>
  <c r="AK69" i="67"/>
  <c r="Y52" i="67"/>
  <c r="Y103" i="67"/>
  <c r="Y10" i="67"/>
  <c r="X14" i="66"/>
  <c r="X16" i="66" s="1"/>
  <c r="Y10" i="35"/>
  <c r="AJ80" i="67"/>
  <c r="AK10" i="66"/>
  <c r="AJ8" i="67"/>
  <c r="AJ35" i="67" s="1"/>
  <c r="AJ29" i="67"/>
  <c r="AC16" i="57"/>
  <c r="AR15" i="57"/>
  <c r="AR16" i="57" s="1"/>
  <c r="AP15" i="57"/>
  <c r="AB10" i="57"/>
  <c r="AB30" i="57"/>
  <c r="AQ28" i="64"/>
  <c r="AH29" i="62"/>
  <c r="AJ63" i="66"/>
  <c r="AE83" i="58"/>
  <c r="AE89" i="58"/>
  <c r="AO15" i="57"/>
  <c r="AQ15" i="57"/>
  <c r="AQ16" i="57" s="1"/>
  <c r="AB16" i="57"/>
  <c r="AJ63" i="62"/>
  <c r="AD46" i="57"/>
  <c r="D121" i="55"/>
  <c r="AD9" i="57" s="1"/>
  <c r="AN16" i="64"/>
  <c r="AQ15" i="64"/>
  <c r="AQ16" i="64" s="1"/>
  <c r="AC47" i="57"/>
  <c r="AC29" i="57"/>
  <c r="AF88" i="58"/>
  <c r="P122" i="55"/>
  <c r="AE82" i="57" s="1"/>
  <c r="AE85" i="57" s="1"/>
  <c r="AE86" i="57" s="1"/>
  <c r="AI78" i="62"/>
  <c r="AA78" i="67"/>
  <c r="Y85" i="62"/>
  <c r="Y85" i="66"/>
  <c r="Z55" i="60"/>
  <c r="AG85" i="66"/>
  <c r="AG85" i="67"/>
  <c r="L26" i="43" a="1"/>
  <c r="L26" i="43" s="1"/>
  <c r="N26" i="43" s="1"/>
  <c r="AG85" i="62"/>
  <c r="Z55" i="35"/>
  <c r="AI78" i="67"/>
  <c r="L28" i="43" a="1"/>
  <c r="L28" i="43" s="1"/>
  <c r="N28" i="43" s="1"/>
  <c r="Z49" i="35"/>
  <c r="Y85" i="67"/>
  <c r="AA78" i="62"/>
  <c r="AF81" i="58"/>
  <c r="L25" i="43" a="1"/>
  <c r="L25" i="43" s="1"/>
  <c r="N25" i="43" s="1"/>
  <c r="Z49" i="60"/>
  <c r="AI78" i="66"/>
  <c r="L27" i="43" a="1"/>
  <c r="L27" i="43" s="1"/>
  <c r="N27" i="43" s="1"/>
  <c r="R122" i="55"/>
  <c r="AA78" i="66"/>
  <c r="AJ80" i="66"/>
  <c r="AN16" i="61"/>
  <c r="AQ15" i="61"/>
  <c r="AQ16" i="61" s="1"/>
  <c r="AK10" i="62"/>
  <c r="AK35" i="62"/>
  <c r="Z63" i="67"/>
  <c r="F121" i="55"/>
  <c r="AC100" i="57"/>
  <c r="AP100" i="57" s="1"/>
  <c r="AP99" i="57"/>
  <c r="AO99" i="57"/>
  <c r="Y103" i="66"/>
  <c r="Y10" i="66"/>
  <c r="Y10" i="60"/>
  <c r="Z63" i="66"/>
  <c r="AE53" i="58"/>
  <c r="AE28" i="58"/>
  <c r="AE54" i="58" s="1"/>
  <c r="AE47" i="58"/>
  <c r="Z80" i="67"/>
  <c r="Z80" i="66"/>
  <c r="W10" i="62"/>
  <c r="W103" i="62"/>
  <c r="W69" i="62"/>
  <c r="W86" i="62"/>
  <c r="W52" i="62"/>
  <c r="AQ9" i="61"/>
  <c r="AQ10" i="61" s="1"/>
  <c r="AJ46" i="66"/>
  <c r="AA27" i="66"/>
  <c r="Y34" i="67"/>
  <c r="R29" i="43" a="1"/>
  <c r="R29" i="43" s="1"/>
  <c r="T29" i="43" s="1"/>
  <c r="R31" i="43" a="1"/>
  <c r="R31" i="43" s="1"/>
  <c r="T31" i="43" s="1"/>
  <c r="Z35" i="35"/>
  <c r="AG51" i="62"/>
  <c r="AG68" i="66"/>
  <c r="AF14" i="58"/>
  <c r="AA44" i="66"/>
  <c r="J122" i="55"/>
  <c r="AI27" i="66"/>
  <c r="AA44" i="67"/>
  <c r="AG34" i="66"/>
  <c r="Z29" i="35"/>
  <c r="Z29" i="60"/>
  <c r="Y68" i="62"/>
  <c r="AG27" i="62"/>
  <c r="AG51" i="66"/>
  <c r="AA61" i="66"/>
  <c r="AI61" i="66"/>
  <c r="AG51" i="67"/>
  <c r="Y51" i="66"/>
  <c r="AF8" i="58"/>
  <c r="AA61" i="67"/>
  <c r="Y27" i="62"/>
  <c r="AI61" i="67"/>
  <c r="H122" i="55"/>
  <c r="Y51" i="67"/>
  <c r="AF52" i="58"/>
  <c r="AF35" i="58" s="1"/>
  <c r="AG68" i="67"/>
  <c r="Y68" i="66"/>
  <c r="Y34" i="66"/>
  <c r="AG34" i="67"/>
  <c r="Y51" i="62"/>
  <c r="AG34" i="62"/>
  <c r="AG14" i="62" s="1"/>
  <c r="AG16" i="62" s="1"/>
  <c r="AI44" i="67"/>
  <c r="R30" i="43" a="1"/>
  <c r="R30" i="43" s="1"/>
  <c r="T30" i="43" s="1"/>
  <c r="AA27" i="67"/>
  <c r="N122" i="55"/>
  <c r="Y34" i="62"/>
  <c r="AI61" i="62"/>
  <c r="Y68" i="67"/>
  <c r="AF45" i="58"/>
  <c r="R32" i="43" a="1"/>
  <c r="R32" i="43" s="1"/>
  <c r="T32" i="43" s="1"/>
  <c r="Z35" i="60"/>
  <c r="AG68" i="62"/>
  <c r="AI27" i="67"/>
  <c r="AI44" i="62"/>
  <c r="AA44" i="62"/>
  <c r="AA61" i="62"/>
  <c r="AI44" i="66"/>
  <c r="AE16" i="58"/>
  <c r="AE18" i="58"/>
  <c r="AK35" i="67"/>
  <c r="AK10" i="67"/>
  <c r="AH14" i="62"/>
  <c r="AH16" i="62" s="1"/>
  <c r="AD36" i="58"/>
  <c r="AD30" i="58"/>
  <c r="AD72" i="58"/>
  <c r="AC83" i="57"/>
  <c r="AN29" i="61"/>
  <c r="AQ28" i="61"/>
  <c r="AQ29" i="61" s="1"/>
  <c r="Z46" i="67"/>
  <c r="AH14" i="66"/>
  <c r="AH16" i="66" s="1"/>
  <c r="X14" i="67"/>
  <c r="X16" i="67" s="1"/>
  <c r="W16" i="67"/>
  <c r="Y86" i="67"/>
  <c r="AE10" i="58"/>
  <c r="AE71" i="58"/>
  <c r="Z29" i="66"/>
  <c r="Z8" i="66"/>
  <c r="Z52" i="66" s="1"/>
  <c r="AJ63" i="67"/>
  <c r="Z80" i="62"/>
  <c r="Z35" i="66" l="1"/>
  <c r="AJ86" i="66"/>
  <c r="AG14" i="67"/>
  <c r="AG16" i="67" s="1"/>
  <c r="Z69" i="67"/>
  <c r="Z52" i="67"/>
  <c r="Y14" i="67"/>
  <c r="Y16" i="67" s="1"/>
  <c r="Y14" i="62"/>
  <c r="Y16" i="62" s="1"/>
  <c r="Z86" i="66"/>
  <c r="AJ69" i="67"/>
  <c r="Z16" i="35"/>
  <c r="Z69" i="66"/>
  <c r="AO100" i="57"/>
  <c r="Y14" i="66"/>
  <c r="Y16" i="66" s="1"/>
  <c r="AP16" i="57"/>
  <c r="AI80" i="66"/>
  <c r="AA46" i="67"/>
  <c r="AA80" i="62"/>
  <c r="AA8" i="67"/>
  <c r="AA52" i="67" s="1"/>
  <c r="AA29" i="67"/>
  <c r="AA63" i="67"/>
  <c r="F122" i="55"/>
  <c r="AJ69" i="62"/>
  <c r="AJ10" i="62"/>
  <c r="AJ35" i="62"/>
  <c r="X10" i="62"/>
  <c r="X103" i="62"/>
  <c r="X52" i="62"/>
  <c r="X86" i="62"/>
  <c r="X69" i="62"/>
  <c r="AI80" i="67"/>
  <c r="AA46" i="62"/>
  <c r="AE30" i="58"/>
  <c r="AE72" i="58"/>
  <c r="AE36" i="58"/>
  <c r="AC30" i="57"/>
  <c r="AI46" i="62"/>
  <c r="AI63" i="66"/>
  <c r="AJ69" i="66"/>
  <c r="AI29" i="67"/>
  <c r="AI8" i="67"/>
  <c r="AI86" i="67" s="1"/>
  <c r="Z103" i="66"/>
  <c r="Z10" i="66"/>
  <c r="Z16" i="60"/>
  <c r="AG29" i="62"/>
  <c r="AD12" i="57"/>
  <c r="AD13" i="57" s="1"/>
  <c r="AD10" i="57"/>
  <c r="Z35" i="67"/>
  <c r="Z10" i="67"/>
  <c r="Z103" i="67"/>
  <c r="AI46" i="66"/>
  <c r="AF85" i="62"/>
  <c r="P123" i="55"/>
  <c r="AF82" i="57" s="1"/>
  <c r="L21" i="43" a="1"/>
  <c r="L21" i="43" s="1"/>
  <c r="N21" i="43" s="1"/>
  <c r="Z85" i="62"/>
  <c r="AB78" i="67"/>
  <c r="AH78" i="62"/>
  <c r="AA55" i="60"/>
  <c r="AF85" i="66"/>
  <c r="AH78" i="67"/>
  <c r="AG88" i="58"/>
  <c r="AB78" i="62"/>
  <c r="AA49" i="35"/>
  <c r="L23" i="43" a="1"/>
  <c r="L23" i="43" s="1"/>
  <c r="N23" i="43" s="1"/>
  <c r="AA55" i="35"/>
  <c r="R123" i="55"/>
  <c r="AA49" i="60"/>
  <c r="L24" i="43" a="1"/>
  <c r="L24" i="43" s="1"/>
  <c r="N24" i="43" s="1"/>
  <c r="AG81" i="58"/>
  <c r="AB78" i="66"/>
  <c r="Z85" i="66"/>
  <c r="AF85" i="67"/>
  <c r="L22" i="43" a="1"/>
  <c r="L22" i="43" s="1"/>
  <c r="N22" i="43" s="1"/>
  <c r="AH78" i="66"/>
  <c r="Z85" i="67"/>
  <c r="AA63" i="66"/>
  <c r="AD29" i="57"/>
  <c r="AD47" i="57"/>
  <c r="AJ10" i="67"/>
  <c r="AI46" i="67"/>
  <c r="AF28" i="58"/>
  <c r="AF53" i="58"/>
  <c r="AF47" i="58"/>
  <c r="Z10" i="60"/>
  <c r="AA29" i="66"/>
  <c r="AA8" i="66"/>
  <c r="AA52" i="66" s="1"/>
  <c r="Z10" i="35"/>
  <c r="AF18" i="58"/>
  <c r="AF16" i="58"/>
  <c r="AF51" i="67"/>
  <c r="H123" i="55"/>
  <c r="AH61" i="67"/>
  <c r="AB44" i="66"/>
  <c r="Z34" i="66"/>
  <c r="R27" i="43" a="1"/>
  <c r="R27" i="43" s="1"/>
  <c r="T27" i="43" s="1"/>
  <c r="R26" i="43" a="1"/>
  <c r="R26" i="43" s="1"/>
  <c r="T26" i="43" s="1"/>
  <c r="AB27" i="67"/>
  <c r="Z51" i="62"/>
  <c r="J123" i="55"/>
  <c r="Z34" i="62"/>
  <c r="R28" i="43" a="1"/>
  <c r="R28" i="43" s="1"/>
  <c r="T28" i="43" s="1"/>
  <c r="AH61" i="66"/>
  <c r="Z27" i="62"/>
  <c r="AB44" i="62"/>
  <c r="AF34" i="66"/>
  <c r="N123" i="55"/>
  <c r="AF34" i="62"/>
  <c r="R25" i="43" a="1"/>
  <c r="R25" i="43" s="1"/>
  <c r="T25" i="43" s="1"/>
  <c r="AB27" i="66"/>
  <c r="Z68" i="67"/>
  <c r="AH44" i="62"/>
  <c r="AB44" i="67"/>
  <c r="AF68" i="66"/>
  <c r="Z68" i="62"/>
  <c r="AF51" i="62"/>
  <c r="AH61" i="62"/>
  <c r="AF51" i="66"/>
  <c r="AH44" i="67"/>
  <c r="AB61" i="62"/>
  <c r="AF27" i="62"/>
  <c r="AG45" i="58"/>
  <c r="AH27" i="67"/>
  <c r="AB61" i="67"/>
  <c r="Z51" i="67"/>
  <c r="Z34" i="67"/>
  <c r="Z51" i="66"/>
  <c r="AH27" i="66"/>
  <c r="AG8" i="58"/>
  <c r="AG52" i="58"/>
  <c r="AF34" i="67"/>
  <c r="AF68" i="62"/>
  <c r="AF68" i="67"/>
  <c r="AA35" i="35"/>
  <c r="AA29" i="35"/>
  <c r="AG14" i="58"/>
  <c r="Z68" i="66"/>
  <c r="AH44" i="66"/>
  <c r="AA29" i="60"/>
  <c r="AA35" i="60"/>
  <c r="AB61" i="66"/>
  <c r="AI63" i="62"/>
  <c r="AE46" i="57"/>
  <c r="D122" i="55"/>
  <c r="AE9" i="57" s="1"/>
  <c r="AG14" i="66"/>
  <c r="AG16" i="66" s="1"/>
  <c r="AJ52" i="66"/>
  <c r="AF83" i="58"/>
  <c r="AF89" i="58"/>
  <c r="AA80" i="67"/>
  <c r="AO16" i="57"/>
  <c r="AJ52" i="67"/>
  <c r="AF71" i="58"/>
  <c r="AF10" i="58"/>
  <c r="AA80" i="66"/>
  <c r="AA46" i="66"/>
  <c r="AA63" i="62"/>
  <c r="AI63" i="67"/>
  <c r="AI80" i="62"/>
  <c r="AI8" i="62"/>
  <c r="AI52" i="62" s="1"/>
  <c r="AJ86" i="67"/>
  <c r="AJ10" i="66"/>
  <c r="Y8" i="62"/>
  <c r="Y35" i="62" s="1"/>
  <c r="Y29" i="62"/>
  <c r="AI29" i="66"/>
  <c r="AI8" i="66"/>
  <c r="AI35" i="66" s="1"/>
  <c r="AI69" i="67" l="1"/>
  <c r="AI52" i="67"/>
  <c r="AA86" i="67"/>
  <c r="AA35" i="67"/>
  <c r="AA69" i="67"/>
  <c r="F123" i="55"/>
  <c r="AI86" i="66"/>
  <c r="AI52" i="66"/>
  <c r="AI69" i="66"/>
  <c r="AF14" i="67"/>
  <c r="AF16" i="67" s="1"/>
  <c r="AA69" i="66"/>
  <c r="AI69" i="62"/>
  <c r="AA35" i="66"/>
  <c r="AG10" i="58"/>
  <c r="AG71" i="58"/>
  <c r="AB46" i="67"/>
  <c r="AA16" i="60"/>
  <c r="Z14" i="67"/>
  <c r="AH46" i="62"/>
  <c r="AB8" i="67"/>
  <c r="AB52" i="67" s="1"/>
  <c r="AB29" i="67"/>
  <c r="AH80" i="66"/>
  <c r="AH80" i="67"/>
  <c r="AH63" i="62"/>
  <c r="Y10" i="62"/>
  <c r="Y103" i="62"/>
  <c r="Y52" i="62"/>
  <c r="Y86" i="62"/>
  <c r="Y69" i="62"/>
  <c r="Z14" i="62"/>
  <c r="AB80" i="62"/>
  <c r="AA103" i="66"/>
  <c r="AA10" i="66"/>
  <c r="AG35" i="58"/>
  <c r="AC27" i="67"/>
  <c r="AE68" i="62"/>
  <c r="AA34" i="66"/>
  <c r="AE51" i="66"/>
  <c r="J124" i="55"/>
  <c r="AG61" i="67"/>
  <c r="AB29" i="35"/>
  <c r="AA34" i="62"/>
  <c r="AE68" i="66"/>
  <c r="AB35" i="35"/>
  <c r="AA51" i="67"/>
  <c r="AA51" i="66"/>
  <c r="AE34" i="67"/>
  <c r="R21" i="43" a="1"/>
  <c r="R21" i="43" s="1"/>
  <c r="T21" i="43" s="1"/>
  <c r="AE51" i="62"/>
  <c r="AE68" i="67"/>
  <c r="AE34" i="62"/>
  <c r="AB29" i="60"/>
  <c r="AC44" i="66"/>
  <c r="N124" i="55"/>
  <c r="AC44" i="62"/>
  <c r="AH45" i="58"/>
  <c r="AH14" i="58"/>
  <c r="AH52" i="58"/>
  <c r="AH35" i="58" s="1"/>
  <c r="AE27" i="62"/>
  <c r="AC44" i="67"/>
  <c r="AO44" i="67" s="1"/>
  <c r="AE34" i="66"/>
  <c r="AG27" i="67"/>
  <c r="AA68" i="62"/>
  <c r="AG44" i="66"/>
  <c r="AA68" i="67"/>
  <c r="AG27" i="66"/>
  <c r="AC61" i="62"/>
  <c r="AO61" i="62" s="1"/>
  <c r="AB35" i="60"/>
  <c r="R23" i="43" a="1"/>
  <c r="R23" i="43" s="1"/>
  <c r="T23" i="43" s="1"/>
  <c r="AA68" i="66"/>
  <c r="AC27" i="66"/>
  <c r="AO27" i="66" s="1"/>
  <c r="AC61" i="66"/>
  <c r="AO61" i="66" s="1"/>
  <c r="AC61" i="67"/>
  <c r="AG61" i="62"/>
  <c r="AE51" i="67"/>
  <c r="AA34" i="67"/>
  <c r="AG61" i="66"/>
  <c r="AA51" i="62"/>
  <c r="AG44" i="67"/>
  <c r="AA27" i="62"/>
  <c r="H124" i="55"/>
  <c r="R22" i="43" a="1"/>
  <c r="R22" i="43" s="1"/>
  <c r="T22" i="43" s="1"/>
  <c r="AH8" i="58"/>
  <c r="R24" i="43" a="1"/>
  <c r="R24" i="43" s="1"/>
  <c r="T24" i="43" s="1"/>
  <c r="AG44" i="62"/>
  <c r="AA10" i="60"/>
  <c r="AI10" i="62"/>
  <c r="AI35" i="62"/>
  <c r="AB63" i="67"/>
  <c r="AB8" i="66"/>
  <c r="AB52" i="66" s="1"/>
  <c r="AB29" i="66"/>
  <c r="AH8" i="67"/>
  <c r="AH86" i="67" s="1"/>
  <c r="AH29" i="67"/>
  <c r="AH80" i="62"/>
  <c r="AH8" i="62"/>
  <c r="AI10" i="67"/>
  <c r="AH8" i="66"/>
  <c r="AH86" i="66" s="1"/>
  <c r="AH29" i="66"/>
  <c r="AF14" i="62"/>
  <c r="AF16" i="62" s="1"/>
  <c r="AB46" i="66"/>
  <c r="AB80" i="66"/>
  <c r="AB80" i="67"/>
  <c r="AC78" i="66"/>
  <c r="L19" i="43" a="1"/>
  <c r="L19" i="43" s="1"/>
  <c r="N19" i="43" s="1"/>
  <c r="AB55" i="35"/>
  <c r="AA85" i="62"/>
  <c r="L18" i="43" a="1"/>
  <c r="L18" i="43" s="1"/>
  <c r="N18" i="43" s="1"/>
  <c r="AA85" i="66"/>
  <c r="AA85" i="67"/>
  <c r="AG78" i="66"/>
  <c r="AG78" i="62"/>
  <c r="AG78" i="67"/>
  <c r="AB55" i="60"/>
  <c r="R124" i="55"/>
  <c r="AC78" i="67"/>
  <c r="AH88" i="58"/>
  <c r="AE85" i="62"/>
  <c r="AH81" i="58"/>
  <c r="P124" i="55"/>
  <c r="AG82" i="57" s="1"/>
  <c r="AG85" i="57" s="1"/>
  <c r="AG86" i="57" s="1"/>
  <c r="AE85" i="67"/>
  <c r="L20" i="43" a="1"/>
  <c r="L20" i="43" s="1"/>
  <c r="N20" i="43" s="1"/>
  <c r="AC78" i="62"/>
  <c r="AB49" i="60"/>
  <c r="AB49" i="35"/>
  <c r="AE85" i="66"/>
  <c r="L17" i="43" a="1"/>
  <c r="L17" i="43" s="1"/>
  <c r="N17" i="43" s="1"/>
  <c r="AB63" i="66"/>
  <c r="AG18" i="58"/>
  <c r="AG16" i="58"/>
  <c r="AI86" i="62"/>
  <c r="AA10" i="35"/>
  <c r="AF29" i="62"/>
  <c r="AH63" i="67"/>
  <c r="AG89" i="58"/>
  <c r="AG83" i="58"/>
  <c r="AI35" i="67"/>
  <c r="AH63" i="66"/>
  <c r="AF72" i="58"/>
  <c r="AF36" i="58"/>
  <c r="AF30" i="58"/>
  <c r="AH46" i="66"/>
  <c r="Z14" i="66"/>
  <c r="AA86" i="66"/>
  <c r="AG28" i="58"/>
  <c r="AG54" i="58" s="1"/>
  <c r="AG53" i="58"/>
  <c r="AG47" i="58"/>
  <c r="AI10" i="66"/>
  <c r="AA16" i="35"/>
  <c r="AB63" i="62"/>
  <c r="AF14" i="66"/>
  <c r="AF16" i="66" s="1"/>
  <c r="AF46" i="57"/>
  <c r="D123" i="55"/>
  <c r="AF9" i="57" s="1"/>
  <c r="AA10" i="67"/>
  <c r="AA103" i="67"/>
  <c r="AE12" i="57"/>
  <c r="AE13" i="57" s="1"/>
  <c r="AE10" i="57"/>
  <c r="AH46" i="67"/>
  <c r="AF85" i="57"/>
  <c r="AF86" i="57" s="1"/>
  <c r="AB46" i="62"/>
  <c r="AE47" i="57"/>
  <c r="AE29" i="57"/>
  <c r="Z29" i="62"/>
  <c r="Z8" i="62"/>
  <c r="Z35" i="62" s="1"/>
  <c r="AF54" i="58"/>
  <c r="AD30" i="57"/>
  <c r="AH69" i="66" l="1"/>
  <c r="AB86" i="67"/>
  <c r="AH35" i="66"/>
  <c r="AB35" i="66"/>
  <c r="AB16" i="35"/>
  <c r="AB69" i="66"/>
  <c r="AH52" i="66"/>
  <c r="AA14" i="67"/>
  <c r="AA16" i="67" s="1"/>
  <c r="AH10" i="62"/>
  <c r="AH35" i="62"/>
  <c r="AG46" i="66"/>
  <c r="AG80" i="66"/>
  <c r="AE14" i="66"/>
  <c r="AE16" i="66" s="1"/>
  <c r="Z16" i="66"/>
  <c r="AG63" i="62"/>
  <c r="AC46" i="67"/>
  <c r="AP46" i="67" s="1"/>
  <c r="AP44" i="67"/>
  <c r="AB35" i="67"/>
  <c r="Z16" i="62"/>
  <c r="AG8" i="67"/>
  <c r="AG86" i="67" s="1"/>
  <c r="AG29" i="67"/>
  <c r="AE14" i="67"/>
  <c r="AE16" i="67" s="1"/>
  <c r="AH52" i="67"/>
  <c r="AC80" i="62"/>
  <c r="AP80" i="62" s="1"/>
  <c r="AP78" i="62"/>
  <c r="AC63" i="67"/>
  <c r="AP63" i="67" s="1"/>
  <c r="AP61" i="67"/>
  <c r="AE29" i="62"/>
  <c r="AB69" i="67"/>
  <c r="AB103" i="67"/>
  <c r="AB10" i="67"/>
  <c r="AH47" i="58"/>
  <c r="AH53" i="58"/>
  <c r="AH28" i="58"/>
  <c r="AA14" i="62"/>
  <c r="AA16" i="62" s="1"/>
  <c r="AH52" i="62"/>
  <c r="AG80" i="67"/>
  <c r="AF29" i="57"/>
  <c r="AF47" i="57"/>
  <c r="AH86" i="62"/>
  <c r="AH16" i="58"/>
  <c r="AH18" i="58"/>
  <c r="AC46" i="62"/>
  <c r="AP46" i="62" s="1"/>
  <c r="AP44" i="62"/>
  <c r="AB10" i="35"/>
  <c r="AH83" i="58"/>
  <c r="AH89" i="58"/>
  <c r="AB16" i="60"/>
  <c r="AG63" i="67"/>
  <c r="AO78" i="62"/>
  <c r="AH69" i="62"/>
  <c r="AG80" i="62"/>
  <c r="AG8" i="62"/>
  <c r="AG69" i="62" s="1"/>
  <c r="Z10" i="62"/>
  <c r="Z103" i="62"/>
  <c r="Z86" i="62"/>
  <c r="Z69" i="62"/>
  <c r="Z52" i="62"/>
  <c r="AD78" i="67"/>
  <c r="AC55" i="35"/>
  <c r="AB85" i="66"/>
  <c r="AI88" i="58"/>
  <c r="AC49" i="60"/>
  <c r="AD85" i="62"/>
  <c r="L16" i="43" a="1"/>
  <c r="L16" i="43" s="1"/>
  <c r="N16" i="43" s="1"/>
  <c r="AD78" i="62"/>
  <c r="AB85" i="67"/>
  <c r="L15" i="43" a="1"/>
  <c r="L15" i="43" s="1"/>
  <c r="N15" i="43" s="1"/>
  <c r="AF78" i="67"/>
  <c r="AD85" i="66"/>
  <c r="L13" i="43" a="1"/>
  <c r="L13" i="43" s="1"/>
  <c r="N13" i="43" s="1"/>
  <c r="AD85" i="67"/>
  <c r="L14" i="43" a="1"/>
  <c r="L14" i="43" s="1"/>
  <c r="N14" i="43" s="1"/>
  <c r="AF78" i="66"/>
  <c r="R125" i="55"/>
  <c r="AF78" i="62"/>
  <c r="AC49" i="35"/>
  <c r="AC55" i="60"/>
  <c r="P125" i="55"/>
  <c r="AH82" i="57" s="1"/>
  <c r="AB85" i="62"/>
  <c r="AD78" i="66"/>
  <c r="AI81" i="58"/>
  <c r="N125" i="55"/>
  <c r="AD51" i="67"/>
  <c r="AD34" i="67"/>
  <c r="AD51" i="66"/>
  <c r="H125" i="55"/>
  <c r="AB34" i="62"/>
  <c r="AD68" i="62"/>
  <c r="AF27" i="67"/>
  <c r="AC35" i="60"/>
  <c r="AD68" i="67"/>
  <c r="R18" i="43" a="1"/>
  <c r="R18" i="43" s="1"/>
  <c r="T18" i="43" s="1"/>
  <c r="AF44" i="66"/>
  <c r="AF61" i="67"/>
  <c r="AB34" i="66"/>
  <c r="AD34" i="62"/>
  <c r="R19" i="43" a="1"/>
  <c r="R19" i="43" s="1"/>
  <c r="T19" i="43" s="1"/>
  <c r="AD61" i="62"/>
  <c r="AD44" i="62"/>
  <c r="AB68" i="66"/>
  <c r="AD44" i="66"/>
  <c r="AF44" i="62"/>
  <c r="AB51" i="67"/>
  <c r="AF44" i="67"/>
  <c r="AD27" i="66"/>
  <c r="AI8" i="58"/>
  <c r="AD51" i="62"/>
  <c r="AF27" i="66"/>
  <c r="AD27" i="67"/>
  <c r="AD27" i="62"/>
  <c r="AB51" i="66"/>
  <c r="AI45" i="58"/>
  <c r="AC35" i="35"/>
  <c r="AI52" i="58"/>
  <c r="AI35" i="58" s="1"/>
  <c r="AB51" i="62"/>
  <c r="AB27" i="62"/>
  <c r="AD61" i="67"/>
  <c r="R20" i="43" a="1"/>
  <c r="R20" i="43" s="1"/>
  <c r="T20" i="43" s="1"/>
  <c r="AD44" i="67"/>
  <c r="AI14" i="58"/>
  <c r="AB34" i="67"/>
  <c r="AB68" i="62"/>
  <c r="R17" i="43" a="1"/>
  <c r="R17" i="43" s="1"/>
  <c r="T17" i="43" s="1"/>
  <c r="J125" i="55"/>
  <c r="AD34" i="66"/>
  <c r="AF61" i="66"/>
  <c r="AC29" i="60"/>
  <c r="AF61" i="62"/>
  <c r="AD61" i="66"/>
  <c r="AC29" i="35"/>
  <c r="AD68" i="66"/>
  <c r="AB68" i="67"/>
  <c r="AE30" i="57"/>
  <c r="AH10" i="66"/>
  <c r="D124" i="55"/>
  <c r="AG9" i="57" s="1"/>
  <c r="AG46" i="57"/>
  <c r="AC63" i="62"/>
  <c r="AP63" i="62" s="1"/>
  <c r="AP61" i="62"/>
  <c r="AC46" i="66"/>
  <c r="AP46" i="66" s="1"/>
  <c r="AP44" i="66"/>
  <c r="AO44" i="66"/>
  <c r="F124" i="55"/>
  <c r="Z16" i="67"/>
  <c r="AF10" i="57"/>
  <c r="AF12" i="57"/>
  <c r="AF13" i="57" s="1"/>
  <c r="AG63" i="66"/>
  <c r="AG46" i="62"/>
  <c r="AH71" i="58"/>
  <c r="AH10" i="58"/>
  <c r="AC80" i="67"/>
  <c r="AP80" i="67" s="1"/>
  <c r="AP78" i="67"/>
  <c r="AO78" i="67"/>
  <c r="AB86" i="66"/>
  <c r="AB10" i="66"/>
  <c r="AB103" i="66"/>
  <c r="AA29" i="62"/>
  <c r="AA8" i="62"/>
  <c r="AA35" i="62" s="1"/>
  <c r="AG29" i="66"/>
  <c r="AG8" i="66"/>
  <c r="AG35" i="66" s="1"/>
  <c r="AB10" i="60"/>
  <c r="AG72" i="58"/>
  <c r="AG30" i="58"/>
  <c r="AG36" i="58"/>
  <c r="AC8" i="67"/>
  <c r="AC35" i="67" s="1"/>
  <c r="AC29" i="67"/>
  <c r="AP29" i="67" s="1"/>
  <c r="AP27" i="67"/>
  <c r="AO27" i="67"/>
  <c r="AC63" i="66"/>
  <c r="AP63" i="66" s="1"/>
  <c r="AP61" i="66"/>
  <c r="AH35" i="67"/>
  <c r="AH10" i="67"/>
  <c r="AC29" i="66"/>
  <c r="AP29" i="66" s="1"/>
  <c r="AC8" i="66"/>
  <c r="AC52" i="66" s="1"/>
  <c r="AP27" i="66"/>
  <c r="AC80" i="66"/>
  <c r="AP80" i="66" s="1"/>
  <c r="AP78" i="66"/>
  <c r="AO78" i="66"/>
  <c r="AO44" i="62"/>
  <c r="AH69" i="67"/>
  <c r="AO61" i="67"/>
  <c r="AG46" i="67"/>
  <c r="AE14" i="62"/>
  <c r="AE16" i="62" s="1"/>
  <c r="AA14" i="66"/>
  <c r="AA16" i="66" s="1"/>
  <c r="AD14" i="66" l="1"/>
  <c r="AD16" i="66" s="1"/>
  <c r="P127" i="55"/>
  <c r="AJ82" i="57" s="1"/>
  <c r="AJ85" i="57" s="1"/>
  <c r="AJ86" i="57" s="1"/>
  <c r="R127" i="55"/>
  <c r="N127" i="55"/>
  <c r="H127" i="55"/>
  <c r="J127" i="55"/>
  <c r="AO46" i="62"/>
  <c r="AC16" i="35"/>
  <c r="AG52" i="62"/>
  <c r="AO29" i="66"/>
  <c r="AG86" i="62"/>
  <c r="AC69" i="67"/>
  <c r="AC16" i="60"/>
  <c r="AO8" i="66"/>
  <c r="AO69" i="66" s="1"/>
  <c r="AO80" i="62"/>
  <c r="AO8" i="67"/>
  <c r="AO103" i="67" s="1"/>
  <c r="AC35" i="66"/>
  <c r="AC86" i="66"/>
  <c r="AO80" i="67"/>
  <c r="AG10" i="62"/>
  <c r="AG35" i="62"/>
  <c r="AD46" i="67"/>
  <c r="AD29" i="66"/>
  <c r="AD8" i="66"/>
  <c r="AD35" i="66" s="1"/>
  <c r="AH54" i="58"/>
  <c r="AO63" i="66"/>
  <c r="AI83" i="58"/>
  <c r="AI89" i="58"/>
  <c r="AG69" i="66"/>
  <c r="AG10" i="66"/>
  <c r="AF8" i="67"/>
  <c r="AF52" i="67" s="1"/>
  <c r="AF29" i="67"/>
  <c r="AO46" i="67"/>
  <c r="AC10" i="35"/>
  <c r="AB8" i="62"/>
  <c r="AB35" i="62" s="1"/>
  <c r="AB29" i="62"/>
  <c r="AF46" i="62"/>
  <c r="AF30" i="57"/>
  <c r="AD8" i="67"/>
  <c r="AD52" i="67" s="1"/>
  <c r="AD29" i="67"/>
  <c r="AF8" i="66"/>
  <c r="AF69" i="66" s="1"/>
  <c r="AF29" i="66"/>
  <c r="AD80" i="62"/>
  <c r="AD63" i="67"/>
  <c r="AF80" i="62"/>
  <c r="AF8" i="62"/>
  <c r="AF86" i="62" s="1"/>
  <c r="AC69" i="66"/>
  <c r="AC103" i="66"/>
  <c r="AC10" i="66"/>
  <c r="AP10" i="66" s="1"/>
  <c r="AP8" i="66"/>
  <c r="AP103" i="66" s="1"/>
  <c r="AC86" i="67"/>
  <c r="AG52" i="67"/>
  <c r="AD63" i="66"/>
  <c r="AD46" i="66"/>
  <c r="AB14" i="62"/>
  <c r="AB16" i="62" s="1"/>
  <c r="AF80" i="66"/>
  <c r="AI16" i="58"/>
  <c r="AI18" i="58"/>
  <c r="AF63" i="62"/>
  <c r="AD80" i="67"/>
  <c r="AG86" i="66"/>
  <c r="AO63" i="62"/>
  <c r="AD80" i="66"/>
  <c r="AD86" i="66"/>
  <c r="AF46" i="66"/>
  <c r="AI10" i="58"/>
  <c r="AI71" i="58"/>
  <c r="AC10" i="60"/>
  <c r="AO29" i="67"/>
  <c r="AO46" i="66"/>
  <c r="AF63" i="67"/>
  <c r="AH72" i="58"/>
  <c r="AH30" i="58"/>
  <c r="AH36" i="58"/>
  <c r="AG35" i="67"/>
  <c r="AG10" i="67"/>
  <c r="AH85" i="57"/>
  <c r="AH86" i="57" s="1"/>
  <c r="AF46" i="67"/>
  <c r="AH46" i="57"/>
  <c r="D125" i="55"/>
  <c r="AH9" i="57" s="1"/>
  <c r="AC10" i="67"/>
  <c r="AP10" i="67" s="1"/>
  <c r="AC103" i="67"/>
  <c r="AP8" i="67"/>
  <c r="AP52" i="67" s="1"/>
  <c r="AA10" i="62"/>
  <c r="AA103" i="62"/>
  <c r="AA86" i="62"/>
  <c r="AA69" i="62"/>
  <c r="AA52" i="62"/>
  <c r="AG47" i="57"/>
  <c r="AG29" i="57"/>
  <c r="AD46" i="62"/>
  <c r="AG12" i="57"/>
  <c r="AG13" i="57" s="1"/>
  <c r="AG10" i="57"/>
  <c r="AF63" i="66"/>
  <c r="AI47" i="58"/>
  <c r="AI28" i="58"/>
  <c r="AI54" i="58" s="1"/>
  <c r="AI53" i="58"/>
  <c r="AD63" i="62"/>
  <c r="AD14" i="67"/>
  <c r="AD16" i="67" s="1"/>
  <c r="AG69" i="67"/>
  <c r="AO63" i="67"/>
  <c r="AB14" i="66"/>
  <c r="AB16" i="66" s="1"/>
  <c r="AB14" i="67"/>
  <c r="AJ81" i="58"/>
  <c r="L11" i="43" a="1"/>
  <c r="L11" i="43" s="1"/>
  <c r="N11" i="43" s="1"/>
  <c r="P126" i="55"/>
  <c r="AI82" i="57" s="1"/>
  <c r="L10" i="43" a="1"/>
  <c r="L10" i="43" s="1"/>
  <c r="N10" i="43" s="1"/>
  <c r="L8" i="43" a="1"/>
  <c r="L8" i="43" s="1"/>
  <c r="N8" i="43" s="1"/>
  <c r="L7" i="43" a="1"/>
  <c r="L7" i="43" s="1"/>
  <c r="N7" i="43" s="1"/>
  <c r="L12" i="43" a="1"/>
  <c r="L12" i="43" s="1"/>
  <c r="N12" i="43" s="1"/>
  <c r="AD49" i="60"/>
  <c r="AE78" i="62"/>
  <c r="AQ78" i="62" s="1"/>
  <c r="AQ80" i="62" s="1"/>
  <c r="AJ88" i="58"/>
  <c r="AC85" i="62"/>
  <c r="AD49" i="35"/>
  <c r="AE78" i="66"/>
  <c r="AC85" i="67"/>
  <c r="AO85" i="67" s="1"/>
  <c r="L9" i="43" a="1"/>
  <c r="L9" i="43" s="1"/>
  <c r="N9" i="43" s="1"/>
  <c r="R126" i="55"/>
  <c r="L6" i="43" a="1"/>
  <c r="L6" i="43" s="1"/>
  <c r="N6" i="43" s="1"/>
  <c r="AE78" i="67"/>
  <c r="AD55" i="60"/>
  <c r="AC85" i="66"/>
  <c r="AD55" i="35"/>
  <c r="R15" i="43" a="1"/>
  <c r="R15" i="43" s="1"/>
  <c r="T15" i="43" s="1"/>
  <c r="AJ14" i="58"/>
  <c r="AE61" i="66"/>
  <c r="AC68" i="66"/>
  <c r="AE44" i="67"/>
  <c r="AC51" i="62"/>
  <c r="AJ45" i="58"/>
  <c r="AC34" i="67"/>
  <c r="AE44" i="66"/>
  <c r="J126" i="55"/>
  <c r="AC27" i="62"/>
  <c r="AD35" i="60"/>
  <c r="AJ8" i="58"/>
  <c r="H126" i="55"/>
  <c r="AE44" i="62"/>
  <c r="AQ44" i="62" s="1"/>
  <c r="AQ46" i="62" s="1"/>
  <c r="N126" i="55"/>
  <c r="AC51" i="66"/>
  <c r="AO51" i="66" s="1"/>
  <c r="AJ52" i="58"/>
  <c r="AD29" i="60"/>
  <c r="R14" i="43" a="1"/>
  <c r="R14" i="43" s="1"/>
  <c r="T14" i="43" s="1"/>
  <c r="AC68" i="67"/>
  <c r="AO68" i="67" s="1"/>
  <c r="AE27" i="67"/>
  <c r="AQ27" i="67" s="1"/>
  <c r="AQ29" i="67" s="1"/>
  <c r="R16" i="43" a="1"/>
  <c r="R16" i="43" s="1"/>
  <c r="T16" i="43" s="1"/>
  <c r="R13" i="43" a="1"/>
  <c r="R13" i="43" s="1"/>
  <c r="T13" i="43" s="1"/>
  <c r="AE27" i="66"/>
  <c r="AD29" i="35"/>
  <c r="AC34" i="66"/>
  <c r="AE61" i="62"/>
  <c r="AC68" i="62"/>
  <c r="AD35" i="35"/>
  <c r="AC51" i="67"/>
  <c r="AO51" i="67" s="1"/>
  <c r="AC34" i="62"/>
  <c r="AO34" i="62" s="1"/>
  <c r="AE61" i="67"/>
  <c r="F125" i="55"/>
  <c r="AD29" i="62"/>
  <c r="AD8" i="62"/>
  <c r="AD35" i="62" s="1"/>
  <c r="AD14" i="62"/>
  <c r="AD16" i="62" s="1"/>
  <c r="AF80" i="67"/>
  <c r="AO80" i="66"/>
  <c r="AC52" i="67"/>
  <c r="AG52" i="66"/>
  <c r="AO35" i="66" l="1"/>
  <c r="AF52" i="62"/>
  <c r="AS82" i="57"/>
  <c r="AS83" i="57" s="1"/>
  <c r="F127" i="55"/>
  <c r="AF69" i="62"/>
  <c r="AJ46" i="57"/>
  <c r="AJ47" i="57" s="1"/>
  <c r="D127" i="55"/>
  <c r="AJ9" i="57" s="1"/>
  <c r="AL88" i="58"/>
  <c r="AL81" i="58"/>
  <c r="AL14" i="58"/>
  <c r="AL8" i="58"/>
  <c r="AL45" i="58"/>
  <c r="AL52" i="58"/>
  <c r="AL35" i="58" s="1"/>
  <c r="AO103" i="66"/>
  <c r="AO52" i="66"/>
  <c r="AD52" i="66"/>
  <c r="AD69" i="66"/>
  <c r="AO86" i="66"/>
  <c r="AP69" i="66"/>
  <c r="AO86" i="67"/>
  <c r="AF52" i="66"/>
  <c r="AD69" i="67"/>
  <c r="AO69" i="67"/>
  <c r="AO52" i="67"/>
  <c r="AO35" i="67"/>
  <c r="AP35" i="66"/>
  <c r="AD16" i="60"/>
  <c r="AF35" i="66"/>
  <c r="F126" i="55"/>
  <c r="AD86" i="67"/>
  <c r="AD86" i="62"/>
  <c r="AD10" i="62"/>
  <c r="AP69" i="67"/>
  <c r="AP103" i="67"/>
  <c r="AQ34" i="66"/>
  <c r="AC14" i="66"/>
  <c r="AP34" i="66"/>
  <c r="AJ10" i="58"/>
  <c r="AJ71" i="58"/>
  <c r="AQ85" i="62"/>
  <c r="AP85" i="62"/>
  <c r="AC29" i="62"/>
  <c r="AP29" i="62" s="1"/>
  <c r="AC8" i="62"/>
  <c r="AC35" i="62" s="1"/>
  <c r="AQ27" i="62"/>
  <c r="AQ29" i="62" s="1"/>
  <c r="AP27" i="62"/>
  <c r="AO27" i="62"/>
  <c r="AO85" i="62"/>
  <c r="AP86" i="66"/>
  <c r="AO51" i="62"/>
  <c r="AQ51" i="62"/>
  <c r="AP51" i="62"/>
  <c r="AE80" i="67"/>
  <c r="AQ78" i="67"/>
  <c r="AQ80" i="67" s="1"/>
  <c r="AO10" i="66"/>
  <c r="AF35" i="67"/>
  <c r="AF10" i="67"/>
  <c r="AE63" i="67"/>
  <c r="AD10" i="60"/>
  <c r="AE46" i="67"/>
  <c r="AQ44" i="67"/>
  <c r="AQ46" i="67" s="1"/>
  <c r="AO82" i="57"/>
  <c r="AI85" i="57"/>
  <c r="AI86" i="57" s="1"/>
  <c r="AP82" i="57"/>
  <c r="AP83" i="57" s="1"/>
  <c r="AD52" i="62"/>
  <c r="AP35" i="67"/>
  <c r="AD10" i="66"/>
  <c r="AQ61" i="67"/>
  <c r="AQ63" i="67" s="1"/>
  <c r="AD10" i="35"/>
  <c r="AE29" i="66"/>
  <c r="AE8" i="66"/>
  <c r="AE35" i="66" s="1"/>
  <c r="AQ27" i="66"/>
  <c r="AQ29" i="66" s="1"/>
  <c r="O18" i="28"/>
  <c r="O105" i="28"/>
  <c r="O8" i="28"/>
  <c r="J60" i="55"/>
  <c r="O22" i="28"/>
  <c r="H89" i="55"/>
  <c r="H72" i="55"/>
  <c r="H57" i="55"/>
  <c r="O84" i="28"/>
  <c r="J86" i="55"/>
  <c r="J84" i="55"/>
  <c r="O40" i="28"/>
  <c r="N61" i="55"/>
  <c r="N58" i="55"/>
  <c r="O103" i="28"/>
  <c r="H61" i="55"/>
  <c r="H64" i="55"/>
  <c r="N79" i="55"/>
  <c r="O104" i="28"/>
  <c r="O21" i="28"/>
  <c r="O70" i="28"/>
  <c r="O6" i="28"/>
  <c r="N88" i="55"/>
  <c r="N68" i="55"/>
  <c r="O9" i="28"/>
  <c r="O69" i="28"/>
  <c r="O61" i="28"/>
  <c r="H78" i="55"/>
  <c r="J71" i="55"/>
  <c r="R7" i="43" a="1"/>
  <c r="R7" i="43" s="1"/>
  <c r="T7" i="43" s="1"/>
  <c r="N72" i="55"/>
  <c r="O66" i="28"/>
  <c r="O102" i="28"/>
  <c r="J59" i="55"/>
  <c r="O24" i="28"/>
  <c r="H58" i="55"/>
  <c r="H77" i="55"/>
  <c r="N56" i="55"/>
  <c r="O63" i="28"/>
  <c r="O30" i="28"/>
  <c r="N83" i="55"/>
  <c r="O17" i="28"/>
  <c r="J89" i="55"/>
  <c r="O14" i="28"/>
  <c r="O11" i="28"/>
  <c r="O91" i="28"/>
  <c r="N85" i="55"/>
  <c r="H83" i="55"/>
  <c r="O94" i="28"/>
  <c r="N73" i="55"/>
  <c r="O101" i="28"/>
  <c r="AK52" i="58"/>
  <c r="AQ52" i="58" s="1"/>
  <c r="O95" i="28"/>
  <c r="O100" i="28"/>
  <c r="N78" i="55"/>
  <c r="R6" i="43" a="1"/>
  <c r="R6" i="43" s="1"/>
  <c r="T6" i="43" s="1"/>
  <c r="O45" i="28"/>
  <c r="O42" i="28"/>
  <c r="N87" i="55"/>
  <c r="J88" i="55"/>
  <c r="H76" i="55"/>
  <c r="J76" i="55"/>
  <c r="J67" i="55"/>
  <c r="O26" i="28"/>
  <c r="O20" i="28"/>
  <c r="AK45" i="58"/>
  <c r="AP45" i="58" s="1"/>
  <c r="AP47" i="58" s="1"/>
  <c r="R8" i="43" a="1"/>
  <c r="R8" i="43" s="1"/>
  <c r="T8" i="43" s="1"/>
  <c r="N71" i="55"/>
  <c r="O87" i="28"/>
  <c r="O12" i="28"/>
  <c r="J61" i="55"/>
  <c r="N63" i="55"/>
  <c r="N66" i="55"/>
  <c r="O89" i="28"/>
  <c r="N89" i="55"/>
  <c r="J57" i="55"/>
  <c r="H80" i="55"/>
  <c r="R10" i="43" a="1"/>
  <c r="R10" i="43" s="1"/>
  <c r="T10" i="43" s="1"/>
  <c r="O51" i="28"/>
  <c r="O82" i="28"/>
  <c r="N65" i="55"/>
  <c r="O56" i="28"/>
  <c r="H63" i="55"/>
  <c r="N81" i="55"/>
  <c r="N62" i="55"/>
  <c r="O36" i="28"/>
  <c r="O49" i="28"/>
  <c r="O25" i="28"/>
  <c r="J74" i="55"/>
  <c r="O37" i="28"/>
  <c r="O48" i="28"/>
  <c r="H82" i="55"/>
  <c r="N60" i="55"/>
  <c r="O44" i="28"/>
  <c r="J77" i="55"/>
  <c r="J65" i="55"/>
  <c r="J85" i="55"/>
  <c r="O16" i="28"/>
  <c r="H88" i="55"/>
  <c r="O41" i="28"/>
  <c r="O31" i="28"/>
  <c r="J87" i="55"/>
  <c r="J73" i="55"/>
  <c r="O106" i="28"/>
  <c r="J56" i="55"/>
  <c r="H65" i="55"/>
  <c r="O93" i="28"/>
  <c r="J68" i="55"/>
  <c r="O15" i="28"/>
  <c r="AK14" i="58"/>
  <c r="AQ14" i="58" s="1"/>
  <c r="O50" i="28"/>
  <c r="J70" i="55"/>
  <c r="O80" i="28"/>
  <c r="O78" i="28"/>
  <c r="J90" i="55"/>
  <c r="H81" i="55"/>
  <c r="R11" i="43" a="1"/>
  <c r="R11" i="43" s="1"/>
  <c r="T11" i="43" s="1"/>
  <c r="O64" i="28"/>
  <c r="H73" i="55"/>
  <c r="N90" i="55"/>
  <c r="H86" i="55"/>
  <c r="N84" i="55"/>
  <c r="O58" i="28"/>
  <c r="O54" i="28"/>
  <c r="H79" i="55"/>
  <c r="J83" i="55"/>
  <c r="O10" i="28"/>
  <c r="H66" i="55"/>
  <c r="O35" i="28"/>
  <c r="H74" i="55"/>
  <c r="H54" i="55"/>
  <c r="H87" i="55"/>
  <c r="O52" i="28"/>
  <c r="H62" i="55"/>
  <c r="N80" i="55"/>
  <c r="O53" i="28"/>
  <c r="R9" i="43" a="1"/>
  <c r="R9" i="43" s="1"/>
  <c r="T9" i="43" s="1"/>
  <c r="O83" i="28"/>
  <c r="N75" i="55"/>
  <c r="J63" i="55"/>
  <c r="N76" i="55"/>
  <c r="O88" i="28"/>
  <c r="H67" i="55"/>
  <c r="J55" i="55"/>
  <c r="J72" i="55"/>
  <c r="O23" i="28"/>
  <c r="O55" i="28"/>
  <c r="O7" i="28"/>
  <c r="N86" i="55"/>
  <c r="N57" i="55"/>
  <c r="H90" i="55"/>
  <c r="O71" i="28"/>
  <c r="O96" i="28"/>
  <c r="N59" i="55"/>
  <c r="N54" i="55"/>
  <c r="N82" i="55"/>
  <c r="O75" i="28"/>
  <c r="J69" i="55"/>
  <c r="J58" i="55"/>
  <c r="R12" i="43" a="1"/>
  <c r="R12" i="43" s="1"/>
  <c r="T12" i="43" s="1"/>
  <c r="O77" i="28"/>
  <c r="J78" i="55"/>
  <c r="O59" i="28"/>
  <c r="J81" i="55"/>
  <c r="O39" i="28"/>
  <c r="O108" i="28"/>
  <c r="O27" i="28"/>
  <c r="J54" i="55"/>
  <c r="O19" i="28"/>
  <c r="H75" i="55"/>
  <c r="H55" i="55"/>
  <c r="H85" i="55"/>
  <c r="O62" i="28"/>
  <c r="O33" i="28"/>
  <c r="O47" i="28"/>
  <c r="O43" i="28"/>
  <c r="O68" i="28"/>
  <c r="O99" i="28"/>
  <c r="H70" i="55"/>
  <c r="O92" i="28"/>
  <c r="O90" i="28"/>
  <c r="O74" i="28"/>
  <c r="N77" i="55"/>
  <c r="O107" i="28"/>
  <c r="O98" i="28"/>
  <c r="O13" i="28"/>
  <c r="O67" i="28"/>
  <c r="O72" i="28"/>
  <c r="O38" i="28"/>
  <c r="O86" i="28"/>
  <c r="O65" i="28"/>
  <c r="N69" i="55"/>
  <c r="O46" i="28"/>
  <c r="N67" i="55"/>
  <c r="N55" i="55"/>
  <c r="J66" i="55"/>
  <c r="O79" i="28"/>
  <c r="O34" i="28"/>
  <c r="O28" i="28"/>
  <c r="H68" i="55"/>
  <c r="O76" i="28"/>
  <c r="H59" i="55"/>
  <c r="AK8" i="58"/>
  <c r="AP8" i="58" s="1"/>
  <c r="O29" i="28"/>
  <c r="N74" i="55"/>
  <c r="H69" i="55"/>
  <c r="J79" i="55"/>
  <c r="J82" i="55"/>
  <c r="O57" i="28"/>
  <c r="O85" i="28"/>
  <c r="O109" i="28"/>
  <c r="J75" i="55"/>
  <c r="H71" i="55"/>
  <c r="O60" i="28"/>
  <c r="O81" i="28"/>
  <c r="H84" i="55"/>
  <c r="O97" i="28"/>
  <c r="J62" i="55"/>
  <c r="O32" i="28"/>
  <c r="N64" i="55"/>
  <c r="N70" i="55"/>
  <c r="J64" i="55"/>
  <c r="O5" i="28"/>
  <c r="H60" i="55"/>
  <c r="J80" i="55"/>
  <c r="H56" i="55"/>
  <c r="O73" i="28"/>
  <c r="AE46" i="66"/>
  <c r="AQ44" i="66"/>
  <c r="AQ46" i="66" s="1"/>
  <c r="AB103" i="62"/>
  <c r="AB10" i="62"/>
  <c r="AB52" i="62"/>
  <c r="AB86" i="62"/>
  <c r="AB69" i="62"/>
  <c r="AE29" i="67"/>
  <c r="AE8" i="67"/>
  <c r="AE86" i="67" s="1"/>
  <c r="AJ47" i="58"/>
  <c r="AJ53" i="58"/>
  <c r="AJ28" i="58"/>
  <c r="AJ54" i="58" s="1"/>
  <c r="AC14" i="62"/>
  <c r="AQ34" i="62"/>
  <c r="AP34" i="62"/>
  <c r="AQ68" i="66"/>
  <c r="AP68" i="66"/>
  <c r="AQ51" i="67"/>
  <c r="AP51" i="67"/>
  <c r="AJ83" i="58"/>
  <c r="AJ89" i="58"/>
  <c r="AH10" i="57"/>
  <c r="AH12" i="57"/>
  <c r="AH13" i="57" s="1"/>
  <c r="AF10" i="62"/>
  <c r="AF35" i="62"/>
  <c r="AF86" i="66"/>
  <c r="AF10" i="66"/>
  <c r="AO10" i="67"/>
  <c r="AQ85" i="66"/>
  <c r="AP85" i="66"/>
  <c r="AQ68" i="67"/>
  <c r="AP68" i="67"/>
  <c r="AJ35" i="58"/>
  <c r="AE63" i="66"/>
  <c r="AQ61" i="66"/>
  <c r="AQ63" i="66" s="1"/>
  <c r="AD16" i="35"/>
  <c r="AJ18" i="58"/>
  <c r="AJ16" i="58"/>
  <c r="AQ85" i="67"/>
  <c r="AP85" i="67"/>
  <c r="AB16" i="67"/>
  <c r="AG30" i="57"/>
  <c r="AH47" i="57"/>
  <c r="AH29" i="57"/>
  <c r="AO85" i="66"/>
  <c r="AE80" i="62"/>
  <c r="AE8" i="62"/>
  <c r="AE69" i="62" s="1"/>
  <c r="P56" i="55"/>
  <c r="P62" i="55"/>
  <c r="R65" i="55"/>
  <c r="R70" i="55"/>
  <c r="P76" i="55"/>
  <c r="P72" i="55"/>
  <c r="R73" i="55"/>
  <c r="P80" i="55"/>
  <c r="AD109" i="3" s="1"/>
  <c r="AD112" i="3" s="1"/>
  <c r="AD113" i="3" s="1"/>
  <c r="R57" i="55"/>
  <c r="R59" i="55"/>
  <c r="P82" i="55"/>
  <c r="AF109" i="3" s="1"/>
  <c r="R80" i="55"/>
  <c r="P78" i="55"/>
  <c r="P55" i="55"/>
  <c r="R64" i="55"/>
  <c r="R82" i="55"/>
  <c r="R74" i="55"/>
  <c r="R83" i="55"/>
  <c r="R86" i="55"/>
  <c r="P90" i="55"/>
  <c r="AN109" i="3" s="1"/>
  <c r="AN112" i="3" s="1"/>
  <c r="AN113" i="3" s="1"/>
  <c r="P71" i="55"/>
  <c r="P67" i="55"/>
  <c r="R78" i="55"/>
  <c r="R54" i="55"/>
  <c r="R71" i="55"/>
  <c r="P85" i="55"/>
  <c r="AI109" i="3" s="1"/>
  <c r="AI112" i="3" s="1"/>
  <c r="AI113" i="3" s="1"/>
  <c r="AK88" i="58"/>
  <c r="R72" i="55"/>
  <c r="P83" i="55"/>
  <c r="AG109" i="3" s="1"/>
  <c r="AG112" i="3" s="1"/>
  <c r="AG113" i="3" s="1"/>
  <c r="R90" i="55"/>
  <c r="R58" i="55"/>
  <c r="R77" i="55"/>
  <c r="R79" i="55"/>
  <c r="R76" i="55"/>
  <c r="P75" i="55"/>
  <c r="R56" i="55"/>
  <c r="P57" i="55"/>
  <c r="R87" i="55"/>
  <c r="P81" i="55"/>
  <c r="AE109" i="3" s="1"/>
  <c r="AE112" i="3" s="1"/>
  <c r="AE113" i="3" s="1"/>
  <c r="P84" i="55"/>
  <c r="AH109" i="3" s="1"/>
  <c r="AH112" i="3" s="1"/>
  <c r="AH113" i="3" s="1"/>
  <c r="R68" i="55"/>
  <c r="P89" i="55"/>
  <c r="AM109" i="3" s="1"/>
  <c r="AM112" i="3" s="1"/>
  <c r="AM113" i="3" s="1"/>
  <c r="R60" i="55"/>
  <c r="P64" i="55"/>
  <c r="AK81" i="58"/>
  <c r="AQ81" i="58" s="1"/>
  <c r="R85" i="55"/>
  <c r="R69" i="55"/>
  <c r="P79" i="55"/>
  <c r="P86" i="55"/>
  <c r="AJ109" i="3" s="1"/>
  <c r="AJ112" i="3" s="1"/>
  <c r="AJ113" i="3" s="1"/>
  <c r="R84" i="55"/>
  <c r="R89" i="55"/>
  <c r="P58" i="55"/>
  <c r="R62" i="55"/>
  <c r="R55" i="55"/>
  <c r="P73" i="55"/>
  <c r="P70" i="55"/>
  <c r="R61" i="55"/>
  <c r="R88" i="55"/>
  <c r="P60" i="55"/>
  <c r="R81" i="55"/>
  <c r="P74" i="55"/>
  <c r="P65" i="55"/>
  <c r="P63" i="55"/>
  <c r="P68" i="55"/>
  <c r="P77" i="55"/>
  <c r="P69" i="55"/>
  <c r="R66" i="55"/>
  <c r="P61" i="55"/>
  <c r="R67" i="55"/>
  <c r="P66" i="55"/>
  <c r="P88" i="55"/>
  <c r="AL109" i="3" s="1"/>
  <c r="AL112" i="3" s="1"/>
  <c r="AL113" i="3" s="1"/>
  <c r="R75" i="55"/>
  <c r="P59" i="55"/>
  <c r="R63" i="55"/>
  <c r="P54" i="55"/>
  <c r="P107" i="63" s="1"/>
  <c r="P87" i="55"/>
  <c r="AK109" i="3" s="1"/>
  <c r="AK112" i="3" s="1"/>
  <c r="AK113" i="3" s="1"/>
  <c r="AD69" i="62"/>
  <c r="AQ51" i="66"/>
  <c r="AP51" i="66"/>
  <c r="AF86" i="67"/>
  <c r="AQ68" i="62"/>
  <c r="AP68" i="62"/>
  <c r="AE46" i="62"/>
  <c r="AE80" i="66"/>
  <c r="AQ78" i="66"/>
  <c r="AQ80" i="66" s="1"/>
  <c r="AP52" i="66"/>
  <c r="AI30" i="58"/>
  <c r="AI72" i="58"/>
  <c r="AI36" i="58"/>
  <c r="AO68" i="66"/>
  <c r="AO68" i="62"/>
  <c r="AC14" i="67"/>
  <c r="AO14" i="67" s="1"/>
  <c r="AQ34" i="67"/>
  <c r="AP34" i="67"/>
  <c r="AE63" i="62"/>
  <c r="AQ61" i="62"/>
  <c r="AQ63" i="62" s="1"/>
  <c r="AI46" i="57"/>
  <c r="D126" i="55"/>
  <c r="AI9" i="57" s="1"/>
  <c r="AO34" i="66"/>
  <c r="AF69" i="67"/>
  <c r="AD35" i="67"/>
  <c r="AD10" i="67"/>
  <c r="AP86" i="67"/>
  <c r="AO34" i="67"/>
  <c r="AR88" i="58" l="1" a="1"/>
  <c r="AR88" i="58" s="1"/>
  <c r="AP52" i="58"/>
  <c r="AJ12" i="57"/>
  <c r="AJ13" i="57" s="1"/>
  <c r="AJ10" i="57"/>
  <c r="AE86" i="66"/>
  <c r="AE69" i="66"/>
  <c r="AO8" i="62"/>
  <c r="AE52" i="66"/>
  <c r="AP14" i="58"/>
  <c r="AP18" i="58" s="1"/>
  <c r="AT14" i="58"/>
  <c r="AP53" i="58"/>
  <c r="AT45" i="58"/>
  <c r="AT47" i="58" s="1"/>
  <c r="AT8" i="58"/>
  <c r="AT10" i="58" s="1"/>
  <c r="AQ45" i="58"/>
  <c r="AQ47" i="58" s="1"/>
  <c r="AQ8" i="58"/>
  <c r="AQ18" i="58" s="1"/>
  <c r="AP81" i="58"/>
  <c r="AP89" i="58" s="1"/>
  <c r="AL28" i="58"/>
  <c r="AL54" i="58" s="1"/>
  <c r="AL47" i="58"/>
  <c r="AL53" i="58"/>
  <c r="AL48" i="58"/>
  <c r="AL50" i="58" s="1"/>
  <c r="AL71" i="58"/>
  <c r="AL10" i="58"/>
  <c r="AL11" i="58"/>
  <c r="AL13" i="58" s="1"/>
  <c r="AT52" i="58"/>
  <c r="AT81" i="58"/>
  <c r="AT83" i="58" s="1"/>
  <c r="AL18" i="58"/>
  <c r="AL16" i="58"/>
  <c r="AL83" i="58"/>
  <c r="AL89" i="58"/>
  <c r="AL84" i="58"/>
  <c r="AL86" i="58" s="1"/>
  <c r="AT88" i="58"/>
  <c r="AQ88" i="58"/>
  <c r="AJ29" i="57"/>
  <c r="AJ30" i="57" s="1"/>
  <c r="AP88" i="58"/>
  <c r="AE35" i="67"/>
  <c r="F91" i="28"/>
  <c r="F35" i="28"/>
  <c r="F34" i="28"/>
  <c r="F13" i="28"/>
  <c r="F80" i="55"/>
  <c r="F109" i="28"/>
  <c r="F79" i="28"/>
  <c r="F19" i="28"/>
  <c r="F10" i="28"/>
  <c r="F80" i="28"/>
  <c r="F61" i="55"/>
  <c r="K15" i="3" s="1"/>
  <c r="K16" i="3" s="1"/>
  <c r="F89" i="55"/>
  <c r="F103" i="28"/>
  <c r="F18" i="28"/>
  <c r="AE52" i="67"/>
  <c r="F85" i="28"/>
  <c r="F66" i="55"/>
  <c r="F74" i="28"/>
  <c r="F63" i="55"/>
  <c r="M15" i="3" s="1"/>
  <c r="M16" i="3" s="1"/>
  <c r="F83" i="55"/>
  <c r="F70" i="55"/>
  <c r="T15" i="3" s="1"/>
  <c r="T16" i="3" s="1"/>
  <c r="F16" i="28"/>
  <c r="F12" i="28"/>
  <c r="F17" i="28"/>
  <c r="F5" i="28"/>
  <c r="F90" i="28"/>
  <c r="F27" i="28"/>
  <c r="F96" i="28"/>
  <c r="F50" i="28"/>
  <c r="F85" i="55"/>
  <c r="F87" i="28"/>
  <c r="AE69" i="67"/>
  <c r="AO35" i="62"/>
  <c r="F53" i="28"/>
  <c r="F68" i="55"/>
  <c r="R15" i="3" s="1"/>
  <c r="F44" i="28"/>
  <c r="F65" i="28"/>
  <c r="F68" i="28"/>
  <c r="F59" i="28"/>
  <c r="F93" i="28"/>
  <c r="F84" i="28"/>
  <c r="AQ8" i="67"/>
  <c r="AQ10" i="67" s="1"/>
  <c r="AK83" i="58"/>
  <c r="AK89" i="58"/>
  <c r="AR81" i="58" a="1"/>
  <c r="AR81" i="58" s="1"/>
  <c r="R107" i="63"/>
  <c r="F109" i="3"/>
  <c r="R130" i="63"/>
  <c r="F58" i="3"/>
  <c r="R58" i="63"/>
  <c r="D56" i="55"/>
  <c r="F75" i="55"/>
  <c r="F107" i="28"/>
  <c r="Y58" i="3"/>
  <c r="D75" i="55"/>
  <c r="AK58" i="63"/>
  <c r="F88" i="28"/>
  <c r="D66" i="55"/>
  <c r="P58" i="3"/>
  <c r="AB58" i="63"/>
  <c r="F78" i="28"/>
  <c r="F41" i="28"/>
  <c r="F36" i="28"/>
  <c r="F42" i="28"/>
  <c r="F14" i="28"/>
  <c r="W58" i="63"/>
  <c r="K58" i="3"/>
  <c r="D61" i="55"/>
  <c r="F105" i="28"/>
  <c r="V107" i="63"/>
  <c r="V130" i="63"/>
  <c r="J109" i="3"/>
  <c r="AC58" i="3"/>
  <c r="D79" i="55"/>
  <c r="AC9" i="3" s="1"/>
  <c r="M58" i="3"/>
  <c r="Y58" i="63"/>
  <c r="D63" i="55"/>
  <c r="F61" i="28"/>
  <c r="AC16" i="66"/>
  <c r="AQ14" i="66"/>
  <c r="AQ16" i="66" s="1"/>
  <c r="AP14" i="66"/>
  <c r="AO14" i="66"/>
  <c r="AE86" i="62"/>
  <c r="F64" i="55"/>
  <c r="F82" i="55"/>
  <c r="F92" i="28"/>
  <c r="F108" i="28"/>
  <c r="F71" i="28"/>
  <c r="F83" i="28"/>
  <c r="F54" i="28"/>
  <c r="AK18" i="58"/>
  <c r="AK16" i="58"/>
  <c r="AR14" i="58" a="1"/>
  <c r="AR14" i="58" s="1"/>
  <c r="F65" i="55"/>
  <c r="F56" i="28"/>
  <c r="F100" i="28"/>
  <c r="F30" i="28"/>
  <c r="F69" i="28"/>
  <c r="F40" i="28"/>
  <c r="U130" i="63"/>
  <c r="U107" i="63"/>
  <c r="I109" i="3"/>
  <c r="J58" i="3"/>
  <c r="V58" i="63"/>
  <c r="D60" i="55"/>
  <c r="F54" i="55"/>
  <c r="P15" i="63" s="1"/>
  <c r="P16" i="63" s="1"/>
  <c r="Z107" i="63"/>
  <c r="N109" i="3"/>
  <c r="Z130" i="63"/>
  <c r="E132" i="3"/>
  <c r="E109" i="3"/>
  <c r="E110" i="3" s="1"/>
  <c r="Q107" i="63"/>
  <c r="F57" i="28"/>
  <c r="AB109" i="3"/>
  <c r="AN107" i="63"/>
  <c r="AB132" i="3"/>
  <c r="AH107" i="63"/>
  <c r="V132" i="3"/>
  <c r="V109" i="3"/>
  <c r="F79" i="55"/>
  <c r="AC15" i="3" s="1"/>
  <c r="F46" i="28"/>
  <c r="D70" i="55"/>
  <c r="T58" i="3"/>
  <c r="AF58" i="63"/>
  <c r="F39" i="28"/>
  <c r="AN58" i="3"/>
  <c r="D90" i="55"/>
  <c r="AN9" i="3" s="1"/>
  <c r="AN12" i="3" s="1"/>
  <c r="AN13" i="3" s="1"/>
  <c r="F58" i="28"/>
  <c r="F15" i="28"/>
  <c r="F77" i="55"/>
  <c r="F95" i="28"/>
  <c r="F63" i="28"/>
  <c r="F9" i="28"/>
  <c r="F84" i="55"/>
  <c r="AE10" i="66"/>
  <c r="AQ8" i="66"/>
  <c r="AQ10" i="66" s="1"/>
  <c r="AI10" i="57"/>
  <c r="AI12" i="57"/>
  <c r="AI13" i="57" s="1"/>
  <c r="AP9" i="57"/>
  <c r="AP10" i="57" s="1"/>
  <c r="AS9" i="57"/>
  <c r="AS10" i="57" s="1"/>
  <c r="AL58" i="3"/>
  <c r="D88" i="55"/>
  <c r="AL9" i="3" s="1"/>
  <c r="AL12" i="3" s="1"/>
  <c r="AL13" i="3" s="1"/>
  <c r="AO14" i="62"/>
  <c r="AQ14" i="62"/>
  <c r="AQ16" i="62" s="1"/>
  <c r="AC16" i="62"/>
  <c r="AP14" i="62"/>
  <c r="AB58" i="3"/>
  <c r="AN58" i="63"/>
  <c r="D78" i="55"/>
  <c r="P108" i="63"/>
  <c r="P110" i="63"/>
  <c r="P111" i="63" s="1"/>
  <c r="AC109" i="3"/>
  <c r="AC110" i="3" s="1"/>
  <c r="AC132" i="3"/>
  <c r="AL107" i="63"/>
  <c r="Z132" i="3"/>
  <c r="Z109" i="3"/>
  <c r="AQ83" i="58"/>
  <c r="D69" i="55"/>
  <c r="AE58" i="63"/>
  <c r="S58" i="3"/>
  <c r="AK47" i="58"/>
  <c r="AK28" i="58"/>
  <c r="AK54" i="58" s="1"/>
  <c r="AK53" i="58"/>
  <c r="AR45" i="58" a="1"/>
  <c r="AR45" i="58" s="1"/>
  <c r="AC10" i="62"/>
  <c r="AP10" i="62" s="1"/>
  <c r="AC103" i="62"/>
  <c r="AQ8" i="62"/>
  <c r="AQ10" i="62" s="1"/>
  <c r="AP8" i="62"/>
  <c r="AC52" i="62"/>
  <c r="AC86" i="62"/>
  <c r="AC69" i="62"/>
  <c r="AB107" i="63"/>
  <c r="P109" i="3"/>
  <c r="AB130" i="63"/>
  <c r="F32" i="28"/>
  <c r="D86" i="55"/>
  <c r="AJ9" i="3" s="1"/>
  <c r="AJ58" i="3"/>
  <c r="AJ59" i="3" s="1"/>
  <c r="F51" i="28"/>
  <c r="F20" i="28"/>
  <c r="F101" i="28"/>
  <c r="AM58" i="63"/>
  <c r="D77" i="55"/>
  <c r="AA58" i="3"/>
  <c r="AI47" i="57"/>
  <c r="AI29" i="57"/>
  <c r="AP46" i="57"/>
  <c r="AP47" i="57" s="1"/>
  <c r="AE10" i="62"/>
  <c r="AE35" i="62"/>
  <c r="AO103" i="62"/>
  <c r="AO69" i="62"/>
  <c r="AO86" i="62"/>
  <c r="AO52" i="62"/>
  <c r="AJ36" i="58"/>
  <c r="AJ72" i="58"/>
  <c r="AJ30" i="58"/>
  <c r="F99" i="28"/>
  <c r="F82" i="28"/>
  <c r="Y130" i="63"/>
  <c r="Y107" i="63"/>
  <c r="M109" i="3"/>
  <c r="AA130" i="63"/>
  <c r="AA107" i="63"/>
  <c r="O109" i="3"/>
  <c r="AS46" i="57"/>
  <c r="AS47" i="57" s="1"/>
  <c r="F62" i="55"/>
  <c r="F29" i="28"/>
  <c r="F86" i="28"/>
  <c r="F43" i="28"/>
  <c r="F78" i="55"/>
  <c r="F7" i="28"/>
  <c r="X58" i="63"/>
  <c r="L58" i="3"/>
  <c r="D62" i="55"/>
  <c r="O58" i="3"/>
  <c r="AA58" i="63"/>
  <c r="D65" i="55"/>
  <c r="AF58" i="3"/>
  <c r="D82" i="55"/>
  <c r="AF9" i="3" s="1"/>
  <c r="F26" i="28"/>
  <c r="D58" i="55"/>
  <c r="H58" i="3"/>
  <c r="T58" i="63"/>
  <c r="F6" i="28"/>
  <c r="G58" i="3"/>
  <c r="S58" i="63"/>
  <c r="D57" i="55"/>
  <c r="R109" i="3"/>
  <c r="AD107" i="63"/>
  <c r="R132" i="3"/>
  <c r="F71" i="55"/>
  <c r="AB15" i="63"/>
  <c r="AB16" i="63" s="1"/>
  <c r="P15" i="3"/>
  <c r="P16" i="3" s="1"/>
  <c r="F81" i="55"/>
  <c r="AK35" i="58"/>
  <c r="AR35" i="58" s="1" a="1"/>
  <c r="AR35" i="58" s="1"/>
  <c r="AR52" i="58" a="1"/>
  <c r="AR52" i="58" s="1"/>
  <c r="F86" i="55"/>
  <c r="AQ14" i="67"/>
  <c r="AQ16" i="67" s="1"/>
  <c r="AC16" i="67"/>
  <c r="AP16" i="67" s="1"/>
  <c r="AP14" i="67"/>
  <c r="AE52" i="62"/>
  <c r="T107" i="63"/>
  <c r="H109" i="3"/>
  <c r="T130" i="63"/>
  <c r="G109" i="3"/>
  <c r="S107" i="63"/>
  <c r="S130" i="63"/>
  <c r="AO109" i="3"/>
  <c r="AF112" i="3"/>
  <c r="AF113" i="3" s="1"/>
  <c r="AO46" i="57"/>
  <c r="AO47" i="57" s="1"/>
  <c r="F97" i="28"/>
  <c r="AK10" i="58"/>
  <c r="AK71" i="58"/>
  <c r="AR8" i="58" a="1"/>
  <c r="AR8" i="58" s="1"/>
  <c r="F38" i="28"/>
  <c r="F47" i="28"/>
  <c r="F77" i="28"/>
  <c r="F55" i="28"/>
  <c r="F52" i="28"/>
  <c r="W58" i="3"/>
  <c r="AI58" i="63"/>
  <c r="D73" i="55"/>
  <c r="F56" i="55"/>
  <c r="F48" i="28"/>
  <c r="AD58" i="3"/>
  <c r="D80" i="55"/>
  <c r="AD9" i="3" s="1"/>
  <c r="F67" i="55"/>
  <c r="F94" i="28"/>
  <c r="F24" i="28"/>
  <c r="F70" i="28"/>
  <c r="V58" i="3"/>
  <c r="D72" i="55"/>
  <c r="AH58" i="63"/>
  <c r="AO9" i="57"/>
  <c r="AO10" i="57" s="1"/>
  <c r="W107" i="63"/>
  <c r="K109" i="3"/>
  <c r="W130" i="63"/>
  <c r="X109" i="3"/>
  <c r="X110" i="3" s="1"/>
  <c r="X132" i="3"/>
  <c r="AJ107" i="63"/>
  <c r="AH58" i="3"/>
  <c r="D84" i="55"/>
  <c r="AH9" i="3" s="1"/>
  <c r="D59" i="55"/>
  <c r="U58" i="63"/>
  <c r="I58" i="3"/>
  <c r="F72" i="28"/>
  <c r="F33" i="28"/>
  <c r="F23" i="28"/>
  <c r="AK58" i="3"/>
  <c r="D87" i="55"/>
  <c r="AK9" i="3" s="1"/>
  <c r="AK12" i="3" s="1"/>
  <c r="AK13" i="3" s="1"/>
  <c r="F64" i="28"/>
  <c r="F106" i="28"/>
  <c r="F37" i="28"/>
  <c r="F57" i="55"/>
  <c r="F76" i="55"/>
  <c r="D83" i="55"/>
  <c r="AG9" i="3" s="1"/>
  <c r="AG58" i="3"/>
  <c r="F59" i="55"/>
  <c r="F21" i="28"/>
  <c r="D89" i="55"/>
  <c r="AM9" i="3" s="1"/>
  <c r="AM12" i="3" s="1"/>
  <c r="AM13" i="3" s="1"/>
  <c r="AM58" i="3"/>
  <c r="T132" i="3"/>
  <c r="AF107" i="63"/>
  <c r="T109" i="3"/>
  <c r="Y109" i="3"/>
  <c r="AK107" i="63"/>
  <c r="Y132" i="3"/>
  <c r="AC107" i="63"/>
  <c r="AC130" i="63"/>
  <c r="Q109" i="3"/>
  <c r="AH30" i="57"/>
  <c r="AE10" i="67"/>
  <c r="F81" i="28"/>
  <c r="F76" i="28"/>
  <c r="F67" i="28"/>
  <c r="F62" i="28"/>
  <c r="F58" i="55"/>
  <c r="F72" i="55"/>
  <c r="P58" i="63"/>
  <c r="D54" i="55"/>
  <c r="P9" i="63" s="1"/>
  <c r="F73" i="55"/>
  <c r="F74" i="55"/>
  <c r="D76" i="55"/>
  <c r="AL58" i="63"/>
  <c r="Z58" i="3"/>
  <c r="F102" i="28"/>
  <c r="F104" i="28"/>
  <c r="F22" i="28"/>
  <c r="S132" i="3"/>
  <c r="S109" i="3"/>
  <c r="AE107" i="63"/>
  <c r="W109" i="3"/>
  <c r="AI107" i="63"/>
  <c r="W132" i="3"/>
  <c r="L109" i="3"/>
  <c r="X107" i="63"/>
  <c r="X130" i="63"/>
  <c r="F60" i="28"/>
  <c r="AD58" i="63"/>
  <c r="D68" i="55"/>
  <c r="R58" i="3"/>
  <c r="AI58" i="3"/>
  <c r="D85" i="55"/>
  <c r="AI9" i="3" s="1"/>
  <c r="F69" i="55"/>
  <c r="F55" i="55"/>
  <c r="X58" i="3"/>
  <c r="D74" i="55"/>
  <c r="AJ58" i="63"/>
  <c r="AE58" i="3"/>
  <c r="D81" i="55"/>
  <c r="AE9" i="3" s="1"/>
  <c r="F87" i="55"/>
  <c r="F25" i="28"/>
  <c r="F89" i="28"/>
  <c r="F88" i="55"/>
  <c r="F66" i="28"/>
  <c r="F60" i="55"/>
  <c r="F45" i="28"/>
  <c r="AM107" i="63"/>
  <c r="AA132" i="3"/>
  <c r="AA109" i="3"/>
  <c r="AG107" i="63"/>
  <c r="U109" i="3"/>
  <c r="U132" i="3"/>
  <c r="F73" i="28"/>
  <c r="U58" i="3"/>
  <c r="AG58" i="63"/>
  <c r="D71" i="55"/>
  <c r="F28" i="28"/>
  <c r="F98" i="28"/>
  <c r="E58" i="3"/>
  <c r="Q58" i="63"/>
  <c r="D55" i="55"/>
  <c r="F75" i="28"/>
  <c r="Q58" i="3"/>
  <c r="AC58" i="63"/>
  <c r="D67" i="55"/>
  <c r="F90" i="55"/>
  <c r="F31" i="28"/>
  <c r="F49" i="28"/>
  <c r="F11" i="28"/>
  <c r="N58" i="3"/>
  <c r="Z58" i="63"/>
  <c r="D64" i="55"/>
  <c r="F8" i="28"/>
  <c r="AO29" i="62"/>
  <c r="AP10" i="58"/>
  <c r="AP71" i="58"/>
  <c r="AP106" i="58"/>
  <c r="AP83" i="58" l="1"/>
  <c r="AQ71" i="58"/>
  <c r="AQ89" i="58"/>
  <c r="AD15" i="63"/>
  <c r="AD16" i="63" s="1"/>
  <c r="AQ106" i="58"/>
  <c r="AJ12" i="3"/>
  <c r="AJ13" i="3" s="1"/>
  <c r="AJ10" i="3"/>
  <c r="AT18" i="58"/>
  <c r="AT71" i="58"/>
  <c r="AT53" i="58"/>
  <c r="AT89" i="58"/>
  <c r="AP28" i="58"/>
  <c r="AP30" i="58" s="1"/>
  <c r="AT28" i="58"/>
  <c r="AT54" i="58" s="1"/>
  <c r="AQ10" i="58"/>
  <c r="AQ53" i="58"/>
  <c r="AL36" i="58"/>
  <c r="AL72" i="58"/>
  <c r="AL30" i="58"/>
  <c r="AL31" i="58"/>
  <c r="AL33" i="58" s="1"/>
  <c r="AP35" i="58"/>
  <c r="AQ28" i="58"/>
  <c r="AQ54" i="58" s="1"/>
  <c r="AF15" i="63"/>
  <c r="AF16" i="63" s="1"/>
  <c r="AT35" i="58"/>
  <c r="AQ35" i="58"/>
  <c r="W15" i="63"/>
  <c r="W16" i="63" s="1"/>
  <c r="P112" i="3"/>
  <c r="P113" i="3" s="1"/>
  <c r="P110" i="3"/>
  <c r="Y112" i="3"/>
  <c r="Y113" i="3" s="1"/>
  <c r="Y110" i="3"/>
  <c r="I112" i="3"/>
  <c r="I113" i="3" s="1"/>
  <c r="I110" i="3"/>
  <c r="K112" i="3"/>
  <c r="K113" i="3" s="1"/>
  <c r="K110" i="3"/>
  <c r="R112" i="3"/>
  <c r="R113" i="3" s="1"/>
  <c r="R110" i="3"/>
  <c r="N112" i="3"/>
  <c r="N113" i="3" s="1"/>
  <c r="N110" i="3"/>
  <c r="T112" i="3"/>
  <c r="T113" i="3" s="1"/>
  <c r="T110" i="3"/>
  <c r="L112" i="3"/>
  <c r="L113" i="3" s="1"/>
  <c r="L110" i="3"/>
  <c r="V112" i="3"/>
  <c r="V113" i="3" s="1"/>
  <c r="V110" i="3"/>
  <c r="F112" i="3"/>
  <c r="F113" i="3" s="1"/>
  <c r="F110" i="3"/>
  <c r="U112" i="3"/>
  <c r="U113" i="3" s="1"/>
  <c r="U110" i="3"/>
  <c r="Q112" i="3"/>
  <c r="Q113" i="3" s="1"/>
  <c r="Q110" i="3"/>
  <c r="G112" i="3"/>
  <c r="G113" i="3" s="1"/>
  <c r="G110" i="3"/>
  <c r="Z112" i="3"/>
  <c r="Z113" i="3" s="1"/>
  <c r="Z110" i="3"/>
  <c r="J112" i="3"/>
  <c r="J113" i="3" s="1"/>
  <c r="J110" i="3"/>
  <c r="O112" i="3"/>
  <c r="O113" i="3" s="1"/>
  <c r="O110" i="3"/>
  <c r="AR89" i="58"/>
  <c r="W112" i="3"/>
  <c r="W113" i="3" s="1"/>
  <c r="W110" i="3"/>
  <c r="H112" i="3"/>
  <c r="H113" i="3" s="1"/>
  <c r="H110" i="3"/>
  <c r="AA112" i="3"/>
  <c r="AA113" i="3" s="1"/>
  <c r="AA110" i="3"/>
  <c r="Y15" i="63"/>
  <c r="Y16" i="63" s="1"/>
  <c r="S112" i="3"/>
  <c r="S113" i="3" s="1"/>
  <c r="S110" i="3"/>
  <c r="M112" i="3"/>
  <c r="M113" i="3" s="1"/>
  <c r="M110" i="3"/>
  <c r="AB112" i="3"/>
  <c r="AB113" i="3" s="1"/>
  <c r="AB110" i="3"/>
  <c r="I61" i="3"/>
  <c r="I62" i="3" s="1"/>
  <c r="I59" i="3"/>
  <c r="I35" i="3"/>
  <c r="AB35" i="3"/>
  <c r="AB59" i="3"/>
  <c r="AB61" i="3"/>
  <c r="AB62" i="3" s="1"/>
  <c r="T15" i="63"/>
  <c r="T16" i="63" s="1"/>
  <c r="H15" i="3"/>
  <c r="H16" i="3" s="1"/>
  <c r="AJ35" i="3"/>
  <c r="AJ61" i="3"/>
  <c r="AJ62" i="3" s="1"/>
  <c r="F35" i="3"/>
  <c r="F59" i="3"/>
  <c r="F61" i="3"/>
  <c r="F62" i="3" s="1"/>
  <c r="Y131" i="63"/>
  <c r="Y133" i="63"/>
  <c r="Y134" i="63" s="1"/>
  <c r="Z15" i="63"/>
  <c r="N15" i="3"/>
  <c r="N16" i="3" s="1"/>
  <c r="AF110" i="63"/>
  <c r="AF111" i="63" s="1"/>
  <c r="AF108" i="63"/>
  <c r="X131" i="63"/>
  <c r="X133" i="63"/>
  <c r="X134" i="63" s="1"/>
  <c r="AI9" i="63"/>
  <c r="W9" i="3"/>
  <c r="AN61" i="3"/>
  <c r="AN62" i="3" s="1"/>
  <c r="AN35" i="3"/>
  <c r="AN38" i="3" s="1"/>
  <c r="AN39" i="3" s="1"/>
  <c r="AC61" i="63"/>
  <c r="AC35" i="63"/>
  <c r="AC59" i="63"/>
  <c r="AQ58" i="63"/>
  <c r="AQ59" i="63" s="1"/>
  <c r="AG108" i="63"/>
  <c r="AG110" i="63"/>
  <c r="AG111" i="63" s="1"/>
  <c r="AJ9" i="63"/>
  <c r="X9" i="3"/>
  <c r="AI108" i="63"/>
  <c r="AI110" i="63"/>
  <c r="AI111" i="63" s="1"/>
  <c r="AL9" i="63"/>
  <c r="Z9" i="3"/>
  <c r="V9" i="3"/>
  <c r="AH9" i="63"/>
  <c r="S110" i="63"/>
  <c r="S111" i="63" s="1"/>
  <c r="S108" i="63"/>
  <c r="X15" i="63"/>
  <c r="X16" i="63" s="1"/>
  <c r="L15" i="3"/>
  <c r="L16" i="3" s="1"/>
  <c r="AA35" i="3"/>
  <c r="AA61" i="3"/>
  <c r="AA62" i="3" s="1"/>
  <c r="AA59" i="3"/>
  <c r="AB108" i="63"/>
  <c r="AB110" i="63"/>
  <c r="AB111" i="63" s="1"/>
  <c r="AN61" i="63"/>
  <c r="AN62" i="63" s="1"/>
  <c r="AN35" i="63"/>
  <c r="AN59" i="63"/>
  <c r="T59" i="3"/>
  <c r="T61" i="3"/>
  <c r="T62" i="3" s="1"/>
  <c r="T35" i="3"/>
  <c r="Y9" i="3"/>
  <c r="AK9" i="63"/>
  <c r="E15" i="3"/>
  <c r="E16" i="3" s="1"/>
  <c r="Q15" i="63"/>
  <c r="Q16" i="63" s="1"/>
  <c r="AI15" i="63"/>
  <c r="AI16" i="63" s="1"/>
  <c r="W15" i="3"/>
  <c r="W16" i="3" s="1"/>
  <c r="I15" i="3"/>
  <c r="I16" i="3" s="1"/>
  <c r="U15" i="63"/>
  <c r="U16" i="63" s="1"/>
  <c r="T133" i="63"/>
  <c r="T134" i="63" s="1"/>
  <c r="T131" i="63"/>
  <c r="AF59" i="3"/>
  <c r="AF35" i="3"/>
  <c r="AF61" i="3"/>
  <c r="AF62" i="3" s="1"/>
  <c r="AO58" i="3"/>
  <c r="AM35" i="63"/>
  <c r="AM61" i="63"/>
  <c r="AM62" i="63" s="1"/>
  <c r="AM59" i="63"/>
  <c r="Q108" i="63"/>
  <c r="Q110" i="63"/>
  <c r="Q111" i="63" s="1"/>
  <c r="K59" i="3"/>
  <c r="K61" i="3"/>
  <c r="K62" i="3" s="1"/>
  <c r="K35" i="3"/>
  <c r="E9" i="3"/>
  <c r="Q9" i="63"/>
  <c r="AC110" i="63"/>
  <c r="AC111" i="63" s="1"/>
  <c r="AC108" i="63"/>
  <c r="U9" i="63"/>
  <c r="I9" i="3"/>
  <c r="AA110" i="63"/>
  <c r="AA111" i="63" s="1"/>
  <c r="AA108" i="63"/>
  <c r="AQ15" i="3"/>
  <c r="AQ16" i="3" s="1"/>
  <c r="AC16" i="3"/>
  <c r="M9" i="3"/>
  <c r="Y9" i="63"/>
  <c r="Y15" i="3"/>
  <c r="Y16" i="3" s="1"/>
  <c r="AK15" i="63"/>
  <c r="AK16" i="63" s="1"/>
  <c r="Q35" i="63"/>
  <c r="Q59" i="63"/>
  <c r="Q61" i="63"/>
  <c r="Q62" i="63" s="1"/>
  <c r="S135" i="3"/>
  <c r="S136" i="3" s="1"/>
  <c r="S133" i="3"/>
  <c r="AG12" i="3"/>
  <c r="AG13" i="3" s="1"/>
  <c r="AG10" i="3"/>
  <c r="AR71" i="58"/>
  <c r="T108" i="63"/>
  <c r="T110" i="63"/>
  <c r="T111" i="63" s="1"/>
  <c r="R135" i="3"/>
  <c r="R136" i="3" s="1"/>
  <c r="AP132" i="3"/>
  <c r="AP135" i="3" s="1"/>
  <c r="AP136" i="3" s="1"/>
  <c r="R133" i="3"/>
  <c r="AA35" i="63"/>
  <c r="AA61" i="63"/>
  <c r="AA62" i="63" s="1"/>
  <c r="AA59" i="63"/>
  <c r="AA131" i="63"/>
  <c r="AA133" i="63"/>
  <c r="AA134" i="63" s="1"/>
  <c r="AP35" i="62"/>
  <c r="AP103" i="62"/>
  <c r="AP52" i="62"/>
  <c r="AP69" i="62"/>
  <c r="AP86" i="62"/>
  <c r="E135" i="3"/>
  <c r="E136" i="3" s="1"/>
  <c r="E133" i="3"/>
  <c r="Y35" i="63"/>
  <c r="Y61" i="63"/>
  <c r="Y62" i="63" s="1"/>
  <c r="Y59" i="63"/>
  <c r="F9" i="3"/>
  <c r="R9" i="63"/>
  <c r="AF9" i="63"/>
  <c r="T9" i="3"/>
  <c r="AE108" i="63"/>
  <c r="AE110" i="63"/>
  <c r="AE111" i="63" s="1"/>
  <c r="AC131" i="63"/>
  <c r="AC133" i="63"/>
  <c r="AC134" i="63" s="1"/>
  <c r="U59" i="63"/>
  <c r="U35" i="63"/>
  <c r="U61" i="63"/>
  <c r="U62" i="63" s="1"/>
  <c r="AE59" i="63"/>
  <c r="AE61" i="63"/>
  <c r="AE62" i="63" s="1"/>
  <c r="AE35" i="63"/>
  <c r="U133" i="63"/>
  <c r="U134" i="63" s="1"/>
  <c r="U131" i="63"/>
  <c r="AM110" i="63"/>
  <c r="AM111" i="63" s="1"/>
  <c r="AM108" i="63"/>
  <c r="AE15" i="63"/>
  <c r="AE16" i="63" s="1"/>
  <c r="S15" i="3"/>
  <c r="S16" i="3" s="1"/>
  <c r="P10" i="63"/>
  <c r="P12" i="63"/>
  <c r="P13" i="63" s="1"/>
  <c r="AG61" i="3"/>
  <c r="AG62" i="3" s="1"/>
  <c r="AG35" i="3"/>
  <c r="AG59" i="3"/>
  <c r="U15" i="3"/>
  <c r="U16" i="3" s="1"/>
  <c r="AG15" i="63"/>
  <c r="AG16" i="63" s="1"/>
  <c r="AA9" i="63"/>
  <c r="O9" i="3"/>
  <c r="S9" i="3"/>
  <c r="AE9" i="63"/>
  <c r="AP16" i="62"/>
  <c r="AO16" i="62"/>
  <c r="AQ109" i="3" a="1"/>
  <c r="AQ109" i="3" s="1"/>
  <c r="E112" i="3"/>
  <c r="E113" i="3" s="1"/>
  <c r="W35" i="63"/>
  <c r="W59" i="63"/>
  <c r="W61" i="63"/>
  <c r="W62" i="63" s="1"/>
  <c r="AI10" i="3"/>
  <c r="AI12" i="3"/>
  <c r="AI13" i="3" s="1"/>
  <c r="P35" i="63"/>
  <c r="P61" i="63"/>
  <c r="P62" i="63" s="1"/>
  <c r="P59" i="63"/>
  <c r="Y135" i="3"/>
  <c r="Y136" i="3" s="1"/>
  <c r="Y133" i="3"/>
  <c r="AH12" i="3"/>
  <c r="AH13" i="3" s="1"/>
  <c r="AH10" i="3"/>
  <c r="E35" i="3"/>
  <c r="E59" i="3"/>
  <c r="AQ58" i="3" a="1"/>
  <c r="AQ58" i="3" s="1"/>
  <c r="E61" i="3"/>
  <c r="E62" i="3" s="1"/>
  <c r="J15" i="3"/>
  <c r="J16" i="3" s="1"/>
  <c r="V15" i="63"/>
  <c r="V16" i="63" s="1"/>
  <c r="AI61" i="3"/>
  <c r="AI62" i="3" s="1"/>
  <c r="AI59" i="3"/>
  <c r="AI35" i="3"/>
  <c r="V15" i="3"/>
  <c r="V16" i="3" s="1"/>
  <c r="AH15" i="63"/>
  <c r="AH16" i="63" s="1"/>
  <c r="AK110" i="63"/>
  <c r="AK111" i="63" s="1"/>
  <c r="AK108" i="63"/>
  <c r="Z15" i="3"/>
  <c r="AL15" i="63"/>
  <c r="AL16" i="63" s="1"/>
  <c r="AH59" i="3"/>
  <c r="AH35" i="3"/>
  <c r="AH61" i="3"/>
  <c r="AH62" i="3" s="1"/>
  <c r="Q15" i="3"/>
  <c r="Q16" i="3" s="1"/>
  <c r="AC15" i="63"/>
  <c r="AD110" i="63"/>
  <c r="AD111" i="63" s="1"/>
  <c r="AD108" i="63"/>
  <c r="O59" i="3"/>
  <c r="O61" i="3"/>
  <c r="O62" i="3" s="1"/>
  <c r="O35" i="3"/>
  <c r="AO130" i="63"/>
  <c r="AO133" i="63" s="1"/>
  <c r="AO134" i="63" s="1"/>
  <c r="Z133" i="63"/>
  <c r="Z134" i="63" s="1"/>
  <c r="Z131" i="63"/>
  <c r="AO131" i="63" s="1"/>
  <c r="M35" i="3"/>
  <c r="M61" i="3"/>
  <c r="M62" i="3" s="1"/>
  <c r="M59" i="3"/>
  <c r="R35" i="63"/>
  <c r="AP58" i="63"/>
  <c r="AP61" i="63" s="1"/>
  <c r="AP62" i="63" s="1"/>
  <c r="R61" i="63"/>
  <c r="R62" i="63" s="1"/>
  <c r="R59" i="63"/>
  <c r="AF10" i="3"/>
  <c r="AO9" i="3"/>
  <c r="AF12" i="3"/>
  <c r="AF13" i="3" s="1"/>
  <c r="U110" i="63"/>
  <c r="U111" i="63" s="1"/>
  <c r="U108" i="63"/>
  <c r="N9" i="3"/>
  <c r="Z9" i="63"/>
  <c r="AS9" i="3"/>
  <c r="AS10" i="3" s="1"/>
  <c r="AC10" i="3"/>
  <c r="AC12" i="3"/>
  <c r="R9" i="3"/>
  <c r="AD9" i="63"/>
  <c r="V35" i="3"/>
  <c r="V59" i="3"/>
  <c r="V61" i="3"/>
  <c r="V62" i="3" s="1"/>
  <c r="AP16" i="66"/>
  <c r="AO16" i="66"/>
  <c r="AJ108" i="63"/>
  <c r="AJ110" i="63"/>
  <c r="AJ111" i="63" s="1"/>
  <c r="AD35" i="3"/>
  <c r="AD61" i="3"/>
  <c r="AD62" i="3" s="1"/>
  <c r="AD59" i="3"/>
  <c r="L59" i="3"/>
  <c r="L35" i="3"/>
  <c r="L61" i="3"/>
  <c r="L62" i="3" s="1"/>
  <c r="Z133" i="3"/>
  <c r="AO132" i="3"/>
  <c r="AO135" i="3" s="1"/>
  <c r="AO136" i="3" s="1"/>
  <c r="Z135" i="3"/>
  <c r="Z136" i="3" s="1"/>
  <c r="AC61" i="3"/>
  <c r="AS58" i="3"/>
  <c r="AS59" i="3" s="1"/>
  <c r="AC35" i="3"/>
  <c r="AC59" i="3"/>
  <c r="AD59" i="63"/>
  <c r="AD61" i="63"/>
  <c r="AD62" i="63" s="1"/>
  <c r="AD35" i="63"/>
  <c r="S59" i="63"/>
  <c r="S61" i="63"/>
  <c r="S62" i="63" s="1"/>
  <c r="S35" i="63"/>
  <c r="X59" i="63"/>
  <c r="X35" i="63"/>
  <c r="X61" i="63"/>
  <c r="X62" i="63" s="1"/>
  <c r="AL110" i="63"/>
  <c r="AL111" i="63" s="1"/>
  <c r="AL108" i="63"/>
  <c r="AH108" i="63"/>
  <c r="AH110" i="63"/>
  <c r="AH111" i="63" s="1"/>
  <c r="AO16" i="67"/>
  <c r="AG35" i="63"/>
  <c r="AG59" i="63"/>
  <c r="AG61" i="63"/>
  <c r="AG62" i="63" s="1"/>
  <c r="T135" i="3"/>
  <c r="T136" i="3" s="1"/>
  <c r="T133" i="3"/>
  <c r="W133" i="63"/>
  <c r="W134" i="63" s="1"/>
  <c r="W131" i="63"/>
  <c r="R15" i="63"/>
  <c r="F15" i="3"/>
  <c r="F16" i="3" s="1"/>
  <c r="G35" i="3"/>
  <c r="G59" i="3"/>
  <c r="G61" i="3"/>
  <c r="G62" i="3" s="1"/>
  <c r="AO10" i="62"/>
  <c r="AR53" i="58"/>
  <c r="AC135" i="3"/>
  <c r="AC136" i="3" s="1"/>
  <c r="AC133" i="3"/>
  <c r="AL35" i="3"/>
  <c r="AL38" i="3" s="1"/>
  <c r="AL39" i="3" s="1"/>
  <c r="AL61" i="3"/>
  <c r="AL62" i="3" s="1"/>
  <c r="AB133" i="3"/>
  <c r="AB135" i="3"/>
  <c r="AB136" i="3" s="1"/>
  <c r="AB61" i="63"/>
  <c r="AB62" i="63" s="1"/>
  <c r="AB59" i="63"/>
  <c r="AB35" i="63"/>
  <c r="R110" i="63"/>
  <c r="R111" i="63" s="1"/>
  <c r="AP107" i="63"/>
  <c r="AP110" i="63" s="1"/>
  <c r="AP111" i="63" s="1"/>
  <c r="R108" i="63"/>
  <c r="S59" i="3"/>
  <c r="S35" i="3"/>
  <c r="S61" i="3"/>
  <c r="S62" i="3" s="1"/>
  <c r="Z59" i="63"/>
  <c r="Z35" i="63"/>
  <c r="Z61" i="63"/>
  <c r="Z62" i="63" s="1"/>
  <c r="AO58" i="63"/>
  <c r="AO61" i="63" s="1"/>
  <c r="AO62" i="63" s="1"/>
  <c r="AA15" i="3"/>
  <c r="AA16" i="3" s="1"/>
  <c r="AM15" i="63"/>
  <c r="AM16" i="63" s="1"/>
  <c r="AP130" i="63"/>
  <c r="AP133" i="63" s="1"/>
  <c r="AP134" i="63" s="1"/>
  <c r="R131" i="63"/>
  <c r="AP131" i="63" s="1"/>
  <c r="R133" i="63"/>
  <c r="R134" i="63" s="1"/>
  <c r="V131" i="63"/>
  <c r="V133" i="63"/>
  <c r="V134" i="63" s="1"/>
  <c r="P61" i="3"/>
  <c r="P62" i="3" s="1"/>
  <c r="P59" i="3"/>
  <c r="P35" i="3"/>
  <c r="Q61" i="3"/>
  <c r="Q62" i="3" s="1"/>
  <c r="Q35" i="3"/>
  <c r="Q59" i="3"/>
  <c r="K9" i="3"/>
  <c r="W9" i="63"/>
  <c r="G15" i="3"/>
  <c r="G16" i="3" s="1"/>
  <c r="S15" i="63"/>
  <c r="S16" i="63" s="1"/>
  <c r="AN15" i="63"/>
  <c r="AN16" i="63" s="1"/>
  <c r="AB15" i="3"/>
  <c r="AB16" i="3" s="1"/>
  <c r="AE10" i="3"/>
  <c r="AE12" i="3"/>
  <c r="AE13" i="3" s="1"/>
  <c r="AI59" i="63"/>
  <c r="AI61" i="63"/>
  <c r="AI62" i="63" s="1"/>
  <c r="AI35" i="63"/>
  <c r="J9" i="3"/>
  <c r="V9" i="63"/>
  <c r="AA15" i="63"/>
  <c r="AA16" i="63" s="1"/>
  <c r="O15" i="3"/>
  <c r="O16" i="3" s="1"/>
  <c r="V108" i="63"/>
  <c r="V110" i="63"/>
  <c r="V111" i="63" s="1"/>
  <c r="P9" i="3"/>
  <c r="AB9" i="63"/>
  <c r="X15" i="3"/>
  <c r="X16" i="3" s="1"/>
  <c r="AJ15" i="63"/>
  <c r="AJ16" i="63" s="1"/>
  <c r="AA135" i="3"/>
  <c r="AA136" i="3" s="1"/>
  <c r="AA133" i="3"/>
  <c r="R59" i="3"/>
  <c r="R35" i="3"/>
  <c r="R61" i="3"/>
  <c r="R62" i="3" s="1"/>
  <c r="AD10" i="3"/>
  <c r="AD12" i="3"/>
  <c r="AD13" i="3" s="1"/>
  <c r="X9" i="63"/>
  <c r="L9" i="3"/>
  <c r="G9" i="3"/>
  <c r="S9" i="63"/>
  <c r="Z110" i="63"/>
  <c r="Z111" i="63" s="1"/>
  <c r="AO107" i="63"/>
  <c r="AO110" i="63" s="1"/>
  <c r="AO111" i="63" s="1"/>
  <c r="Z108" i="63"/>
  <c r="N59" i="3"/>
  <c r="N35" i="3"/>
  <c r="N61" i="3"/>
  <c r="N62" i="3" s="1"/>
  <c r="U9" i="3"/>
  <c r="AG9" i="63"/>
  <c r="AP109" i="3"/>
  <c r="X112" i="3"/>
  <c r="X113" i="3" s="1"/>
  <c r="AS109" i="3"/>
  <c r="AS110" i="3" s="1"/>
  <c r="AC112" i="3"/>
  <c r="AC113" i="3" s="1"/>
  <c r="AN110" i="63"/>
  <c r="AN111" i="63" s="1"/>
  <c r="AN108" i="63"/>
  <c r="X108" i="63"/>
  <c r="X110" i="63"/>
  <c r="X111" i="63" s="1"/>
  <c r="W108" i="63"/>
  <c r="W110" i="63"/>
  <c r="W111" i="63" s="1"/>
  <c r="T59" i="63"/>
  <c r="T35" i="63"/>
  <c r="T61" i="63"/>
  <c r="T62" i="63" s="1"/>
  <c r="U133" i="3"/>
  <c r="U135" i="3"/>
  <c r="U136" i="3" s="1"/>
  <c r="AE35" i="3"/>
  <c r="AE59" i="3"/>
  <c r="AE61" i="3"/>
  <c r="AE62" i="3" s="1"/>
  <c r="Z59" i="3"/>
  <c r="Z35" i="3"/>
  <c r="Z61" i="3"/>
  <c r="Z62" i="3" s="1"/>
  <c r="W59" i="3"/>
  <c r="W61" i="3"/>
  <c r="W62" i="3" s="1"/>
  <c r="W35" i="3"/>
  <c r="AO112" i="3"/>
  <c r="AO110" i="3"/>
  <c r="H61" i="3"/>
  <c r="H62" i="3" s="1"/>
  <c r="H35" i="3"/>
  <c r="H59" i="3"/>
  <c r="AO29" i="57"/>
  <c r="AO30" i="57" s="1"/>
  <c r="AI30" i="57"/>
  <c r="AP29" i="57"/>
  <c r="AP30" i="57" s="1"/>
  <c r="AS29" i="57"/>
  <c r="AS30" i="57" s="1"/>
  <c r="AB131" i="63"/>
  <c r="AB133" i="63"/>
  <c r="AB134" i="63" s="1"/>
  <c r="AK72" i="58"/>
  <c r="AK36" i="58"/>
  <c r="AK30" i="58"/>
  <c r="AR28" i="58" a="1"/>
  <c r="AR28" i="58" s="1"/>
  <c r="AR54" i="58" s="1"/>
  <c r="V35" i="63"/>
  <c r="V61" i="63"/>
  <c r="V62" i="63" s="1"/>
  <c r="V59" i="63"/>
  <c r="AR18" i="58"/>
  <c r="X35" i="3"/>
  <c r="X59" i="3"/>
  <c r="X61" i="3"/>
  <c r="X62" i="3" s="1"/>
  <c r="AP58" i="3"/>
  <c r="AM9" i="63"/>
  <c r="AA9" i="3"/>
  <c r="Y61" i="3"/>
  <c r="Y62" i="3" s="1"/>
  <c r="Y35" i="3"/>
  <c r="Y59" i="3"/>
  <c r="Y110" i="63"/>
  <c r="Y111" i="63" s="1"/>
  <c r="Y108" i="63"/>
  <c r="X133" i="3"/>
  <c r="X135" i="3"/>
  <c r="X136" i="3" s="1"/>
  <c r="V135" i="3"/>
  <c r="V136" i="3" s="1"/>
  <c r="V133" i="3"/>
  <c r="U35" i="3"/>
  <c r="U59" i="3"/>
  <c r="U61" i="3"/>
  <c r="U62" i="3" s="1"/>
  <c r="AK61" i="3"/>
  <c r="AK62" i="3" s="1"/>
  <c r="AK35" i="3"/>
  <c r="AK38" i="3" s="1"/>
  <c r="AK39" i="3" s="1"/>
  <c r="Q9" i="3"/>
  <c r="AC9" i="63"/>
  <c r="AJ61" i="63"/>
  <c r="AJ62" i="63" s="1"/>
  <c r="AJ35" i="63"/>
  <c r="AJ59" i="63"/>
  <c r="W135" i="3"/>
  <c r="W136" i="3" s="1"/>
  <c r="W133" i="3"/>
  <c r="AL59" i="63"/>
  <c r="AL61" i="63"/>
  <c r="AL62" i="63" s="1"/>
  <c r="AL35" i="63"/>
  <c r="AM61" i="3"/>
  <c r="AM62" i="3" s="1"/>
  <c r="AM35" i="3"/>
  <c r="AM38" i="3" s="1"/>
  <c r="AM39" i="3" s="1"/>
  <c r="AH59" i="63"/>
  <c r="AH35" i="63"/>
  <c r="AH61" i="63"/>
  <c r="AH62" i="63" s="1"/>
  <c r="S133" i="63"/>
  <c r="S134" i="63" s="1"/>
  <c r="S131" i="63"/>
  <c r="R16" i="3"/>
  <c r="T9" i="63"/>
  <c r="H9" i="3"/>
  <c r="AN9" i="63"/>
  <c r="AB9" i="3"/>
  <c r="AF61" i="63"/>
  <c r="AF62" i="63" s="1"/>
  <c r="AF59" i="63"/>
  <c r="AF35" i="63"/>
  <c r="J61" i="3"/>
  <c r="J62" i="3" s="1"/>
  <c r="J59" i="3"/>
  <c r="J35" i="3"/>
  <c r="AK61" i="63"/>
  <c r="AK62" i="63" s="1"/>
  <c r="AK59" i="63"/>
  <c r="AK35" i="63"/>
  <c r="AJ38" i="3" l="1"/>
  <c r="AJ39" i="3" s="1"/>
  <c r="AJ36" i="3"/>
  <c r="AP54" i="58"/>
  <c r="AT36" i="58"/>
  <c r="AP72" i="58"/>
  <c r="AT30" i="58"/>
  <c r="AT72" i="58"/>
  <c r="AP36" i="58"/>
  <c r="AQ72" i="58"/>
  <c r="AQ36" i="58"/>
  <c r="AQ30" i="58"/>
  <c r="T12" i="63"/>
  <c r="T13" i="63" s="1"/>
  <c r="T10" i="63"/>
  <c r="T10" i="3"/>
  <c r="T12" i="3"/>
  <c r="T13" i="3" s="1"/>
  <c r="X10" i="63"/>
  <c r="X12" i="63"/>
  <c r="X13" i="63" s="1"/>
  <c r="P36" i="63"/>
  <c r="P38" i="63"/>
  <c r="P39" i="63" s="1"/>
  <c r="H12" i="3"/>
  <c r="H13" i="3" s="1"/>
  <c r="H10" i="3"/>
  <c r="AO108" i="63"/>
  <c r="S38" i="3"/>
  <c r="S39" i="3" s="1"/>
  <c r="S36" i="3"/>
  <c r="AG36" i="63"/>
  <c r="AG38" i="63"/>
  <c r="AG39" i="63" s="1"/>
  <c r="AD36" i="63"/>
  <c r="AD38" i="63"/>
  <c r="AD39" i="63" s="1"/>
  <c r="AO9" i="63"/>
  <c r="AO12" i="63" s="1"/>
  <c r="AO13" i="63" s="1"/>
  <c r="Z12" i="63"/>
  <c r="Z13" i="63" s="1"/>
  <c r="Z10" i="63"/>
  <c r="Z16" i="3"/>
  <c r="AO16" i="3" s="1"/>
  <c r="AO15" i="3"/>
  <c r="I10" i="3"/>
  <c r="I12" i="3"/>
  <c r="I13" i="3" s="1"/>
  <c r="AO59" i="3"/>
  <c r="AO61" i="3"/>
  <c r="AO62" i="3" s="1"/>
  <c r="T38" i="3"/>
  <c r="T39" i="3" s="1"/>
  <c r="T36" i="3"/>
  <c r="AC62" i="63"/>
  <c r="AQ61" i="63"/>
  <c r="AQ62" i="63" s="1"/>
  <c r="AE10" i="63"/>
  <c r="AE12" i="63"/>
  <c r="AE13" i="63" s="1"/>
  <c r="AR72" i="58"/>
  <c r="AR36" i="58"/>
  <c r="AE36" i="3"/>
  <c r="AE38" i="3"/>
  <c r="AE39" i="3" s="1"/>
  <c r="S10" i="63"/>
  <c r="S12" i="63"/>
  <c r="S13" i="63" s="1"/>
  <c r="P10" i="3"/>
  <c r="P12" i="3"/>
  <c r="P13" i="3" s="1"/>
  <c r="O38" i="3"/>
  <c r="O39" i="3" s="1"/>
  <c r="O36" i="3"/>
  <c r="S10" i="3"/>
  <c r="S12" i="3"/>
  <c r="S13" i="3" s="1"/>
  <c r="R10" i="63"/>
  <c r="R12" i="63"/>
  <c r="R13" i="63" s="1"/>
  <c r="AP9" i="63"/>
  <c r="AP12" i="63" s="1"/>
  <c r="AP13" i="63" s="1"/>
  <c r="Z10" i="3"/>
  <c r="Z12" i="3"/>
  <c r="Z13" i="3" s="1"/>
  <c r="W12" i="3"/>
  <c r="W13" i="3" s="1"/>
  <c r="W10" i="3"/>
  <c r="F36" i="3"/>
  <c r="F38" i="3"/>
  <c r="F39" i="3" s="1"/>
  <c r="N10" i="3"/>
  <c r="N12" i="3"/>
  <c r="N13" i="3" s="1"/>
  <c r="AH10" i="63"/>
  <c r="AH12" i="63"/>
  <c r="AH13" i="63" s="1"/>
  <c r="AK38" i="63"/>
  <c r="AK39" i="63" s="1"/>
  <c r="AK36" i="63"/>
  <c r="AF12" i="63"/>
  <c r="AF13" i="63" s="1"/>
  <c r="AF10" i="63"/>
  <c r="V10" i="3"/>
  <c r="V12" i="3"/>
  <c r="V13" i="3" s="1"/>
  <c r="AJ38" i="63"/>
  <c r="AJ39" i="63" s="1"/>
  <c r="AJ36" i="63"/>
  <c r="G12" i="3"/>
  <c r="G13" i="3" s="1"/>
  <c r="G10" i="3"/>
  <c r="AC36" i="3"/>
  <c r="AC38" i="3"/>
  <c r="AS35" i="3"/>
  <c r="AS36" i="3" s="1"/>
  <c r="O12" i="3"/>
  <c r="O13" i="3" s="1"/>
  <c r="O10" i="3"/>
  <c r="F12" i="3"/>
  <c r="F13" i="3" s="1"/>
  <c r="F10" i="3"/>
  <c r="Q12" i="63"/>
  <c r="Q13" i="63" s="1"/>
  <c r="Q10" i="63"/>
  <c r="AN36" i="63"/>
  <c r="AN38" i="63"/>
  <c r="AN39" i="63" s="1"/>
  <c r="AL12" i="63"/>
  <c r="AL13" i="63" s="1"/>
  <c r="AL10" i="63"/>
  <c r="AI10" i="63"/>
  <c r="AI12" i="63"/>
  <c r="AI13" i="63" s="1"/>
  <c r="AP15" i="3"/>
  <c r="V36" i="63"/>
  <c r="V38" i="63"/>
  <c r="V39" i="63" s="1"/>
  <c r="AB12" i="63"/>
  <c r="AB13" i="63" s="1"/>
  <c r="AB10" i="63"/>
  <c r="AP108" i="63"/>
  <c r="AO35" i="3"/>
  <c r="AF38" i="3"/>
  <c r="AF39" i="3" s="1"/>
  <c r="AF36" i="3"/>
  <c r="J36" i="3"/>
  <c r="J38" i="3"/>
  <c r="J39" i="3" s="1"/>
  <c r="AQ9" i="63"/>
  <c r="AQ10" i="63" s="1"/>
  <c r="AC12" i="63"/>
  <c r="AC10" i="63"/>
  <c r="Y36" i="3"/>
  <c r="Y38" i="3"/>
  <c r="Y39" i="3" s="1"/>
  <c r="H36" i="3"/>
  <c r="H38" i="3"/>
  <c r="H39" i="3" s="1"/>
  <c r="L12" i="3"/>
  <c r="L13" i="3" s="1"/>
  <c r="L10" i="3"/>
  <c r="AB38" i="63"/>
  <c r="AB39" i="63" s="1"/>
  <c r="AB36" i="63"/>
  <c r="G38" i="3"/>
  <c r="G39" i="3" s="1"/>
  <c r="G36" i="3"/>
  <c r="AO12" i="3"/>
  <c r="AO13" i="3" s="1"/>
  <c r="AO10" i="3"/>
  <c r="AI38" i="3"/>
  <c r="AI39" i="3" s="1"/>
  <c r="AI36" i="3"/>
  <c r="AA10" i="63"/>
  <c r="AA12" i="63"/>
  <c r="AA13" i="63" s="1"/>
  <c r="AE38" i="63"/>
  <c r="AE39" i="63" s="1"/>
  <c r="AE36" i="63"/>
  <c r="AA36" i="63"/>
  <c r="AA38" i="63"/>
  <c r="AA39" i="63" s="1"/>
  <c r="Q36" i="63"/>
  <c r="Q38" i="63"/>
  <c r="Q39" i="63" s="1"/>
  <c r="E12" i="3"/>
  <c r="E13" i="3" s="1"/>
  <c r="AQ9" i="3" a="1"/>
  <c r="AQ9" i="3" s="1"/>
  <c r="E10" i="3"/>
  <c r="AP15" i="63"/>
  <c r="R16" i="63"/>
  <c r="AP59" i="63"/>
  <c r="Y36" i="63"/>
  <c r="Y38" i="63"/>
  <c r="Y39" i="63" s="1"/>
  <c r="AP9" i="3"/>
  <c r="X10" i="3"/>
  <c r="X12" i="3"/>
  <c r="X13" i="3" s="1"/>
  <c r="O111" i="55"/>
  <c r="U78" i="58"/>
  <c r="AD36" i="3"/>
  <c r="AD38" i="3"/>
  <c r="AD39" i="3" s="1"/>
  <c r="K38" i="3"/>
  <c r="K39" i="3" s="1"/>
  <c r="K36" i="3"/>
  <c r="AA10" i="3"/>
  <c r="AA12" i="3"/>
  <c r="AA13" i="3" s="1"/>
  <c r="AM10" i="63"/>
  <c r="AM12" i="63"/>
  <c r="AM13" i="63" s="1"/>
  <c r="AO89" i="3"/>
  <c r="AO65" i="3"/>
  <c r="AO113" i="3"/>
  <c r="AP110" i="3"/>
  <c r="AP112" i="3"/>
  <c r="V10" i="63"/>
  <c r="V12" i="63"/>
  <c r="V13" i="63" s="1"/>
  <c r="W10" i="63"/>
  <c r="W12" i="63"/>
  <c r="W13" i="63" s="1"/>
  <c r="V36" i="3"/>
  <c r="V38" i="3"/>
  <c r="V39" i="3" s="1"/>
  <c r="AC16" i="63"/>
  <c r="AQ15" i="63"/>
  <c r="AQ16" i="63" s="1"/>
  <c r="Y12" i="63"/>
  <c r="Y13" i="63" s="1"/>
  <c r="Y10" i="63"/>
  <c r="AJ12" i="63"/>
  <c r="AJ13" i="63" s="1"/>
  <c r="AJ10" i="63"/>
  <c r="N5" i="62"/>
  <c r="N7" i="62" s="1"/>
  <c r="N5" i="67"/>
  <c r="N7" i="67" s="1"/>
  <c r="G111" i="55"/>
  <c r="U42" i="58"/>
  <c r="N5" i="66"/>
  <c r="N7" i="66" s="1"/>
  <c r="U5" i="58"/>
  <c r="U10" i="63"/>
  <c r="U12" i="63"/>
  <c r="U13" i="63" s="1"/>
  <c r="AG12" i="63"/>
  <c r="AG13" i="63" s="1"/>
  <c r="AG10" i="63"/>
  <c r="J10" i="3"/>
  <c r="J12" i="3"/>
  <c r="J13" i="3" s="1"/>
  <c r="K12" i="3"/>
  <c r="K13" i="3" s="1"/>
  <c r="K10" i="3"/>
  <c r="X38" i="63"/>
  <c r="X39" i="63" s="1"/>
  <c r="X36" i="63"/>
  <c r="AO133" i="3"/>
  <c r="AD10" i="63"/>
  <c r="AD12" i="63"/>
  <c r="AD13" i="63" s="1"/>
  <c r="AG36" i="3"/>
  <c r="AG38" i="3"/>
  <c r="AG39" i="3" s="1"/>
  <c r="U38" i="63"/>
  <c r="U39" i="63" s="1"/>
  <c r="U36" i="63"/>
  <c r="M10" i="3"/>
  <c r="M12" i="3"/>
  <c r="M13" i="3" s="1"/>
  <c r="AP61" i="3"/>
  <c r="AP62" i="3" s="1"/>
  <c r="AP59" i="3"/>
  <c r="U12" i="3"/>
  <c r="U13" i="3" s="1"/>
  <c r="U10" i="3"/>
  <c r="R36" i="3"/>
  <c r="R38" i="3"/>
  <c r="R39" i="3" s="1"/>
  <c r="R10" i="3"/>
  <c r="R12" i="3"/>
  <c r="R13" i="3" s="1"/>
  <c r="R38" i="63"/>
  <c r="R39" i="63" s="1"/>
  <c r="R36" i="63"/>
  <c r="AP35" i="63"/>
  <c r="AP38" i="63" s="1"/>
  <c r="AP39" i="63" s="1"/>
  <c r="AA38" i="3"/>
  <c r="AA39" i="3" s="1"/>
  <c r="AA36" i="3"/>
  <c r="AB36" i="3"/>
  <c r="AB38" i="3"/>
  <c r="AB39" i="3" s="1"/>
  <c r="Q10" i="3"/>
  <c r="Q12" i="3"/>
  <c r="Q13" i="3" s="1"/>
  <c r="AF38" i="63"/>
  <c r="AF39" i="63" s="1"/>
  <c r="AF36" i="63"/>
  <c r="Q38" i="3"/>
  <c r="Q39" i="3" s="1"/>
  <c r="Q36" i="3"/>
  <c r="Z38" i="63"/>
  <c r="Z39" i="63" s="1"/>
  <c r="AO35" i="63"/>
  <c r="AO38" i="63" s="1"/>
  <c r="AO39" i="63" s="1"/>
  <c r="Z36" i="63"/>
  <c r="S38" i="63"/>
  <c r="S39" i="63" s="1"/>
  <c r="S36" i="63"/>
  <c r="L38" i="3"/>
  <c r="L39" i="3" s="1"/>
  <c r="L36" i="3"/>
  <c r="AC13" i="3"/>
  <c r="AR12" i="3"/>
  <c r="AR13" i="3" s="1"/>
  <c r="AH38" i="3"/>
  <c r="AH39" i="3" s="1"/>
  <c r="AH36" i="3"/>
  <c r="W38" i="63"/>
  <c r="W39" i="63" s="1"/>
  <c r="W36" i="63"/>
  <c r="I36" i="3"/>
  <c r="I38" i="3"/>
  <c r="I39" i="3" s="1"/>
  <c r="AH36" i="63"/>
  <c r="AH38" i="63"/>
  <c r="AH39" i="63" s="1"/>
  <c r="U38" i="3"/>
  <c r="U39" i="3" s="1"/>
  <c r="U36" i="3"/>
  <c r="AB12" i="3"/>
  <c r="AB10" i="3"/>
  <c r="X36" i="3"/>
  <c r="X38" i="3"/>
  <c r="X39" i="3" s="1"/>
  <c r="AP35" i="3"/>
  <c r="N38" i="3"/>
  <c r="N39" i="3" s="1"/>
  <c r="N36" i="3"/>
  <c r="AO59" i="63"/>
  <c r="AK12" i="63"/>
  <c r="AK13" i="63" s="1"/>
  <c r="AK10" i="63"/>
  <c r="Z16" i="63"/>
  <c r="AO15" i="63"/>
  <c r="AC62" i="3"/>
  <c r="AQ61" i="3"/>
  <c r="AQ62" i="3" s="1"/>
  <c r="AP133" i="3"/>
  <c r="T36" i="63"/>
  <c r="T38" i="63"/>
  <c r="T39" i="63" s="1"/>
  <c r="W38" i="3"/>
  <c r="W39" i="3" s="1"/>
  <c r="W36" i="3"/>
  <c r="AL38" i="63"/>
  <c r="AL39" i="63" s="1"/>
  <c r="AL36" i="63"/>
  <c r="AN10" i="63"/>
  <c r="AN12" i="63"/>
  <c r="AN13" i="63" s="1"/>
  <c r="Z38" i="3"/>
  <c r="Z39" i="3" s="1"/>
  <c r="Z36" i="3"/>
  <c r="AI36" i="63"/>
  <c r="AI38" i="63"/>
  <c r="AI39" i="63" s="1"/>
  <c r="P36" i="3"/>
  <c r="P38" i="3"/>
  <c r="P39" i="3" s="1"/>
  <c r="M38" i="3"/>
  <c r="M39" i="3" s="1"/>
  <c r="M36" i="3"/>
  <c r="E38" i="3"/>
  <c r="E39" i="3" s="1"/>
  <c r="E36" i="3"/>
  <c r="AQ35" i="3" a="1"/>
  <c r="AQ35" i="3" s="1"/>
  <c r="AM36" i="63"/>
  <c r="AM38" i="63"/>
  <c r="AM39" i="63" s="1"/>
  <c r="Y10" i="3"/>
  <c r="Y12" i="3"/>
  <c r="Y13" i="3" s="1"/>
  <c r="AC38" i="63"/>
  <c r="AQ35" i="63"/>
  <c r="AQ36" i="63" s="1"/>
  <c r="AC36" i="63"/>
  <c r="J57" i="68" a="1"/>
  <c r="J57" i="68" s="1"/>
  <c r="L57" i="68" s="1"/>
  <c r="AP16" i="3" l="1"/>
  <c r="AO36" i="63"/>
  <c r="AP16" i="63"/>
  <c r="AC39" i="3"/>
  <c r="AQ38" i="3"/>
  <c r="AQ39" i="3" s="1"/>
  <c r="AC13" i="63"/>
  <c r="AQ12" i="63"/>
  <c r="AQ13" i="63" s="1"/>
  <c r="AB13" i="3"/>
  <c r="AQ12" i="3"/>
  <c r="AQ13" i="3" s="1"/>
  <c r="AP36" i="63"/>
  <c r="AO16" i="63"/>
  <c r="U7" i="58"/>
  <c r="U11" i="58"/>
  <c r="U13" i="58" s="1"/>
  <c r="U25" i="58"/>
  <c r="U44" i="58"/>
  <c r="U48" i="58"/>
  <c r="U50" i="58" s="1"/>
  <c r="O5" i="62"/>
  <c r="O7" i="62" s="1"/>
  <c r="V42" i="58"/>
  <c r="V5" i="58"/>
  <c r="G112" i="55"/>
  <c r="O5" i="67"/>
  <c r="O7" i="67" s="1"/>
  <c r="O5" i="66"/>
  <c r="O7" i="66" s="1"/>
  <c r="C111" i="55"/>
  <c r="AF42" i="61"/>
  <c r="AF42" i="64"/>
  <c r="T43" i="57"/>
  <c r="AF42" i="65"/>
  <c r="U80" i="58"/>
  <c r="U84" i="58"/>
  <c r="U86" i="58" s="1"/>
  <c r="AO36" i="3"/>
  <c r="AO38" i="3"/>
  <c r="AO39" i="3" s="1"/>
  <c r="AO10" i="63"/>
  <c r="T79" i="57"/>
  <c r="AF76" i="61"/>
  <c r="AF76" i="64"/>
  <c r="T96" i="57"/>
  <c r="AF76" i="65"/>
  <c r="AP36" i="3"/>
  <c r="AP38" i="3"/>
  <c r="AP39" i="3" s="1"/>
  <c r="AP10" i="63"/>
  <c r="AQ38" i="63"/>
  <c r="AQ39" i="63" s="1"/>
  <c r="AC39" i="63"/>
  <c r="AP65" i="3"/>
  <c r="AP89" i="3"/>
  <c r="AP113" i="3"/>
  <c r="V78" i="58"/>
  <c r="O112" i="55"/>
  <c r="AP10" i="3"/>
  <c r="AP12" i="3"/>
  <c r="AP13" i="3" s="1"/>
  <c r="P57" i="68" a="1"/>
  <c r="P57" i="68" s="1"/>
  <c r="R57" i="68" s="1"/>
  <c r="AF77" i="65" l="1"/>
  <c r="AF82" i="65"/>
  <c r="AF25" i="64"/>
  <c r="AF43" i="64"/>
  <c r="AF48" i="64"/>
  <c r="T97" i="57"/>
  <c r="T102" i="57"/>
  <c r="T103" i="57" s="1"/>
  <c r="AF43" i="61"/>
  <c r="AF25" i="61"/>
  <c r="AF48" i="61"/>
  <c r="U27" i="58"/>
  <c r="U31" i="58"/>
  <c r="U33" i="58" s="1"/>
  <c r="AG76" i="65"/>
  <c r="AG76" i="64"/>
  <c r="AG76" i="61"/>
  <c r="U79" i="57"/>
  <c r="U96" i="57"/>
  <c r="AF77" i="64"/>
  <c r="AF82" i="64"/>
  <c r="AF83" i="64" s="1"/>
  <c r="AF6" i="61"/>
  <c r="T6" i="57"/>
  <c r="AF6" i="64"/>
  <c r="AF6" i="65"/>
  <c r="V80" i="58"/>
  <c r="V84" i="58"/>
  <c r="V86" i="58" s="1"/>
  <c r="AF77" i="61"/>
  <c r="AF82" i="61"/>
  <c r="P5" i="67"/>
  <c r="P7" i="67" s="1"/>
  <c r="W5" i="58"/>
  <c r="P5" i="66"/>
  <c r="P7" i="66" s="1"/>
  <c r="P5" i="62"/>
  <c r="P7" i="62" s="1"/>
  <c r="G113" i="55"/>
  <c r="W42" i="58"/>
  <c r="T80" i="57"/>
  <c r="T85" i="57"/>
  <c r="T86" i="57" s="1"/>
  <c r="O113" i="55"/>
  <c r="W78" i="58"/>
  <c r="AG42" i="61"/>
  <c r="U43" i="57"/>
  <c r="AG42" i="64"/>
  <c r="AG42" i="65"/>
  <c r="C112" i="55"/>
  <c r="J56" i="68" a="1"/>
  <c r="J56" i="68" s="1"/>
  <c r="L56" i="68" s="1"/>
  <c r="J54" i="68" a="1"/>
  <c r="J54" i="68" s="1"/>
  <c r="L54" i="68" s="1"/>
  <c r="J53" i="68" a="1"/>
  <c r="J53" i="68" s="1"/>
  <c r="L53" i="68" s="1"/>
  <c r="J55" i="68" a="1"/>
  <c r="J55" i="68" s="1"/>
  <c r="L55" i="68" s="1"/>
  <c r="V7" i="58"/>
  <c r="V11" i="58"/>
  <c r="V13" i="58" s="1"/>
  <c r="M57" i="68" a="1"/>
  <c r="M57" i="68" s="1"/>
  <c r="O57" i="68" s="1"/>
  <c r="V25" i="58"/>
  <c r="V44" i="58"/>
  <c r="V48" i="58"/>
  <c r="V50" i="58" s="1"/>
  <c r="S57" i="68" a="1"/>
  <c r="S57" i="68" s="1"/>
  <c r="U57" i="68" s="1"/>
  <c r="AF25" i="65"/>
  <c r="AF43" i="65"/>
  <c r="AF48" i="65"/>
  <c r="T44" i="57"/>
  <c r="T26" i="57"/>
  <c r="T49" i="57"/>
  <c r="T50" i="57" s="1"/>
  <c r="V27" i="58" l="1"/>
  <c r="V31" i="58"/>
  <c r="V33" i="58" s="1"/>
  <c r="AF7" i="64"/>
  <c r="AF12" i="64"/>
  <c r="AF13" i="64" s="1"/>
  <c r="AF49" i="65"/>
  <c r="T7" i="57"/>
  <c r="T12" i="57"/>
  <c r="T13" i="57" s="1"/>
  <c r="AF49" i="61"/>
  <c r="AH76" i="64"/>
  <c r="AH76" i="61"/>
  <c r="AH76" i="65"/>
  <c r="V79" i="57"/>
  <c r="V96" i="57"/>
  <c r="V43" i="57"/>
  <c r="AH42" i="65"/>
  <c r="C113" i="55"/>
  <c r="AH42" i="61"/>
  <c r="AH42" i="64"/>
  <c r="AG77" i="65"/>
  <c r="AG82" i="65"/>
  <c r="AG83" i="65" s="1"/>
  <c r="AF26" i="64"/>
  <c r="AF31" i="64"/>
  <c r="R46" i="35"/>
  <c r="R52" i="35" s="1"/>
  <c r="X78" i="58"/>
  <c r="O114" i="55"/>
  <c r="R46" i="60"/>
  <c r="R52" i="60" s="1"/>
  <c r="AF7" i="61"/>
  <c r="AF12" i="61"/>
  <c r="U6" i="57"/>
  <c r="AG6" i="61"/>
  <c r="AG6" i="64"/>
  <c r="AG6" i="65"/>
  <c r="W7" i="58"/>
  <c r="W11" i="58"/>
  <c r="W13" i="58" s="1"/>
  <c r="U97" i="57"/>
  <c r="U102" i="57"/>
  <c r="U103" i="57" s="1"/>
  <c r="AF7" i="65"/>
  <c r="AF12" i="65"/>
  <c r="AF26" i="61"/>
  <c r="AF31" i="61"/>
  <c r="P53" i="68" a="1"/>
  <c r="P53" i="68" s="1"/>
  <c r="R53" i="68" s="1"/>
  <c r="P56" i="68" a="1"/>
  <c r="P56" i="68" s="1"/>
  <c r="R56" i="68" s="1"/>
  <c r="P55" i="68" a="1"/>
  <c r="P55" i="68" s="1"/>
  <c r="R55" i="68" s="1"/>
  <c r="P54" i="68" a="1"/>
  <c r="P54" i="68" s="1"/>
  <c r="R54" i="68" s="1"/>
  <c r="U80" i="57"/>
  <c r="U85" i="57"/>
  <c r="U86" i="57" s="1"/>
  <c r="AG25" i="61"/>
  <c r="AG43" i="61"/>
  <c r="AG48" i="61"/>
  <c r="AG49" i="61" s="1"/>
  <c r="X42" i="58"/>
  <c r="Q5" i="67"/>
  <c r="Q7" i="67" s="1"/>
  <c r="R26" i="35"/>
  <c r="R26" i="60"/>
  <c r="Q5" i="62"/>
  <c r="Q7" i="62" s="1"/>
  <c r="X5" i="58"/>
  <c r="G114" i="55"/>
  <c r="Q5" i="66"/>
  <c r="Q7" i="66" s="1"/>
  <c r="AG43" i="65"/>
  <c r="AG25" i="65"/>
  <c r="AG48" i="65"/>
  <c r="AG49" i="65" s="1"/>
  <c r="AG25" i="64"/>
  <c r="AG43" i="64"/>
  <c r="AG48" i="64"/>
  <c r="AF83" i="61"/>
  <c r="AG77" i="61"/>
  <c r="AG82" i="61"/>
  <c r="AG83" i="61" s="1"/>
  <c r="W80" i="58"/>
  <c r="W84" i="58"/>
  <c r="W86" i="58" s="1"/>
  <c r="T27" i="57"/>
  <c r="T32" i="57"/>
  <c r="T33" i="57" s="1"/>
  <c r="W44" i="58"/>
  <c r="W25" i="58"/>
  <c r="W48" i="58"/>
  <c r="W50" i="58" s="1"/>
  <c r="J49" i="68" a="1"/>
  <c r="J49" i="68" s="1"/>
  <c r="L49" i="68" s="1"/>
  <c r="J51" i="68" a="1"/>
  <c r="J51" i="68" s="1"/>
  <c r="L51" i="68" s="1"/>
  <c r="J50" i="68" a="1"/>
  <c r="J50" i="68" s="1"/>
  <c r="L50" i="68" s="1"/>
  <c r="J52" i="68" a="1"/>
  <c r="J52" i="68" s="1"/>
  <c r="L52" i="68" s="1"/>
  <c r="AF26" i="65"/>
  <c r="AF31" i="65"/>
  <c r="U44" i="57"/>
  <c r="U26" i="57"/>
  <c r="U49" i="57"/>
  <c r="U50" i="57" s="1"/>
  <c r="AG77" i="64"/>
  <c r="AG82" i="64"/>
  <c r="AF83" i="65"/>
  <c r="U27" i="57" l="1"/>
  <c r="U32" i="57"/>
  <c r="U33" i="57" s="1"/>
  <c r="V80" i="57"/>
  <c r="V85" i="57"/>
  <c r="V86" i="57" s="1"/>
  <c r="AH77" i="65"/>
  <c r="AH82" i="65"/>
  <c r="AH83" i="65" s="1"/>
  <c r="X80" i="58"/>
  <c r="X84" i="58"/>
  <c r="X86" i="58" s="1"/>
  <c r="AN24" i="67"/>
  <c r="AN24" i="66"/>
  <c r="U57" i="43" a="1"/>
  <c r="U57" i="43" s="1"/>
  <c r="W57" i="43" s="1"/>
  <c r="R24" i="67"/>
  <c r="S26" i="60"/>
  <c r="Y42" i="58"/>
  <c r="AS42" i="58" s="1"/>
  <c r="R24" i="66"/>
  <c r="R58" i="67"/>
  <c r="Y5" i="58"/>
  <c r="AS5" i="58" s="1"/>
  <c r="R24" i="62"/>
  <c r="R5" i="67"/>
  <c r="AN58" i="62"/>
  <c r="AN41" i="67"/>
  <c r="AN41" i="62"/>
  <c r="AN41" i="66"/>
  <c r="G115" i="55"/>
  <c r="R58" i="66"/>
  <c r="R41" i="62"/>
  <c r="S26" i="35"/>
  <c r="R5" i="62"/>
  <c r="R41" i="67"/>
  <c r="R5" i="66"/>
  <c r="AN24" i="62"/>
  <c r="R41" i="66"/>
  <c r="R58" i="62"/>
  <c r="AN58" i="66"/>
  <c r="AN58" i="67"/>
  <c r="AI42" i="65"/>
  <c r="W43" i="57"/>
  <c r="AI42" i="61"/>
  <c r="AI42" i="64"/>
  <c r="C114" i="55"/>
  <c r="AF32" i="61"/>
  <c r="AH43" i="64"/>
  <c r="AH25" i="64"/>
  <c r="AH48" i="64"/>
  <c r="AH43" i="61"/>
  <c r="AH25" i="61"/>
  <c r="AH48" i="61"/>
  <c r="AH49" i="61" s="1"/>
  <c r="R7" i="35"/>
  <c r="R13" i="35" s="1"/>
  <c r="R32" i="35"/>
  <c r="U7" i="57"/>
  <c r="U12" i="57"/>
  <c r="U13" i="57" s="1"/>
  <c r="AH6" i="61"/>
  <c r="AH6" i="64"/>
  <c r="AH6" i="65"/>
  <c r="V6" i="57"/>
  <c r="Y78" i="58"/>
  <c r="AS78" i="58" s="1"/>
  <c r="S46" i="35"/>
  <c r="S52" i="35" s="1"/>
  <c r="O115" i="55"/>
  <c r="AN75" i="62"/>
  <c r="O57" i="43" a="1"/>
  <c r="O57" i="43" s="1"/>
  <c r="Q57" i="43" s="1"/>
  <c r="AN75" i="66"/>
  <c r="S46" i="60"/>
  <c r="S52" i="60" s="1"/>
  <c r="R75" i="67"/>
  <c r="R75" i="66"/>
  <c r="AN75" i="67"/>
  <c r="R75" i="62"/>
  <c r="X7" i="58"/>
  <c r="X11" i="58"/>
  <c r="X13" i="58" s="1"/>
  <c r="AG7" i="65"/>
  <c r="AG12" i="65"/>
  <c r="AG13" i="65" s="1"/>
  <c r="AG7" i="64"/>
  <c r="AG12" i="64"/>
  <c r="R7" i="60"/>
  <c r="R13" i="60" s="1"/>
  <c r="R32" i="60"/>
  <c r="AG7" i="61"/>
  <c r="AG12" i="61"/>
  <c r="AG13" i="61" s="1"/>
  <c r="AF13" i="65"/>
  <c r="AF13" i="61"/>
  <c r="AH43" i="65"/>
  <c r="AH25" i="65"/>
  <c r="AH48" i="65"/>
  <c r="AH49" i="65" s="1"/>
  <c r="W27" i="58"/>
  <c r="W31" i="58"/>
  <c r="W33" i="58" s="1"/>
  <c r="AG26" i="64"/>
  <c r="AG31" i="64"/>
  <c r="V97" i="57"/>
  <c r="V102" i="57"/>
  <c r="V103" i="57" s="1"/>
  <c r="X25" i="58"/>
  <c r="X44" i="58"/>
  <c r="X48" i="58"/>
  <c r="X50" i="58" s="1"/>
  <c r="V26" i="57"/>
  <c r="V44" i="57"/>
  <c r="V49" i="57"/>
  <c r="V50" i="57" s="1"/>
  <c r="AI76" i="61"/>
  <c r="AI76" i="65"/>
  <c r="W79" i="57"/>
  <c r="AI76" i="64"/>
  <c r="W96" i="57"/>
  <c r="M55" i="68" a="1"/>
  <c r="M55" i="68" s="1"/>
  <c r="O55" i="68" s="1"/>
  <c r="M56" i="68" a="1"/>
  <c r="M56" i="68" s="1"/>
  <c r="O56" i="68" s="1"/>
  <c r="M54" i="68" a="1"/>
  <c r="M54" i="68" s="1"/>
  <c r="O54" i="68" s="1"/>
  <c r="M53" i="68" a="1"/>
  <c r="M53" i="68" s="1"/>
  <c r="O53" i="68" s="1"/>
  <c r="J48" i="68" a="1"/>
  <c r="J48" i="68" s="1"/>
  <c r="L48" i="68" s="1"/>
  <c r="J47" i="68" a="1"/>
  <c r="J47" i="68" s="1"/>
  <c r="L47" i="68" s="1"/>
  <c r="J45" i="68" a="1"/>
  <c r="J45" i="68" s="1"/>
  <c r="L45" i="68" s="1"/>
  <c r="J46" i="68" a="1"/>
  <c r="J46" i="68" s="1"/>
  <c r="L46" i="68" s="1"/>
  <c r="AG26" i="65"/>
  <c r="AG31" i="65"/>
  <c r="AG32" i="65" s="1"/>
  <c r="AG26" i="61"/>
  <c r="AG31" i="61"/>
  <c r="AG32" i="61" s="1"/>
  <c r="AH77" i="61"/>
  <c r="AH82" i="61"/>
  <c r="AH83" i="61" s="1"/>
  <c r="P49" i="68" a="1"/>
  <c r="P49" i="68" s="1"/>
  <c r="R49" i="68" s="1"/>
  <c r="P51" i="68" a="1"/>
  <c r="P51" i="68" s="1"/>
  <c r="R51" i="68" s="1"/>
  <c r="P52" i="68" a="1"/>
  <c r="P52" i="68" s="1"/>
  <c r="R52" i="68" s="1"/>
  <c r="P50" i="68" a="1"/>
  <c r="P50" i="68" s="1"/>
  <c r="R50" i="68" s="1"/>
  <c r="AF32" i="65"/>
  <c r="S56" i="68" a="1"/>
  <c r="S56" i="68" s="1"/>
  <c r="U56" i="68" s="1"/>
  <c r="S54" i="68" a="1"/>
  <c r="S54" i="68" s="1"/>
  <c r="U54" i="68" s="1"/>
  <c r="S53" i="68" a="1"/>
  <c r="S53" i="68" s="1"/>
  <c r="U53" i="68" s="1"/>
  <c r="S55" i="68" a="1"/>
  <c r="S55" i="68" s="1"/>
  <c r="U55" i="68" s="1"/>
  <c r="AH77" i="64"/>
  <c r="AH82" i="64"/>
  <c r="AS7" i="58" l="1"/>
  <c r="AS11" i="58"/>
  <c r="AS13" i="58" s="1"/>
  <c r="AS44" i="58"/>
  <c r="AS48" i="58"/>
  <c r="AS50" i="58" s="1"/>
  <c r="AH7" i="65"/>
  <c r="AH12" i="65"/>
  <c r="Y7" i="58"/>
  <c r="Y11" i="58"/>
  <c r="Y13" i="58" s="1"/>
  <c r="AH7" i="64"/>
  <c r="AH12" i="64"/>
  <c r="R7" i="66"/>
  <c r="R11" i="66"/>
  <c r="R13" i="66" s="1"/>
  <c r="R60" i="67"/>
  <c r="R64" i="67"/>
  <c r="R66" i="67" s="1"/>
  <c r="R77" i="62"/>
  <c r="R81" i="62"/>
  <c r="R83" i="62" s="1"/>
  <c r="R43" i="67"/>
  <c r="R47" i="67"/>
  <c r="R49" i="67" s="1"/>
  <c r="S7" i="60"/>
  <c r="S13" i="60" s="1"/>
  <c r="S32" i="60"/>
  <c r="W97" i="57"/>
  <c r="W102" i="57"/>
  <c r="W103" i="57" s="1"/>
  <c r="AI25" i="64"/>
  <c r="AI43" i="64"/>
  <c r="AI48" i="64"/>
  <c r="R26" i="67"/>
  <c r="R30" i="67"/>
  <c r="R32" i="67" s="1"/>
  <c r="AI77" i="64"/>
  <c r="AI82" i="64"/>
  <c r="AI25" i="61"/>
  <c r="AI43" i="61"/>
  <c r="AI48" i="61"/>
  <c r="R60" i="66"/>
  <c r="R64" i="66"/>
  <c r="R66" i="66" s="1"/>
  <c r="Y25" i="58"/>
  <c r="AS25" i="58" s="1"/>
  <c r="Y44" i="58"/>
  <c r="Y48" i="58"/>
  <c r="Y50" i="58" s="1"/>
  <c r="O54" i="43" a="1"/>
  <c r="O54" i="43" s="1"/>
  <c r="Q54" i="43" s="1"/>
  <c r="O116" i="55"/>
  <c r="Z78" i="58"/>
  <c r="S75" i="67"/>
  <c r="T46" i="35"/>
  <c r="T52" i="35" s="1"/>
  <c r="AM75" i="66"/>
  <c r="O53" i="43" a="1"/>
  <c r="O53" i="43" s="1"/>
  <c r="Q53" i="43" s="1"/>
  <c r="AM75" i="62"/>
  <c r="O56" i="43" a="1"/>
  <c r="O56" i="43" s="1"/>
  <c r="Q56" i="43" s="1"/>
  <c r="S75" i="66"/>
  <c r="S75" i="62"/>
  <c r="T46" i="60"/>
  <c r="T52" i="60" s="1"/>
  <c r="O55" i="43" a="1"/>
  <c r="O55" i="43" s="1"/>
  <c r="Q55" i="43" s="1"/>
  <c r="AM75" i="67"/>
  <c r="R77" i="66"/>
  <c r="R81" i="66"/>
  <c r="R83" i="66" s="1"/>
  <c r="R77" i="67"/>
  <c r="R81" i="67"/>
  <c r="R83" i="67" s="1"/>
  <c r="R43" i="62"/>
  <c r="R47" i="62"/>
  <c r="R49" i="62" s="1"/>
  <c r="J42" i="68" a="1"/>
  <c r="J42" i="68" s="1"/>
  <c r="L42" i="68" s="1"/>
  <c r="J43" i="68" a="1"/>
  <c r="J43" i="68" s="1"/>
  <c r="L43" i="68" s="1"/>
  <c r="J44" i="68" a="1"/>
  <c r="J44" i="68" s="1"/>
  <c r="L44" i="68" s="1"/>
  <c r="J41" i="68" a="1"/>
  <c r="J41" i="68" s="1"/>
  <c r="L41" i="68" s="1"/>
  <c r="W80" i="57"/>
  <c r="W85" i="57"/>
  <c r="W86" i="57" s="1"/>
  <c r="AN77" i="66"/>
  <c r="AN81" i="66"/>
  <c r="AN83" i="66" s="1"/>
  <c r="W44" i="57"/>
  <c r="W26" i="57"/>
  <c r="W49" i="57"/>
  <c r="W50" i="57" s="1"/>
  <c r="C115" i="55"/>
  <c r="AJ42" i="61"/>
  <c r="AJ42" i="64"/>
  <c r="X43" i="57"/>
  <c r="AJ42" i="65"/>
  <c r="AN5" i="66"/>
  <c r="AN26" i="66"/>
  <c r="AN30" i="66"/>
  <c r="AN32" i="66" s="1"/>
  <c r="AS80" i="58"/>
  <c r="AS84" i="58"/>
  <c r="AS86" i="58" s="1"/>
  <c r="AH7" i="61"/>
  <c r="AH12" i="61"/>
  <c r="AH13" i="61" s="1"/>
  <c r="X27" i="58"/>
  <c r="X31" i="58"/>
  <c r="X33" i="58" s="1"/>
  <c r="R7" i="62"/>
  <c r="R11" i="62"/>
  <c r="R13" i="62" s="1"/>
  <c r="AI6" i="64"/>
  <c r="AI6" i="65"/>
  <c r="W6" i="57"/>
  <c r="AI6" i="61"/>
  <c r="AI77" i="65"/>
  <c r="AI82" i="65"/>
  <c r="AI25" i="65"/>
  <c r="AI43" i="65"/>
  <c r="AI48" i="65"/>
  <c r="AI49" i="65" s="1"/>
  <c r="AN43" i="66"/>
  <c r="AN47" i="66"/>
  <c r="AN49" i="66" s="1"/>
  <c r="AN26" i="67"/>
  <c r="AN5" i="67"/>
  <c r="AN30" i="67"/>
  <c r="AN32" i="67" s="1"/>
  <c r="R26" i="66"/>
  <c r="R30" i="66"/>
  <c r="R32" i="66" s="1"/>
  <c r="M49" i="68" a="1"/>
  <c r="M49" i="68" s="1"/>
  <c r="O49" i="68" s="1"/>
  <c r="M52" i="68" a="1"/>
  <c r="M52" i="68" s="1"/>
  <c r="O52" i="68" s="1"/>
  <c r="M50" i="68" a="1"/>
  <c r="M50" i="68" s="1"/>
  <c r="O50" i="68" s="1"/>
  <c r="M51" i="68" a="1"/>
  <c r="M51" i="68" s="1"/>
  <c r="O51" i="68" s="1"/>
  <c r="AN77" i="67"/>
  <c r="AN81" i="67"/>
  <c r="AN83" i="67" s="1"/>
  <c r="S7" i="35"/>
  <c r="S13" i="35" s="1"/>
  <c r="S32" i="35"/>
  <c r="P46" i="68" a="1"/>
  <c r="P46" i="68" s="1"/>
  <c r="R46" i="68" s="1"/>
  <c r="P45" i="68" a="1"/>
  <c r="P45" i="68" s="1"/>
  <c r="R45" i="68" s="1"/>
  <c r="P48" i="68" a="1"/>
  <c r="P48" i="68" s="1"/>
  <c r="R48" i="68" s="1"/>
  <c r="P47" i="68" a="1"/>
  <c r="P47" i="68" s="1"/>
  <c r="R47" i="68" s="1"/>
  <c r="AI77" i="61"/>
  <c r="AI82" i="61"/>
  <c r="AI83" i="61" s="1"/>
  <c r="AN77" i="62"/>
  <c r="AN81" i="62"/>
  <c r="AN83" i="62" s="1"/>
  <c r="AH26" i="61"/>
  <c r="AH31" i="61"/>
  <c r="AH32" i="61" s="1"/>
  <c r="AN43" i="62"/>
  <c r="AN47" i="62"/>
  <c r="AN49" i="62" s="1"/>
  <c r="AJ76" i="64"/>
  <c r="AJ76" i="61"/>
  <c r="X79" i="57"/>
  <c r="X96" i="57"/>
  <c r="AJ76" i="65"/>
  <c r="AN60" i="67"/>
  <c r="AN64" i="67"/>
  <c r="AN66" i="67" s="1"/>
  <c r="AN43" i="67"/>
  <c r="AN47" i="67"/>
  <c r="AN49" i="67" s="1"/>
  <c r="AM58" i="62"/>
  <c r="S5" i="67"/>
  <c r="Z42" i="58"/>
  <c r="S5" i="66"/>
  <c r="U53" i="43" a="1"/>
  <c r="U53" i="43" s="1"/>
  <c r="W53" i="43" s="1"/>
  <c r="S58" i="62"/>
  <c r="AM41" i="66"/>
  <c r="U56" i="43" a="1"/>
  <c r="U56" i="43" s="1"/>
  <c r="W56" i="43" s="1"/>
  <c r="AM24" i="62"/>
  <c r="AM58" i="66"/>
  <c r="T26" i="60"/>
  <c r="U54" i="43" a="1"/>
  <c r="U54" i="43" s="1"/>
  <c r="W54" i="43" s="1"/>
  <c r="S41" i="67"/>
  <c r="AM41" i="67"/>
  <c r="S24" i="66"/>
  <c r="AM24" i="67"/>
  <c r="S58" i="66"/>
  <c r="S24" i="62"/>
  <c r="S41" i="66"/>
  <c r="Z5" i="58"/>
  <c r="T26" i="35"/>
  <c r="AM58" i="67"/>
  <c r="S58" i="67"/>
  <c r="G116" i="55"/>
  <c r="AM41" i="62"/>
  <c r="S41" i="62"/>
  <c r="AM24" i="66"/>
  <c r="S24" i="67"/>
  <c r="U55" i="43" a="1"/>
  <c r="U55" i="43" s="1"/>
  <c r="W55" i="43" s="1"/>
  <c r="S5" i="62"/>
  <c r="AN60" i="66"/>
  <c r="AN64" i="66"/>
  <c r="AN66" i="66" s="1"/>
  <c r="AN60" i="62"/>
  <c r="AN64" i="62"/>
  <c r="AN66" i="62" s="1"/>
  <c r="S51" i="68" a="1"/>
  <c r="S51" i="68" s="1"/>
  <c r="U51" i="68" s="1"/>
  <c r="S52" i="68" a="1"/>
  <c r="S52" i="68" s="1"/>
  <c r="U52" i="68" s="1"/>
  <c r="S50" i="68" a="1"/>
  <c r="S50" i="68" s="1"/>
  <c r="U50" i="68" s="1"/>
  <c r="S49" i="68" a="1"/>
  <c r="S49" i="68" s="1"/>
  <c r="U49" i="68" s="1"/>
  <c r="R7" i="67"/>
  <c r="R11" i="67"/>
  <c r="R13" i="67" s="1"/>
  <c r="Y80" i="58"/>
  <c r="Y84" i="58"/>
  <c r="Y86" i="58" s="1"/>
  <c r="R60" i="62"/>
  <c r="R64" i="62"/>
  <c r="R66" i="62" s="1"/>
  <c r="V27" i="57"/>
  <c r="V32" i="57"/>
  <c r="V33" i="57" s="1"/>
  <c r="AH26" i="65"/>
  <c r="AH31" i="65"/>
  <c r="V7" i="57"/>
  <c r="V12" i="57"/>
  <c r="V13" i="57" s="1"/>
  <c r="AH26" i="64"/>
  <c r="AH31" i="64"/>
  <c r="R43" i="66"/>
  <c r="R47" i="66"/>
  <c r="R49" i="66" s="1"/>
  <c r="R26" i="62"/>
  <c r="R30" i="62"/>
  <c r="R32" i="62" s="1"/>
  <c r="AN5" i="62"/>
  <c r="AN26" i="62"/>
  <c r="AN30" i="62"/>
  <c r="AN32" i="62" s="1"/>
  <c r="AM77" i="66" l="1"/>
  <c r="AM81" i="66"/>
  <c r="AM83" i="66" s="1"/>
  <c r="T24" i="67"/>
  <c r="T41" i="67"/>
  <c r="AL24" i="66"/>
  <c r="T5" i="67"/>
  <c r="U26" i="60"/>
  <c r="T58" i="62"/>
  <c r="AL58" i="66"/>
  <c r="AL41" i="66"/>
  <c r="AL24" i="62"/>
  <c r="T24" i="62"/>
  <c r="T5" i="66"/>
  <c r="G117" i="55"/>
  <c r="AA5" i="58"/>
  <c r="AL58" i="62"/>
  <c r="AL24" i="67"/>
  <c r="U50" i="43" a="1"/>
  <c r="U50" i="43" s="1"/>
  <c r="W50" i="43" s="1"/>
  <c r="T5" i="62"/>
  <c r="T58" i="67"/>
  <c r="T41" i="66"/>
  <c r="AL58" i="67"/>
  <c r="U52" i="43" a="1"/>
  <c r="U52" i="43" s="1"/>
  <c r="W52" i="43" s="1"/>
  <c r="AA42" i="58"/>
  <c r="T24" i="66"/>
  <c r="T41" i="62"/>
  <c r="U51" i="43" a="1"/>
  <c r="U51" i="43" s="1"/>
  <c r="W51" i="43" s="1"/>
  <c r="U49" i="43" a="1"/>
  <c r="U49" i="43" s="1"/>
  <c r="W49" i="43" s="1"/>
  <c r="U26" i="35"/>
  <c r="AL41" i="62"/>
  <c r="T58" i="66"/>
  <c r="AL41" i="67"/>
  <c r="AM26" i="66"/>
  <c r="AM5" i="66"/>
  <c r="AM30" i="66"/>
  <c r="AM32" i="66" s="1"/>
  <c r="S43" i="67"/>
  <c r="S47" i="67"/>
  <c r="S49" i="67" s="1"/>
  <c r="AI49" i="61"/>
  <c r="AH32" i="65"/>
  <c r="AM43" i="62"/>
  <c r="AM47" i="62"/>
  <c r="AM49" i="62" s="1"/>
  <c r="T7" i="60"/>
  <c r="T13" i="60" s="1"/>
  <c r="T32" i="60"/>
  <c r="AK42" i="64"/>
  <c r="AK42" i="65"/>
  <c r="C116" i="55"/>
  <c r="Y43" i="57"/>
  <c r="AK42" i="61"/>
  <c r="AM60" i="66"/>
  <c r="AM64" i="66"/>
  <c r="AM66" i="66" s="1"/>
  <c r="AJ77" i="65"/>
  <c r="AJ82" i="65"/>
  <c r="AJ83" i="65" s="1"/>
  <c r="S77" i="67"/>
  <c r="S81" i="67"/>
  <c r="S83" i="67" s="1"/>
  <c r="S43" i="62"/>
  <c r="S47" i="62"/>
  <c r="S49" i="62" s="1"/>
  <c r="W27" i="57"/>
  <c r="W32" i="57"/>
  <c r="W33" i="57" s="1"/>
  <c r="AI26" i="61"/>
  <c r="AI31" i="61"/>
  <c r="AN7" i="62"/>
  <c r="AN11" i="62"/>
  <c r="AN13" i="62" s="1"/>
  <c r="S60" i="67"/>
  <c r="S64" i="67"/>
  <c r="S66" i="67" s="1"/>
  <c r="AM5" i="62"/>
  <c r="AM26" i="62"/>
  <c r="AM30" i="62"/>
  <c r="AM32" i="62" s="1"/>
  <c r="X97" i="57"/>
  <c r="X102" i="57"/>
  <c r="X103" i="57" s="1"/>
  <c r="AI83" i="65"/>
  <c r="Z80" i="58"/>
  <c r="Z84" i="58"/>
  <c r="Z86" i="58" s="1"/>
  <c r="X80" i="57"/>
  <c r="X85" i="57"/>
  <c r="X86" i="57" s="1"/>
  <c r="AK76" i="64"/>
  <c r="Y96" i="57"/>
  <c r="AK76" i="61"/>
  <c r="Y79" i="57"/>
  <c r="AK76" i="65"/>
  <c r="AM60" i="67"/>
  <c r="AM64" i="67"/>
  <c r="AM66" i="67" s="1"/>
  <c r="T7" i="35"/>
  <c r="T13" i="35" s="1"/>
  <c r="T32" i="35"/>
  <c r="AM43" i="66"/>
  <c r="AM47" i="66"/>
  <c r="AM49" i="66" s="1"/>
  <c r="AI7" i="61"/>
  <c r="AI12" i="61"/>
  <c r="AJ77" i="64"/>
  <c r="AJ82" i="64"/>
  <c r="AS27" i="58"/>
  <c r="AS31" i="58"/>
  <c r="AS33" i="58" s="1"/>
  <c r="W7" i="57"/>
  <c r="W12" i="57"/>
  <c r="W13" i="57" s="1"/>
  <c r="AM77" i="67"/>
  <c r="AM81" i="67"/>
  <c r="AM83" i="67" s="1"/>
  <c r="S43" i="66"/>
  <c r="S47" i="66"/>
  <c r="S49" i="66" s="1"/>
  <c r="M47" i="68" a="1"/>
  <c r="M47" i="68" s="1"/>
  <c r="O47" i="68" s="1"/>
  <c r="M45" i="68" a="1"/>
  <c r="M45" i="68" s="1"/>
  <c r="O45" i="68" s="1"/>
  <c r="M48" i="68" a="1"/>
  <c r="M48" i="68" s="1"/>
  <c r="O48" i="68" s="1"/>
  <c r="M46" i="68" a="1"/>
  <c r="M46" i="68" s="1"/>
  <c r="O46" i="68" s="1"/>
  <c r="AI7" i="65"/>
  <c r="AI12" i="65"/>
  <c r="AI13" i="65" s="1"/>
  <c r="AN7" i="66"/>
  <c r="AN11" i="66"/>
  <c r="AN13" i="66" s="1"/>
  <c r="S48" i="68" a="1"/>
  <c r="S48" i="68" s="1"/>
  <c r="U48" i="68" s="1"/>
  <c r="S47" i="68" a="1"/>
  <c r="S47" i="68" s="1"/>
  <c r="U47" i="68" s="1"/>
  <c r="S45" i="68" a="1"/>
  <c r="S45" i="68" s="1"/>
  <c r="U45" i="68" s="1"/>
  <c r="S46" i="68" a="1"/>
  <c r="S46" i="68" s="1"/>
  <c r="U46" i="68" s="1"/>
  <c r="Z7" i="58"/>
  <c r="Z11" i="58"/>
  <c r="Z13" i="58" s="1"/>
  <c r="S60" i="62"/>
  <c r="S64" i="62"/>
  <c r="S66" i="62" s="1"/>
  <c r="AN7" i="67"/>
  <c r="AN11" i="67"/>
  <c r="AN13" i="67" s="1"/>
  <c r="AI7" i="64"/>
  <c r="AI12" i="64"/>
  <c r="Z44" i="58"/>
  <c r="Z25" i="58"/>
  <c r="Z48" i="58"/>
  <c r="Z50" i="58" s="1"/>
  <c r="Y27" i="58"/>
  <c r="Y31" i="58"/>
  <c r="Y33" i="58" s="1"/>
  <c r="AI26" i="64"/>
  <c r="AI31" i="64"/>
  <c r="S7" i="62"/>
  <c r="S11" i="62"/>
  <c r="S13" i="62" s="1"/>
  <c r="AM26" i="67"/>
  <c r="AM5" i="67"/>
  <c r="AM30" i="67"/>
  <c r="AM32" i="67" s="1"/>
  <c r="S7" i="67"/>
  <c r="S11" i="67"/>
  <c r="S13" i="67" s="1"/>
  <c r="AJ43" i="64"/>
  <c r="AJ25" i="64"/>
  <c r="AJ48" i="64"/>
  <c r="S77" i="66"/>
  <c r="S81" i="66"/>
  <c r="S83" i="66" s="1"/>
  <c r="AH13" i="65"/>
  <c r="O117" i="55"/>
  <c r="AA78" i="58"/>
  <c r="O52" i="43" a="1"/>
  <c r="O52" i="43" s="1"/>
  <c r="Q52" i="43" s="1"/>
  <c r="O50" i="43" a="1"/>
  <c r="O50" i="43" s="1"/>
  <c r="Q50" i="43" s="1"/>
  <c r="U46" i="35"/>
  <c r="U52" i="35" s="1"/>
  <c r="AL75" i="62"/>
  <c r="O51" i="43" a="1"/>
  <c r="O51" i="43" s="1"/>
  <c r="Q51" i="43" s="1"/>
  <c r="AL75" i="67"/>
  <c r="O49" i="43" a="1"/>
  <c r="O49" i="43" s="1"/>
  <c r="Q49" i="43" s="1"/>
  <c r="AL75" i="66"/>
  <c r="T75" i="67"/>
  <c r="T75" i="62"/>
  <c r="U46" i="60"/>
  <c r="U52" i="60" s="1"/>
  <c r="T75" i="66"/>
  <c r="S26" i="62"/>
  <c r="S30" i="62"/>
  <c r="S32" i="62" s="1"/>
  <c r="AJ43" i="65"/>
  <c r="AJ25" i="65"/>
  <c r="AJ48" i="65"/>
  <c r="X44" i="57"/>
  <c r="X26" i="57"/>
  <c r="X49" i="57"/>
  <c r="X50" i="57" s="1"/>
  <c r="P41" i="68" a="1"/>
  <c r="P41" i="68" s="1"/>
  <c r="R41" i="68" s="1"/>
  <c r="P42" i="68" a="1"/>
  <c r="P42" i="68" s="1"/>
  <c r="R42" i="68" s="1"/>
  <c r="P43" i="68" a="1"/>
  <c r="P43" i="68" s="1"/>
  <c r="R43" i="68" s="1"/>
  <c r="P44" i="68" a="1"/>
  <c r="P44" i="68" s="1"/>
  <c r="R44" i="68" s="1"/>
  <c r="AM60" i="62"/>
  <c r="AM64" i="62"/>
  <c r="AM66" i="62" s="1"/>
  <c r="AJ25" i="61"/>
  <c r="AJ43" i="61"/>
  <c r="AJ48" i="61"/>
  <c r="AJ49" i="61" s="1"/>
  <c r="AI26" i="65"/>
  <c r="AI31" i="65"/>
  <c r="AI32" i="65" s="1"/>
  <c r="AJ77" i="61"/>
  <c r="AJ82" i="61"/>
  <c r="AJ83" i="61" s="1"/>
  <c r="S7" i="66"/>
  <c r="S11" i="66"/>
  <c r="S13" i="66" s="1"/>
  <c r="J38" i="68" a="1"/>
  <c r="J38" i="68" s="1"/>
  <c r="L38" i="68" s="1"/>
  <c r="J39" i="68" a="1"/>
  <c r="J39" i="68" s="1"/>
  <c r="L39" i="68" s="1"/>
  <c r="J40" i="68" a="1"/>
  <c r="J40" i="68" s="1"/>
  <c r="L40" i="68" s="1"/>
  <c r="J37" i="68" a="1"/>
  <c r="J37" i="68" s="1"/>
  <c r="L37" i="68" s="1"/>
  <c r="S60" i="66"/>
  <c r="S64" i="66"/>
  <c r="S66" i="66" s="1"/>
  <c r="S77" i="62"/>
  <c r="S81" i="62"/>
  <c r="S83" i="62" s="1"/>
  <c r="S26" i="66"/>
  <c r="S30" i="66"/>
  <c r="S32" i="66" s="1"/>
  <c r="S26" i="67"/>
  <c r="S30" i="67"/>
  <c r="S32" i="67" s="1"/>
  <c r="AM43" i="67"/>
  <c r="AM47" i="67"/>
  <c r="AM49" i="67" s="1"/>
  <c r="AJ6" i="65"/>
  <c r="X6" i="57"/>
  <c r="AJ6" i="64"/>
  <c r="AJ6" i="61"/>
  <c r="AM77" i="62"/>
  <c r="AM81" i="62"/>
  <c r="AM83" i="62" s="1"/>
  <c r="T43" i="66" l="1"/>
  <c r="T47" i="66"/>
  <c r="T49" i="66" s="1"/>
  <c r="T7" i="62"/>
  <c r="T11" i="62"/>
  <c r="T13" i="62" s="1"/>
  <c r="AL5" i="66"/>
  <c r="AL26" i="66"/>
  <c r="AL30" i="66"/>
  <c r="AL32" i="66" s="1"/>
  <c r="AK77" i="65"/>
  <c r="AK82" i="65"/>
  <c r="AK83" i="65" s="1"/>
  <c r="AL43" i="67"/>
  <c r="AL47" i="67"/>
  <c r="AL49" i="67" s="1"/>
  <c r="T43" i="67"/>
  <c r="T47" i="67"/>
  <c r="T49" i="67" s="1"/>
  <c r="AK25" i="64"/>
  <c r="AK43" i="64"/>
  <c r="AK48" i="64"/>
  <c r="AA80" i="58"/>
  <c r="AA84" i="58"/>
  <c r="AA86" i="58" s="1"/>
  <c r="AL76" i="65"/>
  <c r="Z79" i="57"/>
  <c r="Z96" i="57"/>
  <c r="AL76" i="64"/>
  <c r="AL76" i="61"/>
  <c r="Y80" i="57"/>
  <c r="Y85" i="57"/>
  <c r="Y86" i="57" s="1"/>
  <c r="T60" i="66"/>
  <c r="T64" i="66"/>
  <c r="T66" i="66" s="1"/>
  <c r="AL26" i="67"/>
  <c r="AL5" i="67"/>
  <c r="AL30" i="67"/>
  <c r="AL32" i="67" s="1"/>
  <c r="T26" i="67"/>
  <c r="T30" i="67"/>
  <c r="T32" i="67" s="1"/>
  <c r="U7" i="60"/>
  <c r="U13" i="60" s="1"/>
  <c r="U32" i="60"/>
  <c r="AM7" i="66"/>
  <c r="AM11" i="66"/>
  <c r="AM13" i="66" s="1"/>
  <c r="S44" i="68" a="1"/>
  <c r="S44" i="68" s="1"/>
  <c r="U44" i="68" s="1"/>
  <c r="S43" i="68" a="1"/>
  <c r="S43" i="68" s="1"/>
  <c r="U43" i="68" s="1"/>
  <c r="S41" i="68" a="1"/>
  <c r="S41" i="68" s="1"/>
  <c r="U41" i="68" s="1"/>
  <c r="S42" i="68" a="1"/>
  <c r="S42" i="68" s="1"/>
  <c r="U42" i="68" s="1"/>
  <c r="T77" i="66"/>
  <c r="T81" i="66"/>
  <c r="T83" i="66" s="1"/>
  <c r="AK77" i="61"/>
  <c r="AK82" i="61"/>
  <c r="AK83" i="61" s="1"/>
  <c r="AM7" i="62"/>
  <c r="AM11" i="62"/>
  <c r="AM13" i="62" s="1"/>
  <c r="AL43" i="62"/>
  <c r="AL47" i="62"/>
  <c r="AL49" i="62" s="1"/>
  <c r="AL60" i="62"/>
  <c r="AL64" i="62"/>
  <c r="AL66" i="62" s="1"/>
  <c r="AK25" i="65"/>
  <c r="AK43" i="65"/>
  <c r="AK48" i="65"/>
  <c r="AK49" i="65" s="1"/>
  <c r="T7" i="67"/>
  <c r="T11" i="67"/>
  <c r="T13" i="67" s="1"/>
  <c r="O45" i="43" a="1"/>
  <c r="O45" i="43" s="1"/>
  <c r="Q45" i="43" s="1"/>
  <c r="O118" i="55"/>
  <c r="U75" i="62"/>
  <c r="V46" i="35"/>
  <c r="V52" i="35" s="1"/>
  <c r="O48" i="43" a="1"/>
  <c r="O48" i="43" s="1"/>
  <c r="Q48" i="43" s="1"/>
  <c r="V46" i="60"/>
  <c r="V52" i="60" s="1"/>
  <c r="O46" i="43" a="1"/>
  <c r="O46" i="43" s="1"/>
  <c r="Q46" i="43" s="1"/>
  <c r="AK75" i="66"/>
  <c r="AK75" i="67"/>
  <c r="U75" i="67"/>
  <c r="U75" i="66"/>
  <c r="AB78" i="58"/>
  <c r="O47" i="43" a="1"/>
  <c r="O47" i="43" s="1"/>
  <c r="Q47" i="43" s="1"/>
  <c r="AK75" i="62"/>
  <c r="Z43" i="57"/>
  <c r="C117" i="55"/>
  <c r="AL42" i="64"/>
  <c r="AL42" i="61"/>
  <c r="AL42" i="65"/>
  <c r="AJ7" i="61"/>
  <c r="AJ12" i="61"/>
  <c r="AJ13" i="61" s="1"/>
  <c r="AL77" i="66"/>
  <c r="AL81" i="66"/>
  <c r="AL83" i="66" s="1"/>
  <c r="M43" i="68" a="1"/>
  <c r="M43" i="68" s="1"/>
  <c r="O43" i="68" s="1"/>
  <c r="M42" i="68" a="1"/>
  <c r="M42" i="68" s="1"/>
  <c r="O42" i="68" s="1"/>
  <c r="M44" i="68" a="1"/>
  <c r="M44" i="68" s="1"/>
  <c r="O44" i="68" s="1"/>
  <c r="M41" i="68" a="1"/>
  <c r="M41" i="68" s="1"/>
  <c r="O41" i="68" s="1"/>
  <c r="T7" i="66"/>
  <c r="T11" i="66"/>
  <c r="T13" i="66" s="1"/>
  <c r="Z27" i="58"/>
  <c r="Z31" i="58"/>
  <c r="Z33" i="58" s="1"/>
  <c r="AJ7" i="64"/>
  <c r="AJ12" i="64"/>
  <c r="X27" i="57"/>
  <c r="X32" i="57"/>
  <c r="X33" i="57" s="1"/>
  <c r="AI13" i="61"/>
  <c r="T43" i="62"/>
  <c r="T47" i="62"/>
  <c r="T49" i="62" s="1"/>
  <c r="T26" i="62"/>
  <c r="T30" i="62"/>
  <c r="T32" i="62" s="1"/>
  <c r="AM7" i="67"/>
  <c r="AM11" i="67"/>
  <c r="AM13" i="67" s="1"/>
  <c r="Y97" i="57"/>
  <c r="Y102" i="57"/>
  <c r="Y103" i="57" s="1"/>
  <c r="AI32" i="61"/>
  <c r="T26" i="66"/>
  <c r="T30" i="66"/>
  <c r="T32" i="66" s="1"/>
  <c r="AL26" i="62"/>
  <c r="AL5" i="62"/>
  <c r="AL30" i="62"/>
  <c r="AL32" i="62" s="1"/>
  <c r="AA7" i="58"/>
  <c r="AA11" i="58"/>
  <c r="AA13" i="58" s="1"/>
  <c r="AK77" i="64"/>
  <c r="AK82" i="64"/>
  <c r="X7" i="57"/>
  <c r="X12" i="57"/>
  <c r="X13" i="57" s="1"/>
  <c r="AL77" i="67"/>
  <c r="AL81" i="67"/>
  <c r="AL83" i="67" s="1"/>
  <c r="AJ7" i="65"/>
  <c r="AJ12" i="65"/>
  <c r="AJ26" i="64"/>
  <c r="AJ31" i="64"/>
  <c r="AK43" i="61"/>
  <c r="AK25" i="61"/>
  <c r="AK48" i="61"/>
  <c r="AK49" i="61" s="1"/>
  <c r="AA44" i="58"/>
  <c r="AA25" i="58"/>
  <c r="AA48" i="58"/>
  <c r="AA50" i="58" s="1"/>
  <c r="AL43" i="66"/>
  <c r="AL47" i="66"/>
  <c r="AL49" i="66" s="1"/>
  <c r="P38" i="68" a="1"/>
  <c r="P38" i="68" s="1"/>
  <c r="R38" i="68" s="1"/>
  <c r="P40" i="68" a="1"/>
  <c r="P40" i="68" s="1"/>
  <c r="R40" i="68" s="1"/>
  <c r="P39" i="68" a="1"/>
  <c r="P39" i="68" s="1"/>
  <c r="R39" i="68" s="1"/>
  <c r="P37" i="68" a="1"/>
  <c r="P37" i="68" s="1"/>
  <c r="R37" i="68" s="1"/>
  <c r="T60" i="67"/>
  <c r="T64" i="67"/>
  <c r="T66" i="67" s="1"/>
  <c r="U7" i="35"/>
  <c r="U13" i="35" s="1"/>
  <c r="U32" i="35"/>
  <c r="AL77" i="62"/>
  <c r="AL81" i="62"/>
  <c r="AL83" i="62" s="1"/>
  <c r="Y44" i="57"/>
  <c r="Y26" i="57"/>
  <c r="Y49" i="57"/>
  <c r="Y50" i="57" s="1"/>
  <c r="AL60" i="66"/>
  <c r="AL64" i="66"/>
  <c r="AL66" i="66" s="1"/>
  <c r="AJ26" i="65"/>
  <c r="AJ31" i="65"/>
  <c r="AK24" i="66"/>
  <c r="U45" i="43" a="1"/>
  <c r="U45" i="43" s="1"/>
  <c r="W45" i="43" s="1"/>
  <c r="U24" i="62"/>
  <c r="AB42" i="58"/>
  <c r="V26" i="60"/>
  <c r="U5" i="62"/>
  <c r="V26" i="35"/>
  <c r="U58" i="67"/>
  <c r="AK41" i="62"/>
  <c r="U41" i="66"/>
  <c r="U48" i="43" a="1"/>
  <c r="U48" i="43" s="1"/>
  <c r="W48" i="43" s="1"/>
  <c r="U24" i="67"/>
  <c r="AK58" i="62"/>
  <c r="AK24" i="62"/>
  <c r="U5" i="67"/>
  <c r="U41" i="62"/>
  <c r="U41" i="67"/>
  <c r="G118" i="55"/>
  <c r="AK41" i="67"/>
  <c r="AK24" i="67"/>
  <c r="U58" i="66"/>
  <c r="U46" i="43" a="1"/>
  <c r="U46" i="43" s="1"/>
  <c r="W46" i="43" s="1"/>
  <c r="AK58" i="67"/>
  <c r="U5" i="66"/>
  <c r="U58" i="62"/>
  <c r="U24" i="66"/>
  <c r="AK41" i="66"/>
  <c r="AK58" i="66"/>
  <c r="U47" i="43" a="1"/>
  <c r="U47" i="43" s="1"/>
  <c r="W47" i="43" s="1"/>
  <c r="AB5" i="58"/>
  <c r="T77" i="62"/>
  <c r="T81" i="62"/>
  <c r="T83" i="62" s="1"/>
  <c r="T77" i="67"/>
  <c r="T81" i="67"/>
  <c r="T83" i="67" s="1"/>
  <c r="J36" i="68" a="1"/>
  <c r="J36" i="68" s="1"/>
  <c r="L36" i="68" s="1"/>
  <c r="J34" i="68" a="1"/>
  <c r="J34" i="68" s="1"/>
  <c r="L34" i="68" s="1"/>
  <c r="J33" i="68" a="1"/>
  <c r="J33" i="68" s="1"/>
  <c r="L33" i="68" s="1"/>
  <c r="J35" i="68" a="1"/>
  <c r="J35" i="68" s="1"/>
  <c r="L35" i="68" s="1"/>
  <c r="AJ26" i="61"/>
  <c r="AJ31" i="61"/>
  <c r="AJ32" i="61" s="1"/>
  <c r="AJ49" i="65"/>
  <c r="AK6" i="61"/>
  <c r="AK6" i="65"/>
  <c r="AK6" i="64"/>
  <c r="Y6" i="57"/>
  <c r="AL60" i="67"/>
  <c r="AL64" i="67"/>
  <c r="AL66" i="67" s="1"/>
  <c r="T60" i="62"/>
  <c r="T64" i="62"/>
  <c r="T66" i="62" s="1"/>
  <c r="AK7" i="65" l="1"/>
  <c r="AK12" i="65"/>
  <c r="AK13" i="65" s="1"/>
  <c r="AK5" i="67"/>
  <c r="AK26" i="67"/>
  <c r="AK30" i="67"/>
  <c r="AK32" i="67" s="1"/>
  <c r="U7" i="62"/>
  <c r="U11" i="62"/>
  <c r="U13" i="62" s="1"/>
  <c r="Y27" i="57"/>
  <c r="Y32" i="57"/>
  <c r="Y33" i="57" s="1"/>
  <c r="AL25" i="64"/>
  <c r="AL43" i="64"/>
  <c r="AL48" i="64"/>
  <c r="U77" i="62"/>
  <c r="U81" i="62"/>
  <c r="U83" i="62" s="1"/>
  <c r="AL77" i="65"/>
  <c r="AL82" i="65"/>
  <c r="AK43" i="67"/>
  <c r="AK47" i="67"/>
  <c r="AK49" i="67" s="1"/>
  <c r="AA96" i="57"/>
  <c r="AM76" i="64"/>
  <c r="AM76" i="61"/>
  <c r="AM76" i="65"/>
  <c r="AA79" i="57"/>
  <c r="AB7" i="58"/>
  <c r="AB11" i="58"/>
  <c r="AB13" i="58" s="1"/>
  <c r="U43" i="62"/>
  <c r="U47" i="62"/>
  <c r="U49" i="62" s="1"/>
  <c r="AL7" i="67"/>
  <c r="AL11" i="67"/>
  <c r="AL13" i="67" s="1"/>
  <c r="U26" i="62"/>
  <c r="U30" i="62"/>
  <c r="U32" i="62" s="1"/>
  <c r="AK77" i="62"/>
  <c r="AK81" i="62"/>
  <c r="AK83" i="62" s="1"/>
  <c r="AL7" i="66"/>
  <c r="AL11" i="66"/>
  <c r="AL13" i="66" s="1"/>
  <c r="U7" i="67"/>
  <c r="U11" i="67"/>
  <c r="U13" i="67" s="1"/>
  <c r="AK5" i="66"/>
  <c r="AK26" i="66"/>
  <c r="AK30" i="66"/>
  <c r="AK32" i="66" s="1"/>
  <c r="AB80" i="58"/>
  <c r="AB84" i="58"/>
  <c r="AB86" i="58" s="1"/>
  <c r="AK7" i="61"/>
  <c r="AK12" i="61"/>
  <c r="AA43" i="57"/>
  <c r="C118" i="55"/>
  <c r="AM42" i="64"/>
  <c r="AM42" i="61"/>
  <c r="AM42" i="65"/>
  <c r="AK60" i="66"/>
  <c r="AK64" i="66"/>
  <c r="AK66" i="66" s="1"/>
  <c r="AJ32" i="65"/>
  <c r="U26" i="66"/>
  <c r="U30" i="66"/>
  <c r="U32" i="66" s="1"/>
  <c r="U26" i="67"/>
  <c r="U30" i="67"/>
  <c r="U32" i="67" s="1"/>
  <c r="O42" i="43" a="1"/>
  <c r="O42" i="43" s="1"/>
  <c r="Q42" i="43" s="1"/>
  <c r="AJ75" i="62"/>
  <c r="O119" i="55"/>
  <c r="W46" i="60"/>
  <c r="W52" i="60" s="1"/>
  <c r="W46" i="35"/>
  <c r="W52" i="35" s="1"/>
  <c r="V75" i="67"/>
  <c r="V75" i="66"/>
  <c r="O41" i="43" a="1"/>
  <c r="O41" i="43" s="1"/>
  <c r="Q41" i="43" s="1"/>
  <c r="V75" i="62"/>
  <c r="O44" i="43" a="1"/>
  <c r="O44" i="43" s="1"/>
  <c r="Q44" i="43" s="1"/>
  <c r="AJ75" i="66"/>
  <c r="O43" i="43" a="1"/>
  <c r="O43" i="43" s="1"/>
  <c r="Q43" i="43" s="1"/>
  <c r="AC78" i="58"/>
  <c r="AJ75" i="67"/>
  <c r="AK77" i="67"/>
  <c r="AK81" i="67"/>
  <c r="AK83" i="67" s="1"/>
  <c r="AK26" i="65"/>
  <c r="AK31" i="65"/>
  <c r="AK32" i="65" s="1"/>
  <c r="AK26" i="64"/>
  <c r="AK31" i="64"/>
  <c r="J30" i="68" a="1"/>
  <c r="J30" i="68" s="1"/>
  <c r="L30" i="68" s="1"/>
  <c r="J31" i="68" a="1"/>
  <c r="J31" i="68" s="1"/>
  <c r="L31" i="68" s="1"/>
  <c r="J32" i="68" a="1"/>
  <c r="J32" i="68" s="1"/>
  <c r="L32" i="68" s="1"/>
  <c r="J29" i="68" a="1"/>
  <c r="J29" i="68" s="1"/>
  <c r="L29" i="68" s="1"/>
  <c r="AB44" i="58"/>
  <c r="AB25" i="58"/>
  <c r="AB48" i="58"/>
  <c r="AB50" i="58" s="1"/>
  <c r="U77" i="66"/>
  <c r="U81" i="66"/>
  <c r="U83" i="66" s="1"/>
  <c r="AK77" i="66"/>
  <c r="AK81" i="66"/>
  <c r="AK83" i="66" s="1"/>
  <c r="AL6" i="64"/>
  <c r="Z6" i="57"/>
  <c r="AL6" i="65"/>
  <c r="AL6" i="61"/>
  <c r="AJ13" i="65"/>
  <c r="AA27" i="58"/>
  <c r="AA31" i="58"/>
  <c r="AA33" i="58" s="1"/>
  <c r="U77" i="67"/>
  <c r="U81" i="67"/>
  <c r="U83" i="67" s="1"/>
  <c r="U60" i="62"/>
  <c r="U64" i="62"/>
  <c r="U66" i="62" s="1"/>
  <c r="M39" i="68" a="1"/>
  <c r="M39" i="68" s="1"/>
  <c r="O39" i="68" s="1"/>
  <c r="M37" i="68" a="1"/>
  <c r="M37" i="68" s="1"/>
  <c r="O37" i="68" s="1"/>
  <c r="M40" i="68" a="1"/>
  <c r="M40" i="68" s="1"/>
  <c r="O40" i="68" s="1"/>
  <c r="M38" i="68" a="1"/>
  <c r="M38" i="68" s="1"/>
  <c r="O38" i="68" s="1"/>
  <c r="U7" i="66"/>
  <c r="U11" i="66"/>
  <c r="U13" i="66" s="1"/>
  <c r="U43" i="66"/>
  <c r="U47" i="66"/>
  <c r="U49" i="66" s="1"/>
  <c r="AK26" i="61"/>
  <c r="AK31" i="61"/>
  <c r="AK32" i="61" s="1"/>
  <c r="AL77" i="61"/>
  <c r="AL82" i="61"/>
  <c r="AL83" i="61" s="1"/>
  <c r="P34" i="68" a="1"/>
  <c r="P34" i="68" s="1"/>
  <c r="R34" i="68" s="1"/>
  <c r="P36" i="68" a="1"/>
  <c r="P36" i="68" s="1"/>
  <c r="R36" i="68" s="1"/>
  <c r="P35" i="68" a="1"/>
  <c r="P35" i="68" s="1"/>
  <c r="R35" i="68" s="1"/>
  <c r="P33" i="68" a="1"/>
  <c r="P33" i="68" s="1"/>
  <c r="R33" i="68" s="1"/>
  <c r="U43" i="67"/>
  <c r="U47" i="67"/>
  <c r="U49" i="67" s="1"/>
  <c r="AK43" i="66"/>
  <c r="AK47" i="66"/>
  <c r="AK49" i="66" s="1"/>
  <c r="AK43" i="62"/>
  <c r="AK47" i="62"/>
  <c r="AK49" i="62" s="1"/>
  <c r="S40" i="68" a="1"/>
  <c r="S40" i="68" s="1"/>
  <c r="U40" i="68" s="1"/>
  <c r="S39" i="68" a="1"/>
  <c r="S39" i="68" s="1"/>
  <c r="U39" i="68" s="1"/>
  <c r="S38" i="68" a="1"/>
  <c r="S38" i="68" s="1"/>
  <c r="U38" i="68" s="1"/>
  <c r="S37" i="68" a="1"/>
  <c r="S37" i="68" s="1"/>
  <c r="U37" i="68" s="1"/>
  <c r="AL77" i="64"/>
  <c r="AL82" i="64"/>
  <c r="AK26" i="62"/>
  <c r="AK5" i="62"/>
  <c r="AK30" i="62"/>
  <c r="AK32" i="62" s="1"/>
  <c r="Y7" i="57"/>
  <c r="Y12" i="57"/>
  <c r="Y13" i="57" s="1"/>
  <c r="U60" i="67"/>
  <c r="U64" i="67"/>
  <c r="U66" i="67" s="1"/>
  <c r="U44" i="43" a="1"/>
  <c r="U44" i="43" s="1"/>
  <c r="W44" i="43" s="1"/>
  <c r="U43" i="43" a="1"/>
  <c r="U43" i="43" s="1"/>
  <c r="W43" i="43" s="1"/>
  <c r="V58" i="66"/>
  <c r="U42" i="43" a="1"/>
  <c r="U42" i="43" s="1"/>
  <c r="W42" i="43" s="1"/>
  <c r="U41" i="43" a="1"/>
  <c r="U41" i="43" s="1"/>
  <c r="W41" i="43" s="1"/>
  <c r="W26" i="60"/>
  <c r="G119" i="55"/>
  <c r="AJ24" i="67"/>
  <c r="AJ41" i="67"/>
  <c r="V41" i="62"/>
  <c r="AJ41" i="62"/>
  <c r="AJ58" i="67"/>
  <c r="V5" i="67"/>
  <c r="AJ58" i="66"/>
  <c r="V5" i="66"/>
  <c r="V24" i="66"/>
  <c r="V41" i="66"/>
  <c r="AJ24" i="66"/>
  <c r="V58" i="62"/>
  <c r="AJ24" i="62"/>
  <c r="V41" i="67"/>
  <c r="W26" i="35"/>
  <c r="AJ58" i="62"/>
  <c r="V5" i="62"/>
  <c r="AC5" i="58"/>
  <c r="AJ41" i="66"/>
  <c r="V58" i="67"/>
  <c r="V24" i="67"/>
  <c r="V24" i="62"/>
  <c r="AC42" i="58"/>
  <c r="AL25" i="65"/>
  <c r="AL43" i="65"/>
  <c r="AL48" i="65"/>
  <c r="Z97" i="57"/>
  <c r="Z102" i="57"/>
  <c r="Z103" i="57" s="1"/>
  <c r="V7" i="60"/>
  <c r="V13" i="60" s="1"/>
  <c r="V32" i="60"/>
  <c r="Z44" i="57"/>
  <c r="Z26" i="57"/>
  <c r="Z49" i="57"/>
  <c r="Z50" i="57" s="1"/>
  <c r="AK60" i="62"/>
  <c r="AK64" i="62"/>
  <c r="AK66" i="62" s="1"/>
  <c r="AK60" i="67"/>
  <c r="AK64" i="67"/>
  <c r="AK66" i="67" s="1"/>
  <c r="AK7" i="64"/>
  <c r="AK12" i="64"/>
  <c r="U60" i="66"/>
  <c r="U64" i="66"/>
  <c r="U66" i="66" s="1"/>
  <c r="V7" i="35"/>
  <c r="V13" i="35" s="1"/>
  <c r="V32" i="35"/>
  <c r="AL7" i="62"/>
  <c r="AL11" i="62"/>
  <c r="AL13" i="62" s="1"/>
  <c r="AL25" i="61"/>
  <c r="AL43" i="61"/>
  <c r="AL48" i="61"/>
  <c r="Z80" i="57"/>
  <c r="Z85" i="57"/>
  <c r="Z86" i="57" s="1"/>
  <c r="V43" i="67" l="1"/>
  <c r="V47" i="67"/>
  <c r="V49" i="67" s="1"/>
  <c r="C119" i="55"/>
  <c r="AB43" i="57"/>
  <c r="AN42" i="61"/>
  <c r="AN42" i="64"/>
  <c r="AN42" i="65"/>
  <c r="AQ42" i="65" s="1"/>
  <c r="AQ43" i="65" s="1"/>
  <c r="AK7" i="62"/>
  <c r="AK11" i="62"/>
  <c r="AK13" i="62" s="1"/>
  <c r="AJ77" i="62"/>
  <c r="AJ81" i="62"/>
  <c r="AJ83" i="62" s="1"/>
  <c r="AA26" i="57"/>
  <c r="AA44" i="57"/>
  <c r="AA49" i="57"/>
  <c r="AA50" i="57" s="1"/>
  <c r="AA80" i="57"/>
  <c r="AA85" i="57"/>
  <c r="AA86" i="57" s="1"/>
  <c r="AL26" i="64"/>
  <c r="AL31" i="64"/>
  <c r="AK13" i="61"/>
  <c r="V60" i="62"/>
  <c r="V64" i="62"/>
  <c r="V66" i="62" s="1"/>
  <c r="AJ77" i="67"/>
  <c r="AJ81" i="67"/>
  <c r="AJ83" i="67" s="1"/>
  <c r="AM77" i="61"/>
  <c r="AM82" i="61"/>
  <c r="AM83" i="61" s="1"/>
  <c r="AB27" i="58"/>
  <c r="AB31" i="58"/>
  <c r="AB33" i="58" s="1"/>
  <c r="AC80" i="58"/>
  <c r="AC84" i="58"/>
  <c r="AC86" i="58" s="1"/>
  <c r="AM77" i="64"/>
  <c r="AM82" i="64"/>
  <c r="AL26" i="65"/>
  <c r="AL31" i="65"/>
  <c r="AL7" i="61"/>
  <c r="AL12" i="61"/>
  <c r="AL13" i="61" s="1"/>
  <c r="AA97" i="57"/>
  <c r="AA102" i="57"/>
  <c r="AA103" i="57" s="1"/>
  <c r="AL49" i="65"/>
  <c r="AC25" i="58"/>
  <c r="AC44" i="58"/>
  <c r="AC48" i="58"/>
  <c r="AC50" i="58" s="1"/>
  <c r="AL7" i="65"/>
  <c r="AL12" i="65"/>
  <c r="AJ77" i="66"/>
  <c r="AJ81" i="66"/>
  <c r="AJ83" i="66" s="1"/>
  <c r="AJ5" i="62"/>
  <c r="AJ26" i="62"/>
  <c r="AJ30" i="62"/>
  <c r="AJ32" i="62" s="1"/>
  <c r="V7" i="66"/>
  <c r="V11" i="66"/>
  <c r="V13" i="66" s="1"/>
  <c r="AJ60" i="66"/>
  <c r="AJ64" i="66"/>
  <c r="AJ66" i="66" s="1"/>
  <c r="AL7" i="64"/>
  <c r="AL12" i="64"/>
  <c r="V77" i="62"/>
  <c r="V81" i="62"/>
  <c r="V83" i="62" s="1"/>
  <c r="AK7" i="67"/>
  <c r="AK11" i="67"/>
  <c r="AK13" i="67" s="1"/>
  <c r="J25" i="68" a="1"/>
  <c r="J25" i="68" s="1"/>
  <c r="L25" i="68" s="1"/>
  <c r="J28" i="68" a="1"/>
  <c r="J28" i="68" s="1"/>
  <c r="L28" i="68" s="1"/>
  <c r="J26" i="68" a="1"/>
  <c r="J26" i="68" s="1"/>
  <c r="L26" i="68" s="1"/>
  <c r="J27" i="68" a="1"/>
  <c r="J27" i="68" s="1"/>
  <c r="L27" i="68" s="1"/>
  <c r="V60" i="67"/>
  <c r="V64" i="67"/>
  <c r="V66" i="67" s="1"/>
  <c r="V7" i="67"/>
  <c r="V11" i="67"/>
  <c r="V13" i="67" s="1"/>
  <c r="M34" i="68" a="1"/>
  <c r="M34" i="68" s="1"/>
  <c r="O34" i="68" s="1"/>
  <c r="M36" i="68" a="1"/>
  <c r="M36" i="68" s="1"/>
  <c r="O36" i="68" s="1"/>
  <c r="M33" i="68" a="1"/>
  <c r="M33" i="68" s="1"/>
  <c r="O33" i="68" s="1"/>
  <c r="M35" i="68" a="1"/>
  <c r="M35" i="68" s="1"/>
  <c r="O35" i="68" s="1"/>
  <c r="AL83" i="65"/>
  <c r="AM77" i="65"/>
  <c r="AM82" i="65"/>
  <c r="AM83" i="65" s="1"/>
  <c r="AJ60" i="67"/>
  <c r="AJ64" i="67"/>
  <c r="AJ66" i="67" s="1"/>
  <c r="V77" i="67"/>
  <c r="V81" i="67"/>
  <c r="V83" i="67" s="1"/>
  <c r="AM25" i="65"/>
  <c r="AM43" i="65"/>
  <c r="AM48" i="65"/>
  <c r="AM49" i="65" s="1"/>
  <c r="AL49" i="61"/>
  <c r="V43" i="66"/>
  <c r="V47" i="66"/>
  <c r="V49" i="66" s="1"/>
  <c r="Z7" i="57"/>
  <c r="Z12" i="57"/>
  <c r="Z13" i="57" s="1"/>
  <c r="Z27" i="57"/>
  <c r="Z32" i="57"/>
  <c r="Z33" i="57" s="1"/>
  <c r="AJ43" i="66"/>
  <c r="AJ47" i="66"/>
  <c r="AJ49" i="66" s="1"/>
  <c r="X46" i="60"/>
  <c r="X52" i="60" s="1"/>
  <c r="X46" i="35"/>
  <c r="X52" i="35" s="1"/>
  <c r="O120" i="55"/>
  <c r="O39" i="43" a="1"/>
  <c r="O39" i="43" s="1"/>
  <c r="Q39" i="43" s="1"/>
  <c r="O40" i="43" a="1"/>
  <c r="O40" i="43" s="1"/>
  <c r="Q40" i="43" s="1"/>
  <c r="AD78" i="58"/>
  <c r="O37" i="43" a="1"/>
  <c r="O37" i="43" s="1"/>
  <c r="Q37" i="43" s="1"/>
  <c r="W75" i="62"/>
  <c r="W75" i="67"/>
  <c r="O38" i="43" a="1"/>
  <c r="O38" i="43" s="1"/>
  <c r="Q38" i="43" s="1"/>
  <c r="AI75" i="67"/>
  <c r="AI75" i="66"/>
  <c r="AI75" i="62"/>
  <c r="W75" i="66"/>
  <c r="AK7" i="66"/>
  <c r="AK11" i="66"/>
  <c r="AK13" i="66" s="1"/>
  <c r="P30" i="68" a="1"/>
  <c r="P30" i="68" s="1"/>
  <c r="R30" i="68" s="1"/>
  <c r="P31" i="68" a="1"/>
  <c r="P31" i="68" s="1"/>
  <c r="R31" i="68" s="1"/>
  <c r="P29" i="68" a="1"/>
  <c r="P29" i="68" s="1"/>
  <c r="R29" i="68" s="1"/>
  <c r="P32" i="68" a="1"/>
  <c r="P32" i="68" s="1"/>
  <c r="R32" i="68" s="1"/>
  <c r="V7" i="62"/>
  <c r="V11" i="62"/>
  <c r="V13" i="62" s="1"/>
  <c r="V43" i="62"/>
  <c r="V47" i="62"/>
  <c r="V49" i="62" s="1"/>
  <c r="AM25" i="61"/>
  <c r="AM43" i="61"/>
  <c r="AM48" i="61"/>
  <c r="AM49" i="61" s="1"/>
  <c r="AL26" i="61"/>
  <c r="AL31" i="61"/>
  <c r="V26" i="62"/>
  <c r="V30" i="62"/>
  <c r="V32" i="62" s="1"/>
  <c r="V26" i="67"/>
  <c r="V30" i="67"/>
  <c r="V32" i="67" s="1"/>
  <c r="AC7" i="58"/>
  <c r="AC11" i="58"/>
  <c r="AC13" i="58" s="1"/>
  <c r="AJ60" i="62"/>
  <c r="AJ64" i="62"/>
  <c r="AJ66" i="62" s="1"/>
  <c r="AJ43" i="67"/>
  <c r="AJ47" i="67"/>
  <c r="AJ49" i="67" s="1"/>
  <c r="AM43" i="64"/>
  <c r="AM25" i="64"/>
  <c r="AM48" i="64"/>
  <c r="U38" i="43" a="1"/>
  <c r="U38" i="43" s="1"/>
  <c r="W38" i="43" s="1"/>
  <c r="W24" i="67"/>
  <c r="W41" i="66"/>
  <c r="X26" i="35"/>
  <c r="AI58" i="66"/>
  <c r="W58" i="62"/>
  <c r="AI41" i="67"/>
  <c r="AD42" i="58"/>
  <c r="AI24" i="62"/>
  <c r="U40" i="43" a="1"/>
  <c r="U40" i="43" s="1"/>
  <c r="W40" i="43" s="1"/>
  <c r="AI41" i="62"/>
  <c r="AI24" i="67"/>
  <c r="W24" i="62"/>
  <c r="W5" i="67"/>
  <c r="W41" i="67"/>
  <c r="U37" i="43" a="1"/>
  <c r="U37" i="43" s="1"/>
  <c r="W37" i="43" s="1"/>
  <c r="W58" i="67"/>
  <c r="W24" i="66"/>
  <c r="W41" i="62"/>
  <c r="W5" i="62"/>
  <c r="AI24" i="66"/>
  <c r="AI41" i="66"/>
  <c r="X26" i="60"/>
  <c r="G120" i="55"/>
  <c r="AI58" i="67"/>
  <c r="W58" i="66"/>
  <c r="AD5" i="58"/>
  <c r="U39" i="43" a="1"/>
  <c r="U39" i="43" s="1"/>
  <c r="W39" i="43" s="1"/>
  <c r="AI58" i="62"/>
  <c r="W5" i="66"/>
  <c r="W7" i="60"/>
  <c r="W13" i="60" s="1"/>
  <c r="W32" i="60"/>
  <c r="AJ26" i="66"/>
  <c r="AJ5" i="66"/>
  <c r="AJ30" i="66"/>
  <c r="AJ32" i="66" s="1"/>
  <c r="V60" i="66"/>
  <c r="V64" i="66"/>
  <c r="V66" i="66" s="1"/>
  <c r="V26" i="66"/>
  <c r="V30" i="66"/>
  <c r="V32" i="66" s="1"/>
  <c r="V77" i="66"/>
  <c r="V81" i="66"/>
  <c r="V83" i="66" s="1"/>
  <c r="AJ43" i="62"/>
  <c r="AJ47" i="62"/>
  <c r="AJ49" i="62" s="1"/>
  <c r="W7" i="35"/>
  <c r="W13" i="35" s="1"/>
  <c r="W32" i="35"/>
  <c r="AJ26" i="67"/>
  <c r="AJ5" i="67"/>
  <c r="AJ30" i="67"/>
  <c r="AJ32" i="67" s="1"/>
  <c r="AB96" i="57"/>
  <c r="AB79" i="57"/>
  <c r="AN76" i="61"/>
  <c r="AQ76" i="61" s="1"/>
  <c r="AQ77" i="61" s="1"/>
  <c r="AN76" i="65"/>
  <c r="AN76" i="64"/>
  <c r="AM6" i="65"/>
  <c r="AA6" i="57"/>
  <c r="AM6" i="61"/>
  <c r="AM6" i="64"/>
  <c r="S35" i="68" a="1"/>
  <c r="S35" i="68" s="1"/>
  <c r="U35" i="68" s="1"/>
  <c r="S34" i="68" a="1"/>
  <c r="S34" i="68" s="1"/>
  <c r="U34" i="68" s="1"/>
  <c r="S36" i="68" a="1"/>
  <c r="S36" i="68" s="1"/>
  <c r="U36" i="68" s="1"/>
  <c r="S33" i="68" a="1"/>
  <c r="S33" i="68" s="1"/>
  <c r="U33" i="68" s="1"/>
  <c r="W60" i="62" l="1"/>
  <c r="W64" i="62"/>
  <c r="W66" i="62" s="1"/>
  <c r="AJ7" i="67"/>
  <c r="AJ11" i="67"/>
  <c r="AJ13" i="67" s="1"/>
  <c r="AI26" i="66"/>
  <c r="AI5" i="66"/>
  <c r="AI30" i="66"/>
  <c r="AI32" i="66" s="1"/>
  <c r="AI43" i="67"/>
  <c r="AI47" i="67"/>
  <c r="AI49" i="67" s="1"/>
  <c r="AI77" i="66"/>
  <c r="AI81" i="66"/>
  <c r="AI83" i="66" s="1"/>
  <c r="AJ7" i="62"/>
  <c r="AJ11" i="62"/>
  <c r="AJ13" i="62" s="1"/>
  <c r="AA27" i="57"/>
  <c r="AA32" i="57"/>
  <c r="AA33" i="57" s="1"/>
  <c r="AM7" i="64"/>
  <c r="AM12" i="64"/>
  <c r="AJ7" i="66"/>
  <c r="AJ11" i="66"/>
  <c r="AJ13" i="66" s="1"/>
  <c r="AM26" i="65"/>
  <c r="AM31" i="65"/>
  <c r="AM32" i="65" s="1"/>
  <c r="S29" i="68" a="1"/>
  <c r="S29" i="68" s="1"/>
  <c r="U29" i="68" s="1"/>
  <c r="S32" i="68" a="1"/>
  <c r="S32" i="68" s="1"/>
  <c r="U32" i="68" s="1"/>
  <c r="S31" i="68" a="1"/>
  <c r="S31" i="68" s="1"/>
  <c r="U31" i="68" s="1"/>
  <c r="S30" i="68" a="1"/>
  <c r="S30" i="68" s="1"/>
  <c r="U30" i="68" s="1"/>
  <c r="AM7" i="61"/>
  <c r="AM12" i="61"/>
  <c r="W60" i="67"/>
  <c r="W64" i="67"/>
  <c r="W66" i="67" s="1"/>
  <c r="W43" i="66"/>
  <c r="W47" i="66"/>
  <c r="W49" i="66" s="1"/>
  <c r="W77" i="62"/>
  <c r="W81" i="62"/>
  <c r="W83" i="62" s="1"/>
  <c r="AL13" i="65"/>
  <c r="W7" i="62"/>
  <c r="W11" i="62"/>
  <c r="W13" i="62" s="1"/>
  <c r="AA7" i="57"/>
  <c r="AA12" i="57"/>
  <c r="AA13" i="57" s="1"/>
  <c r="W7" i="66"/>
  <c r="W11" i="66"/>
  <c r="W13" i="66" s="1"/>
  <c r="W26" i="67"/>
  <c r="W30" i="67"/>
  <c r="W32" i="67" s="1"/>
  <c r="AN43" i="65"/>
  <c r="AN25" i="65"/>
  <c r="AN48" i="65"/>
  <c r="W77" i="67"/>
  <c r="W81" i="67"/>
  <c r="W83" i="67" s="1"/>
  <c r="AM7" i="65"/>
  <c r="AM12" i="65"/>
  <c r="AM13" i="65" s="1"/>
  <c r="AI60" i="62"/>
  <c r="AI64" i="62"/>
  <c r="AI66" i="62" s="1"/>
  <c r="AD80" i="58"/>
  <c r="AQ80" i="58" s="1"/>
  <c r="AD84" i="58"/>
  <c r="AD86" i="58" s="1"/>
  <c r="AN77" i="64"/>
  <c r="AN82" i="64"/>
  <c r="AQ82" i="64" s="1"/>
  <c r="AQ83" i="64" s="1"/>
  <c r="AQ76" i="64"/>
  <c r="AQ77" i="64" s="1"/>
  <c r="AN43" i="61"/>
  <c r="AN25" i="61"/>
  <c r="AN48" i="61"/>
  <c r="AQ42" i="61"/>
  <c r="AQ43" i="61" s="1"/>
  <c r="P25" i="68" a="1"/>
  <c r="P25" i="68" s="1"/>
  <c r="R25" i="68" s="1"/>
  <c r="P26" i="68" a="1"/>
  <c r="P26" i="68" s="1"/>
  <c r="R26" i="68" s="1"/>
  <c r="P27" i="68" a="1"/>
  <c r="P27" i="68" s="1"/>
  <c r="R27" i="68" s="1"/>
  <c r="P28" i="68" a="1"/>
  <c r="P28" i="68" s="1"/>
  <c r="R28" i="68" s="1"/>
  <c r="AN77" i="65"/>
  <c r="AN82" i="65"/>
  <c r="AQ76" i="65"/>
  <c r="AQ77" i="65" s="1"/>
  <c r="AD7" i="58"/>
  <c r="AQ7" i="58" s="1"/>
  <c r="AD11" i="58"/>
  <c r="AD13" i="58" s="1"/>
  <c r="W26" i="62"/>
  <c r="W30" i="62"/>
  <c r="W32" i="62" s="1"/>
  <c r="AM26" i="64"/>
  <c r="AM31" i="64"/>
  <c r="M31" i="68" a="1"/>
  <c r="M31" i="68" s="1"/>
  <c r="O31" i="68" s="1"/>
  <c r="M30" i="68" a="1"/>
  <c r="M30" i="68" s="1"/>
  <c r="O30" i="68" s="1"/>
  <c r="M32" i="68" a="1"/>
  <c r="M32" i="68" s="1"/>
  <c r="O32" i="68" s="1"/>
  <c r="M29" i="68" a="1"/>
  <c r="M29" i="68" s="1"/>
  <c r="O29" i="68" s="1"/>
  <c r="AC27" i="58"/>
  <c r="AC31" i="58"/>
  <c r="AC33" i="58" s="1"/>
  <c r="AB44" i="57"/>
  <c r="AB26" i="57"/>
  <c r="AB49" i="57"/>
  <c r="AB50" i="57" s="1"/>
  <c r="W43" i="62"/>
  <c r="W47" i="62"/>
  <c r="W49" i="62" s="1"/>
  <c r="AN25" i="64"/>
  <c r="AN43" i="64"/>
  <c r="AN48" i="64"/>
  <c r="AQ48" i="64" s="1"/>
  <c r="AQ42" i="64"/>
  <c r="AQ43" i="64" s="1"/>
  <c r="AN77" i="61"/>
  <c r="AN82" i="61"/>
  <c r="AI5" i="67"/>
  <c r="AI26" i="67"/>
  <c r="AI30" i="67"/>
  <c r="AI32" i="67" s="1"/>
  <c r="AC79" i="57"/>
  <c r="AC96" i="57"/>
  <c r="AH75" i="67"/>
  <c r="AH75" i="66"/>
  <c r="AH75" i="62"/>
  <c r="X75" i="67"/>
  <c r="Y46" i="35"/>
  <c r="Y52" i="35" s="1"/>
  <c r="O121" i="55"/>
  <c r="X75" i="62"/>
  <c r="AE78" i="58"/>
  <c r="O34" i="43" a="1"/>
  <c r="O34" i="43" s="1"/>
  <c r="Q34" i="43" s="1"/>
  <c r="Y46" i="60"/>
  <c r="Y52" i="60" s="1"/>
  <c r="X75" i="66"/>
  <c r="O36" i="43" a="1"/>
  <c r="O36" i="43" s="1"/>
  <c r="Q36" i="43" s="1"/>
  <c r="O33" i="43" a="1"/>
  <c r="O33" i="43" s="1"/>
  <c r="Q33" i="43" s="1"/>
  <c r="O35" i="43" a="1"/>
  <c r="O35" i="43" s="1"/>
  <c r="Q35" i="43" s="1"/>
  <c r="AN6" i="65"/>
  <c r="AN6" i="61"/>
  <c r="AB6" i="57"/>
  <c r="AN6" i="64"/>
  <c r="W26" i="66"/>
  <c r="W30" i="66"/>
  <c r="W32" i="66" s="1"/>
  <c r="J21" i="68" a="1"/>
  <c r="J21" i="68" s="1"/>
  <c r="L21" i="68" s="1"/>
  <c r="J22" i="68" a="1"/>
  <c r="J22" i="68" s="1"/>
  <c r="L22" i="68" s="1"/>
  <c r="J24" i="68" a="1"/>
  <c r="J24" i="68" s="1"/>
  <c r="L24" i="68" s="1"/>
  <c r="J23" i="68" a="1"/>
  <c r="J23" i="68" s="1"/>
  <c r="L23" i="68" s="1"/>
  <c r="W7" i="67"/>
  <c r="W11" i="67"/>
  <c r="W13" i="67" s="1"/>
  <c r="AI60" i="67"/>
  <c r="AI64" i="67"/>
  <c r="AI66" i="67" s="1"/>
  <c r="AI43" i="62"/>
  <c r="AI47" i="62"/>
  <c r="AI49" i="62" s="1"/>
  <c r="AI60" i="66"/>
  <c r="AI64" i="66"/>
  <c r="AI66" i="66" s="1"/>
  <c r="X7" i="35"/>
  <c r="X13" i="35" s="1"/>
  <c r="X32" i="35"/>
  <c r="W43" i="67"/>
  <c r="W47" i="67"/>
  <c r="W49" i="67" s="1"/>
  <c r="AL32" i="61"/>
  <c r="W60" i="66"/>
  <c r="W64" i="66"/>
  <c r="W66" i="66" s="1"/>
  <c r="AB80" i="57"/>
  <c r="AB85" i="57"/>
  <c r="AB86" i="57" s="1"/>
  <c r="AB97" i="57"/>
  <c r="AB102" i="57"/>
  <c r="AB103" i="57" s="1"/>
  <c r="C120" i="55"/>
  <c r="AC6" i="57" s="1"/>
  <c r="AC43" i="57"/>
  <c r="AP43" i="57" s="1"/>
  <c r="AP49" i="57" s="1"/>
  <c r="AP50" i="57" s="1"/>
  <c r="AM26" i="61"/>
  <c r="AM31" i="61"/>
  <c r="AM32" i="61" s="1"/>
  <c r="AI77" i="67"/>
  <c r="AI81" i="67"/>
  <c r="AI83" i="67" s="1"/>
  <c r="X7" i="60"/>
  <c r="X13" i="60" s="1"/>
  <c r="X32" i="60"/>
  <c r="AL32" i="65"/>
  <c r="X24" i="67"/>
  <c r="Y26" i="60"/>
  <c r="G121" i="55"/>
  <c r="AH24" i="67"/>
  <c r="X41" i="62"/>
  <c r="U34" i="43" a="1"/>
  <c r="U34" i="43" s="1"/>
  <c r="W34" i="43" s="1"/>
  <c r="X24" i="66"/>
  <c r="X41" i="66"/>
  <c r="AH24" i="62"/>
  <c r="Y26" i="35"/>
  <c r="X5" i="67"/>
  <c r="AE42" i="58"/>
  <c r="U35" i="43" a="1"/>
  <c r="U35" i="43" s="1"/>
  <c r="W35" i="43" s="1"/>
  <c r="AH41" i="66"/>
  <c r="AE5" i="58"/>
  <c r="X41" i="67"/>
  <c r="AH58" i="67"/>
  <c r="X24" i="62"/>
  <c r="AH58" i="62"/>
  <c r="AH24" i="66"/>
  <c r="X58" i="67"/>
  <c r="AH41" i="67"/>
  <c r="X5" i="66"/>
  <c r="X58" i="62"/>
  <c r="X5" i="62"/>
  <c r="X58" i="66"/>
  <c r="AH41" i="62"/>
  <c r="AH58" i="66"/>
  <c r="U36" i="43" a="1"/>
  <c r="U36" i="43" s="1"/>
  <c r="W36" i="43" s="1"/>
  <c r="U33" i="43" a="1"/>
  <c r="U33" i="43" s="1"/>
  <c r="W33" i="43" s="1"/>
  <c r="AI26" i="62"/>
  <c r="AI5" i="62"/>
  <c r="AI30" i="62"/>
  <c r="AI32" i="62" s="1"/>
  <c r="W77" i="66"/>
  <c r="W81" i="66"/>
  <c r="W83" i="66" s="1"/>
  <c r="AI43" i="66"/>
  <c r="AI47" i="66"/>
  <c r="AI49" i="66" s="1"/>
  <c r="AD44" i="58"/>
  <c r="AQ44" i="58" s="1"/>
  <c r="AD25" i="58"/>
  <c r="AD48" i="58"/>
  <c r="AD50" i="58" s="1"/>
  <c r="AI77" i="62"/>
  <c r="AI81" i="62"/>
  <c r="AI83" i="62" s="1"/>
  <c r="AP7" i="58" l="1"/>
  <c r="AO6" i="57"/>
  <c r="AO12" i="57" s="1"/>
  <c r="AO13" i="57" s="1"/>
  <c r="AP44" i="58"/>
  <c r="X7" i="62"/>
  <c r="X11" i="62"/>
  <c r="X13" i="62" s="1"/>
  <c r="AN7" i="64"/>
  <c r="AN12" i="64"/>
  <c r="AQ12" i="64" s="1"/>
  <c r="AQ13" i="64" s="1"/>
  <c r="AQ6" i="64"/>
  <c r="AQ7" i="64" s="1"/>
  <c r="X7" i="66"/>
  <c r="X11" i="66"/>
  <c r="X13" i="66" s="1"/>
  <c r="AH5" i="62"/>
  <c r="AH26" i="62"/>
  <c r="AH30" i="62"/>
  <c r="AH32" i="62" s="1"/>
  <c r="S27" i="68" a="1"/>
  <c r="S27" i="68" s="1"/>
  <c r="U27" i="68" s="1"/>
  <c r="S25" i="68" a="1"/>
  <c r="S25" i="68" s="1"/>
  <c r="U25" i="68" s="1"/>
  <c r="S28" i="68" a="1"/>
  <c r="S28" i="68" s="1"/>
  <c r="U28" i="68" s="1"/>
  <c r="S26" i="68" a="1"/>
  <c r="S26" i="68" s="1"/>
  <c r="U26" i="68" s="1"/>
  <c r="AN7" i="61"/>
  <c r="AN12" i="61"/>
  <c r="AN13" i="61" s="1"/>
  <c r="AQ6" i="61"/>
  <c r="AQ7" i="61" s="1"/>
  <c r="AH77" i="66"/>
  <c r="AH81" i="66"/>
  <c r="AH83" i="66" s="1"/>
  <c r="X43" i="66"/>
  <c r="X47" i="66"/>
  <c r="X49" i="66" s="1"/>
  <c r="X60" i="67"/>
  <c r="X64" i="67"/>
  <c r="X66" i="67" s="1"/>
  <c r="AH77" i="67"/>
  <c r="AH81" i="67"/>
  <c r="AH83" i="67" s="1"/>
  <c r="J20" i="68" a="1"/>
  <c r="J20" i="68" s="1"/>
  <c r="L20" i="68" s="1"/>
  <c r="J18" i="68" a="1"/>
  <c r="J18" i="68" s="1"/>
  <c r="L18" i="68" s="1"/>
  <c r="J17" i="68" a="1"/>
  <c r="J17" i="68" s="1"/>
  <c r="L17" i="68" s="1"/>
  <c r="J19" i="68" a="1"/>
  <c r="J19" i="68" s="1"/>
  <c r="L19" i="68" s="1"/>
  <c r="P21" i="68" a="1"/>
  <c r="P21" i="68" s="1"/>
  <c r="R21" i="68" s="1"/>
  <c r="P22" i="68" a="1"/>
  <c r="P22" i="68" s="1"/>
  <c r="R22" i="68" s="1"/>
  <c r="P24" i="68" a="1"/>
  <c r="P24" i="68" s="1"/>
  <c r="R24" i="68" s="1"/>
  <c r="P23" i="68" a="1"/>
  <c r="P23" i="68" s="1"/>
  <c r="R23" i="68" s="1"/>
  <c r="AH60" i="62"/>
  <c r="AH64" i="62"/>
  <c r="AH66" i="62" s="1"/>
  <c r="X43" i="62"/>
  <c r="X47" i="62"/>
  <c r="X49" i="62" s="1"/>
  <c r="M25" i="68" a="1"/>
  <c r="M25" i="68" s="1"/>
  <c r="O25" i="68" s="1"/>
  <c r="M26" i="68" a="1"/>
  <c r="M26" i="68" s="1"/>
  <c r="O26" i="68" s="1"/>
  <c r="M27" i="68" a="1"/>
  <c r="M27" i="68" s="1"/>
  <c r="O27" i="68" s="1"/>
  <c r="M28" i="68" a="1"/>
  <c r="M28" i="68" s="1"/>
  <c r="O28" i="68" s="1"/>
  <c r="AP80" i="58"/>
  <c r="AC97" i="57"/>
  <c r="AP97" i="57" s="1"/>
  <c r="AC102" i="57"/>
  <c r="AC103" i="57" s="1"/>
  <c r="AP96" i="57"/>
  <c r="AP102" i="57" s="1"/>
  <c r="AP103" i="57" s="1"/>
  <c r="AH26" i="67"/>
  <c r="AH5" i="67"/>
  <c r="AH30" i="67"/>
  <c r="AH32" i="67" s="1"/>
  <c r="X77" i="66"/>
  <c r="X81" i="66"/>
  <c r="X83" i="66" s="1"/>
  <c r="AB27" i="57"/>
  <c r="AB32" i="57"/>
  <c r="AB33" i="57" s="1"/>
  <c r="AN49" i="65"/>
  <c r="AQ48" i="65"/>
  <c r="AQ49" i="65" s="1"/>
  <c r="AI7" i="66"/>
  <c r="AI11" i="66"/>
  <c r="AI13" i="66" s="1"/>
  <c r="X26" i="66"/>
  <c r="X30" i="66"/>
  <c r="X32" i="66" s="1"/>
  <c r="AC26" i="57"/>
  <c r="AO26" i="57" s="1"/>
  <c r="AO32" i="57" s="1"/>
  <c r="AO33" i="57" s="1"/>
  <c r="AC44" i="57"/>
  <c r="AP44" i="57" s="1"/>
  <c r="AC49" i="57"/>
  <c r="AO43" i="57"/>
  <c r="AO49" i="57" s="1"/>
  <c r="AO50" i="57" s="1"/>
  <c r="O29" i="43" a="1"/>
  <c r="O29" i="43" s="1"/>
  <c r="Q29" i="43" s="1"/>
  <c r="AF78" i="58"/>
  <c r="Y75" i="62"/>
  <c r="AG75" i="67"/>
  <c r="O32" i="43" a="1"/>
  <c r="O32" i="43" s="1"/>
  <c r="Q32" i="43" s="1"/>
  <c r="Y75" i="67"/>
  <c r="O31" i="43" a="1"/>
  <c r="O31" i="43" s="1"/>
  <c r="Q31" i="43" s="1"/>
  <c r="Z46" i="60"/>
  <c r="Z52" i="60" s="1"/>
  <c r="O30" i="43" a="1"/>
  <c r="O30" i="43" s="1"/>
  <c r="Q30" i="43" s="1"/>
  <c r="O122" i="55"/>
  <c r="Z46" i="35"/>
  <c r="Z52" i="35" s="1"/>
  <c r="Y75" i="66"/>
  <c r="AG75" i="66"/>
  <c r="AG75" i="62"/>
  <c r="AC7" i="57"/>
  <c r="AR6" i="57"/>
  <c r="AR7" i="57" s="1"/>
  <c r="AC12" i="57"/>
  <c r="AP6" i="57"/>
  <c r="AP12" i="57" s="1"/>
  <c r="AP13" i="57" s="1"/>
  <c r="X43" i="67"/>
  <c r="X47" i="67"/>
  <c r="X49" i="67" s="1"/>
  <c r="AO96" i="57"/>
  <c r="AO102" i="57" s="1"/>
  <c r="AO103" i="57" s="1"/>
  <c r="AE7" i="58"/>
  <c r="AE11" i="58"/>
  <c r="AE13" i="58" s="1"/>
  <c r="X26" i="67"/>
  <c r="X30" i="67"/>
  <c r="X32" i="67" s="1"/>
  <c r="AE80" i="58"/>
  <c r="AE84" i="58"/>
  <c r="AE86" i="58" s="1"/>
  <c r="AN83" i="65"/>
  <c r="AQ82" i="65"/>
  <c r="AQ83" i="65" s="1"/>
  <c r="AN7" i="65"/>
  <c r="AN12" i="65"/>
  <c r="AQ6" i="65"/>
  <c r="AQ7" i="65" s="1"/>
  <c r="AH26" i="66"/>
  <c r="AH5" i="66"/>
  <c r="AH30" i="66"/>
  <c r="AH32" i="66" s="1"/>
  <c r="AC80" i="57"/>
  <c r="AP80" i="57" s="1"/>
  <c r="AQ79" i="57"/>
  <c r="AQ80" i="57" s="1"/>
  <c r="AC85" i="57"/>
  <c r="AP79" i="57"/>
  <c r="AP85" i="57" s="1"/>
  <c r="AP86" i="57" s="1"/>
  <c r="AI7" i="62"/>
  <c r="AI11" i="62"/>
  <c r="AI13" i="62" s="1"/>
  <c r="AH60" i="67"/>
  <c r="AH64" i="67"/>
  <c r="AH66" i="67" s="1"/>
  <c r="AD43" i="57"/>
  <c r="C121" i="55"/>
  <c r="AI7" i="67"/>
  <c r="AI11" i="67"/>
  <c r="AI13" i="67" s="1"/>
  <c r="Y7" i="60"/>
  <c r="Y13" i="60" s="1"/>
  <c r="Y32" i="60"/>
  <c r="AN83" i="61"/>
  <c r="AQ82" i="61"/>
  <c r="AQ83" i="61" s="1"/>
  <c r="AH60" i="66"/>
  <c r="AH64" i="66"/>
  <c r="AH66" i="66" s="1"/>
  <c r="AH43" i="66"/>
  <c r="AH47" i="66"/>
  <c r="AH49" i="66" s="1"/>
  <c r="X77" i="62"/>
  <c r="X81" i="62"/>
  <c r="X83" i="62" s="1"/>
  <c r="AG41" i="67"/>
  <c r="Y41" i="67"/>
  <c r="Z26" i="35"/>
  <c r="AG58" i="66"/>
  <c r="Y58" i="67"/>
  <c r="AG41" i="62"/>
  <c r="Y5" i="62"/>
  <c r="Y5" i="67"/>
  <c r="G122" i="55"/>
  <c r="U29" i="43" a="1"/>
  <c r="U29" i="43" s="1"/>
  <c r="W29" i="43" s="1"/>
  <c r="U32" i="43" a="1"/>
  <c r="U32" i="43" s="1"/>
  <c r="W32" i="43" s="1"/>
  <c r="AF42" i="58"/>
  <c r="Y41" i="62"/>
  <c r="Y58" i="66"/>
  <c r="Y24" i="66"/>
  <c r="Y41" i="66"/>
  <c r="Z26" i="60"/>
  <c r="AG41" i="66"/>
  <c r="AG24" i="67"/>
  <c r="AG58" i="62"/>
  <c r="AG24" i="66"/>
  <c r="Y58" i="62"/>
  <c r="U30" i="43" a="1"/>
  <c r="U30" i="43" s="1"/>
  <c r="W30" i="43" s="1"/>
  <c r="Y24" i="67"/>
  <c r="Y5" i="66"/>
  <c r="U31" i="43" a="1"/>
  <c r="U31" i="43" s="1"/>
  <c r="W31" i="43" s="1"/>
  <c r="AG58" i="67"/>
  <c r="Y24" i="62"/>
  <c r="AF5" i="58"/>
  <c r="AG24" i="62"/>
  <c r="AN26" i="61"/>
  <c r="AN31" i="61"/>
  <c r="AQ25" i="61"/>
  <c r="AQ26" i="61" s="1"/>
  <c r="X26" i="62"/>
  <c r="X30" i="62"/>
  <c r="X32" i="62" s="1"/>
  <c r="AN26" i="65"/>
  <c r="AN31" i="65"/>
  <c r="AQ25" i="65"/>
  <c r="AQ26" i="65" s="1"/>
  <c r="AH43" i="62"/>
  <c r="AH47" i="62"/>
  <c r="AH49" i="62" s="1"/>
  <c r="AO79" i="57"/>
  <c r="AO85" i="57" s="1"/>
  <c r="AO86" i="57" s="1"/>
  <c r="AM13" i="61"/>
  <c r="AN49" i="61"/>
  <c r="AQ48" i="61"/>
  <c r="AQ49" i="61" s="1"/>
  <c r="X60" i="66"/>
  <c r="X64" i="66"/>
  <c r="X66" i="66" s="1"/>
  <c r="AH43" i="67"/>
  <c r="AH47" i="67"/>
  <c r="AH49" i="67" s="1"/>
  <c r="AE44" i="58"/>
  <c r="AE25" i="58"/>
  <c r="AE48" i="58"/>
  <c r="AE50" i="58" s="1"/>
  <c r="AD27" i="58"/>
  <c r="AQ27" i="58" s="1"/>
  <c r="AD31" i="58"/>
  <c r="AD33" i="58" s="1"/>
  <c r="X7" i="67"/>
  <c r="X11" i="67"/>
  <c r="X13" i="67" s="1"/>
  <c r="X77" i="67"/>
  <c r="X81" i="67"/>
  <c r="X83" i="67" s="1"/>
  <c r="AQ25" i="64"/>
  <c r="AQ26" i="64" s="1"/>
  <c r="AN26" i="64"/>
  <c r="AN31" i="64"/>
  <c r="AQ31" i="64" s="1"/>
  <c r="X60" i="62"/>
  <c r="X64" i="62"/>
  <c r="X66" i="62" s="1"/>
  <c r="Y7" i="35"/>
  <c r="Y13" i="35" s="1"/>
  <c r="Y32" i="35"/>
  <c r="AQ6" i="57"/>
  <c r="AQ7" i="57" s="1"/>
  <c r="AB7" i="57"/>
  <c r="AB12" i="57"/>
  <c r="AH77" i="62"/>
  <c r="AH81" i="62"/>
  <c r="AH83" i="62" s="1"/>
  <c r="AO80" i="57" l="1"/>
  <c r="AQ12" i="61"/>
  <c r="AQ13" i="61" s="1"/>
  <c r="AO97" i="57"/>
  <c r="AP7" i="57"/>
  <c r="Y60" i="62"/>
  <c r="Y64" i="62"/>
  <c r="Y66" i="62" s="1"/>
  <c r="Y7" i="67"/>
  <c r="Y11" i="67"/>
  <c r="Y13" i="67" s="1"/>
  <c r="AG77" i="62"/>
  <c r="AG81" i="62"/>
  <c r="AG83" i="62" s="1"/>
  <c r="Y7" i="66"/>
  <c r="Y11" i="66"/>
  <c r="Y13" i="66" s="1"/>
  <c r="P17" i="68" a="1"/>
  <c r="P17" i="68" s="1"/>
  <c r="R17" i="68" s="1"/>
  <c r="P19" i="68" a="1"/>
  <c r="P19" i="68" s="1"/>
  <c r="R19" i="68" s="1"/>
  <c r="P20" i="68" a="1"/>
  <c r="P20" i="68" s="1"/>
  <c r="R20" i="68" s="1"/>
  <c r="P18" i="68" a="1"/>
  <c r="P18" i="68" s="1"/>
  <c r="R18" i="68" s="1"/>
  <c r="AG77" i="66"/>
  <c r="AG81" i="66"/>
  <c r="AG83" i="66" s="1"/>
  <c r="AN32" i="61"/>
  <c r="AQ31" i="61"/>
  <c r="AQ32" i="61" s="1"/>
  <c r="AG43" i="66"/>
  <c r="AG47" i="66"/>
  <c r="AG49" i="66" s="1"/>
  <c r="AG60" i="66"/>
  <c r="AG64" i="66"/>
  <c r="AG66" i="66" s="1"/>
  <c r="AC27" i="57"/>
  <c r="AP27" i="57" s="1"/>
  <c r="AC32" i="57"/>
  <c r="AP26" i="57"/>
  <c r="AP32" i="57" s="1"/>
  <c r="AP33" i="57" s="1"/>
  <c r="AH7" i="62"/>
  <c r="AH11" i="62"/>
  <c r="AH13" i="62" s="1"/>
  <c r="J13" i="68" a="1"/>
  <c r="J13" i="68" s="1"/>
  <c r="L13" i="68" s="1"/>
  <c r="J16" i="68" a="1"/>
  <c r="J16" i="68" s="1"/>
  <c r="L16" i="68" s="1"/>
  <c r="J14" i="68" a="1"/>
  <c r="J14" i="68" s="1"/>
  <c r="L14" i="68" s="1"/>
  <c r="J15" i="68" a="1"/>
  <c r="J15" i="68" s="1"/>
  <c r="L15" i="68" s="1"/>
  <c r="AD26" i="57"/>
  <c r="AD44" i="57"/>
  <c r="AD49" i="57"/>
  <c r="AD50" i="57" s="1"/>
  <c r="M22" i="68" a="1"/>
  <c r="M22" i="68" s="1"/>
  <c r="O22" i="68" s="1"/>
  <c r="M23" i="68" a="1"/>
  <c r="M23" i="68" s="1"/>
  <c r="O23" i="68" s="1"/>
  <c r="M21" i="68" a="1"/>
  <c r="M21" i="68" s="1"/>
  <c r="O21" i="68" s="1"/>
  <c r="M24" i="68" a="1"/>
  <c r="M24" i="68" s="1"/>
  <c r="O24" i="68" s="1"/>
  <c r="Y77" i="66"/>
  <c r="Y81" i="66"/>
  <c r="Y83" i="66" s="1"/>
  <c r="AG5" i="67"/>
  <c r="AG26" i="67"/>
  <c r="AG30" i="67"/>
  <c r="AG32" i="67" s="1"/>
  <c r="AQ85" i="57"/>
  <c r="AQ86" i="57" s="1"/>
  <c r="AC86" i="57"/>
  <c r="Z7" i="60"/>
  <c r="Z13" i="60" s="1"/>
  <c r="Z32" i="60"/>
  <c r="Z7" i="35"/>
  <c r="Z13" i="35" s="1"/>
  <c r="Z32" i="35"/>
  <c r="AF41" i="66"/>
  <c r="AF58" i="66"/>
  <c r="Z41" i="62"/>
  <c r="AF24" i="62"/>
  <c r="U26" i="43" a="1"/>
  <c r="U26" i="43" s="1"/>
  <c r="W26" i="43" s="1"/>
  <c r="AF24" i="66"/>
  <c r="Z58" i="66"/>
  <c r="G123" i="55"/>
  <c r="U28" i="43" a="1"/>
  <c r="U28" i="43" s="1"/>
  <c r="W28" i="43" s="1"/>
  <c r="Z5" i="66"/>
  <c r="AF58" i="67"/>
  <c r="Z58" i="67"/>
  <c r="Z41" i="66"/>
  <c r="Z24" i="67"/>
  <c r="AF24" i="67"/>
  <c r="AA26" i="35"/>
  <c r="Z24" i="66"/>
  <c r="AG5" i="58"/>
  <c r="U25" i="43" a="1"/>
  <c r="U25" i="43" s="1"/>
  <c r="W25" i="43" s="1"/>
  <c r="Z41" i="67"/>
  <c r="U27" i="43" a="1"/>
  <c r="U27" i="43" s="1"/>
  <c r="W27" i="43" s="1"/>
  <c r="AG42" i="58"/>
  <c r="Z24" i="62"/>
  <c r="AF41" i="62"/>
  <c r="Z5" i="62"/>
  <c r="AA26" i="60"/>
  <c r="AF41" i="67"/>
  <c r="Z5" i="67"/>
  <c r="Z58" i="62"/>
  <c r="AF58" i="62"/>
  <c r="C122" i="55"/>
  <c r="AE43" i="57"/>
  <c r="O25" i="43" a="1"/>
  <c r="O25" i="43" s="1"/>
  <c r="Q25" i="43" s="1"/>
  <c r="O26" i="43" a="1"/>
  <c r="O26" i="43" s="1"/>
  <c r="Q26" i="43" s="1"/>
  <c r="AA46" i="35"/>
  <c r="AA52" i="35" s="1"/>
  <c r="Z75" i="67"/>
  <c r="O27" i="43" a="1"/>
  <c r="O27" i="43" s="1"/>
  <c r="Q27" i="43" s="1"/>
  <c r="AG78" i="58"/>
  <c r="AF75" i="62"/>
  <c r="AF75" i="67"/>
  <c r="AF75" i="66"/>
  <c r="Z75" i="62"/>
  <c r="O123" i="55"/>
  <c r="O28" i="43" a="1"/>
  <c r="O28" i="43" s="1"/>
  <c r="Q28" i="43" s="1"/>
  <c r="Z75" i="66"/>
  <c r="AA46" i="60"/>
  <c r="AA52" i="60" s="1"/>
  <c r="AH7" i="67"/>
  <c r="AH11" i="67"/>
  <c r="AH13" i="67" s="1"/>
  <c r="AO7" i="57"/>
  <c r="AF7" i="58"/>
  <c r="AF11" i="58"/>
  <c r="AF13" i="58" s="1"/>
  <c r="Y26" i="66"/>
  <c r="Y30" i="66"/>
  <c r="Y32" i="66" s="1"/>
  <c r="AG43" i="67"/>
  <c r="AG47" i="67"/>
  <c r="AG49" i="67" s="1"/>
  <c r="AO44" i="57"/>
  <c r="AH7" i="66"/>
  <c r="AH11" i="66"/>
  <c r="AH13" i="66" s="1"/>
  <c r="AG26" i="66"/>
  <c r="AG5" i="66"/>
  <c r="AG30" i="66"/>
  <c r="AG32" i="66" s="1"/>
  <c r="AC50" i="57"/>
  <c r="AB13" i="57"/>
  <c r="AQ12" i="57"/>
  <c r="AQ13" i="57" s="1"/>
  <c r="AG26" i="62"/>
  <c r="AG5" i="62"/>
  <c r="AG30" i="62"/>
  <c r="AG32" i="62" s="1"/>
  <c r="Y43" i="66"/>
  <c r="Y47" i="66"/>
  <c r="Y49" i="66" s="1"/>
  <c r="S23" i="68" a="1"/>
  <c r="S23" i="68" s="1"/>
  <c r="U23" i="68" s="1"/>
  <c r="S24" i="68" a="1"/>
  <c r="S24" i="68" s="1"/>
  <c r="U24" i="68" s="1"/>
  <c r="S21" i="68" a="1"/>
  <c r="S21" i="68" s="1"/>
  <c r="U21" i="68" s="1"/>
  <c r="S22" i="68" a="1"/>
  <c r="S22" i="68" s="1"/>
  <c r="U22" i="68" s="1"/>
  <c r="Y26" i="62"/>
  <c r="Y30" i="62"/>
  <c r="Y32" i="62" s="1"/>
  <c r="Y60" i="66"/>
  <c r="Y64" i="66"/>
  <c r="Y66" i="66" s="1"/>
  <c r="AP27" i="58"/>
  <c r="Y77" i="67"/>
  <c r="Y81" i="67"/>
  <c r="Y83" i="67" s="1"/>
  <c r="Y7" i="62"/>
  <c r="Y11" i="62"/>
  <c r="Y13" i="62" s="1"/>
  <c r="AG43" i="62"/>
  <c r="AG47" i="62"/>
  <c r="AG49" i="62" s="1"/>
  <c r="Y60" i="67"/>
  <c r="Y64" i="67"/>
  <c r="Y66" i="67" s="1"/>
  <c r="Y43" i="62"/>
  <c r="Y47" i="62"/>
  <c r="Y49" i="62" s="1"/>
  <c r="AG60" i="62"/>
  <c r="AG64" i="62"/>
  <c r="AG66" i="62" s="1"/>
  <c r="Y43" i="67"/>
  <c r="Y47" i="67"/>
  <c r="Y49" i="67" s="1"/>
  <c r="AG60" i="67"/>
  <c r="AG64" i="67"/>
  <c r="AG66" i="67" s="1"/>
  <c r="AF44" i="58"/>
  <c r="AF25" i="58"/>
  <c r="AF48" i="58"/>
  <c r="AF50" i="58" s="1"/>
  <c r="AN13" i="65"/>
  <c r="AQ12" i="65"/>
  <c r="AQ13" i="65" s="1"/>
  <c r="AG77" i="67"/>
  <c r="AG81" i="67"/>
  <c r="AG83" i="67" s="1"/>
  <c r="AC13" i="57"/>
  <c r="AR12" i="57"/>
  <c r="AR13" i="57" s="1"/>
  <c r="Y77" i="62"/>
  <c r="Y81" i="62"/>
  <c r="Y83" i="62" s="1"/>
  <c r="Y26" i="67"/>
  <c r="Y30" i="67"/>
  <c r="Y32" i="67" s="1"/>
  <c r="AF80" i="58"/>
  <c r="AF84" i="58"/>
  <c r="AF86" i="58" s="1"/>
  <c r="AE27" i="58"/>
  <c r="AE31" i="58"/>
  <c r="AE33" i="58" s="1"/>
  <c r="AN32" i="65"/>
  <c r="AQ31" i="65"/>
  <c r="AQ32" i="65" s="1"/>
  <c r="AA75" i="66" l="1"/>
  <c r="AE75" i="66"/>
  <c r="AA75" i="67"/>
  <c r="AE75" i="62"/>
  <c r="O24" i="43" a="1"/>
  <c r="O24" i="43" s="1"/>
  <c r="Q24" i="43" s="1"/>
  <c r="O22" i="43" a="1"/>
  <c r="O22" i="43" s="1"/>
  <c r="Q22" i="43" s="1"/>
  <c r="AA75" i="62"/>
  <c r="AB46" i="60"/>
  <c r="AB52" i="60" s="1"/>
  <c r="AE75" i="67"/>
  <c r="O124" i="55"/>
  <c r="AB46" i="35"/>
  <c r="AB52" i="35" s="1"/>
  <c r="AH78" i="58"/>
  <c r="O23" i="43" a="1"/>
  <c r="O23" i="43" s="1"/>
  <c r="Q23" i="43" s="1"/>
  <c r="O21" i="43" a="1"/>
  <c r="O21" i="43" s="1"/>
  <c r="Q21" i="43" s="1"/>
  <c r="AF43" i="66"/>
  <c r="AF47" i="66"/>
  <c r="AF49" i="66" s="1"/>
  <c r="Z77" i="62"/>
  <c r="Z81" i="62"/>
  <c r="Z83" i="62" s="1"/>
  <c r="M18" i="68" a="1"/>
  <c r="M18" i="68" s="1"/>
  <c r="O18" i="68" s="1"/>
  <c r="M17" i="68" a="1"/>
  <c r="M17" i="68" s="1"/>
  <c r="O17" i="68" s="1"/>
  <c r="M20" i="68" a="1"/>
  <c r="M20" i="68" s="1"/>
  <c r="O20" i="68" s="1"/>
  <c r="M19" i="68" a="1"/>
  <c r="M19" i="68" s="1"/>
  <c r="O19" i="68" s="1"/>
  <c r="AF60" i="62"/>
  <c r="AF64" i="62"/>
  <c r="AF66" i="62" s="1"/>
  <c r="AA7" i="35"/>
  <c r="AA13" i="35" s="1"/>
  <c r="AA32" i="35"/>
  <c r="AF60" i="66"/>
  <c r="AF64" i="66"/>
  <c r="AF66" i="66" s="1"/>
  <c r="AF77" i="62"/>
  <c r="AF81" i="62"/>
  <c r="AF83" i="62" s="1"/>
  <c r="Z7" i="62"/>
  <c r="Z11" i="62"/>
  <c r="Z13" i="62" s="1"/>
  <c r="AF60" i="67"/>
  <c r="AF64" i="67"/>
  <c r="AF66" i="67" s="1"/>
  <c r="AD27" i="57"/>
  <c r="AD32" i="57"/>
  <c r="AD33" i="57" s="1"/>
  <c r="AF43" i="62"/>
  <c r="AF47" i="62"/>
  <c r="AF49" i="62" s="1"/>
  <c r="Z26" i="62"/>
  <c r="Z30" i="62"/>
  <c r="Z32" i="62" s="1"/>
  <c r="Z77" i="67"/>
  <c r="Z81" i="67"/>
  <c r="Z83" i="67" s="1"/>
  <c r="AG25" i="58"/>
  <c r="AG44" i="58"/>
  <c r="AG48" i="58"/>
  <c r="AG50" i="58" s="1"/>
  <c r="AF43" i="57"/>
  <c r="C123" i="55"/>
  <c r="S17" i="68" a="1"/>
  <c r="S17" i="68" s="1"/>
  <c r="U17" i="68" s="1"/>
  <c r="S18" i="68" a="1"/>
  <c r="S18" i="68" s="1"/>
  <c r="U18" i="68" s="1"/>
  <c r="S19" i="68" a="1"/>
  <c r="S19" i="68" s="1"/>
  <c r="U19" i="68" s="1"/>
  <c r="S20" i="68" a="1"/>
  <c r="S20" i="68" s="1"/>
  <c r="U20" i="68" s="1"/>
  <c r="Z26" i="67"/>
  <c r="Z30" i="67"/>
  <c r="Z32" i="67" s="1"/>
  <c r="AG7" i="62"/>
  <c r="AG11" i="62"/>
  <c r="AG13" i="62" s="1"/>
  <c r="AA7" i="60"/>
  <c r="AA13" i="60" s="1"/>
  <c r="AA32" i="60"/>
  <c r="Z60" i="66"/>
  <c r="Z64" i="66"/>
  <c r="Z66" i="66" s="1"/>
  <c r="AA5" i="66"/>
  <c r="U22" i="43" a="1"/>
  <c r="U22" i="43" s="1"/>
  <c r="W22" i="43" s="1"/>
  <c r="AA41" i="67"/>
  <c r="AA58" i="67"/>
  <c r="AA24" i="66"/>
  <c r="AA5" i="62"/>
  <c r="U24" i="43" a="1"/>
  <c r="U24" i="43" s="1"/>
  <c r="W24" i="43" s="1"/>
  <c r="AA41" i="66"/>
  <c r="AE58" i="67"/>
  <c r="AE58" i="62"/>
  <c r="AE41" i="67"/>
  <c r="AE24" i="62"/>
  <c r="AA24" i="67"/>
  <c r="AA58" i="62"/>
  <c r="AE58" i="66"/>
  <c r="AA41" i="62"/>
  <c r="AE24" i="66"/>
  <c r="AE41" i="66"/>
  <c r="AH42" i="58"/>
  <c r="G124" i="55"/>
  <c r="U23" i="43" a="1"/>
  <c r="U23" i="43" s="1"/>
  <c r="W23" i="43" s="1"/>
  <c r="AA24" i="62"/>
  <c r="AE24" i="67"/>
  <c r="AE41" i="62"/>
  <c r="U21" i="43" a="1"/>
  <c r="U21" i="43" s="1"/>
  <c r="W21" i="43" s="1"/>
  <c r="AA5" i="67"/>
  <c r="AH5" i="58"/>
  <c r="AB26" i="60"/>
  <c r="AA58" i="66"/>
  <c r="AB26" i="35"/>
  <c r="AF43" i="67"/>
  <c r="AF47" i="67"/>
  <c r="AF49" i="67" s="1"/>
  <c r="Z60" i="67"/>
  <c r="Z64" i="67"/>
  <c r="Z66" i="67" s="1"/>
  <c r="Z43" i="67"/>
  <c r="Z47" i="67"/>
  <c r="Z49" i="67" s="1"/>
  <c r="AF5" i="66"/>
  <c r="AF26" i="66"/>
  <c r="AF30" i="66"/>
  <c r="AF32" i="66" s="1"/>
  <c r="AG7" i="67"/>
  <c r="AG11" i="67"/>
  <c r="AG13" i="67" s="1"/>
  <c r="AO27" i="57"/>
  <c r="P14" i="68" a="1"/>
  <c r="P14" i="68" s="1"/>
  <c r="R14" i="68" s="1"/>
  <c r="P13" i="68" a="1"/>
  <c r="P13" i="68" s="1"/>
  <c r="R13" i="68" s="1"/>
  <c r="P15" i="68" a="1"/>
  <c r="P15" i="68" s="1"/>
  <c r="R15" i="68" s="1"/>
  <c r="P16" i="68" a="1"/>
  <c r="P16" i="68" s="1"/>
  <c r="R16" i="68" s="1"/>
  <c r="Z7" i="66"/>
  <c r="Z11" i="66"/>
  <c r="Z13" i="66" s="1"/>
  <c r="AG7" i="66"/>
  <c r="AG11" i="66"/>
  <c r="AG13" i="66" s="1"/>
  <c r="Z60" i="62"/>
  <c r="Z64" i="62"/>
  <c r="Z66" i="62" s="1"/>
  <c r="AF77" i="66"/>
  <c r="AF81" i="66"/>
  <c r="AF83" i="66" s="1"/>
  <c r="AG80" i="58"/>
  <c r="AG84" i="58"/>
  <c r="AG86" i="58" s="1"/>
  <c r="AE26" i="57"/>
  <c r="AE44" i="57"/>
  <c r="AE49" i="57"/>
  <c r="AE50" i="57" s="1"/>
  <c r="AG7" i="58"/>
  <c r="AG11" i="58"/>
  <c r="AG13" i="58" s="1"/>
  <c r="AF26" i="62"/>
  <c r="AF5" i="62"/>
  <c r="AF30" i="62"/>
  <c r="AF32" i="62" s="1"/>
  <c r="AF26" i="67"/>
  <c r="AF5" i="67"/>
  <c r="AF30" i="67"/>
  <c r="AF32" i="67" s="1"/>
  <c r="Z7" i="67"/>
  <c r="Z11" i="67"/>
  <c r="Z13" i="67" s="1"/>
  <c r="Z43" i="66"/>
  <c r="Z47" i="66"/>
  <c r="Z49" i="66" s="1"/>
  <c r="AF77" i="67"/>
  <c r="AF81" i="67"/>
  <c r="AF83" i="67" s="1"/>
  <c r="AF27" i="58"/>
  <c r="AF31" i="58"/>
  <c r="AF33" i="58" s="1"/>
  <c r="J8" i="68" a="1"/>
  <c r="J8" i="68" s="1"/>
  <c r="L8" i="68" s="1"/>
  <c r="J10" i="68" a="1"/>
  <c r="J10" i="68" s="1"/>
  <c r="L10" i="68" s="1"/>
  <c r="J12" i="68" a="1"/>
  <c r="J12" i="68" s="1"/>
  <c r="L12" i="68" s="1"/>
  <c r="J9" i="68" a="1"/>
  <c r="J9" i="68" s="1"/>
  <c r="L9" i="68" s="1"/>
  <c r="J7" i="68" a="1"/>
  <c r="J7" i="68" s="1"/>
  <c r="L7" i="68" s="1"/>
  <c r="J11" i="68" a="1"/>
  <c r="J11" i="68" s="1"/>
  <c r="L11" i="68" s="1"/>
  <c r="J6" i="68" a="1"/>
  <c r="J6" i="68" s="1"/>
  <c r="L6" i="68" s="1"/>
  <c r="Z77" i="66"/>
  <c r="Z81" i="66"/>
  <c r="Z83" i="66" s="1"/>
  <c r="Z26" i="66"/>
  <c r="Z30" i="66"/>
  <c r="Z32" i="66" s="1"/>
  <c r="Z43" i="62"/>
  <c r="Z47" i="62"/>
  <c r="Z49" i="62" s="1"/>
  <c r="AC33" i="57"/>
  <c r="AH80" i="58" l="1"/>
  <c r="AH84" i="58"/>
  <c r="AH86" i="58" s="1"/>
  <c r="AF7" i="66"/>
  <c r="AF11" i="66"/>
  <c r="AF13" i="66" s="1"/>
  <c r="AA26" i="67"/>
  <c r="AA30" i="67"/>
  <c r="AA32" i="67" s="1"/>
  <c r="AA7" i="67"/>
  <c r="AA11" i="67"/>
  <c r="AA13" i="67" s="1"/>
  <c r="AE43" i="62"/>
  <c r="AE47" i="62"/>
  <c r="AE49" i="62" s="1"/>
  <c r="AE60" i="62"/>
  <c r="AE64" i="62"/>
  <c r="AE66" i="62" s="1"/>
  <c r="AF44" i="57"/>
  <c r="AF26" i="57"/>
  <c r="AF49" i="57"/>
  <c r="AF50" i="57" s="1"/>
  <c r="P12" i="68" a="1"/>
  <c r="P12" i="68" s="1"/>
  <c r="R12" i="68" s="1"/>
  <c r="P10" i="68" a="1"/>
  <c r="P10" i="68" s="1"/>
  <c r="R10" i="68" s="1"/>
  <c r="P6" i="68" a="1"/>
  <c r="P6" i="68" s="1"/>
  <c r="R6" i="68" s="1"/>
  <c r="P8" i="68" a="1"/>
  <c r="P8" i="68" s="1"/>
  <c r="R8" i="68" s="1"/>
  <c r="P9" i="68" a="1"/>
  <c r="P9" i="68" s="1"/>
  <c r="R9" i="68" s="1"/>
  <c r="P7" i="68" a="1"/>
  <c r="P7" i="68" s="1"/>
  <c r="R7" i="68" s="1"/>
  <c r="P11" i="68" a="1"/>
  <c r="P11" i="68" s="1"/>
  <c r="R11" i="68" s="1"/>
  <c r="AE5" i="67"/>
  <c r="AE26" i="67"/>
  <c r="AE30" i="67"/>
  <c r="AE32" i="67" s="1"/>
  <c r="AE60" i="67"/>
  <c r="AE64" i="67"/>
  <c r="AE66" i="67" s="1"/>
  <c r="AE77" i="67"/>
  <c r="AE81" i="67"/>
  <c r="AE83" i="67" s="1"/>
  <c r="AH7" i="58"/>
  <c r="AH11" i="58"/>
  <c r="AH13" i="58" s="1"/>
  <c r="AE43" i="67"/>
  <c r="AE47" i="67"/>
  <c r="AE49" i="67" s="1"/>
  <c r="AE27" i="57"/>
  <c r="AE32" i="57"/>
  <c r="AE33" i="57" s="1"/>
  <c r="AA26" i="62"/>
  <c r="AA30" i="62"/>
  <c r="AA32" i="62" s="1"/>
  <c r="AA43" i="66"/>
  <c r="AA47" i="66"/>
  <c r="AA49" i="66" s="1"/>
  <c r="AG27" i="58"/>
  <c r="AG31" i="58"/>
  <c r="AG33" i="58" s="1"/>
  <c r="AE26" i="62"/>
  <c r="AE5" i="62"/>
  <c r="AE30" i="62"/>
  <c r="AE32" i="62" s="1"/>
  <c r="AD75" i="62"/>
  <c r="O17" i="43" a="1"/>
  <c r="O17" i="43" s="1"/>
  <c r="Q17" i="43" s="1"/>
  <c r="O19" i="43" a="1"/>
  <c r="O19" i="43" s="1"/>
  <c r="Q19" i="43" s="1"/>
  <c r="O18" i="43" a="1"/>
  <c r="O18" i="43" s="1"/>
  <c r="Q18" i="43" s="1"/>
  <c r="AB75" i="66"/>
  <c r="AB75" i="67"/>
  <c r="O20" i="43" a="1"/>
  <c r="O20" i="43" s="1"/>
  <c r="Q20" i="43" s="1"/>
  <c r="AB75" i="62"/>
  <c r="AI78" i="58"/>
  <c r="AC46" i="35"/>
  <c r="AC52" i="35" s="1"/>
  <c r="AC46" i="60"/>
  <c r="AC52" i="60" s="1"/>
  <c r="AD75" i="66"/>
  <c r="O125" i="55"/>
  <c r="AD75" i="67"/>
  <c r="AA77" i="62"/>
  <c r="AA81" i="62"/>
  <c r="AA83" i="62" s="1"/>
  <c r="M14" i="68" a="1"/>
  <c r="M14" i="68" s="1"/>
  <c r="O14" i="68" s="1"/>
  <c r="M15" i="68" a="1"/>
  <c r="M15" i="68" s="1"/>
  <c r="O15" i="68" s="1"/>
  <c r="M16" i="68" a="1"/>
  <c r="M16" i="68" s="1"/>
  <c r="O16" i="68" s="1"/>
  <c r="M13" i="68" a="1"/>
  <c r="M13" i="68" s="1"/>
  <c r="O13" i="68" s="1"/>
  <c r="AH44" i="58"/>
  <c r="AH25" i="58"/>
  <c r="AH48" i="58"/>
  <c r="AH50" i="58" s="1"/>
  <c r="AA26" i="66"/>
  <c r="AA30" i="66"/>
  <c r="AA32" i="66" s="1"/>
  <c r="AF7" i="67"/>
  <c r="AF11" i="67"/>
  <c r="AF13" i="67" s="1"/>
  <c r="S14" i="68" a="1"/>
  <c r="S14" i="68" s="1"/>
  <c r="U14" i="68" s="1"/>
  <c r="S13" i="68" a="1"/>
  <c r="S13" i="68" s="1"/>
  <c r="U13" i="68" s="1"/>
  <c r="S15" i="68" a="1"/>
  <c r="S15" i="68" s="1"/>
  <c r="U15" i="68" s="1"/>
  <c r="S16" i="68" a="1"/>
  <c r="S16" i="68" s="1"/>
  <c r="U16" i="68" s="1"/>
  <c r="AE43" i="66"/>
  <c r="AE47" i="66"/>
  <c r="AE49" i="66" s="1"/>
  <c r="AA60" i="67"/>
  <c r="AA64" i="67"/>
  <c r="AA66" i="67" s="1"/>
  <c r="AE77" i="62"/>
  <c r="AE81" i="62"/>
  <c r="AE83" i="62" s="1"/>
  <c r="AG43" i="57"/>
  <c r="C124" i="55"/>
  <c r="AD24" i="62"/>
  <c r="AB24" i="62"/>
  <c r="AD41" i="62"/>
  <c r="AD58" i="66"/>
  <c r="AB41" i="62"/>
  <c r="AB58" i="67"/>
  <c r="AB5" i="62"/>
  <c r="G125" i="55"/>
  <c r="AD58" i="62"/>
  <c r="AD41" i="67"/>
  <c r="AC26" i="60"/>
  <c r="AB5" i="67"/>
  <c r="AB58" i="66"/>
  <c r="AI42" i="58"/>
  <c r="AB24" i="67"/>
  <c r="AB58" i="62"/>
  <c r="AB5" i="66"/>
  <c r="U19" i="43" a="1"/>
  <c r="U19" i="43" s="1"/>
  <c r="W19" i="43" s="1"/>
  <c r="AC26" i="35"/>
  <c r="U17" i="43" a="1"/>
  <c r="U17" i="43" s="1"/>
  <c r="W17" i="43" s="1"/>
  <c r="AD58" i="67"/>
  <c r="AI5" i="58"/>
  <c r="AD24" i="66"/>
  <c r="U18" i="43" a="1"/>
  <c r="U18" i="43" s="1"/>
  <c r="W18" i="43" s="1"/>
  <c r="AD41" i="66"/>
  <c r="AB41" i="66"/>
  <c r="AB24" i="66"/>
  <c r="AD24" i="67"/>
  <c r="U20" i="43" a="1"/>
  <c r="U20" i="43" s="1"/>
  <c r="W20" i="43" s="1"/>
  <c r="AB41" i="67"/>
  <c r="AB7" i="35"/>
  <c r="AB13" i="35" s="1"/>
  <c r="AB32" i="35"/>
  <c r="AA43" i="62"/>
  <c r="AA47" i="62"/>
  <c r="AA49" i="62" s="1"/>
  <c r="AE77" i="66"/>
  <c r="AE81" i="66"/>
  <c r="AE83" i="66" s="1"/>
  <c r="AA7" i="62"/>
  <c r="AA11" i="62"/>
  <c r="AA13" i="62" s="1"/>
  <c r="AE26" i="66"/>
  <c r="AE5" i="66"/>
  <c r="AE30" i="66"/>
  <c r="AE32" i="66" s="1"/>
  <c r="AA43" i="67"/>
  <c r="AA47" i="67"/>
  <c r="AA49" i="67" s="1"/>
  <c r="AA77" i="67"/>
  <c r="AA81" i="67"/>
  <c r="AA83" i="67" s="1"/>
  <c r="AF7" i="62"/>
  <c r="AF11" i="62"/>
  <c r="AF13" i="62" s="1"/>
  <c r="AA60" i="66"/>
  <c r="AA64" i="66"/>
  <c r="AA66" i="66" s="1"/>
  <c r="AE60" i="66"/>
  <c r="AE64" i="66"/>
  <c r="AE66" i="66" s="1"/>
  <c r="AA7" i="66"/>
  <c r="AA11" i="66"/>
  <c r="AA13" i="66" s="1"/>
  <c r="AA77" i="66"/>
  <c r="AA81" i="66"/>
  <c r="AA83" i="66" s="1"/>
  <c r="AB7" i="60"/>
  <c r="AB13" i="60" s="1"/>
  <c r="AB32" i="60"/>
  <c r="AA60" i="62"/>
  <c r="AA64" i="62"/>
  <c r="AA66" i="62" s="1"/>
  <c r="O127" i="55" l="1"/>
  <c r="AK78" i="58"/>
  <c r="AK42" i="58"/>
  <c r="G127" i="55"/>
  <c r="AK5" i="58"/>
  <c r="AE7" i="66"/>
  <c r="AE11" i="66"/>
  <c r="AE13" i="66" s="1"/>
  <c r="AD26" i="67"/>
  <c r="AD5" i="67"/>
  <c r="AD30" i="67"/>
  <c r="AD32" i="67" s="1"/>
  <c r="AI25" i="58"/>
  <c r="AI44" i="58"/>
  <c r="AI48" i="58"/>
  <c r="AI50" i="58" s="1"/>
  <c r="AB77" i="67"/>
  <c r="AB81" i="67"/>
  <c r="AB83" i="67" s="1"/>
  <c r="O12" i="43" a="1"/>
  <c r="O12" i="43" s="1"/>
  <c r="Q12" i="43" s="1"/>
  <c r="AD46" i="60"/>
  <c r="AD52" i="60" s="1"/>
  <c r="O9" i="43" a="1"/>
  <c r="O9" i="43" s="1"/>
  <c r="Q9" i="43" s="1"/>
  <c r="O6" i="43" a="1"/>
  <c r="O6" i="43" s="1"/>
  <c r="Q6" i="43" s="1"/>
  <c r="AD46" i="35"/>
  <c r="AD52" i="35" s="1"/>
  <c r="O16" i="43" a="1"/>
  <c r="O16" i="43" s="1"/>
  <c r="Q16" i="43" s="1"/>
  <c r="AC75" i="62"/>
  <c r="O11" i="43" a="1"/>
  <c r="O11" i="43" s="1"/>
  <c r="Q11" i="43" s="1"/>
  <c r="AC75" i="67"/>
  <c r="AO75" i="67" s="1"/>
  <c r="AO81" i="67" s="1"/>
  <c r="AO83" i="67" s="1"/>
  <c r="O15" i="43" a="1"/>
  <c r="O15" i="43" s="1"/>
  <c r="Q15" i="43" s="1"/>
  <c r="O7" i="43" a="1"/>
  <c r="O7" i="43" s="1"/>
  <c r="Q7" i="43" s="1"/>
  <c r="AJ78" i="58"/>
  <c r="AC75" i="66"/>
  <c r="O13" i="43" a="1"/>
  <c r="O13" i="43" s="1"/>
  <c r="Q13" i="43" s="1"/>
  <c r="O126" i="55"/>
  <c r="O8" i="43" a="1"/>
  <c r="O8" i="43" s="1"/>
  <c r="Q8" i="43" s="1"/>
  <c r="O14" i="43" a="1"/>
  <c r="O14" i="43" s="1"/>
  <c r="Q14" i="43" s="1"/>
  <c r="O10" i="43" a="1"/>
  <c r="O10" i="43" s="1"/>
  <c r="Q10" i="43" s="1"/>
  <c r="AC7" i="60"/>
  <c r="AC13" i="60" s="1"/>
  <c r="AC32" i="60"/>
  <c r="M11" i="68" a="1"/>
  <c r="M11" i="68" s="1"/>
  <c r="O11" i="68" s="1"/>
  <c r="M7" i="68" a="1"/>
  <c r="M7" i="68" s="1"/>
  <c r="O7" i="68" s="1"/>
  <c r="M10" i="68" a="1"/>
  <c r="M10" i="68" s="1"/>
  <c r="O10" i="68" s="1"/>
  <c r="M12" i="68" a="1"/>
  <c r="M12" i="68" s="1"/>
  <c r="O12" i="68" s="1"/>
  <c r="M6" i="68" a="1"/>
  <c r="M6" i="68" s="1"/>
  <c r="O6" i="68" s="1"/>
  <c r="M9" i="68" a="1"/>
  <c r="M9" i="68" s="1"/>
  <c r="O9" i="68" s="1"/>
  <c r="M8" i="68" a="1"/>
  <c r="M8" i="68" s="1"/>
  <c r="O8" i="68" s="1"/>
  <c r="AD26" i="66"/>
  <c r="AD5" i="66"/>
  <c r="AD30" i="66"/>
  <c r="AD32" i="66" s="1"/>
  <c r="AD60" i="62"/>
  <c r="AD64" i="62"/>
  <c r="AD66" i="62" s="1"/>
  <c r="AD77" i="62"/>
  <c r="AD81" i="62"/>
  <c r="AD83" i="62" s="1"/>
  <c r="AB77" i="66"/>
  <c r="AB81" i="66"/>
  <c r="AB83" i="66" s="1"/>
  <c r="AB43" i="66"/>
  <c r="AB47" i="66"/>
  <c r="AB49" i="66" s="1"/>
  <c r="C125" i="55"/>
  <c r="AH43" i="57"/>
  <c r="AD60" i="67"/>
  <c r="AD64" i="67"/>
  <c r="AD66" i="67" s="1"/>
  <c r="AB7" i="62"/>
  <c r="AB11" i="62"/>
  <c r="AB13" i="62" s="1"/>
  <c r="U7" i="43" a="1"/>
  <c r="U7" i="43" s="1"/>
  <c r="W7" i="43" s="1"/>
  <c r="U6" i="43" a="1"/>
  <c r="U6" i="43" s="1"/>
  <c r="W6" i="43" s="1"/>
  <c r="AC24" i="62"/>
  <c r="AC41" i="62"/>
  <c r="AO41" i="62" s="1"/>
  <c r="AO47" i="62" s="1"/>
  <c r="AO49" i="62" s="1"/>
  <c r="AD26" i="35"/>
  <c r="AD26" i="60"/>
  <c r="AJ42" i="58"/>
  <c r="AC41" i="67"/>
  <c r="AO41" i="67" s="1"/>
  <c r="AO47" i="67" s="1"/>
  <c r="AO49" i="67" s="1"/>
  <c r="U12" i="43" a="1"/>
  <c r="U12" i="43" s="1"/>
  <c r="W12" i="43" s="1"/>
  <c r="U8" i="43" a="1"/>
  <c r="U8" i="43" s="1"/>
  <c r="W8" i="43" s="1"/>
  <c r="AC58" i="62"/>
  <c r="U10" i="43" a="1"/>
  <c r="U10" i="43" s="1"/>
  <c r="W10" i="43" s="1"/>
  <c r="AC41" i="66"/>
  <c r="AO41" i="66" s="1"/>
  <c r="AO47" i="66" s="1"/>
  <c r="AO49" i="66" s="1"/>
  <c r="U16" i="43" a="1"/>
  <c r="U16" i="43" s="1"/>
  <c r="W16" i="43" s="1"/>
  <c r="AC24" i="66"/>
  <c r="AO24" i="66" s="1"/>
  <c r="AO30" i="66" s="1"/>
  <c r="AO32" i="66" s="1"/>
  <c r="AC58" i="67"/>
  <c r="U9" i="43" a="1"/>
  <c r="U9" i="43" s="1"/>
  <c r="W9" i="43" s="1"/>
  <c r="U13" i="43" a="1"/>
  <c r="U13" i="43" s="1"/>
  <c r="W13" i="43" s="1"/>
  <c r="AC58" i="66"/>
  <c r="AO58" i="66" s="1"/>
  <c r="AO64" i="66" s="1"/>
  <c r="AO66" i="66" s="1"/>
  <c r="AJ5" i="58"/>
  <c r="G126" i="55"/>
  <c r="U14" i="43" a="1"/>
  <c r="U14" i="43" s="1"/>
  <c r="W14" i="43" s="1"/>
  <c r="U15" i="43" a="1"/>
  <c r="U15" i="43" s="1"/>
  <c r="W15" i="43" s="1"/>
  <c r="U11" i="43" a="1"/>
  <c r="U11" i="43" s="1"/>
  <c r="W11" i="43" s="1"/>
  <c r="AC24" i="67"/>
  <c r="AO24" i="67" s="1"/>
  <c r="AO30" i="67" s="1"/>
  <c r="AO32" i="67" s="1"/>
  <c r="AB60" i="62"/>
  <c r="AB64" i="62"/>
  <c r="AB66" i="62" s="1"/>
  <c r="AB26" i="62"/>
  <c r="AB30" i="62"/>
  <c r="AB32" i="62" s="1"/>
  <c r="AB77" i="62"/>
  <c r="AB81" i="62"/>
  <c r="AB83" i="62" s="1"/>
  <c r="AB7" i="67"/>
  <c r="AB11" i="67"/>
  <c r="AB13" i="67" s="1"/>
  <c r="AI7" i="58"/>
  <c r="AI11" i="58"/>
  <c r="AI13" i="58" s="1"/>
  <c r="AO75" i="62"/>
  <c r="AO81" i="62" s="1"/>
  <c r="AO83" i="62" s="1"/>
  <c r="AD77" i="67"/>
  <c r="AD81" i="67"/>
  <c r="AD83" i="67" s="1"/>
  <c r="AF27" i="57"/>
  <c r="AF32" i="57"/>
  <c r="AB60" i="67"/>
  <c r="AB64" i="67"/>
  <c r="AB66" i="67" s="1"/>
  <c r="AD77" i="66"/>
  <c r="AD81" i="66"/>
  <c r="AD83" i="66" s="1"/>
  <c r="S10" i="68" a="1"/>
  <c r="S10" i="68" s="1"/>
  <c r="U10" i="68" s="1"/>
  <c r="S12" i="68" a="1"/>
  <c r="S12" i="68" s="1"/>
  <c r="U12" i="68" s="1"/>
  <c r="S7" i="68" a="1"/>
  <c r="S7" i="68" s="1"/>
  <c r="U7" i="68" s="1"/>
  <c r="S6" i="68" a="1"/>
  <c r="S6" i="68" s="1"/>
  <c r="U6" i="68" s="1"/>
  <c r="S8" i="68" a="1"/>
  <c r="S8" i="68" s="1"/>
  <c r="U8" i="68" s="1"/>
  <c r="S11" i="68" a="1"/>
  <c r="S11" i="68" s="1"/>
  <c r="U11" i="68" s="1"/>
  <c r="S9" i="68" a="1"/>
  <c r="S9" i="68" s="1"/>
  <c r="U9" i="68" s="1"/>
  <c r="AE7" i="67"/>
  <c r="AE11" i="67"/>
  <c r="AE13" i="67" s="1"/>
  <c r="AB26" i="66"/>
  <c r="AB30" i="66"/>
  <c r="AB32" i="66" s="1"/>
  <c r="AG44" i="57"/>
  <c r="AG26" i="57"/>
  <c r="AG49" i="57"/>
  <c r="AD43" i="67"/>
  <c r="AD47" i="67"/>
  <c r="AD49" i="67" s="1"/>
  <c r="AB43" i="62"/>
  <c r="AB47" i="62"/>
  <c r="AB49" i="62" s="1"/>
  <c r="AE7" i="62"/>
  <c r="AE11" i="62"/>
  <c r="AE13" i="62" s="1"/>
  <c r="AB43" i="67"/>
  <c r="AB47" i="67"/>
  <c r="AB49" i="67" s="1"/>
  <c r="AB26" i="67"/>
  <c r="AB30" i="67"/>
  <c r="AB32" i="67" s="1"/>
  <c r="AB60" i="66"/>
  <c r="AB64" i="66"/>
  <c r="AB66" i="66" s="1"/>
  <c r="AC7" i="35"/>
  <c r="AC13" i="35" s="1"/>
  <c r="AC32" i="35"/>
  <c r="AD60" i="66"/>
  <c r="AD64" i="66"/>
  <c r="AD66" i="66" s="1"/>
  <c r="AD43" i="66"/>
  <c r="AD47" i="66"/>
  <c r="AD49" i="66" s="1"/>
  <c r="AO24" i="62"/>
  <c r="AO30" i="62" s="1"/>
  <c r="AO32" i="62" s="1"/>
  <c r="AB7" i="66"/>
  <c r="AB11" i="66"/>
  <c r="AB13" i="66" s="1"/>
  <c r="AD43" i="62"/>
  <c r="AD47" i="62"/>
  <c r="AD49" i="62" s="1"/>
  <c r="AH27" i="58"/>
  <c r="AH31" i="58"/>
  <c r="AH33" i="58" s="1"/>
  <c r="AI80" i="58"/>
  <c r="AI84" i="58"/>
  <c r="AI86" i="58" s="1"/>
  <c r="AD26" i="62"/>
  <c r="AD5" i="62"/>
  <c r="AD30" i="62"/>
  <c r="AD32" i="62" s="1"/>
  <c r="AP42" i="58" l="1"/>
  <c r="AP48" i="58" s="1"/>
  <c r="AP50" i="58" s="1"/>
  <c r="AP78" i="58"/>
  <c r="AP84" i="58" s="1"/>
  <c r="AP86" i="58" s="1"/>
  <c r="AK7" i="58"/>
  <c r="AK11" i="58"/>
  <c r="AK13" i="58" s="1"/>
  <c r="AJ43" i="57"/>
  <c r="AJ44" i="57" s="1"/>
  <c r="C127" i="55"/>
  <c r="AK44" i="58"/>
  <c r="AK25" i="58"/>
  <c r="AK48" i="58"/>
  <c r="AK50" i="58" s="1"/>
  <c r="AK80" i="58"/>
  <c r="AK84" i="58"/>
  <c r="AK86" i="58" s="1"/>
  <c r="AT42" i="58"/>
  <c r="AT48" i="58" s="1"/>
  <c r="AQ58" i="67"/>
  <c r="AQ60" i="67" s="1"/>
  <c r="AC60" i="67"/>
  <c r="AP60" i="67" s="1"/>
  <c r="AC64" i="67"/>
  <c r="AP58" i="67"/>
  <c r="AP64" i="67" s="1"/>
  <c r="AP66" i="67" s="1"/>
  <c r="AO58" i="67"/>
  <c r="AO64" i="67" s="1"/>
  <c r="AO66" i="67" s="1"/>
  <c r="AQ41" i="66"/>
  <c r="AQ43" i="66" s="1"/>
  <c r="AC43" i="66"/>
  <c r="AP43" i="66" s="1"/>
  <c r="AC47" i="66"/>
  <c r="AP41" i="66"/>
  <c r="AP47" i="66" s="1"/>
  <c r="AP49" i="66" s="1"/>
  <c r="AJ80" i="58"/>
  <c r="AJ84" i="58"/>
  <c r="AJ86" i="58" s="1"/>
  <c r="AR78" i="58" a="1"/>
  <c r="AR78" i="58" s="1"/>
  <c r="AR84" i="58" s="1"/>
  <c r="AQ78" i="58"/>
  <c r="AQ84" i="58" s="1"/>
  <c r="AQ86" i="58" s="1"/>
  <c r="AT78" i="58"/>
  <c r="AT84" i="58" s="1"/>
  <c r="AD7" i="62"/>
  <c r="AD11" i="62"/>
  <c r="AD13" i="62" s="1"/>
  <c r="AF33" i="57"/>
  <c r="AQ75" i="66"/>
  <c r="AQ77" i="66" s="1"/>
  <c r="AC77" i="66"/>
  <c r="AC81" i="66"/>
  <c r="AP75" i="66"/>
  <c r="AP81" i="66" s="1"/>
  <c r="AP83" i="66" s="1"/>
  <c r="AQ24" i="66"/>
  <c r="AQ26" i="66" s="1"/>
  <c r="AC26" i="66"/>
  <c r="AP26" i="66" s="1"/>
  <c r="AC5" i="66"/>
  <c r="AC30" i="66"/>
  <c r="AP24" i="66"/>
  <c r="AP30" i="66" s="1"/>
  <c r="AP32" i="66" s="1"/>
  <c r="AQ24" i="67"/>
  <c r="AQ26" i="67" s="1"/>
  <c r="AC26" i="67"/>
  <c r="AP26" i="67" s="1"/>
  <c r="AC5" i="67"/>
  <c r="AC30" i="67"/>
  <c r="AP24" i="67"/>
  <c r="AP30" i="67" s="1"/>
  <c r="AP32" i="67" s="1"/>
  <c r="AC60" i="62"/>
  <c r="AQ58" i="62"/>
  <c r="AQ60" i="62" s="1"/>
  <c r="AC64" i="62"/>
  <c r="AP58" i="62"/>
  <c r="AP64" i="62" s="1"/>
  <c r="AP66" i="62" s="1"/>
  <c r="AO58" i="62"/>
  <c r="AO64" i="62" s="1"/>
  <c r="AO66" i="62" s="1"/>
  <c r="AD7" i="66"/>
  <c r="AD11" i="66"/>
  <c r="AD13" i="66" s="1"/>
  <c r="AJ7" i="58"/>
  <c r="AJ11" i="58"/>
  <c r="AJ13" i="58" s="1"/>
  <c r="AR5" i="58" a="1"/>
  <c r="AR5" i="58" s="1"/>
  <c r="AR11" i="58" s="1"/>
  <c r="AQ5" i="58"/>
  <c r="AQ11" i="58" s="1"/>
  <c r="AQ13" i="58" s="1"/>
  <c r="AT5" i="58"/>
  <c r="AT11" i="58" s="1"/>
  <c r="AP5" i="58"/>
  <c r="AP11" i="58" s="1"/>
  <c r="AP13" i="58" s="1"/>
  <c r="AD7" i="60"/>
  <c r="AD13" i="60" s="1"/>
  <c r="AD32" i="60"/>
  <c r="AH26" i="57"/>
  <c r="AH44" i="57"/>
  <c r="AH49" i="57"/>
  <c r="AH50" i="57" s="1"/>
  <c r="AI43" i="57"/>
  <c r="C126" i="55"/>
  <c r="AC60" i="66"/>
  <c r="AP60" i="66" s="1"/>
  <c r="AQ58" i="66"/>
  <c r="AQ60" i="66" s="1"/>
  <c r="AC64" i="66"/>
  <c r="AP58" i="66"/>
  <c r="AP64" i="66" s="1"/>
  <c r="AP66" i="66" s="1"/>
  <c r="AO75" i="66"/>
  <c r="AO81" i="66" s="1"/>
  <c r="AO83" i="66" s="1"/>
  <c r="AC77" i="67"/>
  <c r="AP77" i="67" s="1"/>
  <c r="AQ75" i="67"/>
  <c r="AQ77" i="67" s="1"/>
  <c r="AC81" i="67"/>
  <c r="AP75" i="67"/>
  <c r="AP81" i="67" s="1"/>
  <c r="AP83" i="67" s="1"/>
  <c r="AQ41" i="67"/>
  <c r="AQ43" i="67" s="1"/>
  <c r="AC43" i="67"/>
  <c r="AP43" i="67" s="1"/>
  <c r="AC47" i="67"/>
  <c r="AP41" i="67"/>
  <c r="AP47" i="67" s="1"/>
  <c r="AP49" i="67" s="1"/>
  <c r="AJ25" i="58"/>
  <c r="AJ44" i="58"/>
  <c r="AJ48" i="58"/>
  <c r="AJ50" i="58" s="1"/>
  <c r="AR42" i="58" a="1"/>
  <c r="AR42" i="58" s="1"/>
  <c r="AR48" i="58" s="1"/>
  <c r="AQ42" i="58"/>
  <c r="AQ48" i="58" s="1"/>
  <c r="AQ50" i="58" s="1"/>
  <c r="AD7" i="35"/>
  <c r="AD13" i="35" s="1"/>
  <c r="AD32" i="35"/>
  <c r="AI27" i="58"/>
  <c r="AI31" i="58"/>
  <c r="AI33" i="58" s="1"/>
  <c r="AG50" i="57"/>
  <c r="AQ41" i="62"/>
  <c r="AQ43" i="62" s="1"/>
  <c r="AC43" i="62"/>
  <c r="AP43" i="62" s="1"/>
  <c r="AC47" i="62"/>
  <c r="AP41" i="62"/>
  <c r="AP47" i="62" s="1"/>
  <c r="AP49" i="62" s="1"/>
  <c r="AG27" i="57"/>
  <c r="AG32" i="57"/>
  <c r="AG33" i="57" s="1"/>
  <c r="AQ24" i="62"/>
  <c r="AQ26" i="62" s="1"/>
  <c r="AC5" i="62"/>
  <c r="AC26" i="62"/>
  <c r="AP26" i="62" s="1"/>
  <c r="AC30" i="62"/>
  <c r="AP24" i="62"/>
  <c r="AP30" i="62" s="1"/>
  <c r="AP32" i="62" s="1"/>
  <c r="AC77" i="62"/>
  <c r="AP77" i="62" s="1"/>
  <c r="AQ75" i="62"/>
  <c r="AQ77" i="62" s="1"/>
  <c r="AC81" i="62"/>
  <c r="AP75" i="62"/>
  <c r="AP81" i="62" s="1"/>
  <c r="AP83" i="62" s="1"/>
  <c r="AD7" i="67"/>
  <c r="AD11" i="67"/>
  <c r="AD13" i="67" s="1"/>
  <c r="AP25" i="58" l="1"/>
  <c r="AP31" i="58" s="1"/>
  <c r="AP33" i="58" s="1"/>
  <c r="AK27" i="58"/>
  <c r="AK31" i="58"/>
  <c r="AK33" i="58" s="1"/>
  <c r="AJ26" i="57"/>
  <c r="AJ49" i="57"/>
  <c r="AJ50" i="57" s="1"/>
  <c r="AO77" i="62"/>
  <c r="AO26" i="67"/>
  <c r="AO26" i="66"/>
  <c r="AO43" i="62"/>
  <c r="AQ64" i="62"/>
  <c r="AQ66" i="62" s="1"/>
  <c r="AC66" i="62"/>
  <c r="AC83" i="66"/>
  <c r="AQ81" i="66"/>
  <c r="AQ83" i="66" s="1"/>
  <c r="AC49" i="66"/>
  <c r="AQ47" i="66"/>
  <c r="AQ49" i="66" s="1"/>
  <c r="AQ81" i="67"/>
  <c r="AQ83" i="67" s="1"/>
  <c r="AC83" i="67"/>
  <c r="AP77" i="66"/>
  <c r="AO77" i="66"/>
  <c r="AO43" i="66"/>
  <c r="AQ5" i="62"/>
  <c r="AQ7" i="62" s="1"/>
  <c r="AC7" i="62"/>
  <c r="AC11" i="62"/>
  <c r="AP5" i="62"/>
  <c r="AP11" i="62" s="1"/>
  <c r="AP13" i="62" s="1"/>
  <c r="AO5" i="62"/>
  <c r="AO11" i="62" s="1"/>
  <c r="AO13" i="62" s="1"/>
  <c r="AP60" i="62"/>
  <c r="AO60" i="62"/>
  <c r="AO60" i="67"/>
  <c r="AC7" i="67"/>
  <c r="AQ5" i="67"/>
  <c r="AQ7" i="67" s="1"/>
  <c r="AC11" i="67"/>
  <c r="AP5" i="67"/>
  <c r="AP11" i="67" s="1"/>
  <c r="AP13" i="67" s="1"/>
  <c r="AO5" i="67"/>
  <c r="AO11" i="67" s="1"/>
  <c r="AO13" i="67" s="1"/>
  <c r="AO26" i="62"/>
  <c r="AC66" i="66"/>
  <c r="AQ64" i="66"/>
  <c r="AQ66" i="66" s="1"/>
  <c r="AC32" i="62"/>
  <c r="AQ30" i="62"/>
  <c r="AQ32" i="62" s="1"/>
  <c r="AC32" i="67"/>
  <c r="AQ30" i="67"/>
  <c r="AQ32" i="67" s="1"/>
  <c r="AO60" i="66"/>
  <c r="AQ64" i="67"/>
  <c r="AQ66" i="67" s="1"/>
  <c r="AC66" i="67"/>
  <c r="AC49" i="62"/>
  <c r="AQ47" i="62"/>
  <c r="AQ49" i="62" s="1"/>
  <c r="AJ27" i="58"/>
  <c r="AJ31" i="58"/>
  <c r="AJ33" i="58" s="1"/>
  <c r="AR25" i="58" a="1"/>
  <c r="AR25" i="58" s="1"/>
  <c r="AR31" i="58" s="1"/>
  <c r="AQ25" i="58"/>
  <c r="AQ31" i="58" s="1"/>
  <c r="AQ33" i="58" s="1"/>
  <c r="AT25" i="58"/>
  <c r="AT31" i="58" s="1"/>
  <c r="AO77" i="67"/>
  <c r="AQ30" i="66"/>
  <c r="AQ32" i="66" s="1"/>
  <c r="AC32" i="66"/>
  <c r="AC49" i="67"/>
  <c r="AQ47" i="67"/>
  <c r="AQ49" i="67" s="1"/>
  <c r="AO43" i="67"/>
  <c r="AC83" i="62"/>
  <c r="AQ81" i="62"/>
  <c r="AQ83" i="62" s="1"/>
  <c r="AI44" i="57"/>
  <c r="AI26" i="57"/>
  <c r="AI49" i="57"/>
  <c r="AI50" i="57" s="1"/>
  <c r="AQ43" i="57"/>
  <c r="AQ44" i="57" s="1"/>
  <c r="AC7" i="66"/>
  <c r="AQ5" i="66"/>
  <c r="AQ7" i="66" s="1"/>
  <c r="AC11" i="66"/>
  <c r="AP5" i="66"/>
  <c r="AP11" i="66" s="1"/>
  <c r="AP13" i="66" s="1"/>
  <c r="AO5" i="66"/>
  <c r="AO11" i="66" s="1"/>
  <c r="AO13" i="66" s="1"/>
  <c r="AH27" i="57"/>
  <c r="AH32" i="57"/>
  <c r="AJ32" i="57" l="1"/>
  <c r="AJ33" i="57" s="1"/>
  <c r="AJ27" i="57"/>
  <c r="AQ49" i="57"/>
  <c r="AQ50" i="57" s="1"/>
  <c r="AC13" i="62"/>
  <c r="AQ11" i="62"/>
  <c r="AQ13" i="62" s="1"/>
  <c r="AP7" i="62"/>
  <c r="AO7" i="62"/>
  <c r="AP7" i="66"/>
  <c r="AO7" i="66"/>
  <c r="AI27" i="57"/>
  <c r="AI32" i="57"/>
  <c r="AI33" i="57" s="1"/>
  <c r="AQ26" i="57"/>
  <c r="AQ27" i="57" s="1"/>
  <c r="AP7" i="67"/>
  <c r="AO7" i="67"/>
  <c r="AH33" i="57"/>
  <c r="AQ11" i="67"/>
  <c r="AQ13" i="67" s="1"/>
  <c r="AC13" i="67"/>
  <c r="AC13" i="66"/>
  <c r="AQ11" i="66"/>
  <c r="AQ13" i="66" s="1"/>
  <c r="AQ32" i="57" l="1"/>
  <c r="AQ33" i="5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<sst xmlns="http://schemas.openxmlformats.org/spreadsheetml/2006/main" count="5419" uniqueCount="774">
  <si>
    <t>Difference</t>
  </si>
  <si>
    <t>PC Annual Direct</t>
  </si>
  <si>
    <t>Short Term</t>
  </si>
  <si>
    <t>Sales (Actual)</t>
  </si>
  <si>
    <t>Sales (Plan)</t>
  </si>
  <si>
    <t>NWP (Actual)</t>
  </si>
  <si>
    <t>NWP (Plan)</t>
  </si>
  <si>
    <t>GWP (Actual)</t>
  </si>
  <si>
    <t>Comparators (average of)</t>
  </si>
  <si>
    <t>Last Month</t>
  </si>
  <si>
    <t>Last 3 months</t>
  </si>
  <si>
    <t>Last 12 months</t>
  </si>
  <si>
    <t>Average NWP (Actual)</t>
  </si>
  <si>
    <t>Average NWP (Plan)</t>
  </si>
  <si>
    <t>Average Commission %</t>
  </si>
  <si>
    <t>SLR</t>
  </si>
  <si>
    <t>Performance vs plan (w/c basis)</t>
  </si>
  <si>
    <t>Top metrics</t>
  </si>
  <si>
    <t>Total</t>
  </si>
  <si>
    <t>Product</t>
  </si>
  <si>
    <t>Distributor</t>
  </si>
  <si>
    <t>% of total product NWP</t>
  </si>
  <si>
    <t>Hedgehog Legacy</t>
  </si>
  <si>
    <t>GWP (Plan)</t>
  </si>
  <si>
    <t>Packs</t>
  </si>
  <si>
    <t>Contents</t>
  </si>
  <si>
    <t>MICL</t>
  </si>
  <si>
    <t>PC Annual Broker</t>
  </si>
  <si>
    <t>1. MICL</t>
  </si>
  <si>
    <t>2. PC Annual Direct</t>
  </si>
  <si>
    <t>3. PC Annual Broker</t>
  </si>
  <si>
    <t>U Drive</t>
  </si>
  <si>
    <t>MICL Core</t>
  </si>
  <si>
    <t>CCG</t>
  </si>
  <si>
    <t>Hedgehog</t>
  </si>
  <si>
    <t>Got You Covered</t>
  </si>
  <si>
    <t>MICL All Sections</t>
  </si>
  <si>
    <t>4. Short Term</t>
  </si>
  <si>
    <t>MICL Short Term</t>
  </si>
  <si>
    <t>MICL Direct</t>
  </si>
  <si>
    <t>Go Shorty</t>
  </si>
  <si>
    <t>Cuvva</t>
  </si>
  <si>
    <t>Dayinsure</t>
  </si>
  <si>
    <t>Hiycar</t>
  </si>
  <si>
    <t>Splits</t>
  </si>
  <si>
    <t>NBREN</t>
  </si>
  <si>
    <t>NBREN, Annual/Subs</t>
  </si>
  <si>
    <t>Notes</t>
  </si>
  <si>
    <t>Portfolio Section</t>
  </si>
  <si>
    <t>Use table format from 'MICL' table on 'Headline - Sales, NWP, GWP tab'</t>
  </si>
  <si>
    <t>Pack contents</t>
  </si>
  <si>
    <t>Tabs</t>
  </si>
  <si>
    <t>Headline - Sales, NWP, GWP</t>
  </si>
  <si>
    <t>Ult - Sales, NWP, GWP</t>
  </si>
  <si>
    <t>Current - Sales, NWP, GWP</t>
  </si>
  <si>
    <t>NB Headline - Sales, NWP, GWP</t>
  </si>
  <si>
    <t>NB Ult - Sales, NWP, GWP</t>
  </si>
  <si>
    <t>NB Current - Sales, NWP, GWP</t>
  </si>
  <si>
    <t>REN Headline - Sales, NWP, GWP</t>
  </si>
  <si>
    <t>REN Ult - Sales, NWP, GWP</t>
  </si>
  <si>
    <t>REN Current - Sales, NWP, GWP</t>
  </si>
  <si>
    <t>Charts - Policies</t>
  </si>
  <si>
    <t>Charts - Premium</t>
  </si>
  <si>
    <t>Charts - Premium split NBREN</t>
  </si>
  <si>
    <t>Charts - Premium and commission distributions</t>
  </si>
  <si>
    <t>Charts - SLR + maybe split NBREN</t>
  </si>
  <si>
    <t>Charts - Proportion aged under 25</t>
  </si>
  <si>
    <t>Charts - Annual mileage</t>
  </si>
  <si>
    <t>Charts - Vehicle manufacturer mix</t>
  </si>
  <si>
    <t>Charts - Region</t>
  </si>
  <si>
    <t>Charts - Fault claims last 5 years</t>
  </si>
  <si>
    <t>PC Annual Direct - Boom Annual</t>
  </si>
  <si>
    <t>Boom Annual</t>
  </si>
  <si>
    <t>Boom Subscription</t>
  </si>
  <si>
    <t>PC Annual Direct - Boom Subscription</t>
  </si>
  <si>
    <t>P/CAR</t>
  </si>
  <si>
    <t>Boom (excl monthly rens)</t>
  </si>
  <si>
    <t>Boom (incl monthly rens)</t>
  </si>
  <si>
    <t>Standard</t>
  </si>
  <si>
    <t>Plus</t>
  </si>
  <si>
    <t>Essentials</t>
  </si>
  <si>
    <t>Premium</t>
  </si>
  <si>
    <t>Multiple Policy Count Basis</t>
  </si>
  <si>
    <t>Policy Count Basis</t>
  </si>
  <si>
    <t>Written Vehicles Basis</t>
  </si>
  <si>
    <t>Policy Count (Boom)</t>
  </si>
  <si>
    <t>Policy Count (Boom Annual)</t>
  </si>
  <si>
    <t>Policy Count (Boom Subscription)</t>
  </si>
  <si>
    <t>UW_dt</t>
  </si>
  <si>
    <t>Policy Count (Boom)2</t>
  </si>
  <si>
    <t>Policy Count (Boom)3</t>
  </si>
  <si>
    <t>Policy Count (Boom Subscription)2</t>
  </si>
  <si>
    <t>Policy Count (Boom Subscription)3</t>
  </si>
  <si>
    <t>Policy Count (Standard)</t>
  </si>
  <si>
    <t>Policy Count (Plus)</t>
  </si>
  <si>
    <t>Policy Count (Essentials)</t>
  </si>
  <si>
    <t>Policy Count (Premium)</t>
  </si>
  <si>
    <t>Boom Standard</t>
  </si>
  <si>
    <t>Boom Plus</t>
  </si>
  <si>
    <t>Boom Essentials</t>
  </si>
  <si>
    <t>Boom Premium</t>
  </si>
  <si>
    <t>Policy Count (Standard - Subscription)</t>
  </si>
  <si>
    <t>Policy Count (Plus - Subscription)</t>
  </si>
  <si>
    <t>Policy Count (Essentials - Subscription)</t>
  </si>
  <si>
    <t>Policy Count (Premium - Subscription)</t>
  </si>
  <si>
    <t>Policy Count (Standard - Annual)</t>
  </si>
  <si>
    <t>Policy Count (Plus - Annual)</t>
  </si>
  <si>
    <t>Policy Count (Essentials - Annual)</t>
  </si>
  <si>
    <t>Policy Count (Premium - Annual)</t>
  </si>
  <si>
    <t>Boom</t>
  </si>
  <si>
    <t>Incl. monthly rens</t>
  </si>
  <si>
    <t>Excl. monthly rens</t>
  </si>
  <si>
    <t>NWP (Boom Subscription)</t>
  </si>
  <si>
    <t>Average NWP (Boom Subscription)</t>
  </si>
  <si>
    <t>Plan (Boom Subscription)</t>
  </si>
  <si>
    <t>NWP (Boom)</t>
  </si>
  <si>
    <t>Average NWP (Boom)</t>
  </si>
  <si>
    <t>Plan (Boom)</t>
  </si>
  <si>
    <t>NWP (Boom)3</t>
  </si>
  <si>
    <t>Average NWP (Boom)2</t>
  </si>
  <si>
    <t>NWP (Boom Annual)</t>
  </si>
  <si>
    <t>Average NWP (Boom Annual)</t>
  </si>
  <si>
    <t>Plan (Boom Annual)</t>
  </si>
  <si>
    <t>NWP (Boom Subscription)7</t>
  </si>
  <si>
    <t>Average NWP (Boom Subscription)9</t>
  </si>
  <si>
    <t>Plan (Boom Subscription)11</t>
  </si>
  <si>
    <t>NWP (Boom Subscription)2</t>
  </si>
  <si>
    <t>Average NWP (Boom Subscription)4</t>
  </si>
  <si>
    <t>Plan (Boom Subscription)6</t>
  </si>
  <si>
    <t>NWP (Standard)</t>
  </si>
  <si>
    <t>Average NWP (Standard)</t>
  </si>
  <si>
    <t>NWP (Plus)</t>
  </si>
  <si>
    <t>Average NWP (Plus)</t>
  </si>
  <si>
    <t>NWP (Essentials)</t>
  </si>
  <si>
    <t>Average NWP (Essentials)</t>
  </si>
  <si>
    <t>NWP (Premium)</t>
  </si>
  <si>
    <t>Average NWP (Premium)</t>
  </si>
  <si>
    <t>NWP (Standard - Subscription)</t>
  </si>
  <si>
    <t>Average NWP (Standard - Subscription)</t>
  </si>
  <si>
    <t>NWP (Plus - Subscription)</t>
  </si>
  <si>
    <t>Average NWP (Plus - Subscription)</t>
  </si>
  <si>
    <t>NWP (Essentials - Subscription)</t>
  </si>
  <si>
    <t>Average NWP (Essentials - Subscription)</t>
  </si>
  <si>
    <t>NWP (Premium - Subscription)</t>
  </si>
  <si>
    <t>Average NWP (Premium - Subscription)</t>
  </si>
  <si>
    <t>NWP (Standard - Annual)</t>
  </si>
  <si>
    <t>Average NWP (Standard - Annual)</t>
  </si>
  <si>
    <t>NWP (Plus - Annual)</t>
  </si>
  <si>
    <t>Average NWP (Plus - Annual)</t>
  </si>
  <si>
    <t>NWP (Essentials - Annual)</t>
  </si>
  <si>
    <t>Average NWP (Essentials - Annual)</t>
  </si>
  <si>
    <t>NWP (Premium - Annual)</t>
  </si>
  <si>
    <t>Average NWP (Premium - Annual)</t>
  </si>
  <si>
    <t>NB</t>
  </si>
  <si>
    <t>RN</t>
  </si>
  <si>
    <t>NB Policy Count (Boom (excl monthly rens))</t>
  </si>
  <si>
    <t>RN Policy Count (Boom (excl monthly rens))</t>
  </si>
  <si>
    <t>NB Policy Count (Boom (excl monthly rens))2</t>
  </si>
  <si>
    <t>RN Policy Count (Boom (excl monthly rens))4</t>
  </si>
  <si>
    <t>NB Policy Count (Boom (excl monthly rens))6</t>
  </si>
  <si>
    <t>RN Policy Count (Boom (excl monthly rens))8</t>
  </si>
  <si>
    <t>NB NWP (Boom)</t>
  </si>
  <si>
    <t>RN NWP (Boom)</t>
  </si>
  <si>
    <t>NB Average NWP (Boom)</t>
  </si>
  <si>
    <t>RN Average NWP (Boom)</t>
  </si>
  <si>
    <t>NB NWP (Boom)2</t>
  </si>
  <si>
    <t>RN NWP (Boom)5</t>
  </si>
  <si>
    <t>NB Average NWP (Boom)8</t>
  </si>
  <si>
    <t>RN Average NWP (Boom)9</t>
  </si>
  <si>
    <t>NB NWP (Boom Annual)</t>
  </si>
  <si>
    <t>NB Average NWP (Boom Annual)</t>
  </si>
  <si>
    <t>NB NWP (Boom Subscription)</t>
  </si>
  <si>
    <t>RN NWP (Boom Subscription)</t>
  </si>
  <si>
    <t>NB Average NWP (Boom Subscription)</t>
  </si>
  <si>
    <t>RN Average NWP (Boom Subscription)</t>
  </si>
  <si>
    <t>RN NWP (Boom Annual)</t>
  </si>
  <si>
    <t>RN Average NWP (Boom Annual)</t>
  </si>
  <si>
    <t>Pol Count Basis</t>
  </si>
  <si>
    <t>Excl. monthly rens, annualised premiums</t>
  </si>
  <si>
    <t>NB NWP (Boom Subscription)2</t>
  </si>
  <si>
    <t>RN NWP (Boom Subscription)5</t>
  </si>
  <si>
    <t>NB Average NWP (Boom Subscription)8</t>
  </si>
  <si>
    <t>RN Average NWP (Boom Subscription)9</t>
  </si>
  <si>
    <t>PC Annual Direct - Annual</t>
  </si>
  <si>
    <t>Not tracking premium finance yet</t>
  </si>
  <si>
    <t>PC Annual Direct_NWP</t>
  </si>
  <si>
    <t>PC Annual Direct - Annual_NWP</t>
  </si>
  <si>
    <t>NB Trading (w/e basis)</t>
  </si>
  <si>
    <t>NWP (Headline)</t>
  </si>
  <si>
    <t>NWP (Latest)</t>
  </si>
  <si>
    <t>NWP (Projected Ultimate)</t>
  </si>
  <si>
    <t>Average NWP (Headline)</t>
  </si>
  <si>
    <t>Average NWP (Latest)</t>
  </si>
  <si>
    <t>Average NWP (Projected Ultimate)</t>
  </si>
  <si>
    <t>GWP (Headline)</t>
  </si>
  <si>
    <t>GWP (Latest)</t>
  </si>
  <si>
    <t>GWP (Projected Ultimate)</t>
  </si>
  <si>
    <t>RN Trading (w/e basis)</t>
  </si>
  <si>
    <t>% of total MICL Portfolio</t>
  </si>
  <si>
    <t>Maximum NWP</t>
  </si>
  <si>
    <t>Minimum NWP</t>
  </si>
  <si>
    <t>% of sales at minimum premium</t>
  </si>
  <si>
    <t>Maximum commission %</t>
  </si>
  <si>
    <t>Minimum commission %</t>
  </si>
  <si>
    <t>PC Annual Direct - Subscription</t>
  </si>
  <si>
    <t>Underwriting week basis</t>
  </si>
  <si>
    <t xml:space="preserve">Data as at: </t>
  </si>
  <si>
    <t>Expected Loss Ratio</t>
  </si>
  <si>
    <t>Expected WS LR</t>
  </si>
  <si>
    <t>Expected Severity</t>
  </si>
  <si>
    <t>Expected WSSev</t>
  </si>
  <si>
    <t>Expected Frequency</t>
  </si>
  <si>
    <t>Expected WSFreq</t>
  </si>
  <si>
    <t>WS</t>
  </si>
  <si>
    <t>Expected FT LR</t>
  </si>
  <si>
    <t>Expected FTSev</t>
  </si>
  <si>
    <t>Expected FTFreq</t>
  </si>
  <si>
    <t>FT</t>
  </si>
  <si>
    <t>Expected AD LR</t>
  </si>
  <si>
    <t>Expected ADSev</t>
  </si>
  <si>
    <t>Expected ADFreq</t>
  </si>
  <si>
    <t>AD</t>
  </si>
  <si>
    <t>Expected Large BI Loss Ratio</t>
  </si>
  <si>
    <t>Expected BIL LR</t>
  </si>
  <si>
    <t>Expected Small BI Loss Ratio</t>
  </si>
  <si>
    <t>Expected BIS LR</t>
  </si>
  <si>
    <t>Expected BISSev</t>
  </si>
  <si>
    <t>Expected BISFreq</t>
  </si>
  <si>
    <t>BI</t>
  </si>
  <si>
    <t>Expected PD LR</t>
  </si>
  <si>
    <t>Expected PDSev</t>
  </si>
  <si>
    <t>Expected PDFreq</t>
  </si>
  <si>
    <t>PD</t>
  </si>
  <si>
    <t>Peril Breakdowns</t>
  </si>
  <si>
    <t>Plan Loss Ratio</t>
  </si>
  <si>
    <t>Expected LR</t>
  </si>
  <si>
    <t>Total (Net of RI)</t>
  </si>
  <si>
    <t>Underwriting Week</t>
  </si>
  <si>
    <t>Figures are on a 'Headline sales' basis in the weekly MI. Monthly MI has figures on 'Latest' basis (adjusted for cancellations)</t>
  </si>
  <si>
    <t>Not currently populated - can be added as 'Day 2' if considered worthwhile</t>
  </si>
  <si>
    <t>Scored loss ratios are on 'headline sales' basis</t>
  </si>
  <si>
    <t>NLR_Pred_RP_tech_mod</t>
  </si>
  <si>
    <t>NLR_Pred_RP_rating_mod</t>
  </si>
  <si>
    <t>Monthly Patterns</t>
  </si>
  <si>
    <t>Weekly patterns</t>
  </si>
  <si>
    <t>NWP Cumulative</t>
  </si>
  <si>
    <t>WVYs Cumulative</t>
  </si>
  <si>
    <t>Month</t>
  </si>
  <si>
    <t>Index</t>
  </si>
  <si>
    <t>Week</t>
  </si>
  <si>
    <t>Gradient</t>
  </si>
  <si>
    <t>Intercept</t>
  </si>
  <si>
    <t>Pattern</t>
  </si>
  <si>
    <t>Boom Subs</t>
  </si>
  <si>
    <t>Overall</t>
  </si>
  <si>
    <t>Proposer Age</t>
  </si>
  <si>
    <t>Proportion Under 25</t>
  </si>
  <si>
    <t>Policy</t>
  </si>
  <si>
    <t>Premium Proportion Under 25</t>
  </si>
  <si>
    <t>Mileage</t>
  </si>
  <si>
    <t>NCD</t>
  </si>
  <si>
    <t>Monthly Payment</t>
  </si>
  <si>
    <t>Vehicle Value</t>
  </si>
  <si>
    <t>Proportion Over £25k</t>
  </si>
  <si>
    <t>Area Rating</t>
  </si>
  <si>
    <t>Average Proposer Age (Overall)</t>
  </si>
  <si>
    <t>Average Proposer Age (PC Annual Direct)</t>
  </si>
  <si>
    <t>Average Proportion Under 25 (Overall)</t>
  </si>
  <si>
    <t>Average Proportion Under 25 (PC Annual Direct)</t>
  </si>
  <si>
    <t>Average Premium Proportion Under 25 (Overall)</t>
  </si>
  <si>
    <t>Average Premium Proportion Under 25 (PC Annual Direct)</t>
  </si>
  <si>
    <t>Average Mileage (Overall)</t>
  </si>
  <si>
    <t>Average Mileage (PC Annual Direct)</t>
  </si>
  <si>
    <t>Average NCD (Overall)</t>
  </si>
  <si>
    <t>Average Monthly Payment (Overall)</t>
  </si>
  <si>
    <t>Average Monthly Payment (PC Annual Direct)</t>
  </si>
  <si>
    <t>Average Vehicle Value (Overall)</t>
  </si>
  <si>
    <t>Average Vehicle Value (PC Annual Direct)</t>
  </si>
  <si>
    <t>Average Proportion Over £25k (Overall)</t>
  </si>
  <si>
    <t>Average Proportion Over £25k (PC Annual Direct)</t>
  </si>
  <si>
    <t>Average Area Rating (Overall)</t>
  </si>
  <si>
    <t>Average Area Rating (PC Annual Direct)</t>
  </si>
  <si>
    <t>Average NCD (PC Annual Direct)</t>
  </si>
  <si>
    <t>Dev Pattern</t>
  </si>
  <si>
    <t>NA</t>
  </si>
  <si>
    <t>Ultimate</t>
  </si>
  <si>
    <t>W VYRs</t>
  </si>
  <si>
    <t>NWP</t>
  </si>
  <si>
    <t>NLR</t>
  </si>
  <si>
    <t>GWP</t>
  </si>
  <si>
    <t>Lookups</t>
  </si>
  <si>
    <t>Headline</t>
  </si>
  <si>
    <t>Current</t>
  </si>
  <si>
    <t>Weeks Developed</t>
  </si>
  <si>
    <t>PC Annual Direct - Premium Finance</t>
  </si>
  <si>
    <t>Boom Subs NWP</t>
  </si>
  <si>
    <t>Boom Subs WVYRS</t>
  </si>
  <si>
    <t>Boom Annual NWP</t>
  </si>
  <si>
    <t>Boom Annual WVYRS</t>
  </si>
  <si>
    <t>- Plan multiplied by 12, as plan figures are on WVY basis</t>
  </si>
  <si>
    <t>Annualised View</t>
  </si>
  <si>
    <t>True Monthly Sales View</t>
  </si>
  <si>
    <t>Average NWP - Monthly Rate (Actual)</t>
  </si>
  <si>
    <t>Average NWP - Monthly Rate (Plan)</t>
  </si>
  <si>
    <t>Sales of Monthly Pols (Actual)</t>
  </si>
  <si>
    <t>Sales of Monthly Pols (Plan)</t>
  </si>
  <si>
    <t>Sold Vehicle Years (Plan)</t>
  </si>
  <si>
    <t>Don't think comparison to plan makes sense - delete??</t>
  </si>
  <si>
    <t>Sales (Actual) - excl. monthly renewals</t>
  </si>
  <si>
    <t>NWP (Actual) - assuming policies run a full year</t>
  </si>
  <si>
    <t>Average NWP (Actual) - annual rate</t>
  </si>
  <si>
    <t>GWP (Actual) - assuming policies run a full year</t>
  </si>
  <si>
    <t>Do the dev patterns work for ultimates here - think not?</t>
  </si>
  <si>
    <t>-Projected using an average of the annual and subscription volumes patterns</t>
  </si>
  <si>
    <t>Use 'W_VEHS_Ann'? Which cuts off the annualised exposure for subs policies which have already cancelled?</t>
  </si>
  <si>
    <t>True Monthly Sales View. Note: Figures in terms of WVYs as 'Sales of monthly policies' only makes sense at a headline level</t>
  </si>
  <si>
    <t>WVYs (Actual)</t>
  </si>
  <si>
    <t>WVYs (Plan)</t>
  </si>
  <si>
    <t>Note: 'Ultimate' basis exposure figures are in terms of Written Vehicle Years (WVYs) as 'Sales' no longer makes sense when cancellations are allowed for</t>
  </si>
  <si>
    <t>Note: 'Current' basis exposure figures are in terms of Written Vehicle Years (WVYs) as 'Sales' no longer makes sense when cancellations are allowed for</t>
  </si>
  <si>
    <t>Note: Headline Sales and WVYs are equivalent for annual policies</t>
  </si>
  <si>
    <t>W_VEHS_NB</t>
  </si>
  <si>
    <t>NWP_NB</t>
  </si>
  <si>
    <t>GWP_NB</t>
  </si>
  <si>
    <t>WVYs (Latest)</t>
  </si>
  <si>
    <t>WVYs (Projected Ultimate)</t>
  </si>
  <si>
    <t>Headline Sold Vehicle Years</t>
  </si>
  <si>
    <t>Headline Sales (Monthly Policies)</t>
  </si>
  <si>
    <t>Average Commission % (Headline)</t>
  </si>
  <si>
    <t>NOTE: NWP NB + NWP REN currently doesn't sum to total NWP for Boom Subscription. To be investigated</t>
  </si>
  <si>
    <t>Average Annual NWP Rate (Headline)</t>
  </si>
  <si>
    <t>% of total product NWP (Headline)</t>
  </si>
  <si>
    <t>True View of actual monthly subscription sales</t>
  </si>
  <si>
    <t>Note: Boom subs NB split currently not working</t>
  </si>
  <si>
    <t>NOTE: NWP RN + NWP REN currently doesn't sum to total NWP for Boom Subscription. To be investigated</t>
  </si>
  <si>
    <t>need to update for current</t>
  </si>
  <si>
    <t>C</t>
  </si>
  <si>
    <t>D</t>
  </si>
  <si>
    <t>E</t>
  </si>
  <si>
    <t>F</t>
  </si>
  <si>
    <t>UWMonth</t>
  </si>
  <si>
    <t>Underwriting Month</t>
  </si>
  <si>
    <t>W_VEHS_RN</t>
  </si>
  <si>
    <t>NWP_RN</t>
  </si>
  <si>
    <t>GWP_RN</t>
  </si>
  <si>
    <t>Note: Boom subs RN split currently not working</t>
  </si>
  <si>
    <t>2024 Totals</t>
  </si>
  <si>
    <t>Last 3 Months</t>
  </si>
  <si>
    <t>Last Year</t>
  </si>
  <si>
    <t>Last 4 Months</t>
  </si>
  <si>
    <t>PC Annual Direct - Annual Up Front</t>
  </si>
  <si>
    <t>PC Annual Direct - Annual Premium Finance</t>
  </si>
  <si>
    <t>UW_Month</t>
  </si>
  <si>
    <t>Boom Premium Finance</t>
  </si>
  <si>
    <t>PC Annual Direct - Premium Finance_NWP</t>
  </si>
  <si>
    <t>Policy Count (Boom Premium Finance)</t>
  </si>
  <si>
    <t>Policy Count (Boom Annual Up Front)</t>
  </si>
  <si>
    <t>Policy Count (Boom Annual Premium Finance)</t>
  </si>
  <si>
    <t>Boom Annual Up Front</t>
  </si>
  <si>
    <t>Boom Annual Premium Finance</t>
  </si>
  <si>
    <t>UW_week</t>
  </si>
  <si>
    <t>NB Policy Count (Boom Annual)</t>
  </si>
  <si>
    <t>RN Policy Count (Boom Annual)</t>
  </si>
  <si>
    <t>NB Policy Count (Boom Subscription)</t>
  </si>
  <si>
    <t>RN Policy Count (Boom Subscription)</t>
  </si>
  <si>
    <t>NB Policy Count (Boom Subscription)2</t>
  </si>
  <si>
    <t>RN Policy Count (Boom Subscription)4</t>
  </si>
  <si>
    <t>NB Policy Count (Boom Subscription)3</t>
  </si>
  <si>
    <t>RN Policy Count (Boom Subscription)5</t>
  </si>
  <si>
    <t>NB Policy Count (Boom Annual Up Front)</t>
  </si>
  <si>
    <t>RN Policy Count (Boom Annual Up Front)</t>
  </si>
  <si>
    <t>NB Policy Count (Boom Annual Premium Finance)</t>
  </si>
  <si>
    <t>RN Policy Count (Boom Annual Premium Finance)</t>
  </si>
  <si>
    <t>PC Annual Direct - Subscription_NWP</t>
  </si>
  <si>
    <t>NWP (Boom Annual Premium Finance)</t>
  </si>
  <si>
    <t>Average NWP (Boom Annual Premium Finance)</t>
  </si>
  <si>
    <t>Plan (Boom Annual Premium Finance)</t>
  </si>
  <si>
    <t>NWP (Boom Annual Up Front)</t>
  </si>
  <si>
    <t>Average NWP (Boom Annual Up Front)</t>
  </si>
  <si>
    <t>Plan (Boom Annual Up Front)</t>
  </si>
  <si>
    <t>NB NWP (Boom Annual Up Front)</t>
  </si>
  <si>
    <t>RN NWP (Boom Annual Up Front)</t>
  </si>
  <si>
    <t>NB Average NWP (Boom Annual Up Front)</t>
  </si>
  <si>
    <t>RN Average NWP (Boom Annual Up Front)</t>
  </si>
  <si>
    <t>NB NWP (Boom Annual Premium Finance)</t>
  </si>
  <si>
    <t>RN NWP (Boom Annual Premium Finance)</t>
  </si>
  <si>
    <t>NB Average NWP (Boom Annual Premium Finance)</t>
  </si>
  <si>
    <t>RN Average NWP (Boom Annual Premium Finance)</t>
  </si>
  <si>
    <t>Average Proposer Age (Boom Annual Up Front)</t>
  </si>
  <si>
    <t>Average Proposer Age (Boom Annual Premium Finance)</t>
  </si>
  <si>
    <t>Average Proposer Age (Boom Annual)</t>
  </si>
  <si>
    <t>Average Proposer Age (Boom Subscription)</t>
  </si>
  <si>
    <t>Average Proportion Under 25 (Boom Annual)</t>
  </si>
  <si>
    <t>Average Proportion Under 25 (Boom Annual Up Front)</t>
  </si>
  <si>
    <t>Average Proportion Under 25 (Boom Annual Premium Finance)</t>
  </si>
  <si>
    <t>Average Proportion Under 25 (Boom Subscription)</t>
  </si>
  <si>
    <t>Average Premium Proportion Under 25 (Boom Annual)</t>
  </si>
  <si>
    <t>Average Premium Proportion Under 25 (Boom Annual Up Front)</t>
  </si>
  <si>
    <t>Average Premium Proportion Under 25 (Boom Annual Premium Finance)</t>
  </si>
  <si>
    <t>Average Premium Proportion Under 25 (Boom Subscription)</t>
  </si>
  <si>
    <t>Average Mileage (Boom Annual)</t>
  </si>
  <si>
    <t>Average Mileage (Boom Annual Up Front)</t>
  </si>
  <si>
    <t>Average Mileage (Boom Annual Premium Finance)</t>
  </si>
  <si>
    <t>Average Mileage (Boom Subscription)</t>
  </si>
  <si>
    <t>Average NCD (Boom Annual)</t>
  </si>
  <si>
    <t>Average NCD (Boom Annual Up Front)</t>
  </si>
  <si>
    <t>Average NCD (Boom Annual Premium Finance)</t>
  </si>
  <si>
    <t>Average NCD (Boom Subscription)</t>
  </si>
  <si>
    <t>Average Monthly Payment (Boom Annual)</t>
  </si>
  <si>
    <t>Average Monthly Payment (Boom Annual Up Front)</t>
  </si>
  <si>
    <t>Average Monthly Payment (Boom Annual Premium Finance)</t>
  </si>
  <si>
    <t>Average Monthly Payment (Boom Subscription)</t>
  </si>
  <si>
    <t>Average Vehicle Value (Boom Annual)</t>
  </si>
  <si>
    <t>Average Vehicle Value (Boom Annual Up Front)</t>
  </si>
  <si>
    <t>Average Vehicle Value (Boom Annual Premium Finance)</t>
  </si>
  <si>
    <t>Average Vehicle Value (Boom Subscription)</t>
  </si>
  <si>
    <t>Average Proportion Over £25k (Boom Annual)</t>
  </si>
  <si>
    <t>Average Proportion Over £25k (Boom Annual Up Front)</t>
  </si>
  <si>
    <t>Average Proportion Over £25k (Boom Annual Premium Finance)</t>
  </si>
  <si>
    <t>Average Proportion Over £25k (Boom Subscription)</t>
  </si>
  <si>
    <t>Average Area Rating (Boom Annual)</t>
  </si>
  <si>
    <t>Average Area Rating (Boom Annual Up Front)</t>
  </si>
  <si>
    <t>Average Area Rating (Boom Annual Premium Finance)</t>
  </si>
  <si>
    <t>Average Area Rating (Boom Subscription)</t>
  </si>
  <si>
    <t>Average Proposer Age - 4 Week Avg (Overall)</t>
  </si>
  <si>
    <t>Average Proposer Age - 4 Week Avg (PC Annual Direct)</t>
  </si>
  <si>
    <t>Average Proposer Age - 4 Week Avg (Boom Annual)</t>
  </si>
  <si>
    <t>Average Proposer Age - 4 Week Avg (Boom Annual Up Front)</t>
  </si>
  <si>
    <t>Average Proposer Age - 4 Week Avg (Boom Annual Premium Finance)</t>
  </si>
  <si>
    <t>Average Proposer Age - 4 Week Avg (Boom Subscription)</t>
  </si>
  <si>
    <t>Average Proportion Under 25 - 4 Week Avg (Overall)</t>
  </si>
  <si>
    <t>Average Proportion Under 25 - 4 Week Avg (PC Annual Direct)</t>
  </si>
  <si>
    <t>Average Proportion Under 25 - 4 Week Avg (Boom Annual)</t>
  </si>
  <si>
    <t>Average Proportion Under 25 - 4 Week Avg (Boom Annual Up Front)</t>
  </si>
  <si>
    <t>Average Proportion Under 25 - 4 Week Avg (Boom Annual Premium Finance)</t>
  </si>
  <si>
    <t>Average Proportion Under 25 - 4 Week Avg (Boom Subscription)</t>
  </si>
  <si>
    <t>Average Premium Proportion Under 25 - 4 Week Avg (Overall)</t>
  </si>
  <si>
    <t>Average Premium Proportion Under 25 - 4 Week Avg (PC Annual Direct)</t>
  </si>
  <si>
    <t>Average Premium Proportion Under 25 - 4 Week Avg (Boom Annual)</t>
  </si>
  <si>
    <t>Average Premium Proportion Under 25 - 4 Week Avg (Boom Annual Up Front)</t>
  </si>
  <si>
    <t>Average Premium Proportion Under 25 - 4 Week Avg (Boom Annual Premium Finance)</t>
  </si>
  <si>
    <t>Average Premium Proportion Under 25 - 4 Week Avg (Boom Subscription)</t>
  </si>
  <si>
    <t>Average Mileage - 4 Week Avg (Overall)</t>
  </si>
  <si>
    <t>Average Mileage - 4 Week Avg (PC Annual Direct)</t>
  </si>
  <si>
    <t>Average Mileage - 4 Week Avg (Boom Annual)</t>
  </si>
  <si>
    <t>Average Mileage - 4 Week Avg (Boom Annual Up Front)</t>
  </si>
  <si>
    <t>Average Mileage - 4 Week Avg (Boom Annual Premium Finance)</t>
  </si>
  <si>
    <t>Average Mileage - 4 Week Avg (Boom Subscription)</t>
  </si>
  <si>
    <t>Average NCD - 4 Week Avg (Overall)</t>
  </si>
  <si>
    <t>Average NCD - 4 Week Avg (PC Annual Direct)</t>
  </si>
  <si>
    <t>Average NCD - 4 Week Avg (Boom Annual)</t>
  </si>
  <si>
    <t>Average NCD - 4 Week Avg (Boom Annual Up Front)</t>
  </si>
  <si>
    <t>Average NCD - 4 Week Avg (Boom Annual Premium Finance)</t>
  </si>
  <si>
    <t>Average NCD - 4 Week Avg (Boom Subscription)</t>
  </si>
  <si>
    <t>Average Monthly Payment - 4 Week Avg (Overall)</t>
  </si>
  <si>
    <t>Average Monthly Payment - 4 Week Avg (PC Annual Direct)</t>
  </si>
  <si>
    <t>Average Monthly Payment - 4 Week Avg (Boom Annual)</t>
  </si>
  <si>
    <t>Average Monthly Payment - 4 Week Avg (Boom Annual Up Front)</t>
  </si>
  <si>
    <t>Average Monthly Payment - 4 Week Avg (Boom Annual Premium Finance)</t>
  </si>
  <si>
    <t>Average Monthly Payment - 4 Week Avg (Boom Subscription)</t>
  </si>
  <si>
    <t>Average Vehicle Value - 4 Week Avg (Overall)</t>
  </si>
  <si>
    <t>Average Vehicle Value - 4 Week Avg (PC Annual Direct)</t>
  </si>
  <si>
    <t>Average Vehicle Value - 4 Week Avg (Boom Annual)</t>
  </si>
  <si>
    <t>Average Vehicle Value - 4 Week Avg (Boom Annual Up Front)</t>
  </si>
  <si>
    <t>Average Vehicle Value - 4 Week Avg (Boom Annual Premium Finance)</t>
  </si>
  <si>
    <t>Average Vehicle Value - 4 Week Avg (Boom Subscription)</t>
  </si>
  <si>
    <t>Average Proportion Over £25k - 4 Week Avg (Overall)</t>
  </si>
  <si>
    <t>Average Proportion Over £25k - 4 Week Avg (PC Annual Direct)</t>
  </si>
  <si>
    <t>Average Proportion Over £25k - 4 Week Avg (Boom Annual)</t>
  </si>
  <si>
    <t>Average Proportion Over £25k - 4 Week Avg (Boom Annual Up Front)</t>
  </si>
  <si>
    <t>Average Proportion Over £25k - 4 Week Avg (Boom Annual Premium Finance)</t>
  </si>
  <si>
    <t>Average Proportion Over £25k - 4 Week Avg (Boom Subscription)</t>
  </si>
  <si>
    <t>Average Area Rating - 4 Week Avg (Overall)</t>
  </si>
  <si>
    <t>Average Area Rating - 4 Week Avg (PC Annual Direct)</t>
  </si>
  <si>
    <t>Average Area Rating - 4 Week Avg (Boom Annual)</t>
  </si>
  <si>
    <t>Average Area Rating - 4 Week Avg (Boom Annual Up Front)</t>
  </si>
  <si>
    <t>Average Area Rating - 4 Week Avg (Boom Annual Premium Finance)</t>
  </si>
  <si>
    <t>Average Area Rating - 4 Week Avg (Boom Subscription)</t>
  </si>
  <si>
    <t>hardcoded 1</t>
  </si>
  <si>
    <t>Boom MGA</t>
  </si>
  <si>
    <t>Boom Premium Finance NWP</t>
  </si>
  <si>
    <t>Boom Premium Finance WVYRS</t>
  </si>
  <si>
    <t>G</t>
  </si>
  <si>
    <t>H</t>
  </si>
  <si>
    <t>Comparators</t>
  </si>
  <si>
    <t>Average of:</t>
  </si>
  <si>
    <t>Totals:</t>
  </si>
  <si>
    <t>Performance vs plan</t>
  </si>
  <si>
    <t>Sales (Actual) - Annualised Veh Yrs</t>
  </si>
  <si>
    <t>2023 YTD</t>
  </si>
  <si>
    <t>2024 YTD</t>
  </si>
  <si>
    <t>-</t>
  </si>
  <si>
    <t>% of total Annual NWP</t>
  </si>
  <si>
    <t>% of total PC Ann. Dir. NWP</t>
  </si>
  <si>
    <t>L month</t>
  </si>
  <si>
    <t>L3 months</t>
  </si>
  <si>
    <t>Bin</t>
  </si>
  <si>
    <t>A. 0 - 400</t>
  </si>
  <si>
    <t>PC Annual Direct (L month)</t>
  </si>
  <si>
    <t>PC Annual Direct (L3 months)</t>
  </si>
  <si>
    <t>2022 YTD</t>
  </si>
  <si>
    <t>PC Annual Direct (2022 YTD)</t>
  </si>
  <si>
    <t>PC Annual Direct (2023 YTD)</t>
  </si>
  <si>
    <t>PC Annual Direct (2024 YTD)</t>
  </si>
  <si>
    <t>Boom Annual Up Front (L month)</t>
  </si>
  <si>
    <t>Boom Annual Up Front (L3 months)</t>
  </si>
  <si>
    <t>Boom Annual Premium Finance (L month)</t>
  </si>
  <si>
    <t>Boom Annual Premium Finance (L3 months)</t>
  </si>
  <si>
    <t>Boom Annual (2022 YTD)</t>
  </si>
  <si>
    <t>Boom Annual (2023 YTD)</t>
  </si>
  <si>
    <t>Boom Annual (2024 YTD)</t>
  </si>
  <si>
    <t>Boom Premium Finance (2022 YTD)</t>
  </si>
  <si>
    <t>Boom Premium Finance (2023 YTD)</t>
  </si>
  <si>
    <t>Boom Premium Finance (2024 YTD)</t>
  </si>
  <si>
    <t>B. 400 - 600</t>
  </si>
  <si>
    <t>C. 600 - 800</t>
  </si>
  <si>
    <t>D. 800 - 1,000</t>
  </si>
  <si>
    <t>E. 1,000 - 1,200</t>
  </si>
  <si>
    <t>F. 1,200 - 1,400</t>
  </si>
  <si>
    <t>G. 1,400 - 1,600</t>
  </si>
  <si>
    <t>H. 1,600 - 1,800</t>
  </si>
  <si>
    <t>I. 1,800 - 2,000</t>
  </si>
  <si>
    <t>J. 2,000 - 2,400</t>
  </si>
  <si>
    <t>K. 2,400 - 2,800</t>
  </si>
  <si>
    <t>L. 2,800 - 3,200</t>
  </si>
  <si>
    <t>M. 3,200 - 9,999</t>
  </si>
  <si>
    <t>N. 9,999+</t>
  </si>
  <si>
    <t>x</t>
  </si>
  <si>
    <t>A. 4%</t>
  </si>
  <si>
    <t>G. 10%</t>
  </si>
  <si>
    <t>H. 11%</t>
  </si>
  <si>
    <t>I. 12%</t>
  </si>
  <si>
    <t>J. 13%</t>
  </si>
  <si>
    <t>K. 14%</t>
  </si>
  <si>
    <t>L. 15%</t>
  </si>
  <si>
    <t>M. 16%</t>
  </si>
  <si>
    <t>N. 17%</t>
  </si>
  <si>
    <t>B. 5%</t>
  </si>
  <si>
    <t>C. 6%</t>
  </si>
  <si>
    <t>D. 7%</t>
  </si>
  <si>
    <t>E. 8%</t>
  </si>
  <si>
    <t>F. 9%</t>
  </si>
  <si>
    <t>O. 18%</t>
  </si>
  <si>
    <t>P. 19%</t>
  </si>
  <si>
    <t>Q. 20%</t>
  </si>
  <si>
    <t>R. 21%</t>
  </si>
  <si>
    <t>S. 22%</t>
  </si>
  <si>
    <t>T. 23%</t>
  </si>
  <si>
    <t>U. 24%</t>
  </si>
  <si>
    <t>V. 25%</t>
  </si>
  <si>
    <t>W. 26%</t>
  </si>
  <si>
    <t>X. 26%+</t>
  </si>
  <si>
    <t>Boom Premium Finance (L month)</t>
  </si>
  <si>
    <t>Boom Premium Finance (L3 months)</t>
  </si>
  <si>
    <t>Boom Annual (L month)</t>
  </si>
  <si>
    <t>Boom Annual (L3 months)</t>
  </si>
  <si>
    <t>Copy from latest file in:</t>
  </si>
  <si>
    <r>
      <t>\\Files\ccgebhfs01\The A&amp;A Group Shares\Mulsanne\Underwriting and Pricing\Reserving\2024\</t>
    </r>
    <r>
      <rPr>
        <sz val="11"/>
        <color rgb="FFFF0000"/>
        <rFont val="Calibri"/>
        <family val="2"/>
        <scheme val="minor"/>
      </rPr>
      <t>MONTH</t>
    </r>
    <r>
      <rPr>
        <sz val="11"/>
        <color theme="1"/>
        <rFont val="Calibri"/>
        <family val="2"/>
        <scheme val="minor"/>
      </rPr>
      <t>\3. Reserving Outputs\3. UWY Results\Static Data</t>
    </r>
  </si>
  <si>
    <t>Ult NEP</t>
  </si>
  <si>
    <t>Ult NUEP</t>
  </si>
  <si>
    <t>Ult NWP</t>
  </si>
  <si>
    <t>Net Earned Ultimate Loss Ratio</t>
  </si>
  <si>
    <t>Net Unearned Ultimate Loss Ratio</t>
  </si>
  <si>
    <t>Net Ultimate Loss Ratio</t>
  </si>
  <si>
    <t>Total Target Loss Ratio</t>
  </si>
  <si>
    <t>Total Target NWP</t>
  </si>
  <si>
    <t>Total NLR (Net XOL)</t>
  </si>
  <si>
    <t>Sheet:</t>
  </si>
  <si>
    <t>UWY Results (Earn + Unearn)</t>
  </si>
  <si>
    <t>UWY Results (Earned; NLR)</t>
  </si>
  <si>
    <t>B143:T178</t>
  </si>
  <si>
    <t>UWY</t>
  </si>
  <si>
    <t>UWQ</t>
  </si>
  <si>
    <t>UWM</t>
  </si>
  <si>
    <t>WV Years</t>
  </si>
  <si>
    <t>NUEP</t>
  </si>
  <si>
    <t>Total NLR (Gross XOL)</t>
  </si>
  <si>
    <t>NEP</t>
  </si>
  <si>
    <t>Total NLR (Smoothed; Net XOL)</t>
  </si>
  <si>
    <t>Total BM NLR</t>
  </si>
  <si>
    <t>AD NLR</t>
  </si>
  <si>
    <t>TPD NLR</t>
  </si>
  <si>
    <t>TPD BM NLR</t>
  </si>
  <si>
    <t>BI Cap NLR</t>
  </si>
  <si>
    <t>BI Cap BM NLR</t>
  </si>
  <si>
    <t>BI XS Net NLR</t>
  </si>
  <si>
    <t>BI XS Net NLR (Smoothed)</t>
  </si>
  <si>
    <t>BI XS Gross NLR</t>
  </si>
  <si>
    <t>TFT NLR</t>
  </si>
  <si>
    <t>WS NLR</t>
  </si>
  <si>
    <t>AD + TFT NLR</t>
  </si>
  <si>
    <t>2017 Q1</t>
  </si>
  <si>
    <t/>
  </si>
  <si>
    <t>2021 Q2</t>
  </si>
  <si>
    <t>2021 Q3</t>
  </si>
  <si>
    <t>2017 Q2</t>
  </si>
  <si>
    <t>2021 Q4</t>
  </si>
  <si>
    <t>2017 Q3</t>
  </si>
  <si>
    <t>2022 Q1</t>
  </si>
  <si>
    <t>2017 Q4</t>
  </si>
  <si>
    <t>2022 Q2</t>
  </si>
  <si>
    <t>2018 Q1</t>
  </si>
  <si>
    <t>2022 Q3</t>
  </si>
  <si>
    <t>2018 Q2</t>
  </si>
  <si>
    <t>2022 Q4</t>
  </si>
  <si>
    <t>2018 Q3</t>
  </si>
  <si>
    <t>2023 Q1</t>
  </si>
  <si>
    <t>2018 Q4</t>
  </si>
  <si>
    <t>2023 Q2</t>
  </si>
  <si>
    <t>2019 Q1</t>
  </si>
  <si>
    <t>2023 Q3</t>
  </si>
  <si>
    <t>2019 Q2</t>
  </si>
  <si>
    <t>2023 Q4</t>
  </si>
  <si>
    <t>2019 Q3</t>
  </si>
  <si>
    <t>2024 Q1</t>
  </si>
  <si>
    <t>2019 Q4</t>
  </si>
  <si>
    <t>2024 Q2</t>
  </si>
  <si>
    <t>2020 Q1</t>
  </si>
  <si>
    <t>2020 Q2</t>
  </si>
  <si>
    <t>2020 Q3</t>
  </si>
  <si>
    <t>2020 Q4</t>
  </si>
  <si>
    <t>2021 Q1</t>
  </si>
  <si>
    <t>2024 Q3</t>
  </si>
  <si>
    <t>2024 Q4</t>
  </si>
  <si>
    <t>2025 Q1</t>
  </si>
  <si>
    <t>2025 Q2</t>
  </si>
  <si>
    <t>2025 Q3</t>
  </si>
  <si>
    <t>2025 Q4</t>
  </si>
  <si>
    <t>2026 Q1</t>
  </si>
  <si>
    <t>2026 Q2</t>
  </si>
  <si>
    <t>2026 Q3</t>
  </si>
  <si>
    <t>2026 Q4</t>
  </si>
  <si>
    <r>
      <rPr>
        <b/>
        <sz val="9.35"/>
        <color theme="1"/>
        <rFont val="Calibri"/>
        <family val="2"/>
      </rPr>
      <t>Note:</t>
    </r>
    <r>
      <rPr>
        <sz val="11"/>
        <color theme="1"/>
        <rFont val="Calibri"/>
        <family val="2"/>
        <scheme val="minor"/>
      </rPr>
      <t xml:space="preserve"> Data on 'Ultimate' basis</t>
    </r>
  </si>
  <si>
    <t>Incremental</t>
  </si>
  <si>
    <t>Ultimate NEP</t>
  </si>
  <si>
    <t>Ultimate NUEP</t>
  </si>
  <si>
    <t>Ultimate NWP</t>
  </si>
  <si>
    <t>Variance (%)</t>
  </si>
  <si>
    <t>Cumulative</t>
  </si>
  <si>
    <t>B12:I131</t>
  </si>
  <si>
    <t>PC Annual Direct_NLR</t>
  </si>
  <si>
    <t>Boom Annual MPM</t>
  </si>
  <si>
    <t>PC Annual Direct - Annual_NLR</t>
  </si>
  <si>
    <t>Loss ratio same for Up Front and Prem Finance - so just take one of the columns from plan</t>
  </si>
  <si>
    <t>PC Annual Direct - Boom Annual MPM</t>
  </si>
  <si>
    <t>PC Annual Direct - Boom Subscription MPM</t>
  </si>
  <si>
    <t>Boom Subscription MPM</t>
  </si>
  <si>
    <t>PC Annual Direct - Subscription_NLR</t>
  </si>
  <si>
    <t>NEP Claims</t>
  </si>
  <si>
    <t>NUEP Claims</t>
  </si>
  <si>
    <t>NWP Claims</t>
  </si>
  <si>
    <t>Target Claims</t>
  </si>
  <si>
    <t>4 Week Avg (Boom)</t>
  </si>
  <si>
    <t>4 Week Avg (Boom Annual)</t>
  </si>
  <si>
    <t>4 Week Avg (Boom Premium Finance)</t>
  </si>
  <si>
    <t>4 Week Avg (Boom Subscription)</t>
  </si>
  <si>
    <t>4 Week Avg (Boom)3</t>
  </si>
  <si>
    <t>4 Week Avg (Boom)2</t>
  </si>
  <si>
    <t>4 Week Avg (Boom Annual Up Front)</t>
  </si>
  <si>
    <t>4 Week Avg (Boom Annual Premium Finance)</t>
  </si>
  <si>
    <t>4 Week Avg (Boom Subscription)2</t>
  </si>
  <si>
    <t>4 Week Avg (Boom Subscription)3</t>
  </si>
  <si>
    <t>4 Week Avg (Standard)</t>
  </si>
  <si>
    <t>4 Week Avg (Plus)</t>
  </si>
  <si>
    <t>4 Week Avg (Essentials)</t>
  </si>
  <si>
    <t>4 Week Avg (Premium)</t>
  </si>
  <si>
    <t>4 Week Avg (Standard - Subscription)</t>
  </si>
  <si>
    <t>4 Week Avg (Plus - Subscription)</t>
  </si>
  <si>
    <t>4 Week Avg (Essentials - Subscription)</t>
  </si>
  <si>
    <t>4 Week Avg (Premium - Subscription)</t>
  </si>
  <si>
    <t>4 Week Avg (Standard - Annual)</t>
  </si>
  <si>
    <t>4 Week Avg (Plus - Annual)</t>
  </si>
  <si>
    <t>4 Week Avg (Essentials - Annual)</t>
  </si>
  <si>
    <t>4 Week Avg (Premium - Annual)</t>
  </si>
  <si>
    <t>NWP - 4 Week Avg (Boom Annual)</t>
  </si>
  <si>
    <t>Average NWP - 4 Week Avg (Boom Annual)</t>
  </si>
  <si>
    <t>NWP - 4 Week Avg (Boom Annual Premium Finance)</t>
  </si>
  <si>
    <t>Average NWP - 4 Week Avg (Boom Annual Premium Finance)</t>
  </si>
  <si>
    <t>NWP - 4 Week Avg (Boom Subscription)</t>
  </si>
  <si>
    <t>Average NWP - 4 Week Avg (Boom Subscription)</t>
  </si>
  <si>
    <t>NWP - 4 Week Avg (Boom)</t>
  </si>
  <si>
    <t>Average NWP - 4 Week Avg (Boom)</t>
  </si>
  <si>
    <t>NWP - 4 Week Avg (Boom)2</t>
  </si>
  <si>
    <t>Average NWP - 4 Week Avg (Boom)2</t>
  </si>
  <si>
    <t>NWP - 4 Week Avg (Boom Annual Up Front)</t>
  </si>
  <si>
    <t>Average NWP - 4 Week Avg (Boom Annual Up Front)</t>
  </si>
  <si>
    <t>NWP - 4 Week Avg (Boom Subscription)8</t>
  </si>
  <si>
    <t>Average NWP - 4 Week Avg (Boom Subscription)10</t>
  </si>
  <si>
    <t>NWP - 4 Week Avg (Boom Subscription)3</t>
  </si>
  <si>
    <t>Average NWP - 4 Week Avg (Boom Subscription)5</t>
  </si>
  <si>
    <t>NWP - 4 Week Avg (Standard)</t>
  </si>
  <si>
    <t>Average NWP - 4 Week Avg (Standard)</t>
  </si>
  <si>
    <t>NWP - 4 Week Avg (Plus)</t>
  </si>
  <si>
    <t>Average NWP - 4 Week Avg (Plus)</t>
  </si>
  <si>
    <t>NWP - 4 Week Avg (Essentials)</t>
  </si>
  <si>
    <t>Average NWP - 4 Week Avg (Essentials)</t>
  </si>
  <si>
    <t>NWP - 4 Week Avg (Premium)</t>
  </si>
  <si>
    <t>Average NWP - 4 Week Avg (Premium)</t>
  </si>
  <si>
    <t>NWP - 4 Week Avg (Standard - Subscription)</t>
  </si>
  <si>
    <t>Average NWP - 4 Week Avg (Standard - Subscription)</t>
  </si>
  <si>
    <t>NWP - 4 Week Avg (Plus - Subscription)</t>
  </si>
  <si>
    <t>Average NWP - 4 Week Avg (Plus - Subscription)</t>
  </si>
  <si>
    <t>NWP - 4 Week Avg (Essentials - Subscription)</t>
  </si>
  <si>
    <t>Average NWP - 4 Week Avg (Essentials - Subscription)</t>
  </si>
  <si>
    <t>NWP - 4 Week Avg (Premium - Subscription)</t>
  </si>
  <si>
    <t>Average NWP - 4 Week Avg (Premium - Subscription)</t>
  </si>
  <si>
    <t>NWP - 4 Week Avg (Standard - Annual)</t>
  </si>
  <si>
    <t>Average NWP - 4 Week Avg (Standard - Annual)</t>
  </si>
  <si>
    <t>NWP - 4 Week Avg (Plus - Annual)</t>
  </si>
  <si>
    <t>Average NWP - 4 Week Avg (Plus - Annual)</t>
  </si>
  <si>
    <t>NWP - 4 Week Avg (Essentials - Annual)</t>
  </si>
  <si>
    <t>Average NWP - 4 Week Avg (Essentials - Annual)</t>
  </si>
  <si>
    <t>NWP - 4 Week Avg (Premium - Annual)</t>
  </si>
  <si>
    <t>Average NWP - 4 Week Avg (Premium - Annual)</t>
  </si>
  <si>
    <t>Boom Standard - 4 Week Avg</t>
  </si>
  <si>
    <t>Boom Plus - 4 Week Avg</t>
  </si>
  <si>
    <t>Boom Essentials - 4 Week Avg</t>
  </si>
  <si>
    <t>Boom Premium - 4 Week Avg</t>
  </si>
  <si>
    <t>NB 4 Week Avg (Boom (excl monthly rens))</t>
  </si>
  <si>
    <t>RN 4 Week Avg (Boom (excl monthly rens))</t>
  </si>
  <si>
    <t>NB 4 Week Avg (Boom (excl monthly rens))3</t>
  </si>
  <si>
    <t>RN 4 Week Avg (Boom (excl monthly rens))5</t>
  </si>
  <si>
    <t>NB 4 Week Avg (Boom (excl monthly rens))7</t>
  </si>
  <si>
    <t>RN 4 Week Avg (Boom (excl monthly rens))9</t>
  </si>
  <si>
    <t>NB 4 Week Avg (Boom Annual)</t>
  </si>
  <si>
    <t>RN 4 Week Avg (Boom Annual)</t>
  </si>
  <si>
    <t>NB 4 Week Avg (Boom Annual Up Front)</t>
  </si>
  <si>
    <t>RN 4 Week Avg (Boom Annual Up Front)</t>
  </si>
  <si>
    <t>NB 4 Week Avg (Boom Annual Premium Finance)</t>
  </si>
  <si>
    <t>RN 4 Week Avg (Boom Annual Premium Finance)</t>
  </si>
  <si>
    <t>NB 4 Week Avg (Boom Subscription)</t>
  </si>
  <si>
    <t>RN 4 Week Avg (Boom Subscription)</t>
  </si>
  <si>
    <t>NB 4 Week Avg (Boom Subscription)3</t>
  </si>
  <si>
    <t>RN 4 Week Avg (Boom Subscription)5</t>
  </si>
  <si>
    <t>NB 4 Week Avg (Boom Subscription)4</t>
  </si>
  <si>
    <t>RN 4 Week Avg (Boom Subscription)6</t>
  </si>
  <si>
    <t>NB NWP - 4 Week Avg (Boom)</t>
  </si>
  <si>
    <t>NB Average NWP - 4 Week Avg (Boom)</t>
  </si>
  <si>
    <t>RN NWP - 4 Week Avg (Boom)</t>
  </si>
  <si>
    <t>RN Average NWP - 4 Week Avg (Boom)</t>
  </si>
  <si>
    <t>NB NWP - 4 Week Avg (Boom)3</t>
  </si>
  <si>
    <t>NB Average NWP - 4 Week Avg (Boom)4</t>
  </si>
  <si>
    <t>RN NWP - 4 Week Avg (Boom)6</t>
  </si>
  <si>
    <t>RN Average NWP - 4 Week Avg (Boom)7</t>
  </si>
  <si>
    <t>NB NWP - 4 Week Avg (Boom Annual)</t>
  </si>
  <si>
    <t>NB Average NWP - 4 Week Avg (Boom Annual)</t>
  </si>
  <si>
    <t>RN NWP - 4 Week Avg (Boom Annual)</t>
  </si>
  <si>
    <t>RN Average NWP - 4 Week Avg (Boom Annual)</t>
  </si>
  <si>
    <t>NB NWP - 4 Week Avg (Boom Annual Up Front)</t>
  </si>
  <si>
    <t>NB Average NWP - 4 Week Avg (Boom Annual Up Front)</t>
  </si>
  <si>
    <t>RN NWP - 4 Week Avg (Boom Annual Up Front)</t>
  </si>
  <si>
    <t>RN Average NWP - 4 Week Avg (Boom Annual Up Front)</t>
  </si>
  <si>
    <t>NB NWP - 4 Week Avg (Boom Annual Premium Finance)</t>
  </si>
  <si>
    <t>NB Average NWP - 4 Week Avg (Boom Annual Premium Finance)</t>
  </si>
  <si>
    <t>RN NWP - 4 Week Avg (Boom Annual Premium Finance)</t>
  </si>
  <si>
    <t>RN Average NWP - 4 Week Avg (Boom Annual Premium Finance)</t>
  </si>
  <si>
    <t>NB NWP - 4 Week Avg (Boom Subscription)</t>
  </si>
  <si>
    <t>NB Average NWP - 4 Week Avg (Boom Subscription)</t>
  </si>
  <si>
    <t>RN NWP - 4 Week Avg (Boom Subscription)</t>
  </si>
  <si>
    <t>RN Average NWP - 4 Week Avg (Boom Subscription)</t>
  </si>
  <si>
    <t>NB NWP - 4 Week Avg (Boom Subscription)3</t>
  </si>
  <si>
    <t>NB Average NWP - 4 Week Avg (Boom Subscription)4</t>
  </si>
  <si>
    <t>RN NWP - 4 Week Avg (Boom Subscription)6</t>
  </si>
  <si>
    <t>RN Average NWP - 4 Week Avg (Boom Subscription)7</t>
  </si>
  <si>
    <t>Excl. monthly rens. Ann. premiums</t>
  </si>
  <si>
    <t>Left graph: Subscription premiums are annualised and excludes monthly renewals. I.e. Subscriptions policies are only tracked at new business and every annual renewal thereafter.</t>
  </si>
  <si>
    <t>Right graph: Subscription premiums are the actual figure at each new business / renewal transaction. Includes monthly renewals.</t>
  </si>
  <si>
    <t>Left graph: Subscription premiums are annualised and excludes monthly renewals. I.e. Subscription policies are only tracked at new business and every annual renewal thereafter.</t>
  </si>
  <si>
    <t>Right graph: Subscription premiums are the actual figure on the new business / annual renewal transaction. Excludes monthly renewals.</t>
  </si>
  <si>
    <t>Last updated:</t>
  </si>
  <si>
    <t>Last Updated:</t>
  </si>
  <si>
    <t>MICL PC Annual Direct - Monthly MI</t>
  </si>
  <si>
    <t>2024 UWY</t>
  </si>
  <si>
    <t>2025 YTD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</si>
</sst>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£&quot;#,##0;[Red]\-&quot;£&quot;#,##0"/>
    <numFmt numFmtId="8" formatCode="&quot;£&quot;#,##0.00;[Red]\-&quot;£&quot;#,##0.00"/>
    <numFmt numFmtId="164" formatCode="0.0%"/>
    <numFmt numFmtId="165" formatCode="#,##0.0"/>
    <numFmt numFmtId="166" formatCode="#,##0.0000"/>
    <numFmt numFmtId="167" formatCode="&quot;£&quot;#,##0"/>
    <numFmt numFmtId="168" formatCode="#,##0.0000000000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i/>
      <sz val="11"/>
      <name val="Calibri"/>
      <family val="2"/>
      <scheme val="minor"/>
    </font>
    <font>
      <i/>
      <sz val="10.5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.5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.35"/>
      <color theme="1"/>
      <name val="Calibri"/>
      <family val="2"/>
    </font>
    <font>
      <i/>
      <sz val="11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7C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43CE"/>
        <bgColor indexed="64"/>
      </patternFill>
    </fill>
    <fill>
      <patternFill patternType="solid">
        <fgColor rgb="FF00114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4589FF"/>
        <bgColor indexed="64"/>
      </patternFill>
    </fill>
    <fill>
      <patternFill patternType="solid">
        <fgColor rgb="FF79A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1C1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theme="4" tint="0.39997558519241921"/>
      </top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001141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rgb="FF00114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rgb="FF00114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rgb="FF001141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rgb="FF001141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rgb="FF001141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206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rgb="FF002060"/>
      </left>
      <right/>
      <top/>
      <bottom/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rgb="FF002060"/>
      </right>
      <top style="medium">
        <color indexed="64"/>
      </top>
      <bottom/>
      <diagonal/>
    </border>
    <border>
      <left/>
      <right style="medium">
        <color rgb="FF002060"/>
      </right>
      <top/>
      <bottom style="thin">
        <color indexed="64"/>
      </bottom>
      <diagonal/>
    </border>
    <border>
      <left/>
      <right style="medium">
        <color rgb="FF002060"/>
      </right>
      <top style="thin">
        <color indexed="64"/>
      </top>
      <bottom style="thin">
        <color indexed="64"/>
      </bottom>
      <diagonal/>
    </border>
    <border>
      <left/>
      <right style="medium">
        <color rgb="FF002060"/>
      </right>
      <top style="thin">
        <color indexed="64"/>
      </top>
      <bottom/>
      <diagonal/>
    </border>
    <border>
      <left/>
      <right style="medium">
        <color rgb="FF002060"/>
      </right>
      <top/>
      <bottom/>
      <diagonal/>
    </border>
    <border>
      <left/>
      <right style="medium">
        <color rgb="FF002060"/>
      </right>
      <top style="thin">
        <color indexed="64"/>
      </top>
      <bottom style="medium">
        <color indexed="64"/>
      </bottom>
      <diagonal/>
    </border>
    <border>
      <left/>
      <right style="medium">
        <color rgb="FF002060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002060"/>
      </bottom>
      <diagonal/>
    </border>
    <border>
      <left/>
      <right style="medium">
        <color indexed="64"/>
      </right>
      <top/>
      <bottom style="medium">
        <color rgb="FF00206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4" fillId="3" borderId="0" applyNumberFormat="0" applyBorder="0" applyAlignment="0" applyProtection="0"/>
    <xf numFmtId="9" fontId="12" fillId="0" borderId="0" applyFont="0" applyFill="0" applyBorder="0" applyAlignment="0" applyProtection="0"/>
  </cellStyleXfs>
  <cellXfs count="519">
    <xf numFmtId="0" fontId="0" fillId="0" borderId="0" xfId="0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0" borderId="6" xfId="0" applyBorder="1"/>
    <xf numFmtId="0" fontId="6" fillId="2" borderId="6" xfId="0" applyFont="1" applyFill="1" applyBorder="1" applyAlignment="1">
      <alignment horizontal="center" vertical="center"/>
    </xf>
    <xf numFmtId="3" fontId="5" fillId="4" borderId="7" xfId="0" applyNumberFormat="1" applyFont="1" applyFill="1" applyBorder="1" applyAlignment="1">
      <alignment horizontal="center"/>
    </xf>
    <xf numFmtId="3" fontId="5" fillId="4" borderId="8" xfId="0" applyNumberFormat="1" applyFont="1" applyFill="1" applyBorder="1" applyAlignment="1">
      <alignment horizontal="center"/>
    </xf>
    <xf numFmtId="3" fontId="5" fillId="4" borderId="6" xfId="0" applyNumberFormat="1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 vertical="center"/>
    </xf>
    <xf numFmtId="3" fontId="7" fillId="0" borderId="0" xfId="0" applyNumberFormat="1" applyFont="1" applyAlignment="1">
      <alignment horizontal="center"/>
    </xf>
    <xf numFmtId="0" fontId="6" fillId="2" borderId="10" xfId="0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/>
    </xf>
    <xf numFmtId="3" fontId="5" fillId="4" borderId="5" xfId="0" applyNumberFormat="1" applyFont="1" applyFill="1" applyBorder="1" applyAlignment="1">
      <alignment horizontal="center"/>
    </xf>
    <xf numFmtId="3" fontId="5" fillId="4" borderId="10" xfId="0" applyNumberFormat="1" applyFont="1" applyFill="1" applyBorder="1" applyAlignment="1">
      <alignment horizontal="center"/>
    </xf>
    <xf numFmtId="3" fontId="5" fillId="4" borderId="0" xfId="0" applyNumberFormat="1" applyFont="1" applyFill="1" applyAlignment="1">
      <alignment horizontal="center"/>
    </xf>
    <xf numFmtId="3" fontId="5" fillId="4" borderId="4" xfId="0" applyNumberFormat="1" applyFont="1" applyFill="1" applyBorder="1" applyAlignment="1">
      <alignment horizontal="center"/>
    </xf>
    <xf numFmtId="3" fontId="5" fillId="0" borderId="0" xfId="0" applyNumberFormat="1" applyFont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3" fillId="0" borderId="9" xfId="0" applyFont="1" applyBorder="1"/>
    <xf numFmtId="0" fontId="4" fillId="0" borderId="0" xfId="0" applyFont="1"/>
    <xf numFmtId="0" fontId="4" fillId="0" borderId="4" xfId="0" applyFont="1" applyBorder="1"/>
    <xf numFmtId="0" fontId="4" fillId="3" borderId="11" xfId="1" applyBorder="1" applyAlignment="1">
      <alignment horizontal="centerContinuous" vertical="center"/>
    </xf>
    <xf numFmtId="16" fontId="4" fillId="3" borderId="2" xfId="1" applyNumberFormat="1" applyBorder="1" applyAlignment="1">
      <alignment horizontal="center" vertical="center"/>
    </xf>
    <xf numFmtId="16" fontId="4" fillId="3" borderId="3" xfId="1" applyNumberFormat="1" applyBorder="1" applyAlignment="1">
      <alignment horizontal="center" vertical="center"/>
    </xf>
    <xf numFmtId="3" fontId="4" fillId="3" borderId="11" xfId="1" applyNumberFormat="1" applyBorder="1" applyAlignment="1">
      <alignment horizontal="center"/>
    </xf>
    <xf numFmtId="3" fontId="4" fillId="3" borderId="2" xfId="1" applyNumberFormat="1" applyBorder="1" applyAlignment="1">
      <alignment horizontal="center"/>
    </xf>
    <xf numFmtId="3" fontId="4" fillId="3" borderId="3" xfId="1" applyNumberFormat="1" applyBorder="1" applyAlignment="1">
      <alignment horizontal="center"/>
    </xf>
    <xf numFmtId="0" fontId="4" fillId="3" borderId="11" xfId="1" applyBorder="1" applyAlignment="1">
      <alignment horizontal="center"/>
    </xf>
    <xf numFmtId="0" fontId="4" fillId="3" borderId="2" xfId="1" applyBorder="1" applyAlignment="1">
      <alignment horizontal="center"/>
    </xf>
    <xf numFmtId="0" fontId="4" fillId="3" borderId="3" xfId="1" applyBorder="1" applyAlignment="1">
      <alignment horizontal="center"/>
    </xf>
    <xf numFmtId="3" fontId="8" fillId="0" borderId="0" xfId="0" applyNumberFormat="1" applyFont="1" applyAlignment="1">
      <alignment horizontal="center"/>
    </xf>
    <xf numFmtId="3" fontId="8" fillId="0" borderId="4" xfId="0" applyNumberFormat="1" applyFont="1" applyBorder="1" applyAlignment="1">
      <alignment horizontal="center"/>
    </xf>
    <xf numFmtId="3" fontId="8" fillId="0" borderId="9" xfId="0" applyNumberFormat="1" applyFont="1" applyBorder="1" applyAlignment="1">
      <alignment horizontal="center"/>
    </xf>
    <xf numFmtId="0" fontId="4" fillId="5" borderId="0" xfId="0" applyFont="1" applyFill="1"/>
    <xf numFmtId="0" fontId="4" fillId="3" borderId="6" xfId="1" applyBorder="1" applyAlignment="1">
      <alignment horizontal="centerContinuous" vertical="center"/>
    </xf>
    <xf numFmtId="16" fontId="4" fillId="3" borderId="7" xfId="1" applyNumberFormat="1" applyBorder="1" applyAlignment="1">
      <alignment horizontal="center" vertical="center"/>
    </xf>
    <xf numFmtId="16" fontId="4" fillId="3" borderId="8" xfId="1" applyNumberFormat="1" applyBorder="1" applyAlignment="1">
      <alignment horizontal="center" vertical="center"/>
    </xf>
    <xf numFmtId="3" fontId="4" fillId="3" borderId="6" xfId="1" applyNumberFormat="1" applyBorder="1" applyAlignment="1">
      <alignment horizontal="center"/>
    </xf>
    <xf numFmtId="3" fontId="4" fillId="3" borderId="7" xfId="1" applyNumberFormat="1" applyBorder="1" applyAlignment="1">
      <alignment horizontal="center"/>
    </xf>
    <xf numFmtId="3" fontId="4" fillId="3" borderId="8" xfId="1" applyNumberForma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9" fontId="0" fillId="0" borderId="5" xfId="0" applyNumberFormat="1" applyBorder="1" applyAlignment="1">
      <alignment horizontal="center"/>
    </xf>
    <xf numFmtId="3" fontId="5" fillId="4" borderId="9" xfId="0" applyNumberFormat="1" applyFont="1" applyFill="1" applyBorder="1" applyAlignment="1">
      <alignment horizontal="center"/>
    </xf>
    <xf numFmtId="9" fontId="0" fillId="0" borderId="10" xfId="0" applyNumberFormat="1" applyBorder="1" applyAlignment="1">
      <alignment horizontal="center"/>
    </xf>
    <xf numFmtId="0" fontId="6" fillId="0" borderId="1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/>
    <xf numFmtId="0" fontId="0" fillId="6" borderId="0" xfId="0" applyFill="1"/>
    <xf numFmtId="0" fontId="0" fillId="5" borderId="0" xfId="0" applyFill="1"/>
    <xf numFmtId="0" fontId="4" fillId="0" borderId="0" xfId="1" applyFill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3" fillId="0" borderId="0" xfId="0" applyFont="1"/>
    <xf numFmtId="0" fontId="4" fillId="0" borderId="0" xfId="1" applyFill="1" applyBorder="1" applyAlignment="1">
      <alignment horizontal="centerContinuous" vertical="center"/>
    </xf>
    <xf numFmtId="16" fontId="4" fillId="0" borderId="0" xfId="1" applyNumberFormat="1" applyFill="1" applyBorder="1" applyAlignment="1">
      <alignment horizontal="center" vertical="center"/>
    </xf>
    <xf numFmtId="3" fontId="4" fillId="0" borderId="0" xfId="1" applyNumberFormat="1" applyFill="1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7" borderId="0" xfId="0" applyFill="1"/>
    <xf numFmtId="0" fontId="0" fillId="8" borderId="0" xfId="0" applyFill="1"/>
    <xf numFmtId="0" fontId="5" fillId="6" borderId="0" xfId="1" applyFont="1" applyFill="1" applyBorder="1" applyAlignment="1">
      <alignment horizontal="center"/>
    </xf>
    <xf numFmtId="0" fontId="5" fillId="7" borderId="0" xfId="0" applyFont="1" applyFill="1"/>
    <xf numFmtId="0" fontId="5" fillId="7" borderId="0" xfId="1" applyFont="1" applyFill="1" applyBorder="1" applyAlignment="1">
      <alignment horizontal="center"/>
    </xf>
    <xf numFmtId="0" fontId="5" fillId="8" borderId="0" xfId="0" applyFont="1" applyFill="1"/>
    <xf numFmtId="0" fontId="5" fillId="7" borderId="0" xfId="1" applyFont="1" applyFill="1" applyBorder="1" applyAlignment="1">
      <alignment horizontal="left"/>
    </xf>
    <xf numFmtId="0" fontId="9" fillId="6" borderId="0" xfId="0" applyFont="1" applyFill="1"/>
    <xf numFmtId="0" fontId="10" fillId="0" borderId="0" xfId="0" applyFont="1"/>
    <xf numFmtId="0" fontId="11" fillId="5" borderId="0" xfId="0" applyFont="1" applyFill="1"/>
    <xf numFmtId="0" fontId="9" fillId="7" borderId="0" xfId="0" applyFont="1" applyFill="1"/>
    <xf numFmtId="0" fontId="9" fillId="8" borderId="0" xfId="0" applyFont="1" applyFill="1"/>
    <xf numFmtId="164" fontId="5" fillId="0" borderId="0" xfId="2" applyNumberFormat="1" applyFont="1" applyAlignment="1">
      <alignment horizontal="center"/>
    </xf>
    <xf numFmtId="164" fontId="5" fillId="0" borderId="4" xfId="2" applyNumberFormat="1" applyFont="1" applyBorder="1" applyAlignment="1">
      <alignment horizontal="center"/>
    </xf>
    <xf numFmtId="164" fontId="7" fillId="0" borderId="9" xfId="2" applyNumberFormat="1" applyFont="1" applyBorder="1" applyAlignment="1">
      <alignment horizontal="center"/>
    </xf>
    <xf numFmtId="164" fontId="7" fillId="0" borderId="0" xfId="2" applyNumberFormat="1" applyFont="1" applyAlignment="1">
      <alignment horizontal="center"/>
    </xf>
    <xf numFmtId="14" fontId="0" fillId="0" borderId="0" xfId="0" applyNumberFormat="1"/>
    <xf numFmtId="3" fontId="0" fillId="0" borderId="12" xfId="0" applyNumberFormat="1" applyBorder="1"/>
    <xf numFmtId="3" fontId="0" fillId="0" borderId="0" xfId="0" applyNumberFormat="1"/>
    <xf numFmtId="0" fontId="0" fillId="0" borderId="0" xfId="0" applyAlignment="1">
      <alignment horizontal="centerContinuous"/>
    </xf>
    <xf numFmtId="0" fontId="0" fillId="0" borderId="9" xfId="0" applyBorder="1" applyAlignment="1">
      <alignment horizontal="centerContinuous"/>
    </xf>
    <xf numFmtId="0" fontId="0" fillId="0" borderId="4" xfId="0" applyBorder="1" applyAlignment="1">
      <alignment horizontal="centerContinuous"/>
    </xf>
    <xf numFmtId="3" fontId="0" fillId="0" borderId="13" xfId="0" applyNumberFormat="1" applyBorder="1"/>
    <xf numFmtId="0" fontId="3" fillId="9" borderId="0" xfId="0" applyFont="1" applyFill="1"/>
    <xf numFmtId="3" fontId="0" fillId="0" borderId="14" xfId="0" applyNumberFormat="1" applyBorder="1"/>
    <xf numFmtId="3" fontId="3" fillId="9" borderId="0" xfId="0" applyNumberFormat="1" applyFont="1" applyFill="1"/>
    <xf numFmtId="9" fontId="0" fillId="0" borderId="12" xfId="2" applyFont="1" applyBorder="1"/>
    <xf numFmtId="9" fontId="0" fillId="0" borderId="14" xfId="2" applyFont="1" applyBorder="1"/>
    <xf numFmtId="14" fontId="0" fillId="10" borderId="12" xfId="0" applyNumberFormat="1" applyFill="1" applyBorder="1"/>
    <xf numFmtId="3" fontId="0" fillId="0" borderId="15" xfId="0" applyNumberFormat="1" applyBorder="1"/>
    <xf numFmtId="9" fontId="0" fillId="0" borderId="15" xfId="2" applyFont="1" applyBorder="1"/>
    <xf numFmtId="9" fontId="0" fillId="0" borderId="0" xfId="2" applyFont="1"/>
    <xf numFmtId="3" fontId="0" fillId="0" borderId="0" xfId="0" applyNumberFormat="1" applyAlignment="1">
      <alignment horizontal="centerContinuous"/>
    </xf>
    <xf numFmtId="3" fontId="0" fillId="0" borderId="4" xfId="0" applyNumberFormat="1" applyBorder="1" applyAlignment="1">
      <alignment horizontal="centerContinuous"/>
    </xf>
    <xf numFmtId="3" fontId="3" fillId="9" borderId="16" xfId="0" applyNumberFormat="1" applyFont="1" applyFill="1" applyBorder="1"/>
    <xf numFmtId="3" fontId="0" fillId="0" borderId="16" xfId="0" applyNumberFormat="1" applyBorder="1"/>
    <xf numFmtId="9" fontId="0" fillId="0" borderId="0" xfId="2" applyFont="1" applyBorder="1"/>
    <xf numFmtId="9" fontId="0" fillId="0" borderId="16" xfId="2" applyFont="1" applyBorder="1"/>
    <xf numFmtId="3" fontId="0" fillId="0" borderId="9" xfId="0" applyNumberFormat="1" applyBorder="1"/>
    <xf numFmtId="3" fontId="0" fillId="0" borderId="4" xfId="0" applyNumberFormat="1" applyBorder="1"/>
    <xf numFmtId="3" fontId="0" fillId="0" borderId="17" xfId="0" applyNumberFormat="1" applyBorder="1"/>
    <xf numFmtId="0" fontId="0" fillId="0" borderId="4" xfId="0" applyBorder="1"/>
    <xf numFmtId="3" fontId="0" fillId="0" borderId="18" xfId="0" applyNumberFormat="1" applyBorder="1"/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Continuous"/>
    </xf>
    <xf numFmtId="0" fontId="0" fillId="0" borderId="19" xfId="0" applyBorder="1"/>
    <xf numFmtId="3" fontId="0" fillId="0" borderId="19" xfId="0" applyNumberFormat="1" applyBorder="1"/>
    <xf numFmtId="165" fontId="0" fillId="0" borderId="12" xfId="0" applyNumberFormat="1" applyBorder="1"/>
    <xf numFmtId="165" fontId="0" fillId="0" borderId="14" xfId="0" applyNumberFormat="1" applyBorder="1"/>
    <xf numFmtId="165" fontId="0" fillId="0" borderId="18" xfId="0" applyNumberFormat="1" applyBorder="1"/>
    <xf numFmtId="3" fontId="0" fillId="11" borderId="0" xfId="0" applyNumberFormat="1" applyFill="1"/>
    <xf numFmtId="3" fontId="0" fillId="11" borderId="4" xfId="0" applyNumberFormat="1" applyFill="1" applyBorder="1"/>
    <xf numFmtId="0" fontId="0" fillId="11" borderId="9" xfId="0" applyFill="1" applyBorder="1" applyAlignment="1">
      <alignment horizontal="centerContinuous"/>
    </xf>
    <xf numFmtId="0" fontId="0" fillId="11" borderId="4" xfId="0" applyFill="1" applyBorder="1" applyAlignment="1">
      <alignment horizontal="centerContinuous"/>
    </xf>
    <xf numFmtId="0" fontId="0" fillId="11" borderId="0" xfId="0" applyFill="1" applyAlignment="1">
      <alignment horizontal="centerContinuous"/>
    </xf>
    <xf numFmtId="3" fontId="0" fillId="11" borderId="0" xfId="0" applyNumberFormat="1" applyFill="1" applyAlignment="1">
      <alignment horizontal="centerContinuous"/>
    </xf>
    <xf numFmtId="3" fontId="0" fillId="11" borderId="4" xfId="0" applyNumberFormat="1" applyFill="1" applyBorder="1" applyAlignment="1">
      <alignment horizontal="centerContinuous"/>
    </xf>
    <xf numFmtId="3" fontId="0" fillId="11" borderId="9" xfId="0" applyNumberFormat="1" applyFill="1" applyBorder="1"/>
    <xf numFmtId="3" fontId="0" fillId="11" borderId="13" xfId="0" applyNumberFormat="1" applyFill="1" applyBorder="1"/>
    <xf numFmtId="3" fontId="0" fillId="11" borderId="17" xfId="0" applyNumberFormat="1" applyFill="1" applyBorder="1"/>
    <xf numFmtId="0" fontId="14" fillId="0" borderId="0" xfId="0" applyFont="1"/>
    <xf numFmtId="3" fontId="15" fillId="0" borderId="0" xfId="0" applyNumberFormat="1" applyFont="1" applyAlignment="1">
      <alignment horizontal="center"/>
    </xf>
    <xf numFmtId="3" fontId="15" fillId="0" borderId="4" xfId="0" applyNumberFormat="1" applyFont="1" applyBorder="1" applyAlignment="1">
      <alignment horizontal="center"/>
    </xf>
    <xf numFmtId="3" fontId="15" fillId="0" borderId="9" xfId="0" applyNumberFormat="1" applyFont="1" applyBorder="1" applyAlignment="1">
      <alignment horizontal="center"/>
    </xf>
    <xf numFmtId="164" fontId="5" fillId="0" borderId="9" xfId="2" applyNumberFormat="1" applyFont="1" applyBorder="1" applyAlignment="1">
      <alignment horizontal="center"/>
    </xf>
    <xf numFmtId="164" fontId="5" fillId="0" borderId="0" xfId="2" applyNumberFormat="1" applyFont="1" applyBorder="1" applyAlignment="1">
      <alignment horizontal="center"/>
    </xf>
    <xf numFmtId="164" fontId="7" fillId="0" borderId="0" xfId="2" applyNumberFormat="1" applyFont="1" applyBorder="1" applyAlignment="1">
      <alignment horizontal="center"/>
    </xf>
    <xf numFmtId="0" fontId="0" fillId="0" borderId="1" xfId="0" applyBorder="1"/>
    <xf numFmtId="0" fontId="0" fillId="0" borderId="5" xfId="0" applyBorder="1"/>
    <xf numFmtId="0" fontId="0" fillId="0" borderId="21" xfId="0" applyBorder="1"/>
    <xf numFmtId="6" fontId="0" fillId="0" borderId="4" xfId="0" applyNumberFormat="1" applyBorder="1" applyAlignment="1">
      <alignment horizontal="center"/>
    </xf>
    <xf numFmtId="6" fontId="0" fillId="0" borderId="0" xfId="0" applyNumberFormat="1" applyAlignment="1">
      <alignment horizontal="center"/>
    </xf>
    <xf numFmtId="0" fontId="0" fillId="0" borderId="22" xfId="0" applyBorder="1"/>
    <xf numFmtId="9" fontId="0" fillId="0" borderId="8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0" fontId="0" fillId="0" borderId="23" xfId="0" applyBorder="1"/>
    <xf numFmtId="9" fontId="0" fillId="0" borderId="4" xfId="0" applyNumberFormat="1" applyBorder="1" applyAlignment="1">
      <alignment horizontal="center"/>
    </xf>
    <xf numFmtId="11" fontId="0" fillId="0" borderId="21" xfId="0" applyNumberFormat="1" applyBorder="1"/>
    <xf numFmtId="11" fontId="0" fillId="0" borderId="23" xfId="0" applyNumberFormat="1" applyBorder="1"/>
    <xf numFmtId="14" fontId="0" fillId="10" borderId="20" xfId="0" applyNumberFormat="1" applyFill="1" applyBorder="1"/>
    <xf numFmtId="14" fontId="0" fillId="0" borderId="20" xfId="0" applyNumberFormat="1" applyBorder="1"/>
    <xf numFmtId="0" fontId="3" fillId="9" borderId="13" xfId="0" applyFont="1" applyFill="1" applyBorder="1"/>
    <xf numFmtId="0" fontId="3" fillId="9" borderId="1" xfId="0" applyFont="1" applyFill="1" applyBorder="1"/>
    <xf numFmtId="0" fontId="0" fillId="0" borderId="1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4" fontId="0" fillId="0" borderId="0" xfId="0" applyNumberFormat="1" applyAlignment="1">
      <alignment horizontal="center"/>
    </xf>
    <xf numFmtId="4" fontId="0" fillId="0" borderId="9" xfId="0" applyNumberFormat="1" applyBorder="1" applyAlignment="1">
      <alignment horizontal="center"/>
    </xf>
    <xf numFmtId="4" fontId="0" fillId="0" borderId="10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4" fontId="0" fillId="0" borderId="12" xfId="0" applyNumberFormat="1" applyBorder="1"/>
    <xf numFmtId="164" fontId="0" fillId="0" borderId="12" xfId="0" applyNumberFormat="1" applyBorder="1"/>
    <xf numFmtId="164" fontId="0" fillId="0" borderId="14" xfId="0" applyNumberFormat="1" applyBorder="1"/>
    <xf numFmtId="164" fontId="0" fillId="0" borderId="18" xfId="0" applyNumberFormat="1" applyBorder="1"/>
    <xf numFmtId="0" fontId="0" fillId="13" borderId="0" xfId="0" applyFill="1"/>
    <xf numFmtId="0" fontId="0" fillId="13" borderId="4" xfId="0" applyFill="1" applyBorder="1"/>
    <xf numFmtId="0" fontId="3" fillId="14" borderId="0" xfId="0" applyFont="1" applyFill="1"/>
    <xf numFmtId="0" fontId="0" fillId="15" borderId="0" xfId="0" applyFill="1"/>
    <xf numFmtId="0" fontId="0" fillId="15" borderId="4" xfId="0" applyFill="1" applyBorder="1"/>
    <xf numFmtId="0" fontId="0" fillId="16" borderId="0" xfId="0" applyFill="1"/>
    <xf numFmtId="0" fontId="0" fillId="16" borderId="4" xfId="0" applyFill="1" applyBorder="1"/>
    <xf numFmtId="0" fontId="1" fillId="0" borderId="1" xfId="0" applyFont="1" applyBorder="1" applyAlignment="1">
      <alignment horizontal="center" vertical="center" wrapText="1"/>
    </xf>
    <xf numFmtId="14" fontId="4" fillId="3" borderId="0" xfId="1" applyNumberForma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8" fontId="0" fillId="0" borderId="0" xfId="0" applyNumberFormat="1"/>
    <xf numFmtId="0" fontId="18" fillId="0" borderId="0" xfId="0" applyFont="1"/>
    <xf numFmtId="0" fontId="3" fillId="17" borderId="0" xfId="0" applyFont="1" applyFill="1"/>
    <xf numFmtId="0" fontId="0" fillId="8" borderId="4" xfId="0" applyFill="1" applyBorder="1"/>
    <xf numFmtId="6" fontId="5" fillId="0" borderId="0" xfId="0" applyNumberFormat="1" applyFont="1" applyAlignment="1">
      <alignment horizontal="center"/>
    </xf>
    <xf numFmtId="0" fontId="9" fillId="0" borderId="7" xfId="0" applyFont="1" applyBorder="1"/>
    <xf numFmtId="0" fontId="6" fillId="12" borderId="9" xfId="0" applyFont="1" applyFill="1" applyBorder="1" applyAlignment="1">
      <alignment horizontal="center" vertical="center"/>
    </xf>
    <xf numFmtId="3" fontId="8" fillId="12" borderId="0" xfId="0" applyNumberFormat="1" applyFont="1" applyFill="1" applyAlignment="1">
      <alignment horizontal="center"/>
    </xf>
    <xf numFmtId="3" fontId="8" fillId="12" borderId="4" xfId="0" applyNumberFormat="1" applyFont="1" applyFill="1" applyBorder="1" applyAlignment="1">
      <alignment horizontal="center"/>
    </xf>
    <xf numFmtId="3" fontId="8" fillId="12" borderId="9" xfId="0" applyNumberFormat="1" applyFont="1" applyFill="1" applyBorder="1" applyAlignment="1">
      <alignment horizontal="center"/>
    </xf>
    <xf numFmtId="0" fontId="6" fillId="12" borderId="10" xfId="0" applyFont="1" applyFill="1" applyBorder="1" applyAlignment="1">
      <alignment horizontal="center" vertical="center"/>
    </xf>
    <xf numFmtId="3" fontId="5" fillId="12" borderId="1" xfId="0" applyNumberFormat="1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5" fillId="12" borderId="10" xfId="0" applyNumberFormat="1" applyFont="1" applyFill="1" applyBorder="1" applyAlignment="1">
      <alignment horizontal="center"/>
    </xf>
    <xf numFmtId="0" fontId="2" fillId="6" borderId="6" xfId="0" applyFont="1" applyFill="1" applyBorder="1"/>
    <xf numFmtId="164" fontId="5" fillId="0" borderId="1" xfId="2" applyNumberFormat="1" applyFont="1" applyBorder="1" applyAlignment="1">
      <alignment horizontal="center"/>
    </xf>
    <xf numFmtId="164" fontId="5" fillId="0" borderId="5" xfId="2" applyNumberFormat="1" applyFont="1" applyBorder="1" applyAlignment="1">
      <alignment horizontal="center"/>
    </xf>
    <xf numFmtId="164" fontId="7" fillId="0" borderId="1" xfId="2" applyNumberFormat="1" applyFont="1" applyBorder="1" applyAlignment="1">
      <alignment horizontal="center"/>
    </xf>
    <xf numFmtId="164" fontId="7" fillId="0" borderId="5" xfId="2" applyNumberFormat="1" applyFont="1" applyBorder="1" applyAlignment="1">
      <alignment horizontal="center"/>
    </xf>
    <xf numFmtId="9" fontId="0" fillId="0" borderId="0" xfId="0" applyNumberFormat="1"/>
    <xf numFmtId="0" fontId="0" fillId="12" borderId="7" xfId="0" applyFill="1" applyBorder="1"/>
    <xf numFmtId="164" fontId="7" fillId="0" borderId="10" xfId="2" applyNumberFormat="1" applyFont="1" applyBorder="1" applyAlignment="1">
      <alignment horizontal="center"/>
    </xf>
    <xf numFmtId="17" fontId="4" fillId="3" borderId="2" xfId="1" applyNumberFormat="1" applyBorder="1" applyAlignment="1">
      <alignment horizontal="center" vertical="center"/>
    </xf>
    <xf numFmtId="17" fontId="4" fillId="3" borderId="3" xfId="1" applyNumberFormat="1" applyBorder="1" applyAlignment="1">
      <alignment horizontal="center" vertical="center"/>
    </xf>
    <xf numFmtId="0" fontId="0" fillId="12" borderId="7" xfId="0" applyFill="1" applyBorder="1" applyAlignment="1">
      <alignment horizontal="center"/>
    </xf>
    <xf numFmtId="0" fontId="16" fillId="0" borderId="0" xfId="0" applyFont="1" applyAlignment="1">
      <alignment horizontal="center"/>
    </xf>
    <xf numFmtId="14" fontId="4" fillId="3" borderId="1" xfId="1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6" fontId="0" fillId="0" borderId="1" xfId="0" applyNumberFormat="1" applyBorder="1" applyAlignment="1">
      <alignment horizontal="center"/>
    </xf>
    <xf numFmtId="14" fontId="0" fillId="0" borderId="1" xfId="0" applyNumberFormat="1" applyBorder="1"/>
    <xf numFmtId="9" fontId="0" fillId="12" borderId="0" xfId="0" applyNumberFormat="1" applyFill="1" applyAlignment="1">
      <alignment horizontal="center"/>
    </xf>
    <xf numFmtId="0" fontId="16" fillId="0" borderId="1" xfId="0" applyFont="1" applyBorder="1"/>
    <xf numFmtId="0" fontId="19" fillId="18" borderId="24" xfId="0" applyFont="1" applyFill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16" fillId="0" borderId="27" xfId="0" applyFont="1" applyBorder="1"/>
    <xf numFmtId="0" fontId="3" fillId="19" borderId="30" xfId="1" applyFont="1" applyFill="1" applyBorder="1" applyAlignment="1">
      <alignment horizontal="centerContinuous" vertical="center"/>
    </xf>
    <xf numFmtId="17" fontId="3" fillId="19" borderId="31" xfId="1" applyNumberFormat="1" applyFont="1" applyFill="1" applyBorder="1" applyAlignment="1">
      <alignment horizontal="center" vertical="center"/>
    </xf>
    <xf numFmtId="17" fontId="3" fillId="19" borderId="32" xfId="1" applyNumberFormat="1" applyFont="1" applyFill="1" applyBorder="1" applyAlignment="1">
      <alignment horizontal="center" vertical="center"/>
    </xf>
    <xf numFmtId="0" fontId="6" fillId="20" borderId="33" xfId="0" applyFont="1" applyFill="1" applyBorder="1" applyAlignment="1">
      <alignment horizontal="center" vertical="center"/>
    </xf>
    <xf numFmtId="3" fontId="5" fillId="20" borderId="7" xfId="0" applyNumberFormat="1" applyFont="1" applyFill="1" applyBorder="1" applyAlignment="1">
      <alignment horizontal="center"/>
    </xf>
    <xf numFmtId="3" fontId="5" fillId="20" borderId="34" xfId="0" applyNumberFormat="1" applyFont="1" applyFill="1" applyBorder="1" applyAlignment="1">
      <alignment horizontal="center"/>
    </xf>
    <xf numFmtId="0" fontId="6" fillId="0" borderId="35" xfId="0" applyFont="1" applyBorder="1" applyAlignment="1">
      <alignment horizontal="center" vertical="center"/>
    </xf>
    <xf numFmtId="3" fontId="8" fillId="0" borderId="36" xfId="0" applyNumberFormat="1" applyFont="1" applyBorder="1" applyAlignment="1">
      <alignment horizontal="center"/>
    </xf>
    <xf numFmtId="0" fontId="6" fillId="20" borderId="37" xfId="0" applyFont="1" applyFill="1" applyBorder="1" applyAlignment="1">
      <alignment horizontal="center" vertical="center"/>
    </xf>
    <xf numFmtId="9" fontId="5" fillId="20" borderId="1" xfId="0" applyNumberFormat="1" applyFont="1" applyFill="1" applyBorder="1" applyAlignment="1">
      <alignment horizontal="center"/>
    </xf>
    <xf numFmtId="9" fontId="5" fillId="20" borderId="38" xfId="0" applyNumberFormat="1" applyFont="1" applyFill="1" applyBorder="1" applyAlignment="1">
      <alignment horizontal="center"/>
    </xf>
    <xf numFmtId="0" fontId="4" fillId="19" borderId="35" xfId="1" applyFill="1" applyBorder="1" applyAlignment="1">
      <alignment horizontal="centerContinuous" vertical="center"/>
    </xf>
    <xf numFmtId="16" fontId="4" fillId="19" borderId="0" xfId="1" applyNumberFormat="1" applyFill="1" applyBorder="1" applyAlignment="1">
      <alignment horizontal="center" vertical="center"/>
    </xf>
    <xf numFmtId="16" fontId="4" fillId="19" borderId="36" xfId="1" applyNumberFormat="1" applyFill="1" applyBorder="1" applyAlignment="1">
      <alignment horizontal="center" vertical="center"/>
    </xf>
    <xf numFmtId="164" fontId="5" fillId="20" borderId="25" xfId="2" applyNumberFormat="1" applyFont="1" applyFill="1" applyBorder="1" applyAlignment="1">
      <alignment horizontal="center"/>
    </xf>
    <xf numFmtId="164" fontId="5" fillId="20" borderId="26" xfId="2" applyNumberFormat="1" applyFont="1" applyFill="1" applyBorder="1" applyAlignment="1">
      <alignment horizontal="center"/>
    </xf>
    <xf numFmtId="9" fontId="5" fillId="0" borderId="0" xfId="0" applyNumberFormat="1" applyFont="1" applyAlignment="1">
      <alignment horizontal="center"/>
    </xf>
    <xf numFmtId="9" fontId="5" fillId="0" borderId="36" xfId="0" applyNumberFormat="1" applyFont="1" applyBorder="1" applyAlignment="1">
      <alignment horizontal="center"/>
    </xf>
    <xf numFmtId="0" fontId="6" fillId="20" borderId="35" xfId="0" applyFont="1" applyFill="1" applyBorder="1" applyAlignment="1">
      <alignment horizontal="center" vertical="center"/>
    </xf>
    <xf numFmtId="9" fontId="5" fillId="20" borderId="0" xfId="0" applyNumberFormat="1" applyFont="1" applyFill="1" applyAlignment="1">
      <alignment horizontal="center"/>
    </xf>
    <xf numFmtId="9" fontId="5" fillId="20" borderId="36" xfId="0" applyNumberFormat="1" applyFont="1" applyFill="1" applyBorder="1" applyAlignment="1">
      <alignment horizontal="center"/>
    </xf>
    <xf numFmtId="0" fontId="6" fillId="0" borderId="39" xfId="0" applyFont="1" applyBorder="1" applyAlignment="1">
      <alignment horizontal="center" vertical="center"/>
    </xf>
    <xf numFmtId="9" fontId="5" fillId="0" borderId="28" xfId="0" applyNumberFormat="1" applyFont="1" applyBorder="1" applyAlignment="1">
      <alignment horizontal="center"/>
    </xf>
    <xf numFmtId="6" fontId="5" fillId="0" borderId="36" xfId="0" applyNumberFormat="1" applyFont="1" applyBorder="1" applyAlignment="1">
      <alignment horizontal="center"/>
    </xf>
    <xf numFmtId="6" fontId="5" fillId="20" borderId="0" xfId="0" applyNumberFormat="1" applyFont="1" applyFill="1" applyAlignment="1">
      <alignment horizontal="center"/>
    </xf>
    <xf numFmtId="6" fontId="5" fillId="20" borderId="36" xfId="0" applyNumberFormat="1" applyFont="1" applyFill="1" applyBorder="1" applyAlignment="1">
      <alignment horizontal="center"/>
    </xf>
    <xf numFmtId="9" fontId="5" fillId="0" borderId="40" xfId="0" applyNumberFormat="1" applyFont="1" applyBorder="1" applyAlignment="1">
      <alignment horizontal="center"/>
    </xf>
    <xf numFmtId="0" fontId="0" fillId="0" borderId="24" xfId="0" applyBorder="1"/>
    <xf numFmtId="0" fontId="0" fillId="0" borderId="41" xfId="0" applyBorder="1"/>
    <xf numFmtId="0" fontId="3" fillId="19" borderId="43" xfId="1" applyFont="1" applyFill="1" applyBorder="1" applyAlignment="1">
      <alignment horizontal="center"/>
    </xf>
    <xf numFmtId="0" fontId="3" fillId="19" borderId="31" xfId="1" applyFont="1" applyFill="1" applyBorder="1" applyAlignment="1">
      <alignment horizontal="center"/>
    </xf>
    <xf numFmtId="0" fontId="3" fillId="19" borderId="44" xfId="1" applyFont="1" applyFill="1" applyBorder="1" applyAlignment="1">
      <alignment horizontal="center"/>
    </xf>
    <xf numFmtId="3" fontId="5" fillId="20" borderId="45" xfId="0" applyNumberFormat="1" applyFont="1" applyFill="1" applyBorder="1" applyAlignment="1">
      <alignment horizontal="center"/>
    </xf>
    <xf numFmtId="3" fontId="5" fillId="20" borderId="46" xfId="0" applyNumberFormat="1" applyFont="1" applyFill="1" applyBorder="1" applyAlignment="1">
      <alignment horizontal="center"/>
    </xf>
    <xf numFmtId="3" fontId="8" fillId="0" borderId="27" xfId="0" applyNumberFormat="1" applyFont="1" applyBorder="1" applyAlignment="1">
      <alignment horizontal="center"/>
    </xf>
    <xf numFmtId="3" fontId="8" fillId="0" borderId="42" xfId="0" applyNumberFormat="1" applyFont="1" applyBorder="1" applyAlignment="1">
      <alignment horizontal="center"/>
    </xf>
    <xf numFmtId="9" fontId="5" fillId="20" borderId="47" xfId="2" applyFont="1" applyFill="1" applyBorder="1" applyAlignment="1">
      <alignment horizontal="center"/>
    </xf>
    <xf numFmtId="9" fontId="5" fillId="20" borderId="1" xfId="2" applyFont="1" applyFill="1" applyBorder="1" applyAlignment="1">
      <alignment horizontal="center"/>
    </xf>
    <xf numFmtId="9" fontId="5" fillId="20" borderId="48" xfId="2" applyFont="1" applyFill="1" applyBorder="1" applyAlignment="1">
      <alignment horizontal="center"/>
    </xf>
    <xf numFmtId="3" fontId="4" fillId="19" borderId="27" xfId="1" applyNumberFormat="1" applyFill="1" applyBorder="1" applyAlignment="1">
      <alignment horizontal="center"/>
    </xf>
    <xf numFmtId="3" fontId="4" fillId="19" borderId="0" xfId="1" applyNumberFormat="1" applyFill="1" applyBorder="1" applyAlignment="1">
      <alignment horizontal="center"/>
    </xf>
    <xf numFmtId="3" fontId="4" fillId="19" borderId="42" xfId="1" applyNumberFormat="1" applyFill="1" applyBorder="1" applyAlignment="1">
      <alignment horizontal="center"/>
    </xf>
    <xf numFmtId="0" fontId="0" fillId="0" borderId="49" xfId="0" applyBorder="1"/>
    <xf numFmtId="164" fontId="7" fillId="20" borderId="7" xfId="2" applyNumberFormat="1" applyFont="1" applyFill="1" applyBorder="1" applyAlignment="1">
      <alignment horizontal="center"/>
    </xf>
    <xf numFmtId="164" fontId="7" fillId="20" borderId="0" xfId="2" applyNumberFormat="1" applyFont="1" applyFill="1" applyBorder="1" applyAlignment="1">
      <alignment horizontal="center"/>
    </xf>
    <xf numFmtId="3" fontId="5" fillId="0" borderId="50" xfId="0" applyNumberFormat="1" applyFont="1" applyBorder="1" applyAlignment="1">
      <alignment horizontal="center"/>
    </xf>
    <xf numFmtId="6" fontId="5" fillId="20" borderId="25" xfId="2" applyNumberFormat="1" applyFont="1" applyFill="1" applyBorder="1" applyAlignment="1">
      <alignment horizontal="center"/>
    </xf>
    <xf numFmtId="6" fontId="5" fillId="20" borderId="26" xfId="2" applyNumberFormat="1" applyFont="1" applyFill="1" applyBorder="1" applyAlignment="1">
      <alignment horizontal="center"/>
    </xf>
    <xf numFmtId="6" fontId="7" fillId="20" borderId="7" xfId="2" applyNumberFormat="1" applyFont="1" applyFill="1" applyBorder="1" applyAlignment="1">
      <alignment horizontal="center"/>
    </xf>
    <xf numFmtId="0" fontId="4" fillId="19" borderId="33" xfId="1" applyFill="1" applyBorder="1" applyAlignment="1">
      <alignment horizontal="centerContinuous" vertical="center"/>
    </xf>
    <xf numFmtId="0" fontId="2" fillId="21" borderId="24" xfId="0" applyFont="1" applyFill="1" applyBorder="1" applyAlignment="1">
      <alignment horizontal="left" vertical="center"/>
    </xf>
    <xf numFmtId="0" fontId="4" fillId="19" borderId="51" xfId="1" applyFill="1" applyBorder="1" applyAlignment="1">
      <alignment horizontal="centerContinuous" vertical="center"/>
    </xf>
    <xf numFmtId="0" fontId="2" fillId="18" borderId="24" xfId="0" applyFont="1" applyFill="1" applyBorder="1" applyAlignment="1">
      <alignment horizontal="left" vertical="center"/>
    </xf>
    <xf numFmtId="0" fontId="4" fillId="19" borderId="45" xfId="1" applyFill="1" applyBorder="1" applyAlignment="1">
      <alignment horizontal="centerContinuous" vertical="center"/>
    </xf>
    <xf numFmtId="16" fontId="4" fillId="19" borderId="7" xfId="1" applyNumberFormat="1" applyFill="1" applyBorder="1" applyAlignment="1">
      <alignment horizontal="center" vertical="center"/>
    </xf>
    <xf numFmtId="0" fontId="6" fillId="20" borderId="52" xfId="0" applyFont="1" applyFill="1" applyBorder="1" applyAlignment="1">
      <alignment horizontal="center" vertical="center"/>
    </xf>
    <xf numFmtId="164" fontId="5" fillId="20" borderId="53" xfId="2" applyNumberFormat="1" applyFont="1" applyFill="1" applyBorder="1" applyAlignment="1">
      <alignment horizontal="center"/>
    </xf>
    <xf numFmtId="164" fontId="5" fillId="20" borderId="54" xfId="2" applyNumberFormat="1" applyFont="1" applyFill="1" applyBorder="1" applyAlignment="1">
      <alignment horizontal="center"/>
    </xf>
    <xf numFmtId="0" fontId="0" fillId="0" borderId="55" xfId="0" applyBorder="1"/>
    <xf numFmtId="0" fontId="16" fillId="0" borderId="56" xfId="0" applyFont="1" applyBorder="1"/>
    <xf numFmtId="3" fontId="5" fillId="20" borderId="58" xfId="0" applyNumberFormat="1" applyFont="1" applyFill="1" applyBorder="1" applyAlignment="1">
      <alignment horizontal="center"/>
    </xf>
    <xf numFmtId="3" fontId="8" fillId="0" borderId="59" xfId="0" applyNumberFormat="1" applyFont="1" applyBorder="1" applyAlignment="1">
      <alignment horizontal="center"/>
    </xf>
    <xf numFmtId="16" fontId="4" fillId="19" borderId="58" xfId="1" applyNumberFormat="1" applyFill="1" applyBorder="1" applyAlignment="1">
      <alignment horizontal="center" vertical="center"/>
    </xf>
    <xf numFmtId="164" fontId="5" fillId="20" borderId="60" xfId="2" applyNumberFormat="1" applyFont="1" applyFill="1" applyBorder="1" applyAlignment="1">
      <alignment horizontal="center"/>
    </xf>
    <xf numFmtId="9" fontId="5" fillId="0" borderId="28" xfId="2" applyFont="1" applyFill="1" applyBorder="1" applyAlignment="1">
      <alignment horizontal="center"/>
    </xf>
    <xf numFmtId="9" fontId="5" fillId="20" borderId="56" xfId="0" applyNumberFormat="1" applyFont="1" applyFill="1" applyBorder="1" applyAlignment="1">
      <alignment horizontal="center"/>
    </xf>
    <xf numFmtId="0" fontId="4" fillId="19" borderId="11" xfId="1" applyFill="1" applyBorder="1" applyAlignment="1">
      <alignment horizontal="center"/>
    </xf>
    <xf numFmtId="0" fontId="4" fillId="19" borderId="2" xfId="1" applyFill="1" applyBorder="1" applyAlignment="1">
      <alignment horizontal="center"/>
    </xf>
    <xf numFmtId="0" fontId="4" fillId="19" borderId="62" xfId="1" applyFill="1" applyBorder="1" applyAlignment="1">
      <alignment horizontal="center"/>
    </xf>
    <xf numFmtId="3" fontId="5" fillId="20" borderId="47" xfId="2" applyNumberFormat="1" applyFont="1" applyFill="1" applyBorder="1" applyAlignment="1">
      <alignment horizontal="center"/>
    </xf>
    <xf numFmtId="3" fontId="5" fillId="20" borderId="1" xfId="2" applyNumberFormat="1" applyFont="1" applyFill="1" applyBorder="1" applyAlignment="1">
      <alignment horizontal="center"/>
    </xf>
    <xf numFmtId="3" fontId="5" fillId="20" borderId="48" xfId="2" applyNumberFormat="1" applyFont="1" applyFill="1" applyBorder="1" applyAlignment="1">
      <alignment horizontal="center"/>
    </xf>
    <xf numFmtId="3" fontId="4" fillId="19" borderId="7" xfId="1" applyNumberFormat="1" applyFill="1" applyBorder="1" applyAlignment="1">
      <alignment horizontal="center"/>
    </xf>
    <xf numFmtId="3" fontId="4" fillId="19" borderId="46" xfId="1" applyNumberFormat="1" applyFill="1" applyBorder="1" applyAlignment="1">
      <alignment horizontal="center"/>
    </xf>
    <xf numFmtId="9" fontId="5" fillId="0" borderId="63" xfId="2" applyFont="1" applyFill="1" applyBorder="1" applyAlignment="1">
      <alignment horizontal="center"/>
    </xf>
    <xf numFmtId="9" fontId="5" fillId="0" borderId="64" xfId="2" applyFont="1" applyFill="1" applyBorder="1" applyAlignment="1">
      <alignment horizontal="center"/>
    </xf>
    <xf numFmtId="9" fontId="5" fillId="0" borderId="61" xfId="2" applyFont="1" applyFill="1" applyBorder="1" applyAlignment="1">
      <alignment horizontal="center"/>
    </xf>
    <xf numFmtId="6" fontId="5" fillId="20" borderId="45" xfId="0" applyNumberFormat="1" applyFont="1" applyFill="1" applyBorder="1" applyAlignment="1">
      <alignment horizontal="center"/>
    </xf>
    <xf numFmtId="6" fontId="5" fillId="20" borderId="7" xfId="0" applyNumberFormat="1" applyFont="1" applyFill="1" applyBorder="1" applyAlignment="1">
      <alignment horizontal="center"/>
    </xf>
    <xf numFmtId="6" fontId="5" fillId="20" borderId="58" xfId="0" applyNumberFormat="1" applyFont="1" applyFill="1" applyBorder="1" applyAlignment="1">
      <alignment horizontal="center"/>
    </xf>
    <xf numFmtId="17" fontId="4" fillId="19" borderId="2" xfId="1" applyNumberFormat="1" applyFill="1" applyBorder="1" applyAlignment="1">
      <alignment horizontal="center" vertical="center"/>
    </xf>
    <xf numFmtId="17" fontId="4" fillId="19" borderId="57" xfId="1" applyNumberFormat="1" applyFill="1" applyBorder="1" applyAlignment="1">
      <alignment horizontal="center" vertical="center"/>
    </xf>
    <xf numFmtId="0" fontId="16" fillId="0" borderId="28" xfId="0" applyFont="1" applyBorder="1" applyAlignment="1">
      <alignment horizontal="centerContinuous"/>
    </xf>
    <xf numFmtId="0" fontId="16" fillId="0" borderId="29" xfId="0" applyFont="1" applyBorder="1" applyAlignment="1">
      <alignment horizontal="centerContinuous"/>
    </xf>
    <xf numFmtId="0" fontId="20" fillId="0" borderId="0" xfId="0" applyFont="1" applyAlignment="1">
      <alignment horizontal="centerContinuous"/>
    </xf>
    <xf numFmtId="0" fontId="0" fillId="0" borderId="42" xfId="0" applyBorder="1"/>
    <xf numFmtId="0" fontId="0" fillId="0" borderId="28" xfId="0" applyBorder="1"/>
    <xf numFmtId="0" fontId="16" fillId="0" borderId="64" xfId="0" applyFont="1" applyBorder="1" applyAlignment="1">
      <alignment horizontal="centerContinuous"/>
    </xf>
    <xf numFmtId="17" fontId="3" fillId="19" borderId="44" xfId="1" applyNumberFormat="1" applyFont="1" applyFill="1" applyBorder="1" applyAlignment="1">
      <alignment horizontal="center" vertical="center"/>
    </xf>
    <xf numFmtId="9" fontId="5" fillId="20" borderId="48" xfId="0" applyNumberFormat="1" applyFont="1" applyFill="1" applyBorder="1" applyAlignment="1">
      <alignment horizontal="center"/>
    </xf>
    <xf numFmtId="16" fontId="4" fillId="19" borderId="42" xfId="1" applyNumberFormat="1" applyFill="1" applyBorder="1" applyAlignment="1">
      <alignment horizontal="center" vertical="center"/>
    </xf>
    <xf numFmtId="6" fontId="5" fillId="20" borderId="41" xfId="2" applyNumberFormat="1" applyFont="1" applyFill="1" applyBorder="1" applyAlignment="1">
      <alignment horizontal="center"/>
    </xf>
    <xf numFmtId="9" fontId="5" fillId="0" borderId="42" xfId="0" applyNumberFormat="1" applyFont="1" applyBorder="1" applyAlignment="1">
      <alignment horizontal="center"/>
    </xf>
    <xf numFmtId="9" fontId="5" fillId="20" borderId="42" xfId="0" applyNumberFormat="1" applyFont="1" applyFill="1" applyBorder="1" applyAlignment="1">
      <alignment horizontal="center"/>
    </xf>
    <xf numFmtId="6" fontId="5" fillId="0" borderId="42" xfId="0" applyNumberFormat="1" applyFont="1" applyBorder="1" applyAlignment="1">
      <alignment horizontal="center"/>
    </xf>
    <xf numFmtId="6" fontId="5" fillId="20" borderId="42" xfId="0" applyNumberFormat="1" applyFont="1" applyFill="1" applyBorder="1" applyAlignment="1">
      <alignment horizontal="center"/>
    </xf>
    <xf numFmtId="9" fontId="5" fillId="0" borderId="64" xfId="0" applyNumberFormat="1" applyFont="1" applyBorder="1" applyAlignment="1">
      <alignment horizontal="center"/>
    </xf>
    <xf numFmtId="3" fontId="5" fillId="0" borderId="65" xfId="0" applyNumberFormat="1" applyFont="1" applyBorder="1" applyAlignment="1">
      <alignment horizontal="center"/>
    </xf>
    <xf numFmtId="0" fontId="16" fillId="0" borderId="0" xfId="0" applyFont="1" applyAlignment="1">
      <alignment horizontal="centerContinuous"/>
    </xf>
    <xf numFmtId="17" fontId="3" fillId="19" borderId="1" xfId="1" applyNumberFormat="1" applyFont="1" applyFill="1" applyBorder="1" applyAlignment="1">
      <alignment horizontal="center" vertical="center"/>
    </xf>
    <xf numFmtId="0" fontId="4" fillId="19" borderId="1" xfId="1" applyFill="1" applyBorder="1" applyAlignment="1">
      <alignment horizontal="centerContinuous" vertical="center"/>
    </xf>
    <xf numFmtId="0" fontId="16" fillId="0" borderId="63" xfId="0" applyFont="1" applyBorder="1"/>
    <xf numFmtId="0" fontId="0" fillId="0" borderId="27" xfId="0" applyBorder="1"/>
    <xf numFmtId="0" fontId="4" fillId="19" borderId="47" xfId="1" applyFill="1" applyBorder="1" applyAlignment="1">
      <alignment horizontal="centerContinuous" vertical="center"/>
    </xf>
    <xf numFmtId="0" fontId="2" fillId="22" borderId="24" xfId="0" applyFont="1" applyFill="1" applyBorder="1" applyAlignment="1">
      <alignment horizontal="left" vertical="center"/>
    </xf>
    <xf numFmtId="0" fontId="4" fillId="19" borderId="30" xfId="1" applyFill="1" applyBorder="1" applyAlignment="1">
      <alignment horizontal="centerContinuous" vertical="center"/>
    </xf>
    <xf numFmtId="164" fontId="5" fillId="20" borderId="41" xfId="2" applyNumberFormat="1" applyFont="1" applyFill="1" applyBorder="1" applyAlignment="1">
      <alignment horizontal="center"/>
    </xf>
    <xf numFmtId="9" fontId="5" fillId="0" borderId="66" xfId="0" applyNumberFormat="1" applyFont="1" applyBorder="1" applyAlignment="1">
      <alignment horizontal="center"/>
    </xf>
    <xf numFmtId="16" fontId="4" fillId="19" borderId="46" xfId="1" applyNumberFormat="1" applyFill="1" applyBorder="1" applyAlignment="1">
      <alignment horizontal="center" vertical="center"/>
    </xf>
    <xf numFmtId="6" fontId="5" fillId="20" borderId="46" xfId="0" applyNumberFormat="1" applyFont="1" applyFill="1" applyBorder="1" applyAlignment="1">
      <alignment horizontal="center"/>
    </xf>
    <xf numFmtId="0" fontId="4" fillId="19" borderId="43" xfId="1" applyFill="1" applyBorder="1" applyAlignment="1">
      <alignment horizontal="centerContinuous" vertical="center"/>
    </xf>
    <xf numFmtId="17" fontId="4" fillId="19" borderId="56" xfId="1" applyNumberFormat="1" applyFill="1" applyBorder="1" applyAlignment="1">
      <alignment horizontal="center" vertical="center"/>
    </xf>
    <xf numFmtId="0" fontId="16" fillId="0" borderId="42" xfId="0" applyFont="1" applyBorder="1" applyAlignment="1">
      <alignment horizontal="centerContinuous"/>
    </xf>
    <xf numFmtId="17" fontId="4" fillId="19" borderId="1" xfId="1" applyNumberFormat="1" applyFill="1" applyBorder="1" applyAlignment="1">
      <alignment horizontal="center" vertical="center"/>
    </xf>
    <xf numFmtId="17" fontId="4" fillId="19" borderId="48" xfId="1" applyNumberFormat="1" applyFill="1" applyBorder="1" applyAlignment="1">
      <alignment horizontal="center" vertical="center"/>
    </xf>
    <xf numFmtId="0" fontId="16" fillId="0" borderId="27" xfId="0" applyFont="1" applyBorder="1" applyAlignment="1">
      <alignment horizontal="centerContinuous"/>
    </xf>
    <xf numFmtId="0" fontId="4" fillId="19" borderId="37" xfId="1" applyFill="1" applyBorder="1" applyAlignment="1">
      <alignment horizontal="centerContinuous" vertical="center"/>
    </xf>
    <xf numFmtId="0" fontId="11" fillId="21" borderId="0" xfId="0" applyFont="1" applyFill="1"/>
    <xf numFmtId="0" fontId="11" fillId="22" borderId="0" xfId="0" applyFont="1" applyFill="1"/>
    <xf numFmtId="0" fontId="2" fillId="18" borderId="0" xfId="0" applyFont="1" applyFill="1" applyAlignment="1">
      <alignment horizontal="left" vertical="center"/>
    </xf>
    <xf numFmtId="9" fontId="5" fillId="0" borderId="0" xfId="2" applyFont="1" applyFill="1" applyBorder="1" applyAlignment="1">
      <alignment horizontal="center"/>
    </xf>
    <xf numFmtId="4" fontId="0" fillId="23" borderId="0" xfId="0" applyNumberFormat="1" applyFill="1" applyAlignment="1">
      <alignment horizontal="center"/>
    </xf>
    <xf numFmtId="4" fontId="0" fillId="23" borderId="7" xfId="0" applyNumberFormat="1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6" fontId="0" fillId="0" borderId="0" xfId="0" applyNumberFormat="1" applyAlignment="1">
      <alignment horizontal="center"/>
    </xf>
    <xf numFmtId="0" fontId="4" fillId="3" borderId="0" xfId="1" applyBorder="1" applyAlignment="1">
      <alignment horizontal="center"/>
    </xf>
    <xf numFmtId="167" fontId="5" fillId="20" borderId="7" xfId="0" applyNumberFormat="1" applyFont="1" applyFill="1" applyBorder="1" applyAlignment="1">
      <alignment horizontal="center"/>
    </xf>
    <xf numFmtId="167" fontId="8" fillId="0" borderId="0" xfId="0" applyNumberFormat="1" applyFont="1" applyAlignment="1">
      <alignment horizontal="center"/>
    </xf>
    <xf numFmtId="167" fontId="5" fillId="20" borderId="58" xfId="0" applyNumberFormat="1" applyFont="1" applyFill="1" applyBorder="1" applyAlignment="1">
      <alignment horizontal="center"/>
    </xf>
    <xf numFmtId="167" fontId="5" fillId="20" borderId="45" xfId="0" applyNumberFormat="1" applyFont="1" applyFill="1" applyBorder="1" applyAlignment="1">
      <alignment horizontal="center"/>
    </xf>
    <xf numFmtId="167" fontId="5" fillId="20" borderId="46" xfId="0" applyNumberFormat="1" applyFont="1" applyFill="1" applyBorder="1" applyAlignment="1">
      <alignment horizontal="center"/>
    </xf>
    <xf numFmtId="167" fontId="8" fillId="0" borderId="59" xfId="0" applyNumberFormat="1" applyFont="1" applyBorder="1" applyAlignment="1">
      <alignment horizontal="center"/>
    </xf>
    <xf numFmtId="167" fontId="8" fillId="0" borderId="27" xfId="0" applyNumberFormat="1" applyFont="1" applyBorder="1" applyAlignment="1">
      <alignment horizontal="center"/>
    </xf>
    <xf numFmtId="167" fontId="8" fillId="0" borderId="42" xfId="0" applyNumberFormat="1" applyFont="1" applyBorder="1" applyAlignment="1">
      <alignment horizontal="center"/>
    </xf>
    <xf numFmtId="167" fontId="5" fillId="20" borderId="1" xfId="0" applyNumberFormat="1" applyFont="1" applyFill="1" applyBorder="1" applyAlignment="1">
      <alignment horizontal="center"/>
    </xf>
    <xf numFmtId="167" fontId="5" fillId="20" borderId="56" xfId="0" applyNumberFormat="1" applyFont="1" applyFill="1" applyBorder="1" applyAlignment="1">
      <alignment horizontal="center"/>
    </xf>
    <xf numFmtId="167" fontId="5" fillId="20" borderId="47" xfId="2" applyNumberFormat="1" applyFont="1" applyFill="1" applyBorder="1" applyAlignment="1">
      <alignment horizontal="center"/>
    </xf>
    <xf numFmtId="167" fontId="5" fillId="20" borderId="1" xfId="2" applyNumberFormat="1" applyFont="1" applyFill="1" applyBorder="1" applyAlignment="1">
      <alignment horizontal="center"/>
    </xf>
    <xf numFmtId="167" fontId="5" fillId="20" borderId="48" xfId="2" applyNumberFormat="1" applyFont="1" applyFill="1" applyBorder="1" applyAlignment="1">
      <alignment horizontal="center"/>
    </xf>
    <xf numFmtId="167" fontId="4" fillId="19" borderId="7" xfId="1" applyNumberFormat="1" applyFill="1" applyBorder="1" applyAlignment="1">
      <alignment horizontal="center" vertical="center"/>
    </xf>
    <xf numFmtId="167" fontId="4" fillId="19" borderId="58" xfId="1" applyNumberFormat="1" applyFill="1" applyBorder="1" applyAlignment="1">
      <alignment horizontal="center" vertical="center"/>
    </xf>
    <xf numFmtId="167" fontId="4" fillId="19" borderId="7" xfId="1" applyNumberFormat="1" applyFill="1" applyBorder="1" applyAlignment="1">
      <alignment horizontal="center"/>
    </xf>
    <xf numFmtId="167" fontId="4" fillId="19" borderId="46" xfId="1" applyNumberFormat="1" applyFill="1" applyBorder="1" applyAlignment="1">
      <alignment horizontal="center"/>
    </xf>
    <xf numFmtId="3" fontId="5" fillId="12" borderId="0" xfId="0" applyNumberFormat="1" applyFont="1" applyFill="1" applyAlignment="1">
      <alignment horizontal="center"/>
    </xf>
    <xf numFmtId="3" fontId="4" fillId="3" borderId="0" xfId="1" applyNumberFormat="1" applyBorder="1" applyAlignment="1">
      <alignment horizontal="center"/>
    </xf>
    <xf numFmtId="0" fontId="3" fillId="19" borderId="47" xfId="1" applyFont="1" applyFill="1" applyBorder="1" applyAlignment="1">
      <alignment horizontal="center"/>
    </xf>
    <xf numFmtId="0" fontId="3" fillId="19" borderId="1" xfId="1" applyFont="1" applyFill="1" applyBorder="1" applyAlignment="1">
      <alignment horizontal="center"/>
    </xf>
    <xf numFmtId="0" fontId="3" fillId="19" borderId="48" xfId="1" applyFont="1" applyFill="1" applyBorder="1" applyAlignment="1">
      <alignment horizontal="center"/>
    </xf>
    <xf numFmtId="0" fontId="3" fillId="19" borderId="37" xfId="1" applyFont="1" applyFill="1" applyBorder="1" applyAlignment="1">
      <alignment horizontal="centerContinuous" vertical="center"/>
    </xf>
    <xf numFmtId="0" fontId="16" fillId="24" borderId="0" xfId="0" applyFont="1" applyFill="1" applyAlignment="1">
      <alignment horizontal="centerContinuous"/>
    </xf>
    <xf numFmtId="0" fontId="16" fillId="24" borderId="42" xfId="0" applyFont="1" applyFill="1" applyBorder="1" applyAlignment="1">
      <alignment horizontal="centerContinuous"/>
    </xf>
    <xf numFmtId="0" fontId="4" fillId="24" borderId="0" xfId="0" applyFont="1" applyFill="1" applyAlignment="1">
      <alignment horizontal="centerContinuous"/>
    </xf>
    <xf numFmtId="0" fontId="4" fillId="24" borderId="48" xfId="0" applyFont="1" applyFill="1" applyBorder="1" applyAlignment="1">
      <alignment horizontal="centerContinuous"/>
    </xf>
    <xf numFmtId="0" fontId="4" fillId="24" borderId="42" xfId="0" applyFont="1" applyFill="1" applyBorder="1" applyAlignment="1">
      <alignment horizontal="centerContinuous"/>
    </xf>
    <xf numFmtId="17" fontId="3" fillId="19" borderId="2" xfId="1" applyNumberFormat="1" applyFont="1" applyFill="1" applyBorder="1" applyAlignment="1">
      <alignment horizontal="center" vertical="center"/>
    </xf>
    <xf numFmtId="17" fontId="3" fillId="19" borderId="57" xfId="1" applyNumberFormat="1" applyFont="1" applyFill="1" applyBorder="1" applyAlignment="1">
      <alignment horizontal="center" vertical="center"/>
    </xf>
    <xf numFmtId="0" fontId="21" fillId="21" borderId="24" xfId="0" applyFont="1" applyFill="1" applyBorder="1" applyAlignment="1">
      <alignment horizontal="center" vertical="center"/>
    </xf>
    <xf numFmtId="0" fontId="21" fillId="22" borderId="24" xfId="0" applyFont="1" applyFill="1" applyBorder="1" applyAlignment="1">
      <alignment horizontal="center" vertical="center"/>
    </xf>
    <xf numFmtId="0" fontId="21" fillId="22" borderId="0" xfId="0" applyFont="1" applyFill="1" applyAlignment="1">
      <alignment horizontal="center" vertical="center"/>
    </xf>
    <xf numFmtId="17" fontId="3" fillId="19" borderId="62" xfId="1" applyNumberFormat="1" applyFont="1" applyFill="1" applyBorder="1" applyAlignment="1">
      <alignment horizontal="center" vertical="center"/>
    </xf>
    <xf numFmtId="167" fontId="5" fillId="20" borderId="48" xfId="0" applyNumberFormat="1" applyFont="1" applyFill="1" applyBorder="1" applyAlignment="1">
      <alignment horizontal="center"/>
    </xf>
    <xf numFmtId="167" fontId="4" fillId="19" borderId="46" xfId="1" applyNumberFormat="1" applyFill="1" applyBorder="1" applyAlignment="1">
      <alignment horizontal="center" vertical="center"/>
    </xf>
    <xf numFmtId="0" fontId="6" fillId="20" borderId="39" xfId="0" applyFont="1" applyFill="1" applyBorder="1" applyAlignment="1">
      <alignment horizontal="center" vertical="center"/>
    </xf>
    <xf numFmtId="164" fontId="5" fillId="20" borderId="28" xfId="2" applyNumberFormat="1" applyFont="1" applyFill="1" applyBorder="1" applyAlignment="1">
      <alignment horizontal="center"/>
    </xf>
    <xf numFmtId="164" fontId="5" fillId="20" borderId="64" xfId="2" applyNumberFormat="1" applyFont="1" applyFill="1" applyBorder="1" applyAlignment="1">
      <alignment horizontal="center"/>
    </xf>
    <xf numFmtId="0" fontId="6" fillId="24" borderId="35" xfId="0" applyFont="1" applyFill="1" applyBorder="1" applyAlignment="1">
      <alignment horizontal="center" vertical="center"/>
    </xf>
    <xf numFmtId="164" fontId="5" fillId="24" borderId="7" xfId="1" applyNumberFormat="1" applyFont="1" applyFill="1" applyBorder="1" applyAlignment="1">
      <alignment horizontal="center" vertical="center"/>
    </xf>
    <xf numFmtId="164" fontId="5" fillId="24" borderId="46" xfId="1" applyNumberFormat="1" applyFont="1" applyFill="1" applyBorder="1" applyAlignment="1">
      <alignment horizontal="center" vertical="center"/>
    </xf>
    <xf numFmtId="164" fontId="5" fillId="24" borderId="7" xfId="1" applyNumberFormat="1" applyFont="1" applyFill="1" applyBorder="1" applyAlignment="1">
      <alignment horizontal="center"/>
    </xf>
    <xf numFmtId="164" fontId="5" fillId="24" borderId="46" xfId="1" applyNumberFormat="1" applyFont="1" applyFill="1" applyBorder="1" applyAlignment="1">
      <alignment horizontal="center"/>
    </xf>
    <xf numFmtId="3" fontId="4" fillId="19" borderId="45" xfId="1" applyNumberFormat="1" applyFill="1" applyBorder="1" applyAlignment="1">
      <alignment horizontal="center"/>
    </xf>
    <xf numFmtId="2" fontId="0" fillId="0" borderId="0" xfId="0" applyNumberFormat="1"/>
    <xf numFmtId="17" fontId="3" fillId="19" borderId="7" xfId="1" applyNumberFormat="1" applyFont="1" applyFill="1" applyBorder="1" applyAlignment="1">
      <alignment horizontal="center" vertical="center"/>
    </xf>
    <xf numFmtId="17" fontId="3" fillId="19" borderId="46" xfId="1" applyNumberFormat="1" applyFont="1" applyFill="1" applyBorder="1" applyAlignment="1">
      <alignment horizontal="center" vertical="center"/>
    </xf>
    <xf numFmtId="17" fontId="3" fillId="19" borderId="45" xfId="1" applyNumberFormat="1" applyFont="1" applyFill="1" applyBorder="1" applyAlignment="1">
      <alignment horizontal="center" vertical="center"/>
    </xf>
    <xf numFmtId="168" fontId="0" fillId="0" borderId="0" xfId="0" applyNumberFormat="1"/>
    <xf numFmtId="9" fontId="5" fillId="0" borderId="42" xfId="2" applyFont="1" applyFill="1" applyBorder="1" applyAlignment="1">
      <alignment horizontal="center"/>
    </xf>
    <xf numFmtId="9" fontId="5" fillId="20" borderId="28" xfId="2" applyFont="1" applyFill="1" applyBorder="1" applyAlignment="1">
      <alignment horizontal="center"/>
    </xf>
    <xf numFmtId="9" fontId="5" fillId="20" borderId="64" xfId="2" applyFont="1" applyFill="1" applyBorder="1" applyAlignment="1">
      <alignment horizontal="center"/>
    </xf>
    <xf numFmtId="6" fontId="8" fillId="0" borderId="0" xfId="0" applyNumberFormat="1" applyFont="1" applyAlignment="1">
      <alignment horizontal="center"/>
    </xf>
    <xf numFmtId="6" fontId="8" fillId="0" borderId="42" xfId="0" applyNumberFormat="1" applyFont="1" applyBorder="1" applyAlignment="1">
      <alignment horizontal="center"/>
    </xf>
    <xf numFmtId="6" fontId="5" fillId="20" borderId="1" xfId="0" applyNumberFormat="1" applyFont="1" applyFill="1" applyBorder="1" applyAlignment="1">
      <alignment horizontal="center"/>
    </xf>
    <xf numFmtId="6" fontId="5" fillId="20" borderId="48" xfId="0" applyNumberFormat="1" applyFont="1" applyFill="1" applyBorder="1" applyAlignment="1">
      <alignment horizontal="center"/>
    </xf>
    <xf numFmtId="6" fontId="8" fillId="0" borderId="59" xfId="0" applyNumberFormat="1" applyFont="1" applyBorder="1" applyAlignment="1">
      <alignment horizontal="center"/>
    </xf>
    <xf numFmtId="17" fontId="3" fillId="19" borderId="48" xfId="1" applyNumberFormat="1" applyFont="1" applyFill="1" applyBorder="1" applyAlignment="1">
      <alignment horizontal="center" vertical="center"/>
    </xf>
    <xf numFmtId="17" fontId="3" fillId="19" borderId="56" xfId="1" applyNumberFormat="1" applyFont="1" applyFill="1" applyBorder="1" applyAlignment="1">
      <alignment horizontal="center" vertical="center"/>
    </xf>
    <xf numFmtId="164" fontId="5" fillId="24" borderId="45" xfId="1" applyNumberFormat="1" applyFont="1" applyFill="1" applyBorder="1" applyAlignment="1">
      <alignment horizontal="center"/>
    </xf>
    <xf numFmtId="167" fontId="4" fillId="19" borderId="45" xfId="1" applyNumberFormat="1" applyFill="1" applyBorder="1" applyAlignment="1">
      <alignment horizontal="center"/>
    </xf>
    <xf numFmtId="3" fontId="5" fillId="0" borderId="27" xfId="0" applyNumberFormat="1" applyFont="1" applyBorder="1" applyAlignment="1">
      <alignment horizontal="center"/>
    </xf>
    <xf numFmtId="17" fontId="3" fillId="19" borderId="43" xfId="1" applyNumberFormat="1" applyFont="1" applyFill="1" applyBorder="1" applyAlignment="1">
      <alignment horizontal="center" vertical="center"/>
    </xf>
    <xf numFmtId="16" fontId="4" fillId="19" borderId="45" xfId="1" applyNumberFormat="1" applyFill="1" applyBorder="1" applyAlignment="1">
      <alignment horizontal="center" vertical="center"/>
    </xf>
    <xf numFmtId="164" fontId="5" fillId="24" borderId="24" xfId="1" applyNumberFormat="1" applyFont="1" applyFill="1" applyBorder="1" applyAlignment="1">
      <alignment horizontal="center" vertical="center"/>
    </xf>
    <xf numFmtId="0" fontId="4" fillId="19" borderId="52" xfId="1" applyFill="1" applyBorder="1" applyAlignment="1">
      <alignment horizontal="centerContinuous" vertical="center"/>
    </xf>
    <xf numFmtId="164" fontId="5" fillId="20" borderId="63" xfId="1" applyNumberFormat="1" applyFont="1" applyFill="1" applyBorder="1" applyAlignment="1">
      <alignment horizontal="center"/>
    </xf>
    <xf numFmtId="164" fontId="5" fillId="20" borderId="28" xfId="1" applyNumberFormat="1" applyFont="1" applyFill="1" applyBorder="1" applyAlignment="1">
      <alignment horizontal="center"/>
    </xf>
    <xf numFmtId="164" fontId="5" fillId="20" borderId="64" xfId="1" applyNumberFormat="1" applyFont="1" applyFill="1" applyBorder="1" applyAlignment="1">
      <alignment horizontal="center"/>
    </xf>
    <xf numFmtId="6" fontId="5" fillId="0" borderId="27" xfId="0" applyNumberFormat="1" applyFont="1" applyBorder="1" applyAlignment="1">
      <alignment horizontal="center"/>
    </xf>
    <xf numFmtId="9" fontId="5" fillId="0" borderId="27" xfId="2" applyFont="1" applyBorder="1" applyAlignment="1">
      <alignment horizontal="center"/>
    </xf>
    <xf numFmtId="9" fontId="5" fillId="0" borderId="0" xfId="2" applyFont="1" applyBorder="1" applyAlignment="1">
      <alignment horizontal="center"/>
    </xf>
    <xf numFmtId="9" fontId="5" fillId="20" borderId="0" xfId="2" applyFont="1" applyFill="1" applyBorder="1" applyAlignment="1">
      <alignment horizontal="center"/>
    </xf>
    <xf numFmtId="9" fontId="5" fillId="0" borderId="63" xfId="2" applyFont="1" applyBorder="1" applyAlignment="1">
      <alignment horizontal="center"/>
    </xf>
    <xf numFmtId="9" fontId="5" fillId="0" borderId="28" xfId="2" applyFont="1" applyBorder="1" applyAlignment="1">
      <alignment horizontal="center"/>
    </xf>
    <xf numFmtId="0" fontId="6" fillId="24" borderId="33" xfId="0" applyFont="1" applyFill="1" applyBorder="1" applyAlignment="1">
      <alignment horizontal="center" vertical="center"/>
    </xf>
    <xf numFmtId="164" fontId="5" fillId="24" borderId="25" xfId="2" applyNumberFormat="1" applyFont="1" applyFill="1" applyBorder="1" applyAlignment="1">
      <alignment horizontal="center"/>
    </xf>
    <xf numFmtId="164" fontId="5" fillId="24" borderId="41" xfId="2" applyNumberFormat="1" applyFont="1" applyFill="1" applyBorder="1" applyAlignment="1">
      <alignment horizontal="center"/>
    </xf>
    <xf numFmtId="164" fontId="5" fillId="24" borderId="45" xfId="2" applyNumberFormat="1" applyFont="1" applyFill="1" applyBorder="1" applyAlignment="1">
      <alignment horizontal="center"/>
    </xf>
    <xf numFmtId="164" fontId="5" fillId="20" borderId="27" xfId="2" applyNumberFormat="1" applyFont="1" applyFill="1" applyBorder="1" applyAlignment="1">
      <alignment horizontal="center"/>
    </xf>
    <xf numFmtId="6" fontId="5" fillId="20" borderId="27" xfId="2" applyNumberFormat="1" applyFont="1" applyFill="1" applyBorder="1" applyAlignment="1">
      <alignment horizontal="center"/>
    </xf>
    <xf numFmtId="9" fontId="5" fillId="20" borderId="27" xfId="2" applyFont="1" applyFill="1" applyBorder="1" applyAlignment="1">
      <alignment horizontal="center"/>
    </xf>
    <xf numFmtId="9" fontId="5" fillId="0" borderId="42" xfId="2" applyFont="1" applyBorder="1" applyAlignment="1">
      <alignment horizontal="center"/>
    </xf>
    <xf numFmtId="9" fontId="5" fillId="20" borderId="42" xfId="2" applyFont="1" applyFill="1" applyBorder="1" applyAlignment="1">
      <alignment horizontal="center"/>
    </xf>
    <xf numFmtId="9" fontId="5" fillId="0" borderId="64" xfId="2" applyFont="1" applyBorder="1" applyAlignment="1">
      <alignment horizontal="center"/>
    </xf>
    <xf numFmtId="6" fontId="5" fillId="20" borderId="45" xfId="2" applyNumberFormat="1" applyFont="1" applyFill="1" applyBorder="1" applyAlignment="1">
      <alignment horizontal="center"/>
    </xf>
    <xf numFmtId="6" fontId="5" fillId="20" borderId="7" xfId="2" applyNumberFormat="1" applyFont="1" applyFill="1" applyBorder="1" applyAlignment="1">
      <alignment horizontal="center"/>
    </xf>
    <xf numFmtId="6" fontId="5" fillId="20" borderId="46" xfId="2" applyNumberFormat="1" applyFont="1" applyFill="1" applyBorder="1" applyAlignment="1">
      <alignment horizontal="center"/>
    </xf>
    <xf numFmtId="6" fontId="5" fillId="20" borderId="0" xfId="2" applyNumberFormat="1" applyFont="1" applyFill="1" applyBorder="1" applyAlignment="1">
      <alignment horizontal="center"/>
    </xf>
    <xf numFmtId="6" fontId="5" fillId="20" borderId="42" xfId="2" applyNumberFormat="1" applyFont="1" applyFill="1" applyBorder="1" applyAlignment="1">
      <alignment horizontal="center"/>
    </xf>
    <xf numFmtId="6" fontId="8" fillId="0" borderId="27" xfId="0" applyNumberFormat="1" applyFont="1" applyBorder="1" applyAlignment="1">
      <alignment horizontal="center"/>
    </xf>
    <xf numFmtId="6" fontId="5" fillId="20" borderId="34" xfId="0" applyNumberFormat="1" applyFont="1" applyFill="1" applyBorder="1" applyAlignment="1">
      <alignment horizontal="center"/>
    </xf>
    <xf numFmtId="6" fontId="8" fillId="0" borderId="36" xfId="0" applyNumberFormat="1" applyFont="1" applyBorder="1" applyAlignment="1">
      <alignment horizontal="center"/>
    </xf>
    <xf numFmtId="6" fontId="5" fillId="20" borderId="47" xfId="2" applyNumberFormat="1" applyFont="1" applyFill="1" applyBorder="1" applyAlignment="1">
      <alignment horizontal="center"/>
    </xf>
    <xf numFmtId="6" fontId="5" fillId="20" borderId="1" xfId="2" applyNumberFormat="1" applyFont="1" applyFill="1" applyBorder="1" applyAlignment="1">
      <alignment horizontal="center"/>
    </xf>
    <xf numFmtId="6" fontId="5" fillId="20" borderId="48" xfId="2" applyNumberFormat="1" applyFont="1" applyFill="1" applyBorder="1" applyAlignment="1">
      <alignment horizontal="center"/>
    </xf>
    <xf numFmtId="9" fontId="5" fillId="24" borderId="0" xfId="0" applyNumberFormat="1" applyFont="1" applyFill="1" applyAlignment="1">
      <alignment horizontal="center"/>
    </xf>
    <xf numFmtId="9" fontId="5" fillId="24" borderId="42" xfId="0" applyNumberFormat="1" applyFont="1" applyFill="1" applyBorder="1" applyAlignment="1">
      <alignment horizontal="center"/>
    </xf>
    <xf numFmtId="9" fontId="5" fillId="24" borderId="36" xfId="0" applyNumberFormat="1" applyFont="1" applyFill="1" applyBorder="1" applyAlignment="1">
      <alignment horizontal="center"/>
    </xf>
    <xf numFmtId="9" fontId="5" fillId="24" borderId="27" xfId="2" applyFont="1" applyFill="1" applyBorder="1" applyAlignment="1">
      <alignment horizontal="center"/>
    </xf>
    <xf numFmtId="9" fontId="5" fillId="24" borderId="0" xfId="2" applyFont="1" applyFill="1" applyBorder="1" applyAlignment="1">
      <alignment horizontal="center"/>
    </xf>
    <xf numFmtId="9" fontId="5" fillId="24" borderId="42" xfId="2" applyFont="1" applyFill="1" applyBorder="1" applyAlignment="1">
      <alignment horizontal="center"/>
    </xf>
    <xf numFmtId="6" fontId="5" fillId="24" borderId="0" xfId="0" applyNumberFormat="1" applyFont="1" applyFill="1" applyAlignment="1">
      <alignment horizontal="center"/>
    </xf>
    <xf numFmtId="6" fontId="5" fillId="24" borderId="42" xfId="0" applyNumberFormat="1" applyFont="1" applyFill="1" applyBorder="1" applyAlignment="1">
      <alignment horizontal="center"/>
    </xf>
    <xf numFmtId="6" fontId="5" fillId="24" borderId="36" xfId="0" applyNumberFormat="1" applyFont="1" applyFill="1" applyBorder="1" applyAlignment="1">
      <alignment horizontal="center"/>
    </xf>
    <xf numFmtId="6" fontId="5" fillId="24" borderId="27" xfId="2" applyNumberFormat="1" applyFont="1" applyFill="1" applyBorder="1" applyAlignment="1">
      <alignment horizontal="center"/>
    </xf>
    <xf numFmtId="6" fontId="5" fillId="24" borderId="0" xfId="2" applyNumberFormat="1" applyFont="1" applyFill="1" applyBorder="1" applyAlignment="1">
      <alignment horizontal="center"/>
    </xf>
    <xf numFmtId="6" fontId="5" fillId="24" borderId="42" xfId="2" applyNumberFormat="1" applyFont="1" applyFill="1" applyBorder="1" applyAlignment="1">
      <alignment horizontal="center"/>
    </xf>
    <xf numFmtId="6" fontId="5" fillId="20" borderId="27" xfId="0" applyNumberFormat="1" applyFont="1" applyFill="1" applyBorder="1" applyAlignment="1">
      <alignment horizontal="center"/>
    </xf>
    <xf numFmtId="9" fontId="5" fillId="20" borderId="40" xfId="0" applyNumberFormat="1" applyFont="1" applyFill="1" applyBorder="1" applyAlignment="1">
      <alignment horizontal="center"/>
    </xf>
    <xf numFmtId="9" fontId="5" fillId="20" borderId="28" xfId="0" applyNumberFormat="1" applyFont="1" applyFill="1" applyBorder="1" applyAlignment="1">
      <alignment horizontal="center"/>
    </xf>
    <xf numFmtId="9" fontId="5" fillId="20" borderId="64" xfId="0" applyNumberFormat="1" applyFont="1" applyFill="1" applyBorder="1" applyAlignment="1">
      <alignment horizontal="center"/>
    </xf>
    <xf numFmtId="9" fontId="5" fillId="20" borderId="63" xfId="2" applyFont="1" applyFill="1" applyBorder="1" applyAlignment="1">
      <alignment horizontal="center"/>
    </xf>
    <xf numFmtId="0" fontId="0" fillId="24" borderId="0" xfId="0" applyFill="1"/>
    <xf numFmtId="9" fontId="0" fillId="20" borderId="64" xfId="2" applyFont="1" applyFill="1" applyBorder="1" applyAlignment="1">
      <alignment horizontal="center"/>
    </xf>
    <xf numFmtId="0" fontId="0" fillId="0" borderId="20" xfId="0" applyBorder="1"/>
    <xf numFmtId="0" fontId="3" fillId="9" borderId="20" xfId="0" applyFont="1" applyFill="1" applyBorder="1"/>
    <xf numFmtId="0" fontId="0" fillId="10" borderId="20" xfId="0" applyFill="1" applyBorder="1"/>
    <xf numFmtId="0" fontId="0" fillId="0" borderId="2" xfId="0" applyBorder="1" applyAlignment="1">
      <alignment horizontal="left"/>
    </xf>
    <xf numFmtId="0" fontId="1" fillId="0" borderId="2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9" fontId="0" fillId="0" borderId="0" xfId="2" applyFont="1" applyAlignment="1">
      <alignment horizontal="right"/>
    </xf>
    <xf numFmtId="3" fontId="0" fillId="0" borderId="0" xfId="2" applyNumberFormat="1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15" fontId="0" fillId="0" borderId="22" xfId="0" applyNumberFormat="1" applyBorder="1" applyAlignment="1">
      <alignment horizontal="center"/>
    </xf>
    <xf numFmtId="3" fontId="0" fillId="0" borderId="22" xfId="0" applyNumberFormat="1" applyBorder="1" applyAlignment="1">
      <alignment horizontal="center"/>
    </xf>
    <xf numFmtId="6" fontId="0" fillId="0" borderId="0" xfId="0" applyNumberFormat="1"/>
    <xf numFmtId="17" fontId="3" fillId="19" borderId="24" xfId="1" applyNumberFormat="1" applyFont="1" applyFill="1" applyBorder="1" applyAlignment="1">
      <alignment horizontal="center" vertical="center"/>
    </xf>
    <xf numFmtId="17" fontId="3" fillId="19" borderId="25" xfId="1" applyNumberFormat="1" applyFont="1" applyFill="1" applyBorder="1" applyAlignment="1">
      <alignment horizontal="center" vertical="center"/>
    </xf>
    <xf numFmtId="17" fontId="3" fillId="19" borderId="41" xfId="1" applyNumberFormat="1" applyFont="1" applyFill="1" applyBorder="1" applyAlignment="1">
      <alignment horizontal="center" vertical="center"/>
    </xf>
    <xf numFmtId="17" fontId="3" fillId="19" borderId="68" xfId="1" applyNumberFormat="1" applyFont="1" applyFill="1" applyBorder="1" applyAlignment="1">
      <alignment horizontal="center" vertical="center"/>
    </xf>
    <xf numFmtId="0" fontId="0" fillId="20" borderId="27" xfId="0" applyFill="1" applyBorder="1"/>
    <xf numFmtId="6" fontId="5" fillId="20" borderId="35" xfId="0" applyNumberFormat="1" applyFont="1" applyFill="1" applyBorder="1" applyAlignment="1">
      <alignment horizontal="center"/>
    </xf>
    <xf numFmtId="0" fontId="0" fillId="24" borderId="27" xfId="0" applyFill="1" applyBorder="1"/>
    <xf numFmtId="6" fontId="15" fillId="24" borderId="0" xfId="0" applyNumberFormat="1" applyFont="1" applyFill="1" applyAlignment="1">
      <alignment horizontal="center"/>
    </xf>
    <xf numFmtId="6" fontId="5" fillId="24" borderId="35" xfId="0" applyNumberFormat="1" applyFont="1" applyFill="1" applyBorder="1" applyAlignment="1">
      <alignment horizontal="center"/>
    </xf>
    <xf numFmtId="164" fontId="5" fillId="24" borderId="0" xfId="2" applyNumberFormat="1" applyFont="1" applyFill="1" applyBorder="1" applyAlignment="1">
      <alignment horizontal="center"/>
    </xf>
    <xf numFmtId="164" fontId="5" fillId="24" borderId="35" xfId="2" applyNumberFormat="1" applyFont="1" applyFill="1" applyBorder="1" applyAlignment="1">
      <alignment horizontal="center"/>
    </xf>
    <xf numFmtId="164" fontId="5" fillId="20" borderId="0" xfId="2" applyNumberFormat="1" applyFont="1" applyFill="1" applyBorder="1" applyAlignment="1">
      <alignment horizontal="center"/>
    </xf>
    <xf numFmtId="164" fontId="5" fillId="20" borderId="35" xfId="2" applyNumberFormat="1" applyFont="1" applyFill="1" applyBorder="1" applyAlignment="1">
      <alignment horizontal="center"/>
    </xf>
    <xf numFmtId="0" fontId="0" fillId="24" borderId="63" xfId="0" applyFill="1" applyBorder="1"/>
    <xf numFmtId="164" fontId="15" fillId="24" borderId="28" xfId="2" applyNumberFormat="1" applyFont="1" applyFill="1" applyBorder="1" applyAlignment="1">
      <alignment horizontal="center"/>
    </xf>
    <xf numFmtId="164" fontId="15" fillId="24" borderId="39" xfId="2" applyNumberFormat="1" applyFont="1" applyFill="1" applyBorder="1" applyAlignment="1">
      <alignment horizontal="center"/>
    </xf>
    <xf numFmtId="0" fontId="19" fillId="18" borderId="67" xfId="0" applyFont="1" applyFill="1" applyBorder="1" applyAlignment="1">
      <alignment horizontal="center"/>
    </xf>
    <xf numFmtId="0" fontId="24" fillId="0" borderId="0" xfId="0" applyFont="1"/>
    <xf numFmtId="0" fontId="25" fillId="21" borderId="67" xfId="0" applyFont="1" applyFill="1" applyBorder="1" applyAlignment="1">
      <alignment horizontal="center"/>
    </xf>
    <xf numFmtId="0" fontId="0" fillId="13" borderId="27" xfId="0" applyFill="1" applyBorder="1"/>
    <xf numFmtId="6" fontId="5" fillId="13" borderId="0" xfId="0" applyNumberFormat="1" applyFont="1" applyFill="1" applyAlignment="1">
      <alignment horizontal="center"/>
    </xf>
    <xf numFmtId="6" fontId="5" fillId="13" borderId="35" xfId="0" applyNumberFormat="1" applyFont="1" applyFill="1" applyBorder="1" applyAlignment="1">
      <alignment horizontal="center"/>
    </xf>
    <xf numFmtId="164" fontId="0" fillId="0" borderId="14" xfId="2" applyNumberFormat="1" applyFont="1" applyBorder="1"/>
    <xf numFmtId="3" fontId="0" fillId="25" borderId="0" xfId="0" applyNumberFormat="1" applyFill="1"/>
    <xf numFmtId="0" fontId="0" fillId="25" borderId="0" xfId="0" applyFill="1"/>
    <xf numFmtId="0" fontId="0" fillId="25" borderId="4" xfId="0" applyFill="1" applyBorder="1"/>
    <xf numFmtId="9" fontId="0" fillId="25" borderId="12" xfId="0" applyNumberFormat="1" applyFill="1" applyBorder="1"/>
    <xf numFmtId="9" fontId="0" fillId="25" borderId="14" xfId="0" applyNumberFormat="1" applyFill="1" applyBorder="1"/>
    <xf numFmtId="3" fontId="0" fillId="25" borderId="14" xfId="0" applyNumberFormat="1" applyFill="1" applyBorder="1"/>
    <xf numFmtId="9" fontId="0" fillId="25" borderId="18" xfId="0" applyNumberFormat="1" applyFill="1" applyBorder="1"/>
    <xf numFmtId="164" fontId="0" fillId="0" borderId="12" xfId="2" applyNumberFormat="1" applyFont="1" applyBorder="1"/>
    <xf numFmtId="165" fontId="0" fillId="0" borderId="12" xfId="2" applyNumberFormat="1" applyFont="1" applyBorder="1"/>
    <xf numFmtId="165" fontId="0" fillId="0" borderId="14" xfId="2" applyNumberFormat="1" applyFont="1" applyBorder="1"/>
    <xf numFmtId="3" fontId="0" fillId="0" borderId="12" xfId="2" applyNumberFormat="1" applyFont="1" applyBorder="1"/>
    <xf numFmtId="3" fontId="0" fillId="0" borderId="14" xfId="2" applyNumberFormat="1" applyFont="1" applyBorder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left"/>
    </xf>
    <xf numFmtId="3" fontId="5" fillId="0" borderId="0" xfId="2" applyNumberFormat="1" applyFont="1" applyFill="1" applyBorder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4" fillId="3" borderId="9" xfId="1" applyBorder="1" applyAlignment="1">
      <alignment horizontal="center"/>
    </xf>
    <xf numFmtId="0" fontId="4" fillId="3" borderId="0" xfId="1" applyBorder="1" applyAlignment="1">
      <alignment horizontal="center"/>
    </xf>
    <xf numFmtId="0" fontId="4" fillId="3" borderId="4" xfId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6" fillId="0" borderId="27" xfId="1" applyFont="1" applyFill="1" applyBorder="1" applyAlignment="1">
      <alignment horizontal="center"/>
    </xf>
    <xf numFmtId="0" fontId="16" fillId="0" borderId="0" xfId="1" applyFont="1" applyFill="1" applyBorder="1" applyAlignment="1">
      <alignment horizontal="center"/>
    </xf>
    <xf numFmtId="0" fontId="16" fillId="0" borderId="42" xfId="1" applyFont="1" applyFill="1" applyBorder="1" applyAlignment="1">
      <alignment horizontal="center"/>
    </xf>
    <xf numFmtId="9" fontId="0" fillId="12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2" borderId="7" xfId="0" applyFill="1" applyBorder="1" applyAlignment="1">
      <alignment horizontal="right"/>
    </xf>
    <xf numFmtId="0" fontId="0" fillId="12" borderId="8" xfId="0" applyFill="1" applyBorder="1" applyAlignment="1">
      <alignment horizontal="right"/>
    </xf>
    <xf numFmtId="0" fontId="4" fillId="0" borderId="0" xfId="1" applyFill="1" applyBorder="1" applyAlignment="1">
      <alignment horizontal="center"/>
    </xf>
    <xf numFmtId="0" fontId="0" fillId="0" borderId="0" xfId="0" applyAlignment="1">
      <alignment horizontal="left" wrapText="1"/>
    </xf>
  </cellXfs>
  <cellStyles count="3">
    <cellStyle name="Accent1" xfId="1" builtinId="29"/>
    <cellStyle name="Normal" xfId="0" builtinId="0"/>
    <cellStyle name="Per cent" xfId="2" builtinId="5"/>
  </cellStyles>
  <dxfs count="968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strike val="0"/>
        <color rgb="FF009644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font>
        <color rgb="FFFF0000"/>
      </font>
    </dxf>
    <dxf>
      <font>
        <color theme="1"/>
      </font>
    </dxf>
    <dxf>
      <numFmt numFmtId="20" formatCode="dd\-mmm\-yy"/>
      <alignment horizontal="center" vertical="bottom" textRotation="0" wrapText="0" indent="0" justifyLastLine="0" shrinkToFit="0" readingOrder="0"/>
    </dxf>
    <dxf>
      <numFmt numFmtId="20" formatCode="dd\-mmm\-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numFmt numFmtId="13" formatCode="0%"/>
      <alignment horizontal="right" vertical="bottom" textRotation="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20" formatCode="dd\-mmm\-yy"/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20" formatCode="dd\-mmm\-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20" formatCode="dd\-mmm\-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numFmt numFmtId="3" formatCode="#,##0"/>
    </dxf>
    <dxf>
      <numFmt numFmtId="3" formatCode="#,##0"/>
    </dxf>
    <dxf>
      <numFmt numFmtId="165" formatCode="#,##0.0"/>
      <border diagonalUp="0" diagonalDown="0" outline="0">
        <left/>
        <right style="thin">
          <color indexed="64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164" formatCode="0.0%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fill>
        <patternFill patternType="solid">
          <fgColor indexed="64"/>
          <bgColor rgb="FFFFC1C1"/>
        </patternFill>
      </fill>
      <border diagonalUp="0" diagonalDown="0" outline="0">
        <left/>
        <right style="thin">
          <color indexed="64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3" formatCode="0%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3" formatCode="0%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3" formatCode="0%"/>
      <fill>
        <patternFill patternType="solid">
          <fgColor indexed="64"/>
          <bgColor rgb="FFFFC1C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165" formatCode="#,##0.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165" formatCode="#,##0.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#,##0.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numFmt numFmtId="164" formatCode="0.0%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64" formatCode="0.0%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%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0" tint="-0.34998626667073579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rgb="FF8EA9DB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border diagonalUp="0" diagonalDown="0" outline="0">
        <left/>
        <right style="thin">
          <color theme="4" tint="0.39997558519241921"/>
        </right>
        <top/>
        <bottom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/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/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65" formatCode="#,##0.0"/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dd/mm/yyyy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rgb="FF8EA9DB"/>
        </left>
        <top style="thin">
          <color rgb="FF8EA9DB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3" formatCode="#,##0"/>
    </dxf>
    <dxf>
      <numFmt numFmtId="3" formatCode="#,##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dd/mm/yyyy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" formatCode="#,##0"/>
      <fill>
        <patternFill patternType="solid">
          <fgColor theme="4"/>
          <bgColor theme="4"/>
        </patternFill>
      </fill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9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</dxfs>
  <tableStyles count="0" defaultTableStyle="TableStyleMedium2" defaultPivotStyle="PivotStyleLight16"/>
  <colors>
    <mruColors>
      <color rgb="FF0043CE"/>
      <color rgb="FFFFC1C1"/>
      <color rgb="FFFF9B9B"/>
      <color rgb="FF001141"/>
      <color rgb="FF4589FF"/>
      <color rgb="FF808080"/>
      <color rgb="FF000E33"/>
      <color rgb="FF595959"/>
      <color rgb="FF00FFEF"/>
      <color rgb="FFAFC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'Dev Patterns (OG Code)'!$C$5</c:f>
              <c:strCache>
                <c:ptCount val="1"/>
                <c:pt idx="0">
                  <c:v>NWP Cumulative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'Dev Patterns (OG Code)'!$C$6:$C$22</c:f>
              <c:numCache>
                <c:formatCode>#,##0.00</c:formatCode>
                <c:ptCount val="17"/>
                <c:pt idx="0">
                  <c:v>1.0098648321577892</c:v>
                </c:pt>
                <c:pt idx="1">
                  <c:v>1.0021085090164659</c:v>
                </c:pt>
                <c:pt idx="2">
                  <c:v>1.0011284552174564</c:v>
                </c:pt>
                <c:pt idx="3">
                  <c:v>1.0003326164485524</c:v>
                </c:pt>
                <c:pt idx="4">
                  <c:v>1.0001067850019076</c:v>
                </c:pt>
                <c:pt idx="5">
                  <c:v>1.000253482803809</c:v>
                </c:pt>
                <c:pt idx="6">
                  <c:v>1.0001512062539542</c:v>
                </c:pt>
                <c:pt idx="7">
                  <c:v>1.0001523896836717</c:v>
                </c:pt>
                <c:pt idx="8">
                  <c:v>1.0001459984491659</c:v>
                </c:pt>
                <c:pt idx="9">
                  <c:v>1.0000416966715913</c:v>
                </c:pt>
                <c:pt idx="10">
                  <c:v>1.0000257471419727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C-44CF-8316-532D060A8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2548688"/>
        <c:axId val="1513215328"/>
      </c:lineChart>
      <c:catAx>
        <c:axId val="125254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15328"/>
        <c:crosses val="autoZero"/>
        <c:auto val="1"/>
        <c:lblAlgn val="ctr"/>
        <c:lblOffset val="100"/>
        <c:noMultiLvlLbl val="0"/>
      </c:catAx>
      <c:valAx>
        <c:axId val="15132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54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Loss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'MICL Direct'!$C$11</c:f>
              <c:strCache>
                <c:ptCount val="1"/>
                <c:pt idx="0">
                  <c:v>PD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'MICL Direct'!$M$14:$P$14</c:f>
              <c:numCache>
                <c:formatCode>0%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50C3-4CDC-AFEC-3D8F1F8A4074}"/>
            </c:ext>
          </c:extLst>
        </c:ser>
        <c:ser>
          <c:idx val="2"/>
          <c:order val="2"/>
          <c:tx>
            <c:v>BI Small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'MICL Direct'!$M$19:$P$19</c:f>
              <c:numCache>
                <c:formatCode>0%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50C3-4CDC-AFEC-3D8F1F8A4074}"/>
            </c:ext>
          </c:extLst>
        </c:ser>
        <c:ser>
          <c:idx val="3"/>
          <c:order val="3"/>
          <c:tx>
            <c:v>BI Large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'MICL Direct'!$M$20:$P$20</c:f>
              <c:numCache>
                <c:formatCode>0%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50C3-4CDC-AFEC-3D8F1F8A4074}"/>
            </c:ext>
          </c:extLst>
        </c:ser>
        <c:ser>
          <c:idx val="4"/>
          <c:order val="4"/>
          <c:tx>
            <c:strRef>
              <c:f>'MICL Direct'!$C$22</c:f>
              <c:strCache>
                <c:ptCount val="1"/>
                <c:pt idx="0">
                  <c:v>AD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'MICL Direct'!$M$25:$P$25</c:f>
              <c:numCache>
                <c:formatCode>0%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3-50C3-4CDC-AFEC-3D8F1F8A4074}"/>
            </c:ext>
          </c:extLst>
        </c:ser>
        <c:ser>
          <c:idx val="5"/>
          <c:order val="5"/>
          <c:tx>
            <c:strRef>
              <c:f>'MICL Direct'!$C$27</c:f>
              <c:strCache>
                <c:ptCount val="1"/>
                <c:pt idx="0">
                  <c:v>FT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'MICL Direct'!$M$30:$P$30</c:f>
              <c:numCache>
                <c:formatCode>0%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4-50C3-4CDC-AFEC-3D8F1F8A4074}"/>
            </c:ext>
          </c:extLst>
        </c:ser>
        <c:ser>
          <c:idx val="6"/>
          <c:order val="6"/>
          <c:tx>
            <c:strRef>
              <c:f>'MICL Direct'!$C$32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'MICL Direct'!$M$35:$P$35</c:f>
              <c:numCache>
                <c:formatCode>0%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50C3-4CDC-AFEC-3D8F1F8A4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9978256"/>
        <c:axId val="1749349712"/>
      </c:barChart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'MICL Direct'!$D$3:$P$3</c:f>
              <c:numCache>
                <c:formatCode>d\-mmm</c:formatCode>
                <c:ptCount val="4"/>
                <c:pt idx="0">
                  <c:v>45261</c:v>
                </c:pt>
                <c:pt idx="1">
                  <c:v>45292</c:v>
                </c:pt>
                <c:pt idx="2">
                  <c:v>45323</c:v>
                </c:pt>
                <c:pt idx="3">
                  <c:v>45352</c:v>
                </c:pt>
              </c:numCache>
            </c:numRef>
          </c:cat>
          <c:val>
            <c:numRef>
              <c:f>'MICL Direct'!$M$6:$P$6</c:f>
              <c:numCache>
                <c:formatCode>0%</c:formatCode>
                <c:ptCount val="4"/>
                <c:pt idx="0">
                  <c:v>0.67289436299502936</c:v>
                </c:pt>
                <c:pt idx="1">
                  <c:v>0.6650524498714776</c:v>
                </c:pt>
                <c:pt idx="2">
                  <c:v>0.65579656166768108</c:v>
                </c:pt>
                <c:pt idx="3">
                  <c:v>0.64019795168924731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C3-4CDC-AFEC-3D8F1F8A4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9978256"/>
        <c:axId val="1749349712"/>
      </c:lineChart>
      <c:catAx>
        <c:axId val="205997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Underwriting</a:t>
                </a:r>
                <a:r>
                  <a:rPr lang="en-GB" baseline="0"/>
                  <a:t>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349712"/>
        <c:crosses val="autoZero"/>
        <c:auto val="0"/>
        <c:lblAlgn val="ctr"/>
        <c:lblOffset val="100"/>
        <c:noMultiLvlLbl val="0"/>
      </c:catAx>
      <c:valAx>
        <c:axId val="17493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Loss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97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(Excl.</a:t>
            </a:r>
            <a:r>
              <a:rPr lang="en-GB" b="1" baseline="0"/>
              <a:t> Monthly Renewals)</a:t>
            </a:r>
            <a:r>
              <a:rPr lang="en-GB" b="1"/>
              <a:t>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PolCount!$B$4</c:f>
              <c:strCache>
                <c:ptCount val="1"/>
                <c:pt idx="0">
                  <c:v>Policy Count (Boom)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PolCount!$B$5:$B$109</c:f>
              <c:numCache>
                <c:formatCode>#,##0</c:formatCode>
                <c:ptCount val="105"/>
                <c:pt idx="0">
                  <c:v>652</c:v>
                </c:pt>
                <c:pt idx="1">
                  <c:v>639</c:v>
                </c:pt>
                <c:pt idx="2">
                  <c:v>609</c:v>
                </c:pt>
                <c:pt idx="3">
                  <c:v>609</c:v>
                </c:pt>
                <c:pt idx="4">
                  <c:v>598</c:v>
                </c:pt>
                <c:pt idx="5">
                  <c:v>651</c:v>
                </c:pt>
                <c:pt idx="6">
                  <c:v>636</c:v>
                </c:pt>
                <c:pt idx="7">
                  <c:v>571</c:v>
                </c:pt>
                <c:pt idx="8">
                  <c:v>745</c:v>
                </c:pt>
                <c:pt idx="9">
                  <c:v>988</c:v>
                </c:pt>
                <c:pt idx="10">
                  <c:v>1068</c:v>
                </c:pt>
                <c:pt idx="11">
                  <c:v>1384</c:v>
                </c:pt>
                <c:pt idx="12">
                  <c:v>1181</c:v>
                </c:pt>
                <c:pt idx="13">
                  <c:v>1256</c:v>
                </c:pt>
                <c:pt idx="14">
                  <c:v>1180</c:v>
                </c:pt>
                <c:pt idx="15">
                  <c:v>1496</c:v>
                </c:pt>
                <c:pt idx="16">
                  <c:v>1115</c:v>
                </c:pt>
                <c:pt idx="17">
                  <c:v>1149</c:v>
                </c:pt>
                <c:pt idx="18">
                  <c:v>1151</c:v>
                </c:pt>
                <c:pt idx="19">
                  <c:v>886</c:v>
                </c:pt>
                <c:pt idx="20">
                  <c:v>954</c:v>
                </c:pt>
                <c:pt idx="21">
                  <c:v>1089</c:v>
                </c:pt>
                <c:pt idx="22">
                  <c:v>1086</c:v>
                </c:pt>
                <c:pt idx="23">
                  <c:v>1092</c:v>
                </c:pt>
                <c:pt idx="24">
                  <c:v>1249</c:v>
                </c:pt>
                <c:pt idx="25">
                  <c:v>888</c:v>
                </c:pt>
                <c:pt idx="26">
                  <c:v>926</c:v>
                </c:pt>
                <c:pt idx="27">
                  <c:v>1060</c:v>
                </c:pt>
                <c:pt idx="28">
                  <c:v>1357</c:v>
                </c:pt>
                <c:pt idx="29">
                  <c:v>1231</c:v>
                </c:pt>
                <c:pt idx="30">
                  <c:v>1243</c:v>
                </c:pt>
                <c:pt idx="31">
                  <c:v>1331</c:v>
                </c:pt>
                <c:pt idx="32">
                  <c:v>1532</c:v>
                </c:pt>
                <c:pt idx="33">
                  <c:v>1512</c:v>
                </c:pt>
                <c:pt idx="34">
                  <c:v>1342</c:v>
                </c:pt>
                <c:pt idx="35">
                  <c:v>1308</c:v>
                </c:pt>
                <c:pt idx="36">
                  <c:v>1536</c:v>
                </c:pt>
                <c:pt idx="37">
                  <c:v>1589</c:v>
                </c:pt>
                <c:pt idx="38">
                  <c:v>1298</c:v>
                </c:pt>
                <c:pt idx="39">
                  <c:v>1237</c:v>
                </c:pt>
                <c:pt idx="40">
                  <c:v>1367</c:v>
                </c:pt>
                <c:pt idx="41">
                  <c:v>1334</c:v>
                </c:pt>
                <c:pt idx="42">
                  <c:v>1268</c:v>
                </c:pt>
                <c:pt idx="43">
                  <c:v>1159</c:v>
                </c:pt>
                <c:pt idx="44">
                  <c:v>1156</c:v>
                </c:pt>
                <c:pt idx="45">
                  <c:v>1175</c:v>
                </c:pt>
                <c:pt idx="46">
                  <c:v>1154</c:v>
                </c:pt>
                <c:pt idx="47">
                  <c:v>979</c:v>
                </c:pt>
                <c:pt idx="48">
                  <c:v>919</c:v>
                </c:pt>
                <c:pt idx="49">
                  <c:v>954</c:v>
                </c:pt>
                <c:pt idx="50">
                  <c:v>1036</c:v>
                </c:pt>
                <c:pt idx="51">
                  <c:v>836</c:v>
                </c:pt>
                <c:pt idx="52">
                  <c:v>807</c:v>
                </c:pt>
                <c:pt idx="53">
                  <c:v>847</c:v>
                </c:pt>
                <c:pt idx="54">
                  <c:v>792</c:v>
                </c:pt>
                <c:pt idx="55">
                  <c:v>940</c:v>
                </c:pt>
                <c:pt idx="56">
                  <c:v>770</c:v>
                </c:pt>
                <c:pt idx="57">
                  <c:v>809</c:v>
                </c:pt>
                <c:pt idx="58">
                  <c:v>876</c:v>
                </c:pt>
                <c:pt idx="59">
                  <c:v>833</c:v>
                </c:pt>
                <c:pt idx="60">
                  <c:v>684</c:v>
                </c:pt>
                <c:pt idx="61">
                  <c:v>797</c:v>
                </c:pt>
                <c:pt idx="62">
                  <c:v>889</c:v>
                </c:pt>
                <c:pt idx="63">
                  <c:v>959</c:v>
                </c:pt>
                <c:pt idx="64">
                  <c:v>786</c:v>
                </c:pt>
                <c:pt idx="65">
                  <c:v>807</c:v>
                </c:pt>
                <c:pt idx="66">
                  <c:v>1020</c:v>
                </c:pt>
                <c:pt idx="67">
                  <c:v>1068</c:v>
                </c:pt>
                <c:pt idx="68">
                  <c:v>1113</c:v>
                </c:pt>
                <c:pt idx="69">
                  <c:v>984</c:v>
                </c:pt>
                <c:pt idx="70">
                  <c:v>969</c:v>
                </c:pt>
                <c:pt idx="71">
                  <c:v>761</c:v>
                </c:pt>
                <c:pt idx="72">
                  <c:v>863</c:v>
                </c:pt>
                <c:pt idx="73">
                  <c:v>998</c:v>
                </c:pt>
                <c:pt idx="74">
                  <c:v>981</c:v>
                </c:pt>
                <c:pt idx="75">
                  <c:v>868</c:v>
                </c:pt>
                <c:pt idx="76">
                  <c:v>1085</c:v>
                </c:pt>
                <c:pt idx="77">
                  <c:v>1012</c:v>
                </c:pt>
                <c:pt idx="78">
                  <c:v>828</c:v>
                </c:pt>
                <c:pt idx="79">
                  <c:v>772</c:v>
                </c:pt>
                <c:pt idx="80">
                  <c:v>975</c:v>
                </c:pt>
                <c:pt idx="81">
                  <c:v>967</c:v>
                </c:pt>
                <c:pt idx="82">
                  <c:v>945</c:v>
                </c:pt>
                <c:pt idx="83">
                  <c:v>991</c:v>
                </c:pt>
                <c:pt idx="84">
                  <c:v>1097</c:v>
                </c:pt>
                <c:pt idx="85">
                  <c:v>1149</c:v>
                </c:pt>
                <c:pt idx="86">
                  <c:v>998</c:v>
                </c:pt>
                <c:pt idx="87">
                  <c:v>1022</c:v>
                </c:pt>
                <c:pt idx="88">
                  <c:v>969</c:v>
                </c:pt>
                <c:pt idx="89">
                  <c:v>1215</c:v>
                </c:pt>
                <c:pt idx="90">
                  <c:v>943</c:v>
                </c:pt>
                <c:pt idx="91">
                  <c:v>949</c:v>
                </c:pt>
                <c:pt idx="92">
                  <c:v>887</c:v>
                </c:pt>
                <c:pt idx="93">
                  <c:v>988</c:v>
                </c:pt>
                <c:pt idx="94">
                  <c:v>985</c:v>
                </c:pt>
                <c:pt idx="95">
                  <c:v>875</c:v>
                </c:pt>
                <c:pt idx="96">
                  <c:v>811</c:v>
                </c:pt>
                <c:pt idx="97">
                  <c:v>849</c:v>
                </c:pt>
                <c:pt idx="98">
                  <c:v>987</c:v>
                </c:pt>
                <c:pt idx="99">
                  <c:v>872</c:v>
                </c:pt>
                <c:pt idx="100">
                  <c:v>741</c:v>
                </c:pt>
                <c:pt idx="101">
                  <c:v>729</c:v>
                </c:pt>
                <c:pt idx="102">
                  <c:v>836</c:v>
                </c:pt>
                <c:pt idx="103">
                  <c:v>618</c:v>
                </c:pt>
                <c:pt idx="104">
                  <c:v>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3-4367-B222-5C94CA1C4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PolCount!$C$4</c:f>
              <c:strCache>
                <c:ptCount val="1"/>
                <c:pt idx="0">
                  <c:v>4 Week Avg (Boom)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PolCount!$C$5:$C$109</c:f>
              <c:numCache>
                <c:formatCode>#,##0</c:formatCode>
                <c:ptCount val="105"/>
                <c:pt idx="3">
                  <c:v>627.25</c:v>
                </c:pt>
                <c:pt idx="4">
                  <c:v>613.75</c:v>
                </c:pt>
                <c:pt idx="5">
                  <c:v>616.75</c:v>
                </c:pt>
                <c:pt idx="6">
                  <c:v>623.5</c:v>
                </c:pt>
                <c:pt idx="7">
                  <c:v>614</c:v>
                </c:pt>
                <c:pt idx="8">
                  <c:v>650.75</c:v>
                </c:pt>
                <c:pt idx="9">
                  <c:v>735</c:v>
                </c:pt>
                <c:pt idx="10">
                  <c:v>843</c:v>
                </c:pt>
                <c:pt idx="11">
                  <c:v>1046.25</c:v>
                </c:pt>
                <c:pt idx="12">
                  <c:v>1155.25</c:v>
                </c:pt>
                <c:pt idx="13">
                  <c:v>1222.25</c:v>
                </c:pt>
                <c:pt idx="14">
                  <c:v>1250.25</c:v>
                </c:pt>
                <c:pt idx="15">
                  <c:v>1278.25</c:v>
                </c:pt>
                <c:pt idx="16">
                  <c:v>1261.75</c:v>
                </c:pt>
                <c:pt idx="17">
                  <c:v>1235</c:v>
                </c:pt>
                <c:pt idx="18">
                  <c:v>1227.75</c:v>
                </c:pt>
                <c:pt idx="19">
                  <c:v>1075.25</c:v>
                </c:pt>
                <c:pt idx="20">
                  <c:v>1035</c:v>
                </c:pt>
                <c:pt idx="21">
                  <c:v>1020</c:v>
                </c:pt>
                <c:pt idx="22">
                  <c:v>1003.75</c:v>
                </c:pt>
                <c:pt idx="23">
                  <c:v>1055.25</c:v>
                </c:pt>
                <c:pt idx="24">
                  <c:v>1129</c:v>
                </c:pt>
                <c:pt idx="25">
                  <c:v>1078.75</c:v>
                </c:pt>
                <c:pt idx="26">
                  <c:v>1038.75</c:v>
                </c:pt>
                <c:pt idx="27">
                  <c:v>1030.75</c:v>
                </c:pt>
                <c:pt idx="28">
                  <c:v>1057.75</c:v>
                </c:pt>
                <c:pt idx="29">
                  <c:v>1143.5</c:v>
                </c:pt>
                <c:pt idx="30">
                  <c:v>1222.75</c:v>
                </c:pt>
                <c:pt idx="31">
                  <c:v>1290.5</c:v>
                </c:pt>
                <c:pt idx="32">
                  <c:v>1334.25</c:v>
                </c:pt>
                <c:pt idx="33">
                  <c:v>1404.5</c:v>
                </c:pt>
                <c:pt idx="34">
                  <c:v>1429.25</c:v>
                </c:pt>
                <c:pt idx="35">
                  <c:v>1423.5</c:v>
                </c:pt>
                <c:pt idx="36">
                  <c:v>1424.5</c:v>
                </c:pt>
                <c:pt idx="37">
                  <c:v>1443.75</c:v>
                </c:pt>
                <c:pt idx="38">
                  <c:v>1432.75</c:v>
                </c:pt>
                <c:pt idx="39">
                  <c:v>1415</c:v>
                </c:pt>
                <c:pt idx="40">
                  <c:v>1372.75</c:v>
                </c:pt>
                <c:pt idx="41">
                  <c:v>1309</c:v>
                </c:pt>
                <c:pt idx="42">
                  <c:v>1301.5</c:v>
                </c:pt>
                <c:pt idx="43">
                  <c:v>1282</c:v>
                </c:pt>
                <c:pt idx="44">
                  <c:v>1229.25</c:v>
                </c:pt>
                <c:pt idx="45">
                  <c:v>1189.5</c:v>
                </c:pt>
                <c:pt idx="46">
                  <c:v>1161</c:v>
                </c:pt>
                <c:pt idx="47">
                  <c:v>1116</c:v>
                </c:pt>
                <c:pt idx="48">
                  <c:v>1056.75</c:v>
                </c:pt>
                <c:pt idx="49">
                  <c:v>1001.5</c:v>
                </c:pt>
                <c:pt idx="50">
                  <c:v>972</c:v>
                </c:pt>
                <c:pt idx="51">
                  <c:v>936.25</c:v>
                </c:pt>
                <c:pt idx="52">
                  <c:v>908.25</c:v>
                </c:pt>
                <c:pt idx="53">
                  <c:v>881.5</c:v>
                </c:pt>
                <c:pt idx="54">
                  <c:v>820.5</c:v>
                </c:pt>
                <c:pt idx="55">
                  <c:v>846.5</c:v>
                </c:pt>
                <c:pt idx="56">
                  <c:v>837.25</c:v>
                </c:pt>
                <c:pt idx="57">
                  <c:v>827.75</c:v>
                </c:pt>
                <c:pt idx="58">
                  <c:v>848.75</c:v>
                </c:pt>
                <c:pt idx="59">
                  <c:v>822</c:v>
                </c:pt>
                <c:pt idx="60">
                  <c:v>800.5</c:v>
                </c:pt>
                <c:pt idx="61">
                  <c:v>797.5</c:v>
                </c:pt>
                <c:pt idx="62">
                  <c:v>800.75</c:v>
                </c:pt>
                <c:pt idx="63">
                  <c:v>832.25</c:v>
                </c:pt>
                <c:pt idx="64">
                  <c:v>857.75</c:v>
                </c:pt>
                <c:pt idx="65">
                  <c:v>860.25</c:v>
                </c:pt>
                <c:pt idx="66">
                  <c:v>893</c:v>
                </c:pt>
                <c:pt idx="67">
                  <c:v>920.25</c:v>
                </c:pt>
                <c:pt idx="68">
                  <c:v>1002</c:v>
                </c:pt>
                <c:pt idx="69">
                  <c:v>1046.25</c:v>
                </c:pt>
                <c:pt idx="70">
                  <c:v>1033.5</c:v>
                </c:pt>
                <c:pt idx="71">
                  <c:v>956.75</c:v>
                </c:pt>
                <c:pt idx="72">
                  <c:v>894.25</c:v>
                </c:pt>
                <c:pt idx="73">
                  <c:v>897.75</c:v>
                </c:pt>
                <c:pt idx="74">
                  <c:v>900.75</c:v>
                </c:pt>
                <c:pt idx="75">
                  <c:v>927.5</c:v>
                </c:pt>
                <c:pt idx="76">
                  <c:v>983</c:v>
                </c:pt>
                <c:pt idx="77">
                  <c:v>986.5</c:v>
                </c:pt>
                <c:pt idx="78">
                  <c:v>948.25</c:v>
                </c:pt>
                <c:pt idx="79">
                  <c:v>924.25</c:v>
                </c:pt>
                <c:pt idx="80">
                  <c:v>896.75</c:v>
                </c:pt>
                <c:pt idx="81">
                  <c:v>885.5</c:v>
                </c:pt>
                <c:pt idx="82">
                  <c:v>914.75</c:v>
                </c:pt>
                <c:pt idx="83">
                  <c:v>969.5</c:v>
                </c:pt>
                <c:pt idx="84">
                  <c:v>1000</c:v>
                </c:pt>
                <c:pt idx="85">
                  <c:v>1045.5</c:v>
                </c:pt>
                <c:pt idx="86">
                  <c:v>1058.75</c:v>
                </c:pt>
                <c:pt idx="87">
                  <c:v>1066.5</c:v>
                </c:pt>
                <c:pt idx="88">
                  <c:v>1034.5</c:v>
                </c:pt>
                <c:pt idx="89">
                  <c:v>1051</c:v>
                </c:pt>
                <c:pt idx="90">
                  <c:v>1037.25</c:v>
                </c:pt>
                <c:pt idx="91">
                  <c:v>1019</c:v>
                </c:pt>
                <c:pt idx="92">
                  <c:v>998.5</c:v>
                </c:pt>
                <c:pt idx="93">
                  <c:v>941.75</c:v>
                </c:pt>
                <c:pt idx="94">
                  <c:v>952.25</c:v>
                </c:pt>
                <c:pt idx="95">
                  <c:v>933.75</c:v>
                </c:pt>
                <c:pt idx="96">
                  <c:v>914.75</c:v>
                </c:pt>
                <c:pt idx="97">
                  <c:v>880</c:v>
                </c:pt>
                <c:pt idx="98">
                  <c:v>880.5</c:v>
                </c:pt>
                <c:pt idx="99">
                  <c:v>879.75</c:v>
                </c:pt>
                <c:pt idx="100">
                  <c:v>862.25</c:v>
                </c:pt>
                <c:pt idx="101">
                  <c:v>832.25</c:v>
                </c:pt>
                <c:pt idx="102">
                  <c:v>794.5</c:v>
                </c:pt>
                <c:pt idx="103">
                  <c:v>731</c:v>
                </c:pt>
                <c:pt idx="104">
                  <c:v>731.5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3-4367-B222-5C94CA1C4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(Incl. Monthly Renewals):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Policy Count (Boom)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PolCount!$F$5:$F$109</c:f>
              <c:numCache>
                <c:formatCode>#,##0</c:formatCode>
                <c:ptCount val="105"/>
                <c:pt idx="0">
                  <c:v>4028</c:v>
                </c:pt>
                <c:pt idx="1">
                  <c:v>4254</c:v>
                </c:pt>
                <c:pt idx="2">
                  <c:v>4616</c:v>
                </c:pt>
                <c:pt idx="3">
                  <c:v>3960</c:v>
                </c:pt>
                <c:pt idx="4">
                  <c:v>3988</c:v>
                </c:pt>
                <c:pt idx="5">
                  <c:v>4106</c:v>
                </c:pt>
                <c:pt idx="6">
                  <c:v>4229</c:v>
                </c:pt>
                <c:pt idx="7">
                  <c:v>4576</c:v>
                </c:pt>
                <c:pt idx="8">
                  <c:v>3886</c:v>
                </c:pt>
                <c:pt idx="9">
                  <c:v>4395</c:v>
                </c:pt>
                <c:pt idx="10">
                  <c:v>4509</c:v>
                </c:pt>
                <c:pt idx="11">
                  <c:v>4850</c:v>
                </c:pt>
                <c:pt idx="12">
                  <c:v>4295</c:v>
                </c:pt>
                <c:pt idx="13">
                  <c:v>4567</c:v>
                </c:pt>
                <c:pt idx="14">
                  <c:v>4734</c:v>
                </c:pt>
                <c:pt idx="15">
                  <c:v>6021</c:v>
                </c:pt>
                <c:pt idx="16">
                  <c:v>4483</c:v>
                </c:pt>
                <c:pt idx="17">
                  <c:v>4807</c:v>
                </c:pt>
                <c:pt idx="18">
                  <c:v>4910</c:v>
                </c:pt>
                <c:pt idx="19">
                  <c:v>4927</c:v>
                </c:pt>
                <c:pt idx="20">
                  <c:v>5030</c:v>
                </c:pt>
                <c:pt idx="21">
                  <c:v>4839</c:v>
                </c:pt>
                <c:pt idx="22">
                  <c:v>5021</c:v>
                </c:pt>
                <c:pt idx="23">
                  <c:v>5068</c:v>
                </c:pt>
                <c:pt idx="24">
                  <c:v>5665</c:v>
                </c:pt>
                <c:pt idx="25">
                  <c:v>4683</c:v>
                </c:pt>
                <c:pt idx="26">
                  <c:v>5067</c:v>
                </c:pt>
                <c:pt idx="27">
                  <c:v>5205</c:v>
                </c:pt>
                <c:pt idx="28">
                  <c:v>6738</c:v>
                </c:pt>
                <c:pt idx="29">
                  <c:v>4779</c:v>
                </c:pt>
                <c:pt idx="30">
                  <c:v>4995</c:v>
                </c:pt>
                <c:pt idx="31">
                  <c:v>5125</c:v>
                </c:pt>
                <c:pt idx="32">
                  <c:v>5115</c:v>
                </c:pt>
                <c:pt idx="33">
                  <c:v>5045</c:v>
                </c:pt>
                <c:pt idx="34">
                  <c:v>4562</c:v>
                </c:pt>
                <c:pt idx="35">
                  <c:v>4654</c:v>
                </c:pt>
                <c:pt idx="36">
                  <c:v>4713</c:v>
                </c:pt>
                <c:pt idx="37">
                  <c:v>5384</c:v>
                </c:pt>
                <c:pt idx="38">
                  <c:v>4152</c:v>
                </c:pt>
                <c:pt idx="39">
                  <c:v>4137</c:v>
                </c:pt>
                <c:pt idx="40">
                  <c:v>4166</c:v>
                </c:pt>
                <c:pt idx="41">
                  <c:v>3954</c:v>
                </c:pt>
                <c:pt idx="42">
                  <c:v>3953</c:v>
                </c:pt>
                <c:pt idx="43">
                  <c:v>3744</c:v>
                </c:pt>
                <c:pt idx="44">
                  <c:v>3790</c:v>
                </c:pt>
                <c:pt idx="45">
                  <c:v>3566</c:v>
                </c:pt>
                <c:pt idx="46">
                  <c:v>3905</c:v>
                </c:pt>
                <c:pt idx="47">
                  <c:v>3254</c:v>
                </c:pt>
                <c:pt idx="48">
                  <c:v>3242</c:v>
                </c:pt>
                <c:pt idx="49">
                  <c:v>3103</c:v>
                </c:pt>
                <c:pt idx="50">
                  <c:v>3235</c:v>
                </c:pt>
                <c:pt idx="51">
                  <c:v>2723</c:v>
                </c:pt>
                <c:pt idx="52">
                  <c:v>2893</c:v>
                </c:pt>
                <c:pt idx="53">
                  <c:v>2803</c:v>
                </c:pt>
                <c:pt idx="54">
                  <c:v>2634</c:v>
                </c:pt>
                <c:pt idx="55">
                  <c:v>2615</c:v>
                </c:pt>
                <c:pt idx="56">
                  <c:v>2504</c:v>
                </c:pt>
                <c:pt idx="57">
                  <c:v>2505</c:v>
                </c:pt>
                <c:pt idx="58">
                  <c:v>2372</c:v>
                </c:pt>
                <c:pt idx="59">
                  <c:v>2596</c:v>
                </c:pt>
                <c:pt idx="60">
                  <c:v>2075</c:v>
                </c:pt>
                <c:pt idx="61">
                  <c:v>2141</c:v>
                </c:pt>
                <c:pt idx="62">
                  <c:v>2065</c:v>
                </c:pt>
                <c:pt idx="63">
                  <c:v>2003</c:v>
                </c:pt>
                <c:pt idx="64">
                  <c:v>1657</c:v>
                </c:pt>
                <c:pt idx="65">
                  <c:v>1705</c:v>
                </c:pt>
                <c:pt idx="66">
                  <c:v>1841</c:v>
                </c:pt>
                <c:pt idx="67">
                  <c:v>1643</c:v>
                </c:pt>
                <c:pt idx="68">
                  <c:v>1712</c:v>
                </c:pt>
                <c:pt idx="69">
                  <c:v>1496</c:v>
                </c:pt>
                <c:pt idx="70">
                  <c:v>1417</c:v>
                </c:pt>
                <c:pt idx="71">
                  <c:v>1070</c:v>
                </c:pt>
                <c:pt idx="72">
                  <c:v>1061</c:v>
                </c:pt>
                <c:pt idx="73">
                  <c:v>1127</c:v>
                </c:pt>
                <c:pt idx="74">
                  <c:v>1071</c:v>
                </c:pt>
                <c:pt idx="75">
                  <c:v>885</c:v>
                </c:pt>
                <c:pt idx="76">
                  <c:v>1086</c:v>
                </c:pt>
                <c:pt idx="77">
                  <c:v>1012</c:v>
                </c:pt>
                <c:pt idx="78">
                  <c:v>828</c:v>
                </c:pt>
                <c:pt idx="79">
                  <c:v>772</c:v>
                </c:pt>
                <c:pt idx="80">
                  <c:v>975</c:v>
                </c:pt>
                <c:pt idx="81">
                  <c:v>967</c:v>
                </c:pt>
                <c:pt idx="82">
                  <c:v>945</c:v>
                </c:pt>
                <c:pt idx="83">
                  <c:v>991</c:v>
                </c:pt>
                <c:pt idx="84">
                  <c:v>1097</c:v>
                </c:pt>
                <c:pt idx="85">
                  <c:v>1149</c:v>
                </c:pt>
                <c:pt idx="86">
                  <c:v>998</c:v>
                </c:pt>
                <c:pt idx="87">
                  <c:v>1022</c:v>
                </c:pt>
                <c:pt idx="88">
                  <c:v>969</c:v>
                </c:pt>
                <c:pt idx="89">
                  <c:v>1215</c:v>
                </c:pt>
                <c:pt idx="90">
                  <c:v>943</c:v>
                </c:pt>
                <c:pt idx="91">
                  <c:v>949</c:v>
                </c:pt>
                <c:pt idx="92">
                  <c:v>887</c:v>
                </c:pt>
                <c:pt idx="93">
                  <c:v>988</c:v>
                </c:pt>
                <c:pt idx="94">
                  <c:v>985</c:v>
                </c:pt>
                <c:pt idx="95">
                  <c:v>875</c:v>
                </c:pt>
                <c:pt idx="96">
                  <c:v>811</c:v>
                </c:pt>
                <c:pt idx="97">
                  <c:v>849</c:v>
                </c:pt>
                <c:pt idx="98">
                  <c:v>987</c:v>
                </c:pt>
                <c:pt idx="99">
                  <c:v>872</c:v>
                </c:pt>
                <c:pt idx="100">
                  <c:v>741</c:v>
                </c:pt>
                <c:pt idx="101">
                  <c:v>729</c:v>
                </c:pt>
                <c:pt idx="102">
                  <c:v>836</c:v>
                </c:pt>
                <c:pt idx="103">
                  <c:v>618</c:v>
                </c:pt>
                <c:pt idx="104">
                  <c:v>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C2-4155-B975-7E9D38E49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v>4 Week Avg (Boom)</c:v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PolCount!$G$5:$G$109</c:f>
              <c:numCache>
                <c:formatCode>#,##0</c:formatCode>
                <c:ptCount val="105"/>
                <c:pt idx="3">
                  <c:v>4214.5</c:v>
                </c:pt>
                <c:pt idx="4">
                  <c:v>4204.5</c:v>
                </c:pt>
                <c:pt idx="5">
                  <c:v>4167.5</c:v>
                </c:pt>
                <c:pt idx="6">
                  <c:v>4070.75</c:v>
                </c:pt>
                <c:pt idx="7">
                  <c:v>4224.75</c:v>
                </c:pt>
                <c:pt idx="8">
                  <c:v>4199.25</c:v>
                </c:pt>
                <c:pt idx="9">
                  <c:v>4271.5</c:v>
                </c:pt>
                <c:pt idx="10">
                  <c:v>4341.5</c:v>
                </c:pt>
                <c:pt idx="11">
                  <c:v>4410</c:v>
                </c:pt>
                <c:pt idx="12">
                  <c:v>4512.25</c:v>
                </c:pt>
                <c:pt idx="13">
                  <c:v>4555.25</c:v>
                </c:pt>
                <c:pt idx="14">
                  <c:v>4611.5</c:v>
                </c:pt>
                <c:pt idx="15">
                  <c:v>4904.25</c:v>
                </c:pt>
                <c:pt idx="16">
                  <c:v>4951.25</c:v>
                </c:pt>
                <c:pt idx="17">
                  <c:v>5011.25</c:v>
                </c:pt>
                <c:pt idx="18">
                  <c:v>5055.25</c:v>
                </c:pt>
                <c:pt idx="19">
                  <c:v>4781.75</c:v>
                </c:pt>
                <c:pt idx="20">
                  <c:v>4918.5</c:v>
                </c:pt>
                <c:pt idx="21">
                  <c:v>4926.5</c:v>
                </c:pt>
                <c:pt idx="22">
                  <c:v>4954.25</c:v>
                </c:pt>
                <c:pt idx="23">
                  <c:v>4989.5</c:v>
                </c:pt>
                <c:pt idx="24">
                  <c:v>5148.25</c:v>
                </c:pt>
                <c:pt idx="25">
                  <c:v>5109.25</c:v>
                </c:pt>
                <c:pt idx="26">
                  <c:v>5120.75</c:v>
                </c:pt>
                <c:pt idx="27">
                  <c:v>5155</c:v>
                </c:pt>
                <c:pt idx="28">
                  <c:v>5423.25</c:v>
                </c:pt>
                <c:pt idx="29">
                  <c:v>5447.25</c:v>
                </c:pt>
                <c:pt idx="30">
                  <c:v>5429.25</c:v>
                </c:pt>
                <c:pt idx="31">
                  <c:v>5409.25</c:v>
                </c:pt>
                <c:pt idx="32">
                  <c:v>5003.5</c:v>
                </c:pt>
                <c:pt idx="33">
                  <c:v>5070</c:v>
                </c:pt>
                <c:pt idx="34">
                  <c:v>4961.75</c:v>
                </c:pt>
                <c:pt idx="35">
                  <c:v>4844</c:v>
                </c:pt>
                <c:pt idx="36">
                  <c:v>4743.5</c:v>
                </c:pt>
                <c:pt idx="37">
                  <c:v>4828.25</c:v>
                </c:pt>
                <c:pt idx="38">
                  <c:v>4725.75</c:v>
                </c:pt>
                <c:pt idx="39">
                  <c:v>4596.5</c:v>
                </c:pt>
                <c:pt idx="40">
                  <c:v>4459.75</c:v>
                </c:pt>
                <c:pt idx="41">
                  <c:v>4102.25</c:v>
                </c:pt>
                <c:pt idx="42">
                  <c:v>4052.5</c:v>
                </c:pt>
                <c:pt idx="43">
                  <c:v>3954.25</c:v>
                </c:pt>
                <c:pt idx="44">
                  <c:v>3860.25</c:v>
                </c:pt>
                <c:pt idx="45">
                  <c:v>3763.25</c:v>
                </c:pt>
                <c:pt idx="46">
                  <c:v>3751.25</c:v>
                </c:pt>
                <c:pt idx="47">
                  <c:v>3628.75</c:v>
                </c:pt>
                <c:pt idx="48">
                  <c:v>3491.75</c:v>
                </c:pt>
                <c:pt idx="49">
                  <c:v>3376</c:v>
                </c:pt>
                <c:pt idx="50">
                  <c:v>3208.5</c:v>
                </c:pt>
                <c:pt idx="51">
                  <c:v>3075.75</c:v>
                </c:pt>
                <c:pt idx="52">
                  <c:v>2988.5</c:v>
                </c:pt>
                <c:pt idx="53">
                  <c:v>2913.5</c:v>
                </c:pt>
                <c:pt idx="54">
                  <c:v>2763.25</c:v>
                </c:pt>
                <c:pt idx="55">
                  <c:v>2736.25</c:v>
                </c:pt>
                <c:pt idx="56">
                  <c:v>2639</c:v>
                </c:pt>
                <c:pt idx="57">
                  <c:v>2564.5</c:v>
                </c:pt>
                <c:pt idx="58">
                  <c:v>2499</c:v>
                </c:pt>
                <c:pt idx="59">
                  <c:v>2494.25</c:v>
                </c:pt>
                <c:pt idx="60">
                  <c:v>2387</c:v>
                </c:pt>
                <c:pt idx="61">
                  <c:v>2296</c:v>
                </c:pt>
                <c:pt idx="62">
                  <c:v>2219.25</c:v>
                </c:pt>
                <c:pt idx="63">
                  <c:v>2071</c:v>
                </c:pt>
                <c:pt idx="64">
                  <c:v>1966.5</c:v>
                </c:pt>
                <c:pt idx="65">
                  <c:v>1857.5</c:v>
                </c:pt>
                <c:pt idx="66">
                  <c:v>1801.5</c:v>
                </c:pt>
                <c:pt idx="67">
                  <c:v>1711.5</c:v>
                </c:pt>
                <c:pt idx="68">
                  <c:v>1725.25</c:v>
                </c:pt>
                <c:pt idx="69">
                  <c:v>1673</c:v>
                </c:pt>
                <c:pt idx="70">
                  <c:v>1567</c:v>
                </c:pt>
                <c:pt idx="71">
                  <c:v>1423.75</c:v>
                </c:pt>
                <c:pt idx="72">
                  <c:v>1261</c:v>
                </c:pt>
                <c:pt idx="73">
                  <c:v>1168.75</c:v>
                </c:pt>
                <c:pt idx="74">
                  <c:v>1082.25</c:v>
                </c:pt>
                <c:pt idx="75">
                  <c:v>1036</c:v>
                </c:pt>
                <c:pt idx="76">
                  <c:v>1042.25</c:v>
                </c:pt>
                <c:pt idx="77">
                  <c:v>1013.5</c:v>
                </c:pt>
                <c:pt idx="78">
                  <c:v>952.75</c:v>
                </c:pt>
                <c:pt idx="79">
                  <c:v>924.5</c:v>
                </c:pt>
                <c:pt idx="80">
                  <c:v>896.75</c:v>
                </c:pt>
                <c:pt idx="81">
                  <c:v>885.5</c:v>
                </c:pt>
                <c:pt idx="82">
                  <c:v>914.75</c:v>
                </c:pt>
                <c:pt idx="83">
                  <c:v>969.5</c:v>
                </c:pt>
                <c:pt idx="84">
                  <c:v>1000</c:v>
                </c:pt>
                <c:pt idx="85">
                  <c:v>1045.5</c:v>
                </c:pt>
                <c:pt idx="86">
                  <c:v>1058.75</c:v>
                </c:pt>
                <c:pt idx="87">
                  <c:v>1066.5</c:v>
                </c:pt>
                <c:pt idx="88">
                  <c:v>1034.5</c:v>
                </c:pt>
                <c:pt idx="89">
                  <c:v>1051</c:v>
                </c:pt>
                <c:pt idx="90">
                  <c:v>1037.25</c:v>
                </c:pt>
                <c:pt idx="91">
                  <c:v>1019</c:v>
                </c:pt>
                <c:pt idx="92">
                  <c:v>998.5</c:v>
                </c:pt>
                <c:pt idx="93">
                  <c:v>941.75</c:v>
                </c:pt>
                <c:pt idx="94">
                  <c:v>952.25</c:v>
                </c:pt>
                <c:pt idx="95">
                  <c:v>933.75</c:v>
                </c:pt>
                <c:pt idx="96">
                  <c:v>914.75</c:v>
                </c:pt>
                <c:pt idx="97">
                  <c:v>880</c:v>
                </c:pt>
                <c:pt idx="98">
                  <c:v>880.5</c:v>
                </c:pt>
                <c:pt idx="99">
                  <c:v>879.75</c:v>
                </c:pt>
                <c:pt idx="100">
                  <c:v>862.25</c:v>
                </c:pt>
                <c:pt idx="101">
                  <c:v>832.25</c:v>
                </c:pt>
                <c:pt idx="102">
                  <c:v>794.5</c:v>
                </c:pt>
                <c:pt idx="103">
                  <c:v>731</c:v>
                </c:pt>
                <c:pt idx="104">
                  <c:v>731.5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C2-4155-B975-7E9D38E49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 (Excl. Monthly Renewals):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PolCount!$N$4</c:f>
              <c:strCache>
                <c:ptCount val="1"/>
                <c:pt idx="0">
                  <c:v>Policy Count (Boom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PolCount!$N$5:$N$109</c:f>
              <c:numCache>
                <c:formatCode>#,##0</c:formatCode>
                <c:ptCount val="105"/>
                <c:pt idx="0">
                  <c:v>406</c:v>
                </c:pt>
                <c:pt idx="1">
                  <c:v>401</c:v>
                </c:pt>
                <c:pt idx="2">
                  <c:v>368</c:v>
                </c:pt>
                <c:pt idx="3">
                  <c:v>396</c:v>
                </c:pt>
                <c:pt idx="4">
                  <c:v>376</c:v>
                </c:pt>
                <c:pt idx="5">
                  <c:v>429</c:v>
                </c:pt>
                <c:pt idx="6">
                  <c:v>432</c:v>
                </c:pt>
                <c:pt idx="7">
                  <c:v>398</c:v>
                </c:pt>
                <c:pt idx="8">
                  <c:v>508</c:v>
                </c:pt>
                <c:pt idx="9">
                  <c:v>703</c:v>
                </c:pt>
                <c:pt idx="10">
                  <c:v>751</c:v>
                </c:pt>
                <c:pt idx="11">
                  <c:v>917</c:v>
                </c:pt>
                <c:pt idx="12">
                  <c:v>795</c:v>
                </c:pt>
                <c:pt idx="13">
                  <c:v>829</c:v>
                </c:pt>
                <c:pt idx="14">
                  <c:v>699</c:v>
                </c:pt>
                <c:pt idx="15">
                  <c:v>910</c:v>
                </c:pt>
                <c:pt idx="16">
                  <c:v>717</c:v>
                </c:pt>
                <c:pt idx="17">
                  <c:v>706</c:v>
                </c:pt>
                <c:pt idx="18">
                  <c:v>715</c:v>
                </c:pt>
                <c:pt idx="19">
                  <c:v>557</c:v>
                </c:pt>
                <c:pt idx="20">
                  <c:v>620</c:v>
                </c:pt>
                <c:pt idx="21">
                  <c:v>660</c:v>
                </c:pt>
                <c:pt idx="22">
                  <c:v>685</c:v>
                </c:pt>
                <c:pt idx="23">
                  <c:v>518</c:v>
                </c:pt>
                <c:pt idx="24">
                  <c:v>338</c:v>
                </c:pt>
                <c:pt idx="25">
                  <c:v>173</c:v>
                </c:pt>
                <c:pt idx="26">
                  <c:v>146</c:v>
                </c:pt>
                <c:pt idx="27">
                  <c:v>51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E-4301-9998-29C19727A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PolCount!$O$4</c:f>
              <c:strCache>
                <c:ptCount val="1"/>
                <c:pt idx="0">
                  <c:v>4 Week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PolCount!$O$5:$O$109</c:f>
              <c:numCache>
                <c:formatCode>#,##0</c:formatCode>
                <c:ptCount val="105"/>
                <c:pt idx="3">
                  <c:v>392.75</c:v>
                </c:pt>
                <c:pt idx="4">
                  <c:v>385.25</c:v>
                </c:pt>
                <c:pt idx="5">
                  <c:v>392.25</c:v>
                </c:pt>
                <c:pt idx="6">
                  <c:v>408.25</c:v>
                </c:pt>
                <c:pt idx="7">
                  <c:v>408.75</c:v>
                </c:pt>
                <c:pt idx="8">
                  <c:v>441.75</c:v>
                </c:pt>
                <c:pt idx="9">
                  <c:v>510.25</c:v>
                </c:pt>
                <c:pt idx="10">
                  <c:v>590</c:v>
                </c:pt>
                <c:pt idx="11">
                  <c:v>719.75</c:v>
                </c:pt>
                <c:pt idx="12">
                  <c:v>791.5</c:v>
                </c:pt>
                <c:pt idx="13">
                  <c:v>823</c:v>
                </c:pt>
                <c:pt idx="14">
                  <c:v>810</c:v>
                </c:pt>
                <c:pt idx="15">
                  <c:v>808.25</c:v>
                </c:pt>
                <c:pt idx="16">
                  <c:v>788.75</c:v>
                </c:pt>
                <c:pt idx="17">
                  <c:v>758</c:v>
                </c:pt>
                <c:pt idx="18">
                  <c:v>762</c:v>
                </c:pt>
                <c:pt idx="19">
                  <c:v>673.75</c:v>
                </c:pt>
                <c:pt idx="20">
                  <c:v>649.5</c:v>
                </c:pt>
                <c:pt idx="21">
                  <c:v>638</c:v>
                </c:pt>
                <c:pt idx="22">
                  <c:v>630.5</c:v>
                </c:pt>
                <c:pt idx="23">
                  <c:v>620.75</c:v>
                </c:pt>
                <c:pt idx="24">
                  <c:v>550.25</c:v>
                </c:pt>
                <c:pt idx="25">
                  <c:v>428.5</c:v>
                </c:pt>
                <c:pt idx="26">
                  <c:v>293.75</c:v>
                </c:pt>
                <c:pt idx="27">
                  <c:v>177</c:v>
                </c:pt>
                <c:pt idx="28">
                  <c:v>92.75</c:v>
                </c:pt>
                <c:pt idx="29">
                  <c:v>49.5</c:v>
                </c:pt>
                <c:pt idx="30">
                  <c:v>13</c:v>
                </c:pt>
                <c:pt idx="31">
                  <c:v>0.25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5E-4301-9998-29C19727A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 (Incl. Monthly Renewals):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Policy Count (Boom Subscription)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PolCount!$R$5:$R$109</c:f>
              <c:numCache>
                <c:formatCode>#,##0</c:formatCode>
                <c:ptCount val="105"/>
                <c:pt idx="0">
                  <c:v>3782</c:v>
                </c:pt>
                <c:pt idx="1">
                  <c:v>4016</c:v>
                </c:pt>
                <c:pt idx="2">
                  <c:v>4375</c:v>
                </c:pt>
                <c:pt idx="3">
                  <c:v>3747</c:v>
                </c:pt>
                <c:pt idx="4">
                  <c:v>3766</c:v>
                </c:pt>
                <c:pt idx="5">
                  <c:v>3884</c:v>
                </c:pt>
                <c:pt idx="6">
                  <c:v>4025</c:v>
                </c:pt>
                <c:pt idx="7">
                  <c:v>4403</c:v>
                </c:pt>
                <c:pt idx="8">
                  <c:v>3649</c:v>
                </c:pt>
                <c:pt idx="9">
                  <c:v>4110</c:v>
                </c:pt>
                <c:pt idx="10">
                  <c:v>4192</c:v>
                </c:pt>
                <c:pt idx="11">
                  <c:v>4383</c:v>
                </c:pt>
                <c:pt idx="12">
                  <c:v>3909</c:v>
                </c:pt>
                <c:pt idx="13">
                  <c:v>4140</c:v>
                </c:pt>
                <c:pt idx="14">
                  <c:v>4253</c:v>
                </c:pt>
                <c:pt idx="15">
                  <c:v>5435</c:v>
                </c:pt>
                <c:pt idx="16">
                  <c:v>4085</c:v>
                </c:pt>
                <c:pt idx="17">
                  <c:v>4364</c:v>
                </c:pt>
                <c:pt idx="18">
                  <c:v>4474</c:v>
                </c:pt>
                <c:pt idx="19">
                  <c:v>4598</c:v>
                </c:pt>
                <c:pt idx="20">
                  <c:v>4696</c:v>
                </c:pt>
                <c:pt idx="21">
                  <c:v>4410</c:v>
                </c:pt>
                <c:pt idx="22">
                  <c:v>4620</c:v>
                </c:pt>
                <c:pt idx="23">
                  <c:v>4494</c:v>
                </c:pt>
                <c:pt idx="24">
                  <c:v>4754</c:v>
                </c:pt>
                <c:pt idx="25">
                  <c:v>3968</c:v>
                </c:pt>
                <c:pt idx="26">
                  <c:v>4287</c:v>
                </c:pt>
                <c:pt idx="27">
                  <c:v>4196</c:v>
                </c:pt>
                <c:pt idx="28">
                  <c:v>5382</c:v>
                </c:pt>
                <c:pt idx="29">
                  <c:v>3548</c:v>
                </c:pt>
                <c:pt idx="30">
                  <c:v>3752</c:v>
                </c:pt>
                <c:pt idx="31">
                  <c:v>3794</c:v>
                </c:pt>
                <c:pt idx="32">
                  <c:v>3583</c:v>
                </c:pt>
                <c:pt idx="33">
                  <c:v>3533</c:v>
                </c:pt>
                <c:pt idx="34">
                  <c:v>3220</c:v>
                </c:pt>
                <c:pt idx="35">
                  <c:v>3346</c:v>
                </c:pt>
                <c:pt idx="36">
                  <c:v>3177</c:v>
                </c:pt>
                <c:pt idx="37">
                  <c:v>3795</c:v>
                </c:pt>
                <c:pt idx="38">
                  <c:v>2854</c:v>
                </c:pt>
                <c:pt idx="39">
                  <c:v>2900</c:v>
                </c:pt>
                <c:pt idx="40">
                  <c:v>2799</c:v>
                </c:pt>
                <c:pt idx="41">
                  <c:v>2620</c:v>
                </c:pt>
                <c:pt idx="42">
                  <c:v>2685</c:v>
                </c:pt>
                <c:pt idx="43">
                  <c:v>2585</c:v>
                </c:pt>
                <c:pt idx="44">
                  <c:v>2635</c:v>
                </c:pt>
                <c:pt idx="45">
                  <c:v>2391</c:v>
                </c:pt>
                <c:pt idx="46">
                  <c:v>2751</c:v>
                </c:pt>
                <c:pt idx="47">
                  <c:v>2275</c:v>
                </c:pt>
                <c:pt idx="48">
                  <c:v>2323</c:v>
                </c:pt>
                <c:pt idx="49">
                  <c:v>2149</c:v>
                </c:pt>
                <c:pt idx="50">
                  <c:v>2199</c:v>
                </c:pt>
                <c:pt idx="51">
                  <c:v>1887</c:v>
                </c:pt>
                <c:pt idx="52">
                  <c:v>2086</c:v>
                </c:pt>
                <c:pt idx="53">
                  <c:v>1956</c:v>
                </c:pt>
                <c:pt idx="54">
                  <c:v>1842</c:v>
                </c:pt>
                <c:pt idx="55">
                  <c:v>1675</c:v>
                </c:pt>
                <c:pt idx="56">
                  <c:v>1734</c:v>
                </c:pt>
                <c:pt idx="57">
                  <c:v>1696</c:v>
                </c:pt>
                <c:pt idx="58">
                  <c:v>1496</c:v>
                </c:pt>
                <c:pt idx="59">
                  <c:v>1763</c:v>
                </c:pt>
                <c:pt idx="60">
                  <c:v>1391</c:v>
                </c:pt>
                <c:pt idx="61">
                  <c:v>1344</c:v>
                </c:pt>
                <c:pt idx="62">
                  <c:v>1176</c:v>
                </c:pt>
                <c:pt idx="63">
                  <c:v>1044</c:v>
                </c:pt>
                <c:pt idx="64">
                  <c:v>871</c:v>
                </c:pt>
                <c:pt idx="65">
                  <c:v>898</c:v>
                </c:pt>
                <c:pt idx="66">
                  <c:v>821</c:v>
                </c:pt>
                <c:pt idx="67">
                  <c:v>575</c:v>
                </c:pt>
                <c:pt idx="68">
                  <c:v>599</c:v>
                </c:pt>
                <c:pt idx="69">
                  <c:v>512</c:v>
                </c:pt>
                <c:pt idx="70">
                  <c:v>449</c:v>
                </c:pt>
                <c:pt idx="71">
                  <c:v>309</c:v>
                </c:pt>
                <c:pt idx="72">
                  <c:v>198</c:v>
                </c:pt>
                <c:pt idx="73">
                  <c:v>129</c:v>
                </c:pt>
                <c:pt idx="74">
                  <c:v>90</c:v>
                </c:pt>
                <c:pt idx="75">
                  <c:v>17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A6-4EC6-BFA2-7F93AC028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v>4 Week Avg (Boom Subscription)</c:v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PolCount!$S$5:$S$109</c:f>
              <c:numCache>
                <c:formatCode>#,##0</c:formatCode>
                <c:ptCount val="105"/>
                <c:pt idx="3">
                  <c:v>3980</c:v>
                </c:pt>
                <c:pt idx="4">
                  <c:v>3976</c:v>
                </c:pt>
                <c:pt idx="5">
                  <c:v>3943</c:v>
                </c:pt>
                <c:pt idx="6">
                  <c:v>3855.5</c:v>
                </c:pt>
                <c:pt idx="7">
                  <c:v>4019.5</c:v>
                </c:pt>
                <c:pt idx="8">
                  <c:v>3990.25</c:v>
                </c:pt>
                <c:pt idx="9">
                  <c:v>4046.75</c:v>
                </c:pt>
                <c:pt idx="10">
                  <c:v>4088.5</c:v>
                </c:pt>
                <c:pt idx="11">
                  <c:v>4083.5</c:v>
                </c:pt>
                <c:pt idx="12">
                  <c:v>4148.5</c:v>
                </c:pt>
                <c:pt idx="13">
                  <c:v>4156</c:v>
                </c:pt>
                <c:pt idx="14">
                  <c:v>4171.25</c:v>
                </c:pt>
                <c:pt idx="15">
                  <c:v>4434.25</c:v>
                </c:pt>
                <c:pt idx="16">
                  <c:v>4478.25</c:v>
                </c:pt>
                <c:pt idx="17">
                  <c:v>4534.25</c:v>
                </c:pt>
                <c:pt idx="18">
                  <c:v>4589.5</c:v>
                </c:pt>
                <c:pt idx="19">
                  <c:v>4380.25</c:v>
                </c:pt>
                <c:pt idx="20">
                  <c:v>4533</c:v>
                </c:pt>
                <c:pt idx="21">
                  <c:v>4544.5</c:v>
                </c:pt>
                <c:pt idx="22">
                  <c:v>4581</c:v>
                </c:pt>
                <c:pt idx="23">
                  <c:v>4555</c:v>
                </c:pt>
                <c:pt idx="24">
                  <c:v>4569.5</c:v>
                </c:pt>
                <c:pt idx="25">
                  <c:v>4459</c:v>
                </c:pt>
                <c:pt idx="26">
                  <c:v>4375.75</c:v>
                </c:pt>
                <c:pt idx="27">
                  <c:v>4301.25</c:v>
                </c:pt>
                <c:pt idx="28">
                  <c:v>4458.25</c:v>
                </c:pt>
                <c:pt idx="29">
                  <c:v>4353.25</c:v>
                </c:pt>
                <c:pt idx="30">
                  <c:v>4219.5</c:v>
                </c:pt>
                <c:pt idx="31">
                  <c:v>4119</c:v>
                </c:pt>
                <c:pt idx="32">
                  <c:v>3669.25</c:v>
                </c:pt>
                <c:pt idx="33">
                  <c:v>3665.5</c:v>
                </c:pt>
                <c:pt idx="34">
                  <c:v>3532.5</c:v>
                </c:pt>
                <c:pt idx="35">
                  <c:v>3420.5</c:v>
                </c:pt>
                <c:pt idx="36">
                  <c:v>3319</c:v>
                </c:pt>
                <c:pt idx="37">
                  <c:v>3384.5</c:v>
                </c:pt>
                <c:pt idx="38">
                  <c:v>3293</c:v>
                </c:pt>
                <c:pt idx="39">
                  <c:v>3181.5</c:v>
                </c:pt>
                <c:pt idx="40">
                  <c:v>3087</c:v>
                </c:pt>
                <c:pt idx="41">
                  <c:v>2793.25</c:v>
                </c:pt>
                <c:pt idx="42">
                  <c:v>2751</c:v>
                </c:pt>
                <c:pt idx="43">
                  <c:v>2672.25</c:v>
                </c:pt>
                <c:pt idx="44">
                  <c:v>2631.25</c:v>
                </c:pt>
                <c:pt idx="45">
                  <c:v>2574</c:v>
                </c:pt>
                <c:pt idx="46">
                  <c:v>2590.5</c:v>
                </c:pt>
                <c:pt idx="47">
                  <c:v>2513</c:v>
                </c:pt>
                <c:pt idx="48">
                  <c:v>2435</c:v>
                </c:pt>
                <c:pt idx="49">
                  <c:v>2374.5</c:v>
                </c:pt>
                <c:pt idx="50">
                  <c:v>2236.5</c:v>
                </c:pt>
                <c:pt idx="51">
                  <c:v>2139.5</c:v>
                </c:pt>
                <c:pt idx="52">
                  <c:v>2080.25</c:v>
                </c:pt>
                <c:pt idx="53">
                  <c:v>2032</c:v>
                </c:pt>
                <c:pt idx="54">
                  <c:v>1942.75</c:v>
                </c:pt>
                <c:pt idx="55">
                  <c:v>1889.75</c:v>
                </c:pt>
                <c:pt idx="56">
                  <c:v>1801.75</c:v>
                </c:pt>
                <c:pt idx="57">
                  <c:v>1736.75</c:v>
                </c:pt>
                <c:pt idx="58">
                  <c:v>1650.25</c:v>
                </c:pt>
                <c:pt idx="59">
                  <c:v>1672.25</c:v>
                </c:pt>
                <c:pt idx="60">
                  <c:v>1586.5</c:v>
                </c:pt>
                <c:pt idx="61">
                  <c:v>1498.5</c:v>
                </c:pt>
                <c:pt idx="62">
                  <c:v>1418.5</c:v>
                </c:pt>
                <c:pt idx="63">
                  <c:v>1238.75</c:v>
                </c:pt>
                <c:pt idx="64">
                  <c:v>1108.75</c:v>
                </c:pt>
                <c:pt idx="65">
                  <c:v>997.25</c:v>
                </c:pt>
                <c:pt idx="66">
                  <c:v>908.5</c:v>
                </c:pt>
                <c:pt idx="67">
                  <c:v>791.25</c:v>
                </c:pt>
                <c:pt idx="68">
                  <c:v>723.25</c:v>
                </c:pt>
                <c:pt idx="69">
                  <c:v>626.75</c:v>
                </c:pt>
                <c:pt idx="70">
                  <c:v>533.75</c:v>
                </c:pt>
                <c:pt idx="71">
                  <c:v>467.25</c:v>
                </c:pt>
                <c:pt idx="72">
                  <c:v>367</c:v>
                </c:pt>
                <c:pt idx="73">
                  <c:v>271.25</c:v>
                </c:pt>
                <c:pt idx="74">
                  <c:v>181.5</c:v>
                </c:pt>
                <c:pt idx="75">
                  <c:v>108.5</c:v>
                </c:pt>
                <c:pt idx="76">
                  <c:v>59.25</c:v>
                </c:pt>
                <c:pt idx="77">
                  <c:v>27</c:v>
                </c:pt>
                <c:pt idx="78">
                  <c:v>4.5</c:v>
                </c:pt>
                <c:pt idx="79">
                  <c:v>0.25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6-4EC6-BFA2-7F93AC028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PolCount!$J$4</c:f>
              <c:strCache>
                <c:ptCount val="1"/>
                <c:pt idx="0">
                  <c:v>Policy Count (Boom Annual Up Front)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PolCount!$J$5:$J$109</c:f>
              <c:numCache>
                <c:formatCode>#,##0</c:formatCode>
                <c:ptCount val="105"/>
                <c:pt idx="0">
                  <c:v>246</c:v>
                </c:pt>
                <c:pt idx="1">
                  <c:v>238</c:v>
                </c:pt>
                <c:pt idx="2">
                  <c:v>241</c:v>
                </c:pt>
                <c:pt idx="3">
                  <c:v>213</c:v>
                </c:pt>
                <c:pt idx="4">
                  <c:v>222</c:v>
                </c:pt>
                <c:pt idx="5">
                  <c:v>222</c:v>
                </c:pt>
                <c:pt idx="6">
                  <c:v>204</c:v>
                </c:pt>
                <c:pt idx="7">
                  <c:v>173</c:v>
                </c:pt>
                <c:pt idx="8">
                  <c:v>237</c:v>
                </c:pt>
                <c:pt idx="9">
                  <c:v>285</c:v>
                </c:pt>
                <c:pt idx="10">
                  <c:v>317</c:v>
                </c:pt>
                <c:pt idx="11">
                  <c:v>467</c:v>
                </c:pt>
                <c:pt idx="12">
                  <c:v>386</c:v>
                </c:pt>
                <c:pt idx="13">
                  <c:v>427</c:v>
                </c:pt>
                <c:pt idx="14">
                  <c:v>481</c:v>
                </c:pt>
                <c:pt idx="15">
                  <c:v>586</c:v>
                </c:pt>
                <c:pt idx="16">
                  <c:v>398</c:v>
                </c:pt>
                <c:pt idx="17">
                  <c:v>443</c:v>
                </c:pt>
                <c:pt idx="18">
                  <c:v>436</c:v>
                </c:pt>
                <c:pt idx="19">
                  <c:v>329</c:v>
                </c:pt>
                <c:pt idx="20">
                  <c:v>334</c:v>
                </c:pt>
                <c:pt idx="21">
                  <c:v>429</c:v>
                </c:pt>
                <c:pt idx="22">
                  <c:v>401</c:v>
                </c:pt>
                <c:pt idx="23">
                  <c:v>438</c:v>
                </c:pt>
                <c:pt idx="24">
                  <c:v>498</c:v>
                </c:pt>
                <c:pt idx="25">
                  <c:v>353</c:v>
                </c:pt>
                <c:pt idx="26">
                  <c:v>380</c:v>
                </c:pt>
                <c:pt idx="27">
                  <c:v>410</c:v>
                </c:pt>
                <c:pt idx="28">
                  <c:v>458</c:v>
                </c:pt>
                <c:pt idx="29">
                  <c:v>429</c:v>
                </c:pt>
                <c:pt idx="30">
                  <c:v>492</c:v>
                </c:pt>
                <c:pt idx="31">
                  <c:v>467</c:v>
                </c:pt>
                <c:pt idx="32">
                  <c:v>488</c:v>
                </c:pt>
                <c:pt idx="33">
                  <c:v>521</c:v>
                </c:pt>
                <c:pt idx="34">
                  <c:v>466</c:v>
                </c:pt>
                <c:pt idx="35">
                  <c:v>420</c:v>
                </c:pt>
                <c:pt idx="36">
                  <c:v>465</c:v>
                </c:pt>
                <c:pt idx="37">
                  <c:v>548</c:v>
                </c:pt>
                <c:pt idx="38">
                  <c:v>448</c:v>
                </c:pt>
                <c:pt idx="39">
                  <c:v>446</c:v>
                </c:pt>
                <c:pt idx="40">
                  <c:v>476</c:v>
                </c:pt>
                <c:pt idx="41">
                  <c:v>425</c:v>
                </c:pt>
                <c:pt idx="42">
                  <c:v>421</c:v>
                </c:pt>
                <c:pt idx="43">
                  <c:v>391</c:v>
                </c:pt>
                <c:pt idx="44">
                  <c:v>420</c:v>
                </c:pt>
                <c:pt idx="45">
                  <c:v>345</c:v>
                </c:pt>
                <c:pt idx="46">
                  <c:v>370</c:v>
                </c:pt>
                <c:pt idx="47">
                  <c:v>319</c:v>
                </c:pt>
                <c:pt idx="48">
                  <c:v>291</c:v>
                </c:pt>
                <c:pt idx="49">
                  <c:v>298</c:v>
                </c:pt>
                <c:pt idx="50">
                  <c:v>318</c:v>
                </c:pt>
                <c:pt idx="51">
                  <c:v>237</c:v>
                </c:pt>
                <c:pt idx="52">
                  <c:v>254</c:v>
                </c:pt>
                <c:pt idx="53">
                  <c:v>288</c:v>
                </c:pt>
                <c:pt idx="54">
                  <c:v>240</c:v>
                </c:pt>
                <c:pt idx="55">
                  <c:v>298</c:v>
                </c:pt>
                <c:pt idx="56">
                  <c:v>256</c:v>
                </c:pt>
                <c:pt idx="57">
                  <c:v>261</c:v>
                </c:pt>
                <c:pt idx="58">
                  <c:v>250</c:v>
                </c:pt>
                <c:pt idx="59">
                  <c:v>257</c:v>
                </c:pt>
                <c:pt idx="60">
                  <c:v>206</c:v>
                </c:pt>
                <c:pt idx="61">
                  <c:v>240</c:v>
                </c:pt>
                <c:pt idx="62">
                  <c:v>293</c:v>
                </c:pt>
                <c:pt idx="63">
                  <c:v>296</c:v>
                </c:pt>
                <c:pt idx="64">
                  <c:v>236</c:v>
                </c:pt>
                <c:pt idx="65">
                  <c:v>249</c:v>
                </c:pt>
                <c:pt idx="66">
                  <c:v>346</c:v>
                </c:pt>
                <c:pt idx="67">
                  <c:v>306</c:v>
                </c:pt>
                <c:pt idx="68">
                  <c:v>323</c:v>
                </c:pt>
                <c:pt idx="69">
                  <c:v>304</c:v>
                </c:pt>
                <c:pt idx="70">
                  <c:v>279</c:v>
                </c:pt>
                <c:pt idx="71">
                  <c:v>222</c:v>
                </c:pt>
                <c:pt idx="72">
                  <c:v>207</c:v>
                </c:pt>
                <c:pt idx="73">
                  <c:v>261</c:v>
                </c:pt>
                <c:pt idx="74">
                  <c:v>245</c:v>
                </c:pt>
                <c:pt idx="75">
                  <c:v>195</c:v>
                </c:pt>
                <c:pt idx="76">
                  <c:v>245</c:v>
                </c:pt>
                <c:pt idx="77">
                  <c:v>231</c:v>
                </c:pt>
                <c:pt idx="78">
                  <c:v>186</c:v>
                </c:pt>
                <c:pt idx="79">
                  <c:v>184</c:v>
                </c:pt>
                <c:pt idx="80">
                  <c:v>203</c:v>
                </c:pt>
                <c:pt idx="81">
                  <c:v>183</c:v>
                </c:pt>
                <c:pt idx="82">
                  <c:v>196</c:v>
                </c:pt>
                <c:pt idx="83">
                  <c:v>194</c:v>
                </c:pt>
                <c:pt idx="84">
                  <c:v>210</c:v>
                </c:pt>
                <c:pt idx="85">
                  <c:v>227</c:v>
                </c:pt>
                <c:pt idx="86">
                  <c:v>182</c:v>
                </c:pt>
                <c:pt idx="87">
                  <c:v>200</c:v>
                </c:pt>
                <c:pt idx="88">
                  <c:v>204</c:v>
                </c:pt>
                <c:pt idx="89">
                  <c:v>253</c:v>
                </c:pt>
                <c:pt idx="90">
                  <c:v>203</c:v>
                </c:pt>
                <c:pt idx="91">
                  <c:v>202</c:v>
                </c:pt>
                <c:pt idx="92">
                  <c:v>197</c:v>
                </c:pt>
                <c:pt idx="93">
                  <c:v>204</c:v>
                </c:pt>
                <c:pt idx="94">
                  <c:v>204</c:v>
                </c:pt>
                <c:pt idx="95">
                  <c:v>172</c:v>
                </c:pt>
                <c:pt idx="96">
                  <c:v>185</c:v>
                </c:pt>
                <c:pt idx="97">
                  <c:v>172</c:v>
                </c:pt>
                <c:pt idx="98">
                  <c:v>204</c:v>
                </c:pt>
                <c:pt idx="99">
                  <c:v>191</c:v>
                </c:pt>
                <c:pt idx="100">
                  <c:v>154</c:v>
                </c:pt>
                <c:pt idx="101">
                  <c:v>160</c:v>
                </c:pt>
                <c:pt idx="102">
                  <c:v>160</c:v>
                </c:pt>
                <c:pt idx="103">
                  <c:v>133</c:v>
                </c:pt>
                <c:pt idx="104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B-492C-A458-6EEAAD3F5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PolCount!$K$4</c:f>
              <c:strCache>
                <c:ptCount val="1"/>
                <c:pt idx="0">
                  <c:v>4 Week Avg (Boom Annual Up Front)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PolCount!$K$5:$K$109</c:f>
              <c:numCache>
                <c:formatCode>#,##0</c:formatCode>
                <c:ptCount val="105"/>
                <c:pt idx="3">
                  <c:v>234.5</c:v>
                </c:pt>
                <c:pt idx="4">
                  <c:v>228.5</c:v>
                </c:pt>
                <c:pt idx="5">
                  <c:v>224.5</c:v>
                </c:pt>
                <c:pt idx="6">
                  <c:v>215.25</c:v>
                </c:pt>
                <c:pt idx="7">
                  <c:v>205.25</c:v>
                </c:pt>
                <c:pt idx="8">
                  <c:v>209</c:v>
                </c:pt>
                <c:pt idx="9">
                  <c:v>224.75</c:v>
                </c:pt>
                <c:pt idx="10">
                  <c:v>253</c:v>
                </c:pt>
                <c:pt idx="11">
                  <c:v>326.5</c:v>
                </c:pt>
                <c:pt idx="12">
                  <c:v>363.75</c:v>
                </c:pt>
                <c:pt idx="13">
                  <c:v>399.25</c:v>
                </c:pt>
                <c:pt idx="14">
                  <c:v>440.25</c:v>
                </c:pt>
                <c:pt idx="15">
                  <c:v>470</c:v>
                </c:pt>
                <c:pt idx="16">
                  <c:v>473</c:v>
                </c:pt>
                <c:pt idx="17">
                  <c:v>477</c:v>
                </c:pt>
                <c:pt idx="18">
                  <c:v>465.75</c:v>
                </c:pt>
                <c:pt idx="19">
                  <c:v>401.5</c:v>
                </c:pt>
                <c:pt idx="20">
                  <c:v>385.5</c:v>
                </c:pt>
                <c:pt idx="21">
                  <c:v>382</c:v>
                </c:pt>
                <c:pt idx="22">
                  <c:v>373.25</c:v>
                </c:pt>
                <c:pt idx="23">
                  <c:v>400.5</c:v>
                </c:pt>
                <c:pt idx="24">
                  <c:v>441.5</c:v>
                </c:pt>
                <c:pt idx="25">
                  <c:v>422.5</c:v>
                </c:pt>
                <c:pt idx="26">
                  <c:v>417.25</c:v>
                </c:pt>
                <c:pt idx="27">
                  <c:v>410.25</c:v>
                </c:pt>
                <c:pt idx="28">
                  <c:v>400.25</c:v>
                </c:pt>
                <c:pt idx="29">
                  <c:v>419.25</c:v>
                </c:pt>
                <c:pt idx="30">
                  <c:v>447.25</c:v>
                </c:pt>
                <c:pt idx="31">
                  <c:v>461.5</c:v>
                </c:pt>
                <c:pt idx="32">
                  <c:v>469</c:v>
                </c:pt>
                <c:pt idx="33">
                  <c:v>492</c:v>
                </c:pt>
                <c:pt idx="34">
                  <c:v>485.5</c:v>
                </c:pt>
                <c:pt idx="35">
                  <c:v>473.75</c:v>
                </c:pt>
                <c:pt idx="36">
                  <c:v>468</c:v>
                </c:pt>
                <c:pt idx="37">
                  <c:v>474.75</c:v>
                </c:pt>
                <c:pt idx="38">
                  <c:v>470.25</c:v>
                </c:pt>
                <c:pt idx="39">
                  <c:v>476.75</c:v>
                </c:pt>
                <c:pt idx="40">
                  <c:v>479.5</c:v>
                </c:pt>
                <c:pt idx="41">
                  <c:v>448.75</c:v>
                </c:pt>
                <c:pt idx="42">
                  <c:v>442</c:v>
                </c:pt>
                <c:pt idx="43">
                  <c:v>428.25</c:v>
                </c:pt>
                <c:pt idx="44">
                  <c:v>414.25</c:v>
                </c:pt>
                <c:pt idx="45">
                  <c:v>394.25</c:v>
                </c:pt>
                <c:pt idx="46">
                  <c:v>381.5</c:v>
                </c:pt>
                <c:pt idx="47">
                  <c:v>363.5</c:v>
                </c:pt>
                <c:pt idx="48">
                  <c:v>331.25</c:v>
                </c:pt>
                <c:pt idx="49">
                  <c:v>319.5</c:v>
                </c:pt>
                <c:pt idx="50">
                  <c:v>306.5</c:v>
                </c:pt>
                <c:pt idx="51">
                  <c:v>286</c:v>
                </c:pt>
                <c:pt idx="52">
                  <c:v>276.75</c:v>
                </c:pt>
                <c:pt idx="53">
                  <c:v>274.25</c:v>
                </c:pt>
                <c:pt idx="54">
                  <c:v>254.75</c:v>
                </c:pt>
                <c:pt idx="55">
                  <c:v>270</c:v>
                </c:pt>
                <c:pt idx="56">
                  <c:v>270.5</c:v>
                </c:pt>
                <c:pt idx="57">
                  <c:v>263.75</c:v>
                </c:pt>
                <c:pt idx="58">
                  <c:v>266.25</c:v>
                </c:pt>
                <c:pt idx="59">
                  <c:v>256</c:v>
                </c:pt>
                <c:pt idx="60">
                  <c:v>243.5</c:v>
                </c:pt>
                <c:pt idx="61">
                  <c:v>238.25</c:v>
                </c:pt>
                <c:pt idx="62">
                  <c:v>249</c:v>
                </c:pt>
                <c:pt idx="63">
                  <c:v>258.75</c:v>
                </c:pt>
                <c:pt idx="64">
                  <c:v>266.25</c:v>
                </c:pt>
                <c:pt idx="65">
                  <c:v>268.5</c:v>
                </c:pt>
                <c:pt idx="66">
                  <c:v>281.75</c:v>
                </c:pt>
                <c:pt idx="67">
                  <c:v>284.25</c:v>
                </c:pt>
                <c:pt idx="68">
                  <c:v>306</c:v>
                </c:pt>
                <c:pt idx="69">
                  <c:v>319.75</c:v>
                </c:pt>
                <c:pt idx="70">
                  <c:v>303</c:v>
                </c:pt>
                <c:pt idx="71">
                  <c:v>282</c:v>
                </c:pt>
                <c:pt idx="72">
                  <c:v>253</c:v>
                </c:pt>
                <c:pt idx="73">
                  <c:v>242.25</c:v>
                </c:pt>
                <c:pt idx="74">
                  <c:v>233.75</c:v>
                </c:pt>
                <c:pt idx="75">
                  <c:v>227</c:v>
                </c:pt>
                <c:pt idx="76">
                  <c:v>236.5</c:v>
                </c:pt>
                <c:pt idx="77">
                  <c:v>229</c:v>
                </c:pt>
                <c:pt idx="78">
                  <c:v>214.25</c:v>
                </c:pt>
                <c:pt idx="79">
                  <c:v>211.5</c:v>
                </c:pt>
                <c:pt idx="80">
                  <c:v>201</c:v>
                </c:pt>
                <c:pt idx="81">
                  <c:v>189</c:v>
                </c:pt>
                <c:pt idx="82">
                  <c:v>191.5</c:v>
                </c:pt>
                <c:pt idx="83">
                  <c:v>194</c:v>
                </c:pt>
                <c:pt idx="84">
                  <c:v>195.75</c:v>
                </c:pt>
                <c:pt idx="85">
                  <c:v>206.75</c:v>
                </c:pt>
                <c:pt idx="86">
                  <c:v>203.25</c:v>
                </c:pt>
                <c:pt idx="87">
                  <c:v>204.75</c:v>
                </c:pt>
                <c:pt idx="88">
                  <c:v>203.25</c:v>
                </c:pt>
                <c:pt idx="89">
                  <c:v>209.75</c:v>
                </c:pt>
                <c:pt idx="90">
                  <c:v>215</c:v>
                </c:pt>
                <c:pt idx="91">
                  <c:v>215.5</c:v>
                </c:pt>
                <c:pt idx="92">
                  <c:v>213.75</c:v>
                </c:pt>
                <c:pt idx="93">
                  <c:v>201.5</c:v>
                </c:pt>
                <c:pt idx="94">
                  <c:v>201.75</c:v>
                </c:pt>
                <c:pt idx="95">
                  <c:v>194.25</c:v>
                </c:pt>
                <c:pt idx="96">
                  <c:v>191.25</c:v>
                </c:pt>
                <c:pt idx="97">
                  <c:v>183.25</c:v>
                </c:pt>
                <c:pt idx="98">
                  <c:v>183.25</c:v>
                </c:pt>
                <c:pt idx="99">
                  <c:v>188</c:v>
                </c:pt>
                <c:pt idx="100">
                  <c:v>180.25</c:v>
                </c:pt>
                <c:pt idx="101">
                  <c:v>177.25</c:v>
                </c:pt>
                <c:pt idx="102">
                  <c:v>166.25</c:v>
                </c:pt>
                <c:pt idx="103">
                  <c:v>151.75</c:v>
                </c:pt>
                <c:pt idx="104">
                  <c:v>154.25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B-492C-A458-6EEAAD3F5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</a:t>
            </a:r>
            <a:r>
              <a:rPr lang="en-GB" b="1" baseline="0"/>
              <a:t> Finance</a:t>
            </a:r>
            <a:r>
              <a:rPr lang="en-GB" b="1"/>
              <a:t>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PolCount!$L$4</c:f>
              <c:strCache>
                <c:ptCount val="1"/>
                <c:pt idx="0">
                  <c:v>Policy Count (Boom Annual Premium Finance)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PolCount!$L$5:$L$109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136</c:v>
                </c:pt>
                <c:pt idx="24">
                  <c:v>413</c:v>
                </c:pt>
                <c:pt idx="25">
                  <c:v>362</c:v>
                </c:pt>
                <c:pt idx="26">
                  <c:v>400</c:v>
                </c:pt>
                <c:pt idx="27">
                  <c:v>599</c:v>
                </c:pt>
                <c:pt idx="28">
                  <c:v>898</c:v>
                </c:pt>
                <c:pt idx="29">
                  <c:v>802</c:v>
                </c:pt>
                <c:pt idx="30">
                  <c:v>751</c:v>
                </c:pt>
                <c:pt idx="31">
                  <c:v>864</c:v>
                </c:pt>
                <c:pt idx="32">
                  <c:v>1044</c:v>
                </c:pt>
                <c:pt idx="33">
                  <c:v>991</c:v>
                </c:pt>
                <c:pt idx="34">
                  <c:v>876</c:v>
                </c:pt>
                <c:pt idx="35">
                  <c:v>888</c:v>
                </c:pt>
                <c:pt idx="36">
                  <c:v>1071</c:v>
                </c:pt>
                <c:pt idx="37">
                  <c:v>1041</c:v>
                </c:pt>
                <c:pt idx="38">
                  <c:v>850</c:v>
                </c:pt>
                <c:pt idx="39">
                  <c:v>791</c:v>
                </c:pt>
                <c:pt idx="40">
                  <c:v>891</c:v>
                </c:pt>
                <c:pt idx="41">
                  <c:v>909</c:v>
                </c:pt>
                <c:pt idx="42">
                  <c:v>847</c:v>
                </c:pt>
                <c:pt idx="43">
                  <c:v>768</c:v>
                </c:pt>
                <c:pt idx="44">
                  <c:v>735</c:v>
                </c:pt>
                <c:pt idx="45">
                  <c:v>830</c:v>
                </c:pt>
                <c:pt idx="46">
                  <c:v>784</c:v>
                </c:pt>
                <c:pt idx="47">
                  <c:v>660</c:v>
                </c:pt>
                <c:pt idx="48">
                  <c:v>628</c:v>
                </c:pt>
                <c:pt idx="49">
                  <c:v>656</c:v>
                </c:pt>
                <c:pt idx="50">
                  <c:v>718</c:v>
                </c:pt>
                <c:pt idx="51">
                  <c:v>599</c:v>
                </c:pt>
                <c:pt idx="52">
                  <c:v>553</c:v>
                </c:pt>
                <c:pt idx="53">
                  <c:v>559</c:v>
                </c:pt>
                <c:pt idx="54">
                  <c:v>552</c:v>
                </c:pt>
                <c:pt idx="55">
                  <c:v>642</c:v>
                </c:pt>
                <c:pt idx="56">
                  <c:v>514</c:v>
                </c:pt>
                <c:pt idx="57">
                  <c:v>548</c:v>
                </c:pt>
                <c:pt idx="58">
                  <c:v>626</c:v>
                </c:pt>
                <c:pt idx="59">
                  <c:v>576</c:v>
                </c:pt>
                <c:pt idx="60">
                  <c:v>478</c:v>
                </c:pt>
                <c:pt idx="61">
                  <c:v>557</c:v>
                </c:pt>
                <c:pt idx="62">
                  <c:v>596</c:v>
                </c:pt>
                <c:pt idx="63">
                  <c:v>663</c:v>
                </c:pt>
                <c:pt idx="64">
                  <c:v>550</c:v>
                </c:pt>
                <c:pt idx="65">
                  <c:v>558</c:v>
                </c:pt>
                <c:pt idx="66">
                  <c:v>674</c:v>
                </c:pt>
                <c:pt idx="67">
                  <c:v>762</c:v>
                </c:pt>
                <c:pt idx="68">
                  <c:v>790</c:v>
                </c:pt>
                <c:pt idx="69">
                  <c:v>680</c:v>
                </c:pt>
                <c:pt idx="70">
                  <c:v>689</c:v>
                </c:pt>
                <c:pt idx="71">
                  <c:v>539</c:v>
                </c:pt>
                <c:pt idx="72">
                  <c:v>656</c:v>
                </c:pt>
                <c:pt idx="73">
                  <c:v>737</c:v>
                </c:pt>
                <c:pt idx="74">
                  <c:v>736</c:v>
                </c:pt>
                <c:pt idx="75">
                  <c:v>673</c:v>
                </c:pt>
                <c:pt idx="76">
                  <c:v>840</c:v>
                </c:pt>
                <c:pt idx="77">
                  <c:v>781</c:v>
                </c:pt>
                <c:pt idx="78">
                  <c:v>642</c:v>
                </c:pt>
                <c:pt idx="79">
                  <c:v>588</c:v>
                </c:pt>
                <c:pt idx="80">
                  <c:v>772</c:v>
                </c:pt>
                <c:pt idx="81">
                  <c:v>784</c:v>
                </c:pt>
                <c:pt idx="82">
                  <c:v>749</c:v>
                </c:pt>
                <c:pt idx="83">
                  <c:v>797</c:v>
                </c:pt>
                <c:pt idx="84">
                  <c:v>887</c:v>
                </c:pt>
                <c:pt idx="85">
                  <c:v>922</c:v>
                </c:pt>
                <c:pt idx="86">
                  <c:v>816</c:v>
                </c:pt>
                <c:pt idx="87">
                  <c:v>822</c:v>
                </c:pt>
                <c:pt idx="88">
                  <c:v>765</c:v>
                </c:pt>
                <c:pt idx="89">
                  <c:v>962</c:v>
                </c:pt>
                <c:pt idx="90">
                  <c:v>740</c:v>
                </c:pt>
                <c:pt idx="91">
                  <c:v>747</c:v>
                </c:pt>
                <c:pt idx="92">
                  <c:v>690</c:v>
                </c:pt>
                <c:pt idx="93">
                  <c:v>784</c:v>
                </c:pt>
                <c:pt idx="94">
                  <c:v>781</c:v>
                </c:pt>
                <c:pt idx="95">
                  <c:v>703</c:v>
                </c:pt>
                <c:pt idx="96">
                  <c:v>626</c:v>
                </c:pt>
                <c:pt idx="97">
                  <c:v>677</c:v>
                </c:pt>
                <c:pt idx="98">
                  <c:v>783</c:v>
                </c:pt>
                <c:pt idx="99">
                  <c:v>681</c:v>
                </c:pt>
                <c:pt idx="100">
                  <c:v>587</c:v>
                </c:pt>
                <c:pt idx="101">
                  <c:v>569</c:v>
                </c:pt>
                <c:pt idx="102">
                  <c:v>676</c:v>
                </c:pt>
                <c:pt idx="103">
                  <c:v>485</c:v>
                </c:pt>
                <c:pt idx="104">
                  <c:v>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55-45AC-BA2C-32978ADF2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PolCount!$M$4</c:f>
              <c:strCache>
                <c:ptCount val="1"/>
                <c:pt idx="0">
                  <c:v>4 Week Avg (Boom Annual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PolCount!$M$5:$M$109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34</c:v>
                </c:pt>
                <c:pt idx="24">
                  <c:v>137.25</c:v>
                </c:pt>
                <c:pt idx="25">
                  <c:v>227.75</c:v>
                </c:pt>
                <c:pt idx="26">
                  <c:v>327.75</c:v>
                </c:pt>
                <c:pt idx="27">
                  <c:v>443.5</c:v>
                </c:pt>
                <c:pt idx="28">
                  <c:v>564.75</c:v>
                </c:pt>
                <c:pt idx="29">
                  <c:v>674.75</c:v>
                </c:pt>
                <c:pt idx="30">
                  <c:v>762.5</c:v>
                </c:pt>
                <c:pt idx="31">
                  <c:v>828.75</c:v>
                </c:pt>
                <c:pt idx="32">
                  <c:v>865.25</c:v>
                </c:pt>
                <c:pt idx="33">
                  <c:v>912.5</c:v>
                </c:pt>
                <c:pt idx="34">
                  <c:v>943.75</c:v>
                </c:pt>
                <c:pt idx="35">
                  <c:v>949.75</c:v>
                </c:pt>
                <c:pt idx="36">
                  <c:v>956.5</c:v>
                </c:pt>
                <c:pt idx="37">
                  <c:v>969</c:v>
                </c:pt>
                <c:pt idx="38">
                  <c:v>962.5</c:v>
                </c:pt>
                <c:pt idx="39">
                  <c:v>938.25</c:v>
                </c:pt>
                <c:pt idx="40">
                  <c:v>893.25</c:v>
                </c:pt>
                <c:pt idx="41">
                  <c:v>860.25</c:v>
                </c:pt>
                <c:pt idx="42">
                  <c:v>859.5</c:v>
                </c:pt>
                <c:pt idx="43">
                  <c:v>853.75</c:v>
                </c:pt>
                <c:pt idx="44">
                  <c:v>814.75</c:v>
                </c:pt>
                <c:pt idx="45">
                  <c:v>795</c:v>
                </c:pt>
                <c:pt idx="46">
                  <c:v>779.25</c:v>
                </c:pt>
                <c:pt idx="47">
                  <c:v>752.25</c:v>
                </c:pt>
                <c:pt idx="48">
                  <c:v>725.5</c:v>
                </c:pt>
                <c:pt idx="49">
                  <c:v>682</c:v>
                </c:pt>
                <c:pt idx="50">
                  <c:v>665.5</c:v>
                </c:pt>
                <c:pt idx="51">
                  <c:v>650.25</c:v>
                </c:pt>
                <c:pt idx="52">
                  <c:v>631.5</c:v>
                </c:pt>
                <c:pt idx="53">
                  <c:v>607.25</c:v>
                </c:pt>
                <c:pt idx="54">
                  <c:v>565.75</c:v>
                </c:pt>
                <c:pt idx="55">
                  <c:v>576.5</c:v>
                </c:pt>
                <c:pt idx="56">
                  <c:v>566.75</c:v>
                </c:pt>
                <c:pt idx="57">
                  <c:v>564</c:v>
                </c:pt>
                <c:pt idx="58">
                  <c:v>582.5</c:v>
                </c:pt>
                <c:pt idx="59">
                  <c:v>566</c:v>
                </c:pt>
                <c:pt idx="60">
                  <c:v>557</c:v>
                </c:pt>
                <c:pt idx="61">
                  <c:v>559.25</c:v>
                </c:pt>
                <c:pt idx="62">
                  <c:v>551.75</c:v>
                </c:pt>
                <c:pt idx="63">
                  <c:v>573.5</c:v>
                </c:pt>
                <c:pt idx="64">
                  <c:v>591.5</c:v>
                </c:pt>
                <c:pt idx="65">
                  <c:v>591.75</c:v>
                </c:pt>
                <c:pt idx="66">
                  <c:v>611.25</c:v>
                </c:pt>
                <c:pt idx="67">
                  <c:v>636</c:v>
                </c:pt>
                <c:pt idx="68">
                  <c:v>696</c:v>
                </c:pt>
                <c:pt idx="69">
                  <c:v>726.5</c:v>
                </c:pt>
                <c:pt idx="70">
                  <c:v>730.25</c:v>
                </c:pt>
                <c:pt idx="71">
                  <c:v>674.5</c:v>
                </c:pt>
                <c:pt idx="72">
                  <c:v>641</c:v>
                </c:pt>
                <c:pt idx="73">
                  <c:v>655.25</c:v>
                </c:pt>
                <c:pt idx="74">
                  <c:v>667</c:v>
                </c:pt>
                <c:pt idx="75">
                  <c:v>700.5</c:v>
                </c:pt>
                <c:pt idx="76">
                  <c:v>746.5</c:v>
                </c:pt>
                <c:pt idx="77">
                  <c:v>757.5</c:v>
                </c:pt>
                <c:pt idx="78">
                  <c:v>734</c:v>
                </c:pt>
                <c:pt idx="79">
                  <c:v>712.75</c:v>
                </c:pt>
                <c:pt idx="80">
                  <c:v>695.75</c:v>
                </c:pt>
                <c:pt idx="81">
                  <c:v>696.5</c:v>
                </c:pt>
                <c:pt idx="82">
                  <c:v>723.25</c:v>
                </c:pt>
                <c:pt idx="83">
                  <c:v>775.5</c:v>
                </c:pt>
                <c:pt idx="84">
                  <c:v>804.25</c:v>
                </c:pt>
                <c:pt idx="85">
                  <c:v>838.75</c:v>
                </c:pt>
                <c:pt idx="86">
                  <c:v>855.5</c:v>
                </c:pt>
                <c:pt idx="87">
                  <c:v>861.75</c:v>
                </c:pt>
                <c:pt idx="88">
                  <c:v>831.25</c:v>
                </c:pt>
                <c:pt idx="89">
                  <c:v>841.25</c:v>
                </c:pt>
                <c:pt idx="90">
                  <c:v>822.25</c:v>
                </c:pt>
                <c:pt idx="91">
                  <c:v>803.5</c:v>
                </c:pt>
                <c:pt idx="92">
                  <c:v>784.75</c:v>
                </c:pt>
                <c:pt idx="93">
                  <c:v>740.25</c:v>
                </c:pt>
                <c:pt idx="94">
                  <c:v>750.5</c:v>
                </c:pt>
                <c:pt idx="95">
                  <c:v>739.5</c:v>
                </c:pt>
                <c:pt idx="96">
                  <c:v>723.5</c:v>
                </c:pt>
                <c:pt idx="97">
                  <c:v>696.75</c:v>
                </c:pt>
                <c:pt idx="98">
                  <c:v>697.25</c:v>
                </c:pt>
                <c:pt idx="99">
                  <c:v>691.75</c:v>
                </c:pt>
                <c:pt idx="100">
                  <c:v>682</c:v>
                </c:pt>
                <c:pt idx="101">
                  <c:v>655</c:v>
                </c:pt>
                <c:pt idx="102">
                  <c:v>628.25</c:v>
                </c:pt>
                <c:pt idx="103">
                  <c:v>579.25</c:v>
                </c:pt>
                <c:pt idx="104">
                  <c:v>577.25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55-45AC-BA2C-32978ADF2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PolCount!$H$4</c:f>
              <c:strCache>
                <c:ptCount val="1"/>
                <c:pt idx="0">
                  <c:v>Policy Count (Boom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PolCount!$H$5:$H$109</c:f>
              <c:numCache>
                <c:formatCode>#,##0</c:formatCode>
                <c:ptCount val="105"/>
                <c:pt idx="0">
                  <c:v>246</c:v>
                </c:pt>
                <c:pt idx="1">
                  <c:v>238</c:v>
                </c:pt>
                <c:pt idx="2">
                  <c:v>241</c:v>
                </c:pt>
                <c:pt idx="3">
                  <c:v>213</c:v>
                </c:pt>
                <c:pt idx="4">
                  <c:v>222</c:v>
                </c:pt>
                <c:pt idx="5">
                  <c:v>222</c:v>
                </c:pt>
                <c:pt idx="6">
                  <c:v>204</c:v>
                </c:pt>
                <c:pt idx="7">
                  <c:v>173</c:v>
                </c:pt>
                <c:pt idx="8">
                  <c:v>237</c:v>
                </c:pt>
                <c:pt idx="9">
                  <c:v>285</c:v>
                </c:pt>
                <c:pt idx="10">
                  <c:v>317</c:v>
                </c:pt>
                <c:pt idx="11">
                  <c:v>467</c:v>
                </c:pt>
                <c:pt idx="12">
                  <c:v>386</c:v>
                </c:pt>
                <c:pt idx="13">
                  <c:v>427</c:v>
                </c:pt>
                <c:pt idx="14">
                  <c:v>481</c:v>
                </c:pt>
                <c:pt idx="15">
                  <c:v>586</c:v>
                </c:pt>
                <c:pt idx="16">
                  <c:v>398</c:v>
                </c:pt>
                <c:pt idx="17">
                  <c:v>443</c:v>
                </c:pt>
                <c:pt idx="18">
                  <c:v>436</c:v>
                </c:pt>
                <c:pt idx="19">
                  <c:v>329</c:v>
                </c:pt>
                <c:pt idx="20">
                  <c:v>334</c:v>
                </c:pt>
                <c:pt idx="21">
                  <c:v>429</c:v>
                </c:pt>
                <c:pt idx="22">
                  <c:v>401</c:v>
                </c:pt>
                <c:pt idx="23">
                  <c:v>574</c:v>
                </c:pt>
                <c:pt idx="24">
                  <c:v>911</c:v>
                </c:pt>
                <c:pt idx="25">
                  <c:v>715</c:v>
                </c:pt>
                <c:pt idx="26">
                  <c:v>780</c:v>
                </c:pt>
                <c:pt idx="27">
                  <c:v>1009</c:v>
                </c:pt>
                <c:pt idx="28">
                  <c:v>1356</c:v>
                </c:pt>
                <c:pt idx="29">
                  <c:v>1231</c:v>
                </c:pt>
                <c:pt idx="30">
                  <c:v>1243</c:v>
                </c:pt>
                <c:pt idx="31">
                  <c:v>1331</c:v>
                </c:pt>
                <c:pt idx="32">
                  <c:v>1532</c:v>
                </c:pt>
                <c:pt idx="33">
                  <c:v>1512</c:v>
                </c:pt>
                <c:pt idx="34">
                  <c:v>1342</c:v>
                </c:pt>
                <c:pt idx="35">
                  <c:v>1308</c:v>
                </c:pt>
                <c:pt idx="36">
                  <c:v>1536</c:v>
                </c:pt>
                <c:pt idx="37">
                  <c:v>1589</c:v>
                </c:pt>
                <c:pt idx="38">
                  <c:v>1298</c:v>
                </c:pt>
                <c:pt idx="39">
                  <c:v>1237</c:v>
                </c:pt>
                <c:pt idx="40">
                  <c:v>1367</c:v>
                </c:pt>
                <c:pt idx="41">
                  <c:v>1334</c:v>
                </c:pt>
                <c:pt idx="42">
                  <c:v>1268</c:v>
                </c:pt>
                <c:pt idx="43">
                  <c:v>1159</c:v>
                </c:pt>
                <c:pt idx="44">
                  <c:v>1155</c:v>
                </c:pt>
                <c:pt idx="45">
                  <c:v>1175</c:v>
                </c:pt>
                <c:pt idx="46">
                  <c:v>1154</c:v>
                </c:pt>
                <c:pt idx="47">
                  <c:v>979</c:v>
                </c:pt>
                <c:pt idx="48">
                  <c:v>919</c:v>
                </c:pt>
                <c:pt idx="49">
                  <c:v>954</c:v>
                </c:pt>
                <c:pt idx="50">
                  <c:v>1036</c:v>
                </c:pt>
                <c:pt idx="51">
                  <c:v>836</c:v>
                </c:pt>
                <c:pt idx="52">
                  <c:v>807</c:v>
                </c:pt>
                <c:pt idx="53">
                  <c:v>847</c:v>
                </c:pt>
                <c:pt idx="54">
                  <c:v>792</c:v>
                </c:pt>
                <c:pt idx="55">
                  <c:v>940</c:v>
                </c:pt>
                <c:pt idx="56">
                  <c:v>770</c:v>
                </c:pt>
                <c:pt idx="57">
                  <c:v>809</c:v>
                </c:pt>
                <c:pt idx="58">
                  <c:v>876</c:v>
                </c:pt>
                <c:pt idx="59">
                  <c:v>833</c:v>
                </c:pt>
                <c:pt idx="60">
                  <c:v>684</c:v>
                </c:pt>
                <c:pt idx="61">
                  <c:v>797</c:v>
                </c:pt>
                <c:pt idx="62">
                  <c:v>889</c:v>
                </c:pt>
                <c:pt idx="63">
                  <c:v>959</c:v>
                </c:pt>
                <c:pt idx="64">
                  <c:v>786</c:v>
                </c:pt>
                <c:pt idx="65">
                  <c:v>807</c:v>
                </c:pt>
                <c:pt idx="66">
                  <c:v>1020</c:v>
                </c:pt>
                <c:pt idx="67">
                  <c:v>1068</c:v>
                </c:pt>
                <c:pt idx="68">
                  <c:v>1113</c:v>
                </c:pt>
                <c:pt idx="69">
                  <c:v>984</c:v>
                </c:pt>
                <c:pt idx="70">
                  <c:v>968</c:v>
                </c:pt>
                <c:pt idx="71">
                  <c:v>761</c:v>
                </c:pt>
                <c:pt idx="72">
                  <c:v>863</c:v>
                </c:pt>
                <c:pt idx="73">
                  <c:v>998</c:v>
                </c:pt>
                <c:pt idx="74">
                  <c:v>981</c:v>
                </c:pt>
                <c:pt idx="75">
                  <c:v>868</c:v>
                </c:pt>
                <c:pt idx="76">
                  <c:v>1085</c:v>
                </c:pt>
                <c:pt idx="77">
                  <c:v>1012</c:v>
                </c:pt>
                <c:pt idx="78">
                  <c:v>828</c:v>
                </c:pt>
                <c:pt idx="79">
                  <c:v>772</c:v>
                </c:pt>
                <c:pt idx="80">
                  <c:v>975</c:v>
                </c:pt>
                <c:pt idx="81">
                  <c:v>967</c:v>
                </c:pt>
                <c:pt idx="82">
                  <c:v>945</c:v>
                </c:pt>
                <c:pt idx="83">
                  <c:v>991</c:v>
                </c:pt>
                <c:pt idx="84">
                  <c:v>1097</c:v>
                </c:pt>
                <c:pt idx="85">
                  <c:v>1149</c:v>
                </c:pt>
                <c:pt idx="86">
                  <c:v>998</c:v>
                </c:pt>
                <c:pt idx="87">
                  <c:v>1022</c:v>
                </c:pt>
                <c:pt idx="88">
                  <c:v>969</c:v>
                </c:pt>
                <c:pt idx="89">
                  <c:v>1215</c:v>
                </c:pt>
                <c:pt idx="90">
                  <c:v>943</c:v>
                </c:pt>
                <c:pt idx="91">
                  <c:v>949</c:v>
                </c:pt>
                <c:pt idx="92">
                  <c:v>887</c:v>
                </c:pt>
                <c:pt idx="93">
                  <c:v>988</c:v>
                </c:pt>
                <c:pt idx="94">
                  <c:v>985</c:v>
                </c:pt>
                <c:pt idx="95">
                  <c:v>875</c:v>
                </c:pt>
                <c:pt idx="96">
                  <c:v>811</c:v>
                </c:pt>
                <c:pt idx="97">
                  <c:v>849</c:v>
                </c:pt>
                <c:pt idx="98">
                  <c:v>987</c:v>
                </c:pt>
                <c:pt idx="99">
                  <c:v>872</c:v>
                </c:pt>
                <c:pt idx="100">
                  <c:v>741</c:v>
                </c:pt>
                <c:pt idx="101">
                  <c:v>729</c:v>
                </c:pt>
                <c:pt idx="102">
                  <c:v>836</c:v>
                </c:pt>
                <c:pt idx="103">
                  <c:v>618</c:v>
                </c:pt>
                <c:pt idx="104">
                  <c:v>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DF-47A3-95DD-356E1E7FC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PolCount!$I$4</c:f>
              <c:strCache>
                <c:ptCount val="1"/>
                <c:pt idx="0">
                  <c:v>4 Week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PolCount!$I$5:$I$109</c:f>
              <c:numCache>
                <c:formatCode>#,##0</c:formatCode>
                <c:ptCount val="105"/>
                <c:pt idx="3">
                  <c:v>234.5</c:v>
                </c:pt>
                <c:pt idx="4">
                  <c:v>228.5</c:v>
                </c:pt>
                <c:pt idx="5">
                  <c:v>224.5</c:v>
                </c:pt>
                <c:pt idx="6">
                  <c:v>215.25</c:v>
                </c:pt>
                <c:pt idx="7">
                  <c:v>205.25</c:v>
                </c:pt>
                <c:pt idx="8">
                  <c:v>209</c:v>
                </c:pt>
                <c:pt idx="9">
                  <c:v>224.75</c:v>
                </c:pt>
                <c:pt idx="10">
                  <c:v>253</c:v>
                </c:pt>
                <c:pt idx="11">
                  <c:v>326.5</c:v>
                </c:pt>
                <c:pt idx="12">
                  <c:v>363.75</c:v>
                </c:pt>
                <c:pt idx="13">
                  <c:v>399.25</c:v>
                </c:pt>
                <c:pt idx="14">
                  <c:v>440.25</c:v>
                </c:pt>
                <c:pt idx="15">
                  <c:v>470</c:v>
                </c:pt>
                <c:pt idx="16">
                  <c:v>473</c:v>
                </c:pt>
                <c:pt idx="17">
                  <c:v>477</c:v>
                </c:pt>
                <c:pt idx="18">
                  <c:v>465.75</c:v>
                </c:pt>
                <c:pt idx="19">
                  <c:v>401.5</c:v>
                </c:pt>
                <c:pt idx="20">
                  <c:v>385.5</c:v>
                </c:pt>
                <c:pt idx="21">
                  <c:v>382</c:v>
                </c:pt>
                <c:pt idx="22">
                  <c:v>373.25</c:v>
                </c:pt>
                <c:pt idx="23">
                  <c:v>434.5</c:v>
                </c:pt>
                <c:pt idx="24">
                  <c:v>578.75</c:v>
                </c:pt>
                <c:pt idx="25">
                  <c:v>650.25</c:v>
                </c:pt>
                <c:pt idx="26">
                  <c:v>745</c:v>
                </c:pt>
                <c:pt idx="27">
                  <c:v>853.75</c:v>
                </c:pt>
                <c:pt idx="28">
                  <c:v>965</c:v>
                </c:pt>
                <c:pt idx="29">
                  <c:v>1094</c:v>
                </c:pt>
                <c:pt idx="30">
                  <c:v>1209.75</c:v>
                </c:pt>
                <c:pt idx="31">
                  <c:v>1290.25</c:v>
                </c:pt>
                <c:pt idx="32">
                  <c:v>1334.25</c:v>
                </c:pt>
                <c:pt idx="33">
                  <c:v>1404.5</c:v>
                </c:pt>
                <c:pt idx="34">
                  <c:v>1429.25</c:v>
                </c:pt>
                <c:pt idx="35">
                  <c:v>1423.5</c:v>
                </c:pt>
                <c:pt idx="36">
                  <c:v>1424.5</c:v>
                </c:pt>
                <c:pt idx="37">
                  <c:v>1443.75</c:v>
                </c:pt>
                <c:pt idx="38">
                  <c:v>1432.75</c:v>
                </c:pt>
                <c:pt idx="39">
                  <c:v>1415</c:v>
                </c:pt>
                <c:pt idx="40">
                  <c:v>1372.75</c:v>
                </c:pt>
                <c:pt idx="41">
                  <c:v>1309</c:v>
                </c:pt>
                <c:pt idx="42">
                  <c:v>1301.5</c:v>
                </c:pt>
                <c:pt idx="43">
                  <c:v>1282</c:v>
                </c:pt>
                <c:pt idx="44">
                  <c:v>1229</c:v>
                </c:pt>
                <c:pt idx="45">
                  <c:v>1189.25</c:v>
                </c:pt>
                <c:pt idx="46">
                  <c:v>1160.75</c:v>
                </c:pt>
                <c:pt idx="47">
                  <c:v>1115.75</c:v>
                </c:pt>
                <c:pt idx="48">
                  <c:v>1056.75</c:v>
                </c:pt>
                <c:pt idx="49">
                  <c:v>1001.5</c:v>
                </c:pt>
                <c:pt idx="50">
                  <c:v>972</c:v>
                </c:pt>
                <c:pt idx="51">
                  <c:v>936.25</c:v>
                </c:pt>
                <c:pt idx="52">
                  <c:v>908.25</c:v>
                </c:pt>
                <c:pt idx="53">
                  <c:v>881.5</c:v>
                </c:pt>
                <c:pt idx="54">
                  <c:v>820.5</c:v>
                </c:pt>
                <c:pt idx="55">
                  <c:v>846.5</c:v>
                </c:pt>
                <c:pt idx="56">
                  <c:v>837.25</c:v>
                </c:pt>
                <c:pt idx="57">
                  <c:v>827.75</c:v>
                </c:pt>
                <c:pt idx="58">
                  <c:v>848.75</c:v>
                </c:pt>
                <c:pt idx="59">
                  <c:v>822</c:v>
                </c:pt>
                <c:pt idx="60">
                  <c:v>800.5</c:v>
                </c:pt>
                <c:pt idx="61">
                  <c:v>797.5</c:v>
                </c:pt>
                <c:pt idx="62">
                  <c:v>800.75</c:v>
                </c:pt>
                <c:pt idx="63">
                  <c:v>832.25</c:v>
                </c:pt>
                <c:pt idx="64">
                  <c:v>857.75</c:v>
                </c:pt>
                <c:pt idx="65">
                  <c:v>860.25</c:v>
                </c:pt>
                <c:pt idx="66">
                  <c:v>893</c:v>
                </c:pt>
                <c:pt idx="67">
                  <c:v>920.25</c:v>
                </c:pt>
                <c:pt idx="68">
                  <c:v>1002</c:v>
                </c:pt>
                <c:pt idx="69">
                  <c:v>1046.25</c:v>
                </c:pt>
                <c:pt idx="70">
                  <c:v>1033.25</c:v>
                </c:pt>
                <c:pt idx="71">
                  <c:v>956.5</c:v>
                </c:pt>
                <c:pt idx="72">
                  <c:v>894</c:v>
                </c:pt>
                <c:pt idx="73">
                  <c:v>897.5</c:v>
                </c:pt>
                <c:pt idx="74">
                  <c:v>900.75</c:v>
                </c:pt>
                <c:pt idx="75">
                  <c:v>927.5</c:v>
                </c:pt>
                <c:pt idx="76">
                  <c:v>983</c:v>
                </c:pt>
                <c:pt idx="77">
                  <c:v>986.5</c:v>
                </c:pt>
                <c:pt idx="78">
                  <c:v>948.25</c:v>
                </c:pt>
                <c:pt idx="79">
                  <c:v>924.25</c:v>
                </c:pt>
                <c:pt idx="80">
                  <c:v>896.75</c:v>
                </c:pt>
                <c:pt idx="81">
                  <c:v>885.5</c:v>
                </c:pt>
                <c:pt idx="82">
                  <c:v>914.75</c:v>
                </c:pt>
                <c:pt idx="83">
                  <c:v>969.5</c:v>
                </c:pt>
                <c:pt idx="84">
                  <c:v>1000</c:v>
                </c:pt>
                <c:pt idx="85">
                  <c:v>1045.5</c:v>
                </c:pt>
                <c:pt idx="86">
                  <c:v>1058.75</c:v>
                </c:pt>
                <c:pt idx="87">
                  <c:v>1066.5</c:v>
                </c:pt>
                <c:pt idx="88">
                  <c:v>1034.5</c:v>
                </c:pt>
                <c:pt idx="89">
                  <c:v>1051</c:v>
                </c:pt>
                <c:pt idx="90">
                  <c:v>1037.25</c:v>
                </c:pt>
                <c:pt idx="91">
                  <c:v>1019</c:v>
                </c:pt>
                <c:pt idx="92">
                  <c:v>998.5</c:v>
                </c:pt>
                <c:pt idx="93">
                  <c:v>941.75</c:v>
                </c:pt>
                <c:pt idx="94">
                  <c:v>952.25</c:v>
                </c:pt>
                <c:pt idx="95">
                  <c:v>933.75</c:v>
                </c:pt>
                <c:pt idx="96">
                  <c:v>914.75</c:v>
                </c:pt>
                <c:pt idx="97">
                  <c:v>880</c:v>
                </c:pt>
                <c:pt idx="98">
                  <c:v>880.5</c:v>
                </c:pt>
                <c:pt idx="99">
                  <c:v>879.75</c:v>
                </c:pt>
                <c:pt idx="100">
                  <c:v>862.25</c:v>
                </c:pt>
                <c:pt idx="101">
                  <c:v>832.25</c:v>
                </c:pt>
                <c:pt idx="102">
                  <c:v>794.5</c:v>
                </c:pt>
                <c:pt idx="103">
                  <c:v>731</c:v>
                </c:pt>
                <c:pt idx="104">
                  <c:v>731.5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DF-47A3-95DD-356E1E7FC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(Excl. Monthly Renewals):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'PolCount NBREN'!$B$5</c:f>
              <c:strCache>
                <c:ptCount val="1"/>
                <c:pt idx="0">
                  <c:v>NB Policy Count (Boom (excl monthly rens))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NBREN'!$B$6:$B$110</c:f>
              <c:numCache>
                <c:formatCode>#,##0</c:formatCode>
                <c:ptCount val="105"/>
                <c:pt idx="0">
                  <c:v>616</c:v>
                </c:pt>
                <c:pt idx="1">
                  <c:v>609</c:v>
                </c:pt>
                <c:pt idx="2">
                  <c:v>580</c:v>
                </c:pt>
                <c:pt idx="3">
                  <c:v>586</c:v>
                </c:pt>
                <c:pt idx="4">
                  <c:v>573</c:v>
                </c:pt>
                <c:pt idx="5">
                  <c:v>611</c:v>
                </c:pt>
                <c:pt idx="6">
                  <c:v>561</c:v>
                </c:pt>
                <c:pt idx="7">
                  <c:v>508</c:v>
                </c:pt>
                <c:pt idx="8">
                  <c:v>695</c:v>
                </c:pt>
                <c:pt idx="9">
                  <c:v>946</c:v>
                </c:pt>
                <c:pt idx="10">
                  <c:v>1028</c:v>
                </c:pt>
                <c:pt idx="11">
                  <c:v>1346</c:v>
                </c:pt>
                <c:pt idx="12">
                  <c:v>1139</c:v>
                </c:pt>
                <c:pt idx="13">
                  <c:v>1169</c:v>
                </c:pt>
                <c:pt idx="14">
                  <c:v>1070</c:v>
                </c:pt>
                <c:pt idx="15">
                  <c:v>1348</c:v>
                </c:pt>
                <c:pt idx="16">
                  <c:v>1030</c:v>
                </c:pt>
                <c:pt idx="17">
                  <c:v>1033</c:v>
                </c:pt>
                <c:pt idx="18">
                  <c:v>1027</c:v>
                </c:pt>
                <c:pt idx="19">
                  <c:v>803</c:v>
                </c:pt>
                <c:pt idx="20">
                  <c:v>881</c:v>
                </c:pt>
                <c:pt idx="21">
                  <c:v>1001</c:v>
                </c:pt>
                <c:pt idx="22">
                  <c:v>1008</c:v>
                </c:pt>
                <c:pt idx="23">
                  <c:v>991</c:v>
                </c:pt>
                <c:pt idx="24">
                  <c:v>1145</c:v>
                </c:pt>
                <c:pt idx="25">
                  <c:v>796</c:v>
                </c:pt>
                <c:pt idx="26">
                  <c:v>819</c:v>
                </c:pt>
                <c:pt idx="27">
                  <c:v>968</c:v>
                </c:pt>
                <c:pt idx="28">
                  <c:v>1278</c:v>
                </c:pt>
                <c:pt idx="29">
                  <c:v>1161</c:v>
                </c:pt>
                <c:pt idx="30">
                  <c:v>1161</c:v>
                </c:pt>
                <c:pt idx="31">
                  <c:v>1252</c:v>
                </c:pt>
                <c:pt idx="32">
                  <c:v>1470</c:v>
                </c:pt>
                <c:pt idx="33">
                  <c:v>1442</c:v>
                </c:pt>
                <c:pt idx="34">
                  <c:v>1286</c:v>
                </c:pt>
                <c:pt idx="35">
                  <c:v>1269</c:v>
                </c:pt>
                <c:pt idx="36">
                  <c:v>1498</c:v>
                </c:pt>
                <c:pt idx="37">
                  <c:v>1542</c:v>
                </c:pt>
                <c:pt idx="38">
                  <c:v>1256</c:v>
                </c:pt>
                <c:pt idx="39">
                  <c:v>1179</c:v>
                </c:pt>
                <c:pt idx="40">
                  <c:v>1310</c:v>
                </c:pt>
                <c:pt idx="41">
                  <c:v>1274</c:v>
                </c:pt>
                <c:pt idx="42">
                  <c:v>1220</c:v>
                </c:pt>
                <c:pt idx="43">
                  <c:v>1119</c:v>
                </c:pt>
                <c:pt idx="44">
                  <c:v>1118</c:v>
                </c:pt>
                <c:pt idx="45">
                  <c:v>1151</c:v>
                </c:pt>
                <c:pt idx="46">
                  <c:v>1118</c:v>
                </c:pt>
                <c:pt idx="47">
                  <c:v>960</c:v>
                </c:pt>
                <c:pt idx="48">
                  <c:v>888</c:v>
                </c:pt>
                <c:pt idx="49">
                  <c:v>908</c:v>
                </c:pt>
                <c:pt idx="50">
                  <c:v>1004</c:v>
                </c:pt>
                <c:pt idx="51">
                  <c:v>806</c:v>
                </c:pt>
                <c:pt idx="52">
                  <c:v>769</c:v>
                </c:pt>
                <c:pt idx="53">
                  <c:v>799</c:v>
                </c:pt>
                <c:pt idx="54">
                  <c:v>746</c:v>
                </c:pt>
                <c:pt idx="55">
                  <c:v>890</c:v>
                </c:pt>
                <c:pt idx="56">
                  <c:v>725</c:v>
                </c:pt>
                <c:pt idx="57">
                  <c:v>771</c:v>
                </c:pt>
                <c:pt idx="58">
                  <c:v>835</c:v>
                </c:pt>
                <c:pt idx="59">
                  <c:v>794</c:v>
                </c:pt>
                <c:pt idx="60">
                  <c:v>648</c:v>
                </c:pt>
                <c:pt idx="61">
                  <c:v>751</c:v>
                </c:pt>
                <c:pt idx="62">
                  <c:v>823</c:v>
                </c:pt>
                <c:pt idx="63">
                  <c:v>880</c:v>
                </c:pt>
                <c:pt idx="64">
                  <c:v>728</c:v>
                </c:pt>
                <c:pt idx="65">
                  <c:v>743</c:v>
                </c:pt>
                <c:pt idx="66">
                  <c:v>907</c:v>
                </c:pt>
                <c:pt idx="67">
                  <c:v>964</c:v>
                </c:pt>
                <c:pt idx="68">
                  <c:v>1037</c:v>
                </c:pt>
                <c:pt idx="69">
                  <c:v>914</c:v>
                </c:pt>
                <c:pt idx="70">
                  <c:v>893</c:v>
                </c:pt>
                <c:pt idx="71">
                  <c:v>681</c:v>
                </c:pt>
                <c:pt idx="72">
                  <c:v>805</c:v>
                </c:pt>
                <c:pt idx="73">
                  <c:v>915</c:v>
                </c:pt>
                <c:pt idx="74">
                  <c:v>894</c:v>
                </c:pt>
                <c:pt idx="75">
                  <c:v>801</c:v>
                </c:pt>
                <c:pt idx="76">
                  <c:v>977</c:v>
                </c:pt>
                <c:pt idx="77">
                  <c:v>889</c:v>
                </c:pt>
                <c:pt idx="78">
                  <c:v>712</c:v>
                </c:pt>
                <c:pt idx="79">
                  <c:v>654</c:v>
                </c:pt>
                <c:pt idx="80">
                  <c:v>783</c:v>
                </c:pt>
                <c:pt idx="81">
                  <c:v>785</c:v>
                </c:pt>
                <c:pt idx="82">
                  <c:v>745</c:v>
                </c:pt>
                <c:pt idx="83">
                  <c:v>768</c:v>
                </c:pt>
                <c:pt idx="84">
                  <c:v>847</c:v>
                </c:pt>
                <c:pt idx="85">
                  <c:v>902</c:v>
                </c:pt>
                <c:pt idx="86">
                  <c:v>773</c:v>
                </c:pt>
                <c:pt idx="87">
                  <c:v>787</c:v>
                </c:pt>
                <c:pt idx="88">
                  <c:v>716</c:v>
                </c:pt>
                <c:pt idx="89">
                  <c:v>922</c:v>
                </c:pt>
                <c:pt idx="90">
                  <c:v>721</c:v>
                </c:pt>
                <c:pt idx="91">
                  <c:v>711</c:v>
                </c:pt>
                <c:pt idx="92">
                  <c:v>661</c:v>
                </c:pt>
                <c:pt idx="93">
                  <c:v>750</c:v>
                </c:pt>
                <c:pt idx="94">
                  <c:v>740</c:v>
                </c:pt>
                <c:pt idx="95">
                  <c:v>660</c:v>
                </c:pt>
                <c:pt idx="96">
                  <c:v>622</c:v>
                </c:pt>
                <c:pt idx="97">
                  <c:v>670</c:v>
                </c:pt>
                <c:pt idx="98">
                  <c:v>773</c:v>
                </c:pt>
                <c:pt idx="99">
                  <c:v>676</c:v>
                </c:pt>
                <c:pt idx="100">
                  <c:v>584</c:v>
                </c:pt>
                <c:pt idx="101">
                  <c:v>588</c:v>
                </c:pt>
                <c:pt idx="102">
                  <c:v>655</c:v>
                </c:pt>
                <c:pt idx="103">
                  <c:v>542</c:v>
                </c:pt>
                <c:pt idx="104">
                  <c:v>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20-4C6D-B933-293075385BC9}"/>
            </c:ext>
          </c:extLst>
        </c:ser>
        <c:ser>
          <c:idx val="2"/>
          <c:order val="2"/>
          <c:tx>
            <c:strRef>
              <c:f>'PolCount NBREN'!$D$5</c:f>
              <c:strCache>
                <c:ptCount val="1"/>
                <c:pt idx="0">
                  <c:v>RN Policy Count (Boom (excl monthly rens))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NBREN'!$D$6:$D$110</c:f>
              <c:numCache>
                <c:formatCode>#,##0</c:formatCode>
                <c:ptCount val="105"/>
                <c:pt idx="0">
                  <c:v>36</c:v>
                </c:pt>
                <c:pt idx="1">
                  <c:v>30</c:v>
                </c:pt>
                <c:pt idx="2">
                  <c:v>29</c:v>
                </c:pt>
                <c:pt idx="3">
                  <c:v>23</c:v>
                </c:pt>
                <c:pt idx="4">
                  <c:v>25</c:v>
                </c:pt>
                <c:pt idx="5">
                  <c:v>40</c:v>
                </c:pt>
                <c:pt idx="6">
                  <c:v>75</c:v>
                </c:pt>
                <c:pt idx="7">
                  <c:v>63</c:v>
                </c:pt>
                <c:pt idx="8">
                  <c:v>50</c:v>
                </c:pt>
                <c:pt idx="9">
                  <c:v>42</c:v>
                </c:pt>
                <c:pt idx="10">
                  <c:v>40</c:v>
                </c:pt>
                <c:pt idx="11">
                  <c:v>38</c:v>
                </c:pt>
                <c:pt idx="12">
                  <c:v>42</c:v>
                </c:pt>
                <c:pt idx="13">
                  <c:v>87</c:v>
                </c:pt>
                <c:pt idx="14">
                  <c:v>110</c:v>
                </c:pt>
                <c:pt idx="15">
                  <c:v>148</c:v>
                </c:pt>
                <c:pt idx="16">
                  <c:v>85</c:v>
                </c:pt>
                <c:pt idx="17">
                  <c:v>116</c:v>
                </c:pt>
                <c:pt idx="18">
                  <c:v>124</c:v>
                </c:pt>
                <c:pt idx="19">
                  <c:v>83</c:v>
                </c:pt>
                <c:pt idx="20">
                  <c:v>73</c:v>
                </c:pt>
                <c:pt idx="21">
                  <c:v>88</c:v>
                </c:pt>
                <c:pt idx="22">
                  <c:v>78</c:v>
                </c:pt>
                <c:pt idx="23">
                  <c:v>101</c:v>
                </c:pt>
                <c:pt idx="24">
                  <c:v>104</c:v>
                </c:pt>
                <c:pt idx="25">
                  <c:v>92</c:v>
                </c:pt>
                <c:pt idx="26">
                  <c:v>107</c:v>
                </c:pt>
                <c:pt idx="27">
                  <c:v>92</c:v>
                </c:pt>
                <c:pt idx="28">
                  <c:v>79</c:v>
                </c:pt>
                <c:pt idx="29">
                  <c:v>70</c:v>
                </c:pt>
                <c:pt idx="30">
                  <c:v>82</c:v>
                </c:pt>
                <c:pt idx="31">
                  <c:v>79</c:v>
                </c:pt>
                <c:pt idx="32">
                  <c:v>62</c:v>
                </c:pt>
                <c:pt idx="33">
                  <c:v>70</c:v>
                </c:pt>
                <c:pt idx="34">
                  <c:v>56</c:v>
                </c:pt>
                <c:pt idx="35">
                  <c:v>39</c:v>
                </c:pt>
                <c:pt idx="36">
                  <c:v>38</c:v>
                </c:pt>
                <c:pt idx="37">
                  <c:v>47</c:v>
                </c:pt>
                <c:pt idx="38">
                  <c:v>42</c:v>
                </c:pt>
                <c:pt idx="39">
                  <c:v>58</c:v>
                </c:pt>
                <c:pt idx="40">
                  <c:v>57</c:v>
                </c:pt>
                <c:pt idx="41">
                  <c:v>60</c:v>
                </c:pt>
                <c:pt idx="42">
                  <c:v>48</c:v>
                </c:pt>
                <c:pt idx="43">
                  <c:v>40</c:v>
                </c:pt>
                <c:pt idx="44">
                  <c:v>38</c:v>
                </c:pt>
                <c:pt idx="45">
                  <c:v>24</c:v>
                </c:pt>
                <c:pt idx="46">
                  <c:v>36</c:v>
                </c:pt>
                <c:pt idx="47">
                  <c:v>19</c:v>
                </c:pt>
                <c:pt idx="48">
                  <c:v>31</c:v>
                </c:pt>
                <c:pt idx="49">
                  <c:v>46</c:v>
                </c:pt>
                <c:pt idx="50">
                  <c:v>32</c:v>
                </c:pt>
                <c:pt idx="51">
                  <c:v>30</c:v>
                </c:pt>
                <c:pt idx="52">
                  <c:v>38</c:v>
                </c:pt>
                <c:pt idx="53">
                  <c:v>48</c:v>
                </c:pt>
                <c:pt idx="54">
                  <c:v>46</c:v>
                </c:pt>
                <c:pt idx="55">
                  <c:v>50</c:v>
                </c:pt>
                <c:pt idx="56">
                  <c:v>45</c:v>
                </c:pt>
                <c:pt idx="57">
                  <c:v>38</c:v>
                </c:pt>
                <c:pt idx="58">
                  <c:v>41</c:v>
                </c:pt>
                <c:pt idx="59">
                  <c:v>39</c:v>
                </c:pt>
                <c:pt idx="60">
                  <c:v>36</c:v>
                </c:pt>
                <c:pt idx="61">
                  <c:v>46</c:v>
                </c:pt>
                <c:pt idx="62">
                  <c:v>66</c:v>
                </c:pt>
                <c:pt idx="63">
                  <c:v>79</c:v>
                </c:pt>
                <c:pt idx="64">
                  <c:v>58</c:v>
                </c:pt>
                <c:pt idx="65">
                  <c:v>64</c:v>
                </c:pt>
                <c:pt idx="66">
                  <c:v>113</c:v>
                </c:pt>
                <c:pt idx="67">
                  <c:v>104</c:v>
                </c:pt>
                <c:pt idx="68">
                  <c:v>76</c:v>
                </c:pt>
                <c:pt idx="69">
                  <c:v>70</c:v>
                </c:pt>
                <c:pt idx="70">
                  <c:v>76</c:v>
                </c:pt>
                <c:pt idx="71">
                  <c:v>80</c:v>
                </c:pt>
                <c:pt idx="72">
                  <c:v>58</c:v>
                </c:pt>
                <c:pt idx="73">
                  <c:v>83</c:v>
                </c:pt>
                <c:pt idx="74">
                  <c:v>87</c:v>
                </c:pt>
                <c:pt idx="75">
                  <c:v>67</c:v>
                </c:pt>
                <c:pt idx="76">
                  <c:v>108</c:v>
                </c:pt>
                <c:pt idx="77">
                  <c:v>123</c:v>
                </c:pt>
                <c:pt idx="78">
                  <c:v>116</c:v>
                </c:pt>
                <c:pt idx="79">
                  <c:v>118</c:v>
                </c:pt>
                <c:pt idx="80">
                  <c:v>192</c:v>
                </c:pt>
                <c:pt idx="81">
                  <c:v>182</c:v>
                </c:pt>
                <c:pt idx="82">
                  <c:v>200</c:v>
                </c:pt>
                <c:pt idx="83">
                  <c:v>223</c:v>
                </c:pt>
                <c:pt idx="84">
                  <c:v>250</c:v>
                </c:pt>
                <c:pt idx="85">
                  <c:v>247</c:v>
                </c:pt>
                <c:pt idx="86">
                  <c:v>225</c:v>
                </c:pt>
                <c:pt idx="87">
                  <c:v>235</c:v>
                </c:pt>
                <c:pt idx="88">
                  <c:v>253</c:v>
                </c:pt>
                <c:pt idx="89">
                  <c:v>293</c:v>
                </c:pt>
                <c:pt idx="90">
                  <c:v>222</c:v>
                </c:pt>
                <c:pt idx="91">
                  <c:v>238</c:v>
                </c:pt>
                <c:pt idx="92">
                  <c:v>226</c:v>
                </c:pt>
                <c:pt idx="93">
                  <c:v>238</c:v>
                </c:pt>
                <c:pt idx="94">
                  <c:v>245</c:v>
                </c:pt>
                <c:pt idx="95">
                  <c:v>215</c:v>
                </c:pt>
                <c:pt idx="96">
                  <c:v>189</c:v>
                </c:pt>
                <c:pt idx="97">
                  <c:v>179</c:v>
                </c:pt>
                <c:pt idx="98">
                  <c:v>214</c:v>
                </c:pt>
                <c:pt idx="99">
                  <c:v>196</c:v>
                </c:pt>
                <c:pt idx="100">
                  <c:v>157</c:v>
                </c:pt>
                <c:pt idx="101">
                  <c:v>141</c:v>
                </c:pt>
                <c:pt idx="102">
                  <c:v>181</c:v>
                </c:pt>
                <c:pt idx="103">
                  <c:v>76</c:v>
                </c:pt>
                <c:pt idx="104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20-4C6D-B933-293075385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NBREN'!$C$5</c:f>
              <c:strCache>
                <c:ptCount val="1"/>
                <c:pt idx="0">
                  <c:v>NB 4 Week Avg (Boom (excl monthly rens))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NBREN'!$C$6:$C$110</c:f>
              <c:numCache>
                <c:formatCode>#,##0</c:formatCode>
                <c:ptCount val="105"/>
                <c:pt idx="3">
                  <c:v>597.75</c:v>
                </c:pt>
                <c:pt idx="4">
                  <c:v>587</c:v>
                </c:pt>
                <c:pt idx="5">
                  <c:v>587.5</c:v>
                </c:pt>
                <c:pt idx="6">
                  <c:v>582.75</c:v>
                </c:pt>
                <c:pt idx="7">
                  <c:v>563.25</c:v>
                </c:pt>
                <c:pt idx="8">
                  <c:v>593.75</c:v>
                </c:pt>
                <c:pt idx="9">
                  <c:v>677.5</c:v>
                </c:pt>
                <c:pt idx="10">
                  <c:v>794.25</c:v>
                </c:pt>
                <c:pt idx="11">
                  <c:v>1003.75</c:v>
                </c:pt>
                <c:pt idx="12">
                  <c:v>1114.75</c:v>
                </c:pt>
                <c:pt idx="13">
                  <c:v>1170.5</c:v>
                </c:pt>
                <c:pt idx="14">
                  <c:v>1181</c:v>
                </c:pt>
                <c:pt idx="15">
                  <c:v>1181.5</c:v>
                </c:pt>
                <c:pt idx="16">
                  <c:v>1154.25</c:v>
                </c:pt>
                <c:pt idx="17">
                  <c:v>1120.25</c:v>
                </c:pt>
                <c:pt idx="18">
                  <c:v>1109.5</c:v>
                </c:pt>
                <c:pt idx="19">
                  <c:v>973.25</c:v>
                </c:pt>
                <c:pt idx="20">
                  <c:v>936</c:v>
                </c:pt>
                <c:pt idx="21">
                  <c:v>928</c:v>
                </c:pt>
                <c:pt idx="22">
                  <c:v>923.25</c:v>
                </c:pt>
                <c:pt idx="23">
                  <c:v>970.25</c:v>
                </c:pt>
                <c:pt idx="24">
                  <c:v>1036.25</c:v>
                </c:pt>
                <c:pt idx="25">
                  <c:v>985</c:v>
                </c:pt>
                <c:pt idx="26">
                  <c:v>937.75</c:v>
                </c:pt>
                <c:pt idx="27">
                  <c:v>932</c:v>
                </c:pt>
                <c:pt idx="28">
                  <c:v>965.25</c:v>
                </c:pt>
                <c:pt idx="29">
                  <c:v>1056.5</c:v>
                </c:pt>
                <c:pt idx="30">
                  <c:v>1142</c:v>
                </c:pt>
                <c:pt idx="31">
                  <c:v>1213</c:v>
                </c:pt>
                <c:pt idx="32">
                  <c:v>1261</c:v>
                </c:pt>
                <c:pt idx="33">
                  <c:v>1331.25</c:v>
                </c:pt>
                <c:pt idx="34">
                  <c:v>1362.5</c:v>
                </c:pt>
                <c:pt idx="35">
                  <c:v>1366.75</c:v>
                </c:pt>
                <c:pt idx="36">
                  <c:v>1373.75</c:v>
                </c:pt>
                <c:pt idx="37">
                  <c:v>1398.75</c:v>
                </c:pt>
                <c:pt idx="38">
                  <c:v>1391.25</c:v>
                </c:pt>
                <c:pt idx="39">
                  <c:v>1368.75</c:v>
                </c:pt>
                <c:pt idx="40">
                  <c:v>1321.75</c:v>
                </c:pt>
                <c:pt idx="41">
                  <c:v>1254.75</c:v>
                </c:pt>
                <c:pt idx="42">
                  <c:v>1245.75</c:v>
                </c:pt>
                <c:pt idx="43">
                  <c:v>1230.75</c:v>
                </c:pt>
                <c:pt idx="44">
                  <c:v>1182.75</c:v>
                </c:pt>
                <c:pt idx="45">
                  <c:v>1152</c:v>
                </c:pt>
                <c:pt idx="46">
                  <c:v>1126.5</c:v>
                </c:pt>
                <c:pt idx="47">
                  <c:v>1086.75</c:v>
                </c:pt>
                <c:pt idx="48">
                  <c:v>1029.25</c:v>
                </c:pt>
                <c:pt idx="49">
                  <c:v>968.5</c:v>
                </c:pt>
                <c:pt idx="50">
                  <c:v>940</c:v>
                </c:pt>
                <c:pt idx="51">
                  <c:v>901.5</c:v>
                </c:pt>
                <c:pt idx="52">
                  <c:v>871.75</c:v>
                </c:pt>
                <c:pt idx="53">
                  <c:v>844.5</c:v>
                </c:pt>
                <c:pt idx="54">
                  <c:v>780</c:v>
                </c:pt>
                <c:pt idx="55">
                  <c:v>801</c:v>
                </c:pt>
                <c:pt idx="56">
                  <c:v>790</c:v>
                </c:pt>
                <c:pt idx="57">
                  <c:v>783</c:v>
                </c:pt>
                <c:pt idx="58">
                  <c:v>805.25</c:v>
                </c:pt>
                <c:pt idx="59">
                  <c:v>781.25</c:v>
                </c:pt>
                <c:pt idx="60">
                  <c:v>762</c:v>
                </c:pt>
                <c:pt idx="61">
                  <c:v>757</c:v>
                </c:pt>
                <c:pt idx="62">
                  <c:v>754</c:v>
                </c:pt>
                <c:pt idx="63">
                  <c:v>775.5</c:v>
                </c:pt>
                <c:pt idx="64">
                  <c:v>795.5</c:v>
                </c:pt>
                <c:pt idx="65">
                  <c:v>793.5</c:v>
                </c:pt>
                <c:pt idx="66">
                  <c:v>814.5</c:v>
                </c:pt>
                <c:pt idx="67">
                  <c:v>835.5</c:v>
                </c:pt>
                <c:pt idx="68">
                  <c:v>912.75</c:v>
                </c:pt>
                <c:pt idx="69">
                  <c:v>955.5</c:v>
                </c:pt>
                <c:pt idx="70">
                  <c:v>952</c:v>
                </c:pt>
                <c:pt idx="71">
                  <c:v>881.25</c:v>
                </c:pt>
                <c:pt idx="72">
                  <c:v>823.25</c:v>
                </c:pt>
                <c:pt idx="73">
                  <c:v>823.5</c:v>
                </c:pt>
                <c:pt idx="74">
                  <c:v>823.75</c:v>
                </c:pt>
                <c:pt idx="75">
                  <c:v>853.75</c:v>
                </c:pt>
                <c:pt idx="76">
                  <c:v>896.75</c:v>
                </c:pt>
                <c:pt idx="77">
                  <c:v>890.25</c:v>
                </c:pt>
                <c:pt idx="78">
                  <c:v>844.75</c:v>
                </c:pt>
                <c:pt idx="79">
                  <c:v>808</c:v>
                </c:pt>
                <c:pt idx="80">
                  <c:v>759.5</c:v>
                </c:pt>
                <c:pt idx="81">
                  <c:v>733.5</c:v>
                </c:pt>
                <c:pt idx="82">
                  <c:v>741.75</c:v>
                </c:pt>
                <c:pt idx="83">
                  <c:v>770.25</c:v>
                </c:pt>
                <c:pt idx="84">
                  <c:v>786.25</c:v>
                </c:pt>
                <c:pt idx="85">
                  <c:v>815.5</c:v>
                </c:pt>
                <c:pt idx="86">
                  <c:v>822.5</c:v>
                </c:pt>
                <c:pt idx="87">
                  <c:v>827.25</c:v>
                </c:pt>
                <c:pt idx="88">
                  <c:v>794.5</c:v>
                </c:pt>
                <c:pt idx="89">
                  <c:v>799.5</c:v>
                </c:pt>
                <c:pt idx="90">
                  <c:v>786.5</c:v>
                </c:pt>
                <c:pt idx="91">
                  <c:v>767.5</c:v>
                </c:pt>
                <c:pt idx="92">
                  <c:v>753.75</c:v>
                </c:pt>
                <c:pt idx="93">
                  <c:v>710.75</c:v>
                </c:pt>
                <c:pt idx="94">
                  <c:v>715.5</c:v>
                </c:pt>
                <c:pt idx="95">
                  <c:v>702.75</c:v>
                </c:pt>
                <c:pt idx="96">
                  <c:v>693</c:v>
                </c:pt>
                <c:pt idx="97">
                  <c:v>673</c:v>
                </c:pt>
                <c:pt idx="98">
                  <c:v>681.25</c:v>
                </c:pt>
                <c:pt idx="99">
                  <c:v>685.25</c:v>
                </c:pt>
                <c:pt idx="100">
                  <c:v>675.75</c:v>
                </c:pt>
                <c:pt idx="101">
                  <c:v>655.25</c:v>
                </c:pt>
                <c:pt idx="102">
                  <c:v>625.75</c:v>
                </c:pt>
                <c:pt idx="103">
                  <c:v>592.25</c:v>
                </c:pt>
                <c:pt idx="104">
                  <c:v>586.75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920-4C6D-B933-293075385BC9}"/>
            </c:ext>
          </c:extLst>
        </c:ser>
        <c:ser>
          <c:idx val="3"/>
          <c:order val="3"/>
          <c:tx>
            <c:strRef>
              <c:f>'PolCount NBREN'!$E$5</c:f>
              <c:strCache>
                <c:ptCount val="1"/>
                <c:pt idx="0">
                  <c:v>RN 4 Week Avg (Boom (excl monthly rens))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NBREN'!$E$6:$E$110</c:f>
              <c:numCache>
                <c:formatCode>#,##0</c:formatCode>
                <c:ptCount val="105"/>
                <c:pt idx="3">
                  <c:v>29.5</c:v>
                </c:pt>
                <c:pt idx="4">
                  <c:v>26.75</c:v>
                </c:pt>
                <c:pt idx="5">
                  <c:v>29.25</c:v>
                </c:pt>
                <c:pt idx="6">
                  <c:v>40.75</c:v>
                </c:pt>
                <c:pt idx="7">
                  <c:v>50.75</c:v>
                </c:pt>
                <c:pt idx="8">
                  <c:v>57</c:v>
                </c:pt>
                <c:pt idx="9">
                  <c:v>57.5</c:v>
                </c:pt>
                <c:pt idx="10">
                  <c:v>48.75</c:v>
                </c:pt>
                <c:pt idx="11">
                  <c:v>42.5</c:v>
                </c:pt>
                <c:pt idx="12">
                  <c:v>40.5</c:v>
                </c:pt>
                <c:pt idx="13">
                  <c:v>51.75</c:v>
                </c:pt>
                <c:pt idx="14">
                  <c:v>69.25</c:v>
                </c:pt>
                <c:pt idx="15">
                  <c:v>96.75</c:v>
                </c:pt>
                <c:pt idx="16">
                  <c:v>107.5</c:v>
                </c:pt>
                <c:pt idx="17">
                  <c:v>114.75</c:v>
                </c:pt>
                <c:pt idx="18">
                  <c:v>118.25</c:v>
                </c:pt>
                <c:pt idx="19">
                  <c:v>102</c:v>
                </c:pt>
                <c:pt idx="20">
                  <c:v>99</c:v>
                </c:pt>
                <c:pt idx="21">
                  <c:v>92</c:v>
                </c:pt>
                <c:pt idx="22">
                  <c:v>80.5</c:v>
                </c:pt>
                <c:pt idx="23">
                  <c:v>85</c:v>
                </c:pt>
                <c:pt idx="24">
                  <c:v>92.75</c:v>
                </c:pt>
                <c:pt idx="25">
                  <c:v>93.75</c:v>
                </c:pt>
                <c:pt idx="26">
                  <c:v>101</c:v>
                </c:pt>
                <c:pt idx="27">
                  <c:v>98.75</c:v>
                </c:pt>
                <c:pt idx="28">
                  <c:v>92.5</c:v>
                </c:pt>
                <c:pt idx="29">
                  <c:v>87</c:v>
                </c:pt>
                <c:pt idx="30">
                  <c:v>80.75</c:v>
                </c:pt>
                <c:pt idx="31">
                  <c:v>77.5</c:v>
                </c:pt>
                <c:pt idx="32">
                  <c:v>73.25</c:v>
                </c:pt>
                <c:pt idx="33">
                  <c:v>73.25</c:v>
                </c:pt>
                <c:pt idx="34">
                  <c:v>66.75</c:v>
                </c:pt>
                <c:pt idx="35">
                  <c:v>56.75</c:v>
                </c:pt>
                <c:pt idx="36">
                  <c:v>50.75</c:v>
                </c:pt>
                <c:pt idx="37">
                  <c:v>45</c:v>
                </c:pt>
                <c:pt idx="38">
                  <c:v>41.5</c:v>
                </c:pt>
                <c:pt idx="39">
                  <c:v>46.25</c:v>
                </c:pt>
                <c:pt idx="40">
                  <c:v>51</c:v>
                </c:pt>
                <c:pt idx="41">
                  <c:v>54.25</c:v>
                </c:pt>
                <c:pt idx="42">
                  <c:v>55.75</c:v>
                </c:pt>
                <c:pt idx="43">
                  <c:v>51.25</c:v>
                </c:pt>
                <c:pt idx="44">
                  <c:v>46.5</c:v>
                </c:pt>
                <c:pt idx="45">
                  <c:v>37.5</c:v>
                </c:pt>
                <c:pt idx="46">
                  <c:v>34.5</c:v>
                </c:pt>
                <c:pt idx="47">
                  <c:v>29.25</c:v>
                </c:pt>
                <c:pt idx="48">
                  <c:v>27.5</c:v>
                </c:pt>
                <c:pt idx="49">
                  <c:v>33</c:v>
                </c:pt>
                <c:pt idx="50">
                  <c:v>32</c:v>
                </c:pt>
                <c:pt idx="51">
                  <c:v>34.75</c:v>
                </c:pt>
                <c:pt idx="52">
                  <c:v>36.5</c:v>
                </c:pt>
                <c:pt idx="53">
                  <c:v>37</c:v>
                </c:pt>
                <c:pt idx="54">
                  <c:v>40.5</c:v>
                </c:pt>
                <c:pt idx="55">
                  <c:v>45.5</c:v>
                </c:pt>
                <c:pt idx="56">
                  <c:v>47.25</c:v>
                </c:pt>
                <c:pt idx="57">
                  <c:v>44.75</c:v>
                </c:pt>
                <c:pt idx="58">
                  <c:v>43.5</c:v>
                </c:pt>
                <c:pt idx="59">
                  <c:v>40.75</c:v>
                </c:pt>
                <c:pt idx="60">
                  <c:v>38.5</c:v>
                </c:pt>
                <c:pt idx="61">
                  <c:v>40.5</c:v>
                </c:pt>
                <c:pt idx="62">
                  <c:v>46.75</c:v>
                </c:pt>
                <c:pt idx="63">
                  <c:v>56.75</c:v>
                </c:pt>
                <c:pt idx="64">
                  <c:v>62.25</c:v>
                </c:pt>
                <c:pt idx="65">
                  <c:v>66.75</c:v>
                </c:pt>
                <c:pt idx="66">
                  <c:v>78.5</c:v>
                </c:pt>
                <c:pt idx="67">
                  <c:v>84.75</c:v>
                </c:pt>
                <c:pt idx="68">
                  <c:v>89.25</c:v>
                </c:pt>
                <c:pt idx="69">
                  <c:v>90.75</c:v>
                </c:pt>
                <c:pt idx="70">
                  <c:v>81.5</c:v>
                </c:pt>
                <c:pt idx="71">
                  <c:v>75.5</c:v>
                </c:pt>
                <c:pt idx="72">
                  <c:v>71</c:v>
                </c:pt>
                <c:pt idx="73">
                  <c:v>74.25</c:v>
                </c:pt>
                <c:pt idx="74">
                  <c:v>77</c:v>
                </c:pt>
                <c:pt idx="75">
                  <c:v>73.75</c:v>
                </c:pt>
                <c:pt idx="76">
                  <c:v>86.25</c:v>
                </c:pt>
                <c:pt idx="77">
                  <c:v>96.25</c:v>
                </c:pt>
                <c:pt idx="78">
                  <c:v>103.5</c:v>
                </c:pt>
                <c:pt idx="79">
                  <c:v>116.25</c:v>
                </c:pt>
                <c:pt idx="80">
                  <c:v>137.25</c:v>
                </c:pt>
                <c:pt idx="81">
                  <c:v>152</c:v>
                </c:pt>
                <c:pt idx="82">
                  <c:v>173</c:v>
                </c:pt>
                <c:pt idx="83">
                  <c:v>199.25</c:v>
                </c:pt>
                <c:pt idx="84">
                  <c:v>213.75</c:v>
                </c:pt>
                <c:pt idx="85">
                  <c:v>230</c:v>
                </c:pt>
                <c:pt idx="86">
                  <c:v>236.25</c:v>
                </c:pt>
                <c:pt idx="87">
                  <c:v>239.25</c:v>
                </c:pt>
                <c:pt idx="88">
                  <c:v>240</c:v>
                </c:pt>
                <c:pt idx="89">
                  <c:v>251.5</c:v>
                </c:pt>
                <c:pt idx="90">
                  <c:v>250.75</c:v>
                </c:pt>
                <c:pt idx="91">
                  <c:v>251.5</c:v>
                </c:pt>
                <c:pt idx="92">
                  <c:v>244.75</c:v>
                </c:pt>
                <c:pt idx="93">
                  <c:v>231</c:v>
                </c:pt>
                <c:pt idx="94">
                  <c:v>236.75</c:v>
                </c:pt>
                <c:pt idx="95">
                  <c:v>231</c:v>
                </c:pt>
                <c:pt idx="96">
                  <c:v>221.75</c:v>
                </c:pt>
                <c:pt idx="97">
                  <c:v>207</c:v>
                </c:pt>
                <c:pt idx="98">
                  <c:v>199.25</c:v>
                </c:pt>
                <c:pt idx="99">
                  <c:v>194.5</c:v>
                </c:pt>
                <c:pt idx="100">
                  <c:v>186.5</c:v>
                </c:pt>
                <c:pt idx="101">
                  <c:v>177</c:v>
                </c:pt>
                <c:pt idx="102">
                  <c:v>168.75</c:v>
                </c:pt>
                <c:pt idx="103">
                  <c:v>138.75</c:v>
                </c:pt>
                <c:pt idx="104">
                  <c:v>144.75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920-4C6D-B933-293075385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Subscription (Excl. Monthly Renewals):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'PolCount NBREN'!$Z$5</c:f>
              <c:strCache>
                <c:ptCount val="1"/>
                <c:pt idx="0">
                  <c:v>NB Policy Count (Boom Subscription)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NBREN'!$Z$6:$Z$110</c:f>
              <c:numCache>
                <c:formatCode>#,##0</c:formatCode>
                <c:ptCount val="105"/>
                <c:pt idx="0">
                  <c:v>398</c:v>
                </c:pt>
                <c:pt idx="1">
                  <c:v>391</c:v>
                </c:pt>
                <c:pt idx="2">
                  <c:v>368</c:v>
                </c:pt>
                <c:pt idx="3">
                  <c:v>396</c:v>
                </c:pt>
                <c:pt idx="4">
                  <c:v>376</c:v>
                </c:pt>
                <c:pt idx="5">
                  <c:v>427</c:v>
                </c:pt>
                <c:pt idx="6">
                  <c:v>395</c:v>
                </c:pt>
                <c:pt idx="7">
                  <c:v>365</c:v>
                </c:pt>
                <c:pt idx="8">
                  <c:v>485</c:v>
                </c:pt>
                <c:pt idx="9">
                  <c:v>679</c:v>
                </c:pt>
                <c:pt idx="10">
                  <c:v>732</c:v>
                </c:pt>
                <c:pt idx="11">
                  <c:v>893</c:v>
                </c:pt>
                <c:pt idx="12">
                  <c:v>772</c:v>
                </c:pt>
                <c:pt idx="13">
                  <c:v>796</c:v>
                </c:pt>
                <c:pt idx="14">
                  <c:v>664</c:v>
                </c:pt>
                <c:pt idx="15">
                  <c:v>848</c:v>
                </c:pt>
                <c:pt idx="16">
                  <c:v>689</c:v>
                </c:pt>
                <c:pt idx="17">
                  <c:v>663</c:v>
                </c:pt>
                <c:pt idx="18">
                  <c:v>664</c:v>
                </c:pt>
                <c:pt idx="19">
                  <c:v>521</c:v>
                </c:pt>
                <c:pt idx="20">
                  <c:v>591</c:v>
                </c:pt>
                <c:pt idx="21">
                  <c:v>636</c:v>
                </c:pt>
                <c:pt idx="22">
                  <c:v>660</c:v>
                </c:pt>
                <c:pt idx="23">
                  <c:v>476</c:v>
                </c:pt>
                <c:pt idx="24">
                  <c:v>291</c:v>
                </c:pt>
                <c:pt idx="25">
                  <c:v>131</c:v>
                </c:pt>
                <c:pt idx="26">
                  <c:v>96</c:v>
                </c:pt>
                <c:pt idx="27">
                  <c:v>24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6C-47B6-8147-C3100AD998EB}"/>
            </c:ext>
          </c:extLst>
        </c:ser>
        <c:ser>
          <c:idx val="2"/>
          <c:order val="2"/>
          <c:tx>
            <c:strRef>
              <c:f>'PolCount NBREN'!$AB$5</c:f>
              <c:strCache>
                <c:ptCount val="1"/>
                <c:pt idx="0">
                  <c:v>RN Policy Count (Boom Subscription)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NBREN'!$AB$6:$AB$110</c:f>
              <c:numCache>
                <c:formatCode>#,##0</c:formatCode>
                <c:ptCount val="105"/>
                <c:pt idx="0">
                  <c:v>8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37</c:v>
                </c:pt>
                <c:pt idx="7">
                  <c:v>33</c:v>
                </c:pt>
                <c:pt idx="8">
                  <c:v>23</c:v>
                </c:pt>
                <c:pt idx="9">
                  <c:v>24</c:v>
                </c:pt>
                <c:pt idx="10">
                  <c:v>19</c:v>
                </c:pt>
                <c:pt idx="11">
                  <c:v>24</c:v>
                </c:pt>
                <c:pt idx="12">
                  <c:v>23</c:v>
                </c:pt>
                <c:pt idx="13">
                  <c:v>33</c:v>
                </c:pt>
                <c:pt idx="14">
                  <c:v>35</c:v>
                </c:pt>
                <c:pt idx="15">
                  <c:v>62</c:v>
                </c:pt>
                <c:pt idx="16">
                  <c:v>28</c:v>
                </c:pt>
                <c:pt idx="17">
                  <c:v>43</c:v>
                </c:pt>
                <c:pt idx="18">
                  <c:v>51</c:v>
                </c:pt>
                <c:pt idx="19">
                  <c:v>36</c:v>
                </c:pt>
                <c:pt idx="20">
                  <c:v>29</c:v>
                </c:pt>
                <c:pt idx="21">
                  <c:v>24</c:v>
                </c:pt>
                <c:pt idx="22">
                  <c:v>25</c:v>
                </c:pt>
                <c:pt idx="23">
                  <c:v>42</c:v>
                </c:pt>
                <c:pt idx="24">
                  <c:v>47</c:v>
                </c:pt>
                <c:pt idx="25">
                  <c:v>42</c:v>
                </c:pt>
                <c:pt idx="26">
                  <c:v>50</c:v>
                </c:pt>
                <c:pt idx="27">
                  <c:v>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6C-47B6-8147-C3100AD99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NBREN'!$AA$5</c:f>
              <c:strCache>
                <c:ptCount val="1"/>
                <c:pt idx="0">
                  <c:v>NB 4 Week Avg (Boom Subscription)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NBREN'!$AA$6:$AA$110</c:f>
              <c:numCache>
                <c:formatCode>#,##0</c:formatCode>
                <c:ptCount val="105"/>
                <c:pt idx="3">
                  <c:v>388.25</c:v>
                </c:pt>
                <c:pt idx="4">
                  <c:v>382.75</c:v>
                </c:pt>
                <c:pt idx="5">
                  <c:v>391.75</c:v>
                </c:pt>
                <c:pt idx="6">
                  <c:v>398.5</c:v>
                </c:pt>
                <c:pt idx="7">
                  <c:v>390.75</c:v>
                </c:pt>
                <c:pt idx="8">
                  <c:v>418</c:v>
                </c:pt>
                <c:pt idx="9">
                  <c:v>481</c:v>
                </c:pt>
                <c:pt idx="10">
                  <c:v>565.25</c:v>
                </c:pt>
                <c:pt idx="11">
                  <c:v>697.25</c:v>
                </c:pt>
                <c:pt idx="12">
                  <c:v>769</c:v>
                </c:pt>
                <c:pt idx="13">
                  <c:v>798.25</c:v>
                </c:pt>
                <c:pt idx="14">
                  <c:v>781.25</c:v>
                </c:pt>
                <c:pt idx="15">
                  <c:v>770</c:v>
                </c:pt>
                <c:pt idx="16">
                  <c:v>749.25</c:v>
                </c:pt>
                <c:pt idx="17">
                  <c:v>716</c:v>
                </c:pt>
                <c:pt idx="18">
                  <c:v>716</c:v>
                </c:pt>
                <c:pt idx="19">
                  <c:v>634.25</c:v>
                </c:pt>
                <c:pt idx="20">
                  <c:v>609.75</c:v>
                </c:pt>
                <c:pt idx="21">
                  <c:v>603</c:v>
                </c:pt>
                <c:pt idx="22">
                  <c:v>602</c:v>
                </c:pt>
                <c:pt idx="23">
                  <c:v>590.75</c:v>
                </c:pt>
                <c:pt idx="24">
                  <c:v>515.75</c:v>
                </c:pt>
                <c:pt idx="25">
                  <c:v>389.5</c:v>
                </c:pt>
                <c:pt idx="26">
                  <c:v>248.5</c:v>
                </c:pt>
                <c:pt idx="27">
                  <c:v>135.5</c:v>
                </c:pt>
                <c:pt idx="28">
                  <c:v>63</c:v>
                </c:pt>
                <c:pt idx="29">
                  <c:v>30.25</c:v>
                </c:pt>
                <c:pt idx="30">
                  <c:v>6.25</c:v>
                </c:pt>
                <c:pt idx="31">
                  <c:v>0.25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6C-47B6-8147-C3100AD998EB}"/>
            </c:ext>
          </c:extLst>
        </c:ser>
        <c:ser>
          <c:idx val="3"/>
          <c:order val="3"/>
          <c:tx>
            <c:strRef>
              <c:f>'PolCount NBREN'!$AC$5</c:f>
              <c:strCache>
                <c:ptCount val="1"/>
                <c:pt idx="0">
                  <c:v>RN 4 Week Avg (Boom Subscription)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NBREN'!$AC$6:$AC$110</c:f>
              <c:numCache>
                <c:formatCode>#,##0</c:formatCode>
                <c:ptCount val="105"/>
                <c:pt idx="3">
                  <c:v>4.5</c:v>
                </c:pt>
                <c:pt idx="4">
                  <c:v>2.5</c:v>
                </c:pt>
                <c:pt idx="5">
                  <c:v>0.5</c:v>
                </c:pt>
                <c:pt idx="6">
                  <c:v>9.75</c:v>
                </c:pt>
                <c:pt idx="7">
                  <c:v>18</c:v>
                </c:pt>
                <c:pt idx="8">
                  <c:v>23.75</c:v>
                </c:pt>
                <c:pt idx="9">
                  <c:v>29.25</c:v>
                </c:pt>
                <c:pt idx="10">
                  <c:v>24.75</c:v>
                </c:pt>
                <c:pt idx="11">
                  <c:v>22.5</c:v>
                </c:pt>
                <c:pt idx="12">
                  <c:v>22.5</c:v>
                </c:pt>
                <c:pt idx="13">
                  <c:v>24.75</c:v>
                </c:pt>
                <c:pt idx="14">
                  <c:v>28.75</c:v>
                </c:pt>
                <c:pt idx="15">
                  <c:v>38.25</c:v>
                </c:pt>
                <c:pt idx="16">
                  <c:v>39.5</c:v>
                </c:pt>
                <c:pt idx="17">
                  <c:v>42</c:v>
                </c:pt>
                <c:pt idx="18">
                  <c:v>46</c:v>
                </c:pt>
                <c:pt idx="19">
                  <c:v>39.5</c:v>
                </c:pt>
                <c:pt idx="20">
                  <c:v>39.75</c:v>
                </c:pt>
                <c:pt idx="21">
                  <c:v>35</c:v>
                </c:pt>
                <c:pt idx="22">
                  <c:v>28.5</c:v>
                </c:pt>
                <c:pt idx="23">
                  <c:v>30</c:v>
                </c:pt>
                <c:pt idx="24">
                  <c:v>34.5</c:v>
                </c:pt>
                <c:pt idx="25">
                  <c:v>39</c:v>
                </c:pt>
                <c:pt idx="26">
                  <c:v>45.25</c:v>
                </c:pt>
                <c:pt idx="27">
                  <c:v>41.5</c:v>
                </c:pt>
                <c:pt idx="28">
                  <c:v>29.75</c:v>
                </c:pt>
                <c:pt idx="29">
                  <c:v>19.25</c:v>
                </c:pt>
                <c:pt idx="30">
                  <c:v>6.75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6C-47B6-8147-C3100AD99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 Up Front: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'PolCount NBREN'!$R$5</c:f>
              <c:strCache>
                <c:ptCount val="1"/>
                <c:pt idx="0">
                  <c:v>NB Policy Count (Boom Annual Up Front)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NBREN'!$R$6:$R$110</c:f>
              <c:numCache>
                <c:formatCode>#,##0</c:formatCode>
                <c:ptCount val="105"/>
                <c:pt idx="0">
                  <c:v>218</c:v>
                </c:pt>
                <c:pt idx="1">
                  <c:v>218</c:v>
                </c:pt>
                <c:pt idx="2">
                  <c:v>212</c:v>
                </c:pt>
                <c:pt idx="3">
                  <c:v>190</c:v>
                </c:pt>
                <c:pt idx="4">
                  <c:v>197</c:v>
                </c:pt>
                <c:pt idx="5">
                  <c:v>184</c:v>
                </c:pt>
                <c:pt idx="6">
                  <c:v>166</c:v>
                </c:pt>
                <c:pt idx="7">
                  <c:v>143</c:v>
                </c:pt>
                <c:pt idx="8">
                  <c:v>210</c:v>
                </c:pt>
                <c:pt idx="9">
                  <c:v>267</c:v>
                </c:pt>
                <c:pt idx="10">
                  <c:v>296</c:v>
                </c:pt>
                <c:pt idx="11">
                  <c:v>453</c:v>
                </c:pt>
                <c:pt idx="12">
                  <c:v>367</c:v>
                </c:pt>
                <c:pt idx="13">
                  <c:v>373</c:v>
                </c:pt>
                <c:pt idx="14">
                  <c:v>406</c:v>
                </c:pt>
                <c:pt idx="15">
                  <c:v>500</c:v>
                </c:pt>
                <c:pt idx="16">
                  <c:v>341</c:v>
                </c:pt>
                <c:pt idx="17">
                  <c:v>370</c:v>
                </c:pt>
                <c:pt idx="18">
                  <c:v>363</c:v>
                </c:pt>
                <c:pt idx="19">
                  <c:v>282</c:v>
                </c:pt>
                <c:pt idx="20">
                  <c:v>290</c:v>
                </c:pt>
                <c:pt idx="21">
                  <c:v>365</c:v>
                </c:pt>
                <c:pt idx="22">
                  <c:v>348</c:v>
                </c:pt>
                <c:pt idx="23">
                  <c:v>379</c:v>
                </c:pt>
                <c:pt idx="24">
                  <c:v>441</c:v>
                </c:pt>
                <c:pt idx="25">
                  <c:v>303</c:v>
                </c:pt>
                <c:pt idx="26">
                  <c:v>323</c:v>
                </c:pt>
                <c:pt idx="27">
                  <c:v>345</c:v>
                </c:pt>
                <c:pt idx="28">
                  <c:v>379</c:v>
                </c:pt>
                <c:pt idx="29">
                  <c:v>359</c:v>
                </c:pt>
                <c:pt idx="30">
                  <c:v>410</c:v>
                </c:pt>
                <c:pt idx="31">
                  <c:v>388</c:v>
                </c:pt>
                <c:pt idx="32">
                  <c:v>426</c:v>
                </c:pt>
                <c:pt idx="33">
                  <c:v>451</c:v>
                </c:pt>
                <c:pt idx="34">
                  <c:v>410</c:v>
                </c:pt>
                <c:pt idx="35">
                  <c:v>381</c:v>
                </c:pt>
                <c:pt idx="36">
                  <c:v>427</c:v>
                </c:pt>
                <c:pt idx="37">
                  <c:v>501</c:v>
                </c:pt>
                <c:pt idx="38">
                  <c:v>406</c:v>
                </c:pt>
                <c:pt idx="39">
                  <c:v>388</c:v>
                </c:pt>
                <c:pt idx="40">
                  <c:v>419</c:v>
                </c:pt>
                <c:pt idx="41">
                  <c:v>365</c:v>
                </c:pt>
                <c:pt idx="42">
                  <c:v>373</c:v>
                </c:pt>
                <c:pt idx="43">
                  <c:v>351</c:v>
                </c:pt>
                <c:pt idx="44">
                  <c:v>382</c:v>
                </c:pt>
                <c:pt idx="45">
                  <c:v>321</c:v>
                </c:pt>
                <c:pt idx="46">
                  <c:v>334</c:v>
                </c:pt>
                <c:pt idx="47">
                  <c:v>300</c:v>
                </c:pt>
                <c:pt idx="48">
                  <c:v>260</c:v>
                </c:pt>
                <c:pt idx="49">
                  <c:v>252</c:v>
                </c:pt>
                <c:pt idx="50">
                  <c:v>286</c:v>
                </c:pt>
                <c:pt idx="51">
                  <c:v>207</c:v>
                </c:pt>
                <c:pt idx="52">
                  <c:v>216</c:v>
                </c:pt>
                <c:pt idx="53">
                  <c:v>240</c:v>
                </c:pt>
                <c:pt idx="54">
                  <c:v>194</c:v>
                </c:pt>
                <c:pt idx="55">
                  <c:v>248</c:v>
                </c:pt>
                <c:pt idx="56">
                  <c:v>211</c:v>
                </c:pt>
                <c:pt idx="57">
                  <c:v>223</c:v>
                </c:pt>
                <c:pt idx="58">
                  <c:v>209</c:v>
                </c:pt>
                <c:pt idx="59">
                  <c:v>218</c:v>
                </c:pt>
                <c:pt idx="60">
                  <c:v>170</c:v>
                </c:pt>
                <c:pt idx="61">
                  <c:v>194</c:v>
                </c:pt>
                <c:pt idx="62">
                  <c:v>227</c:v>
                </c:pt>
                <c:pt idx="63">
                  <c:v>217</c:v>
                </c:pt>
                <c:pt idx="64">
                  <c:v>178</c:v>
                </c:pt>
                <c:pt idx="65">
                  <c:v>185</c:v>
                </c:pt>
                <c:pt idx="66">
                  <c:v>233</c:v>
                </c:pt>
                <c:pt idx="67">
                  <c:v>202</c:v>
                </c:pt>
                <c:pt idx="68">
                  <c:v>247</c:v>
                </c:pt>
                <c:pt idx="69">
                  <c:v>234</c:v>
                </c:pt>
                <c:pt idx="70">
                  <c:v>204</c:v>
                </c:pt>
                <c:pt idx="71">
                  <c:v>142</c:v>
                </c:pt>
                <c:pt idx="72">
                  <c:v>149</c:v>
                </c:pt>
                <c:pt idx="73">
                  <c:v>178</c:v>
                </c:pt>
                <c:pt idx="74">
                  <c:v>158</c:v>
                </c:pt>
                <c:pt idx="75">
                  <c:v>133</c:v>
                </c:pt>
                <c:pt idx="76">
                  <c:v>177</c:v>
                </c:pt>
                <c:pt idx="77">
                  <c:v>156</c:v>
                </c:pt>
                <c:pt idx="78">
                  <c:v>126</c:v>
                </c:pt>
                <c:pt idx="79">
                  <c:v>133</c:v>
                </c:pt>
                <c:pt idx="80">
                  <c:v>132</c:v>
                </c:pt>
                <c:pt idx="81">
                  <c:v>122</c:v>
                </c:pt>
                <c:pt idx="82">
                  <c:v>126</c:v>
                </c:pt>
                <c:pt idx="83">
                  <c:v>121</c:v>
                </c:pt>
                <c:pt idx="84">
                  <c:v>134</c:v>
                </c:pt>
                <c:pt idx="85">
                  <c:v>150</c:v>
                </c:pt>
                <c:pt idx="86">
                  <c:v>117</c:v>
                </c:pt>
                <c:pt idx="87">
                  <c:v>112</c:v>
                </c:pt>
                <c:pt idx="88">
                  <c:v>125</c:v>
                </c:pt>
                <c:pt idx="89">
                  <c:v>159</c:v>
                </c:pt>
                <c:pt idx="90">
                  <c:v>131</c:v>
                </c:pt>
                <c:pt idx="91">
                  <c:v>125</c:v>
                </c:pt>
                <c:pt idx="92">
                  <c:v>110</c:v>
                </c:pt>
                <c:pt idx="93">
                  <c:v>120</c:v>
                </c:pt>
                <c:pt idx="94">
                  <c:v>118</c:v>
                </c:pt>
                <c:pt idx="95">
                  <c:v>102</c:v>
                </c:pt>
                <c:pt idx="96">
                  <c:v>116</c:v>
                </c:pt>
                <c:pt idx="97">
                  <c:v>113</c:v>
                </c:pt>
                <c:pt idx="98">
                  <c:v>139</c:v>
                </c:pt>
                <c:pt idx="99">
                  <c:v>120</c:v>
                </c:pt>
                <c:pt idx="100">
                  <c:v>108</c:v>
                </c:pt>
                <c:pt idx="101">
                  <c:v>116</c:v>
                </c:pt>
                <c:pt idx="102">
                  <c:v>112</c:v>
                </c:pt>
                <c:pt idx="103">
                  <c:v>106</c:v>
                </c:pt>
                <c:pt idx="104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38-44C3-B4BD-703D3FB0C0FC}"/>
            </c:ext>
          </c:extLst>
        </c:ser>
        <c:ser>
          <c:idx val="2"/>
          <c:order val="2"/>
          <c:tx>
            <c:strRef>
              <c:f>'PolCount NBREN'!$T$5</c:f>
              <c:strCache>
                <c:ptCount val="1"/>
                <c:pt idx="0">
                  <c:v>RN Policy Count (Boom Annual Up Front)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NBREN'!$T$6:$T$110</c:f>
              <c:numCache>
                <c:formatCode>#,##0</c:formatCode>
                <c:ptCount val="105"/>
                <c:pt idx="0">
                  <c:v>28</c:v>
                </c:pt>
                <c:pt idx="1">
                  <c:v>20</c:v>
                </c:pt>
                <c:pt idx="2">
                  <c:v>29</c:v>
                </c:pt>
                <c:pt idx="3">
                  <c:v>23</c:v>
                </c:pt>
                <c:pt idx="4">
                  <c:v>25</c:v>
                </c:pt>
                <c:pt idx="5">
                  <c:v>38</c:v>
                </c:pt>
                <c:pt idx="6">
                  <c:v>38</c:v>
                </c:pt>
                <c:pt idx="7">
                  <c:v>30</c:v>
                </c:pt>
                <c:pt idx="8">
                  <c:v>27</c:v>
                </c:pt>
                <c:pt idx="9">
                  <c:v>18</c:v>
                </c:pt>
                <c:pt idx="10">
                  <c:v>21</c:v>
                </c:pt>
                <c:pt idx="11">
                  <c:v>14</c:v>
                </c:pt>
                <c:pt idx="12">
                  <c:v>19</c:v>
                </c:pt>
                <c:pt idx="13">
                  <c:v>54</c:v>
                </c:pt>
                <c:pt idx="14">
                  <c:v>75</c:v>
                </c:pt>
                <c:pt idx="15">
                  <c:v>86</c:v>
                </c:pt>
                <c:pt idx="16">
                  <c:v>57</c:v>
                </c:pt>
                <c:pt idx="17">
                  <c:v>73</c:v>
                </c:pt>
                <c:pt idx="18">
                  <c:v>73</c:v>
                </c:pt>
                <c:pt idx="19">
                  <c:v>47</c:v>
                </c:pt>
                <c:pt idx="20">
                  <c:v>44</c:v>
                </c:pt>
                <c:pt idx="21">
                  <c:v>64</c:v>
                </c:pt>
                <c:pt idx="22">
                  <c:v>53</c:v>
                </c:pt>
                <c:pt idx="23">
                  <c:v>59</c:v>
                </c:pt>
                <c:pt idx="24">
                  <c:v>57</c:v>
                </c:pt>
                <c:pt idx="25">
                  <c:v>50</c:v>
                </c:pt>
                <c:pt idx="26">
                  <c:v>57</c:v>
                </c:pt>
                <c:pt idx="27">
                  <c:v>65</c:v>
                </c:pt>
                <c:pt idx="28">
                  <c:v>79</c:v>
                </c:pt>
                <c:pt idx="29">
                  <c:v>70</c:v>
                </c:pt>
                <c:pt idx="30">
                  <c:v>82</c:v>
                </c:pt>
                <c:pt idx="31">
                  <c:v>79</c:v>
                </c:pt>
                <c:pt idx="32">
                  <c:v>62</c:v>
                </c:pt>
                <c:pt idx="33">
                  <c:v>70</c:v>
                </c:pt>
                <c:pt idx="34">
                  <c:v>56</c:v>
                </c:pt>
                <c:pt idx="35">
                  <c:v>39</c:v>
                </c:pt>
                <c:pt idx="36">
                  <c:v>38</c:v>
                </c:pt>
                <c:pt idx="37">
                  <c:v>47</c:v>
                </c:pt>
                <c:pt idx="38">
                  <c:v>42</c:v>
                </c:pt>
                <c:pt idx="39">
                  <c:v>58</c:v>
                </c:pt>
                <c:pt idx="40">
                  <c:v>57</c:v>
                </c:pt>
                <c:pt idx="41">
                  <c:v>60</c:v>
                </c:pt>
                <c:pt idx="42">
                  <c:v>48</c:v>
                </c:pt>
                <c:pt idx="43">
                  <c:v>40</c:v>
                </c:pt>
                <c:pt idx="44">
                  <c:v>38</c:v>
                </c:pt>
                <c:pt idx="45">
                  <c:v>24</c:v>
                </c:pt>
                <c:pt idx="46">
                  <c:v>36</c:v>
                </c:pt>
                <c:pt idx="47">
                  <c:v>19</c:v>
                </c:pt>
                <c:pt idx="48">
                  <c:v>31</c:v>
                </c:pt>
                <c:pt idx="49">
                  <c:v>46</c:v>
                </c:pt>
                <c:pt idx="50">
                  <c:v>32</c:v>
                </c:pt>
                <c:pt idx="51">
                  <c:v>30</c:v>
                </c:pt>
                <c:pt idx="52">
                  <c:v>38</c:v>
                </c:pt>
                <c:pt idx="53">
                  <c:v>48</c:v>
                </c:pt>
                <c:pt idx="54">
                  <c:v>46</c:v>
                </c:pt>
                <c:pt idx="55">
                  <c:v>50</c:v>
                </c:pt>
                <c:pt idx="56">
                  <c:v>45</c:v>
                </c:pt>
                <c:pt idx="57">
                  <c:v>38</c:v>
                </c:pt>
                <c:pt idx="58">
                  <c:v>41</c:v>
                </c:pt>
                <c:pt idx="59">
                  <c:v>39</c:v>
                </c:pt>
                <c:pt idx="60">
                  <c:v>36</c:v>
                </c:pt>
                <c:pt idx="61">
                  <c:v>46</c:v>
                </c:pt>
                <c:pt idx="62">
                  <c:v>66</c:v>
                </c:pt>
                <c:pt idx="63">
                  <c:v>79</c:v>
                </c:pt>
                <c:pt idx="64">
                  <c:v>58</c:v>
                </c:pt>
                <c:pt idx="65">
                  <c:v>64</c:v>
                </c:pt>
                <c:pt idx="66">
                  <c:v>113</c:v>
                </c:pt>
                <c:pt idx="67">
                  <c:v>104</c:v>
                </c:pt>
                <c:pt idx="68">
                  <c:v>76</c:v>
                </c:pt>
                <c:pt idx="69">
                  <c:v>70</c:v>
                </c:pt>
                <c:pt idx="70">
                  <c:v>75</c:v>
                </c:pt>
                <c:pt idx="71">
                  <c:v>80</c:v>
                </c:pt>
                <c:pt idx="72">
                  <c:v>58</c:v>
                </c:pt>
                <c:pt idx="73">
                  <c:v>83</c:v>
                </c:pt>
                <c:pt idx="74">
                  <c:v>87</c:v>
                </c:pt>
                <c:pt idx="75">
                  <c:v>62</c:v>
                </c:pt>
                <c:pt idx="76">
                  <c:v>68</c:v>
                </c:pt>
                <c:pt idx="77">
                  <c:v>75</c:v>
                </c:pt>
                <c:pt idx="78">
                  <c:v>60</c:v>
                </c:pt>
                <c:pt idx="79">
                  <c:v>51</c:v>
                </c:pt>
                <c:pt idx="80">
                  <c:v>71</c:v>
                </c:pt>
                <c:pt idx="81">
                  <c:v>61</c:v>
                </c:pt>
                <c:pt idx="82">
                  <c:v>70</c:v>
                </c:pt>
                <c:pt idx="83">
                  <c:v>73</c:v>
                </c:pt>
                <c:pt idx="84">
                  <c:v>76</c:v>
                </c:pt>
                <c:pt idx="85">
                  <c:v>77</c:v>
                </c:pt>
                <c:pt idx="86">
                  <c:v>65</c:v>
                </c:pt>
                <c:pt idx="87">
                  <c:v>88</c:v>
                </c:pt>
                <c:pt idx="88">
                  <c:v>79</c:v>
                </c:pt>
                <c:pt idx="89">
                  <c:v>94</c:v>
                </c:pt>
                <c:pt idx="90">
                  <c:v>72</c:v>
                </c:pt>
                <c:pt idx="91">
                  <c:v>77</c:v>
                </c:pt>
                <c:pt idx="92">
                  <c:v>87</c:v>
                </c:pt>
                <c:pt idx="93">
                  <c:v>84</c:v>
                </c:pt>
                <c:pt idx="94">
                  <c:v>86</c:v>
                </c:pt>
                <c:pt idx="95">
                  <c:v>70</c:v>
                </c:pt>
                <c:pt idx="96">
                  <c:v>69</c:v>
                </c:pt>
                <c:pt idx="97">
                  <c:v>59</c:v>
                </c:pt>
                <c:pt idx="98">
                  <c:v>65</c:v>
                </c:pt>
                <c:pt idx="99">
                  <c:v>71</c:v>
                </c:pt>
                <c:pt idx="100">
                  <c:v>46</c:v>
                </c:pt>
                <c:pt idx="101">
                  <c:v>44</c:v>
                </c:pt>
                <c:pt idx="102">
                  <c:v>48</c:v>
                </c:pt>
                <c:pt idx="103">
                  <c:v>27</c:v>
                </c:pt>
                <c:pt idx="10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38-44C3-B4BD-703D3FB0C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NBREN'!$S$5</c:f>
              <c:strCache>
                <c:ptCount val="1"/>
                <c:pt idx="0">
                  <c:v>NB 4 Week Avg (Boom Annual Up Front)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NBREN'!$S$6:$S$110</c:f>
              <c:numCache>
                <c:formatCode>#,##0</c:formatCode>
                <c:ptCount val="105"/>
                <c:pt idx="3">
                  <c:v>209.5</c:v>
                </c:pt>
                <c:pt idx="4">
                  <c:v>204.25</c:v>
                </c:pt>
                <c:pt idx="5">
                  <c:v>195.75</c:v>
                </c:pt>
                <c:pt idx="6">
                  <c:v>184.25</c:v>
                </c:pt>
                <c:pt idx="7">
                  <c:v>172.5</c:v>
                </c:pt>
                <c:pt idx="8">
                  <c:v>175.75</c:v>
                </c:pt>
                <c:pt idx="9">
                  <c:v>196.5</c:v>
                </c:pt>
                <c:pt idx="10">
                  <c:v>229</c:v>
                </c:pt>
                <c:pt idx="11">
                  <c:v>306.5</c:v>
                </c:pt>
                <c:pt idx="12">
                  <c:v>345.75</c:v>
                </c:pt>
                <c:pt idx="13">
                  <c:v>372.25</c:v>
                </c:pt>
                <c:pt idx="14">
                  <c:v>399.75</c:v>
                </c:pt>
                <c:pt idx="15">
                  <c:v>411.5</c:v>
                </c:pt>
                <c:pt idx="16">
                  <c:v>405</c:v>
                </c:pt>
                <c:pt idx="17">
                  <c:v>404.25</c:v>
                </c:pt>
                <c:pt idx="18">
                  <c:v>393.5</c:v>
                </c:pt>
                <c:pt idx="19">
                  <c:v>339</c:v>
                </c:pt>
                <c:pt idx="20">
                  <c:v>326.25</c:v>
                </c:pt>
                <c:pt idx="21">
                  <c:v>325</c:v>
                </c:pt>
                <c:pt idx="22">
                  <c:v>321.25</c:v>
                </c:pt>
                <c:pt idx="23">
                  <c:v>345.5</c:v>
                </c:pt>
                <c:pt idx="24">
                  <c:v>383.25</c:v>
                </c:pt>
                <c:pt idx="25">
                  <c:v>367.75</c:v>
                </c:pt>
                <c:pt idx="26">
                  <c:v>361.5</c:v>
                </c:pt>
                <c:pt idx="27">
                  <c:v>353</c:v>
                </c:pt>
                <c:pt idx="28">
                  <c:v>337.5</c:v>
                </c:pt>
                <c:pt idx="29">
                  <c:v>351.5</c:v>
                </c:pt>
                <c:pt idx="30">
                  <c:v>373.25</c:v>
                </c:pt>
                <c:pt idx="31">
                  <c:v>384</c:v>
                </c:pt>
                <c:pt idx="32">
                  <c:v>395.75</c:v>
                </c:pt>
                <c:pt idx="33">
                  <c:v>418.75</c:v>
                </c:pt>
                <c:pt idx="34">
                  <c:v>418.75</c:v>
                </c:pt>
                <c:pt idx="35">
                  <c:v>417</c:v>
                </c:pt>
                <c:pt idx="36">
                  <c:v>417.25</c:v>
                </c:pt>
                <c:pt idx="37">
                  <c:v>429.75</c:v>
                </c:pt>
                <c:pt idx="38">
                  <c:v>428.75</c:v>
                </c:pt>
                <c:pt idx="39">
                  <c:v>430.5</c:v>
                </c:pt>
                <c:pt idx="40">
                  <c:v>428.5</c:v>
                </c:pt>
                <c:pt idx="41">
                  <c:v>394.5</c:v>
                </c:pt>
                <c:pt idx="42">
                  <c:v>386.25</c:v>
                </c:pt>
                <c:pt idx="43">
                  <c:v>377</c:v>
                </c:pt>
                <c:pt idx="44">
                  <c:v>367.75</c:v>
                </c:pt>
                <c:pt idx="45">
                  <c:v>356.75</c:v>
                </c:pt>
                <c:pt idx="46">
                  <c:v>347</c:v>
                </c:pt>
                <c:pt idx="47">
                  <c:v>334.25</c:v>
                </c:pt>
                <c:pt idx="48">
                  <c:v>303.75</c:v>
                </c:pt>
                <c:pt idx="49">
                  <c:v>286.5</c:v>
                </c:pt>
                <c:pt idx="50">
                  <c:v>274.5</c:v>
                </c:pt>
                <c:pt idx="51">
                  <c:v>251.25</c:v>
                </c:pt>
                <c:pt idx="52">
                  <c:v>240.25</c:v>
                </c:pt>
                <c:pt idx="53">
                  <c:v>237.25</c:v>
                </c:pt>
                <c:pt idx="54">
                  <c:v>214.25</c:v>
                </c:pt>
                <c:pt idx="55">
                  <c:v>224.5</c:v>
                </c:pt>
                <c:pt idx="56">
                  <c:v>223.25</c:v>
                </c:pt>
                <c:pt idx="57">
                  <c:v>219</c:v>
                </c:pt>
                <c:pt idx="58">
                  <c:v>222.75</c:v>
                </c:pt>
                <c:pt idx="59">
                  <c:v>215.25</c:v>
                </c:pt>
                <c:pt idx="60">
                  <c:v>205</c:v>
                </c:pt>
                <c:pt idx="61">
                  <c:v>197.75</c:v>
                </c:pt>
                <c:pt idx="62">
                  <c:v>202.25</c:v>
                </c:pt>
                <c:pt idx="63">
                  <c:v>202</c:v>
                </c:pt>
                <c:pt idx="64">
                  <c:v>204</c:v>
                </c:pt>
                <c:pt idx="65">
                  <c:v>201.75</c:v>
                </c:pt>
                <c:pt idx="66">
                  <c:v>203.25</c:v>
                </c:pt>
                <c:pt idx="67">
                  <c:v>199.5</c:v>
                </c:pt>
                <c:pt idx="68">
                  <c:v>216.75</c:v>
                </c:pt>
                <c:pt idx="69">
                  <c:v>229</c:v>
                </c:pt>
                <c:pt idx="70">
                  <c:v>221.75</c:v>
                </c:pt>
                <c:pt idx="71">
                  <c:v>206.75</c:v>
                </c:pt>
                <c:pt idx="72">
                  <c:v>182.25</c:v>
                </c:pt>
                <c:pt idx="73">
                  <c:v>168.25</c:v>
                </c:pt>
                <c:pt idx="74">
                  <c:v>156.75</c:v>
                </c:pt>
                <c:pt idx="75">
                  <c:v>154.5</c:v>
                </c:pt>
                <c:pt idx="76">
                  <c:v>161.5</c:v>
                </c:pt>
                <c:pt idx="77">
                  <c:v>156</c:v>
                </c:pt>
                <c:pt idx="78">
                  <c:v>148</c:v>
                </c:pt>
                <c:pt idx="79">
                  <c:v>148</c:v>
                </c:pt>
                <c:pt idx="80">
                  <c:v>136.75</c:v>
                </c:pt>
                <c:pt idx="81">
                  <c:v>128.25</c:v>
                </c:pt>
                <c:pt idx="82">
                  <c:v>128.25</c:v>
                </c:pt>
                <c:pt idx="83">
                  <c:v>125.25</c:v>
                </c:pt>
                <c:pt idx="84">
                  <c:v>125.75</c:v>
                </c:pt>
                <c:pt idx="85">
                  <c:v>132.75</c:v>
                </c:pt>
                <c:pt idx="86">
                  <c:v>130.5</c:v>
                </c:pt>
                <c:pt idx="87">
                  <c:v>128.25</c:v>
                </c:pt>
                <c:pt idx="88">
                  <c:v>126</c:v>
                </c:pt>
                <c:pt idx="89">
                  <c:v>128.25</c:v>
                </c:pt>
                <c:pt idx="90">
                  <c:v>131.75</c:v>
                </c:pt>
                <c:pt idx="91">
                  <c:v>135</c:v>
                </c:pt>
                <c:pt idx="92">
                  <c:v>131.25</c:v>
                </c:pt>
                <c:pt idx="93">
                  <c:v>121.5</c:v>
                </c:pt>
                <c:pt idx="94">
                  <c:v>118.25</c:v>
                </c:pt>
                <c:pt idx="95">
                  <c:v>112.5</c:v>
                </c:pt>
                <c:pt idx="96">
                  <c:v>114</c:v>
                </c:pt>
                <c:pt idx="97">
                  <c:v>112.25</c:v>
                </c:pt>
                <c:pt idx="98">
                  <c:v>117.5</c:v>
                </c:pt>
                <c:pt idx="99">
                  <c:v>122</c:v>
                </c:pt>
                <c:pt idx="100">
                  <c:v>120</c:v>
                </c:pt>
                <c:pt idx="101">
                  <c:v>120.75</c:v>
                </c:pt>
                <c:pt idx="102">
                  <c:v>114</c:v>
                </c:pt>
                <c:pt idx="103">
                  <c:v>110.5</c:v>
                </c:pt>
                <c:pt idx="104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A38-44C3-B4BD-703D3FB0C0FC}"/>
            </c:ext>
          </c:extLst>
        </c:ser>
        <c:ser>
          <c:idx val="3"/>
          <c:order val="3"/>
          <c:tx>
            <c:strRef>
              <c:f>'PolCount NBREN'!$U$5</c:f>
              <c:strCache>
                <c:ptCount val="1"/>
                <c:pt idx="0">
                  <c:v>RN 4 Week Avg (Boom Annual Up Front)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NBREN'!$U$6:$U$110</c:f>
              <c:numCache>
                <c:formatCode>#,##0</c:formatCode>
                <c:ptCount val="105"/>
                <c:pt idx="3">
                  <c:v>25</c:v>
                </c:pt>
                <c:pt idx="4">
                  <c:v>24.25</c:v>
                </c:pt>
                <c:pt idx="5">
                  <c:v>28.75</c:v>
                </c:pt>
                <c:pt idx="6">
                  <c:v>31</c:v>
                </c:pt>
                <c:pt idx="7">
                  <c:v>32.75</c:v>
                </c:pt>
                <c:pt idx="8">
                  <c:v>33.25</c:v>
                </c:pt>
                <c:pt idx="9">
                  <c:v>28.25</c:v>
                </c:pt>
                <c:pt idx="10">
                  <c:v>24</c:v>
                </c:pt>
                <c:pt idx="11">
                  <c:v>20</c:v>
                </c:pt>
                <c:pt idx="12">
                  <c:v>18</c:v>
                </c:pt>
                <c:pt idx="13">
                  <c:v>27</c:v>
                </c:pt>
                <c:pt idx="14">
                  <c:v>40.5</c:v>
                </c:pt>
                <c:pt idx="15">
                  <c:v>58.5</c:v>
                </c:pt>
                <c:pt idx="16">
                  <c:v>68</c:v>
                </c:pt>
                <c:pt idx="17">
                  <c:v>72.75</c:v>
                </c:pt>
                <c:pt idx="18">
                  <c:v>72.25</c:v>
                </c:pt>
                <c:pt idx="19">
                  <c:v>62.5</c:v>
                </c:pt>
                <c:pt idx="20">
                  <c:v>59.25</c:v>
                </c:pt>
                <c:pt idx="21">
                  <c:v>57</c:v>
                </c:pt>
                <c:pt idx="22">
                  <c:v>52</c:v>
                </c:pt>
                <c:pt idx="23">
                  <c:v>55</c:v>
                </c:pt>
                <c:pt idx="24">
                  <c:v>58.25</c:v>
                </c:pt>
                <c:pt idx="25">
                  <c:v>54.75</c:v>
                </c:pt>
                <c:pt idx="26">
                  <c:v>55.75</c:v>
                </c:pt>
                <c:pt idx="27">
                  <c:v>57.25</c:v>
                </c:pt>
                <c:pt idx="28">
                  <c:v>62.75</c:v>
                </c:pt>
                <c:pt idx="29">
                  <c:v>67.75</c:v>
                </c:pt>
                <c:pt idx="30">
                  <c:v>74</c:v>
                </c:pt>
                <c:pt idx="31">
                  <c:v>77.5</c:v>
                </c:pt>
                <c:pt idx="32">
                  <c:v>73.25</c:v>
                </c:pt>
                <c:pt idx="33">
                  <c:v>73.25</c:v>
                </c:pt>
                <c:pt idx="34">
                  <c:v>66.75</c:v>
                </c:pt>
                <c:pt idx="35">
                  <c:v>56.75</c:v>
                </c:pt>
                <c:pt idx="36">
                  <c:v>50.75</c:v>
                </c:pt>
                <c:pt idx="37">
                  <c:v>45</c:v>
                </c:pt>
                <c:pt idx="38">
                  <c:v>41.5</c:v>
                </c:pt>
                <c:pt idx="39">
                  <c:v>46.25</c:v>
                </c:pt>
                <c:pt idx="40">
                  <c:v>51</c:v>
                </c:pt>
                <c:pt idx="41">
                  <c:v>54.25</c:v>
                </c:pt>
                <c:pt idx="42">
                  <c:v>55.75</c:v>
                </c:pt>
                <c:pt idx="43">
                  <c:v>51.25</c:v>
                </c:pt>
                <c:pt idx="44">
                  <c:v>46.5</c:v>
                </c:pt>
                <c:pt idx="45">
                  <c:v>37.5</c:v>
                </c:pt>
                <c:pt idx="46">
                  <c:v>34.5</c:v>
                </c:pt>
                <c:pt idx="47">
                  <c:v>29.25</c:v>
                </c:pt>
                <c:pt idx="48">
                  <c:v>27.5</c:v>
                </c:pt>
                <c:pt idx="49">
                  <c:v>33</c:v>
                </c:pt>
                <c:pt idx="50">
                  <c:v>32</c:v>
                </c:pt>
                <c:pt idx="51">
                  <c:v>34.75</c:v>
                </c:pt>
                <c:pt idx="52">
                  <c:v>36.5</c:v>
                </c:pt>
                <c:pt idx="53">
                  <c:v>37</c:v>
                </c:pt>
                <c:pt idx="54">
                  <c:v>40.5</c:v>
                </c:pt>
                <c:pt idx="55">
                  <c:v>45.5</c:v>
                </c:pt>
                <c:pt idx="56">
                  <c:v>47.25</c:v>
                </c:pt>
                <c:pt idx="57">
                  <c:v>44.75</c:v>
                </c:pt>
                <c:pt idx="58">
                  <c:v>43.5</c:v>
                </c:pt>
                <c:pt idx="59">
                  <c:v>40.75</c:v>
                </c:pt>
                <c:pt idx="60">
                  <c:v>38.5</c:v>
                </c:pt>
                <c:pt idx="61">
                  <c:v>40.5</c:v>
                </c:pt>
                <c:pt idx="62">
                  <c:v>46.75</c:v>
                </c:pt>
                <c:pt idx="63">
                  <c:v>56.75</c:v>
                </c:pt>
                <c:pt idx="64">
                  <c:v>62.25</c:v>
                </c:pt>
                <c:pt idx="65">
                  <c:v>66.75</c:v>
                </c:pt>
                <c:pt idx="66">
                  <c:v>78.5</c:v>
                </c:pt>
                <c:pt idx="67">
                  <c:v>84.75</c:v>
                </c:pt>
                <c:pt idx="68">
                  <c:v>89.25</c:v>
                </c:pt>
                <c:pt idx="69">
                  <c:v>90.75</c:v>
                </c:pt>
                <c:pt idx="70">
                  <c:v>81.25</c:v>
                </c:pt>
                <c:pt idx="71">
                  <c:v>75.25</c:v>
                </c:pt>
                <c:pt idx="72">
                  <c:v>70.75</c:v>
                </c:pt>
                <c:pt idx="73">
                  <c:v>74</c:v>
                </c:pt>
                <c:pt idx="74">
                  <c:v>77</c:v>
                </c:pt>
                <c:pt idx="75">
                  <c:v>72.5</c:v>
                </c:pt>
                <c:pt idx="76">
                  <c:v>75</c:v>
                </c:pt>
                <c:pt idx="77">
                  <c:v>73</c:v>
                </c:pt>
                <c:pt idx="78">
                  <c:v>66.25</c:v>
                </c:pt>
                <c:pt idx="79">
                  <c:v>63.5</c:v>
                </c:pt>
                <c:pt idx="80">
                  <c:v>64.25</c:v>
                </c:pt>
                <c:pt idx="81">
                  <c:v>60.75</c:v>
                </c:pt>
                <c:pt idx="82">
                  <c:v>63.25</c:v>
                </c:pt>
                <c:pt idx="83">
                  <c:v>68.75</c:v>
                </c:pt>
                <c:pt idx="84">
                  <c:v>70</c:v>
                </c:pt>
                <c:pt idx="85">
                  <c:v>74</c:v>
                </c:pt>
                <c:pt idx="86">
                  <c:v>72.75</c:v>
                </c:pt>
                <c:pt idx="87">
                  <c:v>76.5</c:v>
                </c:pt>
                <c:pt idx="88">
                  <c:v>77.25</c:v>
                </c:pt>
                <c:pt idx="89">
                  <c:v>81.5</c:v>
                </c:pt>
                <c:pt idx="90">
                  <c:v>83.25</c:v>
                </c:pt>
                <c:pt idx="91">
                  <c:v>80.5</c:v>
                </c:pt>
                <c:pt idx="92">
                  <c:v>82.5</c:v>
                </c:pt>
                <c:pt idx="93">
                  <c:v>80</c:v>
                </c:pt>
                <c:pt idx="94">
                  <c:v>83.5</c:v>
                </c:pt>
                <c:pt idx="95">
                  <c:v>81.75</c:v>
                </c:pt>
                <c:pt idx="96">
                  <c:v>77.25</c:v>
                </c:pt>
                <c:pt idx="97">
                  <c:v>71</c:v>
                </c:pt>
                <c:pt idx="98">
                  <c:v>65.75</c:v>
                </c:pt>
                <c:pt idx="99">
                  <c:v>66</c:v>
                </c:pt>
                <c:pt idx="100">
                  <c:v>60.25</c:v>
                </c:pt>
                <c:pt idx="101">
                  <c:v>56.5</c:v>
                </c:pt>
                <c:pt idx="102">
                  <c:v>52.25</c:v>
                </c:pt>
                <c:pt idx="103">
                  <c:v>41.25</c:v>
                </c:pt>
                <c:pt idx="104">
                  <c:v>43.25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A38-44C3-B4BD-703D3FB0C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 Premium Finance: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'PolCount NBREN'!$V$5</c:f>
              <c:strCache>
                <c:ptCount val="1"/>
                <c:pt idx="0">
                  <c:v>NB Policy Count (Boom Annual Premium Finance)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NBREN'!$V$6:$V$110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136</c:v>
                </c:pt>
                <c:pt idx="24">
                  <c:v>413</c:v>
                </c:pt>
                <c:pt idx="25">
                  <c:v>362</c:v>
                </c:pt>
                <c:pt idx="26">
                  <c:v>400</c:v>
                </c:pt>
                <c:pt idx="27">
                  <c:v>599</c:v>
                </c:pt>
                <c:pt idx="28">
                  <c:v>898</c:v>
                </c:pt>
                <c:pt idx="29">
                  <c:v>802</c:v>
                </c:pt>
                <c:pt idx="30">
                  <c:v>751</c:v>
                </c:pt>
                <c:pt idx="31">
                  <c:v>864</c:v>
                </c:pt>
                <c:pt idx="32">
                  <c:v>1044</c:v>
                </c:pt>
                <c:pt idx="33">
                  <c:v>991</c:v>
                </c:pt>
                <c:pt idx="34">
                  <c:v>876</c:v>
                </c:pt>
                <c:pt idx="35">
                  <c:v>888</c:v>
                </c:pt>
                <c:pt idx="36">
                  <c:v>1071</c:v>
                </c:pt>
                <c:pt idx="37">
                  <c:v>1041</c:v>
                </c:pt>
                <c:pt idx="38">
                  <c:v>850</c:v>
                </c:pt>
                <c:pt idx="39">
                  <c:v>791</c:v>
                </c:pt>
                <c:pt idx="40">
                  <c:v>891</c:v>
                </c:pt>
                <c:pt idx="41">
                  <c:v>909</c:v>
                </c:pt>
                <c:pt idx="42">
                  <c:v>847</c:v>
                </c:pt>
                <c:pt idx="43">
                  <c:v>768</c:v>
                </c:pt>
                <c:pt idx="44">
                  <c:v>735</c:v>
                </c:pt>
                <c:pt idx="45">
                  <c:v>830</c:v>
                </c:pt>
                <c:pt idx="46">
                  <c:v>784</c:v>
                </c:pt>
                <c:pt idx="47">
                  <c:v>660</c:v>
                </c:pt>
                <c:pt idx="48">
                  <c:v>628</c:v>
                </c:pt>
                <c:pt idx="49">
                  <c:v>656</c:v>
                </c:pt>
                <c:pt idx="50">
                  <c:v>718</c:v>
                </c:pt>
                <c:pt idx="51">
                  <c:v>599</c:v>
                </c:pt>
                <c:pt idx="52">
                  <c:v>553</c:v>
                </c:pt>
                <c:pt idx="53">
                  <c:v>559</c:v>
                </c:pt>
                <c:pt idx="54">
                  <c:v>552</c:v>
                </c:pt>
                <c:pt idx="55">
                  <c:v>642</c:v>
                </c:pt>
                <c:pt idx="56">
                  <c:v>514</c:v>
                </c:pt>
                <c:pt idx="57">
                  <c:v>548</c:v>
                </c:pt>
                <c:pt idx="58">
                  <c:v>626</c:v>
                </c:pt>
                <c:pt idx="59">
                  <c:v>576</c:v>
                </c:pt>
                <c:pt idx="60">
                  <c:v>478</c:v>
                </c:pt>
                <c:pt idx="61">
                  <c:v>557</c:v>
                </c:pt>
                <c:pt idx="62">
                  <c:v>596</c:v>
                </c:pt>
                <c:pt idx="63">
                  <c:v>663</c:v>
                </c:pt>
                <c:pt idx="64">
                  <c:v>550</c:v>
                </c:pt>
                <c:pt idx="65">
                  <c:v>558</c:v>
                </c:pt>
                <c:pt idx="66">
                  <c:v>674</c:v>
                </c:pt>
                <c:pt idx="67">
                  <c:v>762</c:v>
                </c:pt>
                <c:pt idx="68">
                  <c:v>790</c:v>
                </c:pt>
                <c:pt idx="69">
                  <c:v>680</c:v>
                </c:pt>
                <c:pt idx="70">
                  <c:v>689</c:v>
                </c:pt>
                <c:pt idx="71">
                  <c:v>539</c:v>
                </c:pt>
                <c:pt idx="72">
                  <c:v>656</c:v>
                </c:pt>
                <c:pt idx="73">
                  <c:v>737</c:v>
                </c:pt>
                <c:pt idx="74">
                  <c:v>736</c:v>
                </c:pt>
                <c:pt idx="75">
                  <c:v>668</c:v>
                </c:pt>
                <c:pt idx="76">
                  <c:v>800</c:v>
                </c:pt>
                <c:pt idx="77">
                  <c:v>733</c:v>
                </c:pt>
                <c:pt idx="78">
                  <c:v>586</c:v>
                </c:pt>
                <c:pt idx="79">
                  <c:v>521</c:v>
                </c:pt>
                <c:pt idx="80">
                  <c:v>651</c:v>
                </c:pt>
                <c:pt idx="81">
                  <c:v>663</c:v>
                </c:pt>
                <c:pt idx="82">
                  <c:v>619</c:v>
                </c:pt>
                <c:pt idx="83">
                  <c:v>647</c:v>
                </c:pt>
                <c:pt idx="84">
                  <c:v>713</c:v>
                </c:pt>
                <c:pt idx="85">
                  <c:v>752</c:v>
                </c:pt>
                <c:pt idx="86">
                  <c:v>656</c:v>
                </c:pt>
                <c:pt idx="87">
                  <c:v>675</c:v>
                </c:pt>
                <c:pt idx="88">
                  <c:v>591</c:v>
                </c:pt>
                <c:pt idx="89">
                  <c:v>763</c:v>
                </c:pt>
                <c:pt idx="90">
                  <c:v>590</c:v>
                </c:pt>
                <c:pt idx="91">
                  <c:v>586</c:v>
                </c:pt>
                <c:pt idx="92">
                  <c:v>551</c:v>
                </c:pt>
                <c:pt idx="93">
                  <c:v>630</c:v>
                </c:pt>
                <c:pt idx="94">
                  <c:v>622</c:v>
                </c:pt>
                <c:pt idx="95">
                  <c:v>558</c:v>
                </c:pt>
                <c:pt idx="96">
                  <c:v>506</c:v>
                </c:pt>
                <c:pt idx="97">
                  <c:v>557</c:v>
                </c:pt>
                <c:pt idx="98">
                  <c:v>634</c:v>
                </c:pt>
                <c:pt idx="99">
                  <c:v>556</c:v>
                </c:pt>
                <c:pt idx="100">
                  <c:v>476</c:v>
                </c:pt>
                <c:pt idx="101">
                  <c:v>472</c:v>
                </c:pt>
                <c:pt idx="102">
                  <c:v>543</c:v>
                </c:pt>
                <c:pt idx="103">
                  <c:v>436</c:v>
                </c:pt>
                <c:pt idx="104">
                  <c:v>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B4-4519-8325-82948401E216}"/>
            </c:ext>
          </c:extLst>
        </c:ser>
        <c:ser>
          <c:idx val="2"/>
          <c:order val="2"/>
          <c:tx>
            <c:strRef>
              <c:f>'PolCount NBREN'!$X$5</c:f>
              <c:strCache>
                <c:ptCount val="1"/>
                <c:pt idx="0">
                  <c:v>RN Policy Count (Boom Annual Premium Finance)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NBREN'!$X$6:$X$110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5</c:v>
                </c:pt>
                <c:pt idx="76">
                  <c:v>40</c:v>
                </c:pt>
                <c:pt idx="77">
                  <c:v>48</c:v>
                </c:pt>
                <c:pt idx="78">
                  <c:v>56</c:v>
                </c:pt>
                <c:pt idx="79">
                  <c:v>67</c:v>
                </c:pt>
                <c:pt idx="80">
                  <c:v>121</c:v>
                </c:pt>
                <c:pt idx="81">
                  <c:v>121</c:v>
                </c:pt>
                <c:pt idx="82">
                  <c:v>130</c:v>
                </c:pt>
                <c:pt idx="83">
                  <c:v>150</c:v>
                </c:pt>
                <c:pt idx="84">
                  <c:v>174</c:v>
                </c:pt>
                <c:pt idx="85">
                  <c:v>170</c:v>
                </c:pt>
                <c:pt idx="86">
                  <c:v>160</c:v>
                </c:pt>
                <c:pt idx="87">
                  <c:v>147</c:v>
                </c:pt>
                <c:pt idx="88">
                  <c:v>174</c:v>
                </c:pt>
                <c:pt idx="89">
                  <c:v>199</c:v>
                </c:pt>
                <c:pt idx="90">
                  <c:v>150</c:v>
                </c:pt>
                <c:pt idx="91">
                  <c:v>161</c:v>
                </c:pt>
                <c:pt idx="92">
                  <c:v>139</c:v>
                </c:pt>
                <c:pt idx="93">
                  <c:v>154</c:v>
                </c:pt>
                <c:pt idx="94">
                  <c:v>159</c:v>
                </c:pt>
                <c:pt idx="95">
                  <c:v>145</c:v>
                </c:pt>
                <c:pt idx="96">
                  <c:v>120</c:v>
                </c:pt>
                <c:pt idx="97">
                  <c:v>120</c:v>
                </c:pt>
                <c:pt idx="98">
                  <c:v>149</c:v>
                </c:pt>
                <c:pt idx="99">
                  <c:v>125</c:v>
                </c:pt>
                <c:pt idx="100">
                  <c:v>111</c:v>
                </c:pt>
                <c:pt idx="101">
                  <c:v>97</c:v>
                </c:pt>
                <c:pt idx="102">
                  <c:v>133</c:v>
                </c:pt>
                <c:pt idx="103">
                  <c:v>49</c:v>
                </c:pt>
                <c:pt idx="104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DB4-4519-8325-82948401E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NBREN'!$W$5</c:f>
              <c:strCache>
                <c:ptCount val="1"/>
                <c:pt idx="0">
                  <c:v>NB 4 Week Avg (Boom Annual Premium Finance)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NBREN'!$W$6:$W$110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34</c:v>
                </c:pt>
                <c:pt idx="24">
                  <c:v>137.25</c:v>
                </c:pt>
                <c:pt idx="25">
                  <c:v>227.75</c:v>
                </c:pt>
                <c:pt idx="26">
                  <c:v>327.75</c:v>
                </c:pt>
                <c:pt idx="27">
                  <c:v>443.5</c:v>
                </c:pt>
                <c:pt idx="28">
                  <c:v>564.75</c:v>
                </c:pt>
                <c:pt idx="29">
                  <c:v>674.75</c:v>
                </c:pt>
                <c:pt idx="30">
                  <c:v>762.5</c:v>
                </c:pt>
                <c:pt idx="31">
                  <c:v>828.75</c:v>
                </c:pt>
                <c:pt idx="32">
                  <c:v>865.25</c:v>
                </c:pt>
                <c:pt idx="33">
                  <c:v>912.5</c:v>
                </c:pt>
                <c:pt idx="34">
                  <c:v>943.75</c:v>
                </c:pt>
                <c:pt idx="35">
                  <c:v>949.75</c:v>
                </c:pt>
                <c:pt idx="36">
                  <c:v>956.5</c:v>
                </c:pt>
                <c:pt idx="37">
                  <c:v>969</c:v>
                </c:pt>
                <c:pt idx="38">
                  <c:v>962.5</c:v>
                </c:pt>
                <c:pt idx="39">
                  <c:v>938.25</c:v>
                </c:pt>
                <c:pt idx="40">
                  <c:v>893.25</c:v>
                </c:pt>
                <c:pt idx="41">
                  <c:v>860.25</c:v>
                </c:pt>
                <c:pt idx="42">
                  <c:v>859.5</c:v>
                </c:pt>
                <c:pt idx="43">
                  <c:v>853.75</c:v>
                </c:pt>
                <c:pt idx="44">
                  <c:v>814.75</c:v>
                </c:pt>
                <c:pt idx="45">
                  <c:v>795</c:v>
                </c:pt>
                <c:pt idx="46">
                  <c:v>779.25</c:v>
                </c:pt>
                <c:pt idx="47">
                  <c:v>752.25</c:v>
                </c:pt>
                <c:pt idx="48">
                  <c:v>725.5</c:v>
                </c:pt>
                <c:pt idx="49">
                  <c:v>682</c:v>
                </c:pt>
                <c:pt idx="50">
                  <c:v>665.5</c:v>
                </c:pt>
                <c:pt idx="51">
                  <c:v>650.25</c:v>
                </c:pt>
                <c:pt idx="52">
                  <c:v>631.5</c:v>
                </c:pt>
                <c:pt idx="53">
                  <c:v>607.25</c:v>
                </c:pt>
                <c:pt idx="54">
                  <c:v>565.75</c:v>
                </c:pt>
                <c:pt idx="55">
                  <c:v>576.5</c:v>
                </c:pt>
                <c:pt idx="56">
                  <c:v>566.75</c:v>
                </c:pt>
                <c:pt idx="57">
                  <c:v>564</c:v>
                </c:pt>
                <c:pt idx="58">
                  <c:v>582.5</c:v>
                </c:pt>
                <c:pt idx="59">
                  <c:v>566</c:v>
                </c:pt>
                <c:pt idx="60">
                  <c:v>557</c:v>
                </c:pt>
                <c:pt idx="61">
                  <c:v>559.25</c:v>
                </c:pt>
                <c:pt idx="62">
                  <c:v>551.75</c:v>
                </c:pt>
                <c:pt idx="63">
                  <c:v>573.5</c:v>
                </c:pt>
                <c:pt idx="64">
                  <c:v>591.5</c:v>
                </c:pt>
                <c:pt idx="65">
                  <c:v>591.75</c:v>
                </c:pt>
                <c:pt idx="66">
                  <c:v>611.25</c:v>
                </c:pt>
                <c:pt idx="67">
                  <c:v>636</c:v>
                </c:pt>
                <c:pt idx="68">
                  <c:v>696</c:v>
                </c:pt>
                <c:pt idx="69">
                  <c:v>726.5</c:v>
                </c:pt>
                <c:pt idx="70">
                  <c:v>730.25</c:v>
                </c:pt>
                <c:pt idx="71">
                  <c:v>674.5</c:v>
                </c:pt>
                <c:pt idx="72">
                  <c:v>641</c:v>
                </c:pt>
                <c:pt idx="73">
                  <c:v>655.25</c:v>
                </c:pt>
                <c:pt idx="74">
                  <c:v>667</c:v>
                </c:pt>
                <c:pt idx="75">
                  <c:v>699.25</c:v>
                </c:pt>
                <c:pt idx="76">
                  <c:v>735.25</c:v>
                </c:pt>
                <c:pt idx="77">
                  <c:v>734.25</c:v>
                </c:pt>
                <c:pt idx="78">
                  <c:v>696.75</c:v>
                </c:pt>
                <c:pt idx="79">
                  <c:v>660</c:v>
                </c:pt>
                <c:pt idx="80">
                  <c:v>622.75</c:v>
                </c:pt>
                <c:pt idx="81">
                  <c:v>605.25</c:v>
                </c:pt>
                <c:pt idx="82">
                  <c:v>613.5</c:v>
                </c:pt>
                <c:pt idx="83">
                  <c:v>645</c:v>
                </c:pt>
                <c:pt idx="84">
                  <c:v>660.5</c:v>
                </c:pt>
                <c:pt idx="85">
                  <c:v>682.75</c:v>
                </c:pt>
                <c:pt idx="86">
                  <c:v>692</c:v>
                </c:pt>
                <c:pt idx="87">
                  <c:v>699</c:v>
                </c:pt>
                <c:pt idx="88">
                  <c:v>668.5</c:v>
                </c:pt>
                <c:pt idx="89">
                  <c:v>671.25</c:v>
                </c:pt>
                <c:pt idx="90">
                  <c:v>654.75</c:v>
                </c:pt>
                <c:pt idx="91">
                  <c:v>632.5</c:v>
                </c:pt>
                <c:pt idx="92">
                  <c:v>622.5</c:v>
                </c:pt>
                <c:pt idx="93">
                  <c:v>589.25</c:v>
                </c:pt>
                <c:pt idx="94">
                  <c:v>597.25</c:v>
                </c:pt>
                <c:pt idx="95">
                  <c:v>590.25</c:v>
                </c:pt>
                <c:pt idx="96">
                  <c:v>579</c:v>
                </c:pt>
                <c:pt idx="97">
                  <c:v>560.75</c:v>
                </c:pt>
                <c:pt idx="98">
                  <c:v>563.75</c:v>
                </c:pt>
                <c:pt idx="99">
                  <c:v>563.25</c:v>
                </c:pt>
                <c:pt idx="100">
                  <c:v>555.75</c:v>
                </c:pt>
                <c:pt idx="101">
                  <c:v>534.5</c:v>
                </c:pt>
                <c:pt idx="102">
                  <c:v>511.75</c:v>
                </c:pt>
                <c:pt idx="103">
                  <c:v>481.75</c:v>
                </c:pt>
                <c:pt idx="104">
                  <c:v>475.75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DB4-4519-8325-82948401E216}"/>
            </c:ext>
          </c:extLst>
        </c:ser>
        <c:ser>
          <c:idx val="3"/>
          <c:order val="3"/>
          <c:tx>
            <c:strRef>
              <c:f>'PolCount NBREN'!$Y$5</c:f>
              <c:strCache>
                <c:ptCount val="1"/>
                <c:pt idx="0">
                  <c:v>RN 4 Week Avg (Boom Annual Premium Finance)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NBREN'!$Y$6:$Y$110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1.25</c:v>
                </c:pt>
                <c:pt idx="76">
                  <c:v>11.25</c:v>
                </c:pt>
                <c:pt idx="77">
                  <c:v>23.25</c:v>
                </c:pt>
                <c:pt idx="78">
                  <c:v>37.25</c:v>
                </c:pt>
                <c:pt idx="79">
                  <c:v>52.75</c:v>
                </c:pt>
                <c:pt idx="80">
                  <c:v>73</c:v>
                </c:pt>
                <c:pt idx="81">
                  <c:v>91.25</c:v>
                </c:pt>
                <c:pt idx="82">
                  <c:v>109.75</c:v>
                </c:pt>
                <c:pt idx="83">
                  <c:v>130.5</c:v>
                </c:pt>
                <c:pt idx="84">
                  <c:v>143.75</c:v>
                </c:pt>
                <c:pt idx="85">
                  <c:v>156</c:v>
                </c:pt>
                <c:pt idx="86">
                  <c:v>163.5</c:v>
                </c:pt>
                <c:pt idx="87">
                  <c:v>162.75</c:v>
                </c:pt>
                <c:pt idx="88">
                  <c:v>162.75</c:v>
                </c:pt>
                <c:pt idx="89">
                  <c:v>170</c:v>
                </c:pt>
                <c:pt idx="90">
                  <c:v>167.5</c:v>
                </c:pt>
                <c:pt idx="91">
                  <c:v>171</c:v>
                </c:pt>
                <c:pt idx="92">
                  <c:v>162.25</c:v>
                </c:pt>
                <c:pt idx="93">
                  <c:v>151</c:v>
                </c:pt>
                <c:pt idx="94">
                  <c:v>153.25</c:v>
                </c:pt>
                <c:pt idx="95">
                  <c:v>149.25</c:v>
                </c:pt>
                <c:pt idx="96">
                  <c:v>144.5</c:v>
                </c:pt>
                <c:pt idx="97">
                  <c:v>136</c:v>
                </c:pt>
                <c:pt idx="98">
                  <c:v>133.5</c:v>
                </c:pt>
                <c:pt idx="99">
                  <c:v>128.5</c:v>
                </c:pt>
                <c:pt idx="100">
                  <c:v>126.25</c:v>
                </c:pt>
                <c:pt idx="101">
                  <c:v>120.5</c:v>
                </c:pt>
                <c:pt idx="102">
                  <c:v>116.5</c:v>
                </c:pt>
                <c:pt idx="103">
                  <c:v>97.5</c:v>
                </c:pt>
                <c:pt idx="104">
                  <c:v>101.5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DB4-4519-8325-82948401E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Annual: Policy Count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'PolCount NBREN'!$N$5</c:f>
              <c:strCache>
                <c:ptCount val="1"/>
                <c:pt idx="0">
                  <c:v>NB Policy Count (Boom Annual)</c:v>
                </c:pt>
              </c:strCache>
            </c:strRef>
          </c:tx>
          <c:spPr>
            <a:solidFill>
              <a:srgbClr val="B9D0FF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NBREN'!$N$6:$N$110</c:f>
              <c:numCache>
                <c:formatCode>#,##0</c:formatCode>
                <c:ptCount val="105"/>
                <c:pt idx="0">
                  <c:v>218</c:v>
                </c:pt>
                <c:pt idx="1">
                  <c:v>218</c:v>
                </c:pt>
                <c:pt idx="2">
                  <c:v>212</c:v>
                </c:pt>
                <c:pt idx="3">
                  <c:v>190</c:v>
                </c:pt>
                <c:pt idx="4">
                  <c:v>197</c:v>
                </c:pt>
                <c:pt idx="5">
                  <c:v>184</c:v>
                </c:pt>
                <c:pt idx="6">
                  <c:v>166</c:v>
                </c:pt>
                <c:pt idx="7">
                  <c:v>143</c:v>
                </c:pt>
                <c:pt idx="8">
                  <c:v>210</c:v>
                </c:pt>
                <c:pt idx="9">
                  <c:v>267</c:v>
                </c:pt>
                <c:pt idx="10">
                  <c:v>296</c:v>
                </c:pt>
                <c:pt idx="11">
                  <c:v>453</c:v>
                </c:pt>
                <c:pt idx="12">
                  <c:v>367</c:v>
                </c:pt>
                <c:pt idx="13">
                  <c:v>373</c:v>
                </c:pt>
                <c:pt idx="14">
                  <c:v>406</c:v>
                </c:pt>
                <c:pt idx="15">
                  <c:v>500</c:v>
                </c:pt>
                <c:pt idx="16">
                  <c:v>341</c:v>
                </c:pt>
                <c:pt idx="17">
                  <c:v>370</c:v>
                </c:pt>
                <c:pt idx="18">
                  <c:v>363</c:v>
                </c:pt>
                <c:pt idx="19">
                  <c:v>282</c:v>
                </c:pt>
                <c:pt idx="20">
                  <c:v>290</c:v>
                </c:pt>
                <c:pt idx="21">
                  <c:v>365</c:v>
                </c:pt>
                <c:pt idx="22">
                  <c:v>348</c:v>
                </c:pt>
                <c:pt idx="23">
                  <c:v>515</c:v>
                </c:pt>
                <c:pt idx="24">
                  <c:v>854</c:v>
                </c:pt>
                <c:pt idx="25">
                  <c:v>665</c:v>
                </c:pt>
                <c:pt idx="26">
                  <c:v>723</c:v>
                </c:pt>
                <c:pt idx="27">
                  <c:v>944</c:v>
                </c:pt>
                <c:pt idx="28">
                  <c:v>1277</c:v>
                </c:pt>
                <c:pt idx="29">
                  <c:v>1161</c:v>
                </c:pt>
                <c:pt idx="30">
                  <c:v>1161</c:v>
                </c:pt>
                <c:pt idx="31">
                  <c:v>1252</c:v>
                </c:pt>
                <c:pt idx="32">
                  <c:v>1470</c:v>
                </c:pt>
                <c:pt idx="33">
                  <c:v>1442</c:v>
                </c:pt>
                <c:pt idx="34">
                  <c:v>1286</c:v>
                </c:pt>
                <c:pt idx="35">
                  <c:v>1269</c:v>
                </c:pt>
                <c:pt idx="36">
                  <c:v>1498</c:v>
                </c:pt>
                <c:pt idx="37">
                  <c:v>1542</c:v>
                </c:pt>
                <c:pt idx="38">
                  <c:v>1256</c:v>
                </c:pt>
                <c:pt idx="39">
                  <c:v>1179</c:v>
                </c:pt>
                <c:pt idx="40">
                  <c:v>1310</c:v>
                </c:pt>
                <c:pt idx="41">
                  <c:v>1274</c:v>
                </c:pt>
                <c:pt idx="42">
                  <c:v>1220</c:v>
                </c:pt>
                <c:pt idx="43">
                  <c:v>1119</c:v>
                </c:pt>
                <c:pt idx="44">
                  <c:v>1117</c:v>
                </c:pt>
                <c:pt idx="45">
                  <c:v>1151</c:v>
                </c:pt>
                <c:pt idx="46">
                  <c:v>1118</c:v>
                </c:pt>
                <c:pt idx="47">
                  <c:v>960</c:v>
                </c:pt>
                <c:pt idx="48">
                  <c:v>888</c:v>
                </c:pt>
                <c:pt idx="49">
                  <c:v>908</c:v>
                </c:pt>
                <c:pt idx="50">
                  <c:v>1004</c:v>
                </c:pt>
                <c:pt idx="51">
                  <c:v>806</c:v>
                </c:pt>
                <c:pt idx="52">
                  <c:v>769</c:v>
                </c:pt>
                <c:pt idx="53">
                  <c:v>799</c:v>
                </c:pt>
                <c:pt idx="54">
                  <c:v>746</c:v>
                </c:pt>
                <c:pt idx="55">
                  <c:v>890</c:v>
                </c:pt>
                <c:pt idx="56">
                  <c:v>725</c:v>
                </c:pt>
                <c:pt idx="57">
                  <c:v>771</c:v>
                </c:pt>
                <c:pt idx="58">
                  <c:v>835</c:v>
                </c:pt>
                <c:pt idx="59">
                  <c:v>794</c:v>
                </c:pt>
                <c:pt idx="60">
                  <c:v>648</c:v>
                </c:pt>
                <c:pt idx="61">
                  <c:v>751</c:v>
                </c:pt>
                <c:pt idx="62">
                  <c:v>823</c:v>
                </c:pt>
                <c:pt idx="63">
                  <c:v>880</c:v>
                </c:pt>
                <c:pt idx="64">
                  <c:v>728</c:v>
                </c:pt>
                <c:pt idx="65">
                  <c:v>743</c:v>
                </c:pt>
                <c:pt idx="66">
                  <c:v>907</c:v>
                </c:pt>
                <c:pt idx="67">
                  <c:v>964</c:v>
                </c:pt>
                <c:pt idx="68">
                  <c:v>1037</c:v>
                </c:pt>
                <c:pt idx="69">
                  <c:v>914</c:v>
                </c:pt>
                <c:pt idx="70">
                  <c:v>893</c:v>
                </c:pt>
                <c:pt idx="71">
                  <c:v>681</c:v>
                </c:pt>
                <c:pt idx="72">
                  <c:v>805</c:v>
                </c:pt>
                <c:pt idx="73">
                  <c:v>915</c:v>
                </c:pt>
                <c:pt idx="74">
                  <c:v>894</c:v>
                </c:pt>
                <c:pt idx="75">
                  <c:v>801</c:v>
                </c:pt>
                <c:pt idx="76">
                  <c:v>977</c:v>
                </c:pt>
                <c:pt idx="77">
                  <c:v>889</c:v>
                </c:pt>
                <c:pt idx="78">
                  <c:v>712</c:v>
                </c:pt>
                <c:pt idx="79">
                  <c:v>654</c:v>
                </c:pt>
                <c:pt idx="80">
                  <c:v>783</c:v>
                </c:pt>
                <c:pt idx="81">
                  <c:v>785</c:v>
                </c:pt>
                <c:pt idx="82">
                  <c:v>745</c:v>
                </c:pt>
                <c:pt idx="83">
                  <c:v>768</c:v>
                </c:pt>
                <c:pt idx="84">
                  <c:v>847</c:v>
                </c:pt>
                <c:pt idx="85">
                  <c:v>902</c:v>
                </c:pt>
                <c:pt idx="86">
                  <c:v>773</c:v>
                </c:pt>
                <c:pt idx="87">
                  <c:v>787</c:v>
                </c:pt>
                <c:pt idx="88">
                  <c:v>716</c:v>
                </c:pt>
                <c:pt idx="89">
                  <c:v>922</c:v>
                </c:pt>
                <c:pt idx="90">
                  <c:v>721</c:v>
                </c:pt>
                <c:pt idx="91">
                  <c:v>711</c:v>
                </c:pt>
                <c:pt idx="92">
                  <c:v>661</c:v>
                </c:pt>
                <c:pt idx="93">
                  <c:v>750</c:v>
                </c:pt>
                <c:pt idx="94">
                  <c:v>740</c:v>
                </c:pt>
                <c:pt idx="95">
                  <c:v>660</c:v>
                </c:pt>
                <c:pt idx="96">
                  <c:v>622</c:v>
                </c:pt>
                <c:pt idx="97">
                  <c:v>670</c:v>
                </c:pt>
                <c:pt idx="98">
                  <c:v>773</c:v>
                </c:pt>
                <c:pt idx="99">
                  <c:v>676</c:v>
                </c:pt>
                <c:pt idx="100">
                  <c:v>584</c:v>
                </c:pt>
                <c:pt idx="101">
                  <c:v>588</c:v>
                </c:pt>
                <c:pt idx="102">
                  <c:v>655</c:v>
                </c:pt>
                <c:pt idx="103">
                  <c:v>542</c:v>
                </c:pt>
                <c:pt idx="104">
                  <c:v>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EFA-408F-A137-57E30EED1D3C}"/>
            </c:ext>
          </c:extLst>
        </c:ser>
        <c:ser>
          <c:idx val="2"/>
          <c:order val="2"/>
          <c:tx>
            <c:strRef>
              <c:f>'PolCount NBREN'!$P$5</c:f>
              <c:strCache>
                <c:ptCount val="1"/>
                <c:pt idx="0">
                  <c:v>RN Policy Count (Boom Annual)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NBREN'!$P$6:$P$110</c:f>
              <c:numCache>
                <c:formatCode>#,##0</c:formatCode>
                <c:ptCount val="105"/>
                <c:pt idx="0">
                  <c:v>28</c:v>
                </c:pt>
                <c:pt idx="1">
                  <c:v>20</c:v>
                </c:pt>
                <c:pt idx="2">
                  <c:v>29</c:v>
                </c:pt>
                <c:pt idx="3">
                  <c:v>23</c:v>
                </c:pt>
                <c:pt idx="4">
                  <c:v>25</c:v>
                </c:pt>
                <c:pt idx="5">
                  <c:v>38</c:v>
                </c:pt>
                <c:pt idx="6">
                  <c:v>38</c:v>
                </c:pt>
                <c:pt idx="7">
                  <c:v>30</c:v>
                </c:pt>
                <c:pt idx="8">
                  <c:v>27</c:v>
                </c:pt>
                <c:pt idx="9">
                  <c:v>18</c:v>
                </c:pt>
                <c:pt idx="10">
                  <c:v>21</c:v>
                </c:pt>
                <c:pt idx="11">
                  <c:v>14</c:v>
                </c:pt>
                <c:pt idx="12">
                  <c:v>19</c:v>
                </c:pt>
                <c:pt idx="13">
                  <c:v>54</c:v>
                </c:pt>
                <c:pt idx="14">
                  <c:v>75</c:v>
                </c:pt>
                <c:pt idx="15">
                  <c:v>86</c:v>
                </c:pt>
                <c:pt idx="16">
                  <c:v>57</c:v>
                </c:pt>
                <c:pt idx="17">
                  <c:v>73</c:v>
                </c:pt>
                <c:pt idx="18">
                  <c:v>73</c:v>
                </c:pt>
                <c:pt idx="19">
                  <c:v>47</c:v>
                </c:pt>
                <c:pt idx="20">
                  <c:v>44</c:v>
                </c:pt>
                <c:pt idx="21">
                  <c:v>64</c:v>
                </c:pt>
                <c:pt idx="22">
                  <c:v>53</c:v>
                </c:pt>
                <c:pt idx="23">
                  <c:v>59</c:v>
                </c:pt>
                <c:pt idx="24">
                  <c:v>57</c:v>
                </c:pt>
                <c:pt idx="25">
                  <c:v>50</c:v>
                </c:pt>
                <c:pt idx="26">
                  <c:v>57</c:v>
                </c:pt>
                <c:pt idx="27">
                  <c:v>65</c:v>
                </c:pt>
                <c:pt idx="28">
                  <c:v>79</c:v>
                </c:pt>
                <c:pt idx="29">
                  <c:v>70</c:v>
                </c:pt>
                <c:pt idx="30">
                  <c:v>82</c:v>
                </c:pt>
                <c:pt idx="31">
                  <c:v>79</c:v>
                </c:pt>
                <c:pt idx="32">
                  <c:v>62</c:v>
                </c:pt>
                <c:pt idx="33">
                  <c:v>70</c:v>
                </c:pt>
                <c:pt idx="34">
                  <c:v>56</c:v>
                </c:pt>
                <c:pt idx="35">
                  <c:v>39</c:v>
                </c:pt>
                <c:pt idx="36">
                  <c:v>38</c:v>
                </c:pt>
                <c:pt idx="37">
                  <c:v>47</c:v>
                </c:pt>
                <c:pt idx="38">
                  <c:v>42</c:v>
                </c:pt>
                <c:pt idx="39">
                  <c:v>58</c:v>
                </c:pt>
                <c:pt idx="40">
                  <c:v>57</c:v>
                </c:pt>
                <c:pt idx="41">
                  <c:v>60</c:v>
                </c:pt>
                <c:pt idx="42">
                  <c:v>48</c:v>
                </c:pt>
                <c:pt idx="43">
                  <c:v>40</c:v>
                </c:pt>
                <c:pt idx="44">
                  <c:v>38</c:v>
                </c:pt>
                <c:pt idx="45">
                  <c:v>24</c:v>
                </c:pt>
                <c:pt idx="46">
                  <c:v>36</c:v>
                </c:pt>
                <c:pt idx="47">
                  <c:v>19</c:v>
                </c:pt>
                <c:pt idx="48">
                  <c:v>31</c:v>
                </c:pt>
                <c:pt idx="49">
                  <c:v>46</c:v>
                </c:pt>
                <c:pt idx="50">
                  <c:v>32</c:v>
                </c:pt>
                <c:pt idx="51">
                  <c:v>30</c:v>
                </c:pt>
                <c:pt idx="52">
                  <c:v>38</c:v>
                </c:pt>
                <c:pt idx="53">
                  <c:v>48</c:v>
                </c:pt>
                <c:pt idx="54">
                  <c:v>46</c:v>
                </c:pt>
                <c:pt idx="55">
                  <c:v>50</c:v>
                </c:pt>
                <c:pt idx="56">
                  <c:v>45</c:v>
                </c:pt>
                <c:pt idx="57">
                  <c:v>38</c:v>
                </c:pt>
                <c:pt idx="58">
                  <c:v>41</c:v>
                </c:pt>
                <c:pt idx="59">
                  <c:v>39</c:v>
                </c:pt>
                <c:pt idx="60">
                  <c:v>36</c:v>
                </c:pt>
                <c:pt idx="61">
                  <c:v>46</c:v>
                </c:pt>
                <c:pt idx="62">
                  <c:v>66</c:v>
                </c:pt>
                <c:pt idx="63">
                  <c:v>79</c:v>
                </c:pt>
                <c:pt idx="64">
                  <c:v>58</c:v>
                </c:pt>
                <c:pt idx="65">
                  <c:v>64</c:v>
                </c:pt>
                <c:pt idx="66">
                  <c:v>113</c:v>
                </c:pt>
                <c:pt idx="67">
                  <c:v>104</c:v>
                </c:pt>
                <c:pt idx="68">
                  <c:v>76</c:v>
                </c:pt>
                <c:pt idx="69">
                  <c:v>70</c:v>
                </c:pt>
                <c:pt idx="70">
                  <c:v>75</c:v>
                </c:pt>
                <c:pt idx="71">
                  <c:v>80</c:v>
                </c:pt>
                <c:pt idx="72">
                  <c:v>58</c:v>
                </c:pt>
                <c:pt idx="73">
                  <c:v>83</c:v>
                </c:pt>
                <c:pt idx="74">
                  <c:v>87</c:v>
                </c:pt>
                <c:pt idx="75">
                  <c:v>67</c:v>
                </c:pt>
                <c:pt idx="76">
                  <c:v>108</c:v>
                </c:pt>
                <c:pt idx="77">
                  <c:v>123</c:v>
                </c:pt>
                <c:pt idx="78">
                  <c:v>116</c:v>
                </c:pt>
                <c:pt idx="79">
                  <c:v>118</c:v>
                </c:pt>
                <c:pt idx="80">
                  <c:v>192</c:v>
                </c:pt>
                <c:pt idx="81">
                  <c:v>182</c:v>
                </c:pt>
                <c:pt idx="82">
                  <c:v>200</c:v>
                </c:pt>
                <c:pt idx="83">
                  <c:v>223</c:v>
                </c:pt>
                <c:pt idx="84">
                  <c:v>250</c:v>
                </c:pt>
                <c:pt idx="85">
                  <c:v>247</c:v>
                </c:pt>
                <c:pt idx="86">
                  <c:v>225</c:v>
                </c:pt>
                <c:pt idx="87">
                  <c:v>235</c:v>
                </c:pt>
                <c:pt idx="88">
                  <c:v>253</c:v>
                </c:pt>
                <c:pt idx="89">
                  <c:v>293</c:v>
                </c:pt>
                <c:pt idx="90">
                  <c:v>222</c:v>
                </c:pt>
                <c:pt idx="91">
                  <c:v>238</c:v>
                </c:pt>
                <c:pt idx="92">
                  <c:v>226</c:v>
                </c:pt>
                <c:pt idx="93">
                  <c:v>238</c:v>
                </c:pt>
                <c:pt idx="94">
                  <c:v>245</c:v>
                </c:pt>
                <c:pt idx="95">
                  <c:v>215</c:v>
                </c:pt>
                <c:pt idx="96">
                  <c:v>189</c:v>
                </c:pt>
                <c:pt idx="97">
                  <c:v>179</c:v>
                </c:pt>
                <c:pt idx="98">
                  <c:v>214</c:v>
                </c:pt>
                <c:pt idx="99">
                  <c:v>196</c:v>
                </c:pt>
                <c:pt idx="100">
                  <c:v>157</c:v>
                </c:pt>
                <c:pt idx="101">
                  <c:v>141</c:v>
                </c:pt>
                <c:pt idx="102">
                  <c:v>181</c:v>
                </c:pt>
                <c:pt idx="103">
                  <c:v>76</c:v>
                </c:pt>
                <c:pt idx="104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EFA-408F-A137-57E30EED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NBREN'!$O$5</c:f>
              <c:strCache>
                <c:ptCount val="1"/>
                <c:pt idx="0">
                  <c:v>NB 4 Week Avg (Boom Annual)</c:v>
                </c:pt>
              </c:strCache>
            </c:strRef>
          </c:tx>
          <c:spPr>
            <a:ln w="28575" cap="rnd" cmpd="sng" algn="ctr">
              <a:solidFill>
                <a:srgbClr val="0043CE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NBREN'!$O$6:$O$110</c:f>
              <c:numCache>
                <c:formatCode>#,##0</c:formatCode>
                <c:ptCount val="105"/>
                <c:pt idx="3">
                  <c:v>209.5</c:v>
                </c:pt>
                <c:pt idx="4">
                  <c:v>204.25</c:v>
                </c:pt>
                <c:pt idx="5">
                  <c:v>195.75</c:v>
                </c:pt>
                <c:pt idx="6">
                  <c:v>184.25</c:v>
                </c:pt>
                <c:pt idx="7">
                  <c:v>172.5</c:v>
                </c:pt>
                <c:pt idx="8">
                  <c:v>175.75</c:v>
                </c:pt>
                <c:pt idx="9">
                  <c:v>196.5</c:v>
                </c:pt>
                <c:pt idx="10">
                  <c:v>229</c:v>
                </c:pt>
                <c:pt idx="11">
                  <c:v>306.5</c:v>
                </c:pt>
                <c:pt idx="12">
                  <c:v>345.75</c:v>
                </c:pt>
                <c:pt idx="13">
                  <c:v>372.25</c:v>
                </c:pt>
                <c:pt idx="14">
                  <c:v>399.75</c:v>
                </c:pt>
                <c:pt idx="15">
                  <c:v>411.5</c:v>
                </c:pt>
                <c:pt idx="16">
                  <c:v>405</c:v>
                </c:pt>
                <c:pt idx="17">
                  <c:v>404.25</c:v>
                </c:pt>
                <c:pt idx="18">
                  <c:v>393.5</c:v>
                </c:pt>
                <c:pt idx="19">
                  <c:v>339</c:v>
                </c:pt>
                <c:pt idx="20">
                  <c:v>326.25</c:v>
                </c:pt>
                <c:pt idx="21">
                  <c:v>325</c:v>
                </c:pt>
                <c:pt idx="22">
                  <c:v>321.25</c:v>
                </c:pt>
                <c:pt idx="23">
                  <c:v>379.5</c:v>
                </c:pt>
                <c:pt idx="24">
                  <c:v>520.5</c:v>
                </c:pt>
                <c:pt idx="25">
                  <c:v>595.5</c:v>
                </c:pt>
                <c:pt idx="26">
                  <c:v>689.25</c:v>
                </c:pt>
                <c:pt idx="27">
                  <c:v>796.5</c:v>
                </c:pt>
                <c:pt idx="28">
                  <c:v>902.25</c:v>
                </c:pt>
                <c:pt idx="29">
                  <c:v>1026.25</c:v>
                </c:pt>
                <c:pt idx="30">
                  <c:v>1135.75</c:v>
                </c:pt>
                <c:pt idx="31">
                  <c:v>1212.75</c:v>
                </c:pt>
                <c:pt idx="32">
                  <c:v>1261</c:v>
                </c:pt>
                <c:pt idx="33">
                  <c:v>1331.25</c:v>
                </c:pt>
                <c:pt idx="34">
                  <c:v>1362.5</c:v>
                </c:pt>
                <c:pt idx="35">
                  <c:v>1366.75</c:v>
                </c:pt>
                <c:pt idx="36">
                  <c:v>1373.75</c:v>
                </c:pt>
                <c:pt idx="37">
                  <c:v>1398.75</c:v>
                </c:pt>
                <c:pt idx="38">
                  <c:v>1391.25</c:v>
                </c:pt>
                <c:pt idx="39">
                  <c:v>1368.75</c:v>
                </c:pt>
                <c:pt idx="40">
                  <c:v>1321.75</c:v>
                </c:pt>
                <c:pt idx="41">
                  <c:v>1254.75</c:v>
                </c:pt>
                <c:pt idx="42">
                  <c:v>1245.75</c:v>
                </c:pt>
                <c:pt idx="43">
                  <c:v>1230.75</c:v>
                </c:pt>
                <c:pt idx="44">
                  <c:v>1182.5</c:v>
                </c:pt>
                <c:pt idx="45">
                  <c:v>1151.75</c:v>
                </c:pt>
                <c:pt idx="46">
                  <c:v>1126.25</c:v>
                </c:pt>
                <c:pt idx="47">
                  <c:v>1086.5</c:v>
                </c:pt>
                <c:pt idx="48">
                  <c:v>1029.25</c:v>
                </c:pt>
                <c:pt idx="49">
                  <c:v>968.5</c:v>
                </c:pt>
                <c:pt idx="50">
                  <c:v>940</c:v>
                </c:pt>
                <c:pt idx="51">
                  <c:v>901.5</c:v>
                </c:pt>
                <c:pt idx="52">
                  <c:v>871.75</c:v>
                </c:pt>
                <c:pt idx="53">
                  <c:v>844.5</c:v>
                </c:pt>
                <c:pt idx="54">
                  <c:v>780</c:v>
                </c:pt>
                <c:pt idx="55">
                  <c:v>801</c:v>
                </c:pt>
                <c:pt idx="56">
                  <c:v>790</c:v>
                </c:pt>
                <c:pt idx="57">
                  <c:v>783</c:v>
                </c:pt>
                <c:pt idx="58">
                  <c:v>805.25</c:v>
                </c:pt>
                <c:pt idx="59">
                  <c:v>781.25</c:v>
                </c:pt>
                <c:pt idx="60">
                  <c:v>762</c:v>
                </c:pt>
                <c:pt idx="61">
                  <c:v>757</c:v>
                </c:pt>
                <c:pt idx="62">
                  <c:v>754</c:v>
                </c:pt>
                <c:pt idx="63">
                  <c:v>775.5</c:v>
                </c:pt>
                <c:pt idx="64">
                  <c:v>795.5</c:v>
                </c:pt>
                <c:pt idx="65">
                  <c:v>793.5</c:v>
                </c:pt>
                <c:pt idx="66">
                  <c:v>814.5</c:v>
                </c:pt>
                <c:pt idx="67">
                  <c:v>835.5</c:v>
                </c:pt>
                <c:pt idx="68">
                  <c:v>912.75</c:v>
                </c:pt>
                <c:pt idx="69">
                  <c:v>955.5</c:v>
                </c:pt>
                <c:pt idx="70">
                  <c:v>952</c:v>
                </c:pt>
                <c:pt idx="71">
                  <c:v>881.25</c:v>
                </c:pt>
                <c:pt idx="72">
                  <c:v>823.25</c:v>
                </c:pt>
                <c:pt idx="73">
                  <c:v>823.5</c:v>
                </c:pt>
                <c:pt idx="74">
                  <c:v>823.75</c:v>
                </c:pt>
                <c:pt idx="75">
                  <c:v>853.75</c:v>
                </c:pt>
                <c:pt idx="76">
                  <c:v>896.75</c:v>
                </c:pt>
                <c:pt idx="77">
                  <c:v>890.25</c:v>
                </c:pt>
                <c:pt idx="78">
                  <c:v>844.75</c:v>
                </c:pt>
                <c:pt idx="79">
                  <c:v>808</c:v>
                </c:pt>
                <c:pt idx="80">
                  <c:v>759.5</c:v>
                </c:pt>
                <c:pt idx="81">
                  <c:v>733.5</c:v>
                </c:pt>
                <c:pt idx="82">
                  <c:v>741.75</c:v>
                </c:pt>
                <c:pt idx="83">
                  <c:v>770.25</c:v>
                </c:pt>
                <c:pt idx="84">
                  <c:v>786.25</c:v>
                </c:pt>
                <c:pt idx="85">
                  <c:v>815.5</c:v>
                </c:pt>
                <c:pt idx="86">
                  <c:v>822.5</c:v>
                </c:pt>
                <c:pt idx="87">
                  <c:v>827.25</c:v>
                </c:pt>
                <c:pt idx="88">
                  <c:v>794.5</c:v>
                </c:pt>
                <c:pt idx="89">
                  <c:v>799.5</c:v>
                </c:pt>
                <c:pt idx="90">
                  <c:v>786.5</c:v>
                </c:pt>
                <c:pt idx="91">
                  <c:v>767.5</c:v>
                </c:pt>
                <c:pt idx="92">
                  <c:v>753.75</c:v>
                </c:pt>
                <c:pt idx="93">
                  <c:v>710.75</c:v>
                </c:pt>
                <c:pt idx="94">
                  <c:v>715.5</c:v>
                </c:pt>
                <c:pt idx="95">
                  <c:v>702.75</c:v>
                </c:pt>
                <c:pt idx="96">
                  <c:v>693</c:v>
                </c:pt>
                <c:pt idx="97">
                  <c:v>673</c:v>
                </c:pt>
                <c:pt idx="98">
                  <c:v>681.25</c:v>
                </c:pt>
                <c:pt idx="99">
                  <c:v>685.25</c:v>
                </c:pt>
                <c:pt idx="100">
                  <c:v>675.75</c:v>
                </c:pt>
                <c:pt idx="101">
                  <c:v>655.25</c:v>
                </c:pt>
                <c:pt idx="102">
                  <c:v>625.75</c:v>
                </c:pt>
                <c:pt idx="103">
                  <c:v>592.25</c:v>
                </c:pt>
                <c:pt idx="104">
                  <c:v>586.75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EFA-408F-A137-57E30EED1D3C}"/>
            </c:ext>
          </c:extLst>
        </c:ser>
        <c:ser>
          <c:idx val="3"/>
          <c:order val="3"/>
          <c:tx>
            <c:strRef>
              <c:f>'PolCount NBREN'!$Q$5</c:f>
              <c:strCache>
                <c:ptCount val="1"/>
                <c:pt idx="0">
                  <c:v>RN 4 Week Avg (Boom Annual)</c:v>
                </c:pt>
              </c:strCache>
            </c:strRef>
          </c:tx>
          <c:spPr>
            <a:ln w="28575" cap="rnd" cmpd="sng" algn="ctr">
              <a:solidFill>
                <a:srgbClr val="595959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NBREN'!$Q$6:$Q$110</c:f>
              <c:numCache>
                <c:formatCode>#,##0</c:formatCode>
                <c:ptCount val="105"/>
                <c:pt idx="3">
                  <c:v>25</c:v>
                </c:pt>
                <c:pt idx="4">
                  <c:v>24.25</c:v>
                </c:pt>
                <c:pt idx="5">
                  <c:v>28.75</c:v>
                </c:pt>
                <c:pt idx="6">
                  <c:v>31</c:v>
                </c:pt>
                <c:pt idx="7">
                  <c:v>32.75</c:v>
                </c:pt>
                <c:pt idx="8">
                  <c:v>33.25</c:v>
                </c:pt>
                <c:pt idx="9">
                  <c:v>28.25</c:v>
                </c:pt>
                <c:pt idx="10">
                  <c:v>24</c:v>
                </c:pt>
                <c:pt idx="11">
                  <c:v>20</c:v>
                </c:pt>
                <c:pt idx="12">
                  <c:v>18</c:v>
                </c:pt>
                <c:pt idx="13">
                  <c:v>27</c:v>
                </c:pt>
                <c:pt idx="14">
                  <c:v>40.5</c:v>
                </c:pt>
                <c:pt idx="15">
                  <c:v>58.5</c:v>
                </c:pt>
                <c:pt idx="16">
                  <c:v>68</c:v>
                </c:pt>
                <c:pt idx="17">
                  <c:v>72.75</c:v>
                </c:pt>
                <c:pt idx="18">
                  <c:v>72.25</c:v>
                </c:pt>
                <c:pt idx="19">
                  <c:v>62.5</c:v>
                </c:pt>
                <c:pt idx="20">
                  <c:v>59.25</c:v>
                </c:pt>
                <c:pt idx="21">
                  <c:v>57</c:v>
                </c:pt>
                <c:pt idx="22">
                  <c:v>52</c:v>
                </c:pt>
                <c:pt idx="23">
                  <c:v>55</c:v>
                </c:pt>
                <c:pt idx="24">
                  <c:v>58.25</c:v>
                </c:pt>
                <c:pt idx="25">
                  <c:v>54.75</c:v>
                </c:pt>
                <c:pt idx="26">
                  <c:v>55.75</c:v>
                </c:pt>
                <c:pt idx="27">
                  <c:v>57.25</c:v>
                </c:pt>
                <c:pt idx="28">
                  <c:v>62.75</c:v>
                </c:pt>
                <c:pt idx="29">
                  <c:v>67.75</c:v>
                </c:pt>
                <c:pt idx="30">
                  <c:v>74</c:v>
                </c:pt>
                <c:pt idx="31">
                  <c:v>77.5</c:v>
                </c:pt>
                <c:pt idx="32">
                  <c:v>73.25</c:v>
                </c:pt>
                <c:pt idx="33">
                  <c:v>73.25</c:v>
                </c:pt>
                <c:pt idx="34">
                  <c:v>66.75</c:v>
                </c:pt>
                <c:pt idx="35">
                  <c:v>56.75</c:v>
                </c:pt>
                <c:pt idx="36">
                  <c:v>50.75</c:v>
                </c:pt>
                <c:pt idx="37">
                  <c:v>45</c:v>
                </c:pt>
                <c:pt idx="38">
                  <c:v>41.5</c:v>
                </c:pt>
                <c:pt idx="39">
                  <c:v>46.25</c:v>
                </c:pt>
                <c:pt idx="40">
                  <c:v>51</c:v>
                </c:pt>
                <c:pt idx="41">
                  <c:v>54.25</c:v>
                </c:pt>
                <c:pt idx="42">
                  <c:v>55.75</c:v>
                </c:pt>
                <c:pt idx="43">
                  <c:v>51.25</c:v>
                </c:pt>
                <c:pt idx="44">
                  <c:v>46.5</c:v>
                </c:pt>
                <c:pt idx="45">
                  <c:v>37.5</c:v>
                </c:pt>
                <c:pt idx="46">
                  <c:v>34.5</c:v>
                </c:pt>
                <c:pt idx="47">
                  <c:v>29.25</c:v>
                </c:pt>
                <c:pt idx="48">
                  <c:v>27.5</c:v>
                </c:pt>
                <c:pt idx="49">
                  <c:v>33</c:v>
                </c:pt>
                <c:pt idx="50">
                  <c:v>32</c:v>
                </c:pt>
                <c:pt idx="51">
                  <c:v>34.75</c:v>
                </c:pt>
                <c:pt idx="52">
                  <c:v>36.5</c:v>
                </c:pt>
                <c:pt idx="53">
                  <c:v>37</c:v>
                </c:pt>
                <c:pt idx="54">
                  <c:v>40.5</c:v>
                </c:pt>
                <c:pt idx="55">
                  <c:v>45.5</c:v>
                </c:pt>
                <c:pt idx="56">
                  <c:v>47.25</c:v>
                </c:pt>
                <c:pt idx="57">
                  <c:v>44.75</c:v>
                </c:pt>
                <c:pt idx="58">
                  <c:v>43.5</c:v>
                </c:pt>
                <c:pt idx="59">
                  <c:v>40.75</c:v>
                </c:pt>
                <c:pt idx="60">
                  <c:v>38.5</c:v>
                </c:pt>
                <c:pt idx="61">
                  <c:v>40.5</c:v>
                </c:pt>
                <c:pt idx="62">
                  <c:v>46.75</c:v>
                </c:pt>
                <c:pt idx="63">
                  <c:v>56.75</c:v>
                </c:pt>
                <c:pt idx="64">
                  <c:v>62.25</c:v>
                </c:pt>
                <c:pt idx="65">
                  <c:v>66.75</c:v>
                </c:pt>
                <c:pt idx="66">
                  <c:v>78.5</c:v>
                </c:pt>
                <c:pt idx="67">
                  <c:v>84.75</c:v>
                </c:pt>
                <c:pt idx="68">
                  <c:v>89.25</c:v>
                </c:pt>
                <c:pt idx="69">
                  <c:v>90.75</c:v>
                </c:pt>
                <c:pt idx="70">
                  <c:v>81.25</c:v>
                </c:pt>
                <c:pt idx="71">
                  <c:v>75.25</c:v>
                </c:pt>
                <c:pt idx="72">
                  <c:v>70.75</c:v>
                </c:pt>
                <c:pt idx="73">
                  <c:v>74</c:v>
                </c:pt>
                <c:pt idx="74">
                  <c:v>77</c:v>
                </c:pt>
                <c:pt idx="75">
                  <c:v>73.75</c:v>
                </c:pt>
                <c:pt idx="76">
                  <c:v>86.25</c:v>
                </c:pt>
                <c:pt idx="77">
                  <c:v>96.25</c:v>
                </c:pt>
                <c:pt idx="78">
                  <c:v>103.5</c:v>
                </c:pt>
                <c:pt idx="79">
                  <c:v>116.25</c:v>
                </c:pt>
                <c:pt idx="80">
                  <c:v>137.25</c:v>
                </c:pt>
                <c:pt idx="81">
                  <c:v>152</c:v>
                </c:pt>
                <c:pt idx="82">
                  <c:v>173</c:v>
                </c:pt>
                <c:pt idx="83">
                  <c:v>199.25</c:v>
                </c:pt>
                <c:pt idx="84">
                  <c:v>213.75</c:v>
                </c:pt>
                <c:pt idx="85">
                  <c:v>230</c:v>
                </c:pt>
                <c:pt idx="86">
                  <c:v>236.25</c:v>
                </c:pt>
                <c:pt idx="87">
                  <c:v>239.25</c:v>
                </c:pt>
                <c:pt idx="88">
                  <c:v>240</c:v>
                </c:pt>
                <c:pt idx="89">
                  <c:v>251.5</c:v>
                </c:pt>
                <c:pt idx="90">
                  <c:v>250.75</c:v>
                </c:pt>
                <c:pt idx="91">
                  <c:v>251.5</c:v>
                </c:pt>
                <c:pt idx="92">
                  <c:v>244.75</c:v>
                </c:pt>
                <c:pt idx="93">
                  <c:v>231</c:v>
                </c:pt>
                <c:pt idx="94">
                  <c:v>236.75</c:v>
                </c:pt>
                <c:pt idx="95">
                  <c:v>231</c:v>
                </c:pt>
                <c:pt idx="96">
                  <c:v>221.75</c:v>
                </c:pt>
                <c:pt idx="97">
                  <c:v>207</c:v>
                </c:pt>
                <c:pt idx="98">
                  <c:v>199.25</c:v>
                </c:pt>
                <c:pt idx="99">
                  <c:v>194.5</c:v>
                </c:pt>
                <c:pt idx="100">
                  <c:v>186.5</c:v>
                </c:pt>
                <c:pt idx="101">
                  <c:v>177</c:v>
                </c:pt>
                <c:pt idx="102">
                  <c:v>168.75</c:v>
                </c:pt>
                <c:pt idx="103">
                  <c:v>138.75</c:v>
                </c:pt>
                <c:pt idx="104">
                  <c:v>144.75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EFA-408F-A137-57E30EED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rgbClr val="595959"/>
                    </a:solidFill>
                  </a:rPr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rgbClr val="595959"/>
                    </a:solidFill>
                  </a:rPr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solidFill>
              <a:srgbClr val="D9D9D9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NWP!$K$4</c:f>
              <c:strCache>
                <c:ptCount val="1"/>
                <c:pt idx="0">
                  <c:v>NWP (Boom Annual)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NWP!$K$5:$K$109</c:f>
              <c:numCache>
                <c:formatCode>#,##0</c:formatCode>
                <c:ptCount val="105"/>
                <c:pt idx="0">
                  <c:v>313019.05750031007</c:v>
                </c:pt>
                <c:pt idx="1">
                  <c:v>285617.52571419999</c:v>
                </c:pt>
                <c:pt idx="2">
                  <c:v>305002.12285679008</c:v>
                </c:pt>
                <c:pt idx="3">
                  <c:v>273590.93999977998</c:v>
                </c:pt>
                <c:pt idx="4">
                  <c:v>279702.78285706998</c:v>
                </c:pt>
                <c:pt idx="5">
                  <c:v>278899.31785701006</c:v>
                </c:pt>
                <c:pt idx="6">
                  <c:v>251583.88892861005</c:v>
                </c:pt>
                <c:pt idx="7">
                  <c:v>230097.24285725999</c:v>
                </c:pt>
                <c:pt idx="8">
                  <c:v>297094.78928515012</c:v>
                </c:pt>
                <c:pt idx="9">
                  <c:v>328777.55499933998</c:v>
                </c:pt>
                <c:pt idx="10">
                  <c:v>407247.66571464017</c:v>
                </c:pt>
                <c:pt idx="11">
                  <c:v>492766.30678541982</c:v>
                </c:pt>
                <c:pt idx="12">
                  <c:v>390191.20678604004</c:v>
                </c:pt>
                <c:pt idx="13">
                  <c:v>407178.65999954013</c:v>
                </c:pt>
                <c:pt idx="14">
                  <c:v>490071.10857140005</c:v>
                </c:pt>
                <c:pt idx="15">
                  <c:v>583265.74678548984</c:v>
                </c:pt>
                <c:pt idx="16">
                  <c:v>398178.81071426015</c:v>
                </c:pt>
                <c:pt idx="17">
                  <c:v>447443.34178487002</c:v>
                </c:pt>
                <c:pt idx="18">
                  <c:v>423643.06928532012</c:v>
                </c:pt>
                <c:pt idx="19">
                  <c:v>329936.13535706006</c:v>
                </c:pt>
                <c:pt idx="20">
                  <c:v>327474.48535736994</c:v>
                </c:pt>
                <c:pt idx="21">
                  <c:v>423050.98214287002</c:v>
                </c:pt>
                <c:pt idx="22">
                  <c:v>397201.53749989008</c:v>
                </c:pt>
                <c:pt idx="23">
                  <c:v>608196.67500046012</c:v>
                </c:pt>
                <c:pt idx="24">
                  <c:v>1112642.4217837697</c:v>
                </c:pt>
                <c:pt idx="25">
                  <c:v>918898.93642912991</c:v>
                </c:pt>
                <c:pt idx="26">
                  <c:v>942226.66857196018</c:v>
                </c:pt>
                <c:pt idx="27">
                  <c:v>1286960.0353566799</c:v>
                </c:pt>
                <c:pt idx="28">
                  <c:v>1684094.6099994902</c:v>
                </c:pt>
                <c:pt idx="29">
                  <c:v>1618967.1067856406</c:v>
                </c:pt>
                <c:pt idx="30">
                  <c:v>1578422.43392892</c:v>
                </c:pt>
                <c:pt idx="31">
                  <c:v>1661860.9224999901</c:v>
                </c:pt>
                <c:pt idx="32">
                  <c:v>1859476.5442874299</c:v>
                </c:pt>
                <c:pt idx="33">
                  <c:v>1739083.7946443197</c:v>
                </c:pt>
                <c:pt idx="34">
                  <c:v>1521748.77250082</c:v>
                </c:pt>
                <c:pt idx="35">
                  <c:v>1451261.1732149101</c:v>
                </c:pt>
                <c:pt idx="36">
                  <c:v>1736331.4703574402</c:v>
                </c:pt>
                <c:pt idx="37">
                  <c:v>1662057.6549988801</c:v>
                </c:pt>
                <c:pt idx="38">
                  <c:v>1383015.3985717695</c:v>
                </c:pt>
                <c:pt idx="39">
                  <c:v>1380642.9025002499</c:v>
                </c:pt>
                <c:pt idx="40">
                  <c:v>1460840.8657142702</c:v>
                </c:pt>
                <c:pt idx="41">
                  <c:v>1403023.74499928</c:v>
                </c:pt>
                <c:pt idx="42">
                  <c:v>1268397.4624997</c:v>
                </c:pt>
                <c:pt idx="43">
                  <c:v>1248871.1803574702</c:v>
                </c:pt>
                <c:pt idx="44">
                  <c:v>1182308.16250032</c:v>
                </c:pt>
                <c:pt idx="45">
                  <c:v>1297259.7764277901</c:v>
                </c:pt>
                <c:pt idx="46">
                  <c:v>1227975.15000028</c:v>
                </c:pt>
                <c:pt idx="47">
                  <c:v>1031773.2632148203</c:v>
                </c:pt>
                <c:pt idx="48">
                  <c:v>975251.38428631006</c:v>
                </c:pt>
                <c:pt idx="49">
                  <c:v>993028.01428563998</c:v>
                </c:pt>
                <c:pt idx="50">
                  <c:v>1105128.7271439098</c:v>
                </c:pt>
                <c:pt idx="51">
                  <c:v>944037.34035747009</c:v>
                </c:pt>
                <c:pt idx="52">
                  <c:v>891829.06285759993</c:v>
                </c:pt>
                <c:pt idx="53">
                  <c:v>874030.94857198</c:v>
                </c:pt>
                <c:pt idx="54">
                  <c:v>831229.81035679008</c:v>
                </c:pt>
                <c:pt idx="55">
                  <c:v>967983.21285775024</c:v>
                </c:pt>
                <c:pt idx="56">
                  <c:v>792859.06785731006</c:v>
                </c:pt>
                <c:pt idx="57">
                  <c:v>890922.09285667026</c:v>
                </c:pt>
                <c:pt idx="58">
                  <c:v>961216.83678588015</c:v>
                </c:pt>
                <c:pt idx="59">
                  <c:v>865914.10392923967</c:v>
                </c:pt>
                <c:pt idx="60">
                  <c:v>746665.47071406012</c:v>
                </c:pt>
                <c:pt idx="61">
                  <c:v>859048.70928531047</c:v>
                </c:pt>
                <c:pt idx="62">
                  <c:v>928467.92107099015</c:v>
                </c:pt>
                <c:pt idx="63">
                  <c:v>1017770.9810716598</c:v>
                </c:pt>
                <c:pt idx="64">
                  <c:v>856975.50892791036</c:v>
                </c:pt>
                <c:pt idx="65">
                  <c:v>878854.53678599012</c:v>
                </c:pt>
                <c:pt idx="66">
                  <c:v>1140288.5360709601</c:v>
                </c:pt>
                <c:pt idx="67">
                  <c:v>1183254.0621432201</c:v>
                </c:pt>
                <c:pt idx="68">
                  <c:v>1214129.1564283103</c:v>
                </c:pt>
                <c:pt idx="69">
                  <c:v>1074605.0817860528</c:v>
                </c:pt>
                <c:pt idx="70">
                  <c:v>1083674.58535727</c:v>
                </c:pt>
                <c:pt idx="71">
                  <c:v>863986.09321353026</c:v>
                </c:pt>
                <c:pt idx="72">
                  <c:v>926285.87500062329</c:v>
                </c:pt>
                <c:pt idx="73">
                  <c:v>1057424.9767859601</c:v>
                </c:pt>
                <c:pt idx="74">
                  <c:v>1047838.13821324</c:v>
                </c:pt>
                <c:pt idx="75">
                  <c:v>934574.43750072015</c:v>
                </c:pt>
                <c:pt idx="76">
                  <c:v>1096834.5146434896</c:v>
                </c:pt>
                <c:pt idx="77">
                  <c:v>1049933.7260713598</c:v>
                </c:pt>
                <c:pt idx="78">
                  <c:v>906157.79499872006</c:v>
                </c:pt>
                <c:pt idx="79">
                  <c:v>807862.18107180041</c:v>
                </c:pt>
                <c:pt idx="80">
                  <c:v>998074.90285725007</c:v>
                </c:pt>
                <c:pt idx="81">
                  <c:v>1013544.6303568796</c:v>
                </c:pt>
                <c:pt idx="82">
                  <c:v>1023509.2667853301</c:v>
                </c:pt>
                <c:pt idx="83">
                  <c:v>1048060.0546423199</c:v>
                </c:pt>
                <c:pt idx="84">
                  <c:v>1183054.4014283898</c:v>
                </c:pt>
                <c:pt idx="85">
                  <c:v>1205201.850714433</c:v>
                </c:pt>
                <c:pt idx="86">
                  <c:v>1098813.1646424599</c:v>
                </c:pt>
                <c:pt idx="87">
                  <c:v>1079427.2932132601</c:v>
                </c:pt>
                <c:pt idx="88">
                  <c:v>990825.61535694997</c:v>
                </c:pt>
                <c:pt idx="89">
                  <c:v>1246788.5721422902</c:v>
                </c:pt>
                <c:pt idx="90">
                  <c:v>1006313.7264285202</c:v>
                </c:pt>
                <c:pt idx="91">
                  <c:v>1004358.4399998699</c:v>
                </c:pt>
                <c:pt idx="92">
                  <c:v>953103.93749996019</c:v>
                </c:pt>
                <c:pt idx="93">
                  <c:v>1026261.2646431503</c:v>
                </c:pt>
                <c:pt idx="94">
                  <c:v>1008617.24214352</c:v>
                </c:pt>
                <c:pt idx="95">
                  <c:v>941529.16071509977</c:v>
                </c:pt>
                <c:pt idx="96">
                  <c:v>837941.95357232029</c:v>
                </c:pt>
                <c:pt idx="97">
                  <c:v>920580.07535721012</c:v>
                </c:pt>
                <c:pt idx="98">
                  <c:v>1053507.46178574</c:v>
                </c:pt>
                <c:pt idx="99">
                  <c:v>957454.29142917995</c:v>
                </c:pt>
                <c:pt idx="100">
                  <c:v>795522.61250022985</c:v>
                </c:pt>
                <c:pt idx="101">
                  <c:v>806869.89035676001</c:v>
                </c:pt>
                <c:pt idx="102">
                  <c:v>871173.21964277013</c:v>
                </c:pt>
                <c:pt idx="103">
                  <c:v>740951.12357093021</c:v>
                </c:pt>
                <c:pt idx="104">
                  <c:v>826916.67392845009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C4D-4B21-9A82-EEEBA29ED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NWP!$L$4</c:f>
              <c:strCache>
                <c:ptCount val="1"/>
                <c:pt idx="0">
                  <c:v>NWP - 4 Week Avg (Boom Annual)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NWP!$L$5:$L$109</c:f>
              <c:numCache>
                <c:formatCode>#,##0</c:formatCode>
                <c:ptCount val="105"/>
                <c:pt idx="3">
                  <c:v>294307.41151777003</c:v>
                </c:pt>
                <c:pt idx="4">
                  <c:v>285978.34285696002</c:v>
                </c:pt>
                <c:pt idx="5">
                  <c:v>284298.79089266254</c:v>
                </c:pt>
                <c:pt idx="6">
                  <c:v>270944.23241061752</c:v>
                </c:pt>
                <c:pt idx="7">
                  <c:v>260070.80812498752</c:v>
                </c:pt>
                <c:pt idx="8">
                  <c:v>264418.80973200756</c:v>
                </c:pt>
                <c:pt idx="9">
                  <c:v>276888.36901759007</c:v>
                </c:pt>
                <c:pt idx="10">
                  <c:v>315804.31321409752</c:v>
                </c:pt>
                <c:pt idx="11">
                  <c:v>381471.57919613749</c:v>
                </c:pt>
                <c:pt idx="12">
                  <c:v>404745.68357136002</c:v>
                </c:pt>
                <c:pt idx="13">
                  <c:v>424345.95982141001</c:v>
                </c:pt>
                <c:pt idx="14">
                  <c:v>445051.82053559995</c:v>
                </c:pt>
                <c:pt idx="15">
                  <c:v>467676.68053561752</c:v>
                </c:pt>
                <c:pt idx="16">
                  <c:v>469673.58151767257</c:v>
                </c:pt>
                <c:pt idx="17">
                  <c:v>479739.751964005</c:v>
                </c:pt>
                <c:pt idx="18">
                  <c:v>463132.74214248505</c:v>
                </c:pt>
                <c:pt idx="19">
                  <c:v>399800.33928537759</c:v>
                </c:pt>
                <c:pt idx="20">
                  <c:v>382124.25794615503</c:v>
                </c:pt>
                <c:pt idx="21">
                  <c:v>376026.16803565505</c:v>
                </c:pt>
                <c:pt idx="22">
                  <c:v>369415.78508929757</c:v>
                </c:pt>
                <c:pt idx="23">
                  <c:v>438980.92000014754</c:v>
                </c:pt>
                <c:pt idx="24">
                  <c:v>635272.90410674748</c:v>
                </c:pt>
                <c:pt idx="25">
                  <c:v>759234.89267831249</c:v>
                </c:pt>
                <c:pt idx="26">
                  <c:v>895491.17544632999</c:v>
                </c:pt>
                <c:pt idx="27">
                  <c:v>1065182.0155353849</c:v>
                </c:pt>
                <c:pt idx="28">
                  <c:v>1208045.062589315</c:v>
                </c:pt>
                <c:pt idx="29">
                  <c:v>1383062.1051784428</c:v>
                </c:pt>
                <c:pt idx="30">
                  <c:v>1542111.0465176827</c:v>
                </c:pt>
                <c:pt idx="31">
                  <c:v>1635836.2683035103</c:v>
                </c:pt>
                <c:pt idx="32">
                  <c:v>1679681.7518754951</c:v>
                </c:pt>
                <c:pt idx="33">
                  <c:v>1709710.9238401649</c:v>
                </c:pt>
                <c:pt idx="34">
                  <c:v>1695542.5084831398</c:v>
                </c:pt>
                <c:pt idx="35">
                  <c:v>1642892.5711618699</c:v>
                </c:pt>
                <c:pt idx="36">
                  <c:v>1612106.3026793725</c:v>
                </c:pt>
                <c:pt idx="37">
                  <c:v>1592849.7677680126</c:v>
                </c:pt>
                <c:pt idx="38">
                  <c:v>1558166.4242857499</c:v>
                </c:pt>
                <c:pt idx="39">
                  <c:v>1540511.8566070851</c:v>
                </c:pt>
                <c:pt idx="40">
                  <c:v>1471639.2054462926</c:v>
                </c:pt>
                <c:pt idx="41">
                  <c:v>1406880.7279463923</c:v>
                </c:pt>
                <c:pt idx="42">
                  <c:v>1378226.2439283752</c:v>
                </c:pt>
                <c:pt idx="43">
                  <c:v>1345283.3133926801</c:v>
                </c:pt>
                <c:pt idx="44">
                  <c:v>1275650.1375891925</c:v>
                </c:pt>
                <c:pt idx="45">
                  <c:v>1249209.1454463201</c:v>
                </c:pt>
                <c:pt idx="46">
                  <c:v>1239103.5673214651</c:v>
                </c:pt>
                <c:pt idx="47">
                  <c:v>1184829.0880358026</c:v>
                </c:pt>
                <c:pt idx="48">
                  <c:v>1133064.8934823</c:v>
                </c:pt>
                <c:pt idx="49">
                  <c:v>1057006.9529467626</c:v>
                </c:pt>
                <c:pt idx="50">
                  <c:v>1026295.3472326701</c:v>
                </c:pt>
                <c:pt idx="51">
                  <c:v>1004361.3665183324</c:v>
                </c:pt>
                <c:pt idx="52">
                  <c:v>983505.78616115497</c:v>
                </c:pt>
                <c:pt idx="53">
                  <c:v>953756.51973274001</c:v>
                </c:pt>
                <c:pt idx="54">
                  <c:v>885281.79053596011</c:v>
                </c:pt>
                <c:pt idx="55">
                  <c:v>891268.25866103009</c:v>
                </c:pt>
                <c:pt idx="56">
                  <c:v>866525.75991095765</c:v>
                </c:pt>
                <c:pt idx="57">
                  <c:v>870748.54598213022</c:v>
                </c:pt>
                <c:pt idx="58">
                  <c:v>903245.30258940277</c:v>
                </c:pt>
                <c:pt idx="59">
                  <c:v>877728.02535727515</c:v>
                </c:pt>
                <c:pt idx="60">
                  <c:v>866179.62607146252</c:v>
                </c:pt>
                <c:pt idx="61">
                  <c:v>858211.28017862258</c:v>
                </c:pt>
                <c:pt idx="62">
                  <c:v>850024.05124990013</c:v>
                </c:pt>
                <c:pt idx="63">
                  <c:v>887988.27053550514</c:v>
                </c:pt>
                <c:pt idx="64">
                  <c:v>915565.78008896764</c:v>
                </c:pt>
                <c:pt idx="65">
                  <c:v>920517.23696413753</c:v>
                </c:pt>
                <c:pt idx="66">
                  <c:v>973472.39071413013</c:v>
                </c:pt>
                <c:pt idx="67">
                  <c:v>1014843.1609820202</c:v>
                </c:pt>
                <c:pt idx="68">
                  <c:v>1104131.5728571201</c:v>
                </c:pt>
                <c:pt idx="69">
                  <c:v>1153069.2091071359</c:v>
                </c:pt>
                <c:pt idx="70">
                  <c:v>1138915.7214287133</c:v>
                </c:pt>
                <c:pt idx="71">
                  <c:v>1059098.729196291</c:v>
                </c:pt>
                <c:pt idx="72">
                  <c:v>987137.90883936896</c:v>
                </c:pt>
                <c:pt idx="73">
                  <c:v>982842.88258934591</c:v>
                </c:pt>
                <c:pt idx="74">
                  <c:v>973883.7708033385</c:v>
                </c:pt>
                <c:pt idx="75">
                  <c:v>991530.8568751358</c:v>
                </c:pt>
                <c:pt idx="76">
                  <c:v>1034168.0167858524</c:v>
                </c:pt>
                <c:pt idx="77">
                  <c:v>1032295.2041072024</c:v>
                </c:pt>
                <c:pt idx="78">
                  <c:v>996875.11830357253</c:v>
                </c:pt>
                <c:pt idx="79">
                  <c:v>965197.05419634236</c:v>
                </c:pt>
                <c:pt idx="80">
                  <c:v>940507.15124978253</c:v>
                </c:pt>
                <c:pt idx="81">
                  <c:v>931409.87732116249</c:v>
                </c:pt>
                <c:pt idx="82">
                  <c:v>960747.74526781507</c:v>
                </c:pt>
                <c:pt idx="83">
                  <c:v>1020797.2136604448</c:v>
                </c:pt>
                <c:pt idx="84">
                  <c:v>1067042.0883032298</c:v>
                </c:pt>
                <c:pt idx="85">
                  <c:v>1114956.3933926183</c:v>
                </c:pt>
                <c:pt idx="86">
                  <c:v>1133782.3678569007</c:v>
                </c:pt>
                <c:pt idx="87">
                  <c:v>1141624.1774996358</c:v>
                </c:pt>
                <c:pt idx="88">
                  <c:v>1093566.9809817758</c:v>
                </c:pt>
                <c:pt idx="89">
                  <c:v>1103963.66133874</c:v>
                </c:pt>
                <c:pt idx="90">
                  <c:v>1080838.8017852551</c:v>
                </c:pt>
                <c:pt idx="91">
                  <c:v>1062071.5884819075</c:v>
                </c:pt>
                <c:pt idx="92">
                  <c:v>1052641.1690176602</c:v>
                </c:pt>
                <c:pt idx="93">
                  <c:v>997509.34214287507</c:v>
                </c:pt>
                <c:pt idx="94">
                  <c:v>998085.22107162513</c:v>
                </c:pt>
                <c:pt idx="95">
                  <c:v>982377.90125043259</c:v>
                </c:pt>
                <c:pt idx="96">
                  <c:v>953587.40526852256</c:v>
                </c:pt>
                <c:pt idx="97">
                  <c:v>927167.10794703756</c:v>
                </c:pt>
                <c:pt idx="98">
                  <c:v>938389.66285759257</c:v>
                </c:pt>
                <c:pt idx="99">
                  <c:v>942370.94553611265</c:v>
                </c:pt>
                <c:pt idx="100">
                  <c:v>931766.11026808992</c:v>
                </c:pt>
                <c:pt idx="101">
                  <c:v>903338.56401797745</c:v>
                </c:pt>
                <c:pt idx="102">
                  <c:v>857755.00348223501</c:v>
                </c:pt>
                <c:pt idx="103">
                  <c:v>803629.21151767252</c:v>
                </c:pt>
                <c:pt idx="104">
                  <c:v>811477.72687472752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C4D-4B21-9A82-EEEBA29EDEC5}"/>
            </c:ext>
          </c:extLst>
        </c:ser>
        <c:ser>
          <c:idx val="4"/>
          <c:order val="4"/>
          <c:tx>
            <c:strRef>
              <c:f>NWP!$O$4</c:f>
              <c:strCache>
                <c:ptCount val="1"/>
                <c:pt idx="0">
                  <c:v>Plan (Boom Annual)</c:v>
                </c:pt>
              </c:strCache>
              <c:extLst xmlns:c15="http://schemas.microsoft.com/office/drawing/2012/chart"/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  <c:extLst xmlns:c15="http://schemas.microsoft.com/office/drawing/2012/chart"/>
            </c:numRef>
          </c:cat>
          <c:val>
            <c:numRef>
              <c:f>NWP!$O$5:$O$109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131927.59606993489</c:v>
                </c:pt>
                <c:pt idx="12">
                  <c:v>307831.05749651475</c:v>
                </c:pt>
                <c:pt idx="13">
                  <c:v>307831.05749651475</c:v>
                </c:pt>
                <c:pt idx="14">
                  <c:v>307831.05749651475</c:v>
                </c:pt>
                <c:pt idx="15">
                  <c:v>303871.43716678128</c:v>
                </c:pt>
                <c:pt idx="16">
                  <c:v>280113.71518838068</c:v>
                </c:pt>
                <c:pt idx="17">
                  <c:v>280113.71518838068</c:v>
                </c:pt>
                <c:pt idx="18">
                  <c:v>280113.71518838068</c:v>
                </c:pt>
                <c:pt idx="19">
                  <c:v>280113.71518838068</c:v>
                </c:pt>
                <c:pt idx="20">
                  <c:v>298840.09062121337</c:v>
                </c:pt>
                <c:pt idx="21">
                  <c:v>306330.64079434652</c:v>
                </c:pt>
                <c:pt idx="22">
                  <c:v>306330.64079434652</c:v>
                </c:pt>
                <c:pt idx="23">
                  <c:v>306330.64079434652</c:v>
                </c:pt>
                <c:pt idx="24">
                  <c:v>492273.90945800318</c:v>
                </c:pt>
                <c:pt idx="25">
                  <c:v>957132.08111714502</c:v>
                </c:pt>
                <c:pt idx="26">
                  <c:v>957132.08111714502</c:v>
                </c:pt>
                <c:pt idx="27">
                  <c:v>957132.08111714502</c:v>
                </c:pt>
                <c:pt idx="28">
                  <c:v>1028033.9556081176</c:v>
                </c:pt>
                <c:pt idx="29">
                  <c:v>1453445.2025539533</c:v>
                </c:pt>
                <c:pt idx="30">
                  <c:v>1453445.2025539533</c:v>
                </c:pt>
                <c:pt idx="31">
                  <c:v>1453445.2025539533</c:v>
                </c:pt>
                <c:pt idx="32">
                  <c:v>1453445.2025539533</c:v>
                </c:pt>
                <c:pt idx="33">
                  <c:v>1523295.5603662375</c:v>
                </c:pt>
                <c:pt idx="34">
                  <c:v>1551235.7034911516</c:v>
                </c:pt>
                <c:pt idx="35">
                  <c:v>1551235.7034911516</c:v>
                </c:pt>
                <c:pt idx="36">
                  <c:v>1551235.7034911516</c:v>
                </c:pt>
                <c:pt idx="37">
                  <c:v>1537633.5933662248</c:v>
                </c:pt>
                <c:pt idx="38">
                  <c:v>1519497.4465329887</c:v>
                </c:pt>
                <c:pt idx="39">
                  <c:v>1519497.4465329887</c:v>
                </c:pt>
                <c:pt idx="40">
                  <c:v>1519497.4465329887</c:v>
                </c:pt>
                <c:pt idx="41">
                  <c:v>1519497.4465329887</c:v>
                </c:pt>
                <c:pt idx="42">
                  <c:v>1599721.7080653624</c:v>
                </c:pt>
                <c:pt idx="43">
                  <c:v>1599721.7080653624</c:v>
                </c:pt>
                <c:pt idx="44">
                  <c:v>1599721.7080653624</c:v>
                </c:pt>
                <c:pt idx="45">
                  <c:v>1599721.7080653624</c:v>
                </c:pt>
                <c:pt idx="46">
                  <c:v>1197826.2839239461</c:v>
                </c:pt>
                <c:pt idx="47">
                  <c:v>1037068.1142673796</c:v>
                </c:pt>
                <c:pt idx="48">
                  <c:v>1037068.1142673796</c:v>
                </c:pt>
                <c:pt idx="49">
                  <c:v>1037068.1142673796</c:v>
                </c:pt>
                <c:pt idx="50">
                  <c:v>1033323.2138412987</c:v>
                </c:pt>
                <c:pt idx="51">
                  <c:v>1023960.962776097</c:v>
                </c:pt>
                <c:pt idx="52">
                  <c:v>1023960.962776097</c:v>
                </c:pt>
                <c:pt idx="53">
                  <c:v>1023960.962776097</c:v>
                </c:pt>
                <c:pt idx="54">
                  <c:v>1023960.962776097</c:v>
                </c:pt>
                <c:pt idx="55">
                  <c:v>1388757.4684065063</c:v>
                </c:pt>
                <c:pt idx="56">
                  <c:v>1449556.8860115747</c:v>
                </c:pt>
                <c:pt idx="57">
                  <c:v>1449556.8860115747</c:v>
                </c:pt>
                <c:pt idx="58">
                  <c:v>1449556.8860115747</c:v>
                </c:pt>
                <c:pt idx="59">
                  <c:v>1494152.5049334536</c:v>
                </c:pt>
                <c:pt idx="60">
                  <c:v>1527599.2191248627</c:v>
                </c:pt>
                <c:pt idx="61">
                  <c:v>1527599.2191248627</c:v>
                </c:pt>
                <c:pt idx="62">
                  <c:v>1527599.2191248627</c:v>
                </c:pt>
                <c:pt idx="63">
                  <c:v>1503168.8517373868</c:v>
                </c:pt>
                <c:pt idx="64">
                  <c:v>1356586.6474125322</c:v>
                </c:pt>
                <c:pt idx="65">
                  <c:v>1356586.6474125322</c:v>
                </c:pt>
                <c:pt idx="66">
                  <c:v>1356586.6474125322</c:v>
                </c:pt>
                <c:pt idx="67">
                  <c:v>1356586.6474125322</c:v>
                </c:pt>
                <c:pt idx="68">
                  <c:v>1215708.9919909483</c:v>
                </c:pt>
                <c:pt idx="69">
                  <c:v>1192229.3827540176</c:v>
                </c:pt>
                <c:pt idx="70">
                  <c:v>1192229.3827540176</c:v>
                </c:pt>
                <c:pt idx="71">
                  <c:v>1192229.3827540176</c:v>
                </c:pt>
                <c:pt idx="72">
                  <c:v>1653562.550452387</c:v>
                </c:pt>
                <c:pt idx="73">
                  <c:v>2268673.4407168794</c:v>
                </c:pt>
                <c:pt idx="74">
                  <c:v>2268673.4407168794</c:v>
                </c:pt>
                <c:pt idx="75">
                  <c:v>2268673.4407168794</c:v>
                </c:pt>
                <c:pt idx="76">
                  <c:v>2268673.4407168794</c:v>
                </c:pt>
                <c:pt idx="77">
                  <c:v>2511745.5950794029</c:v>
                </c:pt>
                <c:pt idx="78">
                  <c:v>2511745.5950794029</c:v>
                </c:pt>
                <c:pt idx="79">
                  <c:v>2511745.5950794029</c:v>
                </c:pt>
                <c:pt idx="80">
                  <c:v>2511745.5950794029</c:v>
                </c:pt>
                <c:pt idx="81">
                  <c:v>2268673.4407168794</c:v>
                </c:pt>
                <c:pt idx="82">
                  <c:v>2268673.4407168794</c:v>
                </c:pt>
                <c:pt idx="83">
                  <c:v>2268673.4407168794</c:v>
                </c:pt>
                <c:pt idx="84">
                  <c:v>2268673.4407168794</c:v>
                </c:pt>
                <c:pt idx="85">
                  <c:v>1544962.4241043092</c:v>
                </c:pt>
                <c:pt idx="86">
                  <c:v>1002179.1616448816</c:v>
                </c:pt>
                <c:pt idx="87">
                  <c:v>1002179.1616448816</c:v>
                </c:pt>
                <c:pt idx="88">
                  <c:v>1002179.1616448816</c:v>
                </c:pt>
                <c:pt idx="89">
                  <c:v>1003846.6397711438</c:v>
                </c:pt>
                <c:pt idx="90">
                  <c:v>1008015.3350867983</c:v>
                </c:pt>
                <c:pt idx="91">
                  <c:v>1008015.3350867983</c:v>
                </c:pt>
                <c:pt idx="92">
                  <c:v>1008015.3350867983</c:v>
                </c:pt>
                <c:pt idx="93">
                  <c:v>1008015.3350867983</c:v>
                </c:pt>
                <c:pt idx="94">
                  <c:v>1025646.2463739109</c:v>
                </c:pt>
                <c:pt idx="95">
                  <c:v>1028584.7315884295</c:v>
                </c:pt>
                <c:pt idx="96">
                  <c:v>1028584.7315884295</c:v>
                </c:pt>
                <c:pt idx="97">
                  <c:v>1028584.7315884295</c:v>
                </c:pt>
                <c:pt idx="98">
                  <c:v>1044930.5913107597</c:v>
                </c:pt>
                <c:pt idx="99">
                  <c:v>1057189.9861025074</c:v>
                </c:pt>
                <c:pt idx="100">
                  <c:v>1057189.9861025074</c:v>
                </c:pt>
                <c:pt idx="101">
                  <c:v>1057189.9861025074</c:v>
                </c:pt>
                <c:pt idx="102">
                  <c:v>1062080.7144619715</c:v>
                </c:pt>
                <c:pt idx="103">
                  <c:v>1091425.0846187568</c:v>
                </c:pt>
                <c:pt idx="104">
                  <c:v>1091425.0846187568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9-DC4D-4B21-9A82-EEEBA29ED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/>
      </c:lineChart>
      <c:lineChart>
        <c:grouping val="standard"/>
        <c:varyColors val="0"/>
        <c:ser>
          <c:idx val="2"/>
          <c:order val="2"/>
          <c:tx>
            <c:strRef>
              <c:f>NWP!$M$4</c:f>
              <c:strCache>
                <c:ptCount val="1"/>
                <c:pt idx="0">
                  <c:v>Average NWP (Boom Annual)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NWP!$M$5:$M$109</c:f>
              <c:numCache>
                <c:formatCode>#,##0</c:formatCode>
                <c:ptCount val="105"/>
                <c:pt idx="0">
                  <c:v>1272.4351930906914</c:v>
                </c:pt>
                <c:pt idx="1">
                  <c:v>1200.0736374546218</c:v>
                </c:pt>
                <c:pt idx="2">
                  <c:v>1265.5689745095024</c:v>
                </c:pt>
                <c:pt idx="3">
                  <c:v>1284.4645070412205</c:v>
                </c:pt>
                <c:pt idx="4">
                  <c:v>1259.922445302117</c:v>
                </c:pt>
                <c:pt idx="5">
                  <c:v>1256.3032335901355</c:v>
                </c:pt>
                <c:pt idx="6">
                  <c:v>1233.2543574931865</c:v>
                </c:pt>
                <c:pt idx="7">
                  <c:v>1330.0418662269365</c:v>
                </c:pt>
                <c:pt idx="8">
                  <c:v>1253.5645117516883</c:v>
                </c:pt>
                <c:pt idx="9">
                  <c:v>1153.6054561380349</c:v>
                </c:pt>
                <c:pt idx="10">
                  <c:v>1284.6929517811993</c:v>
                </c:pt>
                <c:pt idx="11">
                  <c:v>1055.1741044655671</c:v>
                </c:pt>
                <c:pt idx="12">
                  <c:v>1010.8580486684975</c:v>
                </c:pt>
                <c:pt idx="13">
                  <c:v>953.57999999892309</c:v>
                </c:pt>
                <c:pt idx="14">
                  <c:v>1018.8588535787943</c:v>
                </c:pt>
                <c:pt idx="15">
                  <c:v>995.33403888308851</c:v>
                </c:pt>
                <c:pt idx="16">
                  <c:v>1000.4492731514074</c:v>
                </c:pt>
                <c:pt idx="17">
                  <c:v>1010.0301168958691</c:v>
                </c:pt>
                <c:pt idx="18">
                  <c:v>971.65841579201867</c:v>
                </c:pt>
                <c:pt idx="19">
                  <c:v>1002.8453962220671</c:v>
                </c:pt>
                <c:pt idx="20">
                  <c:v>980.46253101008961</c:v>
                </c:pt>
                <c:pt idx="21">
                  <c:v>986.1328255078555</c:v>
                </c:pt>
                <c:pt idx="22">
                  <c:v>990.52752493738171</c:v>
                </c:pt>
                <c:pt idx="23">
                  <c:v>1059.5760888509758</c:v>
                </c:pt>
                <c:pt idx="24">
                  <c:v>1221.3418460853675</c:v>
                </c:pt>
                <c:pt idx="25">
                  <c:v>1285.1733376631187</c:v>
                </c:pt>
                <c:pt idx="26">
                  <c:v>1207.98290842559</c:v>
                </c:pt>
                <c:pt idx="27">
                  <c:v>1275.480708975897</c:v>
                </c:pt>
                <c:pt idx="28">
                  <c:v>1241.9576769907744</c:v>
                </c:pt>
                <c:pt idx="29">
                  <c:v>1315.1641809793994</c:v>
                </c:pt>
                <c:pt idx="30">
                  <c:v>1269.8491021149798</c:v>
                </c:pt>
                <c:pt idx="31">
                  <c:v>1248.5807081141925</c:v>
                </c:pt>
                <c:pt idx="32">
                  <c:v>1213.7575354356593</c:v>
                </c:pt>
                <c:pt idx="33">
                  <c:v>1150.1876948705817</c:v>
                </c:pt>
                <c:pt idx="34">
                  <c:v>1133.9409631153651</c:v>
                </c:pt>
                <c:pt idx="35">
                  <c:v>1109.5268908370872</c:v>
                </c:pt>
                <c:pt idx="36">
                  <c:v>1130.4241343472918</c:v>
                </c:pt>
                <c:pt idx="37">
                  <c:v>1045.9771271232726</c:v>
                </c:pt>
                <c:pt idx="38">
                  <c:v>1065.4972254019797</c:v>
                </c:pt>
                <c:pt idx="39">
                  <c:v>1116.1219907035165</c:v>
                </c:pt>
                <c:pt idx="40">
                  <c:v>1068.6473048385296</c:v>
                </c:pt>
                <c:pt idx="41">
                  <c:v>1051.7419377805697</c:v>
                </c:pt>
                <c:pt idx="42">
                  <c:v>1000.3134562300473</c:v>
                </c:pt>
                <c:pt idx="43">
                  <c:v>1077.5420020340555</c:v>
                </c:pt>
                <c:pt idx="44">
                  <c:v>1023.6434307362078</c:v>
                </c:pt>
                <c:pt idx="45">
                  <c:v>1104.0508735555661</c:v>
                </c:pt>
                <c:pt idx="46">
                  <c:v>1064.1032495669672</c:v>
                </c:pt>
                <c:pt idx="47">
                  <c:v>1053.9052739681515</c:v>
                </c:pt>
                <c:pt idx="48">
                  <c:v>1061.2093408991404</c:v>
                </c:pt>
                <c:pt idx="49">
                  <c:v>1040.9098682239412</c:v>
                </c:pt>
                <c:pt idx="50">
                  <c:v>1066.7265706022295</c:v>
                </c:pt>
                <c:pt idx="51">
                  <c:v>1129.2312683701796</c:v>
                </c:pt>
                <c:pt idx="52">
                  <c:v>1105.1165586835191</c:v>
                </c:pt>
                <c:pt idx="53">
                  <c:v>1031.9137527414168</c:v>
                </c:pt>
                <c:pt idx="54">
                  <c:v>1049.5325888343309</c:v>
                </c:pt>
                <c:pt idx="55">
                  <c:v>1029.7693753805854</c:v>
                </c:pt>
                <c:pt idx="56">
                  <c:v>1029.6871011133896</c:v>
                </c:pt>
                <c:pt idx="57">
                  <c:v>1101.2634027894564</c:v>
                </c:pt>
                <c:pt idx="58">
                  <c:v>1097.2794940478084</c:v>
                </c:pt>
                <c:pt idx="59">
                  <c:v>1039.5127298070104</c:v>
                </c:pt>
                <c:pt idx="60">
                  <c:v>1091.616185254474</c:v>
                </c:pt>
                <c:pt idx="61">
                  <c:v>1077.8528347369015</c:v>
                </c:pt>
                <c:pt idx="62">
                  <c:v>1044.3958617221488</c:v>
                </c:pt>
                <c:pt idx="63">
                  <c:v>1061.2836090423982</c:v>
                </c:pt>
                <c:pt idx="64">
                  <c:v>1090.2996296792753</c:v>
                </c:pt>
                <c:pt idx="65">
                  <c:v>1089.0390790408799</c:v>
                </c:pt>
                <c:pt idx="66">
                  <c:v>1117.9299373244708</c:v>
                </c:pt>
                <c:pt idx="67">
                  <c:v>1107.9157885236143</c:v>
                </c:pt>
                <c:pt idx="68">
                  <c:v>1090.8617757666759</c:v>
                </c:pt>
                <c:pt idx="69">
                  <c:v>1092.0783351484276</c:v>
                </c:pt>
                <c:pt idx="70">
                  <c:v>1119.4985385922209</c:v>
                </c:pt>
                <c:pt idx="71">
                  <c:v>1135.3299516603552</c:v>
                </c:pt>
                <c:pt idx="72">
                  <c:v>1073.3324159914523</c:v>
                </c:pt>
                <c:pt idx="73">
                  <c:v>1059.5440649157918</c:v>
                </c:pt>
                <c:pt idx="74">
                  <c:v>1068.1326587290928</c:v>
                </c:pt>
                <c:pt idx="75">
                  <c:v>1076.6986607151155</c:v>
                </c:pt>
                <c:pt idx="76">
                  <c:v>1010.9073867681932</c:v>
                </c:pt>
                <c:pt idx="77">
                  <c:v>1037.4839190428456</c:v>
                </c:pt>
                <c:pt idx="78">
                  <c:v>1094.3934722206764</c:v>
                </c:pt>
                <c:pt idx="79">
                  <c:v>1046.453602424612</c:v>
                </c:pt>
                <c:pt idx="80">
                  <c:v>1023.6665670330769</c:v>
                </c:pt>
                <c:pt idx="81">
                  <c:v>1048.1330200174557</c:v>
                </c:pt>
                <c:pt idx="82">
                  <c:v>1083.0785891908256</c:v>
                </c:pt>
                <c:pt idx="83">
                  <c:v>1057.5782589730777</c:v>
                </c:pt>
                <c:pt idx="84">
                  <c:v>1078.4452155226891</c:v>
                </c:pt>
                <c:pt idx="85">
                  <c:v>1048.9137081935883</c:v>
                </c:pt>
                <c:pt idx="86">
                  <c:v>1101.0151950325251</c:v>
                </c:pt>
                <c:pt idx="87">
                  <c:v>1056.1910892497654</c:v>
                </c:pt>
                <c:pt idx="88">
                  <c:v>1022.5238548575335</c:v>
                </c:pt>
                <c:pt idx="89">
                  <c:v>1026.1634338619672</c:v>
                </c:pt>
                <c:pt idx="90">
                  <c:v>1067.1407491288655</c:v>
                </c:pt>
                <c:pt idx="91">
                  <c:v>1058.3334457322128</c:v>
                </c:pt>
                <c:pt idx="92">
                  <c:v>1074.5252959413306</c:v>
                </c:pt>
                <c:pt idx="93">
                  <c:v>1038.7259763594639</c:v>
                </c:pt>
                <c:pt idx="94">
                  <c:v>1023.9768955771777</c:v>
                </c:pt>
                <c:pt idx="95">
                  <c:v>1076.0333265315426</c:v>
                </c:pt>
                <c:pt idx="96">
                  <c:v>1033.220657919014</c:v>
                </c:pt>
                <c:pt idx="97">
                  <c:v>1084.3110428235691</c:v>
                </c:pt>
                <c:pt idx="98">
                  <c:v>1067.3834465914285</c:v>
                </c:pt>
                <c:pt idx="99">
                  <c:v>1097.9980406297934</c:v>
                </c:pt>
                <c:pt idx="100">
                  <c:v>1073.5797739544262</c:v>
                </c:pt>
                <c:pt idx="101">
                  <c:v>1106.8174078967902</c:v>
                </c:pt>
                <c:pt idx="102">
                  <c:v>1042.0732292377634</c:v>
                </c:pt>
                <c:pt idx="103">
                  <c:v>1198.9500381406638</c:v>
                </c:pt>
                <c:pt idx="104">
                  <c:v>1112.943033551077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C4D-4B21-9A82-EEEBA29EDEC5}"/>
            </c:ext>
          </c:extLst>
        </c:ser>
        <c:ser>
          <c:idx val="3"/>
          <c:order val="3"/>
          <c:tx>
            <c:strRef>
              <c:f>NWP!$N$4</c:f>
              <c:strCache>
                <c:ptCount val="1"/>
                <c:pt idx="0">
                  <c:v>Average NWP - 4 Week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NWP!$N$5:$N$109</c:f>
              <c:numCache>
                <c:formatCode>#,##0</c:formatCode>
                <c:ptCount val="105"/>
                <c:pt idx="3">
                  <c:v>1255.635578024009</c:v>
                </c:pt>
                <c:pt idx="4">
                  <c:v>1252.5073910768654</c:v>
                </c:pt>
                <c:pt idx="5">
                  <c:v>1266.5647901107438</c:v>
                </c:pt>
                <c:pt idx="6">
                  <c:v>1258.486135856665</c:v>
                </c:pt>
                <c:pt idx="7">
                  <c:v>1269.8804756530938</c:v>
                </c:pt>
                <c:pt idx="8">
                  <c:v>1268.2909922654867</c:v>
                </c:pt>
                <c:pt idx="9">
                  <c:v>1242.6165479024614</c:v>
                </c:pt>
                <c:pt idx="10">
                  <c:v>1255.4761964744648</c:v>
                </c:pt>
                <c:pt idx="11">
                  <c:v>1186.7592560341225</c:v>
                </c:pt>
                <c:pt idx="12">
                  <c:v>1126.0826402633247</c:v>
                </c:pt>
                <c:pt idx="13">
                  <c:v>1076.0762762285467</c:v>
                </c:pt>
                <c:pt idx="14">
                  <c:v>1009.6177516779455</c:v>
                </c:pt>
                <c:pt idx="15">
                  <c:v>994.6577352823258</c:v>
                </c:pt>
                <c:pt idx="16">
                  <c:v>992.05554140305333</c:v>
                </c:pt>
                <c:pt idx="17">
                  <c:v>1006.1680706272898</c:v>
                </c:pt>
                <c:pt idx="18">
                  <c:v>994.3679611805959</c:v>
                </c:pt>
                <c:pt idx="19">
                  <c:v>996.24580051534053</c:v>
                </c:pt>
                <c:pt idx="20">
                  <c:v>991.24911498001109</c:v>
                </c:pt>
                <c:pt idx="21">
                  <c:v>985.27479213300774</c:v>
                </c:pt>
                <c:pt idx="22">
                  <c:v>989.99206941934847</c:v>
                </c:pt>
                <c:pt idx="23">
                  <c:v>1004.1747425765757</c:v>
                </c:pt>
                <c:pt idx="24">
                  <c:v>1064.3945713453952</c:v>
                </c:pt>
                <c:pt idx="25">
                  <c:v>1139.1546993842107</c:v>
                </c:pt>
                <c:pt idx="26">
                  <c:v>1193.518545256263</c:v>
                </c:pt>
                <c:pt idx="27">
                  <c:v>1247.4947002874933</c:v>
                </c:pt>
                <c:pt idx="28">
                  <c:v>1252.6486580138451</c:v>
                </c:pt>
                <c:pt idx="29">
                  <c:v>1260.1463688429151</c:v>
                </c:pt>
                <c:pt idx="30">
                  <c:v>1275.6129172652627</c:v>
                </c:pt>
                <c:pt idx="31">
                  <c:v>1268.8879170498365</c:v>
                </c:pt>
                <c:pt idx="32">
                  <c:v>1261.8378816610577</c:v>
                </c:pt>
                <c:pt idx="33">
                  <c:v>1220.5937601338533</c:v>
                </c:pt>
                <c:pt idx="34">
                  <c:v>1186.6167253839496</c:v>
                </c:pt>
                <c:pt idx="35">
                  <c:v>1151.8532710646732</c:v>
                </c:pt>
                <c:pt idx="36">
                  <c:v>1131.0199207925816</c:v>
                </c:pt>
                <c:pt idx="37">
                  <c:v>1104.9672788557541</c:v>
                </c:pt>
                <c:pt idx="38">
                  <c:v>1087.8563444274077</c:v>
                </c:pt>
                <c:pt idx="39">
                  <c:v>1089.5051193940151</c:v>
                </c:pt>
                <c:pt idx="40">
                  <c:v>1074.0609120168247</c:v>
                </c:pt>
                <c:pt idx="41">
                  <c:v>1075.5021146811489</c:v>
                </c:pt>
                <c:pt idx="42">
                  <c:v>1059.2061723881659</c:v>
                </c:pt>
                <c:pt idx="43">
                  <c:v>1049.5611752208006</c:v>
                </c:pt>
                <c:pt idx="44">
                  <c:v>1038.3102066952201</c:v>
                </c:pt>
                <c:pt idx="45">
                  <c:v>1051.3874406389691</c:v>
                </c:pt>
                <c:pt idx="46">
                  <c:v>1067.334888973199</c:v>
                </c:pt>
                <c:pt idx="47">
                  <c:v>1061.4257069567229</c:v>
                </c:pt>
                <c:pt idx="48">
                  <c:v>1070.8171844974563</c:v>
                </c:pt>
                <c:pt idx="49">
                  <c:v>1055.0319331645501</c:v>
                </c:pt>
                <c:pt idx="50">
                  <c:v>1055.6877634233656</c:v>
                </c:pt>
                <c:pt idx="51">
                  <c:v>1074.5192620238727</c:v>
                </c:pt>
                <c:pt idx="52">
                  <c:v>1085.4960664699674</c:v>
                </c:pt>
                <c:pt idx="53">
                  <c:v>1083.2470375993362</c:v>
                </c:pt>
                <c:pt idx="54">
                  <c:v>1078.9485421573618</c:v>
                </c:pt>
                <c:pt idx="55">
                  <c:v>1054.083068909963</c:v>
                </c:pt>
                <c:pt idx="56">
                  <c:v>1035.2257045174308</c:v>
                </c:pt>
                <c:pt idx="57">
                  <c:v>1052.5631170294407</c:v>
                </c:pt>
                <c:pt idx="58">
                  <c:v>1064.4998433328101</c:v>
                </c:pt>
                <c:pt idx="59">
                  <c:v>1066.9356819394163</c:v>
                </c:pt>
                <c:pt idx="60">
                  <c:v>1082.4179529746873</c:v>
                </c:pt>
                <c:pt idx="61">
                  <c:v>1076.5653109615487</c:v>
                </c:pt>
                <c:pt idx="62">
                  <c:v>1063.3444028801337</c:v>
                </c:pt>
                <c:pt idx="63">
                  <c:v>1068.7871226889806</c:v>
                </c:pt>
                <c:pt idx="64">
                  <c:v>1068.457983795181</c:v>
                </c:pt>
                <c:pt idx="65">
                  <c:v>1071.2545448711755</c:v>
                </c:pt>
                <c:pt idx="66">
                  <c:v>1089.6380637717562</c:v>
                </c:pt>
                <c:pt idx="67">
                  <c:v>1101.2961086420601</c:v>
                </c:pt>
                <c:pt idx="68">
                  <c:v>1101.4366451639103</c:v>
                </c:pt>
                <c:pt idx="69">
                  <c:v>1102.1964591907972</c:v>
                </c:pt>
                <c:pt idx="70">
                  <c:v>1102.5886095077346</c:v>
                </c:pt>
                <c:pt idx="71">
                  <c:v>1109.4421502919199</c:v>
                </c:pt>
                <c:pt idx="72">
                  <c:v>1105.0598103481141</c:v>
                </c:pt>
                <c:pt idx="73">
                  <c:v>1096.926242789955</c:v>
                </c:pt>
                <c:pt idx="74">
                  <c:v>1084.0847728241729</c:v>
                </c:pt>
                <c:pt idx="75">
                  <c:v>1069.4269500878631</c:v>
                </c:pt>
                <c:pt idx="76">
                  <c:v>1053.8206927820484</c:v>
                </c:pt>
                <c:pt idx="77">
                  <c:v>1048.3056563138116</c:v>
                </c:pt>
                <c:pt idx="78">
                  <c:v>1054.8708596867077</c:v>
                </c:pt>
                <c:pt idx="79">
                  <c:v>1047.3095951140817</c:v>
                </c:pt>
                <c:pt idx="80">
                  <c:v>1050.4993901803027</c:v>
                </c:pt>
                <c:pt idx="81">
                  <c:v>1053.1616654239551</c:v>
                </c:pt>
                <c:pt idx="82">
                  <c:v>1050.3329446664925</c:v>
                </c:pt>
                <c:pt idx="83">
                  <c:v>1053.114108803609</c:v>
                </c:pt>
                <c:pt idx="84">
                  <c:v>1066.8087709260121</c:v>
                </c:pt>
                <c:pt idx="85">
                  <c:v>1067.003942970045</c:v>
                </c:pt>
                <c:pt idx="86">
                  <c:v>1071.48809443047</c:v>
                </c:pt>
                <c:pt idx="87">
                  <c:v>1071.1413019996419</c:v>
                </c:pt>
                <c:pt idx="88">
                  <c:v>1057.160961833353</c:v>
                </c:pt>
                <c:pt idx="89">
                  <c:v>1051.4733932504478</c:v>
                </c:pt>
                <c:pt idx="90">
                  <c:v>1043.0047817745328</c:v>
                </c:pt>
                <c:pt idx="91">
                  <c:v>1043.5403708951446</c:v>
                </c:pt>
                <c:pt idx="92">
                  <c:v>1056.5407311660938</c:v>
                </c:pt>
                <c:pt idx="93">
                  <c:v>1059.681366790468</c:v>
                </c:pt>
                <c:pt idx="94">
                  <c:v>1048.8904034025463</c:v>
                </c:pt>
                <c:pt idx="95">
                  <c:v>1053.3153736023787</c:v>
                </c:pt>
                <c:pt idx="96">
                  <c:v>1042.9892140967995</c:v>
                </c:pt>
                <c:pt idx="97">
                  <c:v>1054.3854807128259</c:v>
                </c:pt>
                <c:pt idx="98">
                  <c:v>1065.2371184663884</c:v>
                </c:pt>
                <c:pt idx="99">
                  <c:v>1070.7282969909513</c:v>
                </c:pt>
                <c:pt idx="100">
                  <c:v>1080.8180759998043</c:v>
                </c:pt>
                <c:pt idx="101">
                  <c:v>1086.4446672681097</c:v>
                </c:pt>
                <c:pt idx="102">
                  <c:v>1080.1171129296933</c:v>
                </c:pt>
                <c:pt idx="103">
                  <c:v>1105.3551123074108</c:v>
                </c:pt>
                <c:pt idx="104">
                  <c:v>1115.1959272065737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C4D-4B21-9A82-EEEBA29ED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(Excl. Monthly Rens, Annualised Premiums):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NWP!$B$4</c:f>
              <c:strCache>
                <c:ptCount val="1"/>
                <c:pt idx="0">
                  <c:v>NWP (Boom)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NWP!$B$5:$B$109</c:f>
              <c:numCache>
                <c:formatCode>#,##0</c:formatCode>
                <c:ptCount val="105"/>
                <c:pt idx="0">
                  <c:v>984924.2232148099</c:v>
                </c:pt>
                <c:pt idx="1">
                  <c:v>931752.73857122799</c:v>
                </c:pt>
                <c:pt idx="2">
                  <c:v>853948.81285666989</c:v>
                </c:pt>
                <c:pt idx="3">
                  <c:v>893194.80857163202</c:v>
                </c:pt>
                <c:pt idx="4">
                  <c:v>854999.87000007811</c:v>
                </c:pt>
                <c:pt idx="5">
                  <c:v>983800.1121429418</c:v>
                </c:pt>
                <c:pt idx="6">
                  <c:v>919142.10607113852</c:v>
                </c:pt>
                <c:pt idx="7">
                  <c:v>853280.33000027994</c:v>
                </c:pt>
                <c:pt idx="8">
                  <c:v>1091043.9578575185</c:v>
                </c:pt>
                <c:pt idx="9">
                  <c:v>1345730.7764270441</c:v>
                </c:pt>
                <c:pt idx="10">
                  <c:v>1474770.057143759</c:v>
                </c:pt>
                <c:pt idx="11">
                  <c:v>1782086.6610702116</c:v>
                </c:pt>
                <c:pt idx="12">
                  <c:v>1493461.1653580598</c:v>
                </c:pt>
                <c:pt idx="13">
                  <c:v>1461870.9771428236</c:v>
                </c:pt>
                <c:pt idx="14">
                  <c:v>1406361.0528560483</c:v>
                </c:pt>
                <c:pt idx="15">
                  <c:v>1821877.1225012979</c:v>
                </c:pt>
                <c:pt idx="16">
                  <c:v>1399303.1535718155</c:v>
                </c:pt>
                <c:pt idx="17">
                  <c:v>1433390.43178601</c:v>
                </c:pt>
                <c:pt idx="18">
                  <c:v>1440163.3692852361</c:v>
                </c:pt>
                <c:pt idx="19">
                  <c:v>1099293.92678612</c:v>
                </c:pt>
                <c:pt idx="20">
                  <c:v>1161739.1496439737</c:v>
                </c:pt>
                <c:pt idx="21">
                  <c:v>1343471.9950001498</c:v>
                </c:pt>
                <c:pt idx="22">
                  <c:v>1335694.0060706853</c:v>
                </c:pt>
                <c:pt idx="23">
                  <c:v>1309714.789286104</c:v>
                </c:pt>
                <c:pt idx="24">
                  <c:v>1504364.5717838663</c:v>
                </c:pt>
                <c:pt idx="25">
                  <c:v>1105124.9735723424</c:v>
                </c:pt>
                <c:pt idx="26">
                  <c:v>1097663.1657148839</c:v>
                </c:pt>
                <c:pt idx="27">
                  <c:v>1342803.2524994118</c:v>
                </c:pt>
                <c:pt idx="28">
                  <c:v>1685483.5414280107</c:v>
                </c:pt>
                <c:pt idx="29">
                  <c:v>1618967.1067856404</c:v>
                </c:pt>
                <c:pt idx="30">
                  <c:v>1578422.4339289197</c:v>
                </c:pt>
                <c:pt idx="31">
                  <c:v>1661860.9224999899</c:v>
                </c:pt>
                <c:pt idx="32">
                  <c:v>1859476.5442874299</c:v>
                </c:pt>
                <c:pt idx="33">
                  <c:v>1739083.7946443204</c:v>
                </c:pt>
                <c:pt idx="34">
                  <c:v>1521748.7725008195</c:v>
                </c:pt>
                <c:pt idx="35">
                  <c:v>1451261.1732149096</c:v>
                </c:pt>
                <c:pt idx="36">
                  <c:v>1736331.4703574402</c:v>
                </c:pt>
                <c:pt idx="37">
                  <c:v>1662057.6549988796</c:v>
                </c:pt>
                <c:pt idx="38">
                  <c:v>1383015.3985717706</c:v>
                </c:pt>
                <c:pt idx="39">
                  <c:v>1380642.9025002501</c:v>
                </c:pt>
                <c:pt idx="40">
                  <c:v>1460840.8657142704</c:v>
                </c:pt>
                <c:pt idx="41">
                  <c:v>1403023.7449992804</c:v>
                </c:pt>
                <c:pt idx="42">
                  <c:v>1268397.4624997003</c:v>
                </c:pt>
                <c:pt idx="43">
                  <c:v>1248871.1803574704</c:v>
                </c:pt>
                <c:pt idx="44">
                  <c:v>1183307.6421431797</c:v>
                </c:pt>
                <c:pt idx="45">
                  <c:v>1297259.7764277901</c:v>
                </c:pt>
                <c:pt idx="46">
                  <c:v>1227975.1500002798</c:v>
                </c:pt>
                <c:pt idx="47">
                  <c:v>1031773.2632148199</c:v>
                </c:pt>
                <c:pt idx="48">
                  <c:v>975251.38428631041</c:v>
                </c:pt>
                <c:pt idx="49">
                  <c:v>993028.01428563986</c:v>
                </c:pt>
                <c:pt idx="50">
                  <c:v>1105128.7271439098</c:v>
                </c:pt>
                <c:pt idx="51">
                  <c:v>944037.34035746974</c:v>
                </c:pt>
                <c:pt idx="52">
                  <c:v>891829.06285760005</c:v>
                </c:pt>
                <c:pt idx="53">
                  <c:v>874030.94857197988</c:v>
                </c:pt>
                <c:pt idx="54">
                  <c:v>831229.8103567902</c:v>
                </c:pt>
                <c:pt idx="55">
                  <c:v>967983.21285775001</c:v>
                </c:pt>
                <c:pt idx="56">
                  <c:v>792859.06785731029</c:v>
                </c:pt>
                <c:pt idx="57">
                  <c:v>890922.09285667015</c:v>
                </c:pt>
                <c:pt idx="58">
                  <c:v>961216.83678588015</c:v>
                </c:pt>
                <c:pt idx="59">
                  <c:v>865914.10392923944</c:v>
                </c:pt>
                <c:pt idx="60">
                  <c:v>746665.47071405966</c:v>
                </c:pt>
                <c:pt idx="61">
                  <c:v>859048.70928531012</c:v>
                </c:pt>
                <c:pt idx="62">
                  <c:v>928467.92107098992</c:v>
                </c:pt>
                <c:pt idx="63">
                  <c:v>1017770.9810716601</c:v>
                </c:pt>
                <c:pt idx="64">
                  <c:v>856975.50892791001</c:v>
                </c:pt>
                <c:pt idx="65">
                  <c:v>878854.53678599012</c:v>
                </c:pt>
                <c:pt idx="66">
                  <c:v>1140288.5360709599</c:v>
                </c:pt>
                <c:pt idx="67">
                  <c:v>1183254.0621432196</c:v>
                </c:pt>
                <c:pt idx="68">
                  <c:v>1214129.1564283101</c:v>
                </c:pt>
                <c:pt idx="69">
                  <c:v>1074605.0817860528</c:v>
                </c:pt>
                <c:pt idx="70">
                  <c:v>1084407.7996429801</c:v>
                </c:pt>
                <c:pt idx="71">
                  <c:v>863986.09321353014</c:v>
                </c:pt>
                <c:pt idx="72">
                  <c:v>926285.87500062305</c:v>
                </c:pt>
                <c:pt idx="73">
                  <c:v>1057424.9767859604</c:v>
                </c:pt>
                <c:pt idx="74">
                  <c:v>1047838.1382132396</c:v>
                </c:pt>
                <c:pt idx="75">
                  <c:v>934574.43750072038</c:v>
                </c:pt>
                <c:pt idx="76">
                  <c:v>1096834.5146434898</c:v>
                </c:pt>
                <c:pt idx="77">
                  <c:v>1049933.7260713601</c:v>
                </c:pt>
                <c:pt idx="78">
                  <c:v>906157.79499872006</c:v>
                </c:pt>
                <c:pt idx="79">
                  <c:v>807862.18107179995</c:v>
                </c:pt>
                <c:pt idx="80">
                  <c:v>998074.90285724995</c:v>
                </c:pt>
                <c:pt idx="81">
                  <c:v>1013544.6303568799</c:v>
                </c:pt>
                <c:pt idx="82">
                  <c:v>1023509.2667853299</c:v>
                </c:pt>
                <c:pt idx="83">
                  <c:v>1048060.0546423199</c:v>
                </c:pt>
                <c:pt idx="84">
                  <c:v>1183054.4014283889</c:v>
                </c:pt>
                <c:pt idx="85">
                  <c:v>1205201.850714433</c:v>
                </c:pt>
                <c:pt idx="86">
                  <c:v>1098813.1646424602</c:v>
                </c:pt>
                <c:pt idx="87">
                  <c:v>1079427.2932132601</c:v>
                </c:pt>
                <c:pt idx="88">
                  <c:v>990825.61535694986</c:v>
                </c:pt>
                <c:pt idx="89">
                  <c:v>1246788.5721422909</c:v>
                </c:pt>
                <c:pt idx="90">
                  <c:v>1006313.7264285199</c:v>
                </c:pt>
                <c:pt idx="91">
                  <c:v>1004358.4399998693</c:v>
                </c:pt>
                <c:pt idx="92">
                  <c:v>953103.93749995995</c:v>
                </c:pt>
                <c:pt idx="93">
                  <c:v>1026261.2646431505</c:v>
                </c:pt>
                <c:pt idx="94">
                  <c:v>1008617.2421435202</c:v>
                </c:pt>
                <c:pt idx="95">
                  <c:v>941529.16071509954</c:v>
                </c:pt>
                <c:pt idx="96">
                  <c:v>837941.95357232017</c:v>
                </c:pt>
                <c:pt idx="97">
                  <c:v>920580.07535721012</c:v>
                </c:pt>
                <c:pt idx="98">
                  <c:v>1053507.4617857398</c:v>
                </c:pt>
                <c:pt idx="99">
                  <c:v>957454.29142917914</c:v>
                </c:pt>
                <c:pt idx="100">
                  <c:v>795522.61250023008</c:v>
                </c:pt>
                <c:pt idx="101">
                  <c:v>806869.89035676001</c:v>
                </c:pt>
                <c:pt idx="102">
                  <c:v>871173.21964277013</c:v>
                </c:pt>
                <c:pt idx="103">
                  <c:v>740951.1235709301</c:v>
                </c:pt>
                <c:pt idx="104">
                  <c:v>826916.67392845021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58F-40D4-95DA-325A4935D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NWP!$C$4</c:f>
              <c:strCache>
                <c:ptCount val="1"/>
                <c:pt idx="0">
                  <c:v>NWP - 4 Week Avg (Boom)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NWP!$C$5:$C$109</c:f>
              <c:numCache>
                <c:formatCode>#,##0</c:formatCode>
                <c:ptCount val="105"/>
                <c:pt idx="3">
                  <c:v>915955.14580358495</c:v>
                </c:pt>
                <c:pt idx="4">
                  <c:v>883474.05749990209</c:v>
                </c:pt>
                <c:pt idx="5">
                  <c:v>896485.90089283045</c:v>
                </c:pt>
                <c:pt idx="6">
                  <c:v>912784.22419644753</c:v>
                </c:pt>
                <c:pt idx="7">
                  <c:v>902805.6045536095</c:v>
                </c:pt>
                <c:pt idx="8">
                  <c:v>961816.62651796965</c:v>
                </c:pt>
                <c:pt idx="9">
                  <c:v>1052299.2925889953</c:v>
                </c:pt>
                <c:pt idx="10">
                  <c:v>1191206.2803571504</c:v>
                </c:pt>
                <c:pt idx="11">
                  <c:v>1423407.8631246332</c:v>
                </c:pt>
                <c:pt idx="12">
                  <c:v>1524012.1649997686</c:v>
                </c:pt>
                <c:pt idx="13">
                  <c:v>1553047.2151787137</c:v>
                </c:pt>
                <c:pt idx="14">
                  <c:v>1535944.9641067858</c:v>
                </c:pt>
                <c:pt idx="15">
                  <c:v>1545892.5794645573</c:v>
                </c:pt>
                <c:pt idx="16">
                  <c:v>1522353.0765179961</c:v>
                </c:pt>
                <c:pt idx="17">
                  <c:v>1515232.9401787929</c:v>
                </c:pt>
                <c:pt idx="18">
                  <c:v>1523683.5192860898</c:v>
                </c:pt>
                <c:pt idx="19">
                  <c:v>1343037.7203572954</c:v>
                </c:pt>
                <c:pt idx="20">
                  <c:v>1283646.7193753349</c:v>
                </c:pt>
                <c:pt idx="21">
                  <c:v>1261167.1101788699</c:v>
                </c:pt>
                <c:pt idx="22">
                  <c:v>1235049.7693752323</c:v>
                </c:pt>
                <c:pt idx="23">
                  <c:v>1287654.9850002283</c:v>
                </c:pt>
                <c:pt idx="24">
                  <c:v>1373311.3405352014</c:v>
                </c:pt>
                <c:pt idx="25">
                  <c:v>1313724.5851782495</c:v>
                </c:pt>
                <c:pt idx="26">
                  <c:v>1254216.8750892992</c:v>
                </c:pt>
                <c:pt idx="27">
                  <c:v>1262488.9908926261</c:v>
                </c:pt>
                <c:pt idx="28">
                  <c:v>1307768.7333036622</c:v>
                </c:pt>
                <c:pt idx="29">
                  <c:v>1436229.2666069868</c:v>
                </c:pt>
                <c:pt idx="30">
                  <c:v>1556419.0836604957</c:v>
                </c:pt>
                <c:pt idx="31">
                  <c:v>1636183.5011606403</c:v>
                </c:pt>
                <c:pt idx="32">
                  <c:v>1679681.7518754951</c:v>
                </c:pt>
                <c:pt idx="33">
                  <c:v>1709710.9238401649</c:v>
                </c:pt>
                <c:pt idx="34">
                  <c:v>1695542.50848314</c:v>
                </c:pt>
                <c:pt idx="35">
                  <c:v>1642892.5711618699</c:v>
                </c:pt>
                <c:pt idx="36">
                  <c:v>1612106.3026793725</c:v>
                </c:pt>
                <c:pt idx="37">
                  <c:v>1592849.7677680124</c:v>
                </c:pt>
                <c:pt idx="38">
                  <c:v>1558166.4242857501</c:v>
                </c:pt>
                <c:pt idx="39">
                  <c:v>1540511.8566070853</c:v>
                </c:pt>
                <c:pt idx="40">
                  <c:v>1471639.2054462929</c:v>
                </c:pt>
                <c:pt idx="41">
                  <c:v>1406880.727946393</c:v>
                </c:pt>
                <c:pt idx="42">
                  <c:v>1378226.2439283754</c:v>
                </c:pt>
                <c:pt idx="43">
                  <c:v>1345283.3133926804</c:v>
                </c:pt>
                <c:pt idx="44">
                  <c:v>1275900.0074999076</c:v>
                </c:pt>
                <c:pt idx="45">
                  <c:v>1249459.0153570352</c:v>
                </c:pt>
                <c:pt idx="46">
                  <c:v>1239353.43723218</c:v>
                </c:pt>
                <c:pt idx="47">
                  <c:v>1185078.9579465173</c:v>
                </c:pt>
                <c:pt idx="48">
                  <c:v>1133064.8934823</c:v>
                </c:pt>
                <c:pt idx="49">
                  <c:v>1057006.9529467626</c:v>
                </c:pt>
                <c:pt idx="50">
                  <c:v>1026295.3472326701</c:v>
                </c:pt>
                <c:pt idx="51">
                  <c:v>1004361.3665183325</c:v>
                </c:pt>
                <c:pt idx="52">
                  <c:v>983505.78616115486</c:v>
                </c:pt>
                <c:pt idx="53">
                  <c:v>953756.51973273989</c:v>
                </c:pt>
                <c:pt idx="54">
                  <c:v>885281.79053596</c:v>
                </c:pt>
                <c:pt idx="55">
                  <c:v>891268.25866103009</c:v>
                </c:pt>
                <c:pt idx="56">
                  <c:v>866525.75991095765</c:v>
                </c:pt>
                <c:pt idx="57">
                  <c:v>870748.54598213022</c:v>
                </c:pt>
                <c:pt idx="58">
                  <c:v>903245.30258940277</c:v>
                </c:pt>
                <c:pt idx="59">
                  <c:v>877728.02535727504</c:v>
                </c:pt>
                <c:pt idx="60">
                  <c:v>866179.62607146229</c:v>
                </c:pt>
                <c:pt idx="61">
                  <c:v>858211.28017862234</c:v>
                </c:pt>
                <c:pt idx="62">
                  <c:v>850024.05124989967</c:v>
                </c:pt>
                <c:pt idx="63">
                  <c:v>887988.27053550491</c:v>
                </c:pt>
                <c:pt idx="64">
                  <c:v>915565.78008896753</c:v>
                </c:pt>
                <c:pt idx="65">
                  <c:v>920517.23696413753</c:v>
                </c:pt>
                <c:pt idx="66">
                  <c:v>973472.3907141299</c:v>
                </c:pt>
                <c:pt idx="67">
                  <c:v>1014843.16098202</c:v>
                </c:pt>
                <c:pt idx="68">
                  <c:v>1104131.5728571201</c:v>
                </c:pt>
                <c:pt idx="69">
                  <c:v>1153069.2091071354</c:v>
                </c:pt>
                <c:pt idx="70">
                  <c:v>1139099.0250001405</c:v>
                </c:pt>
                <c:pt idx="71">
                  <c:v>1059282.0327677182</c:v>
                </c:pt>
                <c:pt idx="72">
                  <c:v>987321.21241079655</c:v>
                </c:pt>
                <c:pt idx="73">
                  <c:v>983026.1861607735</c:v>
                </c:pt>
                <c:pt idx="74">
                  <c:v>973883.77080333838</c:v>
                </c:pt>
                <c:pt idx="75">
                  <c:v>991530.85687513591</c:v>
                </c:pt>
                <c:pt idx="76">
                  <c:v>1034168.0167858526</c:v>
                </c:pt>
                <c:pt idx="77">
                  <c:v>1032295.2041072025</c:v>
                </c:pt>
                <c:pt idx="78">
                  <c:v>996875.11830357253</c:v>
                </c:pt>
                <c:pt idx="79">
                  <c:v>965197.05419634259</c:v>
                </c:pt>
                <c:pt idx="80">
                  <c:v>940507.15124978253</c:v>
                </c:pt>
                <c:pt idx="81">
                  <c:v>931409.87732116249</c:v>
                </c:pt>
                <c:pt idx="82">
                  <c:v>960747.74526781496</c:v>
                </c:pt>
                <c:pt idx="83">
                  <c:v>1020797.2136604448</c:v>
                </c:pt>
                <c:pt idx="84">
                  <c:v>1067042.0883032298</c:v>
                </c:pt>
                <c:pt idx="85">
                  <c:v>1114956.3933926178</c:v>
                </c:pt>
                <c:pt idx="86">
                  <c:v>1133782.3678569007</c:v>
                </c:pt>
                <c:pt idx="87">
                  <c:v>1141624.1774996356</c:v>
                </c:pt>
                <c:pt idx="88">
                  <c:v>1093566.9809817758</c:v>
                </c:pt>
                <c:pt idx="89">
                  <c:v>1103963.6613387403</c:v>
                </c:pt>
                <c:pt idx="90">
                  <c:v>1080838.8017852553</c:v>
                </c:pt>
                <c:pt idx="91">
                  <c:v>1062071.5884819075</c:v>
                </c:pt>
                <c:pt idx="92">
                  <c:v>1052641.16901766</c:v>
                </c:pt>
                <c:pt idx="93">
                  <c:v>997509.34214287484</c:v>
                </c:pt>
                <c:pt idx="94">
                  <c:v>998085.22107162501</c:v>
                </c:pt>
                <c:pt idx="95">
                  <c:v>982377.90125043248</c:v>
                </c:pt>
                <c:pt idx="96">
                  <c:v>953587.40526852256</c:v>
                </c:pt>
                <c:pt idx="97">
                  <c:v>927167.10794703756</c:v>
                </c:pt>
                <c:pt idx="98">
                  <c:v>938389.66285759246</c:v>
                </c:pt>
                <c:pt idx="99">
                  <c:v>942370.9455361123</c:v>
                </c:pt>
                <c:pt idx="100">
                  <c:v>931766.11026808969</c:v>
                </c:pt>
                <c:pt idx="101">
                  <c:v>903338.56401797722</c:v>
                </c:pt>
                <c:pt idx="102">
                  <c:v>857755.00348223478</c:v>
                </c:pt>
                <c:pt idx="103">
                  <c:v>803629.21151767264</c:v>
                </c:pt>
                <c:pt idx="104">
                  <c:v>811477.72687472764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58F-40D4-95DA-325A4935D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NWP!$F$4</c15:sqref>
                        </c15:formulaRef>
                      </c:ext>
                    </c:extLst>
                    <c:strCache>
                      <c:ptCount val="1"/>
                      <c:pt idx="0">
                        <c:v>Plan (Boom)</c:v>
                      </c:pt>
                    </c:strCache>
                  </c:strRef>
                </c:tx>
                <c:spPr>
                  <a:ln w="28575">
                    <a:solidFill>
                      <a:srgbClr val="001141"/>
                    </a:solidFill>
                    <a:prstDash val="sys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NWP!$A$5:$A$109</c15:sqref>
                        </c15:formulaRef>
                      </c:ext>
                    </c:extLst>
                    <c:numCache>
                      <c:formatCode>m/d/yyyy</c:formatCode>
                      <c:ptCount val="105"/>
                      <c:pt idx="0">
                        <c:v>45156</c:v>
                      </c:pt>
                      <c:pt idx="1">
                        <c:v>45163</c:v>
                      </c:pt>
                      <c:pt idx="2">
                        <c:v>45170</c:v>
                      </c:pt>
                      <c:pt idx="3">
                        <c:v>45177</c:v>
                      </c:pt>
                      <c:pt idx="4">
                        <c:v>45184</c:v>
                      </c:pt>
                      <c:pt idx="5">
                        <c:v>45191</c:v>
                      </c:pt>
                      <c:pt idx="6">
                        <c:v>45198</c:v>
                      </c:pt>
                      <c:pt idx="7">
                        <c:v>45205</c:v>
                      </c:pt>
                      <c:pt idx="8">
                        <c:v>45212</c:v>
                      </c:pt>
                      <c:pt idx="9">
                        <c:v>45219</c:v>
                      </c:pt>
                      <c:pt idx="10">
                        <c:v>45226</c:v>
                      </c:pt>
                      <c:pt idx="11">
                        <c:v>45233</c:v>
                      </c:pt>
                      <c:pt idx="12">
                        <c:v>45240</c:v>
                      </c:pt>
                      <c:pt idx="13">
                        <c:v>45247</c:v>
                      </c:pt>
                      <c:pt idx="14">
                        <c:v>45254</c:v>
                      </c:pt>
                      <c:pt idx="15">
                        <c:v>45261</c:v>
                      </c:pt>
                      <c:pt idx="16">
                        <c:v>45268</c:v>
                      </c:pt>
                      <c:pt idx="17">
                        <c:v>45275</c:v>
                      </c:pt>
                      <c:pt idx="18">
                        <c:v>45282</c:v>
                      </c:pt>
                      <c:pt idx="19">
                        <c:v>45289</c:v>
                      </c:pt>
                      <c:pt idx="20">
                        <c:v>45296</c:v>
                      </c:pt>
                      <c:pt idx="21">
                        <c:v>45303</c:v>
                      </c:pt>
                      <c:pt idx="22">
                        <c:v>45310</c:v>
                      </c:pt>
                      <c:pt idx="23">
                        <c:v>45317</c:v>
                      </c:pt>
                      <c:pt idx="24">
                        <c:v>45324</c:v>
                      </c:pt>
                      <c:pt idx="25">
                        <c:v>45331</c:v>
                      </c:pt>
                      <c:pt idx="26">
                        <c:v>45338</c:v>
                      </c:pt>
                      <c:pt idx="27">
                        <c:v>45345</c:v>
                      </c:pt>
                      <c:pt idx="28">
                        <c:v>45352</c:v>
                      </c:pt>
                      <c:pt idx="29">
                        <c:v>45359</c:v>
                      </c:pt>
                      <c:pt idx="30">
                        <c:v>45366</c:v>
                      </c:pt>
                      <c:pt idx="31">
                        <c:v>45373</c:v>
                      </c:pt>
                      <c:pt idx="32">
                        <c:v>45380</c:v>
                      </c:pt>
                      <c:pt idx="33">
                        <c:v>45387</c:v>
                      </c:pt>
                      <c:pt idx="34">
                        <c:v>45394</c:v>
                      </c:pt>
                      <c:pt idx="35">
                        <c:v>45401</c:v>
                      </c:pt>
                      <c:pt idx="36">
                        <c:v>45408</c:v>
                      </c:pt>
                      <c:pt idx="37">
                        <c:v>45415</c:v>
                      </c:pt>
                      <c:pt idx="38">
                        <c:v>45422</c:v>
                      </c:pt>
                      <c:pt idx="39">
                        <c:v>45429</c:v>
                      </c:pt>
                      <c:pt idx="40">
                        <c:v>45436</c:v>
                      </c:pt>
                      <c:pt idx="41">
                        <c:v>45443</c:v>
                      </c:pt>
                      <c:pt idx="42">
                        <c:v>45450</c:v>
                      </c:pt>
                      <c:pt idx="43">
                        <c:v>45457</c:v>
                      </c:pt>
                      <c:pt idx="44">
                        <c:v>45464</c:v>
                      </c:pt>
                      <c:pt idx="45">
                        <c:v>45471</c:v>
                      </c:pt>
                      <c:pt idx="46">
                        <c:v>45478</c:v>
                      </c:pt>
                      <c:pt idx="47">
                        <c:v>45485</c:v>
                      </c:pt>
                      <c:pt idx="48">
                        <c:v>45492</c:v>
                      </c:pt>
                      <c:pt idx="49">
                        <c:v>45499</c:v>
                      </c:pt>
                      <c:pt idx="50">
                        <c:v>45506</c:v>
                      </c:pt>
                      <c:pt idx="51">
                        <c:v>45513</c:v>
                      </c:pt>
                      <c:pt idx="52">
                        <c:v>45520</c:v>
                      </c:pt>
                      <c:pt idx="53">
                        <c:v>45527</c:v>
                      </c:pt>
                      <c:pt idx="54">
                        <c:v>45534</c:v>
                      </c:pt>
                      <c:pt idx="55">
                        <c:v>45541</c:v>
                      </c:pt>
                      <c:pt idx="56">
                        <c:v>45548</c:v>
                      </c:pt>
                      <c:pt idx="57">
                        <c:v>45555</c:v>
                      </c:pt>
                      <c:pt idx="58">
                        <c:v>45562</c:v>
                      </c:pt>
                      <c:pt idx="59">
                        <c:v>45569</c:v>
                      </c:pt>
                      <c:pt idx="60">
                        <c:v>45576</c:v>
                      </c:pt>
                      <c:pt idx="61">
                        <c:v>45583</c:v>
                      </c:pt>
                      <c:pt idx="62">
                        <c:v>45590</c:v>
                      </c:pt>
                      <c:pt idx="63">
                        <c:v>45597</c:v>
                      </c:pt>
                      <c:pt idx="64">
                        <c:v>45604</c:v>
                      </c:pt>
                      <c:pt idx="65">
                        <c:v>45611</c:v>
                      </c:pt>
                      <c:pt idx="66">
                        <c:v>45618</c:v>
                      </c:pt>
                      <c:pt idx="67">
                        <c:v>45625</c:v>
                      </c:pt>
                      <c:pt idx="68">
                        <c:v>45632</c:v>
                      </c:pt>
                      <c:pt idx="69">
                        <c:v>45639</c:v>
                      </c:pt>
                      <c:pt idx="70">
                        <c:v>45646</c:v>
                      </c:pt>
                      <c:pt idx="71">
                        <c:v>45653</c:v>
                      </c:pt>
                      <c:pt idx="72">
                        <c:v>45660</c:v>
                      </c:pt>
                      <c:pt idx="73">
                        <c:v>45667</c:v>
                      </c:pt>
                      <c:pt idx="74">
                        <c:v>45674</c:v>
                      </c:pt>
                      <c:pt idx="75">
                        <c:v>45681</c:v>
                      </c:pt>
                      <c:pt idx="76">
                        <c:v>45688</c:v>
                      </c:pt>
                      <c:pt idx="77">
                        <c:v>45695</c:v>
                      </c:pt>
                      <c:pt idx="78">
                        <c:v>45702</c:v>
                      </c:pt>
                      <c:pt idx="79">
                        <c:v>45709</c:v>
                      </c:pt>
                      <c:pt idx="80">
                        <c:v>45716</c:v>
                      </c:pt>
                      <c:pt idx="81">
                        <c:v>45723</c:v>
                      </c:pt>
                      <c:pt idx="82">
                        <c:v>45730</c:v>
                      </c:pt>
                      <c:pt idx="83">
                        <c:v>45737</c:v>
                      </c:pt>
                      <c:pt idx="84">
                        <c:v>45744</c:v>
                      </c:pt>
                      <c:pt idx="85">
                        <c:v>45751</c:v>
                      </c:pt>
                      <c:pt idx="86">
                        <c:v>45758</c:v>
                      </c:pt>
                      <c:pt idx="87">
                        <c:v>45765</c:v>
                      </c:pt>
                      <c:pt idx="88">
                        <c:v>45772</c:v>
                      </c:pt>
                      <c:pt idx="89">
                        <c:v>45779</c:v>
                      </c:pt>
                      <c:pt idx="90">
                        <c:v>45786</c:v>
                      </c:pt>
                      <c:pt idx="91">
                        <c:v>45793</c:v>
                      </c:pt>
                      <c:pt idx="92">
                        <c:v>45800</c:v>
                      </c:pt>
                      <c:pt idx="93">
                        <c:v>45807</c:v>
                      </c:pt>
                      <c:pt idx="94">
                        <c:v>45814</c:v>
                      </c:pt>
                      <c:pt idx="95">
                        <c:v>45821</c:v>
                      </c:pt>
                      <c:pt idx="96">
                        <c:v>45828</c:v>
                      </c:pt>
                      <c:pt idx="97">
                        <c:v>45835</c:v>
                      </c:pt>
                      <c:pt idx="98">
                        <c:v>45842</c:v>
                      </c:pt>
                      <c:pt idx="99">
                        <c:v>45849</c:v>
                      </c:pt>
                      <c:pt idx="100">
                        <c:v>45856</c:v>
                      </c:pt>
                      <c:pt idx="101">
                        <c:v>45863</c:v>
                      </c:pt>
                      <c:pt idx="102">
                        <c:v>45870</c:v>
                      </c:pt>
                      <c:pt idx="103">
                        <c:v>45877</c:v>
                      </c:pt>
                      <c:pt idx="104">
                        <c:v>45884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NWP!$F$5:$F$109</c15:sqref>
                        </c15:formulaRef>
                      </c:ext>
                    </c:extLst>
                    <c:numCache>
                      <c:formatCode>#,##0</c:formatCode>
                      <c:ptCount val="1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324249.51725031098</c:v>
                      </c:pt>
                      <c:pt idx="12">
                        <c:v>756582.20691739221</c:v>
                      </c:pt>
                      <c:pt idx="13">
                        <c:v>756582.20691739221</c:v>
                      </c:pt>
                      <c:pt idx="14">
                        <c:v>756582.20691739221</c:v>
                      </c:pt>
                      <c:pt idx="15">
                        <c:v>754146.90755607584</c:v>
                      </c:pt>
                      <c:pt idx="16">
                        <c:v>739535.11138817808</c:v>
                      </c:pt>
                      <c:pt idx="17">
                        <c:v>739535.11138817808</c:v>
                      </c:pt>
                      <c:pt idx="18">
                        <c:v>739535.11138817808</c:v>
                      </c:pt>
                      <c:pt idx="19">
                        <c:v>739535.11138817808</c:v>
                      </c:pt>
                      <c:pt idx="20">
                        <c:v>777126.05857540388</c:v>
                      </c:pt>
                      <c:pt idx="21">
                        <c:v>792162.43745029438</c:v>
                      </c:pt>
                      <c:pt idx="22">
                        <c:v>792162.43745029438</c:v>
                      </c:pt>
                      <c:pt idx="23">
                        <c:v>792162.43745029438</c:v>
                      </c:pt>
                      <c:pt idx="24">
                        <c:v>991125.64827881206</c:v>
                      </c:pt>
                      <c:pt idx="25">
                        <c:v>1488533.6753501063</c:v>
                      </c:pt>
                      <c:pt idx="26">
                        <c:v>1488533.6753501063</c:v>
                      </c:pt>
                      <c:pt idx="27">
                        <c:v>1488533.6753501063</c:v>
                      </c:pt>
                      <c:pt idx="28">
                        <c:v>1550516.1408516294</c:v>
                      </c:pt>
                      <c:pt idx="29">
                        <c:v>1922410.9338607681</c:v>
                      </c:pt>
                      <c:pt idx="30">
                        <c:v>1922410.9338607681</c:v>
                      </c:pt>
                      <c:pt idx="31">
                        <c:v>1922410.9338607681</c:v>
                      </c:pt>
                      <c:pt idx="32">
                        <c:v>1922410.9338607681</c:v>
                      </c:pt>
                      <c:pt idx="33">
                        <c:v>1970322.7068311111</c:v>
                      </c:pt>
                      <c:pt idx="34">
                        <c:v>1989487.4160192488</c:v>
                      </c:pt>
                      <c:pt idx="35">
                        <c:v>1989487.4160192488</c:v>
                      </c:pt>
                      <c:pt idx="36">
                        <c:v>1989487.4160192488</c:v>
                      </c:pt>
                      <c:pt idx="37">
                        <c:v>1953167.6089229786</c:v>
                      </c:pt>
                      <c:pt idx="38">
                        <c:v>1904741.1994612846</c:v>
                      </c:pt>
                      <c:pt idx="39">
                        <c:v>1904741.1994612846</c:v>
                      </c:pt>
                      <c:pt idx="40">
                        <c:v>1904741.1994612846</c:v>
                      </c:pt>
                      <c:pt idx="41">
                        <c:v>1904741.1994612846</c:v>
                      </c:pt>
                      <c:pt idx="42">
                        <c:v>1957319.4982231378</c:v>
                      </c:pt>
                      <c:pt idx="43">
                        <c:v>1957319.4982231378</c:v>
                      </c:pt>
                      <c:pt idx="44">
                        <c:v>1957319.4982231378</c:v>
                      </c:pt>
                      <c:pt idx="45">
                        <c:v>1957319.4982231378</c:v>
                      </c:pt>
                      <c:pt idx="46">
                        <c:v>1531115.5122708147</c:v>
                      </c:pt>
                      <c:pt idx="47">
                        <c:v>1360633.9178898856</c:v>
                      </c:pt>
                      <c:pt idx="48">
                        <c:v>1360633.9178898856</c:v>
                      </c:pt>
                      <c:pt idx="49">
                        <c:v>1360633.9178898856</c:v>
                      </c:pt>
                      <c:pt idx="50">
                        <c:v>1345378.685661287</c:v>
                      </c:pt>
                      <c:pt idx="51">
                        <c:v>1307240.6050897916</c:v>
                      </c:pt>
                      <c:pt idx="52">
                        <c:v>1307240.6050897916</c:v>
                      </c:pt>
                      <c:pt idx="53">
                        <c:v>1307240.6050897916</c:v>
                      </c:pt>
                      <c:pt idx="54">
                        <c:v>1307240.6050897916</c:v>
                      </c:pt>
                      <c:pt idx="55">
                        <c:v>1643425.891407229</c:v>
                      </c:pt>
                      <c:pt idx="56">
                        <c:v>1699456.7724601352</c:v>
                      </c:pt>
                      <c:pt idx="57">
                        <c:v>1699456.7724601352</c:v>
                      </c:pt>
                      <c:pt idx="58">
                        <c:v>1699456.7724601352</c:v>
                      </c:pt>
                      <c:pt idx="59">
                        <c:v>1706821.6915382547</c:v>
                      </c:pt>
                      <c:pt idx="60">
                        <c:v>1712345.3808468443</c:v>
                      </c:pt>
                      <c:pt idx="61">
                        <c:v>1712345.3808468443</c:v>
                      </c:pt>
                      <c:pt idx="62">
                        <c:v>1712345.3808468443</c:v>
                      </c:pt>
                      <c:pt idx="63">
                        <c:v>1678702.3467350905</c:v>
                      </c:pt>
                      <c:pt idx="64">
                        <c:v>1476844.1420645677</c:v>
                      </c:pt>
                      <c:pt idx="65">
                        <c:v>1476844.1420645677</c:v>
                      </c:pt>
                      <c:pt idx="66">
                        <c:v>1476844.1420645677</c:v>
                      </c:pt>
                      <c:pt idx="67">
                        <c:v>1476844.1420645677</c:v>
                      </c:pt>
                      <c:pt idx="68">
                        <c:v>1280989.8588068448</c:v>
                      </c:pt>
                      <c:pt idx="69">
                        <c:v>1248347.4782638908</c:v>
                      </c:pt>
                      <c:pt idx="70">
                        <c:v>1248347.4782638908</c:v>
                      </c:pt>
                      <c:pt idx="71">
                        <c:v>1248347.4782638908</c:v>
                      </c:pt>
                      <c:pt idx="72">
                        <c:v>1688959.5976721782</c:v>
                      </c:pt>
                      <c:pt idx="73">
                        <c:v>2276442.4235498947</c:v>
                      </c:pt>
                      <c:pt idx="74">
                        <c:v>2276442.4235498947</c:v>
                      </c:pt>
                      <c:pt idx="75">
                        <c:v>2276442.4235498947</c:v>
                      </c:pt>
                      <c:pt idx="76">
                        <c:v>2276442.4235498947</c:v>
                      </c:pt>
                      <c:pt idx="77">
                        <c:v>2511745.5950794029</c:v>
                      </c:pt>
                      <c:pt idx="78">
                        <c:v>2511745.5950794029</c:v>
                      </c:pt>
                      <c:pt idx="79">
                        <c:v>2511745.5950794029</c:v>
                      </c:pt>
                      <c:pt idx="80">
                        <c:v>2511745.5950794029</c:v>
                      </c:pt>
                      <c:pt idx="81">
                        <c:v>2268673.4407168794</c:v>
                      </c:pt>
                      <c:pt idx="82">
                        <c:v>2268673.4407168794</c:v>
                      </c:pt>
                      <c:pt idx="83">
                        <c:v>2268673.4407168794</c:v>
                      </c:pt>
                      <c:pt idx="84">
                        <c:v>2268673.4407168794</c:v>
                      </c:pt>
                      <c:pt idx="85">
                        <c:v>1544962.4241043092</c:v>
                      </c:pt>
                      <c:pt idx="86">
                        <c:v>1002179.1616448816</c:v>
                      </c:pt>
                      <c:pt idx="87">
                        <c:v>1002179.1616448816</c:v>
                      </c:pt>
                      <c:pt idx="88">
                        <c:v>1002179.1616448816</c:v>
                      </c:pt>
                      <c:pt idx="89">
                        <c:v>1003846.6397711438</c:v>
                      </c:pt>
                      <c:pt idx="90">
                        <c:v>1008015.3350867983</c:v>
                      </c:pt>
                      <c:pt idx="91">
                        <c:v>1008015.3350867983</c:v>
                      </c:pt>
                      <c:pt idx="92">
                        <c:v>1008015.3350867983</c:v>
                      </c:pt>
                      <c:pt idx="93">
                        <c:v>1008015.3350867983</c:v>
                      </c:pt>
                      <c:pt idx="94">
                        <c:v>1025646.2463739109</c:v>
                      </c:pt>
                      <c:pt idx="95">
                        <c:v>1028584.7315884295</c:v>
                      </c:pt>
                      <c:pt idx="96">
                        <c:v>1028584.7315884295</c:v>
                      </c:pt>
                      <c:pt idx="97">
                        <c:v>1028584.7315884295</c:v>
                      </c:pt>
                      <c:pt idx="98">
                        <c:v>1044930.5913107597</c:v>
                      </c:pt>
                      <c:pt idx="99">
                        <c:v>1057189.9861025074</c:v>
                      </c:pt>
                      <c:pt idx="100">
                        <c:v>1057189.9861025074</c:v>
                      </c:pt>
                      <c:pt idx="101">
                        <c:v>1057189.9861025074</c:v>
                      </c:pt>
                      <c:pt idx="102">
                        <c:v>1062080.7144619715</c:v>
                      </c:pt>
                      <c:pt idx="103">
                        <c:v>1091425.0846187568</c:v>
                      </c:pt>
                      <c:pt idx="104">
                        <c:v>1091425.0846187568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9-E58F-40D4-95DA-325A4935D36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strRef>
              <c:f>NWP!$D$4</c:f>
              <c:strCache>
                <c:ptCount val="1"/>
                <c:pt idx="0">
                  <c:v>Average NWP (Boom)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NWP!$D$5:$D$109</c:f>
              <c:numCache>
                <c:formatCode>#,##0</c:formatCode>
                <c:ptCount val="105"/>
                <c:pt idx="0">
                  <c:v>1527.7909121920025</c:v>
                </c:pt>
                <c:pt idx="1">
                  <c:v>1474.8151293111553</c:v>
                </c:pt>
                <c:pt idx="2">
                  <c:v>1425.7866488643301</c:v>
                </c:pt>
                <c:pt idx="3">
                  <c:v>1516.6075158950571</c:v>
                </c:pt>
                <c:pt idx="4">
                  <c:v>1476.9346150186677</c:v>
                </c:pt>
                <c:pt idx="5">
                  <c:v>1563.3367241236301</c:v>
                </c:pt>
                <c:pt idx="6">
                  <c:v>1496.4946473881676</c:v>
                </c:pt>
                <c:pt idx="7">
                  <c:v>1519.4373801182476</c:v>
                </c:pt>
                <c:pt idx="8">
                  <c:v>1482.3471560030075</c:v>
                </c:pt>
                <c:pt idx="9">
                  <c:v>1379.2511004600399</c:v>
                </c:pt>
                <c:pt idx="10">
                  <c:v>1398.1216659801514</c:v>
                </c:pt>
                <c:pt idx="11">
                  <c:v>1317.1984004137248</c:v>
                </c:pt>
                <c:pt idx="12">
                  <c:v>1309.0810355927929</c:v>
                </c:pt>
                <c:pt idx="13">
                  <c:v>1204.1147515996661</c:v>
                </c:pt>
                <c:pt idx="14">
                  <c:v>1229.0049001180489</c:v>
                </c:pt>
                <c:pt idx="15">
                  <c:v>1251.397253921835</c:v>
                </c:pt>
                <c:pt idx="16">
                  <c:v>1269.6025044235107</c:v>
                </c:pt>
                <c:pt idx="17">
                  <c:v>1261.5476502237398</c:v>
                </c:pt>
                <c:pt idx="18">
                  <c:v>1265.4241926574211</c:v>
                </c:pt>
                <c:pt idx="19">
                  <c:v>1254.9447988752522</c:v>
                </c:pt>
                <c:pt idx="20">
                  <c:v>1232.060875702231</c:v>
                </c:pt>
                <c:pt idx="21">
                  <c:v>1247.4111146190896</c:v>
                </c:pt>
                <c:pt idx="22">
                  <c:v>1244.0395614629965</c:v>
                </c:pt>
                <c:pt idx="23">
                  <c:v>1210.5245407962234</c:v>
                </c:pt>
                <c:pt idx="24">
                  <c:v>1220.4390881270797</c:v>
                </c:pt>
                <c:pt idx="25">
                  <c:v>1267.5397609991028</c:v>
                </c:pt>
                <c:pt idx="26">
                  <c:v>1203.7078544508267</c:v>
                </c:pt>
                <c:pt idx="27">
                  <c:v>1275.1406654251743</c:v>
                </c:pt>
                <c:pt idx="28">
                  <c:v>1245.9716736149264</c:v>
                </c:pt>
                <c:pt idx="29">
                  <c:v>1318.7772693524532</c:v>
                </c:pt>
                <c:pt idx="30">
                  <c:v>1273.33769851438</c:v>
                </c:pt>
                <c:pt idx="31">
                  <c:v>1252.0108748603297</c:v>
                </c:pt>
                <c:pt idx="32">
                  <c:v>1217.092034125948</c:v>
                </c:pt>
                <c:pt idx="33">
                  <c:v>1153.3475511434867</c:v>
                </c:pt>
                <c:pt idx="34">
                  <c:v>1137.0561855102685</c:v>
                </c:pt>
                <c:pt idx="35">
                  <c:v>1112.5750416055246</c:v>
                </c:pt>
                <c:pt idx="36">
                  <c:v>1133.5296951247979</c:v>
                </c:pt>
                <c:pt idx="37">
                  <c:v>1048.8506906305111</c:v>
                </c:pt>
                <c:pt idx="38">
                  <c:v>1068.424415552304</c:v>
                </c:pt>
                <c:pt idx="39">
                  <c:v>1119.1882598779994</c:v>
                </c:pt>
                <c:pt idx="40">
                  <c:v>1071.5831490531532</c:v>
                </c:pt>
                <c:pt idx="41">
                  <c:v>1054.6313386795657</c:v>
                </c:pt>
                <c:pt idx="42">
                  <c:v>1003.0615700932325</c:v>
                </c:pt>
                <c:pt idx="43">
                  <c:v>1080.5022822297399</c:v>
                </c:pt>
                <c:pt idx="44">
                  <c:v>1026.4346775789827</c:v>
                </c:pt>
                <c:pt idx="45">
                  <c:v>1107.0839803206334</c:v>
                </c:pt>
                <c:pt idx="46">
                  <c:v>1067.026610113385</c:v>
                </c:pt>
                <c:pt idx="47">
                  <c:v>1056.8006180983712</c:v>
                </c:pt>
                <c:pt idx="48">
                  <c:v>1064.1247511471015</c:v>
                </c:pt>
                <c:pt idx="49">
                  <c:v>1043.7695106903859</c:v>
                </c:pt>
                <c:pt idx="50">
                  <c:v>1069.657138074497</c:v>
                </c:pt>
                <c:pt idx="51">
                  <c:v>1132.3335520433841</c:v>
                </c:pt>
                <c:pt idx="52">
                  <c:v>1108.1525931549531</c:v>
                </c:pt>
                <c:pt idx="53">
                  <c:v>1034.7486806051361</c:v>
                </c:pt>
                <c:pt idx="54">
                  <c:v>1052.4159200934246</c:v>
                </c:pt>
                <c:pt idx="55">
                  <c:v>1032.5984120977676</c:v>
                </c:pt>
                <c:pt idx="56">
                  <c:v>1032.515911802368</c:v>
                </c:pt>
                <c:pt idx="57">
                  <c:v>1104.28885166788</c:v>
                </c:pt>
                <c:pt idx="58">
                  <c:v>1100.2939981221068</c:v>
                </c:pt>
                <c:pt idx="59">
                  <c:v>1042.3685339811398</c:v>
                </c:pt>
                <c:pt idx="60">
                  <c:v>1094.6151307882867</c:v>
                </c:pt>
                <c:pt idx="61">
                  <c:v>1080.8139688685728</c:v>
                </c:pt>
                <c:pt idx="62">
                  <c:v>1047.2650810937125</c:v>
                </c:pt>
                <c:pt idx="63">
                  <c:v>1064.1992233237181</c:v>
                </c:pt>
                <c:pt idx="64">
                  <c:v>1093.2949583022037</c:v>
                </c:pt>
                <c:pt idx="65">
                  <c:v>1092.0309446126396</c:v>
                </c:pt>
                <c:pt idx="66">
                  <c:v>1121.0011733852236</c:v>
                </c:pt>
                <c:pt idx="67">
                  <c:v>1110.9595131868386</c:v>
                </c:pt>
                <c:pt idx="68">
                  <c:v>1093.8586487469718</c:v>
                </c:pt>
                <c:pt idx="69">
                  <c:v>1095.0785503247944</c:v>
                </c:pt>
                <c:pt idx="70">
                  <c:v>1122.1743466664789</c:v>
                </c:pt>
                <c:pt idx="71">
                  <c:v>1138.4489899578148</c:v>
                </c:pt>
                <c:pt idx="72">
                  <c:v>1076.2811313904313</c:v>
                </c:pt>
                <c:pt idx="73">
                  <c:v>1062.4549002297781</c:v>
                </c:pt>
                <c:pt idx="74">
                  <c:v>1071.0670890807912</c:v>
                </c:pt>
                <c:pt idx="75">
                  <c:v>1079.6566240390671</c:v>
                </c:pt>
                <c:pt idx="76">
                  <c:v>1013.6846048358616</c:v>
                </c:pt>
                <c:pt idx="77">
                  <c:v>1040.3341495610853</c:v>
                </c:pt>
                <c:pt idx="78">
                  <c:v>1097.4000476636609</c:v>
                </c:pt>
                <c:pt idx="79">
                  <c:v>1049.3284749299164</c:v>
                </c:pt>
                <c:pt idx="80">
                  <c:v>1026.478837793429</c:v>
                </c:pt>
                <c:pt idx="81">
                  <c:v>1051.0125063073108</c:v>
                </c:pt>
                <c:pt idx="82">
                  <c:v>1086.0540797906328</c:v>
                </c:pt>
                <c:pt idx="83">
                  <c:v>1060.4836937213413</c:v>
                </c:pt>
                <c:pt idx="84">
                  <c:v>1081.4079770740848</c:v>
                </c:pt>
                <c:pt idx="85">
                  <c:v>1052.562924259485</c:v>
                </c:pt>
                <c:pt idx="86">
                  <c:v>1104.0399620215137</c:v>
                </c:pt>
                <c:pt idx="87">
                  <c:v>1059.0927130922339</c:v>
                </c:pt>
                <c:pt idx="88">
                  <c:v>1025.3329862987541</c:v>
                </c:pt>
                <c:pt idx="89">
                  <c:v>1028.9825641465065</c:v>
                </c:pt>
                <c:pt idx="90">
                  <c:v>1070.0724544542165</c:v>
                </c:pt>
                <c:pt idx="91">
                  <c:v>1061.2409551693536</c:v>
                </c:pt>
                <c:pt idx="92">
                  <c:v>1077.4772884829958</c:v>
                </c:pt>
                <c:pt idx="93">
                  <c:v>1041.5796191230449</c:v>
                </c:pt>
                <c:pt idx="94">
                  <c:v>1026.7900188884666</c:v>
                </c:pt>
                <c:pt idx="95">
                  <c:v>1078.9894620143482</c:v>
                </c:pt>
                <c:pt idx="96">
                  <c:v>1036.059176181536</c:v>
                </c:pt>
                <c:pt idx="97">
                  <c:v>1087.2899192849718</c:v>
                </c:pt>
                <c:pt idx="98">
                  <c:v>1070.3158186680439</c:v>
                </c:pt>
                <c:pt idx="99">
                  <c:v>1101.0145187331423</c:v>
                </c:pt>
                <c:pt idx="100">
                  <c:v>1076.5291689082424</c:v>
                </c:pt>
                <c:pt idx="101">
                  <c:v>1109.8581150308503</c:v>
                </c:pt>
                <c:pt idx="102">
                  <c:v>1044.9360677509176</c:v>
                </c:pt>
                <c:pt idx="103">
                  <c:v>1202.2438568937348</c:v>
                </c:pt>
                <c:pt idx="104">
                  <c:v>1116.0005693268763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58F-40D4-95DA-325A4935D36D}"/>
            </c:ext>
          </c:extLst>
        </c:ser>
        <c:ser>
          <c:idx val="3"/>
          <c:order val="3"/>
          <c:tx>
            <c:strRef>
              <c:f>NWP!$E$4</c:f>
              <c:strCache>
                <c:ptCount val="1"/>
                <c:pt idx="0">
                  <c:v>Average NWP - 4 Week Avg (Boom)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NWP!$E$5:$E$109</c:f>
              <c:numCache>
                <c:formatCode>#,##0</c:formatCode>
                <c:ptCount val="105"/>
                <c:pt idx="3">
                  <c:v>1486.2500515656363</c:v>
                </c:pt>
                <c:pt idx="4">
                  <c:v>1473.5359772723025</c:v>
                </c:pt>
                <c:pt idx="5">
                  <c:v>1495.6663759754213</c:v>
                </c:pt>
                <c:pt idx="6">
                  <c:v>1513.3433756063805</c:v>
                </c:pt>
                <c:pt idx="7">
                  <c:v>1514.0508416621781</c:v>
                </c:pt>
                <c:pt idx="8">
                  <c:v>1515.4039769082631</c:v>
                </c:pt>
                <c:pt idx="9">
                  <c:v>1469.3825709923658</c:v>
                </c:pt>
                <c:pt idx="10">
                  <c:v>1444.7893256403615</c:v>
                </c:pt>
                <c:pt idx="11">
                  <c:v>1394.2295807142309</c:v>
                </c:pt>
                <c:pt idx="12">
                  <c:v>1350.9130506116771</c:v>
                </c:pt>
                <c:pt idx="13">
                  <c:v>1307.1289633965837</c:v>
                </c:pt>
                <c:pt idx="14">
                  <c:v>1264.8497719310581</c:v>
                </c:pt>
                <c:pt idx="15">
                  <c:v>1248.3994853080856</c:v>
                </c:pt>
                <c:pt idx="16">
                  <c:v>1238.529852515765</c:v>
                </c:pt>
                <c:pt idx="17">
                  <c:v>1252.8880771717836</c:v>
                </c:pt>
                <c:pt idx="18">
                  <c:v>1261.9929003066268</c:v>
                </c:pt>
                <c:pt idx="19">
                  <c:v>1262.879786544981</c:v>
                </c:pt>
                <c:pt idx="20">
                  <c:v>1253.4943793646612</c:v>
                </c:pt>
                <c:pt idx="21">
                  <c:v>1249.9602454634985</c:v>
                </c:pt>
                <c:pt idx="22">
                  <c:v>1244.6140876648924</c:v>
                </c:pt>
                <c:pt idx="23">
                  <c:v>1233.5090231451352</c:v>
                </c:pt>
                <c:pt idx="24">
                  <c:v>1230.6035762513472</c:v>
                </c:pt>
                <c:pt idx="25">
                  <c:v>1235.6357378463506</c:v>
                </c:pt>
                <c:pt idx="26">
                  <c:v>1225.5528110933083</c:v>
                </c:pt>
                <c:pt idx="27">
                  <c:v>1241.7068422505458</c:v>
                </c:pt>
                <c:pt idx="28">
                  <c:v>1248.0899886225077</c:v>
                </c:pt>
                <c:pt idx="29">
                  <c:v>1260.8993657108451</c:v>
                </c:pt>
                <c:pt idx="30">
                  <c:v>1278.3068267267336</c:v>
                </c:pt>
                <c:pt idx="31">
                  <c:v>1272.5243790855225</c:v>
                </c:pt>
                <c:pt idx="32">
                  <c:v>1265.3044692132778</c:v>
                </c:pt>
                <c:pt idx="33">
                  <c:v>1223.9470396610361</c:v>
                </c:pt>
                <c:pt idx="34">
                  <c:v>1189.8766614100082</c:v>
                </c:pt>
                <c:pt idx="35">
                  <c:v>1155.0177030963068</c:v>
                </c:pt>
                <c:pt idx="36">
                  <c:v>1134.1271183460194</c:v>
                </c:pt>
                <c:pt idx="37">
                  <c:v>1108.0029032177754</c:v>
                </c:pt>
                <c:pt idx="38">
                  <c:v>1090.8449607282844</c:v>
                </c:pt>
                <c:pt idx="39">
                  <c:v>1092.4982652964031</c:v>
                </c:pt>
                <c:pt idx="40">
                  <c:v>1077.0116287784917</c:v>
                </c:pt>
                <c:pt idx="41">
                  <c:v>1078.4567907907556</c:v>
                </c:pt>
                <c:pt idx="42">
                  <c:v>1062.1160794259877</c:v>
                </c:pt>
                <c:pt idx="43">
                  <c:v>1052.444585013923</c:v>
                </c:pt>
                <c:pt idx="44">
                  <c:v>1041.1574671453802</c:v>
                </c:pt>
                <c:pt idx="45">
                  <c:v>1054.270627555647</c:v>
                </c:pt>
                <c:pt idx="46">
                  <c:v>1070.2618875606852</c:v>
                </c:pt>
                <c:pt idx="47">
                  <c:v>1064.3364715278431</c:v>
                </c:pt>
                <c:pt idx="48">
                  <c:v>1073.7589899198729</c:v>
                </c:pt>
                <c:pt idx="49">
                  <c:v>1057.9303725123109</c:v>
                </c:pt>
                <c:pt idx="50">
                  <c:v>1058.588004502589</c:v>
                </c:pt>
                <c:pt idx="51">
                  <c:v>1077.4712379888422</c:v>
                </c:pt>
                <c:pt idx="52">
                  <c:v>1088.478198490805</c:v>
                </c:pt>
                <c:pt idx="53">
                  <c:v>1086.2229909694925</c:v>
                </c:pt>
                <c:pt idx="54">
                  <c:v>1081.9126864742243</c:v>
                </c:pt>
                <c:pt idx="55">
                  <c:v>1056.9789014878204</c:v>
                </c:pt>
                <c:pt idx="56">
                  <c:v>1038.0697311496742</c:v>
                </c:pt>
                <c:pt idx="57">
                  <c:v>1055.45477391536</c:v>
                </c:pt>
                <c:pt idx="58">
                  <c:v>1067.4242934225306</c:v>
                </c:pt>
                <c:pt idx="59">
                  <c:v>1069.8668238933737</c:v>
                </c:pt>
                <c:pt idx="60">
                  <c:v>1085.3916286398533</c:v>
                </c:pt>
                <c:pt idx="61">
                  <c:v>1079.5229079400265</c:v>
                </c:pt>
                <c:pt idx="62">
                  <c:v>1066.265678682928</c:v>
                </c:pt>
                <c:pt idx="63">
                  <c:v>1071.7233510185727</c:v>
                </c:pt>
                <c:pt idx="64">
                  <c:v>1071.3933078970517</c:v>
                </c:pt>
                <c:pt idx="65">
                  <c:v>1074.1975518330685</c:v>
                </c:pt>
                <c:pt idx="66">
                  <c:v>1092.6315749059461</c:v>
                </c:pt>
                <c:pt idx="67">
                  <c:v>1104.3216473717262</c:v>
                </c:pt>
                <c:pt idx="68">
                  <c:v>1104.4625699829185</c:v>
                </c:pt>
                <c:pt idx="69">
                  <c:v>1105.2244714109572</c:v>
                </c:pt>
                <c:pt idx="70">
                  <c:v>1105.5177647312707</c:v>
                </c:pt>
                <c:pt idx="71">
                  <c:v>1112.3901339240151</c:v>
                </c:pt>
                <c:pt idx="72">
                  <c:v>1107.9957545848797</c:v>
                </c:pt>
                <c:pt idx="73">
                  <c:v>1099.8398420611256</c:v>
                </c:pt>
                <c:pt idx="74">
                  <c:v>1087.0630276647039</c:v>
                </c:pt>
                <c:pt idx="75">
                  <c:v>1072.3649361850171</c:v>
                </c:pt>
                <c:pt idx="76">
                  <c:v>1056.7158045463746</c:v>
                </c:pt>
                <c:pt idx="77">
                  <c:v>1051.1856168792012</c:v>
                </c:pt>
                <c:pt idx="78">
                  <c:v>1057.7688565249186</c:v>
                </c:pt>
                <c:pt idx="79">
                  <c:v>1050.1868192476311</c:v>
                </c:pt>
                <c:pt idx="80">
                  <c:v>1053.3853774870229</c:v>
                </c:pt>
                <c:pt idx="81">
                  <c:v>1056.0549666735794</c:v>
                </c:pt>
                <c:pt idx="82">
                  <c:v>1053.2184747053225</c:v>
                </c:pt>
                <c:pt idx="83">
                  <c:v>1056.0072794031785</c:v>
                </c:pt>
                <c:pt idx="84">
                  <c:v>1069.7395642233423</c:v>
                </c:pt>
                <c:pt idx="85">
                  <c:v>1070.127168711386</c:v>
                </c:pt>
                <c:pt idx="86">
                  <c:v>1074.6236392691062</c:v>
                </c:pt>
                <c:pt idx="87">
                  <c:v>1074.2758941118293</c:v>
                </c:pt>
                <c:pt idx="88">
                  <c:v>1060.2571464179966</c:v>
                </c:pt>
                <c:pt idx="89">
                  <c:v>1054.3620563897521</c:v>
                </c:pt>
                <c:pt idx="90">
                  <c:v>1045.8701794979277</c:v>
                </c:pt>
                <c:pt idx="91">
                  <c:v>1046.4072400172076</c:v>
                </c:pt>
                <c:pt idx="92">
                  <c:v>1059.4433155632682</c:v>
                </c:pt>
                <c:pt idx="93">
                  <c:v>1062.5925793074027</c:v>
                </c:pt>
                <c:pt idx="94">
                  <c:v>1051.7719704159654</c:v>
                </c:pt>
                <c:pt idx="95">
                  <c:v>1056.2090971272141</c:v>
                </c:pt>
                <c:pt idx="96">
                  <c:v>1045.854569051849</c:v>
                </c:pt>
                <c:pt idx="97">
                  <c:v>1057.2821440923306</c:v>
                </c:pt>
                <c:pt idx="98">
                  <c:v>1068.163594037225</c:v>
                </c:pt>
                <c:pt idx="99">
                  <c:v>1073.6698582169233</c:v>
                </c:pt>
                <c:pt idx="100">
                  <c:v>1083.7873563986</c:v>
                </c:pt>
                <c:pt idx="101">
                  <c:v>1089.4294053350698</c:v>
                </c:pt>
                <c:pt idx="102">
                  <c:v>1083.0844676057882</c:v>
                </c:pt>
                <c:pt idx="103">
                  <c:v>1108.3918021459363</c:v>
                </c:pt>
                <c:pt idx="104">
                  <c:v>1118.2596522505946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58F-40D4-95DA-325A4935D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in val="4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Subscription (Excl. Monthly Rens, Annualised Prems):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NWP (Boom Subscription)</c:v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NWP!$AJ$5:$AJ$109</c:f>
              <c:numCache>
                <c:formatCode>#,##0</c:formatCode>
                <c:ptCount val="105"/>
                <c:pt idx="0">
                  <c:v>671905.16571450012</c:v>
                </c:pt>
                <c:pt idx="1">
                  <c:v>646135.21285702812</c:v>
                </c:pt>
                <c:pt idx="2">
                  <c:v>548946.68999987992</c:v>
                </c:pt>
                <c:pt idx="3">
                  <c:v>619603.86857185187</c:v>
                </c:pt>
                <c:pt idx="4">
                  <c:v>575297.08714300802</c:v>
                </c:pt>
                <c:pt idx="5">
                  <c:v>704900.79428593186</c:v>
                </c:pt>
                <c:pt idx="6">
                  <c:v>667558.21714252816</c:v>
                </c:pt>
                <c:pt idx="7">
                  <c:v>623183.08714302001</c:v>
                </c:pt>
                <c:pt idx="8">
                  <c:v>793949.16857236787</c:v>
                </c:pt>
                <c:pt idx="9">
                  <c:v>1016953.221427704</c:v>
                </c:pt>
                <c:pt idx="10">
                  <c:v>1067522.39142912</c:v>
                </c:pt>
                <c:pt idx="11">
                  <c:v>1289320.3542847917</c:v>
                </c:pt>
                <c:pt idx="12">
                  <c:v>1103269.9585720198</c:v>
                </c:pt>
                <c:pt idx="13">
                  <c:v>1054692.3171432838</c:v>
                </c:pt>
                <c:pt idx="14">
                  <c:v>916289.94428464782</c:v>
                </c:pt>
                <c:pt idx="15">
                  <c:v>1238611.3757158078</c:v>
                </c:pt>
                <c:pt idx="16">
                  <c:v>1001124.3428575558</c:v>
                </c:pt>
                <c:pt idx="17">
                  <c:v>985947.09000114002</c:v>
                </c:pt>
                <c:pt idx="18">
                  <c:v>1016520.2999999156</c:v>
                </c:pt>
                <c:pt idx="19">
                  <c:v>769357.79142905981</c:v>
                </c:pt>
                <c:pt idx="20">
                  <c:v>834264.66428660415</c:v>
                </c:pt>
                <c:pt idx="21">
                  <c:v>920421.01285728021</c:v>
                </c:pt>
                <c:pt idx="22">
                  <c:v>938492.46857079584</c:v>
                </c:pt>
                <c:pt idx="23">
                  <c:v>701518.11428564391</c:v>
                </c:pt>
                <c:pt idx="24">
                  <c:v>391722.15000009577</c:v>
                </c:pt>
                <c:pt idx="25">
                  <c:v>186226.03714321202</c:v>
                </c:pt>
                <c:pt idx="26">
                  <c:v>155436.497142924</c:v>
                </c:pt>
                <c:pt idx="27">
                  <c:v>55843.217142731999</c:v>
                </c:pt>
                <c:pt idx="28">
                  <c:v>1388.9314285200001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999.47964286000001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733.21428571000001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8C-4E54-8BB1-413107D96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v>NWP - 4 Week Avg (Boom Subscription)</c:v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NWP!$AK$5:$AK$109</c:f>
              <c:numCache>
                <c:formatCode>#,##0</c:formatCode>
                <c:ptCount val="105"/>
                <c:pt idx="3">
                  <c:v>621647.73428581504</c:v>
                </c:pt>
                <c:pt idx="4">
                  <c:v>597495.71464294195</c:v>
                </c:pt>
                <c:pt idx="5">
                  <c:v>612187.11000016797</c:v>
                </c:pt>
                <c:pt idx="6">
                  <c:v>641839.99178583</c:v>
                </c:pt>
                <c:pt idx="7">
                  <c:v>642734.79642862198</c:v>
                </c:pt>
                <c:pt idx="8">
                  <c:v>697397.81678596197</c:v>
                </c:pt>
                <c:pt idx="9">
                  <c:v>775410.923571405</c:v>
                </c:pt>
                <c:pt idx="10">
                  <c:v>875401.96714305296</c:v>
                </c:pt>
                <c:pt idx="11">
                  <c:v>1041936.2839284959</c:v>
                </c:pt>
                <c:pt idx="12">
                  <c:v>1119266.481428409</c:v>
                </c:pt>
                <c:pt idx="13">
                  <c:v>1128701.2553573039</c:v>
                </c:pt>
                <c:pt idx="14">
                  <c:v>1090893.1435711859</c:v>
                </c:pt>
                <c:pt idx="15">
                  <c:v>1078215.8989289398</c:v>
                </c:pt>
                <c:pt idx="16">
                  <c:v>1052679.4950003237</c:v>
                </c:pt>
                <c:pt idx="17">
                  <c:v>1035493.188214788</c:v>
                </c:pt>
                <c:pt idx="18">
                  <c:v>1060550.7771436048</c:v>
                </c:pt>
                <c:pt idx="19">
                  <c:v>943237.38107191771</c:v>
                </c:pt>
                <c:pt idx="20">
                  <c:v>901522.46142917988</c:v>
                </c:pt>
                <c:pt idx="21">
                  <c:v>885140.94214321498</c:v>
                </c:pt>
                <c:pt idx="22">
                  <c:v>865633.98428593506</c:v>
                </c:pt>
                <c:pt idx="23">
                  <c:v>848674.06500008097</c:v>
                </c:pt>
                <c:pt idx="24">
                  <c:v>738038.43642845389</c:v>
                </c:pt>
                <c:pt idx="25">
                  <c:v>554489.69249993691</c:v>
                </c:pt>
                <c:pt idx="26">
                  <c:v>358725.69964296895</c:v>
                </c:pt>
                <c:pt idx="27">
                  <c:v>197306.97535724094</c:v>
                </c:pt>
                <c:pt idx="28">
                  <c:v>99723.670714347012</c:v>
                </c:pt>
                <c:pt idx="29">
                  <c:v>53167.161428544001</c:v>
                </c:pt>
                <c:pt idx="30">
                  <c:v>14308.037142813</c:v>
                </c:pt>
                <c:pt idx="31">
                  <c:v>347.23285713000001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249.869910715</c:v>
                </c:pt>
                <c:pt idx="45">
                  <c:v>249.869910715</c:v>
                </c:pt>
                <c:pt idx="46">
                  <c:v>249.869910715</c:v>
                </c:pt>
                <c:pt idx="47">
                  <c:v>249.869910715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183.3035714275</c:v>
                </c:pt>
                <c:pt idx="71">
                  <c:v>183.3035714275</c:v>
                </c:pt>
                <c:pt idx="72">
                  <c:v>183.3035714275</c:v>
                </c:pt>
                <c:pt idx="73">
                  <c:v>183.3035714275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C-4E54-8BB1-413107D96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v>Plan (Boom Subscription)</c:v>
                </c:tx>
                <c:spPr>
                  <a:ln w="28575">
                    <a:solidFill>
                      <a:srgbClr val="001141"/>
                    </a:solidFill>
                    <a:prstDash val="sys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NWP!$A$5:$A$109</c15:sqref>
                        </c15:formulaRef>
                      </c:ext>
                    </c:extLst>
                    <c:numCache>
                      <c:formatCode>m/d/yyyy</c:formatCode>
                      <c:ptCount val="105"/>
                      <c:pt idx="0">
                        <c:v>45156</c:v>
                      </c:pt>
                      <c:pt idx="1">
                        <c:v>45163</c:v>
                      </c:pt>
                      <c:pt idx="2">
                        <c:v>45170</c:v>
                      </c:pt>
                      <c:pt idx="3">
                        <c:v>45177</c:v>
                      </c:pt>
                      <c:pt idx="4">
                        <c:v>45184</c:v>
                      </c:pt>
                      <c:pt idx="5">
                        <c:v>45191</c:v>
                      </c:pt>
                      <c:pt idx="6">
                        <c:v>45198</c:v>
                      </c:pt>
                      <c:pt idx="7">
                        <c:v>45205</c:v>
                      </c:pt>
                      <c:pt idx="8">
                        <c:v>45212</c:v>
                      </c:pt>
                      <c:pt idx="9">
                        <c:v>45219</c:v>
                      </c:pt>
                      <c:pt idx="10">
                        <c:v>45226</c:v>
                      </c:pt>
                      <c:pt idx="11">
                        <c:v>45233</c:v>
                      </c:pt>
                      <c:pt idx="12">
                        <c:v>45240</c:v>
                      </c:pt>
                      <c:pt idx="13">
                        <c:v>45247</c:v>
                      </c:pt>
                      <c:pt idx="14">
                        <c:v>45254</c:v>
                      </c:pt>
                      <c:pt idx="15">
                        <c:v>45261</c:v>
                      </c:pt>
                      <c:pt idx="16">
                        <c:v>45268</c:v>
                      </c:pt>
                      <c:pt idx="17">
                        <c:v>45275</c:v>
                      </c:pt>
                      <c:pt idx="18">
                        <c:v>45282</c:v>
                      </c:pt>
                      <c:pt idx="19">
                        <c:v>45289</c:v>
                      </c:pt>
                      <c:pt idx="20">
                        <c:v>45296</c:v>
                      </c:pt>
                      <c:pt idx="21">
                        <c:v>45303</c:v>
                      </c:pt>
                      <c:pt idx="22">
                        <c:v>45310</c:v>
                      </c:pt>
                      <c:pt idx="23">
                        <c:v>45317</c:v>
                      </c:pt>
                      <c:pt idx="24">
                        <c:v>45324</c:v>
                      </c:pt>
                      <c:pt idx="25">
                        <c:v>45331</c:v>
                      </c:pt>
                      <c:pt idx="26">
                        <c:v>45338</c:v>
                      </c:pt>
                      <c:pt idx="27">
                        <c:v>45345</c:v>
                      </c:pt>
                      <c:pt idx="28">
                        <c:v>45352</c:v>
                      </c:pt>
                      <c:pt idx="29">
                        <c:v>45359</c:v>
                      </c:pt>
                      <c:pt idx="30">
                        <c:v>45366</c:v>
                      </c:pt>
                      <c:pt idx="31">
                        <c:v>45373</c:v>
                      </c:pt>
                      <c:pt idx="32">
                        <c:v>45380</c:v>
                      </c:pt>
                      <c:pt idx="33">
                        <c:v>45387</c:v>
                      </c:pt>
                      <c:pt idx="34">
                        <c:v>45394</c:v>
                      </c:pt>
                      <c:pt idx="35">
                        <c:v>45401</c:v>
                      </c:pt>
                      <c:pt idx="36">
                        <c:v>45408</c:v>
                      </c:pt>
                      <c:pt idx="37">
                        <c:v>45415</c:v>
                      </c:pt>
                      <c:pt idx="38">
                        <c:v>45422</c:v>
                      </c:pt>
                      <c:pt idx="39">
                        <c:v>45429</c:v>
                      </c:pt>
                      <c:pt idx="40">
                        <c:v>45436</c:v>
                      </c:pt>
                      <c:pt idx="41">
                        <c:v>45443</c:v>
                      </c:pt>
                      <c:pt idx="42">
                        <c:v>45450</c:v>
                      </c:pt>
                      <c:pt idx="43">
                        <c:v>45457</c:v>
                      </c:pt>
                      <c:pt idx="44">
                        <c:v>45464</c:v>
                      </c:pt>
                      <c:pt idx="45">
                        <c:v>45471</c:v>
                      </c:pt>
                      <c:pt idx="46">
                        <c:v>45478</c:v>
                      </c:pt>
                      <c:pt idx="47">
                        <c:v>45485</c:v>
                      </c:pt>
                      <c:pt idx="48">
                        <c:v>45492</c:v>
                      </c:pt>
                      <c:pt idx="49">
                        <c:v>45499</c:v>
                      </c:pt>
                      <c:pt idx="50">
                        <c:v>45506</c:v>
                      </c:pt>
                      <c:pt idx="51">
                        <c:v>45513</c:v>
                      </c:pt>
                      <c:pt idx="52">
                        <c:v>45520</c:v>
                      </c:pt>
                      <c:pt idx="53">
                        <c:v>45527</c:v>
                      </c:pt>
                      <c:pt idx="54">
                        <c:v>45534</c:v>
                      </c:pt>
                      <c:pt idx="55">
                        <c:v>45541</c:v>
                      </c:pt>
                      <c:pt idx="56">
                        <c:v>45548</c:v>
                      </c:pt>
                      <c:pt idx="57">
                        <c:v>45555</c:v>
                      </c:pt>
                      <c:pt idx="58">
                        <c:v>45562</c:v>
                      </c:pt>
                      <c:pt idx="59">
                        <c:v>45569</c:v>
                      </c:pt>
                      <c:pt idx="60">
                        <c:v>45576</c:v>
                      </c:pt>
                      <c:pt idx="61">
                        <c:v>45583</c:v>
                      </c:pt>
                      <c:pt idx="62">
                        <c:v>45590</c:v>
                      </c:pt>
                      <c:pt idx="63">
                        <c:v>45597</c:v>
                      </c:pt>
                      <c:pt idx="64">
                        <c:v>45604</c:v>
                      </c:pt>
                      <c:pt idx="65">
                        <c:v>45611</c:v>
                      </c:pt>
                      <c:pt idx="66">
                        <c:v>45618</c:v>
                      </c:pt>
                      <c:pt idx="67">
                        <c:v>45625</c:v>
                      </c:pt>
                      <c:pt idx="68">
                        <c:v>45632</c:v>
                      </c:pt>
                      <c:pt idx="69">
                        <c:v>45639</c:v>
                      </c:pt>
                      <c:pt idx="70">
                        <c:v>45646</c:v>
                      </c:pt>
                      <c:pt idx="71">
                        <c:v>45653</c:v>
                      </c:pt>
                      <c:pt idx="72">
                        <c:v>45660</c:v>
                      </c:pt>
                      <c:pt idx="73">
                        <c:v>45667</c:v>
                      </c:pt>
                      <c:pt idx="74">
                        <c:v>45674</c:v>
                      </c:pt>
                      <c:pt idx="75">
                        <c:v>45681</c:v>
                      </c:pt>
                      <c:pt idx="76">
                        <c:v>45688</c:v>
                      </c:pt>
                      <c:pt idx="77">
                        <c:v>45695</c:v>
                      </c:pt>
                      <c:pt idx="78">
                        <c:v>45702</c:v>
                      </c:pt>
                      <c:pt idx="79">
                        <c:v>45709</c:v>
                      </c:pt>
                      <c:pt idx="80">
                        <c:v>45716</c:v>
                      </c:pt>
                      <c:pt idx="81">
                        <c:v>45723</c:v>
                      </c:pt>
                      <c:pt idx="82">
                        <c:v>45730</c:v>
                      </c:pt>
                      <c:pt idx="83">
                        <c:v>45737</c:v>
                      </c:pt>
                      <c:pt idx="84">
                        <c:v>45744</c:v>
                      </c:pt>
                      <c:pt idx="85">
                        <c:v>45751</c:v>
                      </c:pt>
                      <c:pt idx="86">
                        <c:v>45758</c:v>
                      </c:pt>
                      <c:pt idx="87">
                        <c:v>45765</c:v>
                      </c:pt>
                      <c:pt idx="88">
                        <c:v>45772</c:v>
                      </c:pt>
                      <c:pt idx="89">
                        <c:v>45779</c:v>
                      </c:pt>
                      <c:pt idx="90">
                        <c:v>45786</c:v>
                      </c:pt>
                      <c:pt idx="91">
                        <c:v>45793</c:v>
                      </c:pt>
                      <c:pt idx="92">
                        <c:v>45800</c:v>
                      </c:pt>
                      <c:pt idx="93">
                        <c:v>45807</c:v>
                      </c:pt>
                      <c:pt idx="94">
                        <c:v>45814</c:v>
                      </c:pt>
                      <c:pt idx="95">
                        <c:v>45821</c:v>
                      </c:pt>
                      <c:pt idx="96">
                        <c:v>45828</c:v>
                      </c:pt>
                      <c:pt idx="97">
                        <c:v>45835</c:v>
                      </c:pt>
                      <c:pt idx="98">
                        <c:v>45842</c:v>
                      </c:pt>
                      <c:pt idx="99">
                        <c:v>45849</c:v>
                      </c:pt>
                      <c:pt idx="100">
                        <c:v>45856</c:v>
                      </c:pt>
                      <c:pt idx="101">
                        <c:v>45863</c:v>
                      </c:pt>
                      <c:pt idx="102">
                        <c:v>45870</c:v>
                      </c:pt>
                      <c:pt idx="103">
                        <c:v>45877</c:v>
                      </c:pt>
                      <c:pt idx="104">
                        <c:v>45884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NWP!$AN$5:$AN$109</c15:sqref>
                        </c15:formulaRef>
                      </c:ext>
                    </c:extLst>
                    <c:numCache>
                      <c:formatCode>#,##0</c:formatCode>
                      <c:ptCount val="1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192321.92118037606</c:v>
                      </c:pt>
                      <c:pt idx="12">
                        <c:v>448751.14942087745</c:v>
                      </c:pt>
                      <c:pt idx="13">
                        <c:v>448751.14942087745</c:v>
                      </c:pt>
                      <c:pt idx="14">
                        <c:v>448751.14942087745</c:v>
                      </c:pt>
                      <c:pt idx="15">
                        <c:v>450275.47038929455</c:v>
                      </c:pt>
                      <c:pt idx="16">
                        <c:v>459421.39619979734</c:v>
                      </c:pt>
                      <c:pt idx="17">
                        <c:v>459421.39619979734</c:v>
                      </c:pt>
                      <c:pt idx="18">
                        <c:v>459421.39619979734</c:v>
                      </c:pt>
                      <c:pt idx="19">
                        <c:v>459421.39619979734</c:v>
                      </c:pt>
                      <c:pt idx="20">
                        <c:v>478285.96795419056</c:v>
                      </c:pt>
                      <c:pt idx="21">
                        <c:v>485831.79665594787</c:v>
                      </c:pt>
                      <c:pt idx="22">
                        <c:v>485831.79665594787</c:v>
                      </c:pt>
                      <c:pt idx="23">
                        <c:v>485831.79665594787</c:v>
                      </c:pt>
                      <c:pt idx="24">
                        <c:v>498851.73882080888</c:v>
                      </c:pt>
                      <c:pt idx="25">
                        <c:v>531401.5942329613</c:v>
                      </c:pt>
                      <c:pt idx="26">
                        <c:v>531401.5942329613</c:v>
                      </c:pt>
                      <c:pt idx="27">
                        <c:v>531401.5942329613</c:v>
                      </c:pt>
                      <c:pt idx="28">
                        <c:v>522482.18524351175</c:v>
                      </c:pt>
                      <c:pt idx="29">
                        <c:v>468965.73130681471</c:v>
                      </c:pt>
                      <c:pt idx="30">
                        <c:v>468965.73130681471</c:v>
                      </c:pt>
                      <c:pt idx="31">
                        <c:v>468965.73130681471</c:v>
                      </c:pt>
                      <c:pt idx="32">
                        <c:v>468965.73130681471</c:v>
                      </c:pt>
                      <c:pt idx="33">
                        <c:v>447027.14646487357</c:v>
                      </c:pt>
                      <c:pt idx="34">
                        <c:v>438251.71252809721</c:v>
                      </c:pt>
                      <c:pt idx="35">
                        <c:v>438251.71252809721</c:v>
                      </c:pt>
                      <c:pt idx="36">
                        <c:v>438251.71252809721</c:v>
                      </c:pt>
                      <c:pt idx="37">
                        <c:v>415534.01555675379</c:v>
                      </c:pt>
                      <c:pt idx="38">
                        <c:v>385243.75292829599</c:v>
                      </c:pt>
                      <c:pt idx="39">
                        <c:v>385243.75292829599</c:v>
                      </c:pt>
                      <c:pt idx="40">
                        <c:v>385243.75292829599</c:v>
                      </c:pt>
                      <c:pt idx="41">
                        <c:v>385243.75292829599</c:v>
                      </c:pt>
                      <c:pt idx="42">
                        <c:v>357597.79015777534</c:v>
                      </c:pt>
                      <c:pt idx="43">
                        <c:v>357597.79015777534</c:v>
                      </c:pt>
                      <c:pt idx="44">
                        <c:v>357597.79015777534</c:v>
                      </c:pt>
                      <c:pt idx="45">
                        <c:v>357597.79015777534</c:v>
                      </c:pt>
                      <c:pt idx="46">
                        <c:v>333289.22834686859</c:v>
                      </c:pt>
                      <c:pt idx="47">
                        <c:v>323565.80362250592</c:v>
                      </c:pt>
                      <c:pt idx="48">
                        <c:v>323565.80362250592</c:v>
                      </c:pt>
                      <c:pt idx="49">
                        <c:v>323565.80362250592</c:v>
                      </c:pt>
                      <c:pt idx="50">
                        <c:v>312055.47181998834</c:v>
                      </c:pt>
                      <c:pt idx="51">
                        <c:v>283279.64231369452</c:v>
                      </c:pt>
                      <c:pt idx="52">
                        <c:v>283279.64231369452</c:v>
                      </c:pt>
                      <c:pt idx="53">
                        <c:v>283279.64231369452</c:v>
                      </c:pt>
                      <c:pt idx="54">
                        <c:v>283279.64231369452</c:v>
                      </c:pt>
                      <c:pt idx="55">
                        <c:v>254668.4230007226</c:v>
                      </c:pt>
                      <c:pt idx="56">
                        <c:v>249899.88644856063</c:v>
                      </c:pt>
                      <c:pt idx="57">
                        <c:v>249899.88644856063</c:v>
                      </c:pt>
                      <c:pt idx="58">
                        <c:v>249899.88644856063</c:v>
                      </c:pt>
                      <c:pt idx="59">
                        <c:v>212669.18660480122</c:v>
                      </c:pt>
                      <c:pt idx="60">
                        <c:v>184746.16172198168</c:v>
                      </c:pt>
                      <c:pt idx="61">
                        <c:v>184746.16172198168</c:v>
                      </c:pt>
                      <c:pt idx="62">
                        <c:v>184746.16172198168</c:v>
                      </c:pt>
                      <c:pt idx="63">
                        <c:v>175533.49499770364</c:v>
                      </c:pt>
                      <c:pt idx="64">
                        <c:v>120257.49465203536</c:v>
                      </c:pt>
                      <c:pt idx="65">
                        <c:v>120257.49465203536</c:v>
                      </c:pt>
                      <c:pt idx="66">
                        <c:v>120257.49465203536</c:v>
                      </c:pt>
                      <c:pt idx="67">
                        <c:v>120257.49465203536</c:v>
                      </c:pt>
                      <c:pt idx="68">
                        <c:v>65280.866815896377</c:v>
                      </c:pt>
                      <c:pt idx="69">
                        <c:v>56118.095509873208</c:v>
                      </c:pt>
                      <c:pt idx="70">
                        <c:v>56118.095509873208</c:v>
                      </c:pt>
                      <c:pt idx="71">
                        <c:v>56118.095509873208</c:v>
                      </c:pt>
                      <c:pt idx="72">
                        <c:v>35397.047219791246</c:v>
                      </c:pt>
                      <c:pt idx="73">
                        <c:v>7768.9828330152886</c:v>
                      </c:pt>
                      <c:pt idx="74">
                        <c:v>7768.9828330152886</c:v>
                      </c:pt>
                      <c:pt idx="75">
                        <c:v>7768.9828330152886</c:v>
                      </c:pt>
                      <c:pt idx="76">
                        <c:v>7768.9828330152886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08C-4E54-8BB1-413107D96A00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v>Average NWP (Boom Subscription)</c:v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NWP!$AL$5:$AL$109</c:f>
              <c:numCache>
                <c:formatCode>#,##0</c:formatCode>
                <c:ptCount val="105"/>
                <c:pt idx="0">
                  <c:v>1682.5211459754526</c:v>
                </c:pt>
                <c:pt idx="1">
                  <c:v>1638.1649206722059</c:v>
                </c:pt>
                <c:pt idx="2">
                  <c:v>1530.8470372034396</c:v>
                </c:pt>
                <c:pt idx="3">
                  <c:v>1645.5867281520318</c:v>
                </c:pt>
                <c:pt idx="4">
                  <c:v>1609.1857256878491</c:v>
                </c:pt>
                <c:pt idx="5">
                  <c:v>1728.114638665844</c:v>
                </c:pt>
                <c:pt idx="6">
                  <c:v>1625.2015977881547</c:v>
                </c:pt>
                <c:pt idx="7">
                  <c:v>1601.8105646125614</c:v>
                </c:pt>
                <c:pt idx="8">
                  <c:v>1588.9402654734909</c:v>
                </c:pt>
                <c:pt idx="9">
                  <c:v>1470.7004864451417</c:v>
                </c:pt>
                <c:pt idx="10">
                  <c:v>1445.1590299355905</c:v>
                </c:pt>
                <c:pt idx="11">
                  <c:v>1453.2250851436979</c:v>
                </c:pt>
                <c:pt idx="12">
                  <c:v>1459.5416927751839</c:v>
                </c:pt>
                <c:pt idx="13">
                  <c:v>1338.0523132887286</c:v>
                </c:pt>
                <c:pt idx="14">
                  <c:v>1378.6613039701822</c:v>
                </c:pt>
                <c:pt idx="15">
                  <c:v>1421.280923717047</c:v>
                </c:pt>
                <c:pt idx="16">
                  <c:v>1419.5393985426138</c:v>
                </c:pt>
                <c:pt idx="17">
                  <c:v>1419.8010505404916</c:v>
                </c:pt>
                <c:pt idx="18">
                  <c:v>1445.4018254348766</c:v>
                </c:pt>
                <c:pt idx="19">
                  <c:v>1404.273647086181</c:v>
                </c:pt>
                <c:pt idx="20">
                  <c:v>1368.0146379205128</c:v>
                </c:pt>
                <c:pt idx="21">
                  <c:v>1417.8202473333401</c:v>
                </c:pt>
                <c:pt idx="22">
                  <c:v>1392.8963647961841</c:v>
                </c:pt>
                <c:pt idx="23">
                  <c:v>1376.8534420568512</c:v>
                </c:pt>
                <c:pt idx="24">
                  <c:v>1208.5297974678158</c:v>
                </c:pt>
                <c:pt idx="25">
                  <c:v>1172.5627861003707</c:v>
                </c:pt>
                <c:pt idx="26">
                  <c:v>1159.6901089444812</c:v>
                </c:pt>
                <c:pt idx="27">
                  <c:v>1192.7297785389346</c:v>
                </c:pt>
                <c:pt idx="28">
                  <c:v>1512.9431640089845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1002.2254660271367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735.22861065054326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8C-4E54-8BB1-413107D96A00}"/>
            </c:ext>
          </c:extLst>
        </c:ser>
        <c:ser>
          <c:idx val="3"/>
          <c:order val="3"/>
          <c:tx>
            <c:v>Average NWP - 4 Week Avg (Boom Subscription)</c:v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NWP!$AM$5:$AM$109</c:f>
              <c:numCache>
                <c:formatCode>#,##0</c:formatCode>
                <c:ptCount val="105"/>
                <c:pt idx="3">
                  <c:v>1624.2799580007827</c:v>
                </c:pt>
                <c:pt idx="4">
                  <c:v>1605.9461029288816</c:v>
                </c:pt>
                <c:pt idx="5">
                  <c:v>1628.4335324272911</c:v>
                </c:pt>
                <c:pt idx="6">
                  <c:v>1652.0221725734698</c:v>
                </c:pt>
                <c:pt idx="7">
                  <c:v>1641.0781316886023</c:v>
                </c:pt>
                <c:pt idx="8">
                  <c:v>1636.0167666350126</c:v>
                </c:pt>
                <c:pt idx="9">
                  <c:v>1571.6632285798371</c:v>
                </c:pt>
                <c:pt idx="10">
                  <c:v>1526.652586616696</c:v>
                </c:pt>
                <c:pt idx="11">
                  <c:v>1489.5062167494802</c:v>
                </c:pt>
                <c:pt idx="12">
                  <c:v>1457.1565735749034</c:v>
                </c:pt>
                <c:pt idx="13">
                  <c:v>1423.9945302858002</c:v>
                </c:pt>
                <c:pt idx="14">
                  <c:v>1407.3700987944483</c:v>
                </c:pt>
                <c:pt idx="15">
                  <c:v>1399.3840584377854</c:v>
                </c:pt>
                <c:pt idx="16">
                  <c:v>1389.3834848796428</c:v>
                </c:pt>
                <c:pt idx="17">
                  <c:v>1409.8206691925836</c:v>
                </c:pt>
                <c:pt idx="18">
                  <c:v>1426.5057995587572</c:v>
                </c:pt>
                <c:pt idx="19">
                  <c:v>1422.2539804010407</c:v>
                </c:pt>
                <c:pt idx="20">
                  <c:v>1409.3727902455155</c:v>
                </c:pt>
                <c:pt idx="21">
                  <c:v>1408.8775894437276</c:v>
                </c:pt>
                <c:pt idx="22">
                  <c:v>1395.7512242840544</c:v>
                </c:pt>
                <c:pt idx="23">
                  <c:v>1388.8961730267222</c:v>
                </c:pt>
                <c:pt idx="24">
                  <c:v>1349.0249629135478</c:v>
                </c:pt>
                <c:pt idx="25">
                  <c:v>1287.7105976053053</c:v>
                </c:pt>
                <c:pt idx="26">
                  <c:v>1229.4090336423797</c:v>
                </c:pt>
                <c:pt idx="27">
                  <c:v>1183.3781177629005</c:v>
                </c:pt>
                <c:pt idx="28">
                  <c:v>1259.4814593981928</c:v>
                </c:pt>
                <c:pt idx="29">
                  <c:v>966.34076287309995</c:v>
                </c:pt>
                <c:pt idx="30">
                  <c:v>676.41823563697972</c:v>
                </c:pt>
                <c:pt idx="31">
                  <c:v>378.23579100224612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250.55636650678417</c:v>
                </c:pt>
                <c:pt idx="45">
                  <c:v>250.55636650678417</c:v>
                </c:pt>
                <c:pt idx="46">
                  <c:v>250.55636650678417</c:v>
                </c:pt>
                <c:pt idx="47">
                  <c:v>250.55636650678417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183.80715266263581</c:v>
                </c:pt>
                <c:pt idx="71">
                  <c:v>183.80715266263581</c:v>
                </c:pt>
                <c:pt idx="72">
                  <c:v>183.80715266263581</c:v>
                </c:pt>
                <c:pt idx="73">
                  <c:v>183.80715266263581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8C-4E54-8BB1-413107D96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in val="8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Subscription (Excl. Monthly Rens):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NWP!$Z$4</c:f>
              <c:strCache>
                <c:ptCount val="1"/>
                <c:pt idx="0">
                  <c:v>NWP (Boom Subscription)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NWP!$Z$5:$Z$109</c:f>
              <c:numCache>
                <c:formatCode>#,##0</c:formatCode>
                <c:ptCount val="105"/>
                <c:pt idx="0">
                  <c:v>55992.097142875013</c:v>
                </c:pt>
                <c:pt idx="1">
                  <c:v>53844.601071418998</c:v>
                </c:pt>
                <c:pt idx="2">
                  <c:v>45745.557499989984</c:v>
                </c:pt>
                <c:pt idx="3">
                  <c:v>51633.655714320987</c:v>
                </c:pt>
                <c:pt idx="4">
                  <c:v>47941.423928584016</c:v>
                </c:pt>
                <c:pt idx="5">
                  <c:v>58741.732857160991</c:v>
                </c:pt>
                <c:pt idx="6">
                  <c:v>55629.851428544003</c:v>
                </c:pt>
                <c:pt idx="7">
                  <c:v>51931.923928585005</c:v>
                </c:pt>
                <c:pt idx="8">
                  <c:v>66162.430714364004</c:v>
                </c:pt>
                <c:pt idx="9">
                  <c:v>84746.101785641978</c:v>
                </c:pt>
                <c:pt idx="10">
                  <c:v>88960.199285759969</c:v>
                </c:pt>
                <c:pt idx="11">
                  <c:v>107443.36285706602</c:v>
                </c:pt>
                <c:pt idx="12">
                  <c:v>91939.163214335014</c:v>
                </c:pt>
                <c:pt idx="13">
                  <c:v>87891.026428606987</c:v>
                </c:pt>
                <c:pt idx="14">
                  <c:v>76357.495357054024</c:v>
                </c:pt>
                <c:pt idx="15">
                  <c:v>103217.614642984</c:v>
                </c:pt>
                <c:pt idx="16">
                  <c:v>83427.028571462957</c:v>
                </c:pt>
                <c:pt idx="17">
                  <c:v>82162.257500095016</c:v>
                </c:pt>
                <c:pt idx="18">
                  <c:v>84710.02499999298</c:v>
                </c:pt>
                <c:pt idx="19">
                  <c:v>64113.149285755004</c:v>
                </c:pt>
                <c:pt idx="20">
                  <c:v>69522.055357217003</c:v>
                </c:pt>
                <c:pt idx="21">
                  <c:v>76701.751071440012</c:v>
                </c:pt>
                <c:pt idx="22">
                  <c:v>78207.705714233001</c:v>
                </c:pt>
                <c:pt idx="23">
                  <c:v>58459.842857136995</c:v>
                </c:pt>
                <c:pt idx="24">
                  <c:v>32643.512500007993</c:v>
                </c:pt>
                <c:pt idx="25">
                  <c:v>15518.836428601</c:v>
                </c:pt>
                <c:pt idx="26">
                  <c:v>12953.041428577002</c:v>
                </c:pt>
                <c:pt idx="27">
                  <c:v>4653.6014285609999</c:v>
                </c:pt>
                <c:pt idx="28">
                  <c:v>115.74428571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999.47964286000001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733.21428571000001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5-48E4-97AD-F5B1502BD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NWP!$AA$4</c:f>
              <c:strCache>
                <c:ptCount val="1"/>
                <c:pt idx="0">
                  <c:v>NWP - 4 Week Avg (Boom Subscription)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NWP!$AA$5:$AA$109</c:f>
              <c:numCache>
                <c:formatCode>#,##0</c:formatCode>
                <c:ptCount val="105"/>
                <c:pt idx="3">
                  <c:v>51803.977857151243</c:v>
                </c:pt>
                <c:pt idx="4">
                  <c:v>49791.309553578496</c:v>
                </c:pt>
                <c:pt idx="5">
                  <c:v>51015.592500013991</c:v>
                </c:pt>
                <c:pt idx="6">
                  <c:v>53486.665982152503</c:v>
                </c:pt>
                <c:pt idx="7">
                  <c:v>53561.233035718498</c:v>
                </c:pt>
                <c:pt idx="8">
                  <c:v>58116.484732163502</c:v>
                </c:pt>
                <c:pt idx="9">
                  <c:v>64617.576964283748</c:v>
                </c:pt>
                <c:pt idx="10">
                  <c:v>72950.163928587746</c:v>
                </c:pt>
                <c:pt idx="11">
                  <c:v>86828.023660707986</c:v>
                </c:pt>
                <c:pt idx="12">
                  <c:v>93272.20678570075</c:v>
                </c:pt>
                <c:pt idx="13">
                  <c:v>94058.437946442005</c:v>
                </c:pt>
                <c:pt idx="14">
                  <c:v>90907.761964265519</c:v>
                </c:pt>
                <c:pt idx="15">
                  <c:v>89851.324910744996</c:v>
                </c:pt>
                <c:pt idx="16">
                  <c:v>87723.291250026989</c:v>
                </c:pt>
                <c:pt idx="17">
                  <c:v>86291.099017899003</c:v>
                </c:pt>
                <c:pt idx="18">
                  <c:v>88379.231428633735</c:v>
                </c:pt>
                <c:pt idx="19">
                  <c:v>78603.115089326486</c:v>
                </c:pt>
                <c:pt idx="20">
                  <c:v>75126.87178576499</c:v>
                </c:pt>
                <c:pt idx="21">
                  <c:v>73761.745178601253</c:v>
                </c:pt>
                <c:pt idx="22">
                  <c:v>72136.165357161255</c:v>
                </c:pt>
                <c:pt idx="23">
                  <c:v>70722.838750006747</c:v>
                </c:pt>
                <c:pt idx="24">
                  <c:v>61503.203035704501</c:v>
                </c:pt>
                <c:pt idx="25">
                  <c:v>46207.474374994745</c:v>
                </c:pt>
                <c:pt idx="26">
                  <c:v>29893.80830358075</c:v>
                </c:pt>
                <c:pt idx="27">
                  <c:v>16442.24794643675</c:v>
                </c:pt>
                <c:pt idx="28">
                  <c:v>8310.3058928622504</c:v>
                </c:pt>
                <c:pt idx="29">
                  <c:v>4430.5967857120004</c:v>
                </c:pt>
                <c:pt idx="30">
                  <c:v>1192.3364285677501</c:v>
                </c:pt>
                <c:pt idx="31">
                  <c:v>28.9360714275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249.869910715</c:v>
                </c:pt>
                <c:pt idx="45">
                  <c:v>249.869910715</c:v>
                </c:pt>
                <c:pt idx="46">
                  <c:v>249.869910715</c:v>
                </c:pt>
                <c:pt idx="47">
                  <c:v>249.869910715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183.3035714275</c:v>
                </c:pt>
                <c:pt idx="71">
                  <c:v>183.3035714275</c:v>
                </c:pt>
                <c:pt idx="72">
                  <c:v>183.3035714275</c:v>
                </c:pt>
                <c:pt idx="73">
                  <c:v>183.3035714275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5-48E4-97AD-F5B1502BD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NWP!$AD$4</c15:sqref>
                        </c15:formulaRef>
                      </c:ext>
                    </c:extLst>
                    <c:strCache>
                      <c:ptCount val="1"/>
                      <c:pt idx="0">
                        <c:v>Plan (Boom Subscription)</c:v>
                      </c:pt>
                    </c:strCache>
                  </c:strRef>
                </c:tx>
                <c:spPr>
                  <a:ln w="28575">
                    <a:solidFill>
                      <a:srgbClr val="009900"/>
                    </a:solidFill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NWP!$A$5:$A$109</c15:sqref>
                        </c15:formulaRef>
                      </c:ext>
                    </c:extLst>
                    <c:numCache>
                      <c:formatCode>m/d/yyyy</c:formatCode>
                      <c:ptCount val="105"/>
                      <c:pt idx="0">
                        <c:v>45156</c:v>
                      </c:pt>
                      <c:pt idx="1">
                        <c:v>45163</c:v>
                      </c:pt>
                      <c:pt idx="2">
                        <c:v>45170</c:v>
                      </c:pt>
                      <c:pt idx="3">
                        <c:v>45177</c:v>
                      </c:pt>
                      <c:pt idx="4">
                        <c:v>45184</c:v>
                      </c:pt>
                      <c:pt idx="5">
                        <c:v>45191</c:v>
                      </c:pt>
                      <c:pt idx="6">
                        <c:v>45198</c:v>
                      </c:pt>
                      <c:pt idx="7">
                        <c:v>45205</c:v>
                      </c:pt>
                      <c:pt idx="8">
                        <c:v>45212</c:v>
                      </c:pt>
                      <c:pt idx="9">
                        <c:v>45219</c:v>
                      </c:pt>
                      <c:pt idx="10">
                        <c:v>45226</c:v>
                      </c:pt>
                      <c:pt idx="11">
                        <c:v>45233</c:v>
                      </c:pt>
                      <c:pt idx="12">
                        <c:v>45240</c:v>
                      </c:pt>
                      <c:pt idx="13">
                        <c:v>45247</c:v>
                      </c:pt>
                      <c:pt idx="14">
                        <c:v>45254</c:v>
                      </c:pt>
                      <c:pt idx="15">
                        <c:v>45261</c:v>
                      </c:pt>
                      <c:pt idx="16">
                        <c:v>45268</c:v>
                      </c:pt>
                      <c:pt idx="17">
                        <c:v>45275</c:v>
                      </c:pt>
                      <c:pt idx="18">
                        <c:v>45282</c:v>
                      </c:pt>
                      <c:pt idx="19">
                        <c:v>45289</c:v>
                      </c:pt>
                      <c:pt idx="20">
                        <c:v>45296</c:v>
                      </c:pt>
                      <c:pt idx="21">
                        <c:v>45303</c:v>
                      </c:pt>
                      <c:pt idx="22">
                        <c:v>45310</c:v>
                      </c:pt>
                      <c:pt idx="23">
                        <c:v>45317</c:v>
                      </c:pt>
                      <c:pt idx="24">
                        <c:v>45324</c:v>
                      </c:pt>
                      <c:pt idx="25">
                        <c:v>45331</c:v>
                      </c:pt>
                      <c:pt idx="26">
                        <c:v>45338</c:v>
                      </c:pt>
                      <c:pt idx="27">
                        <c:v>45345</c:v>
                      </c:pt>
                      <c:pt idx="28">
                        <c:v>45352</c:v>
                      </c:pt>
                      <c:pt idx="29">
                        <c:v>45359</c:v>
                      </c:pt>
                      <c:pt idx="30">
                        <c:v>45366</c:v>
                      </c:pt>
                      <c:pt idx="31">
                        <c:v>45373</c:v>
                      </c:pt>
                      <c:pt idx="32">
                        <c:v>45380</c:v>
                      </c:pt>
                      <c:pt idx="33">
                        <c:v>45387</c:v>
                      </c:pt>
                      <c:pt idx="34">
                        <c:v>45394</c:v>
                      </c:pt>
                      <c:pt idx="35">
                        <c:v>45401</c:v>
                      </c:pt>
                      <c:pt idx="36">
                        <c:v>45408</c:v>
                      </c:pt>
                      <c:pt idx="37">
                        <c:v>45415</c:v>
                      </c:pt>
                      <c:pt idx="38">
                        <c:v>45422</c:v>
                      </c:pt>
                      <c:pt idx="39">
                        <c:v>45429</c:v>
                      </c:pt>
                      <c:pt idx="40">
                        <c:v>45436</c:v>
                      </c:pt>
                      <c:pt idx="41">
                        <c:v>45443</c:v>
                      </c:pt>
                      <c:pt idx="42">
                        <c:v>45450</c:v>
                      </c:pt>
                      <c:pt idx="43">
                        <c:v>45457</c:v>
                      </c:pt>
                      <c:pt idx="44">
                        <c:v>45464</c:v>
                      </c:pt>
                      <c:pt idx="45">
                        <c:v>45471</c:v>
                      </c:pt>
                      <c:pt idx="46">
                        <c:v>45478</c:v>
                      </c:pt>
                      <c:pt idx="47">
                        <c:v>45485</c:v>
                      </c:pt>
                      <c:pt idx="48">
                        <c:v>45492</c:v>
                      </c:pt>
                      <c:pt idx="49">
                        <c:v>45499</c:v>
                      </c:pt>
                      <c:pt idx="50">
                        <c:v>45506</c:v>
                      </c:pt>
                      <c:pt idx="51">
                        <c:v>45513</c:v>
                      </c:pt>
                      <c:pt idx="52">
                        <c:v>45520</c:v>
                      </c:pt>
                      <c:pt idx="53">
                        <c:v>45527</c:v>
                      </c:pt>
                      <c:pt idx="54">
                        <c:v>45534</c:v>
                      </c:pt>
                      <c:pt idx="55">
                        <c:v>45541</c:v>
                      </c:pt>
                      <c:pt idx="56">
                        <c:v>45548</c:v>
                      </c:pt>
                      <c:pt idx="57">
                        <c:v>45555</c:v>
                      </c:pt>
                      <c:pt idx="58">
                        <c:v>45562</c:v>
                      </c:pt>
                      <c:pt idx="59">
                        <c:v>45569</c:v>
                      </c:pt>
                      <c:pt idx="60">
                        <c:v>45576</c:v>
                      </c:pt>
                      <c:pt idx="61">
                        <c:v>45583</c:v>
                      </c:pt>
                      <c:pt idx="62">
                        <c:v>45590</c:v>
                      </c:pt>
                      <c:pt idx="63">
                        <c:v>45597</c:v>
                      </c:pt>
                      <c:pt idx="64">
                        <c:v>45604</c:v>
                      </c:pt>
                      <c:pt idx="65">
                        <c:v>45611</c:v>
                      </c:pt>
                      <c:pt idx="66">
                        <c:v>45618</c:v>
                      </c:pt>
                      <c:pt idx="67">
                        <c:v>45625</c:v>
                      </c:pt>
                      <c:pt idx="68">
                        <c:v>45632</c:v>
                      </c:pt>
                      <c:pt idx="69">
                        <c:v>45639</c:v>
                      </c:pt>
                      <c:pt idx="70">
                        <c:v>45646</c:v>
                      </c:pt>
                      <c:pt idx="71">
                        <c:v>45653</c:v>
                      </c:pt>
                      <c:pt idx="72">
                        <c:v>45660</c:v>
                      </c:pt>
                      <c:pt idx="73">
                        <c:v>45667</c:v>
                      </c:pt>
                      <c:pt idx="74">
                        <c:v>45674</c:v>
                      </c:pt>
                      <c:pt idx="75">
                        <c:v>45681</c:v>
                      </c:pt>
                      <c:pt idx="76">
                        <c:v>45688</c:v>
                      </c:pt>
                      <c:pt idx="77">
                        <c:v>45695</c:v>
                      </c:pt>
                      <c:pt idx="78">
                        <c:v>45702</c:v>
                      </c:pt>
                      <c:pt idx="79">
                        <c:v>45709</c:v>
                      </c:pt>
                      <c:pt idx="80">
                        <c:v>45716</c:v>
                      </c:pt>
                      <c:pt idx="81">
                        <c:v>45723</c:v>
                      </c:pt>
                      <c:pt idx="82">
                        <c:v>45730</c:v>
                      </c:pt>
                      <c:pt idx="83">
                        <c:v>45737</c:v>
                      </c:pt>
                      <c:pt idx="84">
                        <c:v>45744</c:v>
                      </c:pt>
                      <c:pt idx="85">
                        <c:v>45751</c:v>
                      </c:pt>
                      <c:pt idx="86">
                        <c:v>45758</c:v>
                      </c:pt>
                      <c:pt idx="87">
                        <c:v>45765</c:v>
                      </c:pt>
                      <c:pt idx="88">
                        <c:v>45772</c:v>
                      </c:pt>
                      <c:pt idx="89">
                        <c:v>45779</c:v>
                      </c:pt>
                      <c:pt idx="90">
                        <c:v>45786</c:v>
                      </c:pt>
                      <c:pt idx="91">
                        <c:v>45793</c:v>
                      </c:pt>
                      <c:pt idx="92">
                        <c:v>45800</c:v>
                      </c:pt>
                      <c:pt idx="93">
                        <c:v>45807</c:v>
                      </c:pt>
                      <c:pt idx="94">
                        <c:v>45814</c:v>
                      </c:pt>
                      <c:pt idx="95">
                        <c:v>45821</c:v>
                      </c:pt>
                      <c:pt idx="96">
                        <c:v>45828</c:v>
                      </c:pt>
                      <c:pt idx="97">
                        <c:v>45835</c:v>
                      </c:pt>
                      <c:pt idx="98">
                        <c:v>45842</c:v>
                      </c:pt>
                      <c:pt idx="99">
                        <c:v>45849</c:v>
                      </c:pt>
                      <c:pt idx="100">
                        <c:v>45856</c:v>
                      </c:pt>
                      <c:pt idx="101">
                        <c:v>45863</c:v>
                      </c:pt>
                      <c:pt idx="102">
                        <c:v>45870</c:v>
                      </c:pt>
                      <c:pt idx="103">
                        <c:v>45877</c:v>
                      </c:pt>
                      <c:pt idx="104">
                        <c:v>45884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NWP!$AD$5:$AD$109</c15:sqref>
                        </c15:formulaRef>
                      </c:ext>
                    </c:extLst>
                    <c:numCache>
                      <c:formatCode>#,##0</c:formatCode>
                      <c:ptCount val="1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BF5-48E4-97AD-F5B1502BD0B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strRef>
              <c:f>NWP!$AB$4</c:f>
              <c:strCache>
                <c:ptCount val="1"/>
                <c:pt idx="0">
                  <c:v>Average NWP (Boom Subscription)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NWP!$AB$5:$AB$109</c:f>
              <c:numCache>
                <c:formatCode>#,##0</c:formatCode>
                <c:ptCount val="105"/>
                <c:pt idx="0">
                  <c:v>1682.5211459754521</c:v>
                </c:pt>
                <c:pt idx="1">
                  <c:v>1638.1649206722052</c:v>
                </c:pt>
                <c:pt idx="2">
                  <c:v>1530.8470372034396</c:v>
                </c:pt>
                <c:pt idx="3">
                  <c:v>1645.5867281520314</c:v>
                </c:pt>
                <c:pt idx="4">
                  <c:v>1609.1857256878491</c:v>
                </c:pt>
                <c:pt idx="5">
                  <c:v>1728.1146386658431</c:v>
                </c:pt>
                <c:pt idx="6">
                  <c:v>1625.2015977881533</c:v>
                </c:pt>
                <c:pt idx="7">
                  <c:v>1601.8105646125616</c:v>
                </c:pt>
                <c:pt idx="8">
                  <c:v>1588.9402654734906</c:v>
                </c:pt>
                <c:pt idx="9">
                  <c:v>1470.700486445141</c:v>
                </c:pt>
                <c:pt idx="10">
                  <c:v>1445.1590299355896</c:v>
                </c:pt>
                <c:pt idx="11">
                  <c:v>1453.2250851436991</c:v>
                </c:pt>
                <c:pt idx="12">
                  <c:v>1459.5416927751835</c:v>
                </c:pt>
                <c:pt idx="13">
                  <c:v>1338.052313288729</c:v>
                </c:pt>
                <c:pt idx="14">
                  <c:v>1378.6613039701817</c:v>
                </c:pt>
                <c:pt idx="15">
                  <c:v>1421.2809237170477</c:v>
                </c:pt>
                <c:pt idx="16">
                  <c:v>1419.5393985426128</c:v>
                </c:pt>
                <c:pt idx="17">
                  <c:v>1419.8010505404918</c:v>
                </c:pt>
                <c:pt idx="18">
                  <c:v>1445.4018254348773</c:v>
                </c:pt>
                <c:pt idx="19">
                  <c:v>1404.2736470861819</c:v>
                </c:pt>
                <c:pt idx="20">
                  <c:v>1368.0146379205128</c:v>
                </c:pt>
                <c:pt idx="21">
                  <c:v>1417.8202473333406</c:v>
                </c:pt>
                <c:pt idx="22">
                  <c:v>1392.8963647961846</c:v>
                </c:pt>
                <c:pt idx="23">
                  <c:v>1376.8534420568515</c:v>
                </c:pt>
                <c:pt idx="24">
                  <c:v>1208.5297974678163</c:v>
                </c:pt>
                <c:pt idx="25">
                  <c:v>1172.5627861003711</c:v>
                </c:pt>
                <c:pt idx="26">
                  <c:v>1159.6901089444821</c:v>
                </c:pt>
                <c:pt idx="27">
                  <c:v>1192.7297785389342</c:v>
                </c:pt>
                <c:pt idx="28">
                  <c:v>1512.943164008984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1002.2254660271367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735.22861065054326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5-48E4-97AD-F5B1502BD0B3}"/>
            </c:ext>
          </c:extLst>
        </c:ser>
        <c:ser>
          <c:idx val="3"/>
          <c:order val="3"/>
          <c:tx>
            <c:strRef>
              <c:f>NWP!$AC$4</c:f>
              <c:strCache>
                <c:ptCount val="1"/>
                <c:pt idx="0">
                  <c:v>Average NWP - 4 Week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NWP!$AC$5:$AC$109</c:f>
              <c:numCache>
                <c:formatCode>#,##0</c:formatCode>
                <c:ptCount val="105"/>
                <c:pt idx="3">
                  <c:v>1624.279958000782</c:v>
                </c:pt>
                <c:pt idx="4">
                  <c:v>1605.9461029288814</c:v>
                </c:pt>
                <c:pt idx="5">
                  <c:v>1628.4335324272909</c:v>
                </c:pt>
                <c:pt idx="6">
                  <c:v>1652.0221725734691</c:v>
                </c:pt>
                <c:pt idx="7">
                  <c:v>1641.0781316886016</c:v>
                </c:pt>
                <c:pt idx="8">
                  <c:v>1636.0167666350121</c:v>
                </c:pt>
                <c:pt idx="9">
                  <c:v>1571.6632285798366</c:v>
                </c:pt>
                <c:pt idx="10">
                  <c:v>1526.6525866166955</c:v>
                </c:pt>
                <c:pt idx="11">
                  <c:v>1489.50621674948</c:v>
                </c:pt>
                <c:pt idx="12">
                  <c:v>1457.1565735749032</c:v>
                </c:pt>
                <c:pt idx="13">
                  <c:v>1423.9945302858002</c:v>
                </c:pt>
                <c:pt idx="14">
                  <c:v>1407.3700987944483</c:v>
                </c:pt>
                <c:pt idx="15">
                  <c:v>1399.3840584377854</c:v>
                </c:pt>
                <c:pt idx="16">
                  <c:v>1389.3834848796428</c:v>
                </c:pt>
                <c:pt idx="17">
                  <c:v>1409.8206691925834</c:v>
                </c:pt>
                <c:pt idx="18">
                  <c:v>1426.5057995587574</c:v>
                </c:pt>
                <c:pt idx="19">
                  <c:v>1422.253980401041</c:v>
                </c:pt>
                <c:pt idx="20">
                  <c:v>1409.3727902455159</c:v>
                </c:pt>
                <c:pt idx="21">
                  <c:v>1408.8775894437281</c:v>
                </c:pt>
                <c:pt idx="22">
                  <c:v>1395.7512242840548</c:v>
                </c:pt>
                <c:pt idx="23">
                  <c:v>1388.8961730267222</c:v>
                </c:pt>
                <c:pt idx="24">
                  <c:v>1349.0249629135481</c:v>
                </c:pt>
                <c:pt idx="25">
                  <c:v>1287.7105976053058</c:v>
                </c:pt>
                <c:pt idx="26">
                  <c:v>1229.4090336423801</c:v>
                </c:pt>
                <c:pt idx="27">
                  <c:v>1183.3781177629007</c:v>
                </c:pt>
                <c:pt idx="28">
                  <c:v>1259.4814593981928</c:v>
                </c:pt>
                <c:pt idx="29">
                  <c:v>966.34076287310018</c:v>
                </c:pt>
                <c:pt idx="30">
                  <c:v>676.41823563697949</c:v>
                </c:pt>
                <c:pt idx="31">
                  <c:v>378.235791002246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250.55636650678417</c:v>
                </c:pt>
                <c:pt idx="45">
                  <c:v>250.55636650678417</c:v>
                </c:pt>
                <c:pt idx="46">
                  <c:v>250.55636650678417</c:v>
                </c:pt>
                <c:pt idx="47">
                  <c:v>250.55636650678417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183.80715266263581</c:v>
                </c:pt>
                <c:pt idx="71">
                  <c:v>183.80715266263581</c:v>
                </c:pt>
                <c:pt idx="72">
                  <c:v>183.80715266263581</c:v>
                </c:pt>
                <c:pt idx="73">
                  <c:v>183.80715266263581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F5-48E4-97AD-F5B1502BD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</a:t>
                </a:r>
                <a:r>
                  <a:rPr lang="en-GB" baseline="0"/>
                  <a:t> (£)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ax val="3500"/>
          <c:min val="80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 Up Front: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NWP!$P$4</c:f>
              <c:strCache>
                <c:ptCount val="1"/>
                <c:pt idx="0">
                  <c:v>NWP (Boom Annual Up Front)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NWP!$P$5:$P$109</c:f>
              <c:numCache>
                <c:formatCode>#,##0</c:formatCode>
                <c:ptCount val="105"/>
                <c:pt idx="0">
                  <c:v>313019.05750031007</c:v>
                </c:pt>
                <c:pt idx="1">
                  <c:v>285617.52571419999</c:v>
                </c:pt>
                <c:pt idx="2">
                  <c:v>305002.12285679008</c:v>
                </c:pt>
                <c:pt idx="3">
                  <c:v>273590.93999977998</c:v>
                </c:pt>
                <c:pt idx="4">
                  <c:v>279702.78285706998</c:v>
                </c:pt>
                <c:pt idx="5">
                  <c:v>278899.31785701006</c:v>
                </c:pt>
                <c:pt idx="6">
                  <c:v>251583.88892861005</c:v>
                </c:pt>
                <c:pt idx="7">
                  <c:v>230097.24285725999</c:v>
                </c:pt>
                <c:pt idx="8">
                  <c:v>297094.78928515012</c:v>
                </c:pt>
                <c:pt idx="9">
                  <c:v>328777.55499933998</c:v>
                </c:pt>
                <c:pt idx="10">
                  <c:v>407247.66571464017</c:v>
                </c:pt>
                <c:pt idx="11">
                  <c:v>492766.30678541982</c:v>
                </c:pt>
                <c:pt idx="12">
                  <c:v>390191.20678604004</c:v>
                </c:pt>
                <c:pt idx="13">
                  <c:v>407178.65999954013</c:v>
                </c:pt>
                <c:pt idx="14">
                  <c:v>490071.10857140005</c:v>
                </c:pt>
                <c:pt idx="15">
                  <c:v>583265.74678548984</c:v>
                </c:pt>
                <c:pt idx="16">
                  <c:v>398178.81071426015</c:v>
                </c:pt>
                <c:pt idx="17">
                  <c:v>447443.34178487002</c:v>
                </c:pt>
                <c:pt idx="18">
                  <c:v>423643.06928532012</c:v>
                </c:pt>
                <c:pt idx="19">
                  <c:v>329936.13535706006</c:v>
                </c:pt>
                <c:pt idx="20">
                  <c:v>327474.48535736994</c:v>
                </c:pt>
                <c:pt idx="21">
                  <c:v>423050.98214287002</c:v>
                </c:pt>
                <c:pt idx="22">
                  <c:v>397201.53749989008</c:v>
                </c:pt>
                <c:pt idx="23">
                  <c:v>414127.75035702018</c:v>
                </c:pt>
                <c:pt idx="24">
                  <c:v>504155.11464202986</c:v>
                </c:pt>
                <c:pt idx="25">
                  <c:v>367842.01892865001</c:v>
                </c:pt>
                <c:pt idx="26">
                  <c:v>380205.34821431997</c:v>
                </c:pt>
                <c:pt idx="27">
                  <c:v>414785.64285664994</c:v>
                </c:pt>
                <c:pt idx="28">
                  <c:v>421316.64321447996</c:v>
                </c:pt>
                <c:pt idx="29">
                  <c:v>467340.34464269009</c:v>
                </c:pt>
                <c:pt idx="30">
                  <c:v>516965.95178590989</c:v>
                </c:pt>
                <c:pt idx="31">
                  <c:v>476958.36285760999</c:v>
                </c:pt>
                <c:pt idx="32">
                  <c:v>496705.00535713998</c:v>
                </c:pt>
                <c:pt idx="33">
                  <c:v>517584.54535756004</c:v>
                </c:pt>
                <c:pt idx="34">
                  <c:v>444127.71535676991</c:v>
                </c:pt>
                <c:pt idx="35">
                  <c:v>369908.36964304006</c:v>
                </c:pt>
                <c:pt idx="36">
                  <c:v>420772.27535733994</c:v>
                </c:pt>
                <c:pt idx="37">
                  <c:v>478500.11214215</c:v>
                </c:pt>
                <c:pt idx="38">
                  <c:v>388223.7474999</c:v>
                </c:pt>
                <c:pt idx="39">
                  <c:v>399909.87071469019</c:v>
                </c:pt>
                <c:pt idx="40">
                  <c:v>407844.73214318004</c:v>
                </c:pt>
                <c:pt idx="41">
                  <c:v>367440.54642915993</c:v>
                </c:pt>
                <c:pt idx="42">
                  <c:v>360100.40714303014</c:v>
                </c:pt>
                <c:pt idx="43">
                  <c:v>336105.2667857699</c:v>
                </c:pt>
                <c:pt idx="44">
                  <c:v>361864.00357124989</c:v>
                </c:pt>
                <c:pt idx="45">
                  <c:v>319480.45857111993</c:v>
                </c:pt>
                <c:pt idx="46">
                  <c:v>334771.29642862995</c:v>
                </c:pt>
                <c:pt idx="47">
                  <c:v>273667.25178571005</c:v>
                </c:pt>
                <c:pt idx="48">
                  <c:v>247286.94607125007</c:v>
                </c:pt>
                <c:pt idx="49">
                  <c:v>257703.77214298001</c:v>
                </c:pt>
                <c:pt idx="50">
                  <c:v>298666.65321463987</c:v>
                </c:pt>
                <c:pt idx="51">
                  <c:v>212622.64357133003</c:v>
                </c:pt>
                <c:pt idx="52">
                  <c:v>225552.50714311999</c:v>
                </c:pt>
                <c:pt idx="53">
                  <c:v>236051.01964273994</c:v>
                </c:pt>
                <c:pt idx="54">
                  <c:v>210493.44928551998</c:v>
                </c:pt>
                <c:pt idx="55">
                  <c:v>276036.71035728004</c:v>
                </c:pt>
                <c:pt idx="56">
                  <c:v>231396.34571414001</c:v>
                </c:pt>
                <c:pt idx="57">
                  <c:v>252142.13857165992</c:v>
                </c:pt>
                <c:pt idx="58">
                  <c:v>242244.03750013997</c:v>
                </c:pt>
                <c:pt idx="59">
                  <c:v>223519.12571467995</c:v>
                </c:pt>
                <c:pt idx="60">
                  <c:v>188907.06464302007</c:v>
                </c:pt>
                <c:pt idx="61">
                  <c:v>199199.03928545007</c:v>
                </c:pt>
                <c:pt idx="62">
                  <c:v>263874.65214267006</c:v>
                </c:pt>
                <c:pt idx="63">
                  <c:v>267540.47999994998</c:v>
                </c:pt>
                <c:pt idx="64">
                  <c:v>200149.47892895003</c:v>
                </c:pt>
                <c:pt idx="65">
                  <c:v>225009.74571425002</c:v>
                </c:pt>
                <c:pt idx="66">
                  <c:v>336902.94285678002</c:v>
                </c:pt>
                <c:pt idx="67">
                  <c:v>277881.89142839005</c:v>
                </c:pt>
                <c:pt idx="68">
                  <c:v>295611.88607181003</c:v>
                </c:pt>
                <c:pt idx="69">
                  <c:v>267776.7503569228</c:v>
                </c:pt>
                <c:pt idx="70">
                  <c:v>265513.19071465993</c:v>
                </c:pt>
                <c:pt idx="71">
                  <c:v>207133.22357116005</c:v>
                </c:pt>
                <c:pt idx="72">
                  <c:v>178162.81178603286</c:v>
                </c:pt>
                <c:pt idx="73">
                  <c:v>237054.03821462006</c:v>
                </c:pt>
                <c:pt idx="74">
                  <c:v>219780.97249973996</c:v>
                </c:pt>
                <c:pt idx="75">
                  <c:v>183433.01071439995</c:v>
                </c:pt>
                <c:pt idx="76">
                  <c:v>216774.16285734999</c:v>
                </c:pt>
                <c:pt idx="77">
                  <c:v>186125.53535706995</c:v>
                </c:pt>
                <c:pt idx="78">
                  <c:v>166826.85071400003</c:v>
                </c:pt>
                <c:pt idx="79">
                  <c:v>159080.18750020006</c:v>
                </c:pt>
                <c:pt idx="80">
                  <c:v>187675.14142844998</c:v>
                </c:pt>
                <c:pt idx="81">
                  <c:v>174287.98892822993</c:v>
                </c:pt>
                <c:pt idx="82">
                  <c:v>189021.92964290999</c:v>
                </c:pt>
                <c:pt idx="83">
                  <c:v>166262.41821395999</c:v>
                </c:pt>
                <c:pt idx="84">
                  <c:v>185372.90107152003</c:v>
                </c:pt>
                <c:pt idx="85">
                  <c:v>208072.66750027006</c:v>
                </c:pt>
                <c:pt idx="86">
                  <c:v>187658.42142874998</c:v>
                </c:pt>
                <c:pt idx="87">
                  <c:v>157295.61285700995</c:v>
                </c:pt>
                <c:pt idx="88">
                  <c:v>174947.03214283998</c:v>
                </c:pt>
                <c:pt idx="89">
                  <c:v>216081.86178546</c:v>
                </c:pt>
                <c:pt idx="90">
                  <c:v>187041.62821405003</c:v>
                </c:pt>
                <c:pt idx="91">
                  <c:v>192963.01607138009</c:v>
                </c:pt>
                <c:pt idx="92">
                  <c:v>160106.94928573008</c:v>
                </c:pt>
                <c:pt idx="93">
                  <c:v>174314.16178590999</c:v>
                </c:pt>
                <c:pt idx="94">
                  <c:v>175986.87785720002</c:v>
                </c:pt>
                <c:pt idx="95">
                  <c:v>157791.67928603993</c:v>
                </c:pt>
                <c:pt idx="96">
                  <c:v>157470.54071436994</c:v>
                </c:pt>
                <c:pt idx="97">
                  <c:v>167559.77678565003</c:v>
                </c:pt>
                <c:pt idx="98">
                  <c:v>193792.86321420007</c:v>
                </c:pt>
                <c:pt idx="99">
                  <c:v>175226.69178609006</c:v>
                </c:pt>
                <c:pt idx="100">
                  <c:v>147777.13142838003</c:v>
                </c:pt>
                <c:pt idx="101">
                  <c:v>162268.09178566001</c:v>
                </c:pt>
                <c:pt idx="102">
                  <c:v>127811.77821454997</c:v>
                </c:pt>
                <c:pt idx="103">
                  <c:v>129132.79964255002</c:v>
                </c:pt>
                <c:pt idx="104">
                  <c:v>144760.69499998004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E-4F75-86BF-7730BCE07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NWP!$Q$4</c:f>
              <c:strCache>
                <c:ptCount val="1"/>
                <c:pt idx="0">
                  <c:v>NWP - 4 Week Avg (Boom Annual Up Front)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NWP!$Q$5:$Q$109</c:f>
              <c:numCache>
                <c:formatCode>#,##0</c:formatCode>
                <c:ptCount val="105"/>
                <c:pt idx="3">
                  <c:v>294307.41151777003</c:v>
                </c:pt>
                <c:pt idx="4">
                  <c:v>285978.34285696002</c:v>
                </c:pt>
                <c:pt idx="5">
                  <c:v>284298.79089266254</c:v>
                </c:pt>
                <c:pt idx="6">
                  <c:v>270944.23241061752</c:v>
                </c:pt>
                <c:pt idx="7">
                  <c:v>260070.80812498752</c:v>
                </c:pt>
                <c:pt idx="8">
                  <c:v>264418.80973200756</c:v>
                </c:pt>
                <c:pt idx="9">
                  <c:v>276888.36901759007</c:v>
                </c:pt>
                <c:pt idx="10">
                  <c:v>315804.31321409752</c:v>
                </c:pt>
                <c:pt idx="11">
                  <c:v>381471.57919613749</c:v>
                </c:pt>
                <c:pt idx="12">
                  <c:v>404745.68357136002</c:v>
                </c:pt>
                <c:pt idx="13">
                  <c:v>424345.95982141001</c:v>
                </c:pt>
                <c:pt idx="14">
                  <c:v>445051.82053559995</c:v>
                </c:pt>
                <c:pt idx="15">
                  <c:v>467676.68053561752</c:v>
                </c:pt>
                <c:pt idx="16">
                  <c:v>469673.58151767257</c:v>
                </c:pt>
                <c:pt idx="17">
                  <c:v>479739.751964005</c:v>
                </c:pt>
                <c:pt idx="18">
                  <c:v>463132.74214248505</c:v>
                </c:pt>
                <c:pt idx="19">
                  <c:v>399800.33928537759</c:v>
                </c:pt>
                <c:pt idx="20">
                  <c:v>382124.25794615503</c:v>
                </c:pt>
                <c:pt idx="21">
                  <c:v>376026.16803565505</c:v>
                </c:pt>
                <c:pt idx="22">
                  <c:v>369415.78508929757</c:v>
                </c:pt>
                <c:pt idx="23">
                  <c:v>390463.68883928756</c:v>
                </c:pt>
                <c:pt idx="24">
                  <c:v>434633.84616045252</c:v>
                </c:pt>
                <c:pt idx="25">
                  <c:v>420831.60535689752</c:v>
                </c:pt>
                <c:pt idx="26">
                  <c:v>416582.558035505</c:v>
                </c:pt>
                <c:pt idx="27">
                  <c:v>416747.03116041247</c:v>
                </c:pt>
                <c:pt idx="28">
                  <c:v>396037.41330352495</c:v>
                </c:pt>
                <c:pt idx="29">
                  <c:v>420911.99473203503</c:v>
                </c:pt>
                <c:pt idx="30">
                  <c:v>455102.14562493248</c:v>
                </c:pt>
                <c:pt idx="31">
                  <c:v>470645.32562517247</c:v>
                </c:pt>
                <c:pt idx="32">
                  <c:v>489492.41616083746</c:v>
                </c:pt>
                <c:pt idx="33">
                  <c:v>502053.46633955499</c:v>
                </c:pt>
                <c:pt idx="34">
                  <c:v>483843.90723226999</c:v>
                </c:pt>
                <c:pt idx="35">
                  <c:v>457081.4089286275</c:v>
                </c:pt>
                <c:pt idx="36">
                  <c:v>438098.2264286775</c:v>
                </c:pt>
                <c:pt idx="37">
                  <c:v>428327.11812482501</c:v>
                </c:pt>
                <c:pt idx="38">
                  <c:v>414351.1261606075</c:v>
                </c:pt>
                <c:pt idx="39">
                  <c:v>421851.50142852007</c:v>
                </c:pt>
                <c:pt idx="40">
                  <c:v>418619.61562498007</c:v>
                </c:pt>
                <c:pt idx="41">
                  <c:v>390854.72419673251</c:v>
                </c:pt>
                <c:pt idx="42">
                  <c:v>383823.88910751505</c:v>
                </c:pt>
                <c:pt idx="43">
                  <c:v>367872.73812528502</c:v>
                </c:pt>
                <c:pt idx="44">
                  <c:v>356377.55598230253</c:v>
                </c:pt>
                <c:pt idx="45">
                  <c:v>344387.5340177925</c:v>
                </c:pt>
                <c:pt idx="46">
                  <c:v>338055.25633919239</c:v>
                </c:pt>
                <c:pt idx="47">
                  <c:v>322445.75258917746</c:v>
                </c:pt>
                <c:pt idx="48">
                  <c:v>293801.48821417749</c:v>
                </c:pt>
                <c:pt idx="49">
                  <c:v>278357.31660714251</c:v>
                </c:pt>
                <c:pt idx="50">
                  <c:v>269331.15580364503</c:v>
                </c:pt>
                <c:pt idx="51">
                  <c:v>254070.00375004997</c:v>
                </c:pt>
                <c:pt idx="52">
                  <c:v>248636.39401801745</c:v>
                </c:pt>
                <c:pt idx="53">
                  <c:v>243223.20589295743</c:v>
                </c:pt>
                <c:pt idx="54">
                  <c:v>221179.90491067749</c:v>
                </c:pt>
                <c:pt idx="55">
                  <c:v>237033.42160716502</c:v>
                </c:pt>
                <c:pt idx="56">
                  <c:v>238494.38124992</c:v>
                </c:pt>
                <c:pt idx="57">
                  <c:v>242517.16098214997</c:v>
                </c:pt>
                <c:pt idx="58">
                  <c:v>250454.80803580501</c:v>
                </c:pt>
                <c:pt idx="59">
                  <c:v>237325.41187515494</c:v>
                </c:pt>
                <c:pt idx="60">
                  <c:v>226703.09160737495</c:v>
                </c:pt>
                <c:pt idx="61">
                  <c:v>213467.31678582251</c:v>
                </c:pt>
                <c:pt idx="62">
                  <c:v>218874.970446455</c:v>
                </c:pt>
                <c:pt idx="63">
                  <c:v>229880.30901777255</c:v>
                </c:pt>
                <c:pt idx="64">
                  <c:v>232690.91258925505</c:v>
                </c:pt>
                <c:pt idx="65">
                  <c:v>239143.58919645502</c:v>
                </c:pt>
                <c:pt idx="66">
                  <c:v>257400.66187498253</c:v>
                </c:pt>
                <c:pt idx="67">
                  <c:v>259986.01473209253</c:v>
                </c:pt>
                <c:pt idx="68">
                  <c:v>283851.61651780753</c:v>
                </c:pt>
                <c:pt idx="69">
                  <c:v>294543.36767847574</c:v>
                </c:pt>
                <c:pt idx="70">
                  <c:v>276695.9296429457</c:v>
                </c:pt>
                <c:pt idx="71">
                  <c:v>259008.76267863822</c:v>
                </c:pt>
                <c:pt idx="72">
                  <c:v>229646.49410719392</c:v>
                </c:pt>
                <c:pt idx="73">
                  <c:v>221965.81607161823</c:v>
                </c:pt>
                <c:pt idx="74">
                  <c:v>210532.76151788823</c:v>
                </c:pt>
                <c:pt idx="75">
                  <c:v>204607.70830369822</c:v>
                </c:pt>
                <c:pt idx="76">
                  <c:v>214260.5460715275</c:v>
                </c:pt>
                <c:pt idx="77">
                  <c:v>201528.42035713996</c:v>
                </c:pt>
                <c:pt idx="78">
                  <c:v>188289.88991070498</c:v>
                </c:pt>
                <c:pt idx="79">
                  <c:v>182201.68410715502</c:v>
                </c:pt>
                <c:pt idx="80">
                  <c:v>174926.92874993</c:v>
                </c:pt>
                <c:pt idx="81">
                  <c:v>171967.54214271999</c:v>
                </c:pt>
                <c:pt idx="82">
                  <c:v>177516.31187494748</c:v>
                </c:pt>
                <c:pt idx="83">
                  <c:v>179311.86955338749</c:v>
                </c:pt>
                <c:pt idx="84">
                  <c:v>178736.309464155</c:v>
                </c:pt>
                <c:pt idx="85">
                  <c:v>187182.47910716501</c:v>
                </c:pt>
                <c:pt idx="86">
                  <c:v>186841.60205362504</c:v>
                </c:pt>
                <c:pt idx="87">
                  <c:v>184599.90071438754</c:v>
                </c:pt>
                <c:pt idx="88">
                  <c:v>181993.43348221749</c:v>
                </c:pt>
                <c:pt idx="89">
                  <c:v>183995.73205351498</c:v>
                </c:pt>
                <c:pt idx="90">
                  <c:v>183841.53374983999</c:v>
                </c:pt>
                <c:pt idx="91">
                  <c:v>192758.38455343252</c:v>
                </c:pt>
                <c:pt idx="92">
                  <c:v>189048.36383915506</c:v>
                </c:pt>
                <c:pt idx="93">
                  <c:v>178606.43883926756</c:v>
                </c:pt>
                <c:pt idx="94">
                  <c:v>175842.75125005504</c:v>
                </c:pt>
                <c:pt idx="95">
                  <c:v>167049.91705371998</c:v>
                </c:pt>
                <c:pt idx="96">
                  <c:v>166390.81491087997</c:v>
                </c:pt>
                <c:pt idx="97">
                  <c:v>164702.21866081498</c:v>
                </c:pt>
                <c:pt idx="98">
                  <c:v>169153.71500006499</c:v>
                </c:pt>
                <c:pt idx="99">
                  <c:v>173512.46812507752</c:v>
                </c:pt>
                <c:pt idx="100">
                  <c:v>171089.11580358003</c:v>
                </c:pt>
                <c:pt idx="101">
                  <c:v>169766.19455358255</c:v>
                </c:pt>
                <c:pt idx="102">
                  <c:v>153270.92330367002</c:v>
                </c:pt>
                <c:pt idx="103">
                  <c:v>141747.45026778503</c:v>
                </c:pt>
                <c:pt idx="104">
                  <c:v>140993.341160685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E-4F75-86BF-7730BCE07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NWP!$T$4</c15:sqref>
                        </c15:formulaRef>
                      </c:ext>
                    </c:extLst>
                    <c:strCache>
                      <c:ptCount val="1"/>
                      <c:pt idx="0">
                        <c:v>Plan (Boom Annual Up Front)</c:v>
                      </c:pt>
                    </c:strCache>
                  </c:strRef>
                </c:tx>
                <c:spPr>
                  <a:ln w="28575">
                    <a:solidFill>
                      <a:srgbClr val="001141"/>
                    </a:solidFill>
                    <a:prstDash val="sys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NWP!$A$5:$A$109</c15:sqref>
                        </c15:formulaRef>
                      </c:ext>
                    </c:extLst>
                    <c:numCache>
                      <c:formatCode>m/d/yyyy</c:formatCode>
                      <c:ptCount val="105"/>
                      <c:pt idx="0">
                        <c:v>45156</c:v>
                      </c:pt>
                      <c:pt idx="1">
                        <c:v>45163</c:v>
                      </c:pt>
                      <c:pt idx="2">
                        <c:v>45170</c:v>
                      </c:pt>
                      <c:pt idx="3">
                        <c:v>45177</c:v>
                      </c:pt>
                      <c:pt idx="4">
                        <c:v>45184</c:v>
                      </c:pt>
                      <c:pt idx="5">
                        <c:v>45191</c:v>
                      </c:pt>
                      <c:pt idx="6">
                        <c:v>45198</c:v>
                      </c:pt>
                      <c:pt idx="7">
                        <c:v>45205</c:v>
                      </c:pt>
                      <c:pt idx="8">
                        <c:v>45212</c:v>
                      </c:pt>
                      <c:pt idx="9">
                        <c:v>45219</c:v>
                      </c:pt>
                      <c:pt idx="10">
                        <c:v>45226</c:v>
                      </c:pt>
                      <c:pt idx="11">
                        <c:v>45233</c:v>
                      </c:pt>
                      <c:pt idx="12">
                        <c:v>45240</c:v>
                      </c:pt>
                      <c:pt idx="13">
                        <c:v>45247</c:v>
                      </c:pt>
                      <c:pt idx="14">
                        <c:v>45254</c:v>
                      </c:pt>
                      <c:pt idx="15">
                        <c:v>45261</c:v>
                      </c:pt>
                      <c:pt idx="16">
                        <c:v>45268</c:v>
                      </c:pt>
                      <c:pt idx="17">
                        <c:v>45275</c:v>
                      </c:pt>
                      <c:pt idx="18">
                        <c:v>45282</c:v>
                      </c:pt>
                      <c:pt idx="19">
                        <c:v>45289</c:v>
                      </c:pt>
                      <c:pt idx="20">
                        <c:v>45296</c:v>
                      </c:pt>
                      <c:pt idx="21">
                        <c:v>45303</c:v>
                      </c:pt>
                      <c:pt idx="22">
                        <c:v>45310</c:v>
                      </c:pt>
                      <c:pt idx="23">
                        <c:v>45317</c:v>
                      </c:pt>
                      <c:pt idx="24">
                        <c:v>45324</c:v>
                      </c:pt>
                      <c:pt idx="25">
                        <c:v>45331</c:v>
                      </c:pt>
                      <c:pt idx="26">
                        <c:v>45338</c:v>
                      </c:pt>
                      <c:pt idx="27">
                        <c:v>45345</c:v>
                      </c:pt>
                      <c:pt idx="28">
                        <c:v>45352</c:v>
                      </c:pt>
                      <c:pt idx="29">
                        <c:v>45359</c:v>
                      </c:pt>
                      <c:pt idx="30">
                        <c:v>45366</c:v>
                      </c:pt>
                      <c:pt idx="31">
                        <c:v>45373</c:v>
                      </c:pt>
                      <c:pt idx="32">
                        <c:v>45380</c:v>
                      </c:pt>
                      <c:pt idx="33">
                        <c:v>45387</c:v>
                      </c:pt>
                      <c:pt idx="34">
                        <c:v>45394</c:v>
                      </c:pt>
                      <c:pt idx="35">
                        <c:v>45401</c:v>
                      </c:pt>
                      <c:pt idx="36">
                        <c:v>45408</c:v>
                      </c:pt>
                      <c:pt idx="37">
                        <c:v>45415</c:v>
                      </c:pt>
                      <c:pt idx="38">
                        <c:v>45422</c:v>
                      </c:pt>
                      <c:pt idx="39">
                        <c:v>45429</c:v>
                      </c:pt>
                      <c:pt idx="40">
                        <c:v>45436</c:v>
                      </c:pt>
                      <c:pt idx="41">
                        <c:v>45443</c:v>
                      </c:pt>
                      <c:pt idx="42">
                        <c:v>45450</c:v>
                      </c:pt>
                      <c:pt idx="43">
                        <c:v>45457</c:v>
                      </c:pt>
                      <c:pt idx="44">
                        <c:v>45464</c:v>
                      </c:pt>
                      <c:pt idx="45">
                        <c:v>45471</c:v>
                      </c:pt>
                      <c:pt idx="46">
                        <c:v>45478</c:v>
                      </c:pt>
                      <c:pt idx="47">
                        <c:v>45485</c:v>
                      </c:pt>
                      <c:pt idx="48">
                        <c:v>45492</c:v>
                      </c:pt>
                      <c:pt idx="49">
                        <c:v>45499</c:v>
                      </c:pt>
                      <c:pt idx="50">
                        <c:v>45506</c:v>
                      </c:pt>
                      <c:pt idx="51">
                        <c:v>45513</c:v>
                      </c:pt>
                      <c:pt idx="52">
                        <c:v>45520</c:v>
                      </c:pt>
                      <c:pt idx="53">
                        <c:v>45527</c:v>
                      </c:pt>
                      <c:pt idx="54">
                        <c:v>45534</c:v>
                      </c:pt>
                      <c:pt idx="55">
                        <c:v>45541</c:v>
                      </c:pt>
                      <c:pt idx="56">
                        <c:v>45548</c:v>
                      </c:pt>
                      <c:pt idx="57">
                        <c:v>45555</c:v>
                      </c:pt>
                      <c:pt idx="58">
                        <c:v>45562</c:v>
                      </c:pt>
                      <c:pt idx="59">
                        <c:v>45569</c:v>
                      </c:pt>
                      <c:pt idx="60">
                        <c:v>45576</c:v>
                      </c:pt>
                      <c:pt idx="61">
                        <c:v>45583</c:v>
                      </c:pt>
                      <c:pt idx="62">
                        <c:v>45590</c:v>
                      </c:pt>
                      <c:pt idx="63">
                        <c:v>45597</c:v>
                      </c:pt>
                      <c:pt idx="64">
                        <c:v>45604</c:v>
                      </c:pt>
                      <c:pt idx="65">
                        <c:v>45611</c:v>
                      </c:pt>
                      <c:pt idx="66">
                        <c:v>45618</c:v>
                      </c:pt>
                      <c:pt idx="67">
                        <c:v>45625</c:v>
                      </c:pt>
                      <c:pt idx="68">
                        <c:v>45632</c:v>
                      </c:pt>
                      <c:pt idx="69">
                        <c:v>45639</c:v>
                      </c:pt>
                      <c:pt idx="70">
                        <c:v>45646</c:v>
                      </c:pt>
                      <c:pt idx="71">
                        <c:v>45653</c:v>
                      </c:pt>
                      <c:pt idx="72">
                        <c:v>45660</c:v>
                      </c:pt>
                      <c:pt idx="73">
                        <c:v>45667</c:v>
                      </c:pt>
                      <c:pt idx="74">
                        <c:v>45674</c:v>
                      </c:pt>
                      <c:pt idx="75">
                        <c:v>45681</c:v>
                      </c:pt>
                      <c:pt idx="76">
                        <c:v>45688</c:v>
                      </c:pt>
                      <c:pt idx="77">
                        <c:v>45695</c:v>
                      </c:pt>
                      <c:pt idx="78">
                        <c:v>45702</c:v>
                      </c:pt>
                      <c:pt idx="79">
                        <c:v>45709</c:v>
                      </c:pt>
                      <c:pt idx="80">
                        <c:v>45716</c:v>
                      </c:pt>
                      <c:pt idx="81">
                        <c:v>45723</c:v>
                      </c:pt>
                      <c:pt idx="82">
                        <c:v>45730</c:v>
                      </c:pt>
                      <c:pt idx="83">
                        <c:v>45737</c:v>
                      </c:pt>
                      <c:pt idx="84">
                        <c:v>45744</c:v>
                      </c:pt>
                      <c:pt idx="85">
                        <c:v>45751</c:v>
                      </c:pt>
                      <c:pt idx="86">
                        <c:v>45758</c:v>
                      </c:pt>
                      <c:pt idx="87">
                        <c:v>45765</c:v>
                      </c:pt>
                      <c:pt idx="88">
                        <c:v>45772</c:v>
                      </c:pt>
                      <c:pt idx="89">
                        <c:v>45779</c:v>
                      </c:pt>
                      <c:pt idx="90">
                        <c:v>45786</c:v>
                      </c:pt>
                      <c:pt idx="91">
                        <c:v>45793</c:v>
                      </c:pt>
                      <c:pt idx="92">
                        <c:v>45800</c:v>
                      </c:pt>
                      <c:pt idx="93">
                        <c:v>45807</c:v>
                      </c:pt>
                      <c:pt idx="94">
                        <c:v>45814</c:v>
                      </c:pt>
                      <c:pt idx="95">
                        <c:v>45821</c:v>
                      </c:pt>
                      <c:pt idx="96">
                        <c:v>45828</c:v>
                      </c:pt>
                      <c:pt idx="97">
                        <c:v>45835</c:v>
                      </c:pt>
                      <c:pt idx="98">
                        <c:v>45842</c:v>
                      </c:pt>
                      <c:pt idx="99">
                        <c:v>45849</c:v>
                      </c:pt>
                      <c:pt idx="100">
                        <c:v>45856</c:v>
                      </c:pt>
                      <c:pt idx="101">
                        <c:v>45863</c:v>
                      </c:pt>
                      <c:pt idx="102">
                        <c:v>45870</c:v>
                      </c:pt>
                      <c:pt idx="103">
                        <c:v>45877</c:v>
                      </c:pt>
                      <c:pt idx="104">
                        <c:v>45884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NWP!$T$5:$T$109</c15:sqref>
                        </c15:formulaRef>
                      </c:ext>
                    </c:extLst>
                    <c:numCache>
                      <c:formatCode>#,##0</c:formatCode>
                      <c:ptCount val="1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131927.59606993489</c:v>
                      </c:pt>
                      <c:pt idx="12">
                        <c:v>307831.05749651475</c:v>
                      </c:pt>
                      <c:pt idx="13">
                        <c:v>307831.05749651475</c:v>
                      </c:pt>
                      <c:pt idx="14">
                        <c:v>307831.05749651475</c:v>
                      </c:pt>
                      <c:pt idx="15">
                        <c:v>303871.43716678128</c:v>
                      </c:pt>
                      <c:pt idx="16">
                        <c:v>280113.71518838068</c:v>
                      </c:pt>
                      <c:pt idx="17">
                        <c:v>280113.71518838068</c:v>
                      </c:pt>
                      <c:pt idx="18">
                        <c:v>280113.71518838068</c:v>
                      </c:pt>
                      <c:pt idx="19">
                        <c:v>280113.71518838068</c:v>
                      </c:pt>
                      <c:pt idx="20">
                        <c:v>298840.09062121337</c:v>
                      </c:pt>
                      <c:pt idx="21">
                        <c:v>306330.64079434652</c:v>
                      </c:pt>
                      <c:pt idx="22">
                        <c:v>306330.64079434652</c:v>
                      </c:pt>
                      <c:pt idx="23">
                        <c:v>306330.64079434652</c:v>
                      </c:pt>
                      <c:pt idx="24">
                        <c:v>319747.18340343906</c:v>
                      </c:pt>
                      <c:pt idx="25">
                        <c:v>353288.53992617055</c:v>
                      </c:pt>
                      <c:pt idx="26">
                        <c:v>353288.53992617055</c:v>
                      </c:pt>
                      <c:pt idx="27">
                        <c:v>353288.53992617055</c:v>
                      </c:pt>
                      <c:pt idx="28">
                        <c:v>351947.88281570189</c:v>
                      </c:pt>
                      <c:pt idx="29">
                        <c:v>343903.94015289005</c:v>
                      </c:pt>
                      <c:pt idx="30">
                        <c:v>343903.94015289005</c:v>
                      </c:pt>
                      <c:pt idx="31">
                        <c:v>343903.94015289005</c:v>
                      </c:pt>
                      <c:pt idx="32">
                        <c:v>343903.94015289005</c:v>
                      </c:pt>
                      <c:pt idx="33">
                        <c:v>360431.43856185849</c:v>
                      </c:pt>
                      <c:pt idx="34">
                        <c:v>367042.43792544591</c:v>
                      </c:pt>
                      <c:pt idx="35">
                        <c:v>367042.43792544591</c:v>
                      </c:pt>
                      <c:pt idx="36">
                        <c:v>367042.43792544591</c:v>
                      </c:pt>
                      <c:pt idx="37">
                        <c:v>363824.00268059701</c:v>
                      </c:pt>
                      <c:pt idx="38">
                        <c:v>359532.75568746519</c:v>
                      </c:pt>
                      <c:pt idx="39">
                        <c:v>359532.75568746519</c:v>
                      </c:pt>
                      <c:pt idx="40">
                        <c:v>359532.75568746519</c:v>
                      </c:pt>
                      <c:pt idx="41">
                        <c:v>359532.75568746519</c:v>
                      </c:pt>
                      <c:pt idx="42">
                        <c:v>378514.85393813183</c:v>
                      </c:pt>
                      <c:pt idx="43">
                        <c:v>378514.85393813183</c:v>
                      </c:pt>
                      <c:pt idx="44">
                        <c:v>378514.85393813183</c:v>
                      </c:pt>
                      <c:pt idx="45">
                        <c:v>378514.85393813183</c:v>
                      </c:pt>
                      <c:pt idx="46">
                        <c:v>301334.29680523596</c:v>
                      </c:pt>
                      <c:pt idx="47">
                        <c:v>270462.07395207754</c:v>
                      </c:pt>
                      <c:pt idx="48">
                        <c:v>270462.07395207754</c:v>
                      </c:pt>
                      <c:pt idx="49">
                        <c:v>270462.07395207754</c:v>
                      </c:pt>
                      <c:pt idx="50">
                        <c:v>269485.4230242864</c:v>
                      </c:pt>
                      <c:pt idx="51">
                        <c:v>267043.79570480861</c:v>
                      </c:pt>
                      <c:pt idx="52">
                        <c:v>267043.79570480861</c:v>
                      </c:pt>
                      <c:pt idx="53">
                        <c:v>267043.79570480861</c:v>
                      </c:pt>
                      <c:pt idx="54">
                        <c:v>267043.79570480861</c:v>
                      </c:pt>
                      <c:pt idx="55">
                        <c:v>362180.86348841386</c:v>
                      </c:pt>
                      <c:pt idx="56">
                        <c:v>378037.041452348</c:v>
                      </c:pt>
                      <c:pt idx="57">
                        <c:v>378037.041452348</c:v>
                      </c:pt>
                      <c:pt idx="58">
                        <c:v>378037.041452348</c:v>
                      </c:pt>
                      <c:pt idx="59">
                        <c:v>389667.35137785226</c:v>
                      </c:pt>
                      <c:pt idx="60">
                        <c:v>398390.08382198046</c:v>
                      </c:pt>
                      <c:pt idx="61">
                        <c:v>398390.08382198046</c:v>
                      </c:pt>
                      <c:pt idx="62">
                        <c:v>398390.08382198046</c:v>
                      </c:pt>
                      <c:pt idx="63">
                        <c:v>392018.76863050368</c:v>
                      </c:pt>
                      <c:pt idx="64">
                        <c:v>353790.87748164323</c:v>
                      </c:pt>
                      <c:pt idx="65">
                        <c:v>353790.87748164323</c:v>
                      </c:pt>
                      <c:pt idx="66">
                        <c:v>353790.87748164323</c:v>
                      </c:pt>
                      <c:pt idx="67">
                        <c:v>353790.87748164323</c:v>
                      </c:pt>
                      <c:pt idx="68">
                        <c:v>317050.70358694741</c:v>
                      </c:pt>
                      <c:pt idx="69">
                        <c:v>310927.34127116471</c:v>
                      </c:pt>
                      <c:pt idx="70">
                        <c:v>310927.34127116471</c:v>
                      </c:pt>
                      <c:pt idx="71">
                        <c:v>310927.34127116471</c:v>
                      </c:pt>
                      <c:pt idx="72">
                        <c:v>431240.67807327688</c:v>
                      </c:pt>
                      <c:pt idx="73">
                        <c:v>591658.46047609311</c:v>
                      </c:pt>
                      <c:pt idx="74">
                        <c:v>591658.46047609311</c:v>
                      </c:pt>
                      <c:pt idx="75">
                        <c:v>591658.46047609311</c:v>
                      </c:pt>
                      <c:pt idx="76">
                        <c:v>591658.46047609311</c:v>
                      </c:pt>
                      <c:pt idx="77">
                        <c:v>655050.43838424596</c:v>
                      </c:pt>
                      <c:pt idx="78">
                        <c:v>655050.43838424596</c:v>
                      </c:pt>
                      <c:pt idx="79">
                        <c:v>655050.43838424596</c:v>
                      </c:pt>
                      <c:pt idx="80">
                        <c:v>655050.43838424596</c:v>
                      </c:pt>
                      <c:pt idx="81">
                        <c:v>591658.46047609311</c:v>
                      </c:pt>
                      <c:pt idx="82">
                        <c:v>591658.46047609311</c:v>
                      </c:pt>
                      <c:pt idx="83">
                        <c:v>591658.46047609311</c:v>
                      </c:pt>
                      <c:pt idx="84">
                        <c:v>591658.46047609311</c:v>
                      </c:pt>
                      <c:pt idx="85">
                        <c:v>351310.09182493121</c:v>
                      </c:pt>
                      <c:pt idx="86">
                        <c:v>171048.81533655972</c:v>
                      </c:pt>
                      <c:pt idx="87">
                        <c:v>171048.81533655972</c:v>
                      </c:pt>
                      <c:pt idx="88">
                        <c:v>171048.81533655972</c:v>
                      </c:pt>
                      <c:pt idx="89">
                        <c:v>171333.41530532041</c:v>
                      </c:pt>
                      <c:pt idx="90">
                        <c:v>172044.91522722205</c:v>
                      </c:pt>
                      <c:pt idx="91">
                        <c:v>172044.91522722205</c:v>
                      </c:pt>
                      <c:pt idx="92">
                        <c:v>172044.91522722205</c:v>
                      </c:pt>
                      <c:pt idx="93">
                        <c:v>172044.91522722205</c:v>
                      </c:pt>
                      <c:pt idx="94">
                        <c:v>175054.10420697974</c:v>
                      </c:pt>
                      <c:pt idx="95">
                        <c:v>175555.63570360601</c:v>
                      </c:pt>
                      <c:pt idx="96">
                        <c:v>175555.63570360601</c:v>
                      </c:pt>
                      <c:pt idx="97">
                        <c:v>175555.63570360601</c:v>
                      </c:pt>
                      <c:pt idx="98">
                        <c:v>178345.49608802385</c:v>
                      </c:pt>
                      <c:pt idx="99">
                        <c:v>180437.89137633727</c:v>
                      </c:pt>
                      <c:pt idx="100">
                        <c:v>180437.89137633727</c:v>
                      </c:pt>
                      <c:pt idx="101">
                        <c:v>180437.89137633727</c:v>
                      </c:pt>
                      <c:pt idx="102">
                        <c:v>181272.62564744925</c:v>
                      </c:pt>
                      <c:pt idx="103">
                        <c:v>186281.03127412123</c:v>
                      </c:pt>
                      <c:pt idx="104">
                        <c:v>186281.03127412123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C1E-4F75-86BF-7730BCE07A57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strRef>
              <c:f>NWP!$R$4</c:f>
              <c:strCache>
                <c:ptCount val="1"/>
                <c:pt idx="0">
                  <c:v>Average NWP (Boom Annual Up Front)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NWP!$R$5:$R$109</c:f>
              <c:numCache>
                <c:formatCode>#,##0</c:formatCode>
                <c:ptCount val="105"/>
                <c:pt idx="0">
                  <c:v>1272.4351930906914</c:v>
                </c:pt>
                <c:pt idx="1">
                  <c:v>1200.0736374546218</c:v>
                </c:pt>
                <c:pt idx="2">
                  <c:v>1265.5689745095024</c:v>
                </c:pt>
                <c:pt idx="3">
                  <c:v>1284.4645070412205</c:v>
                </c:pt>
                <c:pt idx="4">
                  <c:v>1259.922445302117</c:v>
                </c:pt>
                <c:pt idx="5">
                  <c:v>1256.3032335901355</c:v>
                </c:pt>
                <c:pt idx="6">
                  <c:v>1233.2543574931865</c:v>
                </c:pt>
                <c:pt idx="7">
                  <c:v>1330.0418662269365</c:v>
                </c:pt>
                <c:pt idx="8">
                  <c:v>1253.5645117516883</c:v>
                </c:pt>
                <c:pt idx="9">
                  <c:v>1153.6054561380349</c:v>
                </c:pt>
                <c:pt idx="10">
                  <c:v>1284.6929517811993</c:v>
                </c:pt>
                <c:pt idx="11">
                  <c:v>1055.1741044655671</c:v>
                </c:pt>
                <c:pt idx="12">
                  <c:v>1010.8580486684975</c:v>
                </c:pt>
                <c:pt idx="13">
                  <c:v>953.57999999892309</c:v>
                </c:pt>
                <c:pt idx="14">
                  <c:v>1018.8588535787943</c:v>
                </c:pt>
                <c:pt idx="15">
                  <c:v>995.33403888308851</c:v>
                </c:pt>
                <c:pt idx="16">
                  <c:v>1000.4492731514074</c:v>
                </c:pt>
                <c:pt idx="17">
                  <c:v>1010.0301168958691</c:v>
                </c:pt>
                <c:pt idx="18">
                  <c:v>971.65841579201867</c:v>
                </c:pt>
                <c:pt idx="19">
                  <c:v>1002.8453962220671</c:v>
                </c:pt>
                <c:pt idx="20">
                  <c:v>980.46253101008961</c:v>
                </c:pt>
                <c:pt idx="21">
                  <c:v>986.1328255078555</c:v>
                </c:pt>
                <c:pt idx="22">
                  <c:v>990.52752493738171</c:v>
                </c:pt>
                <c:pt idx="23">
                  <c:v>945.49714693383601</c:v>
                </c:pt>
                <c:pt idx="24">
                  <c:v>1012.3596679558833</c:v>
                </c:pt>
                <c:pt idx="25">
                  <c:v>1042.0453794012749</c:v>
                </c:pt>
                <c:pt idx="26">
                  <c:v>1000.5403900376841</c:v>
                </c:pt>
                <c:pt idx="27">
                  <c:v>1011.6722996503657</c:v>
                </c:pt>
                <c:pt idx="28">
                  <c:v>919.90533452943225</c:v>
                </c:pt>
                <c:pt idx="29">
                  <c:v>1089.3714327335433</c:v>
                </c:pt>
                <c:pt idx="30">
                  <c:v>1050.7438044429064</c:v>
                </c:pt>
                <c:pt idx="31">
                  <c:v>1021.3241174681156</c:v>
                </c:pt>
                <c:pt idx="32">
                  <c:v>1017.8381257318442</c:v>
                </c:pt>
                <c:pt idx="33">
                  <c:v>993.44442487055665</c:v>
                </c:pt>
                <c:pt idx="34">
                  <c:v>953.06376686002125</c:v>
                </c:pt>
                <c:pt idx="35">
                  <c:v>880.73421343580969</c:v>
                </c:pt>
                <c:pt idx="36">
                  <c:v>904.8866136716988</c:v>
                </c:pt>
                <c:pt idx="37">
                  <c:v>873.17538712071166</c:v>
                </c:pt>
                <c:pt idx="38">
                  <c:v>866.57086495513397</c:v>
                </c:pt>
                <c:pt idx="39">
                  <c:v>896.6589029477359</c:v>
                </c:pt>
                <c:pt idx="40">
                  <c:v>856.81666416634459</c:v>
                </c:pt>
                <c:pt idx="41">
                  <c:v>864.5659915980234</c:v>
                </c:pt>
                <c:pt idx="42">
                  <c:v>855.34538513783878</c:v>
                </c:pt>
                <c:pt idx="43">
                  <c:v>859.60426287920689</c:v>
                </c:pt>
                <c:pt idx="44">
                  <c:v>861.58096088392836</c:v>
                </c:pt>
                <c:pt idx="45">
                  <c:v>926.03031469889834</c:v>
                </c:pt>
                <c:pt idx="46">
                  <c:v>904.78728764494588</c:v>
                </c:pt>
                <c:pt idx="47">
                  <c:v>857.89107142855812</c:v>
                </c:pt>
                <c:pt idx="48">
                  <c:v>849.78331983247449</c:v>
                </c:pt>
                <c:pt idx="49">
                  <c:v>864.77775886906045</c:v>
                </c:pt>
                <c:pt idx="50">
                  <c:v>939.20331199572286</c:v>
                </c:pt>
                <c:pt idx="51">
                  <c:v>897.14195599717311</c:v>
                </c:pt>
                <c:pt idx="52">
                  <c:v>888.00199662645662</c:v>
                </c:pt>
                <c:pt idx="53">
                  <c:v>819.62159598173594</c:v>
                </c:pt>
                <c:pt idx="54">
                  <c:v>877.05603868966659</c:v>
                </c:pt>
                <c:pt idx="55">
                  <c:v>926.29768576268475</c:v>
                </c:pt>
                <c:pt idx="56">
                  <c:v>903.89197544585943</c:v>
                </c:pt>
                <c:pt idx="57">
                  <c:v>966.06183360789237</c:v>
                </c:pt>
                <c:pt idx="58">
                  <c:v>968.97615000055987</c:v>
                </c:pt>
                <c:pt idx="59">
                  <c:v>869.72422457073912</c:v>
                </c:pt>
                <c:pt idx="60">
                  <c:v>917.02458564572851</c:v>
                </c:pt>
                <c:pt idx="61">
                  <c:v>829.99599702270859</c:v>
                </c:pt>
                <c:pt idx="62">
                  <c:v>900.59608239819136</c:v>
                </c:pt>
                <c:pt idx="63">
                  <c:v>903.85297297280397</c:v>
                </c:pt>
                <c:pt idx="64">
                  <c:v>848.09101241080521</c:v>
                </c:pt>
                <c:pt idx="65">
                  <c:v>903.65359724598397</c:v>
                </c:pt>
                <c:pt idx="66">
                  <c:v>973.70792733173414</c:v>
                </c:pt>
                <c:pt idx="67">
                  <c:v>908.11075630192829</c:v>
                </c:pt>
                <c:pt idx="68">
                  <c:v>915.20707762170287</c:v>
                </c:pt>
                <c:pt idx="69">
                  <c:v>880.84457354250924</c:v>
                </c:pt>
                <c:pt idx="70">
                  <c:v>951.66018177297462</c:v>
                </c:pt>
                <c:pt idx="71">
                  <c:v>933.0325386088291</c:v>
                </c:pt>
                <c:pt idx="72">
                  <c:v>860.68991200982055</c:v>
                </c:pt>
                <c:pt idx="73">
                  <c:v>908.2530199793872</c:v>
                </c:pt>
                <c:pt idx="74">
                  <c:v>897.06519387648962</c:v>
                </c:pt>
                <c:pt idx="75">
                  <c:v>940.68210622769209</c:v>
                </c:pt>
                <c:pt idx="76">
                  <c:v>884.79250145857134</c:v>
                </c:pt>
                <c:pt idx="77">
                  <c:v>805.73824829900411</c:v>
                </c:pt>
                <c:pt idx="78">
                  <c:v>896.91855222580659</c:v>
                </c:pt>
                <c:pt idx="79">
                  <c:v>864.5662364141308</c:v>
                </c:pt>
                <c:pt idx="80">
                  <c:v>924.50808585443338</c:v>
                </c:pt>
                <c:pt idx="81">
                  <c:v>952.39338212147504</c:v>
                </c:pt>
                <c:pt idx="82">
                  <c:v>964.39760021892857</c:v>
                </c:pt>
                <c:pt idx="83">
                  <c:v>857.02277429876278</c:v>
                </c:pt>
                <c:pt idx="84">
                  <c:v>882.72810034057159</c:v>
                </c:pt>
                <c:pt idx="85">
                  <c:v>916.61968061792982</c:v>
                </c:pt>
                <c:pt idx="86">
                  <c:v>1031.0902276304944</c:v>
                </c:pt>
                <c:pt idx="87">
                  <c:v>786.47806428504975</c:v>
                </c:pt>
                <c:pt idx="88">
                  <c:v>857.58349089627438</c:v>
                </c:pt>
                <c:pt idx="89">
                  <c:v>854.0785050808696</c:v>
                </c:pt>
                <c:pt idx="90">
                  <c:v>921.38733110369469</c:v>
                </c:pt>
                <c:pt idx="91">
                  <c:v>955.26245579891133</c:v>
                </c:pt>
                <c:pt idx="92">
                  <c:v>812.72563089203084</c:v>
                </c:pt>
                <c:pt idx="93">
                  <c:v>854.48118522504899</c:v>
                </c:pt>
                <c:pt idx="94">
                  <c:v>862.68077380980401</c:v>
                </c:pt>
                <c:pt idx="95">
                  <c:v>917.39348422116234</c:v>
                </c:pt>
                <c:pt idx="96">
                  <c:v>851.19211196956724</c:v>
                </c:pt>
                <c:pt idx="97">
                  <c:v>974.18474875377922</c:v>
                </c:pt>
                <c:pt idx="98">
                  <c:v>949.96501575588275</c:v>
                </c:pt>
                <c:pt idx="99">
                  <c:v>917.41723448214691</c:v>
                </c:pt>
                <c:pt idx="100">
                  <c:v>959.59176252194823</c:v>
                </c:pt>
                <c:pt idx="101">
                  <c:v>1014.1755736603751</c:v>
                </c:pt>
                <c:pt idx="102">
                  <c:v>798.82361384093724</c:v>
                </c:pt>
                <c:pt idx="103">
                  <c:v>970.92330558308288</c:v>
                </c:pt>
                <c:pt idx="104">
                  <c:v>882.68716463402461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1E-4F75-86BF-7730BCE07A57}"/>
            </c:ext>
          </c:extLst>
        </c:ser>
        <c:ser>
          <c:idx val="3"/>
          <c:order val="3"/>
          <c:tx>
            <c:strRef>
              <c:f>NWP!$S$4</c:f>
              <c:strCache>
                <c:ptCount val="1"/>
                <c:pt idx="0">
                  <c:v>Average NWP - 4 Week Avg (Boom Annual Up Front)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NWP!$S$5:$S$109</c:f>
              <c:numCache>
                <c:formatCode>#,##0</c:formatCode>
                <c:ptCount val="105"/>
                <c:pt idx="3">
                  <c:v>1255.635578024009</c:v>
                </c:pt>
                <c:pt idx="4">
                  <c:v>1252.5073910768654</c:v>
                </c:pt>
                <c:pt idx="5">
                  <c:v>1266.5647901107438</c:v>
                </c:pt>
                <c:pt idx="6">
                  <c:v>1258.486135856665</c:v>
                </c:pt>
                <c:pt idx="7">
                  <c:v>1269.8804756530938</c:v>
                </c:pt>
                <c:pt idx="8">
                  <c:v>1268.2909922654867</c:v>
                </c:pt>
                <c:pt idx="9">
                  <c:v>1242.6165479024614</c:v>
                </c:pt>
                <c:pt idx="10">
                  <c:v>1255.4761964744648</c:v>
                </c:pt>
                <c:pt idx="11">
                  <c:v>1186.7592560341225</c:v>
                </c:pt>
                <c:pt idx="12">
                  <c:v>1126.0826402633247</c:v>
                </c:pt>
                <c:pt idx="13">
                  <c:v>1076.0762762285467</c:v>
                </c:pt>
                <c:pt idx="14">
                  <c:v>1009.6177516779455</c:v>
                </c:pt>
                <c:pt idx="15">
                  <c:v>994.6577352823258</c:v>
                </c:pt>
                <c:pt idx="16">
                  <c:v>992.05554140305333</c:v>
                </c:pt>
                <c:pt idx="17">
                  <c:v>1006.1680706272898</c:v>
                </c:pt>
                <c:pt idx="18">
                  <c:v>994.3679611805959</c:v>
                </c:pt>
                <c:pt idx="19">
                  <c:v>996.24580051534053</c:v>
                </c:pt>
                <c:pt idx="20">
                  <c:v>991.24911498001109</c:v>
                </c:pt>
                <c:pt idx="21">
                  <c:v>985.27479213300774</c:v>
                </c:pt>
                <c:pt idx="22">
                  <c:v>989.99206941934847</c:v>
                </c:pt>
                <c:pt idx="23">
                  <c:v>975.65500709729076</c:v>
                </c:pt>
                <c:pt idx="24">
                  <c:v>983.62929133373916</c:v>
                </c:pt>
                <c:pt idx="25">
                  <c:v>997.60742980709392</c:v>
                </c:pt>
                <c:pt idx="26">
                  <c:v>1000.1106460821695</c:v>
                </c:pt>
                <c:pt idx="27">
                  <c:v>1016.6544342613021</c:v>
                </c:pt>
                <c:pt idx="28">
                  <c:v>993.54085090468925</c:v>
                </c:pt>
                <c:pt idx="29">
                  <c:v>1005.3723642377564</c:v>
                </c:pt>
                <c:pt idx="30">
                  <c:v>1017.9232178390619</c:v>
                </c:pt>
                <c:pt idx="31">
                  <c:v>1020.3361722934994</c:v>
                </c:pt>
                <c:pt idx="32">
                  <c:v>1044.8193700941024</c:v>
                </c:pt>
                <c:pt idx="33">
                  <c:v>1020.8376181283558</c:v>
                </c:pt>
                <c:pt idx="34">
                  <c:v>996.41760873263445</c:v>
                </c:pt>
                <c:pt idx="35">
                  <c:v>961.27013272455793</c:v>
                </c:pt>
                <c:pt idx="36">
                  <c:v>933.03225470952157</c:v>
                </c:pt>
                <c:pt idx="37">
                  <c:v>902.96499527206026</c:v>
                </c:pt>
                <c:pt idx="38">
                  <c:v>881.34176979583845</c:v>
                </c:pt>
                <c:pt idx="39">
                  <c:v>885.32294217382002</c:v>
                </c:pt>
                <c:pt idx="40">
                  <c:v>873.30545479748162</c:v>
                </c:pt>
                <c:pt idx="41">
                  <c:v>871.15310591680941</c:v>
                </c:pt>
                <c:pt idx="42">
                  <c:v>868.34673596248581</c:v>
                </c:pt>
                <c:pt idx="43">
                  <c:v>859.08307594535347</c:v>
                </c:pt>
                <c:pt idx="44">
                  <c:v>860.27415012474944</c:v>
                </c:pt>
                <c:pt idx="45">
                  <c:v>875.64023089996795</c:v>
                </c:pt>
                <c:pt idx="46">
                  <c:v>888.00070652674492</c:v>
                </c:pt>
                <c:pt idx="47">
                  <c:v>887.57240866408267</c:v>
                </c:pt>
                <c:pt idx="48">
                  <c:v>884.62299840121909</c:v>
                </c:pt>
                <c:pt idx="49">
                  <c:v>869.30985944375971</c:v>
                </c:pt>
                <c:pt idx="50">
                  <c:v>877.91386553145401</c:v>
                </c:pt>
                <c:pt idx="51">
                  <c:v>887.7265866736077</c:v>
                </c:pt>
                <c:pt idx="52">
                  <c:v>897.28125587210332</c:v>
                </c:pt>
                <c:pt idx="53">
                  <c:v>885.99221515027216</c:v>
                </c:pt>
                <c:pt idx="54">
                  <c:v>870.45539682375806</c:v>
                </c:pt>
                <c:pt idx="55">
                  <c:v>877.744329265136</c:v>
                </c:pt>
                <c:pt idx="56">
                  <c:v>881.71682396998665</c:v>
                </c:pt>
                <c:pt idx="57">
                  <c:v>918.32688337652576</c:v>
                </c:pt>
                <c:pt idx="58">
                  <c:v>941.3069112042491</c:v>
                </c:pt>
                <c:pt idx="59">
                  <c:v>927.1635459062627</c:v>
                </c:pt>
                <c:pt idx="60">
                  <c:v>930.44669845623002</c:v>
                </c:pt>
                <c:pt idx="61">
                  <c:v>896.43023930993411</c:v>
                </c:pt>
                <c:pt idx="62">
                  <c:v>879.3352224093419</c:v>
                </c:pt>
                <c:pt idx="63">
                  <c:v>887.86740950985802</c:v>
                </c:pt>
                <c:pt idx="64">
                  <c:v>870.63401620112722</c:v>
                </c:pt>
                <c:pt idx="65">
                  <c:v>889.04841625694621</c:v>
                </c:pt>
                <c:pt idx="66">
                  <c:v>907.32637749033188</c:v>
                </c:pt>
                <c:pt idx="67">
                  <c:v>908.39082332261285</c:v>
                </c:pt>
                <c:pt idx="68">
                  <c:v>925.16983962533732</c:v>
                </c:pt>
                <c:pt idx="69">
                  <c:v>919.46758369946861</c:v>
                </c:pt>
                <c:pt idx="70">
                  <c:v>913.95564730977878</c:v>
                </c:pt>
                <c:pt idx="71">
                  <c:v>920.18609288650396</c:v>
                </c:pt>
                <c:pt idx="72">
                  <c:v>906.55680148353338</c:v>
                </c:pt>
                <c:pt idx="73">
                  <c:v>913.40891309275287</c:v>
                </c:pt>
                <c:pt idx="74">
                  <c:v>899.76016611863156</c:v>
                </c:pt>
                <c:pt idx="75">
                  <c:v>901.67255802334739</c:v>
                </c:pt>
                <c:pt idx="76">
                  <c:v>907.69820538553506</c:v>
                </c:pt>
                <c:pt idx="77">
                  <c:v>882.06951246543929</c:v>
                </c:pt>
                <c:pt idx="78">
                  <c:v>882.03285205276859</c:v>
                </c:pt>
                <c:pt idx="79">
                  <c:v>863.00388459937824</c:v>
                </c:pt>
                <c:pt idx="80">
                  <c:v>872.93278069834378</c:v>
                </c:pt>
                <c:pt idx="81">
                  <c:v>909.59656415396148</c:v>
                </c:pt>
                <c:pt idx="82">
                  <c:v>926.46632615224189</c:v>
                </c:pt>
                <c:pt idx="83">
                  <c:v>924.58046062339986</c:v>
                </c:pt>
                <c:pt idx="84">
                  <c:v>914.1354642449345</c:v>
                </c:pt>
                <c:pt idx="85">
                  <c:v>905.19203886904825</c:v>
                </c:pt>
                <c:pt idx="86">
                  <c:v>921.8651957219397</c:v>
                </c:pt>
                <c:pt idx="87">
                  <c:v>904.22901821851144</c:v>
                </c:pt>
                <c:pt idx="88">
                  <c:v>897.94286585743703</c:v>
                </c:pt>
                <c:pt idx="89">
                  <c:v>882.307571973172</c:v>
                </c:pt>
                <c:pt idx="90">
                  <c:v>854.88184784147211</c:v>
                </c:pt>
                <c:pt idx="91">
                  <c:v>897.07794571993759</c:v>
                </c:pt>
                <c:pt idx="92">
                  <c:v>885.86348071887664</c:v>
                </c:pt>
                <c:pt idx="93">
                  <c:v>885.96415075492155</c:v>
                </c:pt>
                <c:pt idx="94">
                  <c:v>871.28751143144882</c:v>
                </c:pt>
                <c:pt idx="95">
                  <c:v>861.82026853701154</c:v>
                </c:pt>
                <c:pt idx="96">
                  <c:v>871.43688880639559</c:v>
                </c:pt>
                <c:pt idx="97">
                  <c:v>901.36277968857826</c:v>
                </c:pt>
                <c:pt idx="98">
                  <c:v>923.18384017509788</c:v>
                </c:pt>
                <c:pt idx="99">
                  <c:v>923.18977774034397</c:v>
                </c:pt>
                <c:pt idx="100">
                  <c:v>950.28969037843922</c:v>
                </c:pt>
                <c:pt idx="101">
                  <c:v>960.28739660508825</c:v>
                </c:pt>
                <c:pt idx="102">
                  <c:v>922.50204612635184</c:v>
                </c:pt>
                <c:pt idx="103">
                  <c:v>935.87856390158584</c:v>
                </c:pt>
                <c:pt idx="104">
                  <c:v>916.65241442960496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1E-4F75-86BF-7730BCE07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in val="35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Annual Premium Finance: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NWP!$U$4</c:f>
              <c:strCache>
                <c:ptCount val="1"/>
                <c:pt idx="0">
                  <c:v>NWP (Boom Annual Premium Finance)</c:v>
                </c:pt>
              </c:strCache>
            </c:strRef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NWP!$U$5:$U$109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194068.92464344</c:v>
                </c:pt>
                <c:pt idx="24">
                  <c:v>608487.30714173988</c:v>
                </c:pt>
                <c:pt idx="25">
                  <c:v>551056.91750047996</c:v>
                </c:pt>
                <c:pt idx="26">
                  <c:v>562021.32035764016</c:v>
                </c:pt>
                <c:pt idx="27">
                  <c:v>872174.39250002988</c:v>
                </c:pt>
                <c:pt idx="28">
                  <c:v>1262777.9667850102</c:v>
                </c:pt>
                <c:pt idx="29">
                  <c:v>1151626.7621429504</c:v>
                </c:pt>
                <c:pt idx="30">
                  <c:v>1061456.48214301</c:v>
                </c:pt>
                <c:pt idx="31">
                  <c:v>1184902.5596423801</c:v>
                </c:pt>
                <c:pt idx="32">
                  <c:v>1362771.5389302899</c:v>
                </c:pt>
                <c:pt idx="33">
                  <c:v>1221499.2492867596</c:v>
                </c:pt>
                <c:pt idx="34">
                  <c:v>1077621.05714405</c:v>
                </c:pt>
                <c:pt idx="35">
                  <c:v>1081352.8035718701</c:v>
                </c:pt>
                <c:pt idx="36">
                  <c:v>1315559.1950001002</c:v>
                </c:pt>
                <c:pt idx="37">
                  <c:v>1183557.5428567301</c:v>
                </c:pt>
                <c:pt idx="38">
                  <c:v>994791.65107186954</c:v>
                </c:pt>
                <c:pt idx="39">
                  <c:v>980733.03178555984</c:v>
                </c:pt>
                <c:pt idx="40">
                  <c:v>1052996.1335710902</c:v>
                </c:pt>
                <c:pt idx="41">
                  <c:v>1035583.19857012</c:v>
                </c:pt>
                <c:pt idx="42">
                  <c:v>908297.05535666994</c:v>
                </c:pt>
                <c:pt idx="43">
                  <c:v>912765.91357170022</c:v>
                </c:pt>
                <c:pt idx="44">
                  <c:v>820444.15892906999</c:v>
                </c:pt>
                <c:pt idx="45">
                  <c:v>977779.31785667024</c:v>
                </c:pt>
                <c:pt idx="46">
                  <c:v>893203.85357165011</c:v>
                </c:pt>
                <c:pt idx="47">
                  <c:v>758106.01142911019</c:v>
                </c:pt>
                <c:pt idx="48">
                  <c:v>727964.43821506004</c:v>
                </c:pt>
                <c:pt idx="49">
                  <c:v>735324.24214265996</c:v>
                </c:pt>
                <c:pt idx="50">
                  <c:v>806462.0739292698</c:v>
                </c:pt>
                <c:pt idx="51">
                  <c:v>731414.69678614009</c:v>
                </c:pt>
                <c:pt idx="52">
                  <c:v>666276.55571447988</c:v>
                </c:pt>
                <c:pt idx="53">
                  <c:v>637979.92892924009</c:v>
                </c:pt>
                <c:pt idx="54">
                  <c:v>620736.36107127008</c:v>
                </c:pt>
                <c:pt idx="55">
                  <c:v>691946.50250047015</c:v>
                </c:pt>
                <c:pt idx="56">
                  <c:v>561462.72214317007</c:v>
                </c:pt>
                <c:pt idx="57">
                  <c:v>638779.95428501035</c:v>
                </c:pt>
                <c:pt idx="58">
                  <c:v>718972.79928574024</c:v>
                </c:pt>
                <c:pt idx="59">
                  <c:v>642394.97821455973</c:v>
                </c:pt>
                <c:pt idx="60">
                  <c:v>557758.40607104008</c:v>
                </c:pt>
                <c:pt idx="61">
                  <c:v>659849.66999986034</c:v>
                </c:pt>
                <c:pt idx="62">
                  <c:v>664593.26892832003</c:v>
                </c:pt>
                <c:pt idx="63">
                  <c:v>750230.50107170991</c:v>
                </c:pt>
                <c:pt idx="64">
                  <c:v>656826.02999896032</c:v>
                </c:pt>
                <c:pt idx="65">
                  <c:v>653844.7910717401</c:v>
                </c:pt>
                <c:pt idx="66">
                  <c:v>803385.59321418009</c:v>
                </c:pt>
                <c:pt idx="67">
                  <c:v>905372.17071482993</c:v>
                </c:pt>
                <c:pt idx="68">
                  <c:v>918517.27035650029</c:v>
                </c:pt>
                <c:pt idx="69">
                  <c:v>806828.33142913005</c:v>
                </c:pt>
                <c:pt idx="70">
                  <c:v>818161.3946426101</c:v>
                </c:pt>
                <c:pt idx="71">
                  <c:v>656852.86964237015</c:v>
                </c:pt>
                <c:pt idx="72">
                  <c:v>748123.06321459042</c:v>
                </c:pt>
                <c:pt idx="73">
                  <c:v>820370.93857134006</c:v>
                </c:pt>
                <c:pt idx="74">
                  <c:v>828057.1657135</c:v>
                </c:pt>
                <c:pt idx="75">
                  <c:v>751141.42678632017</c:v>
                </c:pt>
                <c:pt idx="76">
                  <c:v>880060.35178613965</c:v>
                </c:pt>
                <c:pt idx="77">
                  <c:v>863808.1907142899</c:v>
                </c:pt>
                <c:pt idx="78">
                  <c:v>739330.94428472</c:v>
                </c:pt>
                <c:pt idx="79">
                  <c:v>648781.99357160029</c:v>
                </c:pt>
                <c:pt idx="80">
                  <c:v>810399.76142880006</c:v>
                </c:pt>
                <c:pt idx="81">
                  <c:v>839256.64142864966</c:v>
                </c:pt>
                <c:pt idx="82">
                  <c:v>834487.33714242012</c:v>
                </c:pt>
                <c:pt idx="83">
                  <c:v>881797.6364283599</c:v>
                </c:pt>
                <c:pt idx="84">
                  <c:v>997681.50035686989</c:v>
                </c:pt>
                <c:pt idx="85">
                  <c:v>997129.18321416294</c:v>
                </c:pt>
                <c:pt idx="86">
                  <c:v>911154.74321370991</c:v>
                </c:pt>
                <c:pt idx="87">
                  <c:v>922131.68035625014</c:v>
                </c:pt>
                <c:pt idx="88">
                  <c:v>815878.58321411</c:v>
                </c:pt>
                <c:pt idx="89">
                  <c:v>1030706.7103568302</c:v>
                </c:pt>
                <c:pt idx="90">
                  <c:v>819272.09821447008</c:v>
                </c:pt>
                <c:pt idx="91">
                  <c:v>811395.42392848979</c:v>
                </c:pt>
                <c:pt idx="92">
                  <c:v>792996.98821423005</c:v>
                </c:pt>
                <c:pt idx="93">
                  <c:v>851947.10285724024</c:v>
                </c:pt>
                <c:pt idx="94">
                  <c:v>832630.36428632005</c:v>
                </c:pt>
                <c:pt idx="95">
                  <c:v>783737.48142905987</c:v>
                </c:pt>
                <c:pt idx="96">
                  <c:v>680471.41285795032</c:v>
                </c:pt>
                <c:pt idx="97">
                  <c:v>753020.29857156007</c:v>
                </c:pt>
                <c:pt idx="98">
                  <c:v>859714.59857153997</c:v>
                </c:pt>
                <c:pt idx="99">
                  <c:v>782227.59964308992</c:v>
                </c:pt>
                <c:pt idx="100">
                  <c:v>647745.48107184982</c:v>
                </c:pt>
                <c:pt idx="101">
                  <c:v>644601.79857109999</c:v>
                </c:pt>
                <c:pt idx="102">
                  <c:v>743361.44142822013</c:v>
                </c:pt>
                <c:pt idx="103">
                  <c:v>611818.32392838015</c:v>
                </c:pt>
                <c:pt idx="104">
                  <c:v>682155.97892847005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E9B-462E-9CEE-B3AF69DE0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NWP!$V$4</c:f>
              <c:strCache>
                <c:ptCount val="1"/>
                <c:pt idx="0">
                  <c:v>NWP - 4 Week Avg (Boom Annual Premium Finance)</c:v>
                </c:pt>
              </c:strCache>
            </c:strRef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NWP!$V$5:$V$109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48517.231160859999</c:v>
                </c:pt>
                <c:pt idx="24">
                  <c:v>200639.05794629495</c:v>
                </c:pt>
                <c:pt idx="25">
                  <c:v>338403.28732141491</c:v>
                </c:pt>
                <c:pt idx="26">
                  <c:v>478908.61741082498</c:v>
                </c:pt>
                <c:pt idx="27">
                  <c:v>648434.98437497253</c:v>
                </c:pt>
                <c:pt idx="28">
                  <c:v>812007.64928579004</c:v>
                </c:pt>
                <c:pt idx="29">
                  <c:v>962150.11044640769</c:v>
                </c:pt>
                <c:pt idx="30">
                  <c:v>1087008.9008927501</c:v>
                </c:pt>
                <c:pt idx="31">
                  <c:v>1165190.9426783377</c:v>
                </c:pt>
                <c:pt idx="32">
                  <c:v>1190189.3357146578</c:v>
                </c:pt>
                <c:pt idx="33">
                  <c:v>1207657.45750061</c:v>
                </c:pt>
                <c:pt idx="34">
                  <c:v>1211698.6012508699</c:v>
                </c:pt>
                <c:pt idx="35">
                  <c:v>1185811.1622332423</c:v>
                </c:pt>
                <c:pt idx="36">
                  <c:v>1174008.0762506949</c:v>
                </c:pt>
                <c:pt idx="37">
                  <c:v>1164522.6496431874</c:v>
                </c:pt>
                <c:pt idx="38">
                  <c:v>1143815.2981251425</c:v>
                </c:pt>
                <c:pt idx="39">
                  <c:v>1118660.355178565</c:v>
                </c:pt>
                <c:pt idx="40">
                  <c:v>1053019.5898213123</c:v>
                </c:pt>
                <c:pt idx="41">
                  <c:v>1016026.00374966</c:v>
                </c:pt>
                <c:pt idx="42">
                  <c:v>994402.35482086008</c:v>
                </c:pt>
                <c:pt idx="43">
                  <c:v>977410.57526739524</c:v>
                </c:pt>
                <c:pt idx="44">
                  <c:v>919272.58160688996</c:v>
                </c:pt>
                <c:pt idx="45">
                  <c:v>904821.61142852763</c:v>
                </c:pt>
                <c:pt idx="46">
                  <c:v>901048.31098227261</c:v>
                </c:pt>
                <c:pt idx="47">
                  <c:v>862383.33544662513</c:v>
                </c:pt>
                <c:pt idx="48">
                  <c:v>839263.40526812267</c:v>
                </c:pt>
                <c:pt idx="49">
                  <c:v>778649.6363396201</c:v>
                </c:pt>
                <c:pt idx="50">
                  <c:v>756964.19142902503</c:v>
                </c:pt>
                <c:pt idx="51">
                  <c:v>750291.36276828242</c:v>
                </c:pt>
                <c:pt idx="52">
                  <c:v>734869.39214313752</c:v>
                </c:pt>
                <c:pt idx="53">
                  <c:v>710533.31383978238</c:v>
                </c:pt>
                <c:pt idx="54">
                  <c:v>664101.88562528254</c:v>
                </c:pt>
                <c:pt idx="55">
                  <c:v>654234.83705386508</c:v>
                </c:pt>
                <c:pt idx="56">
                  <c:v>628031.37866103754</c:v>
                </c:pt>
                <c:pt idx="57">
                  <c:v>628231.3849999801</c:v>
                </c:pt>
                <c:pt idx="58">
                  <c:v>652790.49455359764</c:v>
                </c:pt>
                <c:pt idx="59">
                  <c:v>640402.6134821201</c:v>
                </c:pt>
                <c:pt idx="60">
                  <c:v>639476.53446408757</c:v>
                </c:pt>
                <c:pt idx="61">
                  <c:v>644743.96339280007</c:v>
                </c:pt>
                <c:pt idx="62">
                  <c:v>631149.08080344507</c:v>
                </c:pt>
                <c:pt idx="63">
                  <c:v>658107.96151773259</c:v>
                </c:pt>
                <c:pt idx="64">
                  <c:v>682874.86749971262</c:v>
                </c:pt>
                <c:pt idx="65">
                  <c:v>681373.64776768256</c:v>
                </c:pt>
                <c:pt idx="66">
                  <c:v>716071.7288391476</c:v>
                </c:pt>
                <c:pt idx="67">
                  <c:v>754857.14624992758</c:v>
                </c:pt>
                <c:pt idx="68">
                  <c:v>820279.95633931272</c:v>
                </c:pt>
                <c:pt idx="69">
                  <c:v>858525.84142865997</c:v>
                </c:pt>
                <c:pt idx="70">
                  <c:v>862219.79178576753</c:v>
                </c:pt>
                <c:pt idx="71">
                  <c:v>800089.96651765262</c:v>
                </c:pt>
                <c:pt idx="72">
                  <c:v>757491.41473217506</c:v>
                </c:pt>
                <c:pt idx="73">
                  <c:v>760877.06651772768</c:v>
                </c:pt>
                <c:pt idx="74">
                  <c:v>763351.00928545021</c:v>
                </c:pt>
                <c:pt idx="75">
                  <c:v>786923.14857143769</c:v>
                </c:pt>
                <c:pt idx="76">
                  <c:v>819907.47071432509</c:v>
                </c:pt>
                <c:pt idx="77">
                  <c:v>830766.78375006246</c:v>
                </c:pt>
                <c:pt idx="78">
                  <c:v>808585.22839286737</c:v>
                </c:pt>
                <c:pt idx="79">
                  <c:v>782995.37008918752</c:v>
                </c:pt>
                <c:pt idx="80">
                  <c:v>765580.22249985253</c:v>
                </c:pt>
                <c:pt idx="81">
                  <c:v>759442.33517844253</c:v>
                </c:pt>
                <c:pt idx="82">
                  <c:v>783231.43339286745</c:v>
                </c:pt>
                <c:pt idx="83">
                  <c:v>841485.34410705743</c:v>
                </c:pt>
                <c:pt idx="84">
                  <c:v>888305.77883907489</c:v>
                </c:pt>
                <c:pt idx="85">
                  <c:v>927773.91428545315</c:v>
                </c:pt>
                <c:pt idx="86">
                  <c:v>946940.76580327563</c:v>
                </c:pt>
                <c:pt idx="87">
                  <c:v>957024.27678524819</c:v>
                </c:pt>
                <c:pt idx="88">
                  <c:v>911573.54749955819</c:v>
                </c:pt>
                <c:pt idx="89">
                  <c:v>919967.92928522511</c:v>
                </c:pt>
                <c:pt idx="90">
                  <c:v>896997.26803541509</c:v>
                </c:pt>
                <c:pt idx="91">
                  <c:v>869313.20392847504</c:v>
                </c:pt>
                <c:pt idx="92">
                  <c:v>863592.80517850502</c:v>
                </c:pt>
                <c:pt idx="93">
                  <c:v>818902.9033036076</c:v>
                </c:pt>
                <c:pt idx="94">
                  <c:v>822242.46982156998</c:v>
                </c:pt>
                <c:pt idx="95">
                  <c:v>815327.9841967125</c:v>
                </c:pt>
                <c:pt idx="96">
                  <c:v>787196.59035764262</c:v>
                </c:pt>
                <c:pt idx="97">
                  <c:v>762464.88928622252</c:v>
                </c:pt>
                <c:pt idx="98">
                  <c:v>769235.94785752753</c:v>
                </c:pt>
                <c:pt idx="99">
                  <c:v>768858.47741103498</c:v>
                </c:pt>
                <c:pt idx="100">
                  <c:v>760676.99446450989</c:v>
                </c:pt>
                <c:pt idx="101">
                  <c:v>733572.36946439499</c:v>
                </c:pt>
                <c:pt idx="102">
                  <c:v>704484.08017856488</c:v>
                </c:pt>
                <c:pt idx="103">
                  <c:v>661881.76124988752</c:v>
                </c:pt>
                <c:pt idx="104">
                  <c:v>670484.38571404258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E9B-462E-9CEE-B3AF69DE0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NWP!$Y$4</c15:sqref>
                        </c15:formulaRef>
                      </c:ext>
                    </c:extLst>
                    <c:strCache>
                      <c:ptCount val="1"/>
                      <c:pt idx="0">
                        <c:v>Plan (Boom Annual Premium Finance)</c:v>
                      </c:pt>
                    </c:strCache>
                  </c:strRef>
                </c:tx>
                <c:spPr>
                  <a:ln w="28575">
                    <a:solidFill>
                      <a:srgbClr val="001141"/>
                    </a:solidFill>
                    <a:prstDash val="sysDash"/>
                  </a:ln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NWP!$A$5:$A$109</c15:sqref>
                        </c15:formulaRef>
                      </c:ext>
                    </c:extLst>
                    <c:numCache>
                      <c:formatCode>m/d/yyyy</c:formatCode>
                      <c:ptCount val="105"/>
                      <c:pt idx="0">
                        <c:v>45156</c:v>
                      </c:pt>
                      <c:pt idx="1">
                        <c:v>45163</c:v>
                      </c:pt>
                      <c:pt idx="2">
                        <c:v>45170</c:v>
                      </c:pt>
                      <c:pt idx="3">
                        <c:v>45177</c:v>
                      </c:pt>
                      <c:pt idx="4">
                        <c:v>45184</c:v>
                      </c:pt>
                      <c:pt idx="5">
                        <c:v>45191</c:v>
                      </c:pt>
                      <c:pt idx="6">
                        <c:v>45198</c:v>
                      </c:pt>
                      <c:pt idx="7">
                        <c:v>45205</c:v>
                      </c:pt>
                      <c:pt idx="8">
                        <c:v>45212</c:v>
                      </c:pt>
                      <c:pt idx="9">
                        <c:v>45219</c:v>
                      </c:pt>
                      <c:pt idx="10">
                        <c:v>45226</c:v>
                      </c:pt>
                      <c:pt idx="11">
                        <c:v>45233</c:v>
                      </c:pt>
                      <c:pt idx="12">
                        <c:v>45240</c:v>
                      </c:pt>
                      <c:pt idx="13">
                        <c:v>45247</c:v>
                      </c:pt>
                      <c:pt idx="14">
                        <c:v>45254</c:v>
                      </c:pt>
                      <c:pt idx="15">
                        <c:v>45261</c:v>
                      </c:pt>
                      <c:pt idx="16">
                        <c:v>45268</c:v>
                      </c:pt>
                      <c:pt idx="17">
                        <c:v>45275</c:v>
                      </c:pt>
                      <c:pt idx="18">
                        <c:v>45282</c:v>
                      </c:pt>
                      <c:pt idx="19">
                        <c:v>45289</c:v>
                      </c:pt>
                      <c:pt idx="20">
                        <c:v>45296</c:v>
                      </c:pt>
                      <c:pt idx="21">
                        <c:v>45303</c:v>
                      </c:pt>
                      <c:pt idx="22">
                        <c:v>45310</c:v>
                      </c:pt>
                      <c:pt idx="23">
                        <c:v>45317</c:v>
                      </c:pt>
                      <c:pt idx="24">
                        <c:v>45324</c:v>
                      </c:pt>
                      <c:pt idx="25">
                        <c:v>45331</c:v>
                      </c:pt>
                      <c:pt idx="26">
                        <c:v>45338</c:v>
                      </c:pt>
                      <c:pt idx="27">
                        <c:v>45345</c:v>
                      </c:pt>
                      <c:pt idx="28">
                        <c:v>45352</c:v>
                      </c:pt>
                      <c:pt idx="29">
                        <c:v>45359</c:v>
                      </c:pt>
                      <c:pt idx="30">
                        <c:v>45366</c:v>
                      </c:pt>
                      <c:pt idx="31">
                        <c:v>45373</c:v>
                      </c:pt>
                      <c:pt idx="32">
                        <c:v>45380</c:v>
                      </c:pt>
                      <c:pt idx="33">
                        <c:v>45387</c:v>
                      </c:pt>
                      <c:pt idx="34">
                        <c:v>45394</c:v>
                      </c:pt>
                      <c:pt idx="35">
                        <c:v>45401</c:v>
                      </c:pt>
                      <c:pt idx="36">
                        <c:v>45408</c:v>
                      </c:pt>
                      <c:pt idx="37">
                        <c:v>45415</c:v>
                      </c:pt>
                      <c:pt idx="38">
                        <c:v>45422</c:v>
                      </c:pt>
                      <c:pt idx="39">
                        <c:v>45429</c:v>
                      </c:pt>
                      <c:pt idx="40">
                        <c:v>45436</c:v>
                      </c:pt>
                      <c:pt idx="41">
                        <c:v>45443</c:v>
                      </c:pt>
                      <c:pt idx="42">
                        <c:v>45450</c:v>
                      </c:pt>
                      <c:pt idx="43">
                        <c:v>45457</c:v>
                      </c:pt>
                      <c:pt idx="44">
                        <c:v>45464</c:v>
                      </c:pt>
                      <c:pt idx="45">
                        <c:v>45471</c:v>
                      </c:pt>
                      <c:pt idx="46">
                        <c:v>45478</c:v>
                      </c:pt>
                      <c:pt idx="47">
                        <c:v>45485</c:v>
                      </c:pt>
                      <c:pt idx="48">
                        <c:v>45492</c:v>
                      </c:pt>
                      <c:pt idx="49">
                        <c:v>45499</c:v>
                      </c:pt>
                      <c:pt idx="50">
                        <c:v>45506</c:v>
                      </c:pt>
                      <c:pt idx="51">
                        <c:v>45513</c:v>
                      </c:pt>
                      <c:pt idx="52">
                        <c:v>45520</c:v>
                      </c:pt>
                      <c:pt idx="53">
                        <c:v>45527</c:v>
                      </c:pt>
                      <c:pt idx="54">
                        <c:v>45534</c:v>
                      </c:pt>
                      <c:pt idx="55">
                        <c:v>45541</c:v>
                      </c:pt>
                      <c:pt idx="56">
                        <c:v>45548</c:v>
                      </c:pt>
                      <c:pt idx="57">
                        <c:v>45555</c:v>
                      </c:pt>
                      <c:pt idx="58">
                        <c:v>45562</c:v>
                      </c:pt>
                      <c:pt idx="59">
                        <c:v>45569</c:v>
                      </c:pt>
                      <c:pt idx="60">
                        <c:v>45576</c:v>
                      </c:pt>
                      <c:pt idx="61">
                        <c:v>45583</c:v>
                      </c:pt>
                      <c:pt idx="62">
                        <c:v>45590</c:v>
                      </c:pt>
                      <c:pt idx="63">
                        <c:v>45597</c:v>
                      </c:pt>
                      <c:pt idx="64">
                        <c:v>45604</c:v>
                      </c:pt>
                      <c:pt idx="65">
                        <c:v>45611</c:v>
                      </c:pt>
                      <c:pt idx="66">
                        <c:v>45618</c:v>
                      </c:pt>
                      <c:pt idx="67">
                        <c:v>45625</c:v>
                      </c:pt>
                      <c:pt idx="68">
                        <c:v>45632</c:v>
                      </c:pt>
                      <c:pt idx="69">
                        <c:v>45639</c:v>
                      </c:pt>
                      <c:pt idx="70">
                        <c:v>45646</c:v>
                      </c:pt>
                      <c:pt idx="71">
                        <c:v>45653</c:v>
                      </c:pt>
                      <c:pt idx="72">
                        <c:v>45660</c:v>
                      </c:pt>
                      <c:pt idx="73">
                        <c:v>45667</c:v>
                      </c:pt>
                      <c:pt idx="74">
                        <c:v>45674</c:v>
                      </c:pt>
                      <c:pt idx="75">
                        <c:v>45681</c:v>
                      </c:pt>
                      <c:pt idx="76">
                        <c:v>45688</c:v>
                      </c:pt>
                      <c:pt idx="77">
                        <c:v>45695</c:v>
                      </c:pt>
                      <c:pt idx="78">
                        <c:v>45702</c:v>
                      </c:pt>
                      <c:pt idx="79">
                        <c:v>45709</c:v>
                      </c:pt>
                      <c:pt idx="80">
                        <c:v>45716</c:v>
                      </c:pt>
                      <c:pt idx="81">
                        <c:v>45723</c:v>
                      </c:pt>
                      <c:pt idx="82">
                        <c:v>45730</c:v>
                      </c:pt>
                      <c:pt idx="83">
                        <c:v>45737</c:v>
                      </c:pt>
                      <c:pt idx="84">
                        <c:v>45744</c:v>
                      </c:pt>
                      <c:pt idx="85">
                        <c:v>45751</c:v>
                      </c:pt>
                      <c:pt idx="86">
                        <c:v>45758</c:v>
                      </c:pt>
                      <c:pt idx="87">
                        <c:v>45765</c:v>
                      </c:pt>
                      <c:pt idx="88">
                        <c:v>45772</c:v>
                      </c:pt>
                      <c:pt idx="89">
                        <c:v>45779</c:v>
                      </c:pt>
                      <c:pt idx="90">
                        <c:v>45786</c:v>
                      </c:pt>
                      <c:pt idx="91">
                        <c:v>45793</c:v>
                      </c:pt>
                      <c:pt idx="92">
                        <c:v>45800</c:v>
                      </c:pt>
                      <c:pt idx="93">
                        <c:v>45807</c:v>
                      </c:pt>
                      <c:pt idx="94">
                        <c:v>45814</c:v>
                      </c:pt>
                      <c:pt idx="95">
                        <c:v>45821</c:v>
                      </c:pt>
                      <c:pt idx="96">
                        <c:v>45828</c:v>
                      </c:pt>
                      <c:pt idx="97">
                        <c:v>45835</c:v>
                      </c:pt>
                      <c:pt idx="98">
                        <c:v>45842</c:v>
                      </c:pt>
                      <c:pt idx="99">
                        <c:v>45849</c:v>
                      </c:pt>
                      <c:pt idx="100">
                        <c:v>45856</c:v>
                      </c:pt>
                      <c:pt idx="101">
                        <c:v>45863</c:v>
                      </c:pt>
                      <c:pt idx="102">
                        <c:v>45870</c:v>
                      </c:pt>
                      <c:pt idx="103">
                        <c:v>45877</c:v>
                      </c:pt>
                      <c:pt idx="104">
                        <c:v>45884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NWP!$Y$5:$Y$109</c15:sqref>
                        </c15:formulaRef>
                      </c:ext>
                    </c:extLst>
                    <c:numCache>
                      <c:formatCode>#,##0</c:formatCode>
                      <c:ptCount val="1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172526.72605456412</c:v>
                      </c:pt>
                      <c:pt idx="25">
                        <c:v>603843.54119097441</c:v>
                      </c:pt>
                      <c:pt idx="26">
                        <c:v>603843.54119097441</c:v>
                      </c:pt>
                      <c:pt idx="27">
                        <c:v>603843.54119097441</c:v>
                      </c:pt>
                      <c:pt idx="28">
                        <c:v>676086.07279241574</c:v>
                      </c:pt>
                      <c:pt idx="29">
                        <c:v>1109541.2624010632</c:v>
                      </c:pt>
                      <c:pt idx="30">
                        <c:v>1109541.2624010632</c:v>
                      </c:pt>
                      <c:pt idx="31">
                        <c:v>1109541.2624010632</c:v>
                      </c:pt>
                      <c:pt idx="32">
                        <c:v>1109541.2624010632</c:v>
                      </c:pt>
                      <c:pt idx="33">
                        <c:v>1162864.1218043792</c:v>
                      </c:pt>
                      <c:pt idx="34">
                        <c:v>1184193.2655657057</c:v>
                      </c:pt>
                      <c:pt idx="35">
                        <c:v>1184193.2655657057</c:v>
                      </c:pt>
                      <c:pt idx="36">
                        <c:v>1184193.2655657057</c:v>
                      </c:pt>
                      <c:pt idx="37">
                        <c:v>1173809.5906856277</c:v>
                      </c:pt>
                      <c:pt idx="38">
                        <c:v>1159964.6908455235</c:v>
                      </c:pt>
                      <c:pt idx="39">
                        <c:v>1159964.6908455235</c:v>
                      </c:pt>
                      <c:pt idx="40">
                        <c:v>1159964.6908455235</c:v>
                      </c:pt>
                      <c:pt idx="41">
                        <c:v>1159964.6908455235</c:v>
                      </c:pt>
                      <c:pt idx="42">
                        <c:v>1221206.8541272306</c:v>
                      </c:pt>
                      <c:pt idx="43">
                        <c:v>1221206.8541272306</c:v>
                      </c:pt>
                      <c:pt idx="44">
                        <c:v>1221206.8541272306</c:v>
                      </c:pt>
                      <c:pt idx="45">
                        <c:v>1221206.8541272306</c:v>
                      </c:pt>
                      <c:pt idx="46">
                        <c:v>896491.98711871007</c:v>
                      </c:pt>
                      <c:pt idx="47">
                        <c:v>766606.04031530209</c:v>
                      </c:pt>
                      <c:pt idx="48">
                        <c:v>766606.04031530209</c:v>
                      </c:pt>
                      <c:pt idx="49">
                        <c:v>766606.04031530209</c:v>
                      </c:pt>
                      <c:pt idx="50">
                        <c:v>763837.79081701231</c:v>
                      </c:pt>
                      <c:pt idx="51">
                        <c:v>756917.16707128845</c:v>
                      </c:pt>
                      <c:pt idx="52">
                        <c:v>756917.16707128845</c:v>
                      </c:pt>
                      <c:pt idx="53">
                        <c:v>756917.16707128845</c:v>
                      </c:pt>
                      <c:pt idx="54">
                        <c:v>756917.16707128845</c:v>
                      </c:pt>
                      <c:pt idx="55">
                        <c:v>1026576.6049180926</c:v>
                      </c:pt>
                      <c:pt idx="56">
                        <c:v>1071519.8445592267</c:v>
                      </c:pt>
                      <c:pt idx="57">
                        <c:v>1071519.8445592267</c:v>
                      </c:pt>
                      <c:pt idx="58">
                        <c:v>1071519.8445592267</c:v>
                      </c:pt>
                      <c:pt idx="59">
                        <c:v>1104485.1535556014</c:v>
                      </c:pt>
                      <c:pt idx="60">
                        <c:v>1129209.1353028822</c:v>
                      </c:pt>
                      <c:pt idx="61">
                        <c:v>1129209.1353028822</c:v>
                      </c:pt>
                      <c:pt idx="62">
                        <c:v>1129209.1353028822</c:v>
                      </c:pt>
                      <c:pt idx="63">
                        <c:v>1111150.0831068831</c:v>
                      </c:pt>
                      <c:pt idx="64">
                        <c:v>1002795.769930889</c:v>
                      </c:pt>
                      <c:pt idx="65">
                        <c:v>1002795.769930889</c:v>
                      </c:pt>
                      <c:pt idx="66">
                        <c:v>1002795.769930889</c:v>
                      </c:pt>
                      <c:pt idx="67">
                        <c:v>1002795.769930889</c:v>
                      </c:pt>
                      <c:pt idx="68">
                        <c:v>898658.28840400092</c:v>
                      </c:pt>
                      <c:pt idx="69">
                        <c:v>881302.04148285277</c:v>
                      </c:pt>
                      <c:pt idx="70">
                        <c:v>881302.04148285277</c:v>
                      </c:pt>
                      <c:pt idx="71">
                        <c:v>881302.04148285277</c:v>
                      </c:pt>
                      <c:pt idx="72">
                        <c:v>1222321.8723791102</c:v>
                      </c:pt>
                      <c:pt idx="73">
                        <c:v>1677014.9802407864</c:v>
                      </c:pt>
                      <c:pt idx="74">
                        <c:v>1677014.9802407864</c:v>
                      </c:pt>
                      <c:pt idx="75">
                        <c:v>1677014.9802407864</c:v>
                      </c:pt>
                      <c:pt idx="76">
                        <c:v>1677014.9802407864</c:v>
                      </c:pt>
                      <c:pt idx="77">
                        <c:v>1856695.1566951568</c:v>
                      </c:pt>
                      <c:pt idx="78">
                        <c:v>1856695.1566951568</c:v>
                      </c:pt>
                      <c:pt idx="79">
                        <c:v>1856695.1566951568</c:v>
                      </c:pt>
                      <c:pt idx="80">
                        <c:v>1856695.1566951568</c:v>
                      </c:pt>
                      <c:pt idx="81">
                        <c:v>1677014.9802407864</c:v>
                      </c:pt>
                      <c:pt idx="82">
                        <c:v>1677014.9802407864</c:v>
                      </c:pt>
                      <c:pt idx="83">
                        <c:v>1677014.9802407864</c:v>
                      </c:pt>
                      <c:pt idx="84">
                        <c:v>1677014.9802407864</c:v>
                      </c:pt>
                      <c:pt idx="85">
                        <c:v>1193652.3322793781</c:v>
                      </c:pt>
                      <c:pt idx="86">
                        <c:v>831130.34630832192</c:v>
                      </c:pt>
                      <c:pt idx="87">
                        <c:v>831130.34630832192</c:v>
                      </c:pt>
                      <c:pt idx="88">
                        <c:v>831130.34630832192</c:v>
                      </c:pt>
                      <c:pt idx="89">
                        <c:v>832513.22446582338</c:v>
                      </c:pt>
                      <c:pt idx="90">
                        <c:v>835970.41985957627</c:v>
                      </c:pt>
                      <c:pt idx="91">
                        <c:v>835970.41985957627</c:v>
                      </c:pt>
                      <c:pt idx="92">
                        <c:v>835970.41985957627</c:v>
                      </c:pt>
                      <c:pt idx="93">
                        <c:v>835970.41985957627</c:v>
                      </c:pt>
                      <c:pt idx="94">
                        <c:v>850592.14216693118</c:v>
                      </c:pt>
                      <c:pt idx="95">
                        <c:v>853029.09588482347</c:v>
                      </c:pt>
                      <c:pt idx="96">
                        <c:v>853029.09588482347</c:v>
                      </c:pt>
                      <c:pt idx="97">
                        <c:v>853029.09588482347</c:v>
                      </c:pt>
                      <c:pt idx="98">
                        <c:v>866585.09522273578</c:v>
                      </c:pt>
                      <c:pt idx="99">
                        <c:v>876752.09472617006</c:v>
                      </c:pt>
                      <c:pt idx="100">
                        <c:v>876752.09472617006</c:v>
                      </c:pt>
                      <c:pt idx="101">
                        <c:v>876752.09472617006</c:v>
                      </c:pt>
                      <c:pt idx="102">
                        <c:v>880808.08881452226</c:v>
                      </c:pt>
                      <c:pt idx="103">
                        <c:v>905144.05334463553</c:v>
                      </c:pt>
                      <c:pt idx="104">
                        <c:v>905144.05334463553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E-3E9B-462E-9CEE-B3AF69DE06E5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strRef>
              <c:f>NWP!$W$4</c:f>
              <c:strCache>
                <c:ptCount val="1"/>
                <c:pt idx="0">
                  <c:v>Average NWP (Boom Annual Premium Finance)</c:v>
                </c:pt>
              </c:strCache>
            </c:strRef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NWP!$W$5:$W$109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1426.9773870841177</c:v>
                </c:pt>
                <c:pt idx="24">
                  <c:v>1473.3348841204356</c:v>
                </c:pt>
                <c:pt idx="25">
                  <c:v>1522.2566781781215</c:v>
                </c:pt>
                <c:pt idx="26">
                  <c:v>1405.0533008941004</c:v>
                </c:pt>
                <c:pt idx="27">
                  <c:v>1456.0507387312687</c:v>
                </c:pt>
                <c:pt idx="28">
                  <c:v>1406.2115443040202</c:v>
                </c:pt>
                <c:pt idx="29">
                  <c:v>1435.9435936944519</c:v>
                </c:pt>
                <c:pt idx="30">
                  <c:v>1413.3907884727164</c:v>
                </c:pt>
                <c:pt idx="31">
                  <c:v>1371.414999586088</c:v>
                </c:pt>
                <c:pt idx="32">
                  <c:v>1305.3367231133045</c:v>
                </c:pt>
                <c:pt idx="33">
                  <c:v>1232.5925825295253</c:v>
                </c:pt>
                <c:pt idx="34">
                  <c:v>1230.1610241370433</c:v>
                </c:pt>
                <c:pt idx="35">
                  <c:v>1217.7396436620159</c:v>
                </c:pt>
                <c:pt idx="36">
                  <c:v>1228.3465873016808</c:v>
                </c:pt>
                <c:pt idx="37">
                  <c:v>1136.9428845885975</c:v>
                </c:pt>
                <c:pt idx="38">
                  <c:v>1170.3431189080818</c:v>
                </c:pt>
                <c:pt idx="39">
                  <c:v>1239.8647683761819</c:v>
                </c:pt>
                <c:pt idx="40">
                  <c:v>1181.813842391796</c:v>
                </c:pt>
                <c:pt idx="41">
                  <c:v>1139.2554439715291</c:v>
                </c:pt>
                <c:pt idx="42">
                  <c:v>1072.3696049075206</c:v>
                </c:pt>
                <c:pt idx="43">
                  <c:v>1188.4972832964847</c:v>
                </c:pt>
                <c:pt idx="44">
                  <c:v>1116.2505563660816</c:v>
                </c:pt>
                <c:pt idx="45">
                  <c:v>1178.0473709116509</c:v>
                </c:pt>
                <c:pt idx="46">
                  <c:v>1139.2906295556761</c:v>
                </c:pt>
                <c:pt idx="47">
                  <c:v>1148.6454718622881</c:v>
                </c:pt>
                <c:pt idx="48">
                  <c:v>1159.1790417437262</c:v>
                </c:pt>
                <c:pt idx="49">
                  <c:v>1120.9211008272255</c:v>
                </c:pt>
                <c:pt idx="50">
                  <c:v>1123.2062310992615</c:v>
                </c:pt>
                <c:pt idx="51">
                  <c:v>1221.0595939668449</c:v>
                </c:pt>
                <c:pt idx="52">
                  <c:v>1204.8400645831462</c:v>
                </c:pt>
                <c:pt idx="53">
                  <c:v>1141.2878871721648</c:v>
                </c:pt>
                <c:pt idx="54">
                  <c:v>1124.5223932450544</c:v>
                </c:pt>
                <c:pt idx="55">
                  <c:v>1077.7982904991748</c:v>
                </c:pt>
                <c:pt idx="56">
                  <c:v>1092.3399263485799</c:v>
                </c:pt>
                <c:pt idx="57">
                  <c:v>1165.6568508850553</c:v>
                </c:pt>
                <c:pt idx="58">
                  <c:v>1148.5188486992656</c:v>
                </c:pt>
                <c:pt idx="59">
                  <c:v>1115.2690594002772</c:v>
                </c:pt>
                <c:pt idx="60">
                  <c:v>1166.8585901067784</c:v>
                </c:pt>
                <c:pt idx="61">
                  <c:v>1184.6493177735374</c:v>
                </c:pt>
                <c:pt idx="62">
                  <c:v>1115.0893773965101</c:v>
                </c:pt>
                <c:pt idx="63">
                  <c:v>1131.5693832152488</c:v>
                </c:pt>
                <c:pt idx="64">
                  <c:v>1194.2291454526551</c:v>
                </c:pt>
                <c:pt idx="65">
                  <c:v>1171.7648585515055</c:v>
                </c:pt>
                <c:pt idx="66">
                  <c:v>1191.966755510653</c:v>
                </c:pt>
                <c:pt idx="67">
                  <c:v>1188.1524550063384</c:v>
                </c:pt>
                <c:pt idx="68">
                  <c:v>1162.6800890588611</c:v>
                </c:pt>
                <c:pt idx="69">
                  <c:v>1186.5122521016619</c:v>
                </c:pt>
                <c:pt idx="70">
                  <c:v>1187.4621112374602</c:v>
                </c:pt>
                <c:pt idx="71">
                  <c:v>1218.6509640860299</c:v>
                </c:pt>
                <c:pt idx="72">
                  <c:v>1140.4314988027293</c:v>
                </c:pt>
                <c:pt idx="73">
                  <c:v>1113.1220333396743</c:v>
                </c:pt>
                <c:pt idx="74">
                  <c:v>1125.0776708063859</c:v>
                </c:pt>
                <c:pt idx="75">
                  <c:v>1116.1091036943835</c:v>
                </c:pt>
                <c:pt idx="76">
                  <c:v>1047.6908949834997</c:v>
                </c:pt>
                <c:pt idx="77">
                  <c:v>1106.0284132065171</c:v>
                </c:pt>
                <c:pt idx="78">
                  <c:v>1151.60583221919</c:v>
                </c:pt>
                <c:pt idx="79">
                  <c:v>1103.3707373666671</c:v>
                </c:pt>
                <c:pt idx="80">
                  <c:v>1049.7406236124352</c:v>
                </c:pt>
                <c:pt idx="81">
                  <c:v>1070.4804099855226</c:v>
                </c:pt>
                <c:pt idx="82">
                  <c:v>1114.1352965853407</c:v>
                </c:pt>
                <c:pt idx="83">
                  <c:v>1106.3960306503889</c:v>
                </c:pt>
                <c:pt idx="84">
                  <c:v>1124.7818493313077</c:v>
                </c:pt>
                <c:pt idx="85">
                  <c:v>1081.4850143320639</c:v>
                </c:pt>
                <c:pt idx="86">
                  <c:v>1116.611204918762</c:v>
                </c:pt>
                <c:pt idx="87">
                  <c:v>1121.8146962971414</c:v>
                </c:pt>
                <c:pt idx="88">
                  <c:v>1066.5079519138692</c:v>
                </c:pt>
                <c:pt idx="89">
                  <c:v>1071.4206968366218</c:v>
                </c:pt>
                <c:pt idx="90">
                  <c:v>1107.1244570465813</c:v>
                </c:pt>
                <c:pt idx="91">
                  <c:v>1086.2053867851268</c:v>
                </c:pt>
                <c:pt idx="92">
                  <c:v>1149.2709974119275</c:v>
                </c:pt>
                <c:pt idx="93">
                  <c:v>1086.6672230321942</c:v>
                </c:pt>
                <c:pt idx="94">
                  <c:v>1066.1080208531628</c:v>
                </c:pt>
                <c:pt idx="95">
                  <c:v>1114.8470575093313</c:v>
                </c:pt>
                <c:pt idx="96">
                  <c:v>1087.0150365142977</c:v>
                </c:pt>
                <c:pt idx="97">
                  <c:v>1112.2899535768981</c:v>
                </c:pt>
                <c:pt idx="98">
                  <c:v>1097.9752216750192</c:v>
                </c:pt>
                <c:pt idx="99">
                  <c:v>1148.6455207681204</c:v>
                </c:pt>
                <c:pt idx="100">
                  <c:v>1103.4846355568141</c:v>
                </c:pt>
                <c:pt idx="101">
                  <c:v>1132.8678358015818</c:v>
                </c:pt>
                <c:pt idx="102">
                  <c:v>1099.6471027044677</c:v>
                </c:pt>
                <c:pt idx="103">
                  <c:v>1261.4810802647014</c:v>
                </c:pt>
                <c:pt idx="104">
                  <c:v>1178.1623124844043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E9B-462E-9CEE-B3AF69DE06E5}"/>
            </c:ext>
          </c:extLst>
        </c:ser>
        <c:ser>
          <c:idx val="3"/>
          <c:order val="3"/>
          <c:tx>
            <c:strRef>
              <c:f>NWP!$X$4</c:f>
              <c:strCache>
                <c:ptCount val="1"/>
                <c:pt idx="0">
                  <c:v>Average NWP - 4 Week Avg (Boom Annual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NWP!$X$5:$X$109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356.74434677102943</c:v>
                </c:pt>
                <c:pt idx="24">
                  <c:v>725.07806780113833</c:v>
                </c:pt>
                <c:pt idx="25">
                  <c:v>1105.6422373456687</c:v>
                </c:pt>
                <c:pt idx="26">
                  <c:v>1456.9055625691938</c:v>
                </c:pt>
                <c:pt idx="27">
                  <c:v>1464.1739004809815</c:v>
                </c:pt>
                <c:pt idx="28">
                  <c:v>1447.3930655268778</c:v>
                </c:pt>
                <c:pt idx="29">
                  <c:v>1425.8147944059604</c:v>
                </c:pt>
                <c:pt idx="30">
                  <c:v>1427.8991663006141</c:v>
                </c:pt>
                <c:pt idx="31">
                  <c:v>1406.740231514319</c:v>
                </c:pt>
                <c:pt idx="32">
                  <c:v>1381.52152621664</c:v>
                </c:pt>
                <c:pt idx="33">
                  <c:v>1330.6837734254086</c:v>
                </c:pt>
                <c:pt idx="34">
                  <c:v>1284.8763323414903</c:v>
                </c:pt>
                <c:pt idx="35">
                  <c:v>1246.4574933604722</c:v>
                </c:pt>
                <c:pt idx="36">
                  <c:v>1227.2099594075662</c:v>
                </c:pt>
                <c:pt idx="37">
                  <c:v>1203.2975349223343</c:v>
                </c:pt>
                <c:pt idx="38">
                  <c:v>1188.3430586150942</c:v>
                </c:pt>
                <c:pt idx="39">
                  <c:v>1193.8743397936355</c:v>
                </c:pt>
                <c:pt idx="40">
                  <c:v>1182.2411535661643</c:v>
                </c:pt>
                <c:pt idx="41">
                  <c:v>1182.8192934118974</c:v>
                </c:pt>
                <c:pt idx="42">
                  <c:v>1158.3259149117571</c:v>
                </c:pt>
                <c:pt idx="43">
                  <c:v>1145.4840436418326</c:v>
                </c:pt>
                <c:pt idx="44">
                  <c:v>1129.0932221354039</c:v>
                </c:pt>
                <c:pt idx="45">
                  <c:v>1138.7912038704344</c:v>
                </c:pt>
                <c:pt idx="46">
                  <c:v>1155.5214600324734</c:v>
                </c:pt>
                <c:pt idx="47">
                  <c:v>1145.5585071739242</c:v>
                </c:pt>
                <c:pt idx="48">
                  <c:v>1156.2906285183353</c:v>
                </c:pt>
                <c:pt idx="49">
                  <c:v>1142.009060997229</c:v>
                </c:pt>
                <c:pt idx="50">
                  <c:v>1137.9879613831254</c:v>
                </c:pt>
                <c:pt idx="51">
                  <c:v>1156.0914919092645</c:v>
                </c:pt>
                <c:pt idx="52">
                  <c:v>1167.5067476191196</c:v>
                </c:pt>
                <c:pt idx="53">
                  <c:v>1172.5984442053543</c:v>
                </c:pt>
                <c:pt idx="54">
                  <c:v>1172.9274847418026</c:v>
                </c:pt>
                <c:pt idx="55">
                  <c:v>1137.1121588748852</c:v>
                </c:pt>
                <c:pt idx="56">
                  <c:v>1108.9871243162436</c:v>
                </c:pt>
                <c:pt idx="57">
                  <c:v>1115.0793652444661</c:v>
                </c:pt>
                <c:pt idx="58">
                  <c:v>1121.0784791080189</c:v>
                </c:pt>
                <c:pt idx="59">
                  <c:v>1130.4461713332944</c:v>
                </c:pt>
                <c:pt idx="60">
                  <c:v>1149.075837272844</c:v>
                </c:pt>
                <c:pt idx="61">
                  <c:v>1153.8239539949645</c:v>
                </c:pt>
                <c:pt idx="62">
                  <c:v>1145.4665861692758</c:v>
                </c:pt>
                <c:pt idx="63">
                  <c:v>1149.5416671230187</c:v>
                </c:pt>
                <c:pt idx="64">
                  <c:v>1156.3843059594878</c:v>
                </c:pt>
                <c:pt idx="65">
                  <c:v>1153.1631911539798</c:v>
                </c:pt>
                <c:pt idx="66">
                  <c:v>1172.3825356825155</c:v>
                </c:pt>
                <c:pt idx="67">
                  <c:v>1186.5283036302881</c:v>
                </c:pt>
                <c:pt idx="68">
                  <c:v>1178.6410395318396</c:v>
                </c:pt>
                <c:pt idx="69">
                  <c:v>1182.3278879193786</c:v>
                </c:pt>
                <c:pt idx="70">
                  <c:v>1181.2017268510804</c:v>
                </c:pt>
                <c:pt idx="71">
                  <c:v>1188.8263541210033</c:v>
                </c:pt>
                <c:pt idx="72">
                  <c:v>1183.2642065569703</c:v>
                </c:pt>
                <c:pt idx="73">
                  <c:v>1164.9166518664733</c:v>
                </c:pt>
                <c:pt idx="74">
                  <c:v>1149.3205417587048</c:v>
                </c:pt>
                <c:pt idx="75">
                  <c:v>1123.6850766607931</c:v>
                </c:pt>
                <c:pt idx="76">
                  <c:v>1100.4999257059858</c:v>
                </c:pt>
                <c:pt idx="77">
                  <c:v>1098.7265206726966</c:v>
                </c:pt>
                <c:pt idx="78">
                  <c:v>1105.3585610258976</c:v>
                </c:pt>
                <c:pt idx="79">
                  <c:v>1102.1739694439684</c:v>
                </c:pt>
                <c:pt idx="80">
                  <c:v>1102.6864016012023</c:v>
                </c:pt>
                <c:pt idx="81">
                  <c:v>1093.7994007959537</c:v>
                </c:pt>
                <c:pt idx="82">
                  <c:v>1084.4317668874914</c:v>
                </c:pt>
                <c:pt idx="83">
                  <c:v>1085.188090208422</c:v>
                </c:pt>
                <c:pt idx="84">
                  <c:v>1103.9483966381399</c:v>
                </c:pt>
                <c:pt idx="85">
                  <c:v>1106.6995477247754</c:v>
                </c:pt>
                <c:pt idx="86">
                  <c:v>1107.3185248081306</c:v>
                </c:pt>
                <c:pt idx="87">
                  <c:v>1111.1731912198188</c:v>
                </c:pt>
                <c:pt idx="88">
                  <c:v>1096.6047168654591</c:v>
                </c:pt>
                <c:pt idx="89">
                  <c:v>1094.0886374915985</c:v>
                </c:pt>
                <c:pt idx="90">
                  <c:v>1091.7169505235534</c:v>
                </c:pt>
                <c:pt idx="91">
                  <c:v>1082.8146231455498</c:v>
                </c:pt>
                <c:pt idx="92">
                  <c:v>1103.5053845200644</c:v>
                </c:pt>
                <c:pt idx="93">
                  <c:v>1107.3170160689574</c:v>
                </c:pt>
                <c:pt idx="94">
                  <c:v>1097.0629070206028</c:v>
                </c:pt>
                <c:pt idx="95">
                  <c:v>1104.2233247016541</c:v>
                </c:pt>
                <c:pt idx="96">
                  <c:v>1088.6593344772464</c:v>
                </c:pt>
                <c:pt idx="97">
                  <c:v>1095.0650171134225</c:v>
                </c:pt>
                <c:pt idx="98">
                  <c:v>1103.0318173188866</c:v>
                </c:pt>
                <c:pt idx="99">
                  <c:v>1111.4814331335838</c:v>
                </c:pt>
                <c:pt idx="100">
                  <c:v>1115.598832894213</c:v>
                </c:pt>
                <c:pt idx="101">
                  <c:v>1120.7433034503838</c:v>
                </c:pt>
                <c:pt idx="102">
                  <c:v>1121.161273707746</c:v>
                </c:pt>
                <c:pt idx="103">
                  <c:v>1149.3701635818911</c:v>
                </c:pt>
                <c:pt idx="104">
                  <c:v>1168.0395828137889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E9B-462E-9CEE-B3AF69DE0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  <c:min val="350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(Incl. Monthly Rens):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NWP (Boom)</c:v>
          </c:tx>
          <c:spPr>
            <a:solidFill>
              <a:srgbClr val="A5A5A5"/>
            </a:solidFill>
            <a:ln>
              <a:noFill/>
            </a:ln>
            <a:effectLst/>
          </c:spPr>
          <c:invertIfNegative val="0"/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NWP!$G$5:$G$109</c:f>
              <c:numCache>
                <c:formatCode>#,##0</c:formatCode>
                <c:ptCount val="105"/>
                <c:pt idx="0">
                  <c:v>656672.72964324686</c:v>
                </c:pt>
                <c:pt idx="1">
                  <c:v>659095.53749993176</c:v>
                </c:pt>
                <c:pt idx="2">
                  <c:v>697418.26392813167</c:v>
                </c:pt>
                <c:pt idx="3">
                  <c:v>626473.55357125239</c:v>
                </c:pt>
                <c:pt idx="4">
                  <c:v>621887.9250000061</c:v>
                </c:pt>
                <c:pt idx="5">
                  <c:v>642525.86428563402</c:v>
                </c:pt>
                <c:pt idx="6">
                  <c:v>625292.911785751</c:v>
                </c:pt>
                <c:pt idx="7">
                  <c:v>659601.20892880892</c:v>
                </c:pt>
                <c:pt idx="8">
                  <c:v>660269.06499954558</c:v>
                </c:pt>
                <c:pt idx="9">
                  <c:v>742084.9624993148</c:v>
                </c:pt>
                <c:pt idx="10">
                  <c:v>833592.03678610304</c:v>
                </c:pt>
                <c:pt idx="11">
                  <c:v>935703.94821399928</c:v>
                </c:pt>
                <c:pt idx="12">
                  <c:v>788350.79285755695</c:v>
                </c:pt>
                <c:pt idx="13">
                  <c:v>814870.00035671226</c:v>
                </c:pt>
                <c:pt idx="14">
                  <c:v>922553.84892843512</c:v>
                </c:pt>
                <c:pt idx="15">
                  <c:v>1128753.0864284646</c:v>
                </c:pt>
                <c:pt idx="16">
                  <c:v>839594.90357143176</c:v>
                </c:pt>
                <c:pt idx="17">
                  <c:v>905654.11321348487</c:v>
                </c:pt>
                <c:pt idx="18">
                  <c:v>900543.77571401477</c:v>
                </c:pt>
                <c:pt idx="19">
                  <c:v>813851.9360712762</c:v>
                </c:pt>
                <c:pt idx="20">
                  <c:v>828117.70928602992</c:v>
                </c:pt>
                <c:pt idx="21">
                  <c:v>898210.91571425367</c:v>
                </c:pt>
                <c:pt idx="22">
                  <c:v>893134.24714262167</c:v>
                </c:pt>
                <c:pt idx="23">
                  <c:v>1097630.6739290361</c:v>
                </c:pt>
                <c:pt idx="24">
                  <c:v>1597940.8171408323</c:v>
                </c:pt>
                <c:pt idx="25">
                  <c:v>1324562.0725005064</c:v>
                </c:pt>
                <c:pt idx="26">
                  <c:v>1372329.2892861268</c:v>
                </c:pt>
                <c:pt idx="27">
                  <c:v>1719144.7153566726</c:v>
                </c:pt>
                <c:pt idx="28">
                  <c:v>2227269.2467852584</c:v>
                </c:pt>
                <c:pt idx="29">
                  <c:v>2015156.0928570866</c:v>
                </c:pt>
                <c:pt idx="30">
                  <c:v>1989385.2042858815</c:v>
                </c:pt>
                <c:pt idx="31">
                  <c:v>2087128.3510714278</c:v>
                </c:pt>
                <c:pt idx="32">
                  <c:v>2252657.3010731237</c:v>
                </c:pt>
                <c:pt idx="33">
                  <c:v>2123919.6339300768</c:v>
                </c:pt>
                <c:pt idx="34">
                  <c:v>1871820.6810721287</c:v>
                </c:pt>
                <c:pt idx="35">
                  <c:v>1812313.3589291107</c:v>
                </c:pt>
                <c:pt idx="36">
                  <c:v>2088053.5103574703</c:v>
                </c:pt>
                <c:pt idx="37">
                  <c:v>2076105.7124988679</c:v>
                </c:pt>
                <c:pt idx="38">
                  <c:v>1712303.1714289237</c:v>
                </c:pt>
                <c:pt idx="39">
                  <c:v>1712532.5575001722</c:v>
                </c:pt>
                <c:pt idx="40">
                  <c:v>1793740.1046429751</c:v>
                </c:pt>
                <c:pt idx="41">
                  <c:v>1707043.5592849178</c:v>
                </c:pt>
                <c:pt idx="42">
                  <c:v>1574296.462856859</c:v>
                </c:pt>
                <c:pt idx="43">
                  <c:v>1533668.787142993</c:v>
                </c:pt>
                <c:pt idx="44">
                  <c:v>1482963.3817860885</c:v>
                </c:pt>
                <c:pt idx="45">
                  <c:v>1567473.8017849182</c:v>
                </c:pt>
                <c:pt idx="46">
                  <c:v>1540668.5200003171</c:v>
                </c:pt>
                <c:pt idx="47">
                  <c:v>1291021.4417861886</c:v>
                </c:pt>
                <c:pt idx="48">
                  <c:v>1241416.8753577804</c:v>
                </c:pt>
                <c:pt idx="49">
                  <c:v>1245800.2760714022</c:v>
                </c:pt>
                <c:pt idx="50">
                  <c:v>1350213.6814296506</c:v>
                </c:pt>
                <c:pt idx="51">
                  <c:v>1157859.7175003586</c:v>
                </c:pt>
                <c:pt idx="52">
                  <c:v>1127219.8953574116</c:v>
                </c:pt>
                <c:pt idx="53">
                  <c:v>1099059.792143587</c:v>
                </c:pt>
                <c:pt idx="54">
                  <c:v>1038745.1510710203</c:v>
                </c:pt>
                <c:pt idx="55">
                  <c:v>1149231.7825005902</c:v>
                </c:pt>
                <c:pt idx="56">
                  <c:v>977542.46785723011</c:v>
                </c:pt>
                <c:pt idx="57">
                  <c:v>1073666.7553567069</c:v>
                </c:pt>
                <c:pt idx="58">
                  <c:v>1122814.4189287752</c:v>
                </c:pt>
                <c:pt idx="59">
                  <c:v>1055706.7625007094</c:v>
                </c:pt>
                <c:pt idx="60">
                  <c:v>898929.05785684101</c:v>
                </c:pt>
                <c:pt idx="61">
                  <c:v>1004044.634642342</c:v>
                </c:pt>
                <c:pt idx="62">
                  <c:v>1059875.3771425304</c:v>
                </c:pt>
                <c:pt idx="63">
                  <c:v>1129446.0128574271</c:v>
                </c:pt>
                <c:pt idx="64">
                  <c:v>946388.70857068698</c:v>
                </c:pt>
                <c:pt idx="65">
                  <c:v>974611.27928592579</c:v>
                </c:pt>
                <c:pt idx="66">
                  <c:v>1227046.0732138127</c:v>
                </c:pt>
                <c:pt idx="67">
                  <c:v>1243734.9678575704</c:v>
                </c:pt>
                <c:pt idx="68">
                  <c:v>1276385.0832140204</c:v>
                </c:pt>
                <c:pt idx="69">
                  <c:v>1128088.7050003572</c:v>
                </c:pt>
                <c:pt idx="70">
                  <c:v>1133257.613928715</c:v>
                </c:pt>
                <c:pt idx="71">
                  <c:v>896416.68071353948</c:v>
                </c:pt>
                <c:pt idx="72">
                  <c:v>946189.65500064217</c:v>
                </c:pt>
                <c:pt idx="73">
                  <c:v>1068914.5121430974</c:v>
                </c:pt>
                <c:pt idx="74">
                  <c:v>1056859.4803561007</c:v>
                </c:pt>
                <c:pt idx="75">
                  <c:v>935922.92750071443</c:v>
                </c:pt>
                <c:pt idx="76">
                  <c:v>1096958.2650006299</c:v>
                </c:pt>
                <c:pt idx="77">
                  <c:v>1049933.7260713601</c:v>
                </c:pt>
                <c:pt idx="78">
                  <c:v>906157.79499872006</c:v>
                </c:pt>
                <c:pt idx="79">
                  <c:v>807862.18107179995</c:v>
                </c:pt>
                <c:pt idx="80">
                  <c:v>998074.90285724995</c:v>
                </c:pt>
                <c:pt idx="81">
                  <c:v>1013544.6303568799</c:v>
                </c:pt>
                <c:pt idx="82">
                  <c:v>1023509.2667853299</c:v>
                </c:pt>
                <c:pt idx="83">
                  <c:v>1048060.0546423199</c:v>
                </c:pt>
                <c:pt idx="84">
                  <c:v>1183054.4014283889</c:v>
                </c:pt>
                <c:pt idx="85">
                  <c:v>1205201.850714433</c:v>
                </c:pt>
                <c:pt idx="86">
                  <c:v>1098813.1646424602</c:v>
                </c:pt>
                <c:pt idx="87">
                  <c:v>1079427.2932132601</c:v>
                </c:pt>
                <c:pt idx="88">
                  <c:v>990825.61535694986</c:v>
                </c:pt>
                <c:pt idx="89">
                  <c:v>1246788.5721422909</c:v>
                </c:pt>
                <c:pt idx="90">
                  <c:v>1006313.7264285199</c:v>
                </c:pt>
                <c:pt idx="91">
                  <c:v>1004358.4399998693</c:v>
                </c:pt>
                <c:pt idx="92">
                  <c:v>953103.93749995995</c:v>
                </c:pt>
                <c:pt idx="93">
                  <c:v>1026261.2646431505</c:v>
                </c:pt>
                <c:pt idx="94">
                  <c:v>1008617.2421435202</c:v>
                </c:pt>
                <c:pt idx="95">
                  <c:v>941529.16071509954</c:v>
                </c:pt>
                <c:pt idx="96">
                  <c:v>837941.95357232017</c:v>
                </c:pt>
                <c:pt idx="97">
                  <c:v>920580.07535721012</c:v>
                </c:pt>
                <c:pt idx="98">
                  <c:v>1053507.4617857398</c:v>
                </c:pt>
                <c:pt idx="99">
                  <c:v>957454.29142917914</c:v>
                </c:pt>
                <c:pt idx="100">
                  <c:v>795522.61250023008</c:v>
                </c:pt>
                <c:pt idx="101">
                  <c:v>806869.89035676001</c:v>
                </c:pt>
                <c:pt idx="102">
                  <c:v>871173.21964277013</c:v>
                </c:pt>
                <c:pt idx="103">
                  <c:v>740951.1235709301</c:v>
                </c:pt>
                <c:pt idx="104">
                  <c:v>826916.67392845021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4B4-4149-B324-E888220F7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v>NWP - 4 Week Avg (Boom)</c:v>
          </c:tx>
          <c:spPr>
            <a:ln w="28575" cap="rnd">
              <a:solidFill>
                <a:sysClr val="windowText" lastClr="000000">
                  <a:lumMod val="65000"/>
                  <a:lumOff val="35000"/>
                </a:sysClr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NWP!$H$5:$H$109</c:f>
              <c:numCache>
                <c:formatCode>#,##0</c:formatCode>
                <c:ptCount val="105"/>
                <c:pt idx="3">
                  <c:v>659915.02116064075</c:v>
                </c:pt>
                <c:pt idx="4">
                  <c:v>651218.81999983045</c:v>
                </c:pt>
                <c:pt idx="5">
                  <c:v>647076.40169625601</c:v>
                </c:pt>
                <c:pt idx="6">
                  <c:v>629045.06366066088</c:v>
                </c:pt>
                <c:pt idx="7">
                  <c:v>637326.9775000501</c:v>
                </c:pt>
                <c:pt idx="8">
                  <c:v>646922.26249993488</c:v>
                </c:pt>
                <c:pt idx="9">
                  <c:v>671812.03705335513</c:v>
                </c:pt>
                <c:pt idx="10">
                  <c:v>723886.81830344314</c:v>
                </c:pt>
                <c:pt idx="11">
                  <c:v>792912.50312474067</c:v>
                </c:pt>
                <c:pt idx="12">
                  <c:v>824932.93508924358</c:v>
                </c:pt>
                <c:pt idx="13">
                  <c:v>843129.19455359294</c:v>
                </c:pt>
                <c:pt idx="14">
                  <c:v>865369.64758917596</c:v>
                </c:pt>
                <c:pt idx="15">
                  <c:v>913631.93214279227</c:v>
                </c:pt>
                <c:pt idx="16">
                  <c:v>926442.959821261</c:v>
                </c:pt>
                <c:pt idx="17">
                  <c:v>949138.98803545418</c:v>
                </c:pt>
                <c:pt idx="18">
                  <c:v>943636.46973184892</c:v>
                </c:pt>
                <c:pt idx="19">
                  <c:v>864911.18214255187</c:v>
                </c:pt>
                <c:pt idx="20">
                  <c:v>862041.88357120147</c:v>
                </c:pt>
                <c:pt idx="21">
                  <c:v>860181.08419639361</c:v>
                </c:pt>
                <c:pt idx="22">
                  <c:v>858328.70205354539</c:v>
                </c:pt>
                <c:pt idx="23">
                  <c:v>929273.38651798537</c:v>
                </c:pt>
                <c:pt idx="24">
                  <c:v>1121729.163481686</c:v>
                </c:pt>
                <c:pt idx="25">
                  <c:v>1228316.9526782492</c:v>
                </c:pt>
                <c:pt idx="26">
                  <c:v>1348115.7132141255</c:v>
                </c:pt>
                <c:pt idx="27">
                  <c:v>1503494.2235710346</c:v>
                </c:pt>
                <c:pt idx="28">
                  <c:v>1660826.3309821412</c:v>
                </c:pt>
                <c:pt idx="29">
                  <c:v>1833474.8360712864</c:v>
                </c:pt>
                <c:pt idx="30">
                  <c:v>1987738.8148212249</c:v>
                </c:pt>
                <c:pt idx="31">
                  <c:v>2079734.7237499135</c:v>
                </c:pt>
                <c:pt idx="32">
                  <c:v>2086081.7373218799</c:v>
                </c:pt>
                <c:pt idx="33">
                  <c:v>2113272.6225901274</c:v>
                </c:pt>
                <c:pt idx="34">
                  <c:v>2083881.4917866893</c:v>
                </c:pt>
                <c:pt idx="35">
                  <c:v>2015177.74375111</c:v>
                </c:pt>
                <c:pt idx="36">
                  <c:v>1974026.7960721967</c:v>
                </c:pt>
                <c:pt idx="37">
                  <c:v>1962073.3157143944</c:v>
                </c:pt>
                <c:pt idx="38">
                  <c:v>1922193.9383035931</c:v>
                </c:pt>
                <c:pt idx="39">
                  <c:v>1897248.7379463585</c:v>
                </c:pt>
                <c:pt idx="40">
                  <c:v>1823670.3865177347</c:v>
                </c:pt>
                <c:pt idx="41">
                  <c:v>1731404.8482142473</c:v>
                </c:pt>
                <c:pt idx="42">
                  <c:v>1696903.1710712311</c:v>
                </c:pt>
                <c:pt idx="43">
                  <c:v>1652187.2284819363</c:v>
                </c:pt>
                <c:pt idx="44">
                  <c:v>1574493.0477677146</c:v>
                </c:pt>
                <c:pt idx="45">
                  <c:v>1539600.6083927145</c:v>
                </c:pt>
                <c:pt idx="46">
                  <c:v>1531193.6226785791</c:v>
                </c:pt>
                <c:pt idx="47">
                  <c:v>1470531.786339378</c:v>
                </c:pt>
                <c:pt idx="48">
                  <c:v>1410145.1597323013</c:v>
                </c:pt>
                <c:pt idx="49">
                  <c:v>1329726.7783039222</c:v>
                </c:pt>
                <c:pt idx="50">
                  <c:v>1282113.0686612555</c:v>
                </c:pt>
                <c:pt idx="51">
                  <c:v>1248822.6375897981</c:v>
                </c:pt>
                <c:pt idx="52">
                  <c:v>1220273.3925897058</c:v>
                </c:pt>
                <c:pt idx="53">
                  <c:v>1183588.271607752</c:v>
                </c:pt>
                <c:pt idx="54">
                  <c:v>1105721.1390180944</c:v>
                </c:pt>
                <c:pt idx="55">
                  <c:v>1103564.1552681522</c:v>
                </c:pt>
                <c:pt idx="56">
                  <c:v>1066144.798393107</c:v>
                </c:pt>
                <c:pt idx="57">
                  <c:v>1059796.5391963869</c:v>
                </c:pt>
                <c:pt idx="58">
                  <c:v>1080813.8561608256</c:v>
                </c:pt>
                <c:pt idx="59">
                  <c:v>1057432.6011608555</c:v>
                </c:pt>
                <c:pt idx="60">
                  <c:v>1037779.2486607581</c:v>
                </c:pt>
                <c:pt idx="61">
                  <c:v>1020373.718482167</c:v>
                </c:pt>
                <c:pt idx="62">
                  <c:v>1004638.9580356057</c:v>
                </c:pt>
                <c:pt idx="63">
                  <c:v>1023073.7706247852</c:v>
                </c:pt>
                <c:pt idx="64">
                  <c:v>1034938.6833032467</c:v>
                </c:pt>
                <c:pt idx="65">
                  <c:v>1027580.3444641427</c:v>
                </c:pt>
                <c:pt idx="66">
                  <c:v>1069373.0184819631</c:v>
                </c:pt>
                <c:pt idx="67">
                  <c:v>1097945.257231999</c:v>
                </c:pt>
                <c:pt idx="68">
                  <c:v>1180444.3508928323</c:v>
                </c:pt>
                <c:pt idx="69">
                  <c:v>1218813.7073214403</c:v>
                </c:pt>
                <c:pt idx="70">
                  <c:v>1195366.5925001658</c:v>
                </c:pt>
                <c:pt idx="71">
                  <c:v>1108537.0207141582</c:v>
                </c:pt>
                <c:pt idx="72">
                  <c:v>1025988.1636608136</c:v>
                </c:pt>
                <c:pt idx="73">
                  <c:v>1011194.6154464985</c:v>
                </c:pt>
                <c:pt idx="74">
                  <c:v>992095.08205334493</c:v>
                </c:pt>
                <c:pt idx="75">
                  <c:v>1001971.6437501387</c:v>
                </c:pt>
                <c:pt idx="76">
                  <c:v>1039663.7962501356</c:v>
                </c:pt>
                <c:pt idx="77">
                  <c:v>1034918.5997322012</c:v>
                </c:pt>
                <c:pt idx="78">
                  <c:v>997243.17839285615</c:v>
                </c:pt>
                <c:pt idx="79">
                  <c:v>965227.99178562756</c:v>
                </c:pt>
                <c:pt idx="80">
                  <c:v>940507.15124978253</c:v>
                </c:pt>
                <c:pt idx="81">
                  <c:v>931409.87732116249</c:v>
                </c:pt>
                <c:pt idx="82">
                  <c:v>960747.74526781496</c:v>
                </c:pt>
                <c:pt idx="83">
                  <c:v>1020797.2136604448</c:v>
                </c:pt>
                <c:pt idx="84">
                  <c:v>1067042.0883032298</c:v>
                </c:pt>
                <c:pt idx="85">
                  <c:v>1114956.3933926178</c:v>
                </c:pt>
                <c:pt idx="86">
                  <c:v>1133782.3678569007</c:v>
                </c:pt>
                <c:pt idx="87">
                  <c:v>1141624.1774996356</c:v>
                </c:pt>
                <c:pt idx="88">
                  <c:v>1093566.9809817758</c:v>
                </c:pt>
                <c:pt idx="89">
                  <c:v>1103963.6613387403</c:v>
                </c:pt>
                <c:pt idx="90">
                  <c:v>1080838.8017852553</c:v>
                </c:pt>
                <c:pt idx="91">
                  <c:v>1062071.5884819075</c:v>
                </c:pt>
                <c:pt idx="92">
                  <c:v>1052641.16901766</c:v>
                </c:pt>
                <c:pt idx="93">
                  <c:v>997509.34214287484</c:v>
                </c:pt>
                <c:pt idx="94">
                  <c:v>998085.22107162501</c:v>
                </c:pt>
                <c:pt idx="95">
                  <c:v>982377.90125043248</c:v>
                </c:pt>
                <c:pt idx="96">
                  <c:v>953587.40526852256</c:v>
                </c:pt>
                <c:pt idx="97">
                  <c:v>927167.10794703756</c:v>
                </c:pt>
                <c:pt idx="98">
                  <c:v>938389.66285759246</c:v>
                </c:pt>
                <c:pt idx="99">
                  <c:v>942370.9455361123</c:v>
                </c:pt>
                <c:pt idx="100">
                  <c:v>931766.11026808969</c:v>
                </c:pt>
                <c:pt idx="101">
                  <c:v>903338.56401797722</c:v>
                </c:pt>
                <c:pt idx="102">
                  <c:v>857755.00348223478</c:v>
                </c:pt>
                <c:pt idx="103">
                  <c:v>803629.21151767264</c:v>
                </c:pt>
                <c:pt idx="104">
                  <c:v>811477.72687472764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4B4-4149-B324-E888220F7085}"/>
            </c:ext>
          </c:extLst>
        </c:ser>
        <c:ser>
          <c:idx val="4"/>
          <c:order val="4"/>
          <c:tx>
            <c:strRef>
              <c:f>NWP!$F$4</c:f>
              <c:strCache>
                <c:ptCount val="1"/>
                <c:pt idx="0">
                  <c:v>Plan (Boom)</c:v>
                </c:pt>
              </c:strCache>
            </c:strRef>
          </c:tx>
          <c:spPr>
            <a:ln w="28575">
              <a:solidFill>
                <a:srgbClr val="001141"/>
              </a:solidFill>
              <a:prstDash val="sysDash"/>
            </a:ln>
          </c:spPr>
          <c:marker>
            <c:symbol val="none"/>
          </c:marker>
          <c:val>
            <c:numRef>
              <c:f>NWP!$F$5:$F$109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324249.51725031098</c:v>
                </c:pt>
                <c:pt idx="12">
                  <c:v>756582.20691739221</c:v>
                </c:pt>
                <c:pt idx="13">
                  <c:v>756582.20691739221</c:v>
                </c:pt>
                <c:pt idx="14">
                  <c:v>756582.20691739221</c:v>
                </c:pt>
                <c:pt idx="15">
                  <c:v>754146.90755607584</c:v>
                </c:pt>
                <c:pt idx="16">
                  <c:v>739535.11138817808</c:v>
                </c:pt>
                <c:pt idx="17">
                  <c:v>739535.11138817808</c:v>
                </c:pt>
                <c:pt idx="18">
                  <c:v>739535.11138817808</c:v>
                </c:pt>
                <c:pt idx="19">
                  <c:v>739535.11138817808</c:v>
                </c:pt>
                <c:pt idx="20">
                  <c:v>777126.05857540388</c:v>
                </c:pt>
                <c:pt idx="21">
                  <c:v>792162.43745029438</c:v>
                </c:pt>
                <c:pt idx="22">
                  <c:v>792162.43745029438</c:v>
                </c:pt>
                <c:pt idx="23">
                  <c:v>792162.43745029438</c:v>
                </c:pt>
                <c:pt idx="24">
                  <c:v>991125.64827881206</c:v>
                </c:pt>
                <c:pt idx="25">
                  <c:v>1488533.6753501063</c:v>
                </c:pt>
                <c:pt idx="26">
                  <c:v>1488533.6753501063</c:v>
                </c:pt>
                <c:pt idx="27">
                  <c:v>1488533.6753501063</c:v>
                </c:pt>
                <c:pt idx="28">
                  <c:v>1550516.1408516294</c:v>
                </c:pt>
                <c:pt idx="29">
                  <c:v>1922410.9338607681</c:v>
                </c:pt>
                <c:pt idx="30">
                  <c:v>1922410.9338607681</c:v>
                </c:pt>
                <c:pt idx="31">
                  <c:v>1922410.9338607681</c:v>
                </c:pt>
                <c:pt idx="32">
                  <c:v>1922410.9338607681</c:v>
                </c:pt>
                <c:pt idx="33">
                  <c:v>1970322.7068311111</c:v>
                </c:pt>
                <c:pt idx="34">
                  <c:v>1989487.4160192488</c:v>
                </c:pt>
                <c:pt idx="35">
                  <c:v>1989487.4160192488</c:v>
                </c:pt>
                <c:pt idx="36">
                  <c:v>1989487.4160192488</c:v>
                </c:pt>
                <c:pt idx="37">
                  <c:v>1953167.6089229786</c:v>
                </c:pt>
                <c:pt idx="38">
                  <c:v>1904741.1994612846</c:v>
                </c:pt>
                <c:pt idx="39">
                  <c:v>1904741.1994612846</c:v>
                </c:pt>
                <c:pt idx="40">
                  <c:v>1904741.1994612846</c:v>
                </c:pt>
                <c:pt idx="41">
                  <c:v>1904741.1994612846</c:v>
                </c:pt>
                <c:pt idx="42">
                  <c:v>1957319.4982231378</c:v>
                </c:pt>
                <c:pt idx="43">
                  <c:v>1957319.4982231378</c:v>
                </c:pt>
                <c:pt idx="44">
                  <c:v>1957319.4982231378</c:v>
                </c:pt>
                <c:pt idx="45">
                  <c:v>1957319.4982231378</c:v>
                </c:pt>
                <c:pt idx="46">
                  <c:v>1531115.5122708147</c:v>
                </c:pt>
                <c:pt idx="47">
                  <c:v>1360633.9178898856</c:v>
                </c:pt>
                <c:pt idx="48">
                  <c:v>1360633.9178898856</c:v>
                </c:pt>
                <c:pt idx="49">
                  <c:v>1360633.9178898856</c:v>
                </c:pt>
                <c:pt idx="50">
                  <c:v>1345378.685661287</c:v>
                </c:pt>
                <c:pt idx="51">
                  <c:v>1307240.6050897916</c:v>
                </c:pt>
                <c:pt idx="52">
                  <c:v>1307240.6050897916</c:v>
                </c:pt>
                <c:pt idx="53">
                  <c:v>1307240.6050897916</c:v>
                </c:pt>
                <c:pt idx="54">
                  <c:v>1307240.6050897916</c:v>
                </c:pt>
                <c:pt idx="55">
                  <c:v>1643425.891407229</c:v>
                </c:pt>
                <c:pt idx="56">
                  <c:v>1699456.7724601352</c:v>
                </c:pt>
                <c:pt idx="57">
                  <c:v>1699456.7724601352</c:v>
                </c:pt>
                <c:pt idx="58">
                  <c:v>1699456.7724601352</c:v>
                </c:pt>
                <c:pt idx="59">
                  <c:v>1706821.6915382547</c:v>
                </c:pt>
                <c:pt idx="60">
                  <c:v>1712345.3808468443</c:v>
                </c:pt>
                <c:pt idx="61">
                  <c:v>1712345.3808468443</c:v>
                </c:pt>
                <c:pt idx="62">
                  <c:v>1712345.3808468443</c:v>
                </c:pt>
                <c:pt idx="63">
                  <c:v>1678702.3467350905</c:v>
                </c:pt>
                <c:pt idx="64">
                  <c:v>1476844.1420645677</c:v>
                </c:pt>
                <c:pt idx="65">
                  <c:v>1476844.1420645677</c:v>
                </c:pt>
                <c:pt idx="66">
                  <c:v>1476844.1420645677</c:v>
                </c:pt>
                <c:pt idx="67">
                  <c:v>1476844.1420645677</c:v>
                </c:pt>
                <c:pt idx="68">
                  <c:v>1280989.8588068448</c:v>
                </c:pt>
                <c:pt idx="69">
                  <c:v>1248347.4782638908</c:v>
                </c:pt>
                <c:pt idx="70">
                  <c:v>1248347.4782638908</c:v>
                </c:pt>
                <c:pt idx="71">
                  <c:v>1248347.4782638908</c:v>
                </c:pt>
                <c:pt idx="72">
                  <c:v>1688959.5976721782</c:v>
                </c:pt>
                <c:pt idx="73">
                  <c:v>2276442.4235498947</c:v>
                </c:pt>
                <c:pt idx="74">
                  <c:v>2276442.4235498947</c:v>
                </c:pt>
                <c:pt idx="75">
                  <c:v>2276442.4235498947</c:v>
                </c:pt>
                <c:pt idx="76">
                  <c:v>2276442.4235498947</c:v>
                </c:pt>
                <c:pt idx="77">
                  <c:v>2511745.5950794029</c:v>
                </c:pt>
                <c:pt idx="78">
                  <c:v>2511745.5950794029</c:v>
                </c:pt>
                <c:pt idx="79">
                  <c:v>2511745.5950794029</c:v>
                </c:pt>
                <c:pt idx="80">
                  <c:v>2511745.5950794029</c:v>
                </c:pt>
                <c:pt idx="81">
                  <c:v>2268673.4407168794</c:v>
                </c:pt>
                <c:pt idx="82">
                  <c:v>2268673.4407168794</c:v>
                </c:pt>
                <c:pt idx="83">
                  <c:v>2268673.4407168794</c:v>
                </c:pt>
                <c:pt idx="84">
                  <c:v>2268673.4407168794</c:v>
                </c:pt>
                <c:pt idx="85">
                  <c:v>1544962.4241043092</c:v>
                </c:pt>
                <c:pt idx="86">
                  <c:v>1002179.1616448816</c:v>
                </c:pt>
                <c:pt idx="87">
                  <c:v>1002179.1616448816</c:v>
                </c:pt>
                <c:pt idx="88">
                  <c:v>1002179.1616448816</c:v>
                </c:pt>
                <c:pt idx="89">
                  <c:v>1003846.6397711438</c:v>
                </c:pt>
                <c:pt idx="90">
                  <c:v>1008015.3350867983</c:v>
                </c:pt>
                <c:pt idx="91">
                  <c:v>1008015.3350867983</c:v>
                </c:pt>
                <c:pt idx="92">
                  <c:v>1008015.3350867983</c:v>
                </c:pt>
                <c:pt idx="93">
                  <c:v>1008015.3350867983</c:v>
                </c:pt>
                <c:pt idx="94">
                  <c:v>1025646.2463739109</c:v>
                </c:pt>
                <c:pt idx="95">
                  <c:v>1028584.7315884295</c:v>
                </c:pt>
                <c:pt idx="96">
                  <c:v>1028584.7315884295</c:v>
                </c:pt>
                <c:pt idx="97">
                  <c:v>1028584.7315884295</c:v>
                </c:pt>
                <c:pt idx="98">
                  <c:v>1044930.5913107597</c:v>
                </c:pt>
                <c:pt idx="99">
                  <c:v>1057189.9861025074</c:v>
                </c:pt>
                <c:pt idx="100">
                  <c:v>1057189.9861025074</c:v>
                </c:pt>
                <c:pt idx="101">
                  <c:v>1057189.9861025074</c:v>
                </c:pt>
                <c:pt idx="102">
                  <c:v>1062080.7144619715</c:v>
                </c:pt>
                <c:pt idx="103">
                  <c:v>1091425.0846187568</c:v>
                </c:pt>
                <c:pt idx="104">
                  <c:v>1091425.0846187568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9-94B4-4149-B324-E888220F7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  <c:extLst/>
      </c:lineChart>
      <c:lineChart>
        <c:grouping val="standard"/>
        <c:varyColors val="0"/>
        <c:ser>
          <c:idx val="2"/>
          <c:order val="2"/>
          <c:tx>
            <c:v>Average NWP (Boom)</c:v>
          </c:tx>
          <c:spPr>
            <a:ln w="28575" cap="rnd">
              <a:solidFill>
                <a:srgbClr val="AFCDFF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NWP!$I$5:$I$109</c:f>
              <c:numCache>
                <c:formatCode>#,##0</c:formatCode>
                <c:ptCount val="105"/>
                <c:pt idx="0">
                  <c:v>1527.7909121920025</c:v>
                </c:pt>
                <c:pt idx="1">
                  <c:v>1474.8151293111553</c:v>
                </c:pt>
                <c:pt idx="2">
                  <c:v>1425.7866488643301</c:v>
                </c:pt>
                <c:pt idx="3">
                  <c:v>1516.6075158950571</c:v>
                </c:pt>
                <c:pt idx="4">
                  <c:v>1476.9346150186677</c:v>
                </c:pt>
                <c:pt idx="5">
                  <c:v>1563.3367241236301</c:v>
                </c:pt>
                <c:pt idx="6">
                  <c:v>1496.4946473881676</c:v>
                </c:pt>
                <c:pt idx="7">
                  <c:v>1519.4373801182476</c:v>
                </c:pt>
                <c:pt idx="8">
                  <c:v>1482.3471560030075</c:v>
                </c:pt>
                <c:pt idx="9">
                  <c:v>1379.2511004600399</c:v>
                </c:pt>
                <c:pt idx="10">
                  <c:v>1398.1216659801514</c:v>
                </c:pt>
                <c:pt idx="11">
                  <c:v>1317.1984004137248</c:v>
                </c:pt>
                <c:pt idx="12">
                  <c:v>1309.0810355927929</c:v>
                </c:pt>
                <c:pt idx="13">
                  <c:v>1204.1147515996661</c:v>
                </c:pt>
                <c:pt idx="14">
                  <c:v>1229.0049001180489</c:v>
                </c:pt>
                <c:pt idx="15">
                  <c:v>1251.397253921835</c:v>
                </c:pt>
                <c:pt idx="16">
                  <c:v>1269.6025044235107</c:v>
                </c:pt>
                <c:pt idx="17">
                  <c:v>1261.5476502237398</c:v>
                </c:pt>
                <c:pt idx="18">
                  <c:v>1265.4241926574211</c:v>
                </c:pt>
                <c:pt idx="19">
                  <c:v>1254.9447988752522</c:v>
                </c:pt>
                <c:pt idx="20">
                  <c:v>1232.060875702231</c:v>
                </c:pt>
                <c:pt idx="21">
                  <c:v>1247.4111146190896</c:v>
                </c:pt>
                <c:pt idx="22">
                  <c:v>1244.0395614629965</c:v>
                </c:pt>
                <c:pt idx="23">
                  <c:v>1210.5245407962234</c:v>
                </c:pt>
                <c:pt idx="24">
                  <c:v>1220.4390881270797</c:v>
                </c:pt>
                <c:pt idx="25">
                  <c:v>1267.5397609991028</c:v>
                </c:pt>
                <c:pt idx="26">
                  <c:v>1203.7078544508267</c:v>
                </c:pt>
                <c:pt idx="27">
                  <c:v>1275.1406654251743</c:v>
                </c:pt>
                <c:pt idx="28">
                  <c:v>1245.9716736149264</c:v>
                </c:pt>
                <c:pt idx="29">
                  <c:v>1318.7772693524532</c:v>
                </c:pt>
                <c:pt idx="30">
                  <c:v>1273.33769851438</c:v>
                </c:pt>
                <c:pt idx="31">
                  <c:v>1252.0108748603297</c:v>
                </c:pt>
                <c:pt idx="32">
                  <c:v>1217.092034125948</c:v>
                </c:pt>
                <c:pt idx="33">
                  <c:v>1153.3475511434867</c:v>
                </c:pt>
                <c:pt idx="34">
                  <c:v>1137.0561855102685</c:v>
                </c:pt>
                <c:pt idx="35">
                  <c:v>1112.5750416055246</c:v>
                </c:pt>
                <c:pt idx="36">
                  <c:v>1133.5296951247979</c:v>
                </c:pt>
                <c:pt idx="37">
                  <c:v>1048.8506906305111</c:v>
                </c:pt>
                <c:pt idx="38">
                  <c:v>1068.424415552304</c:v>
                </c:pt>
                <c:pt idx="39">
                  <c:v>1119.1882598779994</c:v>
                </c:pt>
                <c:pt idx="40">
                  <c:v>1071.5831490531532</c:v>
                </c:pt>
                <c:pt idx="41">
                  <c:v>1054.6313386795657</c:v>
                </c:pt>
                <c:pt idx="42">
                  <c:v>1003.0615700932325</c:v>
                </c:pt>
                <c:pt idx="43">
                  <c:v>1080.5022822297399</c:v>
                </c:pt>
                <c:pt idx="44">
                  <c:v>1026.4346775789827</c:v>
                </c:pt>
                <c:pt idx="45">
                  <c:v>1107.0839803206334</c:v>
                </c:pt>
                <c:pt idx="46">
                  <c:v>1067.026610113385</c:v>
                </c:pt>
                <c:pt idx="47">
                  <c:v>1056.8006180983712</c:v>
                </c:pt>
                <c:pt idx="48">
                  <c:v>1064.1247511471015</c:v>
                </c:pt>
                <c:pt idx="49">
                  <c:v>1043.7695106903859</c:v>
                </c:pt>
                <c:pt idx="50">
                  <c:v>1069.657138074497</c:v>
                </c:pt>
                <c:pt idx="51">
                  <c:v>1132.3335520433841</c:v>
                </c:pt>
                <c:pt idx="52">
                  <c:v>1108.1525931549531</c:v>
                </c:pt>
                <c:pt idx="53">
                  <c:v>1034.7486806051361</c:v>
                </c:pt>
                <c:pt idx="54">
                  <c:v>1052.4159200934246</c:v>
                </c:pt>
                <c:pt idx="55">
                  <c:v>1032.5984120977676</c:v>
                </c:pt>
                <c:pt idx="56">
                  <c:v>1032.515911802368</c:v>
                </c:pt>
                <c:pt idx="57">
                  <c:v>1104.28885166788</c:v>
                </c:pt>
                <c:pt idx="58">
                  <c:v>1100.2939981221068</c:v>
                </c:pt>
                <c:pt idx="59">
                  <c:v>1042.3685339811398</c:v>
                </c:pt>
                <c:pt idx="60">
                  <c:v>1094.6151307882867</c:v>
                </c:pt>
                <c:pt idx="61">
                  <c:v>1080.8139688685728</c:v>
                </c:pt>
                <c:pt idx="62">
                  <c:v>1047.2650810937125</c:v>
                </c:pt>
                <c:pt idx="63">
                  <c:v>1064.1992233237181</c:v>
                </c:pt>
                <c:pt idx="64">
                  <c:v>1093.2949583022037</c:v>
                </c:pt>
                <c:pt idx="65">
                  <c:v>1092.0309446126396</c:v>
                </c:pt>
                <c:pt idx="66">
                  <c:v>1121.0011733852236</c:v>
                </c:pt>
                <c:pt idx="67">
                  <c:v>1110.9595131868386</c:v>
                </c:pt>
                <c:pt idx="68">
                  <c:v>1093.8586487469718</c:v>
                </c:pt>
                <c:pt idx="69">
                  <c:v>1095.0785503247944</c:v>
                </c:pt>
                <c:pt idx="70">
                  <c:v>1122.1743466664789</c:v>
                </c:pt>
                <c:pt idx="71">
                  <c:v>1138.4489899578148</c:v>
                </c:pt>
                <c:pt idx="72">
                  <c:v>1076.2811313904313</c:v>
                </c:pt>
                <c:pt idx="73">
                  <c:v>1062.4549002297781</c:v>
                </c:pt>
                <c:pt idx="74">
                  <c:v>1071.0670890807912</c:v>
                </c:pt>
                <c:pt idx="75">
                  <c:v>1079.6566240390671</c:v>
                </c:pt>
                <c:pt idx="76">
                  <c:v>1013.6846048358616</c:v>
                </c:pt>
                <c:pt idx="77">
                  <c:v>1040.3341495610853</c:v>
                </c:pt>
                <c:pt idx="78">
                  <c:v>1097.4000476636609</c:v>
                </c:pt>
                <c:pt idx="79">
                  <c:v>1049.3284749299164</c:v>
                </c:pt>
                <c:pt idx="80">
                  <c:v>1026.478837793429</c:v>
                </c:pt>
                <c:pt idx="81">
                  <c:v>1051.0125063073108</c:v>
                </c:pt>
                <c:pt idx="82">
                  <c:v>1086.0540797906328</c:v>
                </c:pt>
                <c:pt idx="83">
                  <c:v>1060.4836937213413</c:v>
                </c:pt>
                <c:pt idx="84">
                  <c:v>1081.4079770740848</c:v>
                </c:pt>
                <c:pt idx="85">
                  <c:v>1052.562924259485</c:v>
                </c:pt>
                <c:pt idx="86">
                  <c:v>1104.0399620215137</c:v>
                </c:pt>
                <c:pt idx="87">
                  <c:v>1059.0927130922339</c:v>
                </c:pt>
                <c:pt idx="88">
                  <c:v>1025.3329862987541</c:v>
                </c:pt>
                <c:pt idx="89">
                  <c:v>1028.9825641465065</c:v>
                </c:pt>
                <c:pt idx="90">
                  <c:v>1070.0724544542165</c:v>
                </c:pt>
                <c:pt idx="91">
                  <c:v>1061.2409551693536</c:v>
                </c:pt>
                <c:pt idx="92">
                  <c:v>1077.4772884829958</c:v>
                </c:pt>
                <c:pt idx="93">
                  <c:v>1041.5796191230449</c:v>
                </c:pt>
                <c:pt idx="94">
                  <c:v>1026.7900188884666</c:v>
                </c:pt>
                <c:pt idx="95">
                  <c:v>1078.9894620143482</c:v>
                </c:pt>
                <c:pt idx="96">
                  <c:v>1036.059176181536</c:v>
                </c:pt>
                <c:pt idx="97">
                  <c:v>1087.2899192849718</c:v>
                </c:pt>
                <c:pt idx="98">
                  <c:v>1070.3158186680439</c:v>
                </c:pt>
                <c:pt idx="99">
                  <c:v>1101.0145187331423</c:v>
                </c:pt>
                <c:pt idx="100">
                  <c:v>1076.5291689082424</c:v>
                </c:pt>
                <c:pt idx="101">
                  <c:v>1109.8581150308503</c:v>
                </c:pt>
                <c:pt idx="102">
                  <c:v>1044.9360677509176</c:v>
                </c:pt>
                <c:pt idx="103">
                  <c:v>1202.2438568937348</c:v>
                </c:pt>
                <c:pt idx="104">
                  <c:v>1116.0005693268763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4B4-4149-B324-E888220F7085}"/>
            </c:ext>
          </c:extLst>
        </c:ser>
        <c:ser>
          <c:idx val="3"/>
          <c:order val="3"/>
          <c:tx>
            <c:v>Average NWP - 4 Week Avg (Boom)</c:v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NWP!$A$5:$A$109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NWP!$J$5:$J$109</c:f>
              <c:numCache>
                <c:formatCode>#,##0</c:formatCode>
                <c:ptCount val="105"/>
                <c:pt idx="3">
                  <c:v>1486.2500515656363</c:v>
                </c:pt>
                <c:pt idx="4">
                  <c:v>1473.5359772723025</c:v>
                </c:pt>
                <c:pt idx="5">
                  <c:v>1495.6663759754213</c:v>
                </c:pt>
                <c:pt idx="6">
                  <c:v>1513.3433756063805</c:v>
                </c:pt>
                <c:pt idx="7">
                  <c:v>1514.0508416621781</c:v>
                </c:pt>
                <c:pt idx="8">
                  <c:v>1515.4039769082631</c:v>
                </c:pt>
                <c:pt idx="9">
                  <c:v>1469.3825709923658</c:v>
                </c:pt>
                <c:pt idx="10">
                  <c:v>1444.7893256403615</c:v>
                </c:pt>
                <c:pt idx="11">
                  <c:v>1394.2295807142309</c:v>
                </c:pt>
                <c:pt idx="12">
                  <c:v>1350.9130506116771</c:v>
                </c:pt>
                <c:pt idx="13">
                  <c:v>1307.1289633965837</c:v>
                </c:pt>
                <c:pt idx="14">
                  <c:v>1264.8497719310581</c:v>
                </c:pt>
                <c:pt idx="15">
                  <c:v>1248.3994853080856</c:v>
                </c:pt>
                <c:pt idx="16">
                  <c:v>1238.529852515765</c:v>
                </c:pt>
                <c:pt idx="17">
                  <c:v>1252.8880771717836</c:v>
                </c:pt>
                <c:pt idx="18">
                  <c:v>1261.9929003066268</c:v>
                </c:pt>
                <c:pt idx="19">
                  <c:v>1262.879786544981</c:v>
                </c:pt>
                <c:pt idx="20">
                  <c:v>1253.4943793646612</c:v>
                </c:pt>
                <c:pt idx="21">
                  <c:v>1249.9602454634985</c:v>
                </c:pt>
                <c:pt idx="22">
                  <c:v>1244.6140876648924</c:v>
                </c:pt>
                <c:pt idx="23">
                  <c:v>1233.5090231451352</c:v>
                </c:pt>
                <c:pt idx="24">
                  <c:v>1230.6035762513472</c:v>
                </c:pt>
                <c:pt idx="25">
                  <c:v>1235.6357378463506</c:v>
                </c:pt>
                <c:pt idx="26">
                  <c:v>1225.5528110933083</c:v>
                </c:pt>
                <c:pt idx="27">
                  <c:v>1241.7068422505458</c:v>
                </c:pt>
                <c:pt idx="28">
                  <c:v>1248.0899886225077</c:v>
                </c:pt>
                <c:pt idx="29">
                  <c:v>1260.8993657108451</c:v>
                </c:pt>
                <c:pt idx="30">
                  <c:v>1278.3068267267336</c:v>
                </c:pt>
                <c:pt idx="31">
                  <c:v>1272.5243790855225</c:v>
                </c:pt>
                <c:pt idx="32">
                  <c:v>1265.3044692132778</c:v>
                </c:pt>
                <c:pt idx="33">
                  <c:v>1223.9470396610361</c:v>
                </c:pt>
                <c:pt idx="34">
                  <c:v>1189.8766614100082</c:v>
                </c:pt>
                <c:pt idx="35">
                  <c:v>1155.0177030963068</c:v>
                </c:pt>
                <c:pt idx="36">
                  <c:v>1134.1271183460194</c:v>
                </c:pt>
                <c:pt idx="37">
                  <c:v>1108.0029032177754</c:v>
                </c:pt>
                <c:pt idx="38">
                  <c:v>1090.8449607282844</c:v>
                </c:pt>
                <c:pt idx="39">
                  <c:v>1092.4982652964031</c:v>
                </c:pt>
                <c:pt idx="40">
                  <c:v>1077.0116287784917</c:v>
                </c:pt>
                <c:pt idx="41">
                  <c:v>1078.4567907907556</c:v>
                </c:pt>
                <c:pt idx="42">
                  <c:v>1062.1160794259877</c:v>
                </c:pt>
                <c:pt idx="43">
                  <c:v>1052.444585013923</c:v>
                </c:pt>
                <c:pt idx="44">
                  <c:v>1041.1574671453802</c:v>
                </c:pt>
                <c:pt idx="45">
                  <c:v>1054.270627555647</c:v>
                </c:pt>
                <c:pt idx="46">
                  <c:v>1070.2618875606852</c:v>
                </c:pt>
                <c:pt idx="47">
                  <c:v>1064.3364715278431</c:v>
                </c:pt>
                <c:pt idx="48">
                  <c:v>1073.7589899198729</c:v>
                </c:pt>
                <c:pt idx="49">
                  <c:v>1057.9303725123109</c:v>
                </c:pt>
                <c:pt idx="50">
                  <c:v>1058.588004502589</c:v>
                </c:pt>
                <c:pt idx="51">
                  <c:v>1077.4712379888422</c:v>
                </c:pt>
                <c:pt idx="52">
                  <c:v>1088.478198490805</c:v>
                </c:pt>
                <c:pt idx="53">
                  <c:v>1086.2229909694925</c:v>
                </c:pt>
                <c:pt idx="54">
                  <c:v>1081.9126864742243</c:v>
                </c:pt>
                <c:pt idx="55">
                  <c:v>1056.9789014878204</c:v>
                </c:pt>
                <c:pt idx="56">
                  <c:v>1038.0697311496742</c:v>
                </c:pt>
                <c:pt idx="57">
                  <c:v>1055.45477391536</c:v>
                </c:pt>
                <c:pt idx="58">
                  <c:v>1067.4242934225306</c:v>
                </c:pt>
                <c:pt idx="59">
                  <c:v>1069.8668238933737</c:v>
                </c:pt>
                <c:pt idx="60">
                  <c:v>1085.3916286398533</c:v>
                </c:pt>
                <c:pt idx="61">
                  <c:v>1079.5229079400265</c:v>
                </c:pt>
                <c:pt idx="62">
                  <c:v>1066.265678682928</c:v>
                </c:pt>
                <c:pt idx="63">
                  <c:v>1071.7233510185727</c:v>
                </c:pt>
                <c:pt idx="64">
                  <c:v>1071.3933078970517</c:v>
                </c:pt>
                <c:pt idx="65">
                  <c:v>1074.1975518330685</c:v>
                </c:pt>
                <c:pt idx="66">
                  <c:v>1092.6315749059461</c:v>
                </c:pt>
                <c:pt idx="67">
                  <c:v>1104.3216473717262</c:v>
                </c:pt>
                <c:pt idx="68">
                  <c:v>1104.4625699829185</c:v>
                </c:pt>
                <c:pt idx="69">
                  <c:v>1105.2244714109572</c:v>
                </c:pt>
                <c:pt idx="70">
                  <c:v>1105.5177647312707</c:v>
                </c:pt>
                <c:pt idx="71">
                  <c:v>1112.3901339240151</c:v>
                </c:pt>
                <c:pt idx="72">
                  <c:v>1107.9957545848797</c:v>
                </c:pt>
                <c:pt idx="73">
                  <c:v>1099.8398420611256</c:v>
                </c:pt>
                <c:pt idx="74">
                  <c:v>1087.0630276647039</c:v>
                </c:pt>
                <c:pt idx="75">
                  <c:v>1072.3649361850171</c:v>
                </c:pt>
                <c:pt idx="76">
                  <c:v>1056.7158045463746</c:v>
                </c:pt>
                <c:pt idx="77">
                  <c:v>1051.1856168792012</c:v>
                </c:pt>
                <c:pt idx="78">
                  <c:v>1057.7688565249186</c:v>
                </c:pt>
                <c:pt idx="79">
                  <c:v>1050.1868192476311</c:v>
                </c:pt>
                <c:pt idx="80">
                  <c:v>1053.3853774870229</c:v>
                </c:pt>
                <c:pt idx="81">
                  <c:v>1056.0549666735794</c:v>
                </c:pt>
                <c:pt idx="82">
                  <c:v>1053.2184747053225</c:v>
                </c:pt>
                <c:pt idx="83">
                  <c:v>1056.0072794031785</c:v>
                </c:pt>
                <c:pt idx="84">
                  <c:v>1069.7395642233423</c:v>
                </c:pt>
                <c:pt idx="85">
                  <c:v>1070.127168711386</c:v>
                </c:pt>
                <c:pt idx="86">
                  <c:v>1074.6236392691062</c:v>
                </c:pt>
                <c:pt idx="87">
                  <c:v>1074.2758941118293</c:v>
                </c:pt>
                <c:pt idx="88">
                  <c:v>1060.2571464179966</c:v>
                </c:pt>
                <c:pt idx="89">
                  <c:v>1054.3620563897521</c:v>
                </c:pt>
                <c:pt idx="90">
                  <c:v>1045.8701794979277</c:v>
                </c:pt>
                <c:pt idx="91">
                  <c:v>1046.4072400172076</c:v>
                </c:pt>
                <c:pt idx="92">
                  <c:v>1059.4433155632682</c:v>
                </c:pt>
                <c:pt idx="93">
                  <c:v>1062.5925793074027</c:v>
                </c:pt>
                <c:pt idx="94">
                  <c:v>1051.7719704159654</c:v>
                </c:pt>
                <c:pt idx="95">
                  <c:v>1056.2090971272141</c:v>
                </c:pt>
                <c:pt idx="96">
                  <c:v>1045.854569051849</c:v>
                </c:pt>
                <c:pt idx="97">
                  <c:v>1057.2821440923306</c:v>
                </c:pt>
                <c:pt idx="98">
                  <c:v>1068.163594037225</c:v>
                </c:pt>
                <c:pt idx="99">
                  <c:v>1073.6698582169233</c:v>
                </c:pt>
                <c:pt idx="100">
                  <c:v>1083.7873563986</c:v>
                </c:pt>
                <c:pt idx="101">
                  <c:v>1089.4294053350698</c:v>
                </c:pt>
                <c:pt idx="102">
                  <c:v>1083.0844676057882</c:v>
                </c:pt>
                <c:pt idx="103">
                  <c:v>1108.3918021459363</c:v>
                </c:pt>
                <c:pt idx="104">
                  <c:v>1118.2596522505946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4B4-4149-B324-E888220F7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58032"/>
        <c:axId val="1425456368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NWP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142545636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b="1">
                    <a:solidFill>
                      <a:srgbClr val="595959"/>
                    </a:solidFill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spPr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solidFill>
                  <a:srgbClr val="595959"/>
                </a:solidFill>
              </a:defRPr>
            </a:pPr>
            <a:endParaRPr lang="en-US"/>
          </a:p>
        </c:txPr>
        <c:crossAx val="1425458032"/>
        <c:crosses val="max"/>
        <c:crossBetween val="between"/>
      </c:valAx>
      <c:dateAx>
        <c:axId val="1425458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25456368"/>
        <c:crosses val="autoZero"/>
        <c:auto val="1"/>
        <c:lblOffset val="100"/>
        <c:baseTimeUnit val="days"/>
        <c:majorUnit val="1"/>
        <c:minorUnit val="1"/>
      </c:date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(Excl. Monthly Rens, Annualised Premiums):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NBREN'!$B$6</c:f>
              <c:strCache>
                <c:ptCount val="1"/>
                <c:pt idx="0">
                  <c:v>NB NWP (Boom)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NBREN'!$B$7:$B$111</c:f>
              <c:numCache>
                <c:formatCode>#,##0</c:formatCode>
                <c:ptCount val="105"/>
                <c:pt idx="0">
                  <c:v>937688.32785786199</c:v>
                </c:pt>
                <c:pt idx="1">
                  <c:v>893022.99642840191</c:v>
                </c:pt>
                <c:pt idx="2">
                  <c:v>822836.30821386003</c:v>
                </c:pt>
                <c:pt idx="3">
                  <c:v>868074.48071452207</c:v>
                </c:pt>
                <c:pt idx="4">
                  <c:v>816196.60214291816</c:v>
                </c:pt>
                <c:pt idx="5">
                  <c:v>943709.37035722786</c:v>
                </c:pt>
                <c:pt idx="6">
                  <c:v>829174.2128570003</c:v>
                </c:pt>
                <c:pt idx="7">
                  <c:v>771051.68035735993</c:v>
                </c:pt>
                <c:pt idx="8">
                  <c:v>1033669.2746433163</c:v>
                </c:pt>
                <c:pt idx="9">
                  <c:v>1295070.6114270862</c:v>
                </c:pt>
                <c:pt idx="10">
                  <c:v>1416672.3478580397</c:v>
                </c:pt>
                <c:pt idx="11">
                  <c:v>1736165.5196417759</c:v>
                </c:pt>
                <c:pt idx="12">
                  <c:v>1452274.0067867299</c:v>
                </c:pt>
                <c:pt idx="13">
                  <c:v>1376619.8689287119</c:v>
                </c:pt>
                <c:pt idx="14">
                  <c:v>1302707.9167845938</c:v>
                </c:pt>
                <c:pt idx="15">
                  <c:v>1673605.6042865356</c:v>
                </c:pt>
                <c:pt idx="16">
                  <c:v>1316487.9835717692</c:v>
                </c:pt>
                <c:pt idx="17">
                  <c:v>1308175.2350003242</c:v>
                </c:pt>
                <c:pt idx="18">
                  <c:v>1310795.9724997673</c:v>
                </c:pt>
                <c:pt idx="19">
                  <c:v>1012872.2785715944</c:v>
                </c:pt>
                <c:pt idx="20">
                  <c:v>1098107.708929728</c:v>
                </c:pt>
                <c:pt idx="21">
                  <c:v>1262294.6592859458</c:v>
                </c:pt>
                <c:pt idx="22">
                  <c:v>1269630.4499993096</c:v>
                </c:pt>
                <c:pt idx="23">
                  <c:v>1208195.8907147741</c:v>
                </c:pt>
                <c:pt idx="24">
                  <c:v>1399245.594283564</c:v>
                </c:pt>
                <c:pt idx="25">
                  <c:v>1025142.8675010221</c:v>
                </c:pt>
                <c:pt idx="26">
                  <c:v>993881.88214339176</c:v>
                </c:pt>
                <c:pt idx="27">
                  <c:v>1262394.5049996418</c:v>
                </c:pt>
                <c:pt idx="28">
                  <c:v>1629316.4317851202</c:v>
                </c:pt>
                <c:pt idx="29">
                  <c:v>1560230.6199999005</c:v>
                </c:pt>
                <c:pt idx="30">
                  <c:v>1511844.8553573396</c:v>
                </c:pt>
                <c:pt idx="31">
                  <c:v>1588336.0314285695</c:v>
                </c:pt>
                <c:pt idx="32">
                  <c:v>1817304.87893031</c:v>
                </c:pt>
                <c:pt idx="33">
                  <c:v>1686320.4721442205</c:v>
                </c:pt>
                <c:pt idx="34">
                  <c:v>1476667.8832152598</c:v>
                </c:pt>
                <c:pt idx="35">
                  <c:v>1422448.4314291694</c:v>
                </c:pt>
                <c:pt idx="36">
                  <c:v>1706802.3475002202</c:v>
                </c:pt>
                <c:pt idx="37">
                  <c:v>1623827.9724988702</c:v>
                </c:pt>
                <c:pt idx="38">
                  <c:v>1349898.2332144808</c:v>
                </c:pt>
                <c:pt idx="39">
                  <c:v>1332888.5375001598</c:v>
                </c:pt>
                <c:pt idx="40">
                  <c:v>1418563.4242857706</c:v>
                </c:pt>
                <c:pt idx="41">
                  <c:v>1360691.82571357</c:v>
                </c:pt>
                <c:pt idx="42">
                  <c:v>1230352.5414282104</c:v>
                </c:pt>
                <c:pt idx="43">
                  <c:v>1222368.5942860502</c:v>
                </c:pt>
                <c:pt idx="44">
                  <c:v>1154720.6757147496</c:v>
                </c:pt>
                <c:pt idx="45">
                  <c:v>1274768.6085705999</c:v>
                </c:pt>
                <c:pt idx="46">
                  <c:v>1190118.8128574803</c:v>
                </c:pt>
                <c:pt idx="47">
                  <c:v>1011332.03500055</c:v>
                </c:pt>
                <c:pt idx="48">
                  <c:v>945117.60071502009</c:v>
                </c:pt>
                <c:pt idx="49">
                  <c:v>953215.49357133987</c:v>
                </c:pt>
                <c:pt idx="50">
                  <c:v>1074245.7014296497</c:v>
                </c:pt>
                <c:pt idx="51">
                  <c:v>919647.52321449982</c:v>
                </c:pt>
                <c:pt idx="52">
                  <c:v>855677.67000041995</c:v>
                </c:pt>
                <c:pt idx="53">
                  <c:v>833355.98321480991</c:v>
                </c:pt>
                <c:pt idx="54">
                  <c:v>791515.13749990007</c:v>
                </c:pt>
                <c:pt idx="55">
                  <c:v>916387.11500056996</c:v>
                </c:pt>
                <c:pt idx="56">
                  <c:v>749337.63678586995</c:v>
                </c:pt>
                <c:pt idx="57">
                  <c:v>843793.09892808006</c:v>
                </c:pt>
                <c:pt idx="58">
                  <c:v>928060.91071449034</c:v>
                </c:pt>
                <c:pt idx="59">
                  <c:v>833109.83250065963</c:v>
                </c:pt>
                <c:pt idx="60">
                  <c:v>713125.13357105968</c:v>
                </c:pt>
                <c:pt idx="61">
                  <c:v>821714.6096424401</c:v>
                </c:pt>
                <c:pt idx="62">
                  <c:v>866327.13142820995</c:v>
                </c:pt>
                <c:pt idx="63">
                  <c:v>943578.43464309012</c:v>
                </c:pt>
                <c:pt idx="64">
                  <c:v>805118.34392788017</c:v>
                </c:pt>
                <c:pt idx="65">
                  <c:v>826310.11035741982</c:v>
                </c:pt>
                <c:pt idx="66">
                  <c:v>1044250.3903569499</c:v>
                </c:pt>
                <c:pt idx="67">
                  <c:v>1112892.8396433701</c:v>
                </c:pt>
                <c:pt idx="68">
                  <c:v>1151785.7196425602</c:v>
                </c:pt>
                <c:pt idx="69">
                  <c:v>1015356.697857673</c:v>
                </c:pt>
                <c:pt idx="70">
                  <c:v>1024231.29357159</c:v>
                </c:pt>
                <c:pt idx="71">
                  <c:v>800017.48392806982</c:v>
                </c:pt>
                <c:pt idx="72">
                  <c:v>879081.72357188328</c:v>
                </c:pt>
                <c:pt idx="73">
                  <c:v>988838.5707143303</c:v>
                </c:pt>
                <c:pt idx="74">
                  <c:v>979056.79142739996</c:v>
                </c:pt>
                <c:pt idx="75">
                  <c:v>881758.17357222049</c:v>
                </c:pt>
                <c:pt idx="76">
                  <c:v>996722.30607235001</c:v>
                </c:pt>
                <c:pt idx="77">
                  <c:v>941105.56678549002</c:v>
                </c:pt>
                <c:pt idx="78">
                  <c:v>790882.59392747981</c:v>
                </c:pt>
                <c:pt idx="79">
                  <c:v>700053.56214320008</c:v>
                </c:pt>
                <c:pt idx="80">
                  <c:v>829414.31071481982</c:v>
                </c:pt>
                <c:pt idx="81">
                  <c:v>855603.22214276972</c:v>
                </c:pt>
                <c:pt idx="82">
                  <c:v>844511.3489283598</c:v>
                </c:pt>
                <c:pt idx="83">
                  <c:v>863701.37392821</c:v>
                </c:pt>
                <c:pt idx="84">
                  <c:v>961244.82892852952</c:v>
                </c:pt>
                <c:pt idx="85">
                  <c:v>1003836.8439289129</c:v>
                </c:pt>
                <c:pt idx="86">
                  <c:v>922090.78571388009</c:v>
                </c:pt>
                <c:pt idx="87">
                  <c:v>892548.43999921007</c:v>
                </c:pt>
                <c:pt idx="88">
                  <c:v>777318.97607134015</c:v>
                </c:pt>
                <c:pt idx="89">
                  <c:v>1020228.5203564602</c:v>
                </c:pt>
                <c:pt idx="90">
                  <c:v>831646.03249978018</c:v>
                </c:pt>
                <c:pt idx="91">
                  <c:v>807579.3849999099</c:v>
                </c:pt>
                <c:pt idx="92">
                  <c:v>760120.43142873002</c:v>
                </c:pt>
                <c:pt idx="93">
                  <c:v>837756.30214306014</c:v>
                </c:pt>
                <c:pt idx="94">
                  <c:v>812146.94321470021</c:v>
                </c:pt>
                <c:pt idx="95">
                  <c:v>759012.40071466973</c:v>
                </c:pt>
                <c:pt idx="96">
                  <c:v>694172.57107230043</c:v>
                </c:pt>
                <c:pt idx="97">
                  <c:v>778182.00357136002</c:v>
                </c:pt>
                <c:pt idx="98">
                  <c:v>884438.64607111993</c:v>
                </c:pt>
                <c:pt idx="99">
                  <c:v>800534.95428605983</c:v>
                </c:pt>
                <c:pt idx="100">
                  <c:v>674854.16892882995</c:v>
                </c:pt>
                <c:pt idx="101">
                  <c:v>685240.52892808989</c:v>
                </c:pt>
                <c:pt idx="102">
                  <c:v>728874.55642853014</c:v>
                </c:pt>
                <c:pt idx="103">
                  <c:v>672803.27821381018</c:v>
                </c:pt>
                <c:pt idx="104">
                  <c:v>673245.25464304013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1FD-4FD5-9798-92CF2FC70581}"/>
            </c:ext>
          </c:extLst>
        </c:ser>
        <c:ser>
          <c:idx val="5"/>
          <c:order val="3"/>
          <c:tx>
            <c:strRef>
              <c:f>'NWP NBREN'!$E$6</c:f>
              <c:strCache>
                <c:ptCount val="1"/>
                <c:pt idx="0">
                  <c:v>RN NWP (Boom)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NBREN'!$E$7:$E$111</c:f>
              <c:numCache>
                <c:formatCode>#,##0</c:formatCode>
                <c:ptCount val="105"/>
                <c:pt idx="0">
                  <c:v>47235.895356948007</c:v>
                </c:pt>
                <c:pt idx="1">
                  <c:v>38729.742142826006</c:v>
                </c:pt>
                <c:pt idx="2">
                  <c:v>31112.504642810003</c:v>
                </c:pt>
                <c:pt idx="3">
                  <c:v>25120.327857110002</c:v>
                </c:pt>
                <c:pt idx="4">
                  <c:v>38803.267857160004</c:v>
                </c:pt>
                <c:pt idx="5">
                  <c:v>40090.741785713988</c:v>
                </c:pt>
                <c:pt idx="6">
                  <c:v>89967.893214137992</c:v>
                </c:pt>
                <c:pt idx="7">
                  <c:v>82228.649642920005</c:v>
                </c:pt>
                <c:pt idx="8">
                  <c:v>57374.683214202014</c:v>
                </c:pt>
                <c:pt idx="9">
                  <c:v>50660.164999958004</c:v>
                </c:pt>
                <c:pt idx="10">
                  <c:v>58097.709285720004</c:v>
                </c:pt>
                <c:pt idx="11">
                  <c:v>45921.141428436</c:v>
                </c:pt>
                <c:pt idx="12">
                  <c:v>41187.158571330008</c:v>
                </c:pt>
                <c:pt idx="13">
                  <c:v>85251.108214112013</c:v>
                </c:pt>
                <c:pt idx="14">
                  <c:v>103653.13607145401</c:v>
                </c:pt>
                <c:pt idx="15">
                  <c:v>148271.51821476201</c:v>
                </c:pt>
                <c:pt idx="16">
                  <c:v>82815.170000045982</c:v>
                </c:pt>
                <c:pt idx="17">
                  <c:v>125215.196785686</c:v>
                </c:pt>
                <c:pt idx="18">
                  <c:v>129367.39678546801</c:v>
                </c:pt>
                <c:pt idx="19">
                  <c:v>86421.648214525994</c:v>
                </c:pt>
                <c:pt idx="20">
                  <c:v>63631.440714246011</c:v>
                </c:pt>
                <c:pt idx="21">
                  <c:v>81177.335714204004</c:v>
                </c:pt>
                <c:pt idx="22">
                  <c:v>66063.556071375991</c:v>
                </c:pt>
                <c:pt idx="23">
                  <c:v>101518.89857133001</c:v>
                </c:pt>
                <c:pt idx="24">
                  <c:v>105118.97750030202</c:v>
                </c:pt>
                <c:pt idx="25">
                  <c:v>79982.106071319999</c:v>
                </c:pt>
                <c:pt idx="26">
                  <c:v>103781.28357149202</c:v>
                </c:pt>
                <c:pt idx="27">
                  <c:v>80408.747499770019</c:v>
                </c:pt>
                <c:pt idx="28">
                  <c:v>56167.109642889998</c:v>
                </c:pt>
                <c:pt idx="29">
                  <c:v>58736.486785740002</c:v>
                </c:pt>
                <c:pt idx="30">
                  <c:v>66577.578571579987</c:v>
                </c:pt>
                <c:pt idx="31">
                  <c:v>73524.891071420017</c:v>
                </c:pt>
                <c:pt idx="32">
                  <c:v>42171.665357120008</c:v>
                </c:pt>
                <c:pt idx="33">
                  <c:v>52763.322500100003</c:v>
                </c:pt>
                <c:pt idx="34">
                  <c:v>45080.889285560013</c:v>
                </c:pt>
                <c:pt idx="35">
                  <c:v>28812.74178574</c:v>
                </c:pt>
                <c:pt idx="36">
                  <c:v>29529.122857220002</c:v>
                </c:pt>
                <c:pt idx="37">
                  <c:v>38229.68250001</c:v>
                </c:pt>
                <c:pt idx="38">
                  <c:v>33117.165357290003</c:v>
                </c:pt>
                <c:pt idx="39">
                  <c:v>47754.365000090002</c:v>
                </c:pt>
                <c:pt idx="40">
                  <c:v>42277.441428500002</c:v>
                </c:pt>
                <c:pt idx="41">
                  <c:v>42331.919285709992</c:v>
                </c:pt>
                <c:pt idx="42">
                  <c:v>38044.921071490004</c:v>
                </c:pt>
                <c:pt idx="43">
                  <c:v>26502.586071420003</c:v>
                </c:pt>
                <c:pt idx="44">
                  <c:v>28586.966428429998</c:v>
                </c:pt>
                <c:pt idx="45">
                  <c:v>22491.167857189997</c:v>
                </c:pt>
                <c:pt idx="46">
                  <c:v>37856.337142799995</c:v>
                </c:pt>
                <c:pt idx="47">
                  <c:v>20441.228214270002</c:v>
                </c:pt>
                <c:pt idx="48">
                  <c:v>30133.783571290001</c:v>
                </c:pt>
                <c:pt idx="49">
                  <c:v>39812.520714300001</c:v>
                </c:pt>
                <c:pt idx="50">
                  <c:v>30883.025714259995</c:v>
                </c:pt>
                <c:pt idx="51">
                  <c:v>24389.817142969998</c:v>
                </c:pt>
                <c:pt idx="52">
                  <c:v>36151.392857179999</c:v>
                </c:pt>
                <c:pt idx="53">
                  <c:v>40674.965357170011</c:v>
                </c:pt>
                <c:pt idx="54">
                  <c:v>39714.672856889993</c:v>
                </c:pt>
                <c:pt idx="55">
                  <c:v>51596.097857179986</c:v>
                </c:pt>
                <c:pt idx="56">
                  <c:v>43521.431071440005</c:v>
                </c:pt>
                <c:pt idx="57">
                  <c:v>47128.993928590004</c:v>
                </c:pt>
                <c:pt idx="58">
                  <c:v>33155.926071390008</c:v>
                </c:pt>
                <c:pt idx="59">
                  <c:v>32804.271428579996</c:v>
                </c:pt>
                <c:pt idx="60">
                  <c:v>33540.337142999997</c:v>
                </c:pt>
                <c:pt idx="61">
                  <c:v>37334.099642869987</c:v>
                </c:pt>
                <c:pt idx="62">
                  <c:v>62140.789642780008</c:v>
                </c:pt>
                <c:pt idx="63">
                  <c:v>74192.54642857</c:v>
                </c:pt>
                <c:pt idx="64">
                  <c:v>51857.165000029992</c:v>
                </c:pt>
                <c:pt idx="65">
                  <c:v>52544.426428570005</c:v>
                </c:pt>
                <c:pt idx="66">
                  <c:v>96038.145714010025</c:v>
                </c:pt>
                <c:pt idx="67">
                  <c:v>70361.222499849988</c:v>
                </c:pt>
                <c:pt idx="68">
                  <c:v>62343.436785750004</c:v>
                </c:pt>
                <c:pt idx="69">
                  <c:v>59248.383928380012</c:v>
                </c:pt>
                <c:pt idx="70">
                  <c:v>60176.506071389995</c:v>
                </c:pt>
                <c:pt idx="71">
                  <c:v>63968.609285460007</c:v>
                </c:pt>
                <c:pt idx="72">
                  <c:v>47204.151428739999</c:v>
                </c:pt>
                <c:pt idx="73">
                  <c:v>68586.406071630016</c:v>
                </c:pt>
                <c:pt idx="74">
                  <c:v>68781.346785839996</c:v>
                </c:pt>
                <c:pt idx="75">
                  <c:v>52816.263928500004</c:v>
                </c:pt>
                <c:pt idx="76">
                  <c:v>100112.20857114</c:v>
                </c:pt>
                <c:pt idx="77">
                  <c:v>108828.15928587002</c:v>
                </c:pt>
                <c:pt idx="78">
                  <c:v>115275.20107124004</c:v>
                </c:pt>
                <c:pt idx="79">
                  <c:v>107808.61892860003</c:v>
                </c:pt>
                <c:pt idx="80">
                  <c:v>168660.59214242999</c:v>
                </c:pt>
                <c:pt idx="81">
                  <c:v>157941.40821411001</c:v>
                </c:pt>
                <c:pt idx="82">
                  <c:v>178997.91785697005</c:v>
                </c:pt>
                <c:pt idx="83">
                  <c:v>184358.68071411003</c:v>
                </c:pt>
                <c:pt idx="84">
                  <c:v>221809.57249985999</c:v>
                </c:pt>
                <c:pt idx="85">
                  <c:v>201365.00678552003</c:v>
                </c:pt>
                <c:pt idx="86">
                  <c:v>176722.37892858</c:v>
                </c:pt>
                <c:pt idx="87">
                  <c:v>186878.85321405003</c:v>
                </c:pt>
                <c:pt idx="88">
                  <c:v>213506.63928561003</c:v>
                </c:pt>
                <c:pt idx="89">
                  <c:v>226560.05178582997</c:v>
                </c:pt>
                <c:pt idx="90">
                  <c:v>174667.69392874002</c:v>
                </c:pt>
                <c:pt idx="91">
                  <c:v>196779.05499995995</c:v>
                </c:pt>
                <c:pt idx="92">
                  <c:v>192983.50607122993</c:v>
                </c:pt>
                <c:pt idx="93">
                  <c:v>188504.96250009004</c:v>
                </c:pt>
                <c:pt idx="94">
                  <c:v>196470.29892881992</c:v>
                </c:pt>
                <c:pt idx="95">
                  <c:v>182516.76000042999</c:v>
                </c:pt>
                <c:pt idx="96">
                  <c:v>143769.38250001997</c:v>
                </c:pt>
                <c:pt idx="97">
                  <c:v>142398.07178585001</c:v>
                </c:pt>
                <c:pt idx="98">
                  <c:v>169068.81571462005</c:v>
                </c:pt>
                <c:pt idx="99">
                  <c:v>156919.33714312001</c:v>
                </c:pt>
                <c:pt idx="100">
                  <c:v>120668.44357139998</c:v>
                </c:pt>
                <c:pt idx="101">
                  <c:v>121629.36142867002</c:v>
                </c:pt>
                <c:pt idx="102">
                  <c:v>142298.66321423996</c:v>
                </c:pt>
                <c:pt idx="103">
                  <c:v>68147.845357120023</c:v>
                </c:pt>
                <c:pt idx="104">
                  <c:v>153671.41928541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1FD-4FD5-9798-92CF2FC70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NBREN'!$C$6</c:f>
              <c:strCache>
                <c:ptCount val="1"/>
                <c:pt idx="0">
                  <c:v>NB NWP - 4 Week Avg (Boom)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NBREN'!$C$7:$C$111</c:f>
              <c:numCache>
                <c:formatCode>#,##0</c:formatCode>
                <c:ptCount val="105"/>
                <c:pt idx="3">
                  <c:v>880405.52830366162</c:v>
                </c:pt>
                <c:pt idx="4">
                  <c:v>850032.59687492554</c:v>
                </c:pt>
                <c:pt idx="5">
                  <c:v>862704.190357132</c:v>
                </c:pt>
                <c:pt idx="6">
                  <c:v>864288.66651791707</c:v>
                </c:pt>
                <c:pt idx="7">
                  <c:v>840032.96642862645</c:v>
                </c:pt>
                <c:pt idx="8">
                  <c:v>894401.13455372606</c:v>
                </c:pt>
                <c:pt idx="9">
                  <c:v>982241.44482119079</c:v>
                </c:pt>
                <c:pt idx="10">
                  <c:v>1129115.9785714506</c:v>
                </c:pt>
                <c:pt idx="11">
                  <c:v>1370394.4383925544</c:v>
                </c:pt>
                <c:pt idx="12">
                  <c:v>1475045.621428408</c:v>
                </c:pt>
                <c:pt idx="13">
                  <c:v>1495432.9358038143</c:v>
                </c:pt>
                <c:pt idx="14">
                  <c:v>1466941.8280354529</c:v>
                </c:pt>
                <c:pt idx="15">
                  <c:v>1451301.8491966429</c:v>
                </c:pt>
                <c:pt idx="16">
                  <c:v>1417355.3433929025</c:v>
                </c:pt>
                <c:pt idx="17">
                  <c:v>1400244.1849108057</c:v>
                </c:pt>
                <c:pt idx="18">
                  <c:v>1402266.198839599</c:v>
                </c:pt>
                <c:pt idx="19">
                  <c:v>1237082.8674108637</c:v>
                </c:pt>
                <c:pt idx="20">
                  <c:v>1182487.7987503535</c:v>
                </c:pt>
                <c:pt idx="21">
                  <c:v>1171017.6548217589</c:v>
                </c:pt>
                <c:pt idx="22">
                  <c:v>1160726.2741966443</c:v>
                </c:pt>
                <c:pt idx="23">
                  <c:v>1209557.1772324394</c:v>
                </c:pt>
                <c:pt idx="24">
                  <c:v>1284841.6485708985</c:v>
                </c:pt>
                <c:pt idx="25">
                  <c:v>1225553.7006246676</c:v>
                </c:pt>
                <c:pt idx="26">
                  <c:v>1156616.5586606879</c:v>
                </c:pt>
                <c:pt idx="27">
                  <c:v>1170166.212231905</c:v>
                </c:pt>
                <c:pt idx="28">
                  <c:v>1227683.9216072941</c:v>
                </c:pt>
                <c:pt idx="29">
                  <c:v>1361455.8597320137</c:v>
                </c:pt>
                <c:pt idx="30">
                  <c:v>1490946.6030355005</c:v>
                </c:pt>
                <c:pt idx="31">
                  <c:v>1572431.9846427324</c:v>
                </c:pt>
                <c:pt idx="32">
                  <c:v>1619429.0964290299</c:v>
                </c:pt>
                <c:pt idx="33">
                  <c:v>1650951.5594651098</c:v>
                </c:pt>
                <c:pt idx="34">
                  <c:v>1642157.3164295899</c:v>
                </c:pt>
                <c:pt idx="35">
                  <c:v>1600685.4164297399</c:v>
                </c:pt>
                <c:pt idx="36">
                  <c:v>1573059.7835722174</c:v>
                </c:pt>
                <c:pt idx="37">
                  <c:v>1557436.6586608798</c:v>
                </c:pt>
                <c:pt idx="38">
                  <c:v>1525744.2461606851</c:v>
                </c:pt>
                <c:pt idx="39">
                  <c:v>1503354.2726784328</c:v>
                </c:pt>
                <c:pt idx="40">
                  <c:v>1431294.5418748204</c:v>
                </c:pt>
                <c:pt idx="41">
                  <c:v>1365510.5051784953</c:v>
                </c:pt>
                <c:pt idx="42">
                  <c:v>1335624.0822319277</c:v>
                </c:pt>
                <c:pt idx="43">
                  <c:v>1307994.0964284004</c:v>
                </c:pt>
                <c:pt idx="44">
                  <c:v>1242033.409285645</c:v>
                </c:pt>
                <c:pt idx="45">
                  <c:v>1220552.6049999027</c:v>
                </c:pt>
                <c:pt idx="46">
                  <c:v>1210494.1728572198</c:v>
                </c:pt>
                <c:pt idx="47">
                  <c:v>1157735.033035845</c:v>
                </c:pt>
                <c:pt idx="48">
                  <c:v>1105334.2642859125</c:v>
                </c:pt>
                <c:pt idx="49">
                  <c:v>1024945.9855360975</c:v>
                </c:pt>
                <c:pt idx="50">
                  <c:v>995977.70767913992</c:v>
                </c:pt>
                <c:pt idx="51">
                  <c:v>973056.57973262738</c:v>
                </c:pt>
                <c:pt idx="52">
                  <c:v>950696.59705397731</c:v>
                </c:pt>
                <c:pt idx="53">
                  <c:v>920731.71946484491</c:v>
                </c:pt>
                <c:pt idx="54">
                  <c:v>850049.07848240749</c:v>
                </c:pt>
                <c:pt idx="55">
                  <c:v>849233.97642892506</c:v>
                </c:pt>
                <c:pt idx="56">
                  <c:v>822648.96812528756</c:v>
                </c:pt>
                <c:pt idx="57">
                  <c:v>825258.24705360504</c:v>
                </c:pt>
                <c:pt idx="58">
                  <c:v>859394.69035725261</c:v>
                </c:pt>
                <c:pt idx="59">
                  <c:v>838575.36973227491</c:v>
                </c:pt>
                <c:pt idx="60">
                  <c:v>829522.2439285724</c:v>
                </c:pt>
                <c:pt idx="61">
                  <c:v>824002.62160716241</c:v>
                </c:pt>
                <c:pt idx="62">
                  <c:v>808569.17678559234</c:v>
                </c:pt>
                <c:pt idx="63">
                  <c:v>836186.32732120005</c:v>
                </c:pt>
                <c:pt idx="64">
                  <c:v>859184.62991040514</c:v>
                </c:pt>
                <c:pt idx="65">
                  <c:v>860333.50508915004</c:v>
                </c:pt>
                <c:pt idx="66">
                  <c:v>904814.31982133503</c:v>
                </c:pt>
                <c:pt idx="67">
                  <c:v>947142.92107140506</c:v>
                </c:pt>
                <c:pt idx="68">
                  <c:v>1033809.7650000749</c:v>
                </c:pt>
                <c:pt idx="69">
                  <c:v>1081071.4118751383</c:v>
                </c:pt>
                <c:pt idx="70">
                  <c:v>1076066.6376787983</c:v>
                </c:pt>
                <c:pt idx="71">
                  <c:v>997847.7987499733</c:v>
                </c:pt>
                <c:pt idx="72">
                  <c:v>929671.79973230395</c:v>
                </c:pt>
                <c:pt idx="73">
                  <c:v>923042.26794646843</c:v>
                </c:pt>
                <c:pt idx="74">
                  <c:v>911748.64241042081</c:v>
                </c:pt>
                <c:pt idx="75">
                  <c:v>932183.81482145854</c:v>
                </c:pt>
                <c:pt idx="76">
                  <c:v>961593.96044657519</c:v>
                </c:pt>
                <c:pt idx="77">
                  <c:v>949660.70946436515</c:v>
                </c:pt>
                <c:pt idx="78">
                  <c:v>902617.16008938511</c:v>
                </c:pt>
                <c:pt idx="79">
                  <c:v>857191.00723213004</c:v>
                </c:pt>
                <c:pt idx="80">
                  <c:v>815364.00839274749</c:v>
                </c:pt>
                <c:pt idx="81">
                  <c:v>793988.42223206745</c:v>
                </c:pt>
                <c:pt idx="82">
                  <c:v>807395.61098228733</c:v>
                </c:pt>
                <c:pt idx="83">
                  <c:v>848307.56392853986</c:v>
                </c:pt>
                <c:pt idx="84">
                  <c:v>881265.19348196732</c:v>
                </c:pt>
                <c:pt idx="85">
                  <c:v>918323.59892850299</c:v>
                </c:pt>
                <c:pt idx="86">
                  <c:v>937718.45812488324</c:v>
                </c:pt>
                <c:pt idx="87">
                  <c:v>944930.22464263311</c:v>
                </c:pt>
                <c:pt idx="88">
                  <c:v>898948.7614283358</c:v>
                </c:pt>
                <c:pt idx="89">
                  <c:v>903046.68053522264</c:v>
                </c:pt>
                <c:pt idx="90">
                  <c:v>880435.49223169754</c:v>
                </c:pt>
                <c:pt idx="91">
                  <c:v>859193.22848187259</c:v>
                </c:pt>
                <c:pt idx="92">
                  <c:v>854893.59232122009</c:v>
                </c:pt>
                <c:pt idx="93">
                  <c:v>809275.53776787</c:v>
                </c:pt>
                <c:pt idx="94">
                  <c:v>804400.76544660004</c:v>
                </c:pt>
                <c:pt idx="95">
                  <c:v>792259.01937529002</c:v>
                </c:pt>
                <c:pt idx="96">
                  <c:v>775772.05428618263</c:v>
                </c:pt>
                <c:pt idx="97">
                  <c:v>760878.47964325757</c:v>
                </c:pt>
                <c:pt idx="98">
                  <c:v>778951.40535736247</c:v>
                </c:pt>
                <c:pt idx="99">
                  <c:v>789332.04375021008</c:v>
                </c:pt>
                <c:pt idx="100">
                  <c:v>784502.44321434246</c:v>
                </c:pt>
                <c:pt idx="101">
                  <c:v>761267.07455352484</c:v>
                </c:pt>
                <c:pt idx="102">
                  <c:v>722376.05214287748</c:v>
                </c:pt>
                <c:pt idx="103">
                  <c:v>690443.13312481507</c:v>
                </c:pt>
                <c:pt idx="104">
                  <c:v>690040.90455336764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1FD-4FD5-9798-92CF2FC70581}"/>
            </c:ext>
          </c:extLst>
        </c:ser>
        <c:ser>
          <c:idx val="3"/>
          <c:order val="4"/>
          <c:tx>
            <c:strRef>
              <c:f>'NWP NBREN'!$F$6</c:f>
              <c:strCache>
                <c:ptCount val="1"/>
                <c:pt idx="0">
                  <c:v>RN NWP - 4 Week Avg (Boom)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NBREN'!$F$7:$F$111</c:f>
              <c:numCache>
                <c:formatCode>#,##0</c:formatCode>
                <c:ptCount val="105"/>
                <c:pt idx="3">
                  <c:v>35549.617499923508</c:v>
                </c:pt>
                <c:pt idx="4">
                  <c:v>33441.460624976506</c:v>
                </c:pt>
                <c:pt idx="5">
                  <c:v>33781.710535698498</c:v>
                </c:pt>
                <c:pt idx="6">
                  <c:v>48495.557678530495</c:v>
                </c:pt>
                <c:pt idx="7">
                  <c:v>62772.638124983001</c:v>
                </c:pt>
                <c:pt idx="8">
                  <c:v>67415.491964243498</c:v>
                </c:pt>
                <c:pt idx="9">
                  <c:v>70057.847767804502</c:v>
                </c:pt>
                <c:pt idx="10">
                  <c:v>62090.301785700009</c:v>
                </c:pt>
                <c:pt idx="11">
                  <c:v>53013.424732079009</c:v>
                </c:pt>
                <c:pt idx="12">
                  <c:v>48966.543571361006</c:v>
                </c:pt>
                <c:pt idx="13">
                  <c:v>57614.279374899503</c:v>
                </c:pt>
                <c:pt idx="14">
                  <c:v>69003.136071333007</c:v>
                </c:pt>
                <c:pt idx="15">
                  <c:v>94590.730267914507</c:v>
                </c:pt>
                <c:pt idx="16">
                  <c:v>104997.73312509349</c:v>
                </c:pt>
                <c:pt idx="17">
                  <c:v>114988.755267987</c:v>
                </c:pt>
                <c:pt idx="18">
                  <c:v>121417.32044649051</c:v>
                </c:pt>
                <c:pt idx="19">
                  <c:v>105954.85294643149</c:v>
                </c:pt>
                <c:pt idx="20">
                  <c:v>101158.9206249815</c:v>
                </c:pt>
                <c:pt idx="21">
                  <c:v>90149.455357111001</c:v>
                </c:pt>
                <c:pt idx="22">
                  <c:v>74323.495178587997</c:v>
                </c:pt>
                <c:pt idx="23">
                  <c:v>78097.807767788996</c:v>
                </c:pt>
                <c:pt idx="24">
                  <c:v>88469.691964302998</c:v>
                </c:pt>
                <c:pt idx="25">
                  <c:v>88170.884553582</c:v>
                </c:pt>
                <c:pt idx="26">
                  <c:v>97600.316428611011</c:v>
                </c:pt>
                <c:pt idx="27">
                  <c:v>92322.778660721015</c:v>
                </c:pt>
                <c:pt idx="28">
                  <c:v>80084.811696368008</c:v>
                </c:pt>
                <c:pt idx="29">
                  <c:v>74773.406874973007</c:v>
                </c:pt>
                <c:pt idx="30">
                  <c:v>65472.480624995005</c:v>
                </c:pt>
                <c:pt idx="31">
                  <c:v>63751.516517907505</c:v>
                </c:pt>
                <c:pt idx="32">
                  <c:v>60252.655446465003</c:v>
                </c:pt>
                <c:pt idx="33">
                  <c:v>58759.364375055004</c:v>
                </c:pt>
                <c:pt idx="34">
                  <c:v>53385.19205355001</c:v>
                </c:pt>
                <c:pt idx="35">
                  <c:v>42207.154732130002</c:v>
                </c:pt>
                <c:pt idx="36">
                  <c:v>39046.519107155</c:v>
                </c:pt>
                <c:pt idx="37">
                  <c:v>35413.109107132506</c:v>
                </c:pt>
                <c:pt idx="38">
                  <c:v>32422.178125065002</c:v>
                </c:pt>
                <c:pt idx="39">
                  <c:v>37157.583928652501</c:v>
                </c:pt>
                <c:pt idx="40">
                  <c:v>40344.663571472498</c:v>
                </c:pt>
                <c:pt idx="41">
                  <c:v>41370.222767897503</c:v>
                </c:pt>
                <c:pt idx="42">
                  <c:v>42602.161696447503</c:v>
                </c:pt>
                <c:pt idx="43">
                  <c:v>37289.21696428</c:v>
                </c:pt>
                <c:pt idx="44">
                  <c:v>33866.5982142625</c:v>
                </c:pt>
                <c:pt idx="45">
                  <c:v>28906.410357132499</c:v>
                </c:pt>
                <c:pt idx="46">
                  <c:v>28859.264374959999</c:v>
                </c:pt>
                <c:pt idx="47">
                  <c:v>27343.924910672496</c:v>
                </c:pt>
                <c:pt idx="48">
                  <c:v>27730.629196387497</c:v>
                </c:pt>
                <c:pt idx="49">
                  <c:v>32060.967410664998</c:v>
                </c:pt>
                <c:pt idx="50">
                  <c:v>30317.639553530003</c:v>
                </c:pt>
                <c:pt idx="51">
                  <c:v>31304.786785704997</c:v>
                </c:pt>
                <c:pt idx="52">
                  <c:v>32809.189107177495</c:v>
                </c:pt>
                <c:pt idx="53">
                  <c:v>33024.800267895</c:v>
                </c:pt>
                <c:pt idx="54">
                  <c:v>35232.712053552495</c:v>
                </c:pt>
                <c:pt idx="55">
                  <c:v>42034.282232104997</c:v>
                </c:pt>
                <c:pt idx="56">
                  <c:v>43876.791785669993</c:v>
                </c:pt>
                <c:pt idx="57">
                  <c:v>45490.298928525001</c:v>
                </c:pt>
                <c:pt idx="58">
                  <c:v>43850.612232150001</c:v>
                </c:pt>
                <c:pt idx="59">
                  <c:v>39152.655624999999</c:v>
                </c:pt>
                <c:pt idx="60">
                  <c:v>36657.382142889997</c:v>
                </c:pt>
                <c:pt idx="61">
                  <c:v>34208.658571459993</c:v>
                </c:pt>
                <c:pt idx="62">
                  <c:v>41454.874464307497</c:v>
                </c:pt>
                <c:pt idx="63">
                  <c:v>51801.943214305</c:v>
                </c:pt>
                <c:pt idx="64">
                  <c:v>56381.150178562493</c:v>
                </c:pt>
                <c:pt idx="65">
                  <c:v>60183.731874987498</c:v>
                </c:pt>
                <c:pt idx="66">
                  <c:v>68658.070892795004</c:v>
                </c:pt>
                <c:pt idx="67">
                  <c:v>67700.239910614997</c:v>
                </c:pt>
                <c:pt idx="68">
                  <c:v>70321.807857045002</c:v>
                </c:pt>
                <c:pt idx="69">
                  <c:v>71997.797231997509</c:v>
                </c:pt>
                <c:pt idx="70">
                  <c:v>63032.387321342503</c:v>
                </c:pt>
                <c:pt idx="71">
                  <c:v>61434.234017745002</c:v>
                </c:pt>
                <c:pt idx="72">
                  <c:v>57649.412678492503</c:v>
                </c:pt>
                <c:pt idx="73">
                  <c:v>59983.918214305006</c:v>
                </c:pt>
                <c:pt idx="74">
                  <c:v>62135.128392917504</c:v>
                </c:pt>
                <c:pt idx="75">
                  <c:v>59347.042053677505</c:v>
                </c:pt>
                <c:pt idx="76">
                  <c:v>72574.056339277508</c:v>
                </c:pt>
                <c:pt idx="77">
                  <c:v>82634.494642837511</c:v>
                </c:pt>
                <c:pt idx="78">
                  <c:v>94257.958214187529</c:v>
                </c:pt>
                <c:pt idx="79">
                  <c:v>108006.04696421252</c:v>
                </c:pt>
                <c:pt idx="80">
                  <c:v>125143.14285703501</c:v>
                </c:pt>
                <c:pt idx="81">
                  <c:v>137421.45508909499</c:v>
                </c:pt>
                <c:pt idx="82">
                  <c:v>153352.13428552751</c:v>
                </c:pt>
                <c:pt idx="83">
                  <c:v>172489.64973190502</c:v>
                </c:pt>
                <c:pt idx="84">
                  <c:v>185776.89482126251</c:v>
                </c:pt>
                <c:pt idx="85">
                  <c:v>196632.79446411502</c:v>
                </c:pt>
                <c:pt idx="86">
                  <c:v>196063.90973201749</c:v>
                </c:pt>
                <c:pt idx="87">
                  <c:v>196693.95285700253</c:v>
                </c:pt>
                <c:pt idx="88">
                  <c:v>194618.21955344002</c:v>
                </c:pt>
                <c:pt idx="89">
                  <c:v>200916.98080351751</c:v>
                </c:pt>
                <c:pt idx="90">
                  <c:v>200403.30955355751</c:v>
                </c:pt>
                <c:pt idx="91">
                  <c:v>202878.36000003497</c:v>
                </c:pt>
                <c:pt idx="92">
                  <c:v>197747.57669643997</c:v>
                </c:pt>
                <c:pt idx="93">
                  <c:v>188233.80437500498</c:v>
                </c:pt>
                <c:pt idx="94">
                  <c:v>193684.45562502497</c:v>
                </c:pt>
                <c:pt idx="95">
                  <c:v>190118.88187514246</c:v>
                </c:pt>
                <c:pt idx="96">
                  <c:v>177815.35098233997</c:v>
                </c:pt>
                <c:pt idx="97">
                  <c:v>166288.62830377996</c:v>
                </c:pt>
                <c:pt idx="98">
                  <c:v>159438.25750023001</c:v>
                </c:pt>
                <c:pt idx="99">
                  <c:v>153038.9017859025</c:v>
                </c:pt>
                <c:pt idx="100">
                  <c:v>147263.66705374751</c:v>
                </c:pt>
                <c:pt idx="101">
                  <c:v>142071.48946445252</c:v>
                </c:pt>
                <c:pt idx="102">
                  <c:v>135378.9513393575</c:v>
                </c:pt>
                <c:pt idx="103">
                  <c:v>113186.07839285751</c:v>
                </c:pt>
                <c:pt idx="104">
                  <c:v>121436.82232136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1FD-4FD5-9798-92CF2FC70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NBREN'!$D$6</c:f>
              <c:strCache>
                <c:ptCount val="1"/>
                <c:pt idx="0">
                  <c:v>NB Average NWP - 4 Week Avg (Boom)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NBREN'!$D$7:$D$111</c:f>
              <c:numCache>
                <c:formatCode>#,##0</c:formatCode>
                <c:ptCount val="105"/>
                <c:pt idx="3">
                  <c:v>1500.1732412212502</c:v>
                </c:pt>
                <c:pt idx="4">
                  <c:v>1483.5074615695617</c:v>
                </c:pt>
                <c:pt idx="5">
                  <c:v>1512.8652418931147</c:v>
                </c:pt>
                <c:pt idx="6">
                  <c:v>1535.0612980246128</c:v>
                </c:pt>
                <c:pt idx="7">
                  <c:v>1537.6065195120077</c:v>
                </c:pt>
                <c:pt idx="8">
                  <c:v>1545.7075215548889</c:v>
                </c:pt>
                <c:pt idx="9">
                  <c:v>1492.0842492901722</c:v>
                </c:pt>
                <c:pt idx="10">
                  <c:v>1457.8703334836437</c:v>
                </c:pt>
                <c:pt idx="11">
                  <c:v>1401.7983934384224</c:v>
                </c:pt>
                <c:pt idx="12">
                  <c:v>1355.4108989847971</c:v>
                </c:pt>
                <c:pt idx="13">
                  <c:v>1313.6929857058071</c:v>
                </c:pt>
                <c:pt idx="14">
                  <c:v>1279.1133826251489</c:v>
                </c:pt>
                <c:pt idx="15">
                  <c:v>1268.4226494615086</c:v>
                </c:pt>
                <c:pt idx="16">
                  <c:v>1261.7439800511836</c:v>
                </c:pt>
                <c:pt idx="17">
                  <c:v>1277.1467298329362</c:v>
                </c:pt>
                <c:pt idx="18">
                  <c:v>1285.6750412730557</c:v>
                </c:pt>
                <c:pt idx="19">
                  <c:v>1285.5106711724929</c:v>
                </c:pt>
                <c:pt idx="20">
                  <c:v>1277.4961023627304</c:v>
                </c:pt>
                <c:pt idx="21">
                  <c:v>1276.1143593929023</c:v>
                </c:pt>
                <c:pt idx="22">
                  <c:v>1271.9062374300304</c:v>
                </c:pt>
                <c:pt idx="23">
                  <c:v>1260.5180598921045</c:v>
                </c:pt>
                <c:pt idx="24">
                  <c:v>1254.6553074321414</c:v>
                </c:pt>
                <c:pt idx="25">
                  <c:v>1262.884087683881</c:v>
                </c:pt>
                <c:pt idx="26">
                  <c:v>1251.3488928285024</c:v>
                </c:pt>
                <c:pt idx="27">
                  <c:v>1271.2676218295228</c:v>
                </c:pt>
                <c:pt idx="28">
                  <c:v>1281.5043990603169</c:v>
                </c:pt>
                <c:pt idx="29">
                  <c:v>1291.2678833286934</c:v>
                </c:pt>
                <c:pt idx="30">
                  <c:v>1310.6365037093819</c:v>
                </c:pt>
                <c:pt idx="31">
                  <c:v>1301.0974205920438</c:v>
                </c:pt>
                <c:pt idx="32">
                  <c:v>1291.2779142003494</c:v>
                </c:pt>
                <c:pt idx="33">
                  <c:v>1247.5490548641565</c:v>
                </c:pt>
                <c:pt idx="34">
                  <c:v>1208.9614212379056</c:v>
                </c:pt>
                <c:pt idx="35">
                  <c:v>1171.9304031470117</c:v>
                </c:pt>
                <c:pt idx="36">
                  <c:v>1147.6452666484054</c:v>
                </c:pt>
                <c:pt idx="37">
                  <c:v>1118.4739595720434</c:v>
                </c:pt>
                <c:pt idx="38">
                  <c:v>1100.0473369100373</c:v>
                </c:pt>
                <c:pt idx="39">
                  <c:v>1102.4549027747769</c:v>
                </c:pt>
                <c:pt idx="40">
                  <c:v>1088.2874448418179</c:v>
                </c:pt>
                <c:pt idx="41">
                  <c:v>1092.0429411059854</c:v>
                </c:pt>
                <c:pt idx="42">
                  <c:v>1075.4289106835743</c:v>
                </c:pt>
                <c:pt idx="43">
                  <c:v>1065.8655189316485</c:v>
                </c:pt>
                <c:pt idx="44">
                  <c:v>1053.324190720466</c:v>
                </c:pt>
                <c:pt idx="45">
                  <c:v>1063.2224122650482</c:v>
                </c:pt>
                <c:pt idx="46">
                  <c:v>1077.2662130685885</c:v>
                </c:pt>
                <c:pt idx="47">
                  <c:v>1067.5132435005023</c:v>
                </c:pt>
                <c:pt idx="48">
                  <c:v>1075.4040253540611</c:v>
                </c:pt>
                <c:pt idx="49">
                  <c:v>1060.9307293912764</c:v>
                </c:pt>
                <c:pt idx="50">
                  <c:v>1062.2991910594701</c:v>
                </c:pt>
                <c:pt idx="51">
                  <c:v>1084.2420635307074</c:v>
                </c:pt>
                <c:pt idx="52">
                  <c:v>1096.3735913452188</c:v>
                </c:pt>
                <c:pt idx="53">
                  <c:v>1094.6694044251094</c:v>
                </c:pt>
                <c:pt idx="54">
                  <c:v>1092.4248576274003</c:v>
                </c:pt>
                <c:pt idx="55">
                  <c:v>1064.5100171071842</c:v>
                </c:pt>
                <c:pt idx="56">
                  <c:v>1044.6692510323164</c:v>
                </c:pt>
                <c:pt idx="57">
                  <c:v>1057.5583509500575</c:v>
                </c:pt>
                <c:pt idx="58">
                  <c:v>1070.2024783479017</c:v>
                </c:pt>
                <c:pt idx="59">
                  <c:v>1075.118013611399</c:v>
                </c:pt>
                <c:pt idx="60">
                  <c:v>1091.8971325875773</c:v>
                </c:pt>
                <c:pt idx="61">
                  <c:v>1091.8336391416419</c:v>
                </c:pt>
                <c:pt idx="62">
                  <c:v>1077.0920431346904</c:v>
                </c:pt>
                <c:pt idx="63">
                  <c:v>1082.8557103008652</c:v>
                </c:pt>
                <c:pt idx="64">
                  <c:v>1084.2169501680391</c:v>
                </c:pt>
                <c:pt idx="65">
                  <c:v>1088.7208054816538</c:v>
                </c:pt>
                <c:pt idx="66">
                  <c:v>1113.4581072107048</c:v>
                </c:pt>
                <c:pt idx="67">
                  <c:v>1134.0657996343612</c:v>
                </c:pt>
                <c:pt idx="68">
                  <c:v>1135.2586657021461</c:v>
                </c:pt>
                <c:pt idx="69">
                  <c:v>1134.9495387420927</c:v>
                </c:pt>
                <c:pt idx="70">
                  <c:v>1133.8545544183244</c:v>
                </c:pt>
                <c:pt idx="71">
                  <c:v>1138.9473938302381</c:v>
                </c:pt>
                <c:pt idx="72">
                  <c:v>1134.2687764323687</c:v>
                </c:pt>
                <c:pt idx="73">
                  <c:v>1126.6991249055714</c:v>
                </c:pt>
                <c:pt idx="74">
                  <c:v>1113.7101108030274</c:v>
                </c:pt>
                <c:pt idx="75">
                  <c:v>1095.1725707692422</c:v>
                </c:pt>
                <c:pt idx="76">
                  <c:v>1077.1631328485955</c:v>
                </c:pt>
                <c:pt idx="77">
                  <c:v>1071.6263497582765</c:v>
                </c:pt>
                <c:pt idx="78">
                  <c:v>1075.54918102801</c:v>
                </c:pt>
                <c:pt idx="79">
                  <c:v>1067.9274497942538</c:v>
                </c:pt>
                <c:pt idx="80">
                  <c:v>1077.727032518831</c:v>
                </c:pt>
                <c:pt idx="81">
                  <c:v>1085.5807932134048</c:v>
                </c:pt>
                <c:pt idx="82">
                  <c:v>1091.2919703815446</c:v>
                </c:pt>
                <c:pt idx="83">
                  <c:v>1104.8774090686834</c:v>
                </c:pt>
                <c:pt idx="84">
                  <c:v>1123.8303845879709</c:v>
                </c:pt>
                <c:pt idx="85">
                  <c:v>1129.845749231735</c:v>
                </c:pt>
                <c:pt idx="86">
                  <c:v>1144.7116435994678</c:v>
                </c:pt>
                <c:pt idx="87">
                  <c:v>1147.0941092620503</c:v>
                </c:pt>
                <c:pt idx="88">
                  <c:v>1134.7501135361229</c:v>
                </c:pt>
                <c:pt idx="89">
                  <c:v>1132.8956774363326</c:v>
                </c:pt>
                <c:pt idx="90">
                  <c:v>1123.0158493151948</c:v>
                </c:pt>
                <c:pt idx="91">
                  <c:v>1123.4472981472356</c:v>
                </c:pt>
                <c:pt idx="92">
                  <c:v>1139.5700297339665</c:v>
                </c:pt>
                <c:pt idx="93">
                  <c:v>1142.1946899650998</c:v>
                </c:pt>
                <c:pt idx="94">
                  <c:v>1128.164743155862</c:v>
                </c:pt>
                <c:pt idx="95">
                  <c:v>1131.7201852011035</c:v>
                </c:pt>
                <c:pt idx="96">
                  <c:v>1123.2163383787793</c:v>
                </c:pt>
                <c:pt idx="97">
                  <c:v>1134.3611907492764</c:v>
                </c:pt>
                <c:pt idx="98">
                  <c:v>1146.0602348951122</c:v>
                </c:pt>
                <c:pt idx="99">
                  <c:v>1154.6348560564663</c:v>
                </c:pt>
                <c:pt idx="100">
                  <c:v>1164.5467957068392</c:v>
                </c:pt>
                <c:pt idx="101">
                  <c:v>1165.5268237715218</c:v>
                </c:pt>
                <c:pt idx="102">
                  <c:v>1157.6607090833222</c:v>
                </c:pt>
                <c:pt idx="103">
                  <c:v>1171.9777229013725</c:v>
                </c:pt>
                <c:pt idx="104">
                  <c:v>1182.6000967675432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1FD-4FD5-9798-92CF2FC70581}"/>
            </c:ext>
          </c:extLst>
        </c:ser>
        <c:ser>
          <c:idx val="6"/>
          <c:order val="5"/>
          <c:tx>
            <c:strRef>
              <c:f>'NWP NBREN'!$G$6</c:f>
              <c:strCache>
                <c:ptCount val="1"/>
                <c:pt idx="0">
                  <c:v>RN Average NWP - 4 Week Avg (Boom)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NBREN'!$G$7:$G$111</c:f>
              <c:numCache>
                <c:formatCode>#,##0</c:formatCode>
                <c:ptCount val="105"/>
                <c:pt idx="3">
                  <c:v>1197.78793981132</c:v>
                </c:pt>
                <c:pt idx="4">
                  <c:v>1256.9536128030236</c:v>
                </c:pt>
                <c:pt idx="5">
                  <c:v>1183.6770684276428</c:v>
                </c:pt>
                <c:pt idx="6">
                  <c:v>1222.517664387972</c:v>
                </c:pt>
                <c:pt idx="7">
                  <c:v>1279.5025291524009</c:v>
                </c:pt>
                <c:pt idx="8">
                  <c:v>1179.8902607065411</c:v>
                </c:pt>
                <c:pt idx="9">
                  <c:v>1232.8105237779673</c:v>
                </c:pt>
                <c:pt idx="10">
                  <c:v>1291.5140589503051</c:v>
                </c:pt>
                <c:pt idx="11">
                  <c:v>1269.0087986985084</c:v>
                </c:pt>
                <c:pt idx="12">
                  <c:v>1231.7928406592316</c:v>
                </c:pt>
                <c:pt idx="13">
                  <c:v>1177.0958375506211</c:v>
                </c:pt>
                <c:pt idx="14">
                  <c:v>1050.3796690478425</c:v>
                </c:pt>
                <c:pt idx="15">
                  <c:v>997.55296049468564</c:v>
                </c:pt>
                <c:pt idx="16">
                  <c:v>990.63389330316818</c:v>
                </c:pt>
                <c:pt idx="17">
                  <c:v>1012.5513184801309</c:v>
                </c:pt>
                <c:pt idx="18">
                  <c:v>1035.7950995476515</c:v>
                </c:pt>
                <c:pt idx="19">
                  <c:v>1042.9265600106353</c:v>
                </c:pt>
                <c:pt idx="20">
                  <c:v>1017.2866313591451</c:v>
                </c:pt>
                <c:pt idx="21">
                  <c:v>977.42229213771657</c:v>
                </c:pt>
                <c:pt idx="22">
                  <c:v>927.66308902750984</c:v>
                </c:pt>
                <c:pt idx="23">
                  <c:v>918.50004600557054</c:v>
                </c:pt>
                <c:pt idx="24">
                  <c:v>955.4665977475878</c:v>
                </c:pt>
                <c:pt idx="25">
                  <c:v>949.49077227972396</c:v>
                </c:pt>
                <c:pt idx="26">
                  <c:v>988.75143743838044</c:v>
                </c:pt>
                <c:pt idx="27">
                  <c:v>959.66651387767888</c:v>
                </c:pt>
                <c:pt idx="28">
                  <c:v>881.22272912982135</c:v>
                </c:pt>
                <c:pt idx="29">
                  <c:v>865.43157728065887</c:v>
                </c:pt>
                <c:pt idx="30">
                  <c:v>816.45036028203447</c:v>
                </c:pt>
                <c:pt idx="31">
                  <c:v>825.43177383345653</c:v>
                </c:pt>
                <c:pt idx="32">
                  <c:v>817.71464729858053</c:v>
                </c:pt>
                <c:pt idx="33">
                  <c:v>796.32331130761986</c:v>
                </c:pt>
                <c:pt idx="34">
                  <c:v>794.59211585692469</c:v>
                </c:pt>
                <c:pt idx="35">
                  <c:v>746.48366870031748</c:v>
                </c:pt>
                <c:pt idx="36">
                  <c:v>770.77372417982303</c:v>
                </c:pt>
                <c:pt idx="37">
                  <c:v>785.72362029861313</c:v>
                </c:pt>
                <c:pt idx="38">
                  <c:v>781.58429392328196</c:v>
                </c:pt>
                <c:pt idx="39">
                  <c:v>802.78309026047486</c:v>
                </c:pt>
                <c:pt idx="40">
                  <c:v>793.91562540958284</c:v>
                </c:pt>
                <c:pt idx="41">
                  <c:v>766.87516397808554</c:v>
                </c:pt>
                <c:pt idx="42">
                  <c:v>767.90262525154412</c:v>
                </c:pt>
                <c:pt idx="43">
                  <c:v>727.59557775911912</c:v>
                </c:pt>
                <c:pt idx="44">
                  <c:v>730.24761648763365</c:v>
                </c:pt>
                <c:pt idx="45">
                  <c:v>788.30668391279823</c:v>
                </c:pt>
                <c:pt idx="46">
                  <c:v>853.22514227871943</c:v>
                </c:pt>
                <c:pt idx="47">
                  <c:v>956.83136111899444</c:v>
                </c:pt>
                <c:pt idx="48">
                  <c:v>1011.9245374104778</c:v>
                </c:pt>
                <c:pt idx="49">
                  <c:v>993.96472913079617</c:v>
                </c:pt>
                <c:pt idx="50">
                  <c:v>972.28774837734738</c:v>
                </c:pt>
                <c:pt idx="51">
                  <c:v>906.3921595757073</c:v>
                </c:pt>
                <c:pt idx="52">
                  <c:v>901.20166630941731</c:v>
                </c:pt>
                <c:pt idx="53">
                  <c:v>896.66562150504376</c:v>
                </c:pt>
                <c:pt idx="54">
                  <c:v>871.16272551783914</c:v>
                </c:pt>
                <c:pt idx="55">
                  <c:v>926.0451012841512</c:v>
                </c:pt>
                <c:pt idx="56">
                  <c:v>930.00356365860512</c:v>
                </c:pt>
                <c:pt idx="57">
                  <c:v>1028.4837651079029</c:v>
                </c:pt>
                <c:pt idx="58">
                  <c:v>1014.7758768204034</c:v>
                </c:pt>
                <c:pt idx="59">
                  <c:v>966.94814385983636</c:v>
                </c:pt>
                <c:pt idx="60">
                  <c:v>958.05706450138314</c:v>
                </c:pt>
                <c:pt idx="61">
                  <c:v>850.60622350613801</c:v>
                </c:pt>
                <c:pt idx="62">
                  <c:v>883.90896191123215</c:v>
                </c:pt>
                <c:pt idx="63">
                  <c:v>908.4790252747224</c:v>
                </c:pt>
                <c:pt idx="64">
                  <c:v>899.05646503511116</c:v>
                </c:pt>
                <c:pt idx="65">
                  <c:v>901.41186848139466</c:v>
                </c:pt>
                <c:pt idx="66">
                  <c:v>878.44092915531621</c:v>
                </c:pt>
                <c:pt idx="67">
                  <c:v>812.61158955731685</c:v>
                </c:pt>
                <c:pt idx="68">
                  <c:v>794.11574777750411</c:v>
                </c:pt>
                <c:pt idx="69">
                  <c:v>800.48289745921727</c:v>
                </c:pt>
                <c:pt idx="70">
                  <c:v>785.91825375218264</c:v>
                </c:pt>
                <c:pt idx="71">
                  <c:v>816.76712112708492</c:v>
                </c:pt>
                <c:pt idx="72">
                  <c:v>815.15177077121416</c:v>
                </c:pt>
                <c:pt idx="73">
                  <c:v>810.12218035551416</c:v>
                </c:pt>
                <c:pt idx="74">
                  <c:v>809.81986720591817</c:v>
                </c:pt>
                <c:pt idx="75">
                  <c:v>806.98581032303559</c:v>
                </c:pt>
                <c:pt idx="76">
                  <c:v>835.33854263375849</c:v>
                </c:pt>
                <c:pt idx="77">
                  <c:v>849.98856492700702</c:v>
                </c:pt>
                <c:pt idx="78">
                  <c:v>900.9184840586471</c:v>
                </c:pt>
                <c:pt idx="79">
                  <c:v>932.3370415744721</c:v>
                </c:pt>
                <c:pt idx="80">
                  <c:v>920.17263691323058</c:v>
                </c:pt>
                <c:pt idx="81">
                  <c:v>915.91801853223467</c:v>
                </c:pt>
                <c:pt idx="82">
                  <c:v>891.15965136802004</c:v>
                </c:pt>
                <c:pt idx="83">
                  <c:v>869.37200356214316</c:v>
                </c:pt>
                <c:pt idx="84">
                  <c:v>871.57747242359608</c:v>
                </c:pt>
                <c:pt idx="85">
                  <c:v>858.39962052240196</c:v>
                </c:pt>
                <c:pt idx="86">
                  <c:v>830.93517696062099</c:v>
                </c:pt>
                <c:pt idx="87">
                  <c:v>823.0407035901967</c:v>
                </c:pt>
                <c:pt idx="88">
                  <c:v>812.17630562229328</c:v>
                </c:pt>
                <c:pt idx="89">
                  <c:v>801.64734794094625</c:v>
                </c:pt>
                <c:pt idx="90">
                  <c:v>801.98793577210506</c:v>
                </c:pt>
                <c:pt idx="91">
                  <c:v>809.90301830142596</c:v>
                </c:pt>
                <c:pt idx="92">
                  <c:v>812.41228271765635</c:v>
                </c:pt>
                <c:pt idx="93">
                  <c:v>817.12398148147463</c:v>
                </c:pt>
                <c:pt idx="94">
                  <c:v>820.916415053121</c:v>
                </c:pt>
                <c:pt idx="95">
                  <c:v>826.45970482123073</c:v>
                </c:pt>
                <c:pt idx="96">
                  <c:v>803.089487978752</c:v>
                </c:pt>
                <c:pt idx="97">
                  <c:v>803.96245380279004</c:v>
                </c:pt>
                <c:pt idx="98">
                  <c:v>800.98469743212968</c:v>
                </c:pt>
                <c:pt idx="99">
                  <c:v>788.87494507434258</c:v>
                </c:pt>
                <c:pt idx="100">
                  <c:v>790.85643608290729</c:v>
                </c:pt>
                <c:pt idx="101">
                  <c:v>807.67742861589625</c:v>
                </c:pt>
                <c:pt idx="102">
                  <c:v>806.70959321685268</c:v>
                </c:pt>
                <c:pt idx="103">
                  <c:v>830.7939058284262</c:v>
                </c:pt>
                <c:pt idx="104">
                  <c:v>850.95528088713206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61FD-4FD5-9798-92CF2FC70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(Excl. Monthly Rens):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NBREN'!$J$6</c:f>
              <c:strCache>
                <c:ptCount val="1"/>
                <c:pt idx="0">
                  <c:v>NB NWP (Boom)2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NBREN'!$J$7:$J$111</c:f>
              <c:numCache>
                <c:formatCode>#,##0</c:formatCode>
                <c:ptCount val="105"/>
                <c:pt idx="0">
                  <c:v>329665.51607190102</c:v>
                </c:pt>
                <c:pt idx="1">
                  <c:v>313662.9396428261</c:v>
                </c:pt>
                <c:pt idx="2">
                  <c:v>319635.17571396998</c:v>
                </c:pt>
                <c:pt idx="3">
                  <c:v>300104.26785699098</c:v>
                </c:pt>
                <c:pt idx="4">
                  <c:v>288840.938928494</c:v>
                </c:pt>
                <c:pt idx="5">
                  <c:v>299208.22499988403</c:v>
                </c:pt>
                <c:pt idx="6">
                  <c:v>263365.25642862503</c:v>
                </c:pt>
                <c:pt idx="7">
                  <c:v>240741.181428765</c:v>
                </c:pt>
                <c:pt idx="8">
                  <c:v>328068.90428526804</c:v>
                </c:pt>
                <c:pt idx="9">
                  <c:v>393507.59821360797</c:v>
                </c:pt>
                <c:pt idx="10">
                  <c:v>471021.64500035509</c:v>
                </c:pt>
                <c:pt idx="11">
                  <c:v>582882.2346424578</c:v>
                </c:pt>
                <c:pt idx="12">
                  <c:v>464579.35142893507</c:v>
                </c:pt>
                <c:pt idx="13">
                  <c:v>444687.67071388103</c:v>
                </c:pt>
                <c:pt idx="14">
                  <c:v>495087.87749983207</c:v>
                </c:pt>
                <c:pt idx="15">
                  <c:v>605803.11892832292</c:v>
                </c:pt>
                <c:pt idx="16">
                  <c:v>433310.75535727997</c:v>
                </c:pt>
                <c:pt idx="17">
                  <c:v>455715.74642785214</c:v>
                </c:pt>
                <c:pt idx="18">
                  <c:v>438491.75714258908</c:v>
                </c:pt>
                <c:pt idx="19">
                  <c:v>346510.81749983691</c:v>
                </c:pt>
                <c:pt idx="20">
                  <c:v>360843.28464318399</c:v>
                </c:pt>
                <c:pt idx="21">
                  <c:v>441696.15607158793</c:v>
                </c:pt>
                <c:pt idx="22">
                  <c:v>433799.78321412997</c:v>
                </c:pt>
                <c:pt idx="23">
                  <c:v>421284.92035698704</c:v>
                </c:pt>
                <c:pt idx="24">
                  <c:v>483639.59142775193</c:v>
                </c:pt>
                <c:pt idx="25">
                  <c:v>344770.15428593103</c:v>
                </c:pt>
                <c:pt idx="26">
                  <c:v>342617.36142849602</c:v>
                </c:pt>
                <c:pt idx="27">
                  <c:v>367291.75178533094</c:v>
                </c:pt>
                <c:pt idx="28">
                  <c:v>365265.27785729995</c:v>
                </c:pt>
                <c:pt idx="29">
                  <c:v>408603.85785694997</c:v>
                </c:pt>
                <c:pt idx="30">
                  <c:v>450388.37321433</c:v>
                </c:pt>
                <c:pt idx="31">
                  <c:v>403433.47178619</c:v>
                </c:pt>
                <c:pt idx="32">
                  <c:v>454533.34000001993</c:v>
                </c:pt>
                <c:pt idx="33">
                  <c:v>464821.22285745997</c:v>
                </c:pt>
                <c:pt idx="34">
                  <c:v>399046.82607120991</c:v>
                </c:pt>
                <c:pt idx="35">
                  <c:v>341095.6278573001</c:v>
                </c:pt>
                <c:pt idx="36">
                  <c:v>391243.15250011993</c:v>
                </c:pt>
                <c:pt idx="37">
                  <c:v>440270.42964213993</c:v>
                </c:pt>
                <c:pt idx="38">
                  <c:v>355106.58214260993</c:v>
                </c:pt>
                <c:pt idx="39">
                  <c:v>352155.50571459997</c:v>
                </c:pt>
                <c:pt idx="40">
                  <c:v>365567.29071467998</c:v>
                </c:pt>
                <c:pt idx="41">
                  <c:v>325108.62714344996</c:v>
                </c:pt>
                <c:pt idx="42">
                  <c:v>322055.48607153998</c:v>
                </c:pt>
                <c:pt idx="43">
                  <c:v>309602.68071435002</c:v>
                </c:pt>
                <c:pt idx="44">
                  <c:v>334276.51678567997</c:v>
                </c:pt>
                <c:pt idx="45">
                  <c:v>296989.29071392992</c:v>
                </c:pt>
                <c:pt idx="46">
                  <c:v>296914.95928583003</c:v>
                </c:pt>
                <c:pt idx="47">
                  <c:v>253226.02357143999</c:v>
                </c:pt>
                <c:pt idx="48">
                  <c:v>217153.16249996005</c:v>
                </c:pt>
                <c:pt idx="49">
                  <c:v>217891.25142868009</c:v>
                </c:pt>
                <c:pt idx="50">
                  <c:v>267783.62750037998</c:v>
                </c:pt>
                <c:pt idx="51">
                  <c:v>188232.82642836001</c:v>
                </c:pt>
                <c:pt idx="52">
                  <c:v>189401.11428593998</c:v>
                </c:pt>
                <c:pt idx="53">
                  <c:v>195376.05428556996</c:v>
                </c:pt>
                <c:pt idx="54">
                  <c:v>170778.77642862999</c:v>
                </c:pt>
                <c:pt idx="55">
                  <c:v>224440.61250010005</c:v>
                </c:pt>
                <c:pt idx="56">
                  <c:v>187874.91464269999</c:v>
                </c:pt>
                <c:pt idx="57">
                  <c:v>205013.14464306997</c:v>
                </c:pt>
                <c:pt idx="58">
                  <c:v>209088.11142875001</c:v>
                </c:pt>
                <c:pt idx="59">
                  <c:v>190714.85428609993</c:v>
                </c:pt>
                <c:pt idx="60">
                  <c:v>155366.72750002003</c:v>
                </c:pt>
                <c:pt idx="61">
                  <c:v>161864.93964258002</c:v>
                </c:pt>
                <c:pt idx="62">
                  <c:v>201733.86249989003</c:v>
                </c:pt>
                <c:pt idx="63">
                  <c:v>193347.93357137992</c:v>
                </c:pt>
                <c:pt idx="64">
                  <c:v>148292.31392891996</c:v>
                </c:pt>
                <c:pt idx="65">
                  <c:v>172465.31928568005</c:v>
                </c:pt>
                <c:pt idx="66">
                  <c:v>240864.79714276997</c:v>
                </c:pt>
                <c:pt idx="67">
                  <c:v>207520.66892853999</c:v>
                </c:pt>
                <c:pt idx="68">
                  <c:v>233268.44928605988</c:v>
                </c:pt>
                <c:pt idx="69">
                  <c:v>208528.36642854285</c:v>
                </c:pt>
                <c:pt idx="70">
                  <c:v>206069.89892897994</c:v>
                </c:pt>
                <c:pt idx="71">
                  <c:v>143164.61428569999</c:v>
                </c:pt>
                <c:pt idx="72">
                  <c:v>130958.66035729292</c:v>
                </c:pt>
                <c:pt idx="73">
                  <c:v>168467.63214299007</c:v>
                </c:pt>
                <c:pt idx="74">
                  <c:v>150999.62571390002</c:v>
                </c:pt>
                <c:pt idx="75">
                  <c:v>135799.15285735999</c:v>
                </c:pt>
                <c:pt idx="76">
                  <c:v>158805.41000034002</c:v>
                </c:pt>
                <c:pt idx="77">
                  <c:v>130590.96964279002</c:v>
                </c:pt>
                <c:pt idx="78">
                  <c:v>116871.27357122002</c:v>
                </c:pt>
                <c:pt idx="79">
                  <c:v>122592.23071452002</c:v>
                </c:pt>
                <c:pt idx="80">
                  <c:v>128093.37142871998</c:v>
                </c:pt>
                <c:pt idx="81">
                  <c:v>127144.94785685001</c:v>
                </c:pt>
                <c:pt idx="82">
                  <c:v>129683.14892877001</c:v>
                </c:pt>
                <c:pt idx="83">
                  <c:v>116006.32357122</c:v>
                </c:pt>
                <c:pt idx="84">
                  <c:v>120157.0471428</c:v>
                </c:pt>
                <c:pt idx="85">
                  <c:v>150703.74857180999</c:v>
                </c:pt>
                <c:pt idx="86">
                  <c:v>137517.81000026996</c:v>
                </c:pt>
                <c:pt idx="87">
                  <c:v>98019.68142873999</c:v>
                </c:pt>
                <c:pt idx="88">
                  <c:v>113129.67071427</c:v>
                </c:pt>
                <c:pt idx="89">
                  <c:v>153187.38214279001</c:v>
                </c:pt>
                <c:pt idx="90">
                  <c:v>139652.52821402001</c:v>
                </c:pt>
                <c:pt idx="91">
                  <c:v>129008.44035701999</c:v>
                </c:pt>
                <c:pt idx="92">
                  <c:v>99008.483571449993</c:v>
                </c:pt>
                <c:pt idx="93">
                  <c:v>108128.99035728999</c:v>
                </c:pt>
                <c:pt idx="94">
                  <c:v>112480.49607143998</c:v>
                </c:pt>
                <c:pt idx="95">
                  <c:v>102846.76964295999</c:v>
                </c:pt>
                <c:pt idx="96">
                  <c:v>105044.93857145995</c:v>
                </c:pt>
                <c:pt idx="97">
                  <c:v>123882.35928562999</c:v>
                </c:pt>
                <c:pt idx="98">
                  <c:v>142772.98178554003</c:v>
                </c:pt>
                <c:pt idx="99">
                  <c:v>122782.85178608997</c:v>
                </c:pt>
                <c:pt idx="100">
                  <c:v>112161.89249980001</c:v>
                </c:pt>
                <c:pt idx="101">
                  <c:v>122769.02999996</c:v>
                </c:pt>
                <c:pt idx="102">
                  <c:v>98497.010357329986</c:v>
                </c:pt>
                <c:pt idx="103">
                  <c:v>106791.79571403001</c:v>
                </c:pt>
                <c:pt idx="104">
                  <c:v>106180.86714282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9E2-4984-B6E7-D2FF441B368B}"/>
            </c:ext>
          </c:extLst>
        </c:ser>
        <c:ser>
          <c:idx val="5"/>
          <c:order val="3"/>
          <c:tx>
            <c:strRef>
              <c:f>'NWP NBREN'!$M$6</c:f>
              <c:strCache>
                <c:ptCount val="1"/>
                <c:pt idx="0">
                  <c:v>RN NWP (Boom)5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NBREN'!$M$7:$M$111</c:f>
              <c:numCache>
                <c:formatCode>#,##0</c:formatCode>
                <c:ptCount val="105"/>
                <c:pt idx="0">
                  <c:v>39345.638571284006</c:v>
                </c:pt>
                <c:pt idx="1">
                  <c:v>25799.187142792998</c:v>
                </c:pt>
                <c:pt idx="2">
                  <c:v>31112.504642810003</c:v>
                </c:pt>
                <c:pt idx="3">
                  <c:v>25120.327857110002</c:v>
                </c:pt>
                <c:pt idx="4">
                  <c:v>38803.267857160004</c:v>
                </c:pt>
                <c:pt idx="5">
                  <c:v>38432.825714286992</c:v>
                </c:pt>
                <c:pt idx="6">
                  <c:v>43848.483928529</c:v>
                </c:pt>
                <c:pt idx="7">
                  <c:v>41287.98535707999</c:v>
                </c:pt>
                <c:pt idx="8">
                  <c:v>35188.315714246004</c:v>
                </c:pt>
                <c:pt idx="9">
                  <c:v>20016.058571374</c:v>
                </c:pt>
                <c:pt idx="10">
                  <c:v>25186.220000044996</c:v>
                </c:pt>
                <c:pt idx="11">
                  <c:v>17327.435000028003</c:v>
                </c:pt>
                <c:pt idx="12">
                  <c:v>17551.01857144</c:v>
                </c:pt>
                <c:pt idx="13">
                  <c:v>50382.015714265995</c:v>
                </c:pt>
                <c:pt idx="14">
                  <c:v>71340.726428622002</c:v>
                </c:pt>
                <c:pt idx="15">
                  <c:v>80680.242500150984</c:v>
                </c:pt>
                <c:pt idx="16">
                  <c:v>48295.083928443004</c:v>
                </c:pt>
                <c:pt idx="17">
                  <c:v>73889.852857112986</c:v>
                </c:pt>
                <c:pt idx="18">
                  <c:v>69861.337142724005</c:v>
                </c:pt>
                <c:pt idx="19">
                  <c:v>47538.467142977999</c:v>
                </c:pt>
                <c:pt idx="20">
                  <c:v>36153.256071402997</c:v>
                </c:pt>
                <c:pt idx="21">
                  <c:v>58056.577142721995</c:v>
                </c:pt>
                <c:pt idx="22">
                  <c:v>41609.459999992992</c:v>
                </c:pt>
                <c:pt idx="23">
                  <c:v>51302.672857169993</c:v>
                </c:pt>
                <c:pt idx="24">
                  <c:v>53159.035714285994</c:v>
                </c:pt>
                <c:pt idx="25">
                  <c:v>38590.70107132</c:v>
                </c:pt>
                <c:pt idx="26">
                  <c:v>50541.028214400991</c:v>
                </c:pt>
                <c:pt idx="27">
                  <c:v>52147.492499879998</c:v>
                </c:pt>
                <c:pt idx="28">
                  <c:v>56167.109642889998</c:v>
                </c:pt>
                <c:pt idx="29">
                  <c:v>58736.486785740002</c:v>
                </c:pt>
                <c:pt idx="30">
                  <c:v>66577.578571579987</c:v>
                </c:pt>
                <c:pt idx="31">
                  <c:v>73524.891071420017</c:v>
                </c:pt>
                <c:pt idx="32">
                  <c:v>42171.665357120008</c:v>
                </c:pt>
                <c:pt idx="33">
                  <c:v>52763.322500100003</c:v>
                </c:pt>
                <c:pt idx="34">
                  <c:v>45080.889285560013</c:v>
                </c:pt>
                <c:pt idx="35">
                  <c:v>28812.74178574</c:v>
                </c:pt>
                <c:pt idx="36">
                  <c:v>29529.122857220002</c:v>
                </c:pt>
                <c:pt idx="37">
                  <c:v>38229.68250001</c:v>
                </c:pt>
                <c:pt idx="38">
                  <c:v>33117.165357290003</c:v>
                </c:pt>
                <c:pt idx="39">
                  <c:v>47754.365000090002</c:v>
                </c:pt>
                <c:pt idx="40">
                  <c:v>42277.441428500002</c:v>
                </c:pt>
                <c:pt idx="41">
                  <c:v>42331.919285709992</c:v>
                </c:pt>
                <c:pt idx="42">
                  <c:v>38044.921071490004</c:v>
                </c:pt>
                <c:pt idx="43">
                  <c:v>26502.586071420003</c:v>
                </c:pt>
                <c:pt idx="44">
                  <c:v>28586.966428429998</c:v>
                </c:pt>
                <c:pt idx="45">
                  <c:v>22491.167857189997</c:v>
                </c:pt>
                <c:pt idx="46">
                  <c:v>37856.337142799995</c:v>
                </c:pt>
                <c:pt idx="47">
                  <c:v>20441.228214270002</c:v>
                </c:pt>
                <c:pt idx="48">
                  <c:v>30133.783571290001</c:v>
                </c:pt>
                <c:pt idx="49">
                  <c:v>39812.520714300001</c:v>
                </c:pt>
                <c:pt idx="50">
                  <c:v>30883.025714259995</c:v>
                </c:pt>
                <c:pt idx="51">
                  <c:v>24389.817142969998</c:v>
                </c:pt>
                <c:pt idx="52">
                  <c:v>36151.392857179999</c:v>
                </c:pt>
                <c:pt idx="53">
                  <c:v>40674.965357170011</c:v>
                </c:pt>
                <c:pt idx="54">
                  <c:v>39714.672856889993</c:v>
                </c:pt>
                <c:pt idx="55">
                  <c:v>51596.097857179986</c:v>
                </c:pt>
                <c:pt idx="56">
                  <c:v>43521.431071440005</c:v>
                </c:pt>
                <c:pt idx="57">
                  <c:v>47128.993928590004</c:v>
                </c:pt>
                <c:pt idx="58">
                  <c:v>33155.926071390008</c:v>
                </c:pt>
                <c:pt idx="59">
                  <c:v>32804.271428579996</c:v>
                </c:pt>
                <c:pt idx="60">
                  <c:v>33540.337142999997</c:v>
                </c:pt>
                <c:pt idx="61">
                  <c:v>37334.099642869987</c:v>
                </c:pt>
                <c:pt idx="62">
                  <c:v>62140.789642780008</c:v>
                </c:pt>
                <c:pt idx="63">
                  <c:v>74192.54642857</c:v>
                </c:pt>
                <c:pt idx="64">
                  <c:v>51857.165000029992</c:v>
                </c:pt>
                <c:pt idx="65">
                  <c:v>52544.426428570005</c:v>
                </c:pt>
                <c:pt idx="66">
                  <c:v>96038.145714010025</c:v>
                </c:pt>
                <c:pt idx="67">
                  <c:v>70361.222499849988</c:v>
                </c:pt>
                <c:pt idx="68">
                  <c:v>62343.436785750004</c:v>
                </c:pt>
                <c:pt idx="69">
                  <c:v>59248.383928380012</c:v>
                </c:pt>
                <c:pt idx="70">
                  <c:v>60176.50607138998</c:v>
                </c:pt>
                <c:pt idx="71">
                  <c:v>63968.609285460007</c:v>
                </c:pt>
                <c:pt idx="72">
                  <c:v>47204.151428739999</c:v>
                </c:pt>
                <c:pt idx="73">
                  <c:v>68586.406071630016</c:v>
                </c:pt>
                <c:pt idx="74">
                  <c:v>68781.346785839996</c:v>
                </c:pt>
                <c:pt idx="75">
                  <c:v>47633.857857039999</c:v>
                </c:pt>
                <c:pt idx="76">
                  <c:v>57968.752857009997</c:v>
                </c:pt>
                <c:pt idx="77">
                  <c:v>55534.565714279997</c:v>
                </c:pt>
                <c:pt idx="78">
                  <c:v>49955.577142779992</c:v>
                </c:pt>
                <c:pt idx="79">
                  <c:v>36487.956785679999</c:v>
                </c:pt>
                <c:pt idx="80">
                  <c:v>59581.769999730001</c:v>
                </c:pt>
                <c:pt idx="81">
                  <c:v>47143.041071380016</c:v>
                </c:pt>
                <c:pt idx="82">
                  <c:v>59338.780714139997</c:v>
                </c:pt>
                <c:pt idx="83">
                  <c:v>50256.09464273999</c:v>
                </c:pt>
                <c:pt idx="84">
                  <c:v>65215.853928719989</c:v>
                </c:pt>
                <c:pt idx="85">
                  <c:v>57368.91892846</c:v>
                </c:pt>
                <c:pt idx="86">
                  <c:v>50140.611428479991</c:v>
                </c:pt>
                <c:pt idx="87">
                  <c:v>59275.931428269992</c:v>
                </c:pt>
                <c:pt idx="88">
                  <c:v>61817.361428569988</c:v>
                </c:pt>
                <c:pt idx="89">
                  <c:v>62894.479642669998</c:v>
                </c:pt>
                <c:pt idx="90">
                  <c:v>47389.100000030005</c:v>
                </c:pt>
                <c:pt idx="91">
                  <c:v>63954.575714360006</c:v>
                </c:pt>
                <c:pt idx="92">
                  <c:v>61098.465714280006</c:v>
                </c:pt>
                <c:pt idx="93">
                  <c:v>66185.17142862</c:v>
                </c:pt>
                <c:pt idx="94">
                  <c:v>63506.381785759993</c:v>
                </c:pt>
                <c:pt idx="95">
                  <c:v>54944.909643079984</c:v>
                </c:pt>
                <c:pt idx="96">
                  <c:v>52425.602142910015</c:v>
                </c:pt>
                <c:pt idx="97">
                  <c:v>43677.417500019998</c:v>
                </c:pt>
                <c:pt idx="98">
                  <c:v>51019.881428659981</c:v>
                </c:pt>
                <c:pt idx="99">
                  <c:v>52443.840000000004</c:v>
                </c:pt>
                <c:pt idx="100">
                  <c:v>35615.238928580002</c:v>
                </c:pt>
                <c:pt idx="101">
                  <c:v>39499.061785699996</c:v>
                </c:pt>
                <c:pt idx="102">
                  <c:v>29314.767857219998</c:v>
                </c:pt>
                <c:pt idx="103">
                  <c:v>22341.00392852</c:v>
                </c:pt>
                <c:pt idx="104">
                  <c:v>38579.827857159995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9E2-4984-B6E7-D2FF441B3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NBREN'!$K$6</c:f>
              <c:strCache>
                <c:ptCount val="1"/>
                <c:pt idx="0">
                  <c:v>NB NWP - 4 Week Avg (Boom)3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val>
            <c:numRef>
              <c:f>'NWP NBREN'!$K$7:$K$111</c:f>
              <c:numCache>
                <c:formatCode>#,##0</c:formatCode>
                <c:ptCount val="105"/>
                <c:pt idx="3">
                  <c:v>315766.97482142202</c:v>
                </c:pt>
                <c:pt idx="4">
                  <c:v>305560.83053557028</c:v>
                </c:pt>
                <c:pt idx="5">
                  <c:v>301947.15187483479</c:v>
                </c:pt>
                <c:pt idx="6">
                  <c:v>287879.67205349851</c:v>
                </c:pt>
                <c:pt idx="7">
                  <c:v>273038.90044644201</c:v>
                </c:pt>
                <c:pt idx="8">
                  <c:v>282845.8917856355</c:v>
                </c:pt>
                <c:pt idx="9">
                  <c:v>306420.7350890665</c:v>
                </c:pt>
                <c:pt idx="10">
                  <c:v>358334.83223199903</c:v>
                </c:pt>
                <c:pt idx="11">
                  <c:v>443870.09553542221</c:v>
                </c:pt>
                <c:pt idx="12">
                  <c:v>477997.707321339</c:v>
                </c:pt>
                <c:pt idx="13">
                  <c:v>490792.72544640728</c:v>
                </c:pt>
                <c:pt idx="14">
                  <c:v>496809.28357127652</c:v>
                </c:pt>
                <c:pt idx="15">
                  <c:v>502539.5046427428</c:v>
                </c:pt>
                <c:pt idx="16">
                  <c:v>494722.35562482895</c:v>
                </c:pt>
                <c:pt idx="17">
                  <c:v>497479.37455332174</c:v>
                </c:pt>
                <c:pt idx="18">
                  <c:v>483330.34446401102</c:v>
                </c:pt>
                <c:pt idx="19">
                  <c:v>418507.26910688949</c:v>
                </c:pt>
                <c:pt idx="20">
                  <c:v>400390.4014283655</c:v>
                </c:pt>
                <c:pt idx="21">
                  <c:v>396885.50383929949</c:v>
                </c:pt>
                <c:pt idx="22">
                  <c:v>395712.51035718468</c:v>
                </c:pt>
                <c:pt idx="23">
                  <c:v>414406.03607147222</c:v>
                </c:pt>
                <c:pt idx="24">
                  <c:v>445105.11276761419</c:v>
                </c:pt>
                <c:pt idx="25">
                  <c:v>420873.61232119997</c:v>
                </c:pt>
                <c:pt idx="26">
                  <c:v>398078.00687479146</c:v>
                </c:pt>
                <c:pt idx="27">
                  <c:v>384579.7147318775</c:v>
                </c:pt>
                <c:pt idx="28">
                  <c:v>354986.13633926446</c:v>
                </c:pt>
                <c:pt idx="29">
                  <c:v>370944.56223201921</c:v>
                </c:pt>
                <c:pt idx="30">
                  <c:v>397887.31517847773</c:v>
                </c:pt>
                <c:pt idx="31">
                  <c:v>406922.74517869251</c:v>
                </c:pt>
                <c:pt idx="32">
                  <c:v>429239.76071437245</c:v>
                </c:pt>
                <c:pt idx="33">
                  <c:v>443294.10196449998</c:v>
                </c:pt>
                <c:pt idx="34">
                  <c:v>430458.71517871995</c:v>
                </c:pt>
                <c:pt idx="35">
                  <c:v>414874.2541964975</c:v>
                </c:pt>
                <c:pt idx="36">
                  <c:v>399051.70732152252</c:v>
                </c:pt>
                <c:pt idx="37">
                  <c:v>392914.00901769247</c:v>
                </c:pt>
                <c:pt idx="38">
                  <c:v>381928.94803554245</c:v>
                </c:pt>
                <c:pt idx="39">
                  <c:v>384693.91749986744</c:v>
                </c:pt>
                <c:pt idx="40">
                  <c:v>378274.95205350744</c:v>
                </c:pt>
                <c:pt idx="41">
                  <c:v>349484.50142883498</c:v>
                </c:pt>
                <c:pt idx="42">
                  <c:v>341221.72741106746</c:v>
                </c:pt>
                <c:pt idx="43">
                  <c:v>330583.52116100496</c:v>
                </c:pt>
                <c:pt idx="44">
                  <c:v>322760.82767875493</c:v>
                </c:pt>
                <c:pt idx="45">
                  <c:v>315730.99357137497</c:v>
                </c:pt>
                <c:pt idx="46">
                  <c:v>309445.8618749475</c:v>
                </c:pt>
                <c:pt idx="47">
                  <c:v>295351.69758921996</c:v>
                </c:pt>
                <c:pt idx="48">
                  <c:v>266070.85901779</c:v>
                </c:pt>
                <c:pt idx="49">
                  <c:v>246296.34919647756</c:v>
                </c:pt>
                <c:pt idx="50">
                  <c:v>239013.516250115</c:v>
                </c:pt>
                <c:pt idx="51">
                  <c:v>222765.21696434502</c:v>
                </c:pt>
                <c:pt idx="52">
                  <c:v>215827.20491084</c:v>
                </c:pt>
                <c:pt idx="53">
                  <c:v>210198.40562506247</c:v>
                </c:pt>
                <c:pt idx="54">
                  <c:v>185947.19285712499</c:v>
                </c:pt>
                <c:pt idx="55">
                  <c:v>194999.13937506001</c:v>
                </c:pt>
                <c:pt idx="56">
                  <c:v>194617.58946424999</c:v>
                </c:pt>
                <c:pt idx="57">
                  <c:v>197026.86205362499</c:v>
                </c:pt>
                <c:pt idx="58">
                  <c:v>206604.19580365499</c:v>
                </c:pt>
                <c:pt idx="59">
                  <c:v>198172.75625015495</c:v>
                </c:pt>
                <c:pt idx="60">
                  <c:v>190045.709464485</c:v>
                </c:pt>
                <c:pt idx="61">
                  <c:v>179258.65821436248</c:v>
                </c:pt>
                <c:pt idx="62">
                  <c:v>177420.0959821475</c:v>
                </c:pt>
                <c:pt idx="63">
                  <c:v>178078.36580346752</c:v>
                </c:pt>
                <c:pt idx="64">
                  <c:v>176309.76241069249</c:v>
                </c:pt>
                <c:pt idx="65">
                  <c:v>178959.85732146748</c:v>
                </c:pt>
                <c:pt idx="66">
                  <c:v>188742.59098218748</c:v>
                </c:pt>
                <c:pt idx="67">
                  <c:v>192285.77482147751</c:v>
                </c:pt>
                <c:pt idx="68">
                  <c:v>213529.80866076244</c:v>
                </c:pt>
                <c:pt idx="69">
                  <c:v>222545.5704464782</c:v>
                </c:pt>
                <c:pt idx="70">
                  <c:v>213846.8458930307</c:v>
                </c:pt>
                <c:pt idx="71">
                  <c:v>197757.83223232068</c:v>
                </c:pt>
                <c:pt idx="72">
                  <c:v>172180.38500012894</c:v>
                </c:pt>
                <c:pt idx="73">
                  <c:v>162165.20142874072</c:v>
                </c:pt>
                <c:pt idx="74">
                  <c:v>148397.63312497074</c:v>
                </c:pt>
                <c:pt idx="75">
                  <c:v>146556.26776788576</c:v>
                </c:pt>
                <c:pt idx="76">
                  <c:v>153517.95517864753</c:v>
                </c:pt>
                <c:pt idx="77">
                  <c:v>144048.78955359751</c:v>
                </c:pt>
                <c:pt idx="78">
                  <c:v>135516.70151792752</c:v>
                </c:pt>
                <c:pt idx="79">
                  <c:v>132214.97098221752</c:v>
                </c:pt>
                <c:pt idx="80">
                  <c:v>124536.96133931252</c:v>
                </c:pt>
                <c:pt idx="81">
                  <c:v>123675.45589282751</c:v>
                </c:pt>
                <c:pt idx="82">
                  <c:v>126878.424732215</c:v>
                </c:pt>
                <c:pt idx="83">
                  <c:v>125231.94794639001</c:v>
                </c:pt>
                <c:pt idx="84">
                  <c:v>123247.86687491</c:v>
                </c:pt>
                <c:pt idx="85">
                  <c:v>129137.56705365001</c:v>
                </c:pt>
                <c:pt idx="86">
                  <c:v>131096.23232152499</c:v>
                </c:pt>
                <c:pt idx="87">
                  <c:v>126599.57178590499</c:v>
                </c:pt>
                <c:pt idx="88">
                  <c:v>124842.7276787725</c:v>
                </c:pt>
                <c:pt idx="89">
                  <c:v>125463.63607151748</c:v>
                </c:pt>
                <c:pt idx="90">
                  <c:v>125997.31562495501</c:v>
                </c:pt>
                <c:pt idx="91">
                  <c:v>133744.50535702499</c:v>
                </c:pt>
                <c:pt idx="92">
                  <c:v>130214.20857132001</c:v>
                </c:pt>
                <c:pt idx="93">
                  <c:v>118949.61062494499</c:v>
                </c:pt>
                <c:pt idx="94">
                  <c:v>112156.6025893</c:v>
                </c:pt>
                <c:pt idx="95">
                  <c:v>105616.18491078498</c:v>
                </c:pt>
                <c:pt idx="96">
                  <c:v>107125.29866078748</c:v>
                </c:pt>
                <c:pt idx="97">
                  <c:v>111063.64089287248</c:v>
                </c:pt>
                <c:pt idx="98">
                  <c:v>118636.76232139749</c:v>
                </c:pt>
                <c:pt idx="99">
                  <c:v>123620.78285717999</c:v>
                </c:pt>
                <c:pt idx="100">
                  <c:v>125400.021339265</c:v>
                </c:pt>
                <c:pt idx="101">
                  <c:v>125121.6890178475</c:v>
                </c:pt>
                <c:pt idx="102">
                  <c:v>114052.69616079499</c:v>
                </c:pt>
                <c:pt idx="103">
                  <c:v>110054.93214277999</c:v>
                </c:pt>
                <c:pt idx="104">
                  <c:v>108559.67580353501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9E2-4984-B6E7-D2FF441B368B}"/>
            </c:ext>
          </c:extLst>
        </c:ser>
        <c:ser>
          <c:idx val="3"/>
          <c:order val="4"/>
          <c:tx>
            <c:strRef>
              <c:f>'NWP NBREN'!$N$6</c:f>
              <c:strCache>
                <c:ptCount val="1"/>
                <c:pt idx="0">
                  <c:v>RN NWP - 4 Week Avg (Boom)6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val>
            <c:numRef>
              <c:f>'NWP NBREN'!$N$7:$N$111</c:f>
              <c:numCache>
                <c:formatCode>#,##0</c:formatCode>
                <c:ptCount val="105"/>
                <c:pt idx="3">
                  <c:v>30344.414553499249</c:v>
                </c:pt>
                <c:pt idx="4">
                  <c:v>30208.821874968256</c:v>
                </c:pt>
                <c:pt idx="5">
                  <c:v>33367.231517841748</c:v>
                </c:pt>
                <c:pt idx="6">
                  <c:v>36551.226339271496</c:v>
                </c:pt>
                <c:pt idx="7">
                  <c:v>40593.140714263995</c:v>
                </c:pt>
                <c:pt idx="8">
                  <c:v>39689.402678535494</c:v>
                </c:pt>
                <c:pt idx="9">
                  <c:v>35085.210892807256</c:v>
                </c:pt>
                <c:pt idx="10">
                  <c:v>30419.644910686246</c:v>
                </c:pt>
                <c:pt idx="11">
                  <c:v>24429.507321423247</c:v>
                </c:pt>
                <c:pt idx="12">
                  <c:v>20020.183035721748</c:v>
                </c:pt>
                <c:pt idx="13">
                  <c:v>27611.672321444748</c:v>
                </c:pt>
                <c:pt idx="14">
                  <c:v>39150.298928589</c:v>
                </c:pt>
                <c:pt idx="15">
                  <c:v>54988.500803619747</c:v>
                </c:pt>
                <c:pt idx="16">
                  <c:v>62674.517142870493</c:v>
                </c:pt>
                <c:pt idx="17">
                  <c:v>68551.476428582246</c:v>
                </c:pt>
                <c:pt idx="18">
                  <c:v>68181.629107107743</c:v>
                </c:pt>
                <c:pt idx="19">
                  <c:v>59896.185267814493</c:v>
                </c:pt>
                <c:pt idx="20">
                  <c:v>56860.728303554497</c:v>
                </c:pt>
                <c:pt idx="21">
                  <c:v>52902.409374956747</c:v>
                </c:pt>
                <c:pt idx="22">
                  <c:v>45839.440089273994</c:v>
                </c:pt>
                <c:pt idx="23">
                  <c:v>46780.491517821996</c:v>
                </c:pt>
                <c:pt idx="24">
                  <c:v>51031.936428542744</c:v>
                </c:pt>
                <c:pt idx="25">
                  <c:v>46165.467410692247</c:v>
                </c:pt>
                <c:pt idx="26">
                  <c:v>48398.359464294248</c:v>
                </c:pt>
                <c:pt idx="27">
                  <c:v>48609.564374971742</c:v>
                </c:pt>
                <c:pt idx="28">
                  <c:v>49361.582857122747</c:v>
                </c:pt>
                <c:pt idx="29">
                  <c:v>54398.029285727745</c:v>
                </c:pt>
                <c:pt idx="30">
                  <c:v>58407.166875022493</c:v>
                </c:pt>
                <c:pt idx="31">
                  <c:v>63751.516517907505</c:v>
                </c:pt>
                <c:pt idx="32">
                  <c:v>60252.655446465003</c:v>
                </c:pt>
                <c:pt idx="33">
                  <c:v>58759.364375055004</c:v>
                </c:pt>
                <c:pt idx="34">
                  <c:v>53385.19205355001</c:v>
                </c:pt>
                <c:pt idx="35">
                  <c:v>42207.154732130002</c:v>
                </c:pt>
                <c:pt idx="36">
                  <c:v>39046.519107155</c:v>
                </c:pt>
                <c:pt idx="37">
                  <c:v>35413.109107132506</c:v>
                </c:pt>
                <c:pt idx="38">
                  <c:v>32422.178125065002</c:v>
                </c:pt>
                <c:pt idx="39">
                  <c:v>37157.583928652501</c:v>
                </c:pt>
                <c:pt idx="40">
                  <c:v>40344.663571472498</c:v>
                </c:pt>
                <c:pt idx="41">
                  <c:v>41370.222767897503</c:v>
                </c:pt>
                <c:pt idx="42">
                  <c:v>42602.161696447503</c:v>
                </c:pt>
                <c:pt idx="43">
                  <c:v>37289.21696428</c:v>
                </c:pt>
                <c:pt idx="44">
                  <c:v>33866.5982142625</c:v>
                </c:pt>
                <c:pt idx="45">
                  <c:v>28906.410357132499</c:v>
                </c:pt>
                <c:pt idx="46">
                  <c:v>28859.264374959999</c:v>
                </c:pt>
                <c:pt idx="47">
                  <c:v>27343.924910672496</c:v>
                </c:pt>
                <c:pt idx="48">
                  <c:v>27730.629196387497</c:v>
                </c:pt>
                <c:pt idx="49">
                  <c:v>32060.967410664998</c:v>
                </c:pt>
                <c:pt idx="50">
                  <c:v>30317.639553530003</c:v>
                </c:pt>
                <c:pt idx="51">
                  <c:v>31304.786785704997</c:v>
                </c:pt>
                <c:pt idx="52">
                  <c:v>32809.189107177495</c:v>
                </c:pt>
                <c:pt idx="53">
                  <c:v>33024.800267895</c:v>
                </c:pt>
                <c:pt idx="54">
                  <c:v>35232.712053552495</c:v>
                </c:pt>
                <c:pt idx="55">
                  <c:v>42034.282232104997</c:v>
                </c:pt>
                <c:pt idx="56">
                  <c:v>43876.791785669993</c:v>
                </c:pt>
                <c:pt idx="57">
                  <c:v>45490.298928525001</c:v>
                </c:pt>
                <c:pt idx="58">
                  <c:v>43850.612232150001</c:v>
                </c:pt>
                <c:pt idx="59">
                  <c:v>39152.655624999999</c:v>
                </c:pt>
                <c:pt idx="60">
                  <c:v>36657.382142889997</c:v>
                </c:pt>
                <c:pt idx="61">
                  <c:v>34208.658571459993</c:v>
                </c:pt>
                <c:pt idx="62">
                  <c:v>41454.874464307497</c:v>
                </c:pt>
                <c:pt idx="63">
                  <c:v>51801.943214305</c:v>
                </c:pt>
                <c:pt idx="64">
                  <c:v>56381.150178562493</c:v>
                </c:pt>
                <c:pt idx="65">
                  <c:v>60183.731874987498</c:v>
                </c:pt>
                <c:pt idx="66">
                  <c:v>68658.070892795004</c:v>
                </c:pt>
                <c:pt idx="67">
                  <c:v>67700.239910614997</c:v>
                </c:pt>
                <c:pt idx="68">
                  <c:v>70321.807857045002</c:v>
                </c:pt>
                <c:pt idx="69">
                  <c:v>71997.797231997509</c:v>
                </c:pt>
                <c:pt idx="70">
                  <c:v>63032.387321342496</c:v>
                </c:pt>
                <c:pt idx="71">
                  <c:v>61434.234017744995</c:v>
                </c:pt>
                <c:pt idx="72">
                  <c:v>57649.412678492503</c:v>
                </c:pt>
                <c:pt idx="73">
                  <c:v>59983.918214304998</c:v>
                </c:pt>
                <c:pt idx="74">
                  <c:v>62135.128392917504</c:v>
                </c:pt>
                <c:pt idx="75">
                  <c:v>58051.440535812508</c:v>
                </c:pt>
                <c:pt idx="76">
                  <c:v>60742.590892880005</c:v>
                </c:pt>
                <c:pt idx="77">
                  <c:v>57479.630803542503</c:v>
                </c:pt>
                <c:pt idx="78">
                  <c:v>52773.188392777491</c:v>
                </c:pt>
                <c:pt idx="79">
                  <c:v>49986.713124937502</c:v>
                </c:pt>
                <c:pt idx="80">
                  <c:v>50389.967410617493</c:v>
                </c:pt>
                <c:pt idx="81">
                  <c:v>48292.086249892505</c:v>
                </c:pt>
                <c:pt idx="82">
                  <c:v>50637.887142732507</c:v>
                </c:pt>
                <c:pt idx="83">
                  <c:v>54079.921606997494</c:v>
                </c:pt>
                <c:pt idx="84">
                  <c:v>55488.442589244994</c:v>
                </c:pt>
                <c:pt idx="85">
                  <c:v>58044.912053515</c:v>
                </c:pt>
                <c:pt idx="86">
                  <c:v>55745.369732099985</c:v>
                </c:pt>
                <c:pt idx="87">
                  <c:v>58000.328928482486</c:v>
                </c:pt>
                <c:pt idx="88">
                  <c:v>57150.705803445002</c:v>
                </c:pt>
                <c:pt idx="89">
                  <c:v>58532.095981997489</c:v>
                </c:pt>
                <c:pt idx="90">
                  <c:v>57844.218124884996</c:v>
                </c:pt>
                <c:pt idx="91">
                  <c:v>59013.879196407506</c:v>
                </c:pt>
                <c:pt idx="92">
                  <c:v>58834.155267835005</c:v>
                </c:pt>
                <c:pt idx="93">
                  <c:v>59656.828214322501</c:v>
                </c:pt>
                <c:pt idx="94">
                  <c:v>63686.148660755003</c:v>
                </c:pt>
                <c:pt idx="95">
                  <c:v>61433.732142934998</c:v>
                </c:pt>
                <c:pt idx="96">
                  <c:v>59265.516250092493</c:v>
                </c:pt>
                <c:pt idx="97">
                  <c:v>53638.577767942501</c:v>
                </c:pt>
                <c:pt idx="98">
                  <c:v>50516.952678667498</c:v>
                </c:pt>
                <c:pt idx="99">
                  <c:v>49891.685267897497</c:v>
                </c:pt>
                <c:pt idx="100">
                  <c:v>45689.094464315</c:v>
                </c:pt>
                <c:pt idx="101">
                  <c:v>44644.505535734999</c:v>
                </c:pt>
                <c:pt idx="102">
                  <c:v>39218.227142875003</c:v>
                </c:pt>
                <c:pt idx="103">
                  <c:v>31692.518125004997</c:v>
                </c:pt>
                <c:pt idx="104">
                  <c:v>32433.665357149999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9E2-4984-B6E7-D2FF441B3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NBREN'!$L$6</c:f>
              <c:strCache>
                <c:ptCount val="1"/>
                <c:pt idx="0">
                  <c:v>NB Average NWP - 4 Week Avg (Boom)4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val>
            <c:numRef>
              <c:f>'NWP NBREN'!$L$7:$L$111</c:f>
              <c:numCache>
                <c:formatCode>#,##0</c:formatCode>
                <c:ptCount val="105"/>
                <c:pt idx="3">
                  <c:v>1500.1732412212502</c:v>
                </c:pt>
                <c:pt idx="4">
                  <c:v>1483.5074615695617</c:v>
                </c:pt>
                <c:pt idx="5">
                  <c:v>1512.8652418931147</c:v>
                </c:pt>
                <c:pt idx="6">
                  <c:v>1535.0612980246128</c:v>
                </c:pt>
                <c:pt idx="7">
                  <c:v>1537.6065195120077</c:v>
                </c:pt>
                <c:pt idx="8">
                  <c:v>1545.7075215548889</c:v>
                </c:pt>
                <c:pt idx="9">
                  <c:v>1492.0842492901722</c:v>
                </c:pt>
                <c:pt idx="10">
                  <c:v>1457.8703334836437</c:v>
                </c:pt>
                <c:pt idx="11">
                  <c:v>1401.7983934384224</c:v>
                </c:pt>
                <c:pt idx="12">
                  <c:v>1355.4108989847971</c:v>
                </c:pt>
                <c:pt idx="13">
                  <c:v>1313.6929857058071</c:v>
                </c:pt>
                <c:pt idx="14">
                  <c:v>1279.1133826251489</c:v>
                </c:pt>
                <c:pt idx="15">
                  <c:v>1268.4226494615086</c:v>
                </c:pt>
                <c:pt idx="16">
                  <c:v>1261.7439800511836</c:v>
                </c:pt>
                <c:pt idx="17">
                  <c:v>1277.1467298329362</c:v>
                </c:pt>
                <c:pt idx="18">
                  <c:v>1285.6750412730557</c:v>
                </c:pt>
                <c:pt idx="19">
                  <c:v>1285.5106711724929</c:v>
                </c:pt>
                <c:pt idx="20">
                  <c:v>1277.4961023627304</c:v>
                </c:pt>
                <c:pt idx="21">
                  <c:v>1276.1143593929023</c:v>
                </c:pt>
                <c:pt idx="22">
                  <c:v>1271.9062374300304</c:v>
                </c:pt>
                <c:pt idx="23">
                  <c:v>1260.5180598921045</c:v>
                </c:pt>
                <c:pt idx="24">
                  <c:v>1254.6553074321414</c:v>
                </c:pt>
                <c:pt idx="25">
                  <c:v>1262.884087683881</c:v>
                </c:pt>
                <c:pt idx="26">
                  <c:v>1251.3488928285024</c:v>
                </c:pt>
                <c:pt idx="27">
                  <c:v>1271.2676218295228</c:v>
                </c:pt>
                <c:pt idx="28">
                  <c:v>1281.5043990603169</c:v>
                </c:pt>
                <c:pt idx="29">
                  <c:v>1291.2678833286934</c:v>
                </c:pt>
                <c:pt idx="30">
                  <c:v>1310.6365037093819</c:v>
                </c:pt>
                <c:pt idx="31">
                  <c:v>1301.0974205920438</c:v>
                </c:pt>
                <c:pt idx="32">
                  <c:v>1291.2779142003494</c:v>
                </c:pt>
                <c:pt idx="33">
                  <c:v>1247.5490548641565</c:v>
                </c:pt>
                <c:pt idx="34">
                  <c:v>1208.9614212379056</c:v>
                </c:pt>
                <c:pt idx="35">
                  <c:v>1171.9304031470117</c:v>
                </c:pt>
                <c:pt idx="36">
                  <c:v>1147.6452666484054</c:v>
                </c:pt>
                <c:pt idx="37">
                  <c:v>1118.4739595720434</c:v>
                </c:pt>
                <c:pt idx="38">
                  <c:v>1100.0473369100373</c:v>
                </c:pt>
                <c:pt idx="39">
                  <c:v>1102.4549027747769</c:v>
                </c:pt>
                <c:pt idx="40">
                  <c:v>1088.2874448418179</c:v>
                </c:pt>
                <c:pt idx="41">
                  <c:v>1092.0429411059854</c:v>
                </c:pt>
                <c:pt idx="42">
                  <c:v>1075.4289106835743</c:v>
                </c:pt>
                <c:pt idx="43">
                  <c:v>1065.8655189316485</c:v>
                </c:pt>
                <c:pt idx="44">
                  <c:v>1053.324190720466</c:v>
                </c:pt>
                <c:pt idx="45">
                  <c:v>1063.2224122650482</c:v>
                </c:pt>
                <c:pt idx="46">
                  <c:v>1077.2662130685885</c:v>
                </c:pt>
                <c:pt idx="47">
                  <c:v>1067.5132435005023</c:v>
                </c:pt>
                <c:pt idx="48">
                  <c:v>1075.4040253540611</c:v>
                </c:pt>
                <c:pt idx="49">
                  <c:v>1060.9307293912764</c:v>
                </c:pt>
                <c:pt idx="50">
                  <c:v>1062.2991910594701</c:v>
                </c:pt>
                <c:pt idx="51">
                  <c:v>1084.2420635307074</c:v>
                </c:pt>
                <c:pt idx="52">
                  <c:v>1096.3735913452188</c:v>
                </c:pt>
                <c:pt idx="53">
                  <c:v>1094.6694044251094</c:v>
                </c:pt>
                <c:pt idx="54">
                  <c:v>1092.4248576274003</c:v>
                </c:pt>
                <c:pt idx="55">
                  <c:v>1064.5100171071842</c:v>
                </c:pt>
                <c:pt idx="56">
                  <c:v>1044.6692510323164</c:v>
                </c:pt>
                <c:pt idx="57">
                  <c:v>1057.5583509500575</c:v>
                </c:pt>
                <c:pt idx="58">
                  <c:v>1070.2024783479017</c:v>
                </c:pt>
                <c:pt idx="59">
                  <c:v>1075.118013611399</c:v>
                </c:pt>
                <c:pt idx="60">
                  <c:v>1091.8971325875773</c:v>
                </c:pt>
                <c:pt idx="61">
                  <c:v>1091.8336391416419</c:v>
                </c:pt>
                <c:pt idx="62">
                  <c:v>1077.0920431346904</c:v>
                </c:pt>
                <c:pt idx="63">
                  <c:v>1082.8557103008652</c:v>
                </c:pt>
                <c:pt idx="64">
                  <c:v>1084.2169501680391</c:v>
                </c:pt>
                <c:pt idx="65">
                  <c:v>1088.7208054816538</c:v>
                </c:pt>
                <c:pt idx="66">
                  <c:v>1113.4581072107048</c:v>
                </c:pt>
                <c:pt idx="67">
                  <c:v>1134.0657996343612</c:v>
                </c:pt>
                <c:pt idx="68">
                  <c:v>1135.2586657021461</c:v>
                </c:pt>
                <c:pt idx="69">
                  <c:v>1134.9495387420927</c:v>
                </c:pt>
                <c:pt idx="70">
                  <c:v>1133.8545544183244</c:v>
                </c:pt>
                <c:pt idx="71">
                  <c:v>1138.9473938302381</c:v>
                </c:pt>
                <c:pt idx="72">
                  <c:v>1134.2687764323687</c:v>
                </c:pt>
                <c:pt idx="73">
                  <c:v>1126.6991249055714</c:v>
                </c:pt>
                <c:pt idx="74">
                  <c:v>1113.7101108030274</c:v>
                </c:pt>
                <c:pt idx="75">
                  <c:v>1095.1725707692422</c:v>
                </c:pt>
                <c:pt idx="76">
                  <c:v>1077.1631328485955</c:v>
                </c:pt>
                <c:pt idx="77">
                  <c:v>1071.6263497582765</c:v>
                </c:pt>
                <c:pt idx="78">
                  <c:v>1075.54918102801</c:v>
                </c:pt>
                <c:pt idx="79">
                  <c:v>1067.9274497942538</c:v>
                </c:pt>
                <c:pt idx="80">
                  <c:v>1077.727032518831</c:v>
                </c:pt>
                <c:pt idx="81">
                  <c:v>1085.5807932134048</c:v>
                </c:pt>
                <c:pt idx="82">
                  <c:v>1091.2919703815446</c:v>
                </c:pt>
                <c:pt idx="83">
                  <c:v>1104.8774090686834</c:v>
                </c:pt>
                <c:pt idx="84">
                  <c:v>1123.8303845879709</c:v>
                </c:pt>
                <c:pt idx="85">
                  <c:v>1129.845749231735</c:v>
                </c:pt>
                <c:pt idx="86">
                  <c:v>1144.7116435994678</c:v>
                </c:pt>
                <c:pt idx="87">
                  <c:v>1147.0941092620503</c:v>
                </c:pt>
                <c:pt idx="88">
                  <c:v>1134.7501135361229</c:v>
                </c:pt>
                <c:pt idx="89">
                  <c:v>1132.8956774363326</c:v>
                </c:pt>
                <c:pt idx="90">
                  <c:v>1123.0158493151948</c:v>
                </c:pt>
                <c:pt idx="91">
                  <c:v>1123.4472981472356</c:v>
                </c:pt>
                <c:pt idx="92">
                  <c:v>1139.5700297339665</c:v>
                </c:pt>
                <c:pt idx="93">
                  <c:v>1142.1946899650998</c:v>
                </c:pt>
                <c:pt idx="94">
                  <c:v>1128.164743155862</c:v>
                </c:pt>
                <c:pt idx="95">
                  <c:v>1131.7201852011035</c:v>
                </c:pt>
                <c:pt idx="96">
                  <c:v>1123.2163383787793</c:v>
                </c:pt>
                <c:pt idx="97">
                  <c:v>1134.3611907492764</c:v>
                </c:pt>
                <c:pt idx="98">
                  <c:v>1146.0602348951122</c:v>
                </c:pt>
                <c:pt idx="99">
                  <c:v>1154.6348560564663</c:v>
                </c:pt>
                <c:pt idx="100">
                  <c:v>1164.5467957068392</c:v>
                </c:pt>
                <c:pt idx="101">
                  <c:v>1165.5268237715218</c:v>
                </c:pt>
                <c:pt idx="102">
                  <c:v>1157.6607090833222</c:v>
                </c:pt>
                <c:pt idx="103">
                  <c:v>1171.9777229013725</c:v>
                </c:pt>
                <c:pt idx="104">
                  <c:v>1182.6000967675432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9E2-4984-B6E7-D2FF441B368B}"/>
            </c:ext>
          </c:extLst>
        </c:ser>
        <c:ser>
          <c:idx val="6"/>
          <c:order val="5"/>
          <c:tx>
            <c:strRef>
              <c:f>'NWP NBREN'!$O$6</c:f>
              <c:strCache>
                <c:ptCount val="1"/>
                <c:pt idx="0">
                  <c:v>RN Average NWP - 4 Week Avg (Boom)7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val>
            <c:numRef>
              <c:f>'NWP NBREN'!$O$7:$O$111</c:f>
              <c:numCache>
                <c:formatCode>#,##0</c:formatCode>
                <c:ptCount val="105"/>
                <c:pt idx="3">
                  <c:v>1197.78793981132</c:v>
                </c:pt>
                <c:pt idx="4">
                  <c:v>1256.9536128030236</c:v>
                </c:pt>
                <c:pt idx="5">
                  <c:v>1183.6770684276428</c:v>
                </c:pt>
                <c:pt idx="6">
                  <c:v>1222.517664387972</c:v>
                </c:pt>
                <c:pt idx="7">
                  <c:v>1279.5025291524009</c:v>
                </c:pt>
                <c:pt idx="8">
                  <c:v>1179.8902607065411</c:v>
                </c:pt>
                <c:pt idx="9">
                  <c:v>1232.8105237779673</c:v>
                </c:pt>
                <c:pt idx="10">
                  <c:v>1291.5140589503051</c:v>
                </c:pt>
                <c:pt idx="11">
                  <c:v>1269.0087986985084</c:v>
                </c:pt>
                <c:pt idx="12">
                  <c:v>1231.7928406592316</c:v>
                </c:pt>
                <c:pt idx="13">
                  <c:v>1177.0958375506211</c:v>
                </c:pt>
                <c:pt idx="14">
                  <c:v>1050.3796690478425</c:v>
                </c:pt>
                <c:pt idx="15">
                  <c:v>997.55296049468564</c:v>
                </c:pt>
                <c:pt idx="16">
                  <c:v>990.63389330316818</c:v>
                </c:pt>
                <c:pt idx="17">
                  <c:v>1012.5513184801309</c:v>
                </c:pt>
                <c:pt idx="18">
                  <c:v>1035.7950995476515</c:v>
                </c:pt>
                <c:pt idx="19">
                  <c:v>1042.9265600106353</c:v>
                </c:pt>
                <c:pt idx="20">
                  <c:v>1017.2866313591451</c:v>
                </c:pt>
                <c:pt idx="21">
                  <c:v>977.42229213771657</c:v>
                </c:pt>
                <c:pt idx="22">
                  <c:v>927.66308902750984</c:v>
                </c:pt>
                <c:pt idx="23">
                  <c:v>918.50004600557054</c:v>
                </c:pt>
                <c:pt idx="24">
                  <c:v>955.4665977475878</c:v>
                </c:pt>
                <c:pt idx="25">
                  <c:v>949.49077227972396</c:v>
                </c:pt>
                <c:pt idx="26">
                  <c:v>988.75143743838044</c:v>
                </c:pt>
                <c:pt idx="27">
                  <c:v>959.66651387767888</c:v>
                </c:pt>
                <c:pt idx="28">
                  <c:v>881.22272912982135</c:v>
                </c:pt>
                <c:pt idx="29">
                  <c:v>865.43157728065887</c:v>
                </c:pt>
                <c:pt idx="30">
                  <c:v>816.45036028203447</c:v>
                </c:pt>
                <c:pt idx="31">
                  <c:v>825.43177383345653</c:v>
                </c:pt>
                <c:pt idx="32">
                  <c:v>817.71464729858053</c:v>
                </c:pt>
                <c:pt idx="33">
                  <c:v>796.32331130761986</c:v>
                </c:pt>
                <c:pt idx="34">
                  <c:v>794.59211585692469</c:v>
                </c:pt>
                <c:pt idx="35">
                  <c:v>746.48366870031748</c:v>
                </c:pt>
                <c:pt idx="36">
                  <c:v>770.77372417982303</c:v>
                </c:pt>
                <c:pt idx="37">
                  <c:v>785.72362029861313</c:v>
                </c:pt>
                <c:pt idx="38">
                  <c:v>781.58429392328196</c:v>
                </c:pt>
                <c:pt idx="39">
                  <c:v>802.78309026047486</c:v>
                </c:pt>
                <c:pt idx="40">
                  <c:v>793.91562540958284</c:v>
                </c:pt>
                <c:pt idx="41">
                  <c:v>766.87516397808554</c:v>
                </c:pt>
                <c:pt idx="42">
                  <c:v>767.90262525154412</c:v>
                </c:pt>
                <c:pt idx="43">
                  <c:v>727.59557775911912</c:v>
                </c:pt>
                <c:pt idx="44">
                  <c:v>730.24761648763365</c:v>
                </c:pt>
                <c:pt idx="45">
                  <c:v>788.30668391279823</c:v>
                </c:pt>
                <c:pt idx="46">
                  <c:v>853.22514227871943</c:v>
                </c:pt>
                <c:pt idx="47">
                  <c:v>956.83136111899444</c:v>
                </c:pt>
                <c:pt idx="48">
                  <c:v>1011.9245374104778</c:v>
                </c:pt>
                <c:pt idx="49">
                  <c:v>993.96472913079617</c:v>
                </c:pt>
                <c:pt idx="50">
                  <c:v>972.28774837734738</c:v>
                </c:pt>
                <c:pt idx="51">
                  <c:v>906.3921595757073</c:v>
                </c:pt>
                <c:pt idx="52">
                  <c:v>901.20166630941731</c:v>
                </c:pt>
                <c:pt idx="53">
                  <c:v>896.66562150504376</c:v>
                </c:pt>
                <c:pt idx="54">
                  <c:v>871.16272551783914</c:v>
                </c:pt>
                <c:pt idx="55">
                  <c:v>926.0451012841512</c:v>
                </c:pt>
                <c:pt idx="56">
                  <c:v>930.00356365860512</c:v>
                </c:pt>
                <c:pt idx="57">
                  <c:v>1028.4837651079029</c:v>
                </c:pt>
                <c:pt idx="58">
                  <c:v>1014.7758768204034</c:v>
                </c:pt>
                <c:pt idx="59">
                  <c:v>966.94814385983636</c:v>
                </c:pt>
                <c:pt idx="60">
                  <c:v>958.05706450138314</c:v>
                </c:pt>
                <c:pt idx="61">
                  <c:v>850.60622350613801</c:v>
                </c:pt>
                <c:pt idx="62">
                  <c:v>883.90896191123215</c:v>
                </c:pt>
                <c:pt idx="63">
                  <c:v>908.4790252747224</c:v>
                </c:pt>
                <c:pt idx="64">
                  <c:v>899.05646503511116</c:v>
                </c:pt>
                <c:pt idx="65">
                  <c:v>901.41186848139466</c:v>
                </c:pt>
                <c:pt idx="66">
                  <c:v>878.44092915531621</c:v>
                </c:pt>
                <c:pt idx="67">
                  <c:v>812.61158955731685</c:v>
                </c:pt>
                <c:pt idx="68">
                  <c:v>794.11574777750411</c:v>
                </c:pt>
                <c:pt idx="69">
                  <c:v>800.48289745921727</c:v>
                </c:pt>
                <c:pt idx="70">
                  <c:v>785.91825375218264</c:v>
                </c:pt>
                <c:pt idx="71">
                  <c:v>816.76712112708492</c:v>
                </c:pt>
                <c:pt idx="72">
                  <c:v>815.15177077121416</c:v>
                </c:pt>
                <c:pt idx="73">
                  <c:v>810.12218035551416</c:v>
                </c:pt>
                <c:pt idx="74">
                  <c:v>809.81986720591817</c:v>
                </c:pt>
                <c:pt idx="75">
                  <c:v>806.98581032303559</c:v>
                </c:pt>
                <c:pt idx="76">
                  <c:v>835.33854263375849</c:v>
                </c:pt>
                <c:pt idx="77">
                  <c:v>849.98856492700702</c:v>
                </c:pt>
                <c:pt idx="78">
                  <c:v>900.9184840586471</c:v>
                </c:pt>
                <c:pt idx="79">
                  <c:v>932.3370415744721</c:v>
                </c:pt>
                <c:pt idx="80">
                  <c:v>920.17263691323058</c:v>
                </c:pt>
                <c:pt idx="81">
                  <c:v>915.91801853223467</c:v>
                </c:pt>
                <c:pt idx="82">
                  <c:v>891.15965136802004</c:v>
                </c:pt>
                <c:pt idx="83">
                  <c:v>869.37200356214316</c:v>
                </c:pt>
                <c:pt idx="84">
                  <c:v>871.57747242359608</c:v>
                </c:pt>
                <c:pt idx="85">
                  <c:v>858.39962052240196</c:v>
                </c:pt>
                <c:pt idx="86">
                  <c:v>830.93517696062099</c:v>
                </c:pt>
                <c:pt idx="87">
                  <c:v>823.0407035901967</c:v>
                </c:pt>
                <c:pt idx="88">
                  <c:v>812.17630562229328</c:v>
                </c:pt>
                <c:pt idx="89">
                  <c:v>801.64734794094625</c:v>
                </c:pt>
                <c:pt idx="90">
                  <c:v>801.98793577210506</c:v>
                </c:pt>
                <c:pt idx="91">
                  <c:v>809.90301830142596</c:v>
                </c:pt>
                <c:pt idx="92">
                  <c:v>812.41228271765635</c:v>
                </c:pt>
                <c:pt idx="93">
                  <c:v>817.12398148147463</c:v>
                </c:pt>
                <c:pt idx="94">
                  <c:v>820.916415053121</c:v>
                </c:pt>
                <c:pt idx="95">
                  <c:v>826.45970482123073</c:v>
                </c:pt>
                <c:pt idx="96">
                  <c:v>803.089487978752</c:v>
                </c:pt>
                <c:pt idx="97">
                  <c:v>803.96245380279004</c:v>
                </c:pt>
                <c:pt idx="98">
                  <c:v>800.98469743212968</c:v>
                </c:pt>
                <c:pt idx="99">
                  <c:v>788.87494507434258</c:v>
                </c:pt>
                <c:pt idx="100">
                  <c:v>790.85643608290729</c:v>
                </c:pt>
                <c:pt idx="101">
                  <c:v>807.67742861589625</c:v>
                </c:pt>
                <c:pt idx="102">
                  <c:v>806.70959321685268</c:v>
                </c:pt>
                <c:pt idx="103">
                  <c:v>830.7939058284262</c:v>
                </c:pt>
                <c:pt idx="104">
                  <c:v>850.95528088713206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09E2-4984-B6E7-D2FF441B3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cat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Subscription (Excl. Monthly Rens, Annualised Premiums: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0.12117916666666667"/>
          <c:w val="0.82756444444444444"/>
          <c:h val="0.63150912698412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NBREN'!$AX$6</c:f>
              <c:strCache>
                <c:ptCount val="1"/>
                <c:pt idx="0">
                  <c:v>NB NWP (Boom Subscription)2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NBREN'!$AX$7:$AX$111</c:f>
              <c:numCache>
                <c:formatCode>#,##0</c:formatCode>
                <c:ptCount val="105"/>
                <c:pt idx="0">
                  <c:v>663297.61285741208</c:v>
                </c:pt>
                <c:pt idx="1">
                  <c:v>632029.15285699209</c:v>
                </c:pt>
                <c:pt idx="2">
                  <c:v>548946.68999987992</c:v>
                </c:pt>
                <c:pt idx="3">
                  <c:v>619603.86857185187</c:v>
                </c:pt>
                <c:pt idx="4">
                  <c:v>575297.08714300802</c:v>
                </c:pt>
                <c:pt idx="5">
                  <c:v>703092.15857164783</c:v>
                </c:pt>
                <c:pt idx="6">
                  <c:v>617246.13428550016</c:v>
                </c:pt>
                <c:pt idx="7">
                  <c:v>578520.54428574</c:v>
                </c:pt>
                <c:pt idx="8">
                  <c:v>769745.85857241589</c:v>
                </c:pt>
                <c:pt idx="9">
                  <c:v>983523.28714197583</c:v>
                </c:pt>
                <c:pt idx="10">
                  <c:v>1031618.94857202</c:v>
                </c:pt>
                <c:pt idx="11">
                  <c:v>1258127.2199992556</c:v>
                </c:pt>
                <c:pt idx="12">
                  <c:v>1077485.0785721398</c:v>
                </c:pt>
                <c:pt idx="13">
                  <c:v>1016653.307143452</c:v>
                </c:pt>
                <c:pt idx="14">
                  <c:v>881040.04285610374</c:v>
                </c:pt>
                <c:pt idx="15">
                  <c:v>1164875.4385725961</c:v>
                </c:pt>
                <c:pt idx="16">
                  <c:v>963466.06714307994</c:v>
                </c:pt>
                <c:pt idx="17">
                  <c:v>929955.80571542413</c:v>
                </c:pt>
                <c:pt idx="18">
                  <c:v>951604.5985714678</c:v>
                </c:pt>
                <c:pt idx="19">
                  <c:v>726939.775714644</c:v>
                </c:pt>
                <c:pt idx="20">
                  <c:v>804288.46285804815</c:v>
                </c:pt>
                <c:pt idx="21">
                  <c:v>895198.36714293633</c:v>
                </c:pt>
                <c:pt idx="22">
                  <c:v>911815.27285655984</c:v>
                </c:pt>
                <c:pt idx="23">
                  <c:v>646736.77714292391</c:v>
                </c:pt>
                <c:pt idx="24">
                  <c:v>335038.57714262395</c:v>
                </c:pt>
                <c:pt idx="25">
                  <c:v>141071.77714321201</c:v>
                </c:pt>
                <c:pt idx="26">
                  <c:v>97356.218571551988</c:v>
                </c:pt>
                <c:pt idx="27">
                  <c:v>25012.757142852002</c:v>
                </c:pt>
                <c:pt idx="28">
                  <c:v>1388.9314285200001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999.47964286000001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769-44D7-837D-FC055EA5FA49}"/>
            </c:ext>
          </c:extLst>
        </c:ser>
        <c:ser>
          <c:idx val="5"/>
          <c:order val="3"/>
          <c:tx>
            <c:strRef>
              <c:f>'NWP NBREN'!$BA$6</c:f>
              <c:strCache>
                <c:ptCount val="1"/>
                <c:pt idx="0">
                  <c:v>RN NWP (Boom Subscription)5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NBREN'!$BA$7:$BA$111</c:f>
              <c:numCache>
                <c:formatCode>#,##0</c:formatCode>
                <c:ptCount val="105"/>
                <c:pt idx="0">
                  <c:v>8607.5528570879997</c:v>
                </c:pt>
                <c:pt idx="1">
                  <c:v>14106.060000036001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1808.635714284</c:v>
                </c:pt>
                <c:pt idx="6">
                  <c:v>50312.082857027992</c:v>
                </c:pt>
                <c:pt idx="7">
                  <c:v>44662.542857279994</c:v>
                </c:pt>
                <c:pt idx="8">
                  <c:v>24203.309999952002</c:v>
                </c:pt>
                <c:pt idx="9">
                  <c:v>33429.934285727999</c:v>
                </c:pt>
                <c:pt idx="10">
                  <c:v>35903.442857099995</c:v>
                </c:pt>
                <c:pt idx="11">
                  <c:v>31193.134285536002</c:v>
                </c:pt>
                <c:pt idx="12">
                  <c:v>25784.879999880002</c:v>
                </c:pt>
                <c:pt idx="13">
                  <c:v>38039.009999831993</c:v>
                </c:pt>
                <c:pt idx="14">
                  <c:v>35249.901428543999</c:v>
                </c:pt>
                <c:pt idx="15">
                  <c:v>73735.937143211995</c:v>
                </c:pt>
                <c:pt idx="16">
                  <c:v>37658.275714475996</c:v>
                </c:pt>
                <c:pt idx="17">
                  <c:v>55991.284285715999</c:v>
                </c:pt>
                <c:pt idx="18">
                  <c:v>64915.701428447996</c:v>
                </c:pt>
                <c:pt idx="19">
                  <c:v>42418.015714416004</c:v>
                </c:pt>
                <c:pt idx="20">
                  <c:v>29976.201428556</c:v>
                </c:pt>
                <c:pt idx="21">
                  <c:v>25222.645714343995</c:v>
                </c:pt>
                <c:pt idx="22">
                  <c:v>26677.195714236001</c:v>
                </c:pt>
                <c:pt idx="23">
                  <c:v>54781.337142719996</c:v>
                </c:pt>
                <c:pt idx="24">
                  <c:v>56683.572857471998</c:v>
                </c:pt>
                <c:pt idx="25">
                  <c:v>45154.26</c:v>
                </c:pt>
                <c:pt idx="26">
                  <c:v>58080.278571372</c:v>
                </c:pt>
                <c:pt idx="27">
                  <c:v>30830.45999988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733.21428571000001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769-44D7-837D-FC055EA5F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NBREN'!$AY$6</c:f>
              <c:strCache>
                <c:ptCount val="1"/>
                <c:pt idx="0">
                  <c:v>NB NWP - 4 Week Avg (Boom Subscription)3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NBREN'!$AY$7:$AY$111</c:f>
              <c:numCache>
                <c:formatCode>#,##0</c:formatCode>
                <c:ptCount val="105"/>
                <c:pt idx="3">
                  <c:v>615969.33107153396</c:v>
                </c:pt>
                <c:pt idx="4">
                  <c:v>593969.19964293297</c:v>
                </c:pt>
                <c:pt idx="5">
                  <c:v>611734.95107159694</c:v>
                </c:pt>
                <c:pt idx="6">
                  <c:v>628809.81214300205</c:v>
                </c:pt>
                <c:pt idx="7">
                  <c:v>618538.98107147403</c:v>
                </c:pt>
                <c:pt idx="8">
                  <c:v>667151.173928826</c:v>
                </c:pt>
                <c:pt idx="9">
                  <c:v>737258.956071408</c:v>
                </c:pt>
                <c:pt idx="10">
                  <c:v>840852.15964303794</c:v>
                </c:pt>
                <c:pt idx="11">
                  <c:v>1010753.8285714169</c:v>
                </c:pt>
                <c:pt idx="12">
                  <c:v>1087688.6335713479</c:v>
                </c:pt>
                <c:pt idx="13">
                  <c:v>1095971.1385717168</c:v>
                </c:pt>
                <c:pt idx="14">
                  <c:v>1058326.4121427378</c:v>
                </c:pt>
                <c:pt idx="15">
                  <c:v>1035013.4667860728</c:v>
                </c:pt>
                <c:pt idx="16">
                  <c:v>1006508.713928808</c:v>
                </c:pt>
                <c:pt idx="17">
                  <c:v>984834.33857180097</c:v>
                </c:pt>
                <c:pt idx="18">
                  <c:v>1002475.477500642</c:v>
                </c:pt>
                <c:pt idx="19">
                  <c:v>892991.56178615405</c:v>
                </c:pt>
                <c:pt idx="20">
                  <c:v>853197.16071489605</c:v>
                </c:pt>
                <c:pt idx="21">
                  <c:v>844507.8010717741</c:v>
                </c:pt>
                <c:pt idx="22">
                  <c:v>834560.46964304708</c:v>
                </c:pt>
                <c:pt idx="23">
                  <c:v>814509.72000011697</c:v>
                </c:pt>
                <c:pt idx="24">
                  <c:v>697197.24857126107</c:v>
                </c:pt>
                <c:pt idx="25">
                  <c:v>508665.60107132996</c:v>
                </c:pt>
                <c:pt idx="26">
                  <c:v>305050.83750007796</c:v>
                </c:pt>
                <c:pt idx="27">
                  <c:v>149619.83250005997</c:v>
                </c:pt>
                <c:pt idx="28">
                  <c:v>66207.421071534001</c:v>
                </c:pt>
                <c:pt idx="29">
                  <c:v>30939.476785730996</c:v>
                </c:pt>
                <c:pt idx="30">
                  <c:v>6600.422142843001</c:v>
                </c:pt>
                <c:pt idx="31">
                  <c:v>347.23285713000001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249.869910715</c:v>
                </c:pt>
                <c:pt idx="45">
                  <c:v>249.869910715</c:v>
                </c:pt>
                <c:pt idx="46">
                  <c:v>249.869910715</c:v>
                </c:pt>
                <c:pt idx="47">
                  <c:v>249.869910715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769-44D7-837D-FC055EA5FA49}"/>
            </c:ext>
          </c:extLst>
        </c:ser>
        <c:ser>
          <c:idx val="3"/>
          <c:order val="4"/>
          <c:tx>
            <c:strRef>
              <c:f>'NWP NBREN'!$BB$6</c:f>
              <c:strCache>
                <c:ptCount val="1"/>
                <c:pt idx="0">
                  <c:v>RN NWP - 4 Week Avg (Boom Subscription)6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NBREN'!$BB$7:$BB$111</c:f>
              <c:numCache>
                <c:formatCode>#,##0</c:formatCode>
                <c:ptCount val="105"/>
                <c:pt idx="3">
                  <c:v>5678.4032142810001</c:v>
                </c:pt>
                <c:pt idx="4">
                  <c:v>3526.5150000090002</c:v>
                </c:pt>
                <c:pt idx="5">
                  <c:v>452.15892857099999</c:v>
                </c:pt>
                <c:pt idx="6">
                  <c:v>13030.179642827998</c:v>
                </c:pt>
                <c:pt idx="7">
                  <c:v>24195.815357147996</c:v>
                </c:pt>
                <c:pt idx="8">
                  <c:v>30246.642857135997</c:v>
                </c:pt>
                <c:pt idx="9">
                  <c:v>38151.967499997001</c:v>
                </c:pt>
                <c:pt idx="10">
                  <c:v>34549.807500014998</c:v>
                </c:pt>
                <c:pt idx="11">
                  <c:v>31182.455357078998</c:v>
                </c:pt>
                <c:pt idx="12">
                  <c:v>31577.847857060995</c:v>
                </c:pt>
                <c:pt idx="13">
                  <c:v>32730.116785587001</c:v>
                </c:pt>
                <c:pt idx="14">
                  <c:v>32566.731428448002</c:v>
                </c:pt>
                <c:pt idx="15">
                  <c:v>43202.432142866994</c:v>
                </c:pt>
                <c:pt idx="16">
                  <c:v>46170.781071516001</c:v>
                </c:pt>
                <c:pt idx="17">
                  <c:v>50658.849642986999</c:v>
                </c:pt>
                <c:pt idx="18">
                  <c:v>58075.299642962993</c:v>
                </c:pt>
                <c:pt idx="19">
                  <c:v>50245.819285763995</c:v>
                </c:pt>
                <c:pt idx="20">
                  <c:v>48325.300714284</c:v>
                </c:pt>
                <c:pt idx="21">
                  <c:v>40633.141071441001</c:v>
                </c:pt>
                <c:pt idx="22">
                  <c:v>31073.514642888</c:v>
                </c:pt>
                <c:pt idx="23">
                  <c:v>34164.344999964</c:v>
                </c:pt>
                <c:pt idx="24">
                  <c:v>40841.187857192999</c:v>
                </c:pt>
                <c:pt idx="25">
                  <c:v>45824.091428607004</c:v>
                </c:pt>
                <c:pt idx="26">
                  <c:v>53674.862142891005</c:v>
                </c:pt>
                <c:pt idx="27">
                  <c:v>47687.142857181003</c:v>
                </c:pt>
                <c:pt idx="28">
                  <c:v>33516.249642813003</c:v>
                </c:pt>
                <c:pt idx="29">
                  <c:v>22227.684642813001</c:v>
                </c:pt>
                <c:pt idx="30">
                  <c:v>7707.6149999700001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183.3035714275</c:v>
                </c:pt>
                <c:pt idx="71">
                  <c:v>183.3035714275</c:v>
                </c:pt>
                <c:pt idx="72">
                  <c:v>183.3035714275</c:v>
                </c:pt>
                <c:pt idx="73">
                  <c:v>183.3035714275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769-44D7-837D-FC055EA5F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NBREN'!$AZ$6</c:f>
              <c:strCache>
                <c:ptCount val="1"/>
                <c:pt idx="0">
                  <c:v>NB Average NWP - 4 Week Avg (Boom Subscription)4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NBREN'!$AZ$7:$AZ$111</c:f>
              <c:numCache>
                <c:formatCode>#,##0</c:formatCode>
                <c:ptCount val="105"/>
                <c:pt idx="3">
                  <c:v>1628.5426312283685</c:v>
                </c:pt>
                <c:pt idx="4">
                  <c:v>1607.2507629059303</c:v>
                </c:pt>
                <c:pt idx="5">
                  <c:v>1629.3433939263737</c:v>
                </c:pt>
                <c:pt idx="6">
                  <c:v>1657.5004056945781</c:v>
                </c:pt>
                <c:pt idx="7">
                  <c:v>1651.4348961832943</c:v>
                </c:pt>
                <c:pt idx="8">
                  <c:v>1652.5276175222357</c:v>
                </c:pt>
                <c:pt idx="9">
                  <c:v>1587.746438811648</c:v>
                </c:pt>
                <c:pt idx="10">
                  <c:v>1535.0786916167888</c:v>
                </c:pt>
                <c:pt idx="11">
                  <c:v>1493.8165912749353</c:v>
                </c:pt>
                <c:pt idx="12">
                  <c:v>1457.4018766857967</c:v>
                </c:pt>
                <c:pt idx="13">
                  <c:v>1425.060747399134</c:v>
                </c:pt>
                <c:pt idx="14">
                  <c:v>1415.734376873404</c:v>
                </c:pt>
                <c:pt idx="15">
                  <c:v>1410.251304587227</c:v>
                </c:pt>
                <c:pt idx="16">
                  <c:v>1398.6919009238482</c:v>
                </c:pt>
                <c:pt idx="17">
                  <c:v>1419.3821241485402</c:v>
                </c:pt>
                <c:pt idx="18">
                  <c:v>1434.7637491842775</c:v>
                </c:pt>
                <c:pt idx="19">
                  <c:v>1430.8108772972207</c:v>
                </c:pt>
                <c:pt idx="20">
                  <c:v>1421.2897813334766</c:v>
                </c:pt>
                <c:pt idx="21">
                  <c:v>1422.5342647881616</c:v>
                </c:pt>
                <c:pt idx="22">
                  <c:v>1409.4189690697435</c:v>
                </c:pt>
                <c:pt idx="23">
                  <c:v>1400.1197294756448</c:v>
                </c:pt>
                <c:pt idx="24">
                  <c:v>1354.8812165295235</c:v>
                </c:pt>
                <c:pt idx="25">
                  <c:v>1290.3888302929658</c:v>
                </c:pt>
                <c:pt idx="26">
                  <c:v>1215.4164365410343</c:v>
                </c:pt>
                <c:pt idx="27">
                  <c:v>1153.8954548423308</c:v>
                </c:pt>
                <c:pt idx="28">
                  <c:v>1231.4758202460562</c:v>
                </c:pt>
                <c:pt idx="29">
                  <c:v>938.21728663494378</c:v>
                </c:pt>
                <c:pt idx="30">
                  <c:v>662.04869772108066</c:v>
                </c:pt>
                <c:pt idx="31">
                  <c:v>378.23579100224612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250.55636650678417</c:v>
                </c:pt>
                <c:pt idx="45">
                  <c:v>250.55636650678417</c:v>
                </c:pt>
                <c:pt idx="46">
                  <c:v>250.55636650678417</c:v>
                </c:pt>
                <c:pt idx="47">
                  <c:v>250.55636650678417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769-44D7-837D-FC055EA5FA49}"/>
            </c:ext>
          </c:extLst>
        </c:ser>
        <c:ser>
          <c:idx val="6"/>
          <c:order val="5"/>
          <c:tx>
            <c:strRef>
              <c:f>'NWP NBREN'!$BC$6</c:f>
              <c:strCache>
                <c:ptCount val="1"/>
                <c:pt idx="0">
                  <c:v>RN Average NWP - 4 Week Avg (Boom Subscription)7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NBREN'!$BC$7:$BC$111</c:f>
              <c:numCache>
                <c:formatCode>#,##0</c:formatCode>
                <c:ptCount val="105"/>
                <c:pt idx="3">
                  <c:v>631.99815234507469</c:v>
                </c:pt>
                <c:pt idx="4">
                  <c:v>358.52902506545024</c:v>
                </c:pt>
                <c:pt idx="5">
                  <c:v>237.77322961234515</c:v>
                </c:pt>
                <c:pt idx="6">
                  <c:v>595.30317525667306</c:v>
                </c:pt>
                <c:pt idx="7">
                  <c:v>941.74456825312734</c:v>
                </c:pt>
                <c:pt idx="8">
                  <c:v>1209.2086824311752</c:v>
                </c:pt>
                <c:pt idx="9">
                  <c:v>1325.4677430612724</c:v>
                </c:pt>
                <c:pt idx="10">
                  <c:v>1448.2250813374094</c:v>
                </c:pt>
                <c:pt idx="11">
                  <c:v>1436.7803769678112</c:v>
                </c:pt>
                <c:pt idx="12">
                  <c:v>1464.0834441143393</c:v>
                </c:pt>
                <c:pt idx="13">
                  <c:v>1413.1310401484961</c:v>
                </c:pt>
                <c:pt idx="14">
                  <c:v>1197.6521289537927</c:v>
                </c:pt>
                <c:pt idx="15">
                  <c:v>1173.2833522660319</c:v>
                </c:pt>
                <c:pt idx="16">
                  <c:v>1220.3546856730818</c:v>
                </c:pt>
                <c:pt idx="17">
                  <c:v>1248.231034090616</c:v>
                </c:pt>
                <c:pt idx="18">
                  <c:v>1306.9404544896995</c:v>
                </c:pt>
                <c:pt idx="19">
                  <c:v>1295.7915887363824</c:v>
                </c:pt>
                <c:pt idx="20">
                  <c:v>1216.6755291011727</c:v>
                </c:pt>
                <c:pt idx="21">
                  <c:v>1152.8341188604988</c:v>
                </c:pt>
                <c:pt idx="22">
                  <c:v>1100.5344822125394</c:v>
                </c:pt>
                <c:pt idx="23">
                  <c:v>1132.5694803032904</c:v>
                </c:pt>
                <c:pt idx="24">
                  <c:v>1181.0149468273407</c:v>
                </c:pt>
                <c:pt idx="25">
                  <c:v>1206.6732794163877</c:v>
                </c:pt>
                <c:pt idx="26">
                  <c:v>1251.7852117543566</c:v>
                </c:pt>
                <c:pt idx="27">
                  <c:v>1231.2265347044709</c:v>
                </c:pt>
                <c:pt idx="28">
                  <c:v>920.05861308400461</c:v>
                </c:pt>
                <c:pt idx="29">
                  <c:v>627.28545604149792</c:v>
                </c:pt>
                <c:pt idx="30">
                  <c:v>310.95536722664383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183.80715266263581</c:v>
                </c:pt>
                <c:pt idx="71">
                  <c:v>183.80715266263581</c:v>
                </c:pt>
                <c:pt idx="72">
                  <c:v>183.80715266263581</c:v>
                </c:pt>
                <c:pt idx="73">
                  <c:v>183.80715266263581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8769-44D7-837D-FC055EA5F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Subscription (Excl. Monthly Rens):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NBREN'!$AP$6</c:f>
              <c:strCache>
                <c:ptCount val="1"/>
                <c:pt idx="0">
                  <c:v>NB NWP (Boom Subscription)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NBREN'!$AP$7:$AP$111</c:f>
              <c:numCache>
                <c:formatCode>#,##0</c:formatCode>
                <c:ptCount val="105"/>
                <c:pt idx="0">
                  <c:v>55274.801071451009</c:v>
                </c:pt>
                <c:pt idx="1">
                  <c:v>52669.096071415996</c:v>
                </c:pt>
                <c:pt idx="2">
                  <c:v>45745.557499989984</c:v>
                </c:pt>
                <c:pt idx="3">
                  <c:v>51633.655714320987</c:v>
                </c:pt>
                <c:pt idx="4">
                  <c:v>47941.423928584016</c:v>
                </c:pt>
                <c:pt idx="5">
                  <c:v>58591.013214303988</c:v>
                </c:pt>
                <c:pt idx="6">
                  <c:v>51437.177857125003</c:v>
                </c:pt>
                <c:pt idx="7">
                  <c:v>48210.045357145005</c:v>
                </c:pt>
                <c:pt idx="8">
                  <c:v>64145.488214368008</c:v>
                </c:pt>
                <c:pt idx="9">
                  <c:v>81960.273928497976</c:v>
                </c:pt>
                <c:pt idx="10">
                  <c:v>85968.245714334975</c:v>
                </c:pt>
                <c:pt idx="11">
                  <c:v>104843.93499993802</c:v>
                </c:pt>
                <c:pt idx="12">
                  <c:v>89790.423214345021</c:v>
                </c:pt>
                <c:pt idx="13">
                  <c:v>84721.10892862099</c:v>
                </c:pt>
                <c:pt idx="14">
                  <c:v>73420.003571342022</c:v>
                </c:pt>
                <c:pt idx="15">
                  <c:v>97072.953214383</c:v>
                </c:pt>
                <c:pt idx="16">
                  <c:v>80288.838928589961</c:v>
                </c:pt>
                <c:pt idx="17">
                  <c:v>77496.317142952015</c:v>
                </c:pt>
                <c:pt idx="18">
                  <c:v>79300.383214288988</c:v>
                </c:pt>
                <c:pt idx="19">
                  <c:v>60578.314642887002</c:v>
                </c:pt>
                <c:pt idx="20">
                  <c:v>67024.038571504003</c:v>
                </c:pt>
                <c:pt idx="21">
                  <c:v>74599.863928578008</c:v>
                </c:pt>
                <c:pt idx="22">
                  <c:v>75984.606071379996</c:v>
                </c:pt>
                <c:pt idx="23">
                  <c:v>53894.731428576997</c:v>
                </c:pt>
                <c:pt idx="24">
                  <c:v>27919.881428551995</c:v>
                </c:pt>
                <c:pt idx="25">
                  <c:v>11755.981428601001</c:v>
                </c:pt>
                <c:pt idx="26">
                  <c:v>8113.0182142960002</c:v>
                </c:pt>
                <c:pt idx="27">
                  <c:v>2084.3964285709999</c:v>
                </c:pt>
                <c:pt idx="28">
                  <c:v>115.74428571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999.47964286000001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028-485F-9022-23902BBCA8E8}"/>
            </c:ext>
          </c:extLst>
        </c:ser>
        <c:ser>
          <c:idx val="5"/>
          <c:order val="3"/>
          <c:tx>
            <c:strRef>
              <c:f>'NWP NBREN'!$AS$6</c:f>
              <c:strCache>
                <c:ptCount val="1"/>
                <c:pt idx="0">
                  <c:v>RN NWP (Boom Subscription)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NBREN'!$AS$7:$AS$111</c:f>
              <c:numCache>
                <c:formatCode>#,##0</c:formatCode>
                <c:ptCount val="105"/>
                <c:pt idx="0">
                  <c:v>717.29607142400005</c:v>
                </c:pt>
                <c:pt idx="1">
                  <c:v>1175.5050000030001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150.719642857</c:v>
                </c:pt>
                <c:pt idx="6">
                  <c:v>4192.6735714189999</c:v>
                </c:pt>
                <c:pt idx="7">
                  <c:v>3721.8785714399992</c:v>
                </c:pt>
                <c:pt idx="8">
                  <c:v>2016.9424999960002</c:v>
                </c:pt>
                <c:pt idx="9">
                  <c:v>2785.8278571440005</c:v>
                </c:pt>
                <c:pt idx="10">
                  <c:v>2991.9535714249996</c:v>
                </c:pt>
                <c:pt idx="11">
                  <c:v>2599.4278571279997</c:v>
                </c:pt>
                <c:pt idx="12">
                  <c:v>2148.7399999899999</c:v>
                </c:pt>
                <c:pt idx="13">
                  <c:v>3169.9174999859997</c:v>
                </c:pt>
                <c:pt idx="14">
                  <c:v>2937.4917857119999</c:v>
                </c:pt>
                <c:pt idx="15">
                  <c:v>6144.661428600999</c:v>
                </c:pt>
                <c:pt idx="16">
                  <c:v>3138.1896428730001</c:v>
                </c:pt>
                <c:pt idx="17">
                  <c:v>4665.9403571430003</c:v>
                </c:pt>
                <c:pt idx="18">
                  <c:v>5409.6417857039987</c:v>
                </c:pt>
                <c:pt idx="19">
                  <c:v>3534.8346428679997</c:v>
                </c:pt>
                <c:pt idx="20">
                  <c:v>2498.0167857129995</c:v>
                </c:pt>
                <c:pt idx="21">
                  <c:v>2101.887142862</c:v>
                </c:pt>
                <c:pt idx="22">
                  <c:v>2223.0996428530002</c:v>
                </c:pt>
                <c:pt idx="23">
                  <c:v>4565.1114285599997</c:v>
                </c:pt>
                <c:pt idx="24">
                  <c:v>4723.6310714560004</c:v>
                </c:pt>
                <c:pt idx="25">
                  <c:v>3762.855</c:v>
                </c:pt>
                <c:pt idx="26">
                  <c:v>4840.0232142810009</c:v>
                </c:pt>
                <c:pt idx="27">
                  <c:v>2569.20499999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733.21428571000001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028-485F-9022-23902BBCA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NBREN'!$AQ$6</c:f>
              <c:strCache>
                <c:ptCount val="1"/>
                <c:pt idx="0">
                  <c:v>NB NWP - 4 Week Avg (Boom Subscription)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NBREN'!$AQ$7:$AQ$111</c:f>
              <c:numCache>
                <c:formatCode>#,##0</c:formatCode>
                <c:ptCount val="105"/>
                <c:pt idx="3">
                  <c:v>51330.777589294492</c:v>
                </c:pt>
                <c:pt idx="4">
                  <c:v>49497.433303577738</c:v>
                </c:pt>
                <c:pt idx="5">
                  <c:v>50977.91258929974</c:v>
                </c:pt>
                <c:pt idx="6">
                  <c:v>52400.817678583502</c:v>
                </c:pt>
                <c:pt idx="7">
                  <c:v>51544.915089289498</c:v>
                </c:pt>
                <c:pt idx="8">
                  <c:v>55595.931160735505</c:v>
                </c:pt>
                <c:pt idx="9">
                  <c:v>61438.246339284</c:v>
                </c:pt>
                <c:pt idx="10">
                  <c:v>70071.013303586486</c:v>
                </c:pt>
                <c:pt idx="11">
                  <c:v>84229.485714284747</c:v>
                </c:pt>
                <c:pt idx="12">
                  <c:v>90640.719464278998</c:v>
                </c:pt>
                <c:pt idx="13">
                  <c:v>91330.928214309752</c:v>
                </c:pt>
                <c:pt idx="14">
                  <c:v>88193.867678561524</c:v>
                </c:pt>
                <c:pt idx="15">
                  <c:v>86251.122232172755</c:v>
                </c:pt>
                <c:pt idx="16">
                  <c:v>83875.72616073399</c:v>
                </c:pt>
                <c:pt idx="17">
                  <c:v>82069.528214316742</c:v>
                </c:pt>
                <c:pt idx="18">
                  <c:v>83539.623125053491</c:v>
                </c:pt>
                <c:pt idx="19">
                  <c:v>74415.96348217949</c:v>
                </c:pt>
                <c:pt idx="20">
                  <c:v>71099.763392908004</c:v>
                </c:pt>
                <c:pt idx="21">
                  <c:v>70375.650089314498</c:v>
                </c:pt>
                <c:pt idx="22">
                  <c:v>69546.705803587247</c:v>
                </c:pt>
                <c:pt idx="23">
                  <c:v>67875.810000009747</c:v>
                </c:pt>
                <c:pt idx="24">
                  <c:v>58099.770714271748</c:v>
                </c:pt>
                <c:pt idx="25">
                  <c:v>42388.800089277494</c:v>
                </c:pt>
                <c:pt idx="26">
                  <c:v>25420.903125006495</c:v>
                </c:pt>
                <c:pt idx="27">
                  <c:v>12468.319375005</c:v>
                </c:pt>
                <c:pt idx="28">
                  <c:v>5517.2850892944998</c:v>
                </c:pt>
                <c:pt idx="29">
                  <c:v>2578.2897321442497</c:v>
                </c:pt>
                <c:pt idx="30">
                  <c:v>550.03517857024997</c:v>
                </c:pt>
                <c:pt idx="31">
                  <c:v>28.9360714275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249.869910715</c:v>
                </c:pt>
                <c:pt idx="45">
                  <c:v>249.869910715</c:v>
                </c:pt>
                <c:pt idx="46">
                  <c:v>249.869910715</c:v>
                </c:pt>
                <c:pt idx="47">
                  <c:v>249.869910715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028-485F-9022-23902BBCA8E8}"/>
            </c:ext>
          </c:extLst>
        </c:ser>
        <c:ser>
          <c:idx val="3"/>
          <c:order val="4"/>
          <c:tx>
            <c:strRef>
              <c:f>'NWP NBREN'!$AT$6</c:f>
              <c:strCache>
                <c:ptCount val="1"/>
                <c:pt idx="0">
                  <c:v>RN NWP - 4 Week Avg (Boom Subscription)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NBREN'!$AT$7:$AT$111</c:f>
              <c:numCache>
                <c:formatCode>#,##0</c:formatCode>
                <c:ptCount val="105"/>
                <c:pt idx="3">
                  <c:v>473.20026785675003</c:v>
                </c:pt>
                <c:pt idx="4">
                  <c:v>293.87625000075002</c:v>
                </c:pt>
                <c:pt idx="5">
                  <c:v>37.679910714249999</c:v>
                </c:pt>
                <c:pt idx="6">
                  <c:v>1085.8483035689999</c:v>
                </c:pt>
                <c:pt idx="7">
                  <c:v>2016.3179464289997</c:v>
                </c:pt>
                <c:pt idx="8">
                  <c:v>2520.5535714279995</c:v>
                </c:pt>
                <c:pt idx="9">
                  <c:v>3179.3306249997499</c:v>
                </c:pt>
                <c:pt idx="10">
                  <c:v>2879.1506250012499</c:v>
                </c:pt>
                <c:pt idx="11">
                  <c:v>2598.5379464232501</c:v>
                </c:pt>
                <c:pt idx="12">
                  <c:v>2631.4873214217496</c:v>
                </c:pt>
                <c:pt idx="13">
                  <c:v>2727.5097321322496</c:v>
                </c:pt>
                <c:pt idx="14">
                  <c:v>2713.8942857040001</c:v>
                </c:pt>
                <c:pt idx="15">
                  <c:v>3600.2026785722496</c:v>
                </c:pt>
                <c:pt idx="16">
                  <c:v>3847.5650892929998</c:v>
                </c:pt>
                <c:pt idx="17">
                  <c:v>4221.5708035822499</c:v>
                </c:pt>
                <c:pt idx="18">
                  <c:v>4839.6083035802494</c:v>
                </c:pt>
                <c:pt idx="19">
                  <c:v>4187.1516071469996</c:v>
                </c:pt>
                <c:pt idx="20">
                  <c:v>4027.1083928569997</c:v>
                </c:pt>
                <c:pt idx="21">
                  <c:v>3386.0950892867495</c:v>
                </c:pt>
                <c:pt idx="22">
                  <c:v>2589.459553574</c:v>
                </c:pt>
                <c:pt idx="23">
                  <c:v>2847.028749997</c:v>
                </c:pt>
                <c:pt idx="24">
                  <c:v>3403.4323214327501</c:v>
                </c:pt>
                <c:pt idx="25">
                  <c:v>3818.6742857172499</c:v>
                </c:pt>
                <c:pt idx="26">
                  <c:v>4472.9051785742504</c:v>
                </c:pt>
                <c:pt idx="27">
                  <c:v>3973.9285714317502</c:v>
                </c:pt>
                <c:pt idx="28">
                  <c:v>2793.0208035677506</c:v>
                </c:pt>
                <c:pt idx="29">
                  <c:v>1852.3070535677502</c:v>
                </c:pt>
                <c:pt idx="30">
                  <c:v>642.30124999750001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183.3035714275</c:v>
                </c:pt>
                <c:pt idx="71">
                  <c:v>183.3035714275</c:v>
                </c:pt>
                <c:pt idx="72">
                  <c:v>183.3035714275</c:v>
                </c:pt>
                <c:pt idx="73">
                  <c:v>183.3035714275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028-485F-9022-23902BBCA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NBREN'!$AR$6</c:f>
              <c:strCache>
                <c:ptCount val="1"/>
                <c:pt idx="0">
                  <c:v>NB Average NWP - 4 Week Avg (Boom Subscription)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NBREN'!$AR$7:$AR$111</c:f>
              <c:numCache>
                <c:formatCode>#,##0</c:formatCode>
                <c:ptCount val="105"/>
                <c:pt idx="3">
                  <c:v>1628.5426312283682</c:v>
                </c:pt>
                <c:pt idx="4">
                  <c:v>1607.2507629059298</c:v>
                </c:pt>
                <c:pt idx="5">
                  <c:v>1629.3433939263734</c:v>
                </c:pt>
                <c:pt idx="6">
                  <c:v>1657.5004056945777</c:v>
                </c:pt>
                <c:pt idx="7">
                  <c:v>1651.4348961832939</c:v>
                </c:pt>
                <c:pt idx="8">
                  <c:v>1652.5276175222348</c:v>
                </c:pt>
                <c:pt idx="9">
                  <c:v>1587.7464388116473</c:v>
                </c:pt>
                <c:pt idx="10">
                  <c:v>1535.0786916167881</c:v>
                </c:pt>
                <c:pt idx="11">
                  <c:v>1493.8165912749355</c:v>
                </c:pt>
                <c:pt idx="12">
                  <c:v>1457.4018766857967</c:v>
                </c:pt>
                <c:pt idx="13">
                  <c:v>1425.0607473991342</c:v>
                </c:pt>
                <c:pt idx="14">
                  <c:v>1415.7343768734042</c:v>
                </c:pt>
                <c:pt idx="15">
                  <c:v>1410.251304587227</c:v>
                </c:pt>
                <c:pt idx="16">
                  <c:v>1398.6919009238479</c:v>
                </c:pt>
                <c:pt idx="17">
                  <c:v>1419.38212414854</c:v>
                </c:pt>
                <c:pt idx="18">
                  <c:v>1434.7637491842772</c:v>
                </c:pt>
                <c:pt idx="19">
                  <c:v>1430.8108772972205</c:v>
                </c:pt>
                <c:pt idx="20">
                  <c:v>1421.2897813334766</c:v>
                </c:pt>
                <c:pt idx="21">
                  <c:v>1422.5342647881616</c:v>
                </c:pt>
                <c:pt idx="22">
                  <c:v>1409.4189690697435</c:v>
                </c:pt>
                <c:pt idx="23">
                  <c:v>1400.1197294756444</c:v>
                </c:pt>
                <c:pt idx="24">
                  <c:v>1354.8812165295233</c:v>
                </c:pt>
                <c:pt idx="25">
                  <c:v>1290.3888302929658</c:v>
                </c:pt>
                <c:pt idx="26">
                  <c:v>1215.4164365410345</c:v>
                </c:pt>
                <c:pt idx="27">
                  <c:v>1153.8954548423312</c:v>
                </c:pt>
                <c:pt idx="28">
                  <c:v>1231.4758202460566</c:v>
                </c:pt>
                <c:pt idx="29">
                  <c:v>938.21728663494378</c:v>
                </c:pt>
                <c:pt idx="30">
                  <c:v>662.04869772108054</c:v>
                </c:pt>
                <c:pt idx="31">
                  <c:v>378.235791002246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250.55636650678417</c:v>
                </c:pt>
                <c:pt idx="45">
                  <c:v>250.55636650678417</c:v>
                </c:pt>
                <c:pt idx="46">
                  <c:v>250.55636650678417</c:v>
                </c:pt>
                <c:pt idx="47">
                  <c:v>250.55636650678417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028-485F-9022-23902BBCA8E8}"/>
            </c:ext>
          </c:extLst>
        </c:ser>
        <c:ser>
          <c:idx val="6"/>
          <c:order val="5"/>
          <c:tx>
            <c:strRef>
              <c:f>'NWP NBREN'!$AU$6</c:f>
              <c:strCache>
                <c:ptCount val="1"/>
                <c:pt idx="0">
                  <c:v>RN Average NWP - 4 Week Avg (Boom Subscription)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NBREN'!$AU$7:$AU$111</c:f>
              <c:numCache>
                <c:formatCode>#,##0</c:formatCode>
                <c:ptCount val="105"/>
                <c:pt idx="3">
                  <c:v>631.99815234507469</c:v>
                </c:pt>
                <c:pt idx="4">
                  <c:v>358.52902506545024</c:v>
                </c:pt>
                <c:pt idx="5">
                  <c:v>237.77322961234515</c:v>
                </c:pt>
                <c:pt idx="6">
                  <c:v>595.30317525667306</c:v>
                </c:pt>
                <c:pt idx="7">
                  <c:v>941.74456825312734</c:v>
                </c:pt>
                <c:pt idx="8">
                  <c:v>1209.2086824311752</c:v>
                </c:pt>
                <c:pt idx="9">
                  <c:v>1325.4677430612728</c:v>
                </c:pt>
                <c:pt idx="10">
                  <c:v>1448.2250813374094</c:v>
                </c:pt>
                <c:pt idx="11">
                  <c:v>1436.7803769678117</c:v>
                </c:pt>
                <c:pt idx="12">
                  <c:v>1464.0834441143393</c:v>
                </c:pt>
                <c:pt idx="13">
                  <c:v>1413.1310401484961</c:v>
                </c:pt>
                <c:pt idx="14">
                  <c:v>1197.6521289537927</c:v>
                </c:pt>
                <c:pt idx="15">
                  <c:v>1173.2833522660319</c:v>
                </c:pt>
                <c:pt idx="16">
                  <c:v>1220.3546856730818</c:v>
                </c:pt>
                <c:pt idx="17">
                  <c:v>1248.2310340906163</c:v>
                </c:pt>
                <c:pt idx="18">
                  <c:v>1306.9404544896995</c:v>
                </c:pt>
                <c:pt idx="19">
                  <c:v>1295.7915887363824</c:v>
                </c:pt>
                <c:pt idx="20">
                  <c:v>1216.6755291011727</c:v>
                </c:pt>
                <c:pt idx="21">
                  <c:v>1152.8341188604991</c:v>
                </c:pt>
                <c:pt idx="22">
                  <c:v>1100.5344822125394</c:v>
                </c:pt>
                <c:pt idx="23">
                  <c:v>1132.5694803032907</c:v>
                </c:pt>
                <c:pt idx="24">
                  <c:v>1181.0149468273412</c:v>
                </c:pt>
                <c:pt idx="25">
                  <c:v>1206.6732794163877</c:v>
                </c:pt>
                <c:pt idx="26">
                  <c:v>1251.7852117543569</c:v>
                </c:pt>
                <c:pt idx="27">
                  <c:v>1231.2265347044711</c:v>
                </c:pt>
                <c:pt idx="28">
                  <c:v>920.05861308400472</c:v>
                </c:pt>
                <c:pt idx="29">
                  <c:v>627.28545604149804</c:v>
                </c:pt>
                <c:pt idx="30">
                  <c:v>310.95536722664383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183.80715266263581</c:v>
                </c:pt>
                <c:pt idx="71">
                  <c:v>183.80715266263581</c:v>
                </c:pt>
                <c:pt idx="72">
                  <c:v>183.80715266263581</c:v>
                </c:pt>
                <c:pt idx="73">
                  <c:v>183.80715266263581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D028-485F-9022-23902BBCA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Annual Up Front: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NBREN'!$Z$6</c:f>
              <c:strCache>
                <c:ptCount val="1"/>
                <c:pt idx="0">
                  <c:v>NB NWP (Boom Annual Up Front)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NBREN'!$Z$7:$Z$111</c:f>
              <c:numCache>
                <c:formatCode>#,##0</c:formatCode>
                <c:ptCount val="105"/>
                <c:pt idx="0">
                  <c:v>274390.71500045003</c:v>
                </c:pt>
                <c:pt idx="1">
                  <c:v>260993.84357141011</c:v>
                </c:pt>
                <c:pt idx="2">
                  <c:v>273889.61821397999</c:v>
                </c:pt>
                <c:pt idx="3">
                  <c:v>248470.61214267</c:v>
                </c:pt>
                <c:pt idx="4">
                  <c:v>240899.51499991</c:v>
                </c:pt>
                <c:pt idx="5">
                  <c:v>240617.21178558003</c:v>
                </c:pt>
                <c:pt idx="6">
                  <c:v>211928.07857150002</c:v>
                </c:pt>
                <c:pt idx="7">
                  <c:v>192531.13607162001</c:v>
                </c:pt>
                <c:pt idx="8">
                  <c:v>263923.41607090004</c:v>
                </c:pt>
                <c:pt idx="9">
                  <c:v>311547.32428510999</c:v>
                </c:pt>
                <c:pt idx="10">
                  <c:v>385053.39928602014</c:v>
                </c:pt>
                <c:pt idx="11">
                  <c:v>478038.29964251979</c:v>
                </c:pt>
                <c:pt idx="12">
                  <c:v>374788.92821459007</c:v>
                </c:pt>
                <c:pt idx="13">
                  <c:v>359966.56178526004</c:v>
                </c:pt>
                <c:pt idx="14">
                  <c:v>421667.87392849004</c:v>
                </c:pt>
                <c:pt idx="15">
                  <c:v>508730.16571393987</c:v>
                </c:pt>
                <c:pt idx="16">
                  <c:v>353021.91642869002</c:v>
                </c:pt>
                <c:pt idx="17">
                  <c:v>378219.42928490014</c:v>
                </c:pt>
                <c:pt idx="18">
                  <c:v>359191.37392830011</c:v>
                </c:pt>
                <c:pt idx="19">
                  <c:v>285932.50285694993</c:v>
                </c:pt>
                <c:pt idx="20">
                  <c:v>293819.24607167998</c:v>
                </c:pt>
                <c:pt idx="21">
                  <c:v>367096.29214300995</c:v>
                </c:pt>
                <c:pt idx="22">
                  <c:v>357815.17714274995</c:v>
                </c:pt>
                <c:pt idx="23">
                  <c:v>367390.18892841006</c:v>
                </c:pt>
                <c:pt idx="24">
                  <c:v>455719.70999919996</c:v>
                </c:pt>
                <c:pt idx="25">
                  <c:v>333014.17285733001</c:v>
                </c:pt>
                <c:pt idx="26">
                  <c:v>334504.34321419999</c:v>
                </c:pt>
                <c:pt idx="27">
                  <c:v>365207.35535675992</c:v>
                </c:pt>
                <c:pt idx="28">
                  <c:v>365149.53357158997</c:v>
                </c:pt>
                <c:pt idx="29">
                  <c:v>408603.85785694997</c:v>
                </c:pt>
                <c:pt idx="30">
                  <c:v>450388.37321433</c:v>
                </c:pt>
                <c:pt idx="31">
                  <c:v>403433.47178619</c:v>
                </c:pt>
                <c:pt idx="32">
                  <c:v>454533.34000001993</c:v>
                </c:pt>
                <c:pt idx="33">
                  <c:v>464821.22285745997</c:v>
                </c:pt>
                <c:pt idx="34">
                  <c:v>399046.82607120991</c:v>
                </c:pt>
                <c:pt idx="35">
                  <c:v>341095.6278573001</c:v>
                </c:pt>
                <c:pt idx="36">
                  <c:v>391243.15250011993</c:v>
                </c:pt>
                <c:pt idx="37">
                  <c:v>440270.42964213993</c:v>
                </c:pt>
                <c:pt idx="38">
                  <c:v>355106.58214260993</c:v>
                </c:pt>
                <c:pt idx="39">
                  <c:v>352155.50571459997</c:v>
                </c:pt>
                <c:pt idx="40">
                  <c:v>365567.29071467998</c:v>
                </c:pt>
                <c:pt idx="41">
                  <c:v>325108.62714344996</c:v>
                </c:pt>
                <c:pt idx="42">
                  <c:v>322055.48607153998</c:v>
                </c:pt>
                <c:pt idx="43">
                  <c:v>309602.68071435002</c:v>
                </c:pt>
                <c:pt idx="44">
                  <c:v>333277.03714281996</c:v>
                </c:pt>
                <c:pt idx="45">
                  <c:v>296989.29071392992</c:v>
                </c:pt>
                <c:pt idx="46">
                  <c:v>296914.95928583003</c:v>
                </c:pt>
                <c:pt idx="47">
                  <c:v>253226.02357143999</c:v>
                </c:pt>
                <c:pt idx="48">
                  <c:v>217153.16249996005</c:v>
                </c:pt>
                <c:pt idx="49">
                  <c:v>217891.25142868009</c:v>
                </c:pt>
                <c:pt idx="50">
                  <c:v>267783.62750037998</c:v>
                </c:pt>
                <c:pt idx="51">
                  <c:v>188232.82642836001</c:v>
                </c:pt>
                <c:pt idx="52">
                  <c:v>189401.11428593998</c:v>
                </c:pt>
                <c:pt idx="53">
                  <c:v>195376.05428556996</c:v>
                </c:pt>
                <c:pt idx="54">
                  <c:v>170778.77642862999</c:v>
                </c:pt>
                <c:pt idx="55">
                  <c:v>224440.61250010005</c:v>
                </c:pt>
                <c:pt idx="56">
                  <c:v>187874.91464269999</c:v>
                </c:pt>
                <c:pt idx="57">
                  <c:v>205013.14464306997</c:v>
                </c:pt>
                <c:pt idx="58">
                  <c:v>209088.11142875001</c:v>
                </c:pt>
                <c:pt idx="59">
                  <c:v>190714.85428609993</c:v>
                </c:pt>
                <c:pt idx="60">
                  <c:v>155366.72750002003</c:v>
                </c:pt>
                <c:pt idx="61">
                  <c:v>161864.93964258002</c:v>
                </c:pt>
                <c:pt idx="62">
                  <c:v>201733.86249989003</c:v>
                </c:pt>
                <c:pt idx="63">
                  <c:v>193347.93357137992</c:v>
                </c:pt>
                <c:pt idx="64">
                  <c:v>148292.31392891996</c:v>
                </c:pt>
                <c:pt idx="65">
                  <c:v>172465.31928568005</c:v>
                </c:pt>
                <c:pt idx="66">
                  <c:v>240864.79714276997</c:v>
                </c:pt>
                <c:pt idx="67">
                  <c:v>207520.66892853999</c:v>
                </c:pt>
                <c:pt idx="68">
                  <c:v>233268.44928605988</c:v>
                </c:pt>
                <c:pt idx="69">
                  <c:v>208528.36642854285</c:v>
                </c:pt>
                <c:pt idx="70">
                  <c:v>206069.89892897994</c:v>
                </c:pt>
                <c:pt idx="71">
                  <c:v>143164.61428569999</c:v>
                </c:pt>
                <c:pt idx="72">
                  <c:v>130958.66035729292</c:v>
                </c:pt>
                <c:pt idx="73">
                  <c:v>168467.63214299007</c:v>
                </c:pt>
                <c:pt idx="74">
                  <c:v>150999.62571390002</c:v>
                </c:pt>
                <c:pt idx="75">
                  <c:v>135799.15285735999</c:v>
                </c:pt>
                <c:pt idx="76">
                  <c:v>158805.41000034002</c:v>
                </c:pt>
                <c:pt idx="77">
                  <c:v>130590.96964279002</c:v>
                </c:pt>
                <c:pt idx="78">
                  <c:v>116871.27357122002</c:v>
                </c:pt>
                <c:pt idx="79">
                  <c:v>122592.23071452002</c:v>
                </c:pt>
                <c:pt idx="80">
                  <c:v>128093.37142871998</c:v>
                </c:pt>
                <c:pt idx="81">
                  <c:v>127144.94785685001</c:v>
                </c:pt>
                <c:pt idx="82">
                  <c:v>129683.14892877001</c:v>
                </c:pt>
                <c:pt idx="83">
                  <c:v>116006.32357122</c:v>
                </c:pt>
                <c:pt idx="84">
                  <c:v>120157.0471428</c:v>
                </c:pt>
                <c:pt idx="85">
                  <c:v>150703.74857180999</c:v>
                </c:pt>
                <c:pt idx="86">
                  <c:v>137517.81000026996</c:v>
                </c:pt>
                <c:pt idx="87">
                  <c:v>98019.68142873999</c:v>
                </c:pt>
                <c:pt idx="88">
                  <c:v>113129.67071427</c:v>
                </c:pt>
                <c:pt idx="89">
                  <c:v>153187.38214279001</c:v>
                </c:pt>
                <c:pt idx="90">
                  <c:v>139652.52821402001</c:v>
                </c:pt>
                <c:pt idx="91">
                  <c:v>129008.44035701999</c:v>
                </c:pt>
                <c:pt idx="92">
                  <c:v>99008.483571449993</c:v>
                </c:pt>
                <c:pt idx="93">
                  <c:v>108128.99035728999</c:v>
                </c:pt>
                <c:pt idx="94">
                  <c:v>112480.49607143998</c:v>
                </c:pt>
                <c:pt idx="95">
                  <c:v>102846.76964295999</c:v>
                </c:pt>
                <c:pt idx="96">
                  <c:v>105044.93857145995</c:v>
                </c:pt>
                <c:pt idx="97">
                  <c:v>123882.35928562999</c:v>
                </c:pt>
                <c:pt idx="98">
                  <c:v>142772.98178554003</c:v>
                </c:pt>
                <c:pt idx="99">
                  <c:v>122782.85178608997</c:v>
                </c:pt>
                <c:pt idx="100">
                  <c:v>112161.89249980001</c:v>
                </c:pt>
                <c:pt idx="101">
                  <c:v>122769.02999996</c:v>
                </c:pt>
                <c:pt idx="102">
                  <c:v>98497.010357329986</c:v>
                </c:pt>
                <c:pt idx="103">
                  <c:v>106791.79571403001</c:v>
                </c:pt>
                <c:pt idx="104">
                  <c:v>106180.86714282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38E-485E-AC75-C5B322D4023D}"/>
            </c:ext>
          </c:extLst>
        </c:ser>
        <c:ser>
          <c:idx val="5"/>
          <c:order val="3"/>
          <c:tx>
            <c:strRef>
              <c:f>'NWP NBREN'!$AC$6</c:f>
              <c:strCache>
                <c:ptCount val="1"/>
                <c:pt idx="0">
                  <c:v>RN NWP (Boom Annual Up Front)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NBREN'!$AC$7:$AC$111</c:f>
              <c:numCache>
                <c:formatCode>#,##0</c:formatCode>
                <c:ptCount val="105"/>
                <c:pt idx="0">
                  <c:v>38628.342499860002</c:v>
                </c:pt>
                <c:pt idx="1">
                  <c:v>24623.682142789999</c:v>
                </c:pt>
                <c:pt idx="2">
                  <c:v>31112.504642810003</c:v>
                </c:pt>
                <c:pt idx="3">
                  <c:v>25120.327857110002</c:v>
                </c:pt>
                <c:pt idx="4">
                  <c:v>38803.267857160004</c:v>
                </c:pt>
                <c:pt idx="5">
                  <c:v>38282.106071429989</c:v>
                </c:pt>
                <c:pt idx="6">
                  <c:v>39655.81035711</c:v>
                </c:pt>
                <c:pt idx="7">
                  <c:v>37566.10678563999</c:v>
                </c:pt>
                <c:pt idx="8">
                  <c:v>33171.373214250001</c:v>
                </c:pt>
                <c:pt idx="9">
                  <c:v>17230.230714229998</c:v>
                </c:pt>
                <c:pt idx="10">
                  <c:v>22194.266428619998</c:v>
                </c:pt>
                <c:pt idx="11">
                  <c:v>14728.007142900002</c:v>
                </c:pt>
                <c:pt idx="12">
                  <c:v>15402.278571450001</c:v>
                </c:pt>
                <c:pt idx="13">
                  <c:v>47212.098214279999</c:v>
                </c:pt>
                <c:pt idx="14">
                  <c:v>68403.23464291</c:v>
                </c:pt>
                <c:pt idx="15">
                  <c:v>74535.581071549983</c:v>
                </c:pt>
                <c:pt idx="16">
                  <c:v>45156.894285570001</c:v>
                </c:pt>
                <c:pt idx="17">
                  <c:v>69223.912499969985</c:v>
                </c:pt>
                <c:pt idx="18">
                  <c:v>64451.695357020013</c:v>
                </c:pt>
                <c:pt idx="19">
                  <c:v>44003.632500109998</c:v>
                </c:pt>
                <c:pt idx="20">
                  <c:v>33655.239285689997</c:v>
                </c:pt>
                <c:pt idx="21">
                  <c:v>55954.689999859998</c:v>
                </c:pt>
                <c:pt idx="22">
                  <c:v>39386.360357139994</c:v>
                </c:pt>
                <c:pt idx="23">
                  <c:v>46737.561428609995</c:v>
                </c:pt>
                <c:pt idx="24">
                  <c:v>48435.404642829992</c:v>
                </c:pt>
                <c:pt idx="25">
                  <c:v>34827.846071319997</c:v>
                </c:pt>
                <c:pt idx="26">
                  <c:v>45701.005000119992</c:v>
                </c:pt>
                <c:pt idx="27">
                  <c:v>49578.287499890001</c:v>
                </c:pt>
                <c:pt idx="28">
                  <c:v>56167.109642889998</c:v>
                </c:pt>
                <c:pt idx="29">
                  <c:v>58736.486785740002</c:v>
                </c:pt>
                <c:pt idx="30">
                  <c:v>66577.578571579987</c:v>
                </c:pt>
                <c:pt idx="31">
                  <c:v>73524.891071420017</c:v>
                </c:pt>
                <c:pt idx="32">
                  <c:v>42171.665357120008</c:v>
                </c:pt>
                <c:pt idx="33">
                  <c:v>52763.322500100003</c:v>
                </c:pt>
                <c:pt idx="34">
                  <c:v>45080.889285560013</c:v>
                </c:pt>
                <c:pt idx="35">
                  <c:v>28812.74178574</c:v>
                </c:pt>
                <c:pt idx="36">
                  <c:v>29529.122857220002</c:v>
                </c:pt>
                <c:pt idx="37">
                  <c:v>38229.68250001</c:v>
                </c:pt>
                <c:pt idx="38">
                  <c:v>33117.165357290003</c:v>
                </c:pt>
                <c:pt idx="39">
                  <c:v>47754.365000090002</c:v>
                </c:pt>
                <c:pt idx="40">
                  <c:v>42277.441428500002</c:v>
                </c:pt>
                <c:pt idx="41">
                  <c:v>42331.919285709992</c:v>
                </c:pt>
                <c:pt idx="42">
                  <c:v>38044.921071490004</c:v>
                </c:pt>
                <c:pt idx="43">
                  <c:v>26502.586071420003</c:v>
                </c:pt>
                <c:pt idx="44">
                  <c:v>28586.966428429998</c:v>
                </c:pt>
                <c:pt idx="45">
                  <c:v>22491.167857189997</c:v>
                </c:pt>
                <c:pt idx="46">
                  <c:v>37856.337142799995</c:v>
                </c:pt>
                <c:pt idx="47">
                  <c:v>20441.228214270002</c:v>
                </c:pt>
                <c:pt idx="48">
                  <c:v>30133.783571290001</c:v>
                </c:pt>
                <c:pt idx="49">
                  <c:v>39812.520714300001</c:v>
                </c:pt>
                <c:pt idx="50">
                  <c:v>30883.025714259995</c:v>
                </c:pt>
                <c:pt idx="51">
                  <c:v>24389.817142969998</c:v>
                </c:pt>
                <c:pt idx="52">
                  <c:v>36151.392857179999</c:v>
                </c:pt>
                <c:pt idx="53">
                  <c:v>40674.965357170011</c:v>
                </c:pt>
                <c:pt idx="54">
                  <c:v>39714.672856889993</c:v>
                </c:pt>
                <c:pt idx="55">
                  <c:v>51596.097857179986</c:v>
                </c:pt>
                <c:pt idx="56">
                  <c:v>43521.431071440005</c:v>
                </c:pt>
                <c:pt idx="57">
                  <c:v>47128.993928590004</c:v>
                </c:pt>
                <c:pt idx="58">
                  <c:v>33155.926071390008</c:v>
                </c:pt>
                <c:pt idx="59">
                  <c:v>32804.271428579996</c:v>
                </c:pt>
                <c:pt idx="60">
                  <c:v>33540.337142999997</c:v>
                </c:pt>
                <c:pt idx="61">
                  <c:v>37334.099642869987</c:v>
                </c:pt>
                <c:pt idx="62">
                  <c:v>62140.789642780008</c:v>
                </c:pt>
                <c:pt idx="63">
                  <c:v>74192.54642857</c:v>
                </c:pt>
                <c:pt idx="64">
                  <c:v>51857.165000029992</c:v>
                </c:pt>
                <c:pt idx="65">
                  <c:v>52544.426428570005</c:v>
                </c:pt>
                <c:pt idx="66">
                  <c:v>96038.145714010025</c:v>
                </c:pt>
                <c:pt idx="67">
                  <c:v>70361.222499849988</c:v>
                </c:pt>
                <c:pt idx="68">
                  <c:v>62343.436785750004</c:v>
                </c:pt>
                <c:pt idx="69">
                  <c:v>59248.383928380012</c:v>
                </c:pt>
                <c:pt idx="70">
                  <c:v>59443.291785679983</c:v>
                </c:pt>
                <c:pt idx="71">
                  <c:v>63968.609285460007</c:v>
                </c:pt>
                <c:pt idx="72">
                  <c:v>47204.151428739999</c:v>
                </c:pt>
                <c:pt idx="73">
                  <c:v>68586.406071630016</c:v>
                </c:pt>
                <c:pt idx="74">
                  <c:v>68781.346785839996</c:v>
                </c:pt>
                <c:pt idx="75">
                  <c:v>47633.857857039999</c:v>
                </c:pt>
                <c:pt idx="76">
                  <c:v>57968.752857009997</c:v>
                </c:pt>
                <c:pt idx="77">
                  <c:v>55534.565714279997</c:v>
                </c:pt>
                <c:pt idx="78">
                  <c:v>49955.577142779992</c:v>
                </c:pt>
                <c:pt idx="79">
                  <c:v>36487.956785679999</c:v>
                </c:pt>
                <c:pt idx="80">
                  <c:v>59581.769999730001</c:v>
                </c:pt>
                <c:pt idx="81">
                  <c:v>47143.041071380016</c:v>
                </c:pt>
                <c:pt idx="82">
                  <c:v>59338.780714139997</c:v>
                </c:pt>
                <c:pt idx="83">
                  <c:v>50256.09464273999</c:v>
                </c:pt>
                <c:pt idx="84">
                  <c:v>65215.853928719989</c:v>
                </c:pt>
                <c:pt idx="85">
                  <c:v>57368.91892846</c:v>
                </c:pt>
                <c:pt idx="86">
                  <c:v>50140.611428479991</c:v>
                </c:pt>
                <c:pt idx="87">
                  <c:v>59275.931428269992</c:v>
                </c:pt>
                <c:pt idx="88">
                  <c:v>61817.361428569988</c:v>
                </c:pt>
                <c:pt idx="89">
                  <c:v>62894.479642669998</c:v>
                </c:pt>
                <c:pt idx="90">
                  <c:v>47389.100000030005</c:v>
                </c:pt>
                <c:pt idx="91">
                  <c:v>63954.575714360006</c:v>
                </c:pt>
                <c:pt idx="92">
                  <c:v>61098.465714280006</c:v>
                </c:pt>
                <c:pt idx="93">
                  <c:v>66185.17142862</c:v>
                </c:pt>
                <c:pt idx="94">
                  <c:v>63506.381785759993</c:v>
                </c:pt>
                <c:pt idx="95">
                  <c:v>54944.909643079984</c:v>
                </c:pt>
                <c:pt idx="96">
                  <c:v>52425.602142910015</c:v>
                </c:pt>
                <c:pt idx="97">
                  <c:v>43677.417500019998</c:v>
                </c:pt>
                <c:pt idx="98">
                  <c:v>51019.881428659981</c:v>
                </c:pt>
                <c:pt idx="99">
                  <c:v>52443.840000000004</c:v>
                </c:pt>
                <c:pt idx="100">
                  <c:v>35615.238928580002</c:v>
                </c:pt>
                <c:pt idx="101">
                  <c:v>39499.061785699996</c:v>
                </c:pt>
                <c:pt idx="102">
                  <c:v>29314.767857219998</c:v>
                </c:pt>
                <c:pt idx="103">
                  <c:v>22341.00392852</c:v>
                </c:pt>
                <c:pt idx="104">
                  <c:v>38579.827857159995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38E-485E-AC75-C5B322D40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NBREN'!$AA$6</c:f>
              <c:strCache>
                <c:ptCount val="1"/>
                <c:pt idx="0">
                  <c:v>NB NWP - 4 Week Avg (Boom Annual Up Front)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NBREN'!$AA$7:$AA$111</c:f>
              <c:numCache>
                <c:formatCode>#,##0</c:formatCode>
                <c:ptCount val="105"/>
                <c:pt idx="3">
                  <c:v>264436.19723212754</c:v>
                </c:pt>
                <c:pt idx="4">
                  <c:v>256063.39723199251</c:v>
                </c:pt>
                <c:pt idx="5">
                  <c:v>250969.239285535</c:v>
                </c:pt>
                <c:pt idx="6">
                  <c:v>235478.85437491501</c:v>
                </c:pt>
                <c:pt idx="7">
                  <c:v>221493.98535715253</c:v>
                </c:pt>
                <c:pt idx="8">
                  <c:v>227249.96062490004</c:v>
                </c:pt>
                <c:pt idx="9">
                  <c:v>244982.48874978253</c:v>
                </c:pt>
                <c:pt idx="10">
                  <c:v>288263.81892841257</c:v>
                </c:pt>
                <c:pt idx="11">
                  <c:v>359640.60982113751</c:v>
                </c:pt>
                <c:pt idx="12">
                  <c:v>387356.98785705998</c:v>
                </c:pt>
                <c:pt idx="13">
                  <c:v>399461.79723209748</c:v>
                </c:pt>
                <c:pt idx="14">
                  <c:v>408615.41589271498</c:v>
                </c:pt>
                <c:pt idx="15">
                  <c:v>416288.38241056999</c:v>
                </c:pt>
                <c:pt idx="16">
                  <c:v>410846.62946409499</c:v>
                </c:pt>
                <c:pt idx="17">
                  <c:v>415409.84633900505</c:v>
                </c:pt>
                <c:pt idx="18">
                  <c:v>399790.72133895755</c:v>
                </c:pt>
                <c:pt idx="19">
                  <c:v>344091.30562471005</c:v>
                </c:pt>
                <c:pt idx="20">
                  <c:v>329290.63803545758</c:v>
                </c:pt>
                <c:pt idx="21">
                  <c:v>326509.85374998499</c:v>
                </c:pt>
                <c:pt idx="22">
                  <c:v>326165.80455359747</c:v>
                </c:pt>
                <c:pt idx="23">
                  <c:v>346530.2260714625</c:v>
                </c:pt>
                <c:pt idx="24">
                  <c:v>387005.34205334249</c:v>
                </c:pt>
                <c:pt idx="25">
                  <c:v>378484.81223192246</c:v>
                </c:pt>
                <c:pt idx="26">
                  <c:v>372657.10374978499</c:v>
                </c:pt>
                <c:pt idx="27">
                  <c:v>372111.39535687247</c:v>
                </c:pt>
                <c:pt idx="28">
                  <c:v>349468.85124996997</c:v>
                </c:pt>
                <c:pt idx="29">
                  <c:v>368366.27249987499</c:v>
                </c:pt>
                <c:pt idx="30">
                  <c:v>397337.27999990748</c:v>
                </c:pt>
                <c:pt idx="31">
                  <c:v>406893.80910726503</c:v>
                </c:pt>
                <c:pt idx="32">
                  <c:v>429239.76071437245</c:v>
                </c:pt>
                <c:pt idx="33">
                  <c:v>443294.10196449998</c:v>
                </c:pt>
                <c:pt idx="34">
                  <c:v>430458.71517871995</c:v>
                </c:pt>
                <c:pt idx="35">
                  <c:v>414874.2541964975</c:v>
                </c:pt>
                <c:pt idx="36">
                  <c:v>399051.70732152252</c:v>
                </c:pt>
                <c:pt idx="37">
                  <c:v>392914.00901769247</c:v>
                </c:pt>
                <c:pt idx="38">
                  <c:v>381928.94803554245</c:v>
                </c:pt>
                <c:pt idx="39">
                  <c:v>384693.91749986744</c:v>
                </c:pt>
                <c:pt idx="40">
                  <c:v>378274.95205350744</c:v>
                </c:pt>
                <c:pt idx="41">
                  <c:v>349484.50142883498</c:v>
                </c:pt>
                <c:pt idx="42">
                  <c:v>341221.72741106746</c:v>
                </c:pt>
                <c:pt idx="43">
                  <c:v>330583.52116100496</c:v>
                </c:pt>
                <c:pt idx="44">
                  <c:v>322510.95776803995</c:v>
                </c:pt>
                <c:pt idx="45">
                  <c:v>315481.12366066</c:v>
                </c:pt>
                <c:pt idx="46">
                  <c:v>309195.99196423247</c:v>
                </c:pt>
                <c:pt idx="47">
                  <c:v>295101.82767850498</c:v>
                </c:pt>
                <c:pt idx="48">
                  <c:v>266070.85901779</c:v>
                </c:pt>
                <c:pt idx="49">
                  <c:v>246296.34919647756</c:v>
                </c:pt>
                <c:pt idx="50">
                  <c:v>239013.516250115</c:v>
                </c:pt>
                <c:pt idx="51">
                  <c:v>222765.21696434502</c:v>
                </c:pt>
                <c:pt idx="52">
                  <c:v>215827.20491084</c:v>
                </c:pt>
                <c:pt idx="53">
                  <c:v>210198.40562506247</c:v>
                </c:pt>
                <c:pt idx="54">
                  <c:v>185947.19285712499</c:v>
                </c:pt>
                <c:pt idx="55">
                  <c:v>194999.13937506001</c:v>
                </c:pt>
                <c:pt idx="56">
                  <c:v>194617.58946424999</c:v>
                </c:pt>
                <c:pt idx="57">
                  <c:v>197026.86205362499</c:v>
                </c:pt>
                <c:pt idx="58">
                  <c:v>206604.19580365499</c:v>
                </c:pt>
                <c:pt idx="59">
                  <c:v>198172.75625015495</c:v>
                </c:pt>
                <c:pt idx="60">
                  <c:v>190045.709464485</c:v>
                </c:pt>
                <c:pt idx="61">
                  <c:v>179258.65821436248</c:v>
                </c:pt>
                <c:pt idx="62">
                  <c:v>177420.0959821475</c:v>
                </c:pt>
                <c:pt idx="63">
                  <c:v>178078.36580346752</c:v>
                </c:pt>
                <c:pt idx="64">
                  <c:v>176309.76241069249</c:v>
                </c:pt>
                <c:pt idx="65">
                  <c:v>178959.85732146748</c:v>
                </c:pt>
                <c:pt idx="66">
                  <c:v>188742.59098218748</c:v>
                </c:pt>
                <c:pt idx="67">
                  <c:v>192285.77482147751</c:v>
                </c:pt>
                <c:pt idx="68">
                  <c:v>213529.80866076244</c:v>
                </c:pt>
                <c:pt idx="69">
                  <c:v>222545.5704464782</c:v>
                </c:pt>
                <c:pt idx="70">
                  <c:v>213846.8458930307</c:v>
                </c:pt>
                <c:pt idx="71">
                  <c:v>197757.83223232068</c:v>
                </c:pt>
                <c:pt idx="72">
                  <c:v>172180.38500012894</c:v>
                </c:pt>
                <c:pt idx="73">
                  <c:v>162165.20142874072</c:v>
                </c:pt>
                <c:pt idx="74">
                  <c:v>148397.63312497074</c:v>
                </c:pt>
                <c:pt idx="75">
                  <c:v>146556.26776788576</c:v>
                </c:pt>
                <c:pt idx="76">
                  <c:v>153517.95517864753</c:v>
                </c:pt>
                <c:pt idx="77">
                  <c:v>144048.78955359751</c:v>
                </c:pt>
                <c:pt idx="78">
                  <c:v>135516.70151792752</c:v>
                </c:pt>
                <c:pt idx="79">
                  <c:v>132214.97098221752</c:v>
                </c:pt>
                <c:pt idx="80">
                  <c:v>124536.96133931252</c:v>
                </c:pt>
                <c:pt idx="81">
                  <c:v>123675.45589282751</c:v>
                </c:pt>
                <c:pt idx="82">
                  <c:v>126878.424732215</c:v>
                </c:pt>
                <c:pt idx="83">
                  <c:v>125231.94794639001</c:v>
                </c:pt>
                <c:pt idx="84">
                  <c:v>123247.86687491</c:v>
                </c:pt>
                <c:pt idx="85">
                  <c:v>129137.56705365001</c:v>
                </c:pt>
                <c:pt idx="86">
                  <c:v>131096.23232152499</c:v>
                </c:pt>
                <c:pt idx="87">
                  <c:v>126599.57178590499</c:v>
                </c:pt>
                <c:pt idx="88">
                  <c:v>124842.7276787725</c:v>
                </c:pt>
                <c:pt idx="89">
                  <c:v>125463.63607151748</c:v>
                </c:pt>
                <c:pt idx="90">
                  <c:v>125997.31562495501</c:v>
                </c:pt>
                <c:pt idx="91">
                  <c:v>133744.50535702499</c:v>
                </c:pt>
                <c:pt idx="92">
                  <c:v>130214.20857132001</c:v>
                </c:pt>
                <c:pt idx="93">
                  <c:v>118949.61062494499</c:v>
                </c:pt>
                <c:pt idx="94">
                  <c:v>112156.6025893</c:v>
                </c:pt>
                <c:pt idx="95">
                  <c:v>105616.18491078498</c:v>
                </c:pt>
                <c:pt idx="96">
                  <c:v>107125.29866078748</c:v>
                </c:pt>
                <c:pt idx="97">
                  <c:v>111063.64089287248</c:v>
                </c:pt>
                <c:pt idx="98">
                  <c:v>118636.76232139749</c:v>
                </c:pt>
                <c:pt idx="99">
                  <c:v>123620.78285717999</c:v>
                </c:pt>
                <c:pt idx="100">
                  <c:v>125400.021339265</c:v>
                </c:pt>
                <c:pt idx="101">
                  <c:v>125121.6890178475</c:v>
                </c:pt>
                <c:pt idx="102">
                  <c:v>114052.69616079499</c:v>
                </c:pt>
                <c:pt idx="103">
                  <c:v>110054.93214277999</c:v>
                </c:pt>
                <c:pt idx="104">
                  <c:v>108559.67580353501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38E-485E-AC75-C5B322D4023D}"/>
            </c:ext>
          </c:extLst>
        </c:ser>
        <c:ser>
          <c:idx val="3"/>
          <c:order val="4"/>
          <c:tx>
            <c:strRef>
              <c:f>'NWP NBREN'!$AD$6</c:f>
              <c:strCache>
                <c:ptCount val="1"/>
                <c:pt idx="0">
                  <c:v>RN NWP - 4 Week Avg (Boom Annual Up Front)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NBREN'!$AD$7:$AD$111</c:f>
              <c:numCache>
                <c:formatCode>#,##0</c:formatCode>
                <c:ptCount val="105"/>
                <c:pt idx="3">
                  <c:v>29871.214285642505</c:v>
                </c:pt>
                <c:pt idx="4">
                  <c:v>29914.945624967506</c:v>
                </c:pt>
                <c:pt idx="5">
                  <c:v>33329.551607127498</c:v>
                </c:pt>
                <c:pt idx="6">
                  <c:v>35465.378035702495</c:v>
                </c:pt>
                <c:pt idx="7">
                  <c:v>38576.822767834994</c:v>
                </c:pt>
                <c:pt idx="8">
                  <c:v>37168.849107107497</c:v>
                </c:pt>
                <c:pt idx="9">
                  <c:v>31905.880267807497</c:v>
                </c:pt>
                <c:pt idx="10">
                  <c:v>27540.494285684999</c:v>
                </c:pt>
                <c:pt idx="11">
                  <c:v>21830.969375000001</c:v>
                </c:pt>
                <c:pt idx="12">
                  <c:v>17388.6957143</c:v>
                </c:pt>
                <c:pt idx="13">
                  <c:v>24884.162589312498</c:v>
                </c:pt>
                <c:pt idx="14">
                  <c:v>36436.404642884998</c:v>
                </c:pt>
                <c:pt idx="15">
                  <c:v>51388.298125047499</c:v>
                </c:pt>
                <c:pt idx="16">
                  <c:v>58826.952053577494</c:v>
                </c:pt>
                <c:pt idx="17">
                  <c:v>64329.905624999999</c:v>
                </c:pt>
                <c:pt idx="18">
                  <c:v>63342.020803527499</c:v>
                </c:pt>
                <c:pt idx="19">
                  <c:v>55709.033660667497</c:v>
                </c:pt>
                <c:pt idx="20">
                  <c:v>52833.619910697496</c:v>
                </c:pt>
                <c:pt idx="21">
                  <c:v>49516.31428567</c:v>
                </c:pt>
                <c:pt idx="22">
                  <c:v>43249.980535699993</c:v>
                </c:pt>
                <c:pt idx="23">
                  <c:v>43933.462767824996</c:v>
                </c:pt>
                <c:pt idx="24">
                  <c:v>47628.504107109999</c:v>
                </c:pt>
                <c:pt idx="25">
                  <c:v>42346.793124974996</c:v>
                </c:pt>
                <c:pt idx="26">
                  <c:v>43925.454285719999</c:v>
                </c:pt>
                <c:pt idx="27">
                  <c:v>44635.635803539997</c:v>
                </c:pt>
                <c:pt idx="28">
                  <c:v>46568.562053554997</c:v>
                </c:pt>
                <c:pt idx="29">
                  <c:v>52545.722232159998</c:v>
                </c:pt>
                <c:pt idx="30">
                  <c:v>57764.865625024991</c:v>
                </c:pt>
                <c:pt idx="31">
                  <c:v>63751.516517907505</c:v>
                </c:pt>
                <c:pt idx="32">
                  <c:v>60252.655446465003</c:v>
                </c:pt>
                <c:pt idx="33">
                  <c:v>58759.364375055004</c:v>
                </c:pt>
                <c:pt idx="34">
                  <c:v>53385.19205355001</c:v>
                </c:pt>
                <c:pt idx="35">
                  <c:v>42207.154732130002</c:v>
                </c:pt>
                <c:pt idx="36">
                  <c:v>39046.519107155</c:v>
                </c:pt>
                <c:pt idx="37">
                  <c:v>35413.109107132506</c:v>
                </c:pt>
                <c:pt idx="38">
                  <c:v>32422.178125065002</c:v>
                </c:pt>
                <c:pt idx="39">
                  <c:v>37157.583928652501</c:v>
                </c:pt>
                <c:pt idx="40">
                  <c:v>40344.663571472498</c:v>
                </c:pt>
                <c:pt idx="41">
                  <c:v>41370.222767897503</c:v>
                </c:pt>
                <c:pt idx="42">
                  <c:v>42602.161696447503</c:v>
                </c:pt>
                <c:pt idx="43">
                  <c:v>37289.21696428</c:v>
                </c:pt>
                <c:pt idx="44">
                  <c:v>33866.5982142625</c:v>
                </c:pt>
                <c:pt idx="45">
                  <c:v>28906.410357132499</c:v>
                </c:pt>
                <c:pt idx="46">
                  <c:v>28859.264374959999</c:v>
                </c:pt>
                <c:pt idx="47">
                  <c:v>27343.924910672496</c:v>
                </c:pt>
                <c:pt idx="48">
                  <c:v>27730.629196387497</c:v>
                </c:pt>
                <c:pt idx="49">
                  <c:v>32060.967410664998</c:v>
                </c:pt>
                <c:pt idx="50">
                  <c:v>30317.639553530003</c:v>
                </c:pt>
                <c:pt idx="51">
                  <c:v>31304.786785704997</c:v>
                </c:pt>
                <c:pt idx="52">
                  <c:v>32809.189107177495</c:v>
                </c:pt>
                <c:pt idx="53">
                  <c:v>33024.800267895</c:v>
                </c:pt>
                <c:pt idx="54">
                  <c:v>35232.712053552495</c:v>
                </c:pt>
                <c:pt idx="55">
                  <c:v>42034.282232104997</c:v>
                </c:pt>
                <c:pt idx="56">
                  <c:v>43876.791785669993</c:v>
                </c:pt>
                <c:pt idx="57">
                  <c:v>45490.298928525001</c:v>
                </c:pt>
                <c:pt idx="58">
                  <c:v>43850.612232150001</c:v>
                </c:pt>
                <c:pt idx="59">
                  <c:v>39152.655624999999</c:v>
                </c:pt>
                <c:pt idx="60">
                  <c:v>36657.382142889997</c:v>
                </c:pt>
                <c:pt idx="61">
                  <c:v>34208.658571459993</c:v>
                </c:pt>
                <c:pt idx="62">
                  <c:v>41454.874464307497</c:v>
                </c:pt>
                <c:pt idx="63">
                  <c:v>51801.943214305</c:v>
                </c:pt>
                <c:pt idx="64">
                  <c:v>56381.150178562493</c:v>
                </c:pt>
                <c:pt idx="65">
                  <c:v>60183.731874987498</c:v>
                </c:pt>
                <c:pt idx="66">
                  <c:v>68658.070892795004</c:v>
                </c:pt>
                <c:pt idx="67">
                  <c:v>67700.239910614997</c:v>
                </c:pt>
                <c:pt idx="68">
                  <c:v>70321.807857045002</c:v>
                </c:pt>
                <c:pt idx="69">
                  <c:v>71997.797231997509</c:v>
                </c:pt>
                <c:pt idx="70">
                  <c:v>62849.083749915</c:v>
                </c:pt>
                <c:pt idx="71">
                  <c:v>61250.930446317499</c:v>
                </c:pt>
                <c:pt idx="72">
                  <c:v>57466.109107065</c:v>
                </c:pt>
                <c:pt idx="73">
                  <c:v>59800.614642877503</c:v>
                </c:pt>
                <c:pt idx="74">
                  <c:v>62135.128392917504</c:v>
                </c:pt>
                <c:pt idx="75">
                  <c:v>58051.440535812508</c:v>
                </c:pt>
                <c:pt idx="76">
                  <c:v>60742.590892880005</c:v>
                </c:pt>
                <c:pt idx="77">
                  <c:v>57479.630803542503</c:v>
                </c:pt>
                <c:pt idx="78">
                  <c:v>52773.188392777491</c:v>
                </c:pt>
                <c:pt idx="79">
                  <c:v>49986.713124937502</c:v>
                </c:pt>
                <c:pt idx="80">
                  <c:v>50389.967410617493</c:v>
                </c:pt>
                <c:pt idx="81">
                  <c:v>48292.086249892505</c:v>
                </c:pt>
                <c:pt idx="82">
                  <c:v>50637.887142732507</c:v>
                </c:pt>
                <c:pt idx="83">
                  <c:v>54079.921606997494</c:v>
                </c:pt>
                <c:pt idx="84">
                  <c:v>55488.442589244994</c:v>
                </c:pt>
                <c:pt idx="85">
                  <c:v>58044.912053515</c:v>
                </c:pt>
                <c:pt idx="86">
                  <c:v>55745.369732099985</c:v>
                </c:pt>
                <c:pt idx="87">
                  <c:v>58000.328928482486</c:v>
                </c:pt>
                <c:pt idx="88">
                  <c:v>57150.705803445002</c:v>
                </c:pt>
                <c:pt idx="89">
                  <c:v>58532.095981997489</c:v>
                </c:pt>
                <c:pt idx="90">
                  <c:v>57844.218124884996</c:v>
                </c:pt>
                <c:pt idx="91">
                  <c:v>59013.879196407506</c:v>
                </c:pt>
                <c:pt idx="92">
                  <c:v>58834.155267835005</c:v>
                </c:pt>
                <c:pt idx="93">
                  <c:v>59656.828214322501</c:v>
                </c:pt>
                <c:pt idx="94">
                  <c:v>63686.148660755003</c:v>
                </c:pt>
                <c:pt idx="95">
                  <c:v>61433.732142934998</c:v>
                </c:pt>
                <c:pt idx="96">
                  <c:v>59265.516250092493</c:v>
                </c:pt>
                <c:pt idx="97">
                  <c:v>53638.577767942501</c:v>
                </c:pt>
                <c:pt idx="98">
                  <c:v>50516.952678667498</c:v>
                </c:pt>
                <c:pt idx="99">
                  <c:v>49891.685267897497</c:v>
                </c:pt>
                <c:pt idx="100">
                  <c:v>45689.094464315</c:v>
                </c:pt>
                <c:pt idx="101">
                  <c:v>44644.505535734999</c:v>
                </c:pt>
                <c:pt idx="102">
                  <c:v>39218.227142875003</c:v>
                </c:pt>
                <c:pt idx="103">
                  <c:v>31692.518125004997</c:v>
                </c:pt>
                <c:pt idx="104">
                  <c:v>32433.665357149999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38E-485E-AC75-C5B322D40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NBREN'!$AB$6</c:f>
              <c:strCache>
                <c:ptCount val="1"/>
                <c:pt idx="0">
                  <c:v>NB Average NWP - 4 Week Avg (Boom Annual Up Front)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NBREN'!$AB$7:$AB$111</c:f>
              <c:numCache>
                <c:formatCode>#,##0</c:formatCode>
                <c:ptCount val="105"/>
                <c:pt idx="3">
                  <c:v>1263.8911739521518</c:v>
                </c:pt>
                <c:pt idx="4">
                  <c:v>1254.9329672209763</c:v>
                </c:pt>
                <c:pt idx="5">
                  <c:v>1282.5536602312786</c:v>
                </c:pt>
                <c:pt idx="6">
                  <c:v>1278.7394129139716</c:v>
                </c:pt>
                <c:pt idx="7">
                  <c:v>1288.3972921668792</c:v>
                </c:pt>
                <c:pt idx="8">
                  <c:v>1296.8817906922975</c:v>
                </c:pt>
                <c:pt idx="9">
                  <c:v>1261.6672089960671</c:v>
                </c:pt>
                <c:pt idx="10">
                  <c:v>1267.7124356339461</c:v>
                </c:pt>
                <c:pt idx="11">
                  <c:v>1194.9375865641723</c:v>
                </c:pt>
                <c:pt idx="12">
                  <c:v>1136.0488530331083</c:v>
                </c:pt>
                <c:pt idx="13">
                  <c:v>1085.6023268367612</c:v>
                </c:pt>
                <c:pt idx="14">
                  <c:v>1020.036012790506</c:v>
                </c:pt>
                <c:pt idx="15">
                  <c:v>1010.5830494871449</c:v>
                </c:pt>
                <c:pt idx="16">
                  <c:v>1014.0909617985747</c:v>
                </c:pt>
                <c:pt idx="17">
                  <c:v>1028.380178635618</c:v>
                </c:pt>
                <c:pt idx="18">
                  <c:v>1016.1094523040897</c:v>
                </c:pt>
                <c:pt idx="19">
                  <c:v>1015.2306308451249</c:v>
                </c:pt>
                <c:pt idx="20">
                  <c:v>1009.7093626332804</c:v>
                </c:pt>
                <c:pt idx="21">
                  <c:v>1005.5915107338452</c:v>
                </c:pt>
                <c:pt idx="22">
                  <c:v>1015.2656644492315</c:v>
                </c:pt>
                <c:pt idx="23">
                  <c:v>1004.1212163285415</c:v>
                </c:pt>
                <c:pt idx="24">
                  <c:v>1009.1732696207401</c:v>
                </c:pt>
                <c:pt idx="25">
                  <c:v>1032.5016221086316</c:v>
                </c:pt>
                <c:pt idx="26">
                  <c:v>1034.3547795172501</c:v>
                </c:pt>
                <c:pt idx="27">
                  <c:v>1056.6559773680217</c:v>
                </c:pt>
                <c:pt idx="28">
                  <c:v>1039.1752789902857</c:v>
                </c:pt>
                <c:pt idx="29">
                  <c:v>1048.9541864681403</c:v>
                </c:pt>
                <c:pt idx="30">
                  <c:v>1064.6769528926789</c:v>
                </c:pt>
                <c:pt idx="31">
                  <c:v>1059.9781890495083</c:v>
                </c:pt>
                <c:pt idx="32">
                  <c:v>1085.8592984653637</c:v>
                </c:pt>
                <c:pt idx="33">
                  <c:v>1058.9776537024782</c:v>
                </c:pt>
                <c:pt idx="34">
                  <c:v>1027.6718322737465</c:v>
                </c:pt>
                <c:pt idx="35">
                  <c:v>991.54361376658608</c:v>
                </c:pt>
                <c:pt idx="36">
                  <c:v>953.86377350238138</c:v>
                </c:pt>
                <c:pt idx="37">
                  <c:v>915.89816493793353</c:v>
                </c:pt>
                <c:pt idx="38">
                  <c:v>891.23861804011835</c:v>
                </c:pt>
                <c:pt idx="39">
                  <c:v>894.32690995475923</c:v>
                </c:pt>
                <c:pt idx="40">
                  <c:v>883.38074091955514</c:v>
                </c:pt>
                <c:pt idx="41">
                  <c:v>886.36205962391</c:v>
                </c:pt>
                <c:pt idx="42">
                  <c:v>883.55525453841585</c:v>
                </c:pt>
                <c:pt idx="43">
                  <c:v>877.16566369954455</c:v>
                </c:pt>
                <c:pt idx="44">
                  <c:v>877.15999936198239</c:v>
                </c:pt>
                <c:pt idx="45">
                  <c:v>885.78292813238511</c:v>
                </c:pt>
                <c:pt idx="46">
                  <c:v>892.1697806988077</c:v>
                </c:pt>
                <c:pt idx="47">
                  <c:v>882.67673715481556</c:v>
                </c:pt>
                <c:pt idx="48">
                  <c:v>873.3646107398223</c:v>
                </c:pt>
                <c:pt idx="49">
                  <c:v>858.22649587276487</c:v>
                </c:pt>
                <c:pt idx="50">
                  <c:v>870.06135734574423</c:v>
                </c:pt>
                <c:pt idx="51">
                  <c:v>886.37400247142841</c:v>
                </c:pt>
                <c:pt idx="52">
                  <c:v>896.78713732876918</c:v>
                </c:pt>
                <c:pt idx="53">
                  <c:v>884.14190476048373</c:v>
                </c:pt>
                <c:pt idx="54">
                  <c:v>870.14105011551612</c:v>
                </c:pt>
                <c:pt idx="55">
                  <c:v>869.05733611991559</c:v>
                </c:pt>
                <c:pt idx="56">
                  <c:v>872.44369324038405</c:v>
                </c:pt>
                <c:pt idx="57">
                  <c:v>898.76233397587873</c:v>
                </c:pt>
                <c:pt idx="58">
                  <c:v>928.7919876013525</c:v>
                </c:pt>
                <c:pt idx="59">
                  <c:v>921.25106544396021</c:v>
                </c:pt>
                <c:pt idx="60">
                  <c:v>927.13093729540446</c:v>
                </c:pt>
                <c:pt idx="61">
                  <c:v>905.88441309136726</c:v>
                </c:pt>
                <c:pt idx="62">
                  <c:v>877.95287402422753</c:v>
                </c:pt>
                <c:pt idx="63">
                  <c:v>881.9942542850672</c:v>
                </c:pt>
                <c:pt idx="64">
                  <c:v>861.78949447767161</c:v>
                </c:pt>
                <c:pt idx="65">
                  <c:v>886.26189701002477</c:v>
                </c:pt>
                <c:pt idx="66">
                  <c:v>922.52666317503588</c:v>
                </c:pt>
                <c:pt idx="67">
                  <c:v>956.60809868214471</c:v>
                </c:pt>
                <c:pt idx="68">
                  <c:v>984.43404618973818</c:v>
                </c:pt>
                <c:pt idx="69">
                  <c:v>974.15952018160306</c:v>
                </c:pt>
                <c:pt idx="70">
                  <c:v>968.25753748219654</c:v>
                </c:pt>
                <c:pt idx="71">
                  <c:v>963.47540369557964</c:v>
                </c:pt>
                <c:pt idx="72">
                  <c:v>947.10303027920338</c:v>
                </c:pt>
                <c:pt idx="73">
                  <c:v>960.92815690685075</c:v>
                </c:pt>
                <c:pt idx="74">
                  <c:v>947.31497447058211</c:v>
                </c:pt>
                <c:pt idx="75">
                  <c:v>950.52616272837918</c:v>
                </c:pt>
                <c:pt idx="76">
                  <c:v>955.0982933810335</c:v>
                </c:pt>
                <c:pt idx="77">
                  <c:v>927.76685055214932</c:v>
                </c:pt>
                <c:pt idx="78">
                  <c:v>920.7308397060242</c:v>
                </c:pt>
                <c:pt idx="79">
                  <c:v>895.90579808414464</c:v>
                </c:pt>
                <c:pt idx="80">
                  <c:v>914.20545378135557</c:v>
                </c:pt>
                <c:pt idx="81">
                  <c:v>965.46797964894995</c:v>
                </c:pt>
                <c:pt idx="82">
                  <c:v>990.88836726313639</c:v>
                </c:pt>
                <c:pt idx="83">
                  <c:v>1000.1343300810594</c:v>
                </c:pt>
                <c:pt idx="84">
                  <c:v>981.70684324536751</c:v>
                </c:pt>
                <c:pt idx="85">
                  <c:v>972.33683159554937</c:v>
                </c:pt>
                <c:pt idx="86">
                  <c:v>1008.8704707789695</c:v>
                </c:pt>
                <c:pt idx="87">
                  <c:v>987.98191582215327</c:v>
                </c:pt>
                <c:pt idx="88">
                  <c:v>990.06766183502157</c:v>
                </c:pt>
                <c:pt idx="89">
                  <c:v>979.75541129519684</c:v>
                </c:pt>
                <c:pt idx="90">
                  <c:v>952.42639535934791</c:v>
                </c:pt>
                <c:pt idx="91">
                  <c:v>991.64934431280756</c:v>
                </c:pt>
                <c:pt idx="92">
                  <c:v>990.40928372847202</c:v>
                </c:pt>
                <c:pt idx="93">
                  <c:v>974.81734989296763</c:v>
                </c:pt>
                <c:pt idx="94">
                  <c:v>946.61102721384168</c:v>
                </c:pt>
                <c:pt idx="95">
                  <c:v>940.6695622913702</c:v>
                </c:pt>
                <c:pt idx="96">
                  <c:v>942.04023526496724</c:v>
                </c:pt>
                <c:pt idx="97">
                  <c:v>990.84752147259678</c:v>
                </c:pt>
                <c:pt idx="98">
                  <c:v>1009.3273241912223</c:v>
                </c:pt>
                <c:pt idx="99">
                  <c:v>1013.049516287341</c:v>
                </c:pt>
                <c:pt idx="100">
                  <c:v>1046.2935728857433</c:v>
                </c:pt>
                <c:pt idx="101">
                  <c:v>1036.8059834911444</c:v>
                </c:pt>
                <c:pt idx="102">
                  <c:v>999.87944314698302</c:v>
                </c:pt>
                <c:pt idx="103">
                  <c:v>995.9492779810646</c:v>
                </c:pt>
                <c:pt idx="104">
                  <c:v>977.63542016217889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38E-485E-AC75-C5B322D4023D}"/>
            </c:ext>
          </c:extLst>
        </c:ser>
        <c:ser>
          <c:idx val="6"/>
          <c:order val="5"/>
          <c:tx>
            <c:strRef>
              <c:f>'NWP NBREN'!$AE$6</c:f>
              <c:strCache>
                <c:ptCount val="1"/>
                <c:pt idx="0">
                  <c:v>RN Average NWP - 4 Week Avg (Boom Annual Up Front)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NBREN'!$AE$7:$AE$111</c:f>
              <c:numCache>
                <c:formatCode>#,##0</c:formatCode>
                <c:ptCount val="105"/>
                <c:pt idx="3">
                  <c:v>1193.950230808081</c:v>
                </c:pt>
                <c:pt idx="4">
                  <c:v>1237.0869942023596</c:v>
                </c:pt>
                <c:pt idx="5">
                  <c:v>1181.1469284137347</c:v>
                </c:pt>
                <c:pt idx="6">
                  <c:v>1173.8291706844718</c:v>
                </c:pt>
                <c:pt idx="7">
                  <c:v>1213.8330186396963</c:v>
                </c:pt>
                <c:pt idx="8">
                  <c:v>1132.9426846444853</c:v>
                </c:pt>
                <c:pt idx="9">
                  <c:v>1120.3954835680966</c:v>
                </c:pt>
                <c:pt idx="10">
                  <c:v>1123.7194518601548</c:v>
                </c:pt>
                <c:pt idx="11">
                  <c:v>1073.668689531607</c:v>
                </c:pt>
                <c:pt idx="12">
                  <c:v>969.18790510587621</c:v>
                </c:pt>
                <c:pt idx="13">
                  <c:v>948.45367395582991</c:v>
                </c:pt>
                <c:pt idx="14">
                  <c:v>912.24699861529177</c:v>
                </c:pt>
                <c:pt idx="15">
                  <c:v>865.92007185289549</c:v>
                </c:pt>
                <c:pt idx="16">
                  <c:v>861.31506558631668</c:v>
                </c:pt>
                <c:pt idx="17">
                  <c:v>879.80873030954967</c:v>
                </c:pt>
                <c:pt idx="18">
                  <c:v>872.52293226589995</c:v>
                </c:pt>
                <c:pt idx="19">
                  <c:v>889.91160647709557</c:v>
                </c:pt>
                <c:pt idx="20">
                  <c:v>883.07800307989157</c:v>
                </c:pt>
                <c:pt idx="21">
                  <c:v>864.58281739879681</c:v>
                </c:pt>
                <c:pt idx="22">
                  <c:v>829.64255196516785</c:v>
                </c:pt>
                <c:pt idx="23">
                  <c:v>793.62119149259127</c:v>
                </c:pt>
                <c:pt idx="24">
                  <c:v>814.83422628128642</c:v>
                </c:pt>
                <c:pt idx="25">
                  <c:v>770.40044882593327</c:v>
                </c:pt>
                <c:pt idx="26">
                  <c:v>785.05873454666983</c:v>
                </c:pt>
                <c:pt idx="27">
                  <c:v>777.70394117208446</c:v>
                </c:pt>
                <c:pt idx="28">
                  <c:v>743.01197375376114</c:v>
                </c:pt>
                <c:pt idx="29">
                  <c:v>778.64591048908972</c:v>
                </c:pt>
                <c:pt idx="30">
                  <c:v>781.18332857692769</c:v>
                </c:pt>
                <c:pt idx="31">
                  <c:v>823.17131334571991</c:v>
                </c:pt>
                <c:pt idx="32">
                  <c:v>815.47433321879566</c:v>
                </c:pt>
                <c:pt idx="33">
                  <c:v>794.14160362722419</c:v>
                </c:pt>
                <c:pt idx="34">
                  <c:v>792.41515117771644</c:v>
                </c:pt>
                <c:pt idx="35">
                  <c:v>744.4385079846038</c:v>
                </c:pt>
                <c:pt idx="36">
                  <c:v>768.66201536757069</c:v>
                </c:pt>
                <c:pt idx="37">
                  <c:v>783.57095286726667</c:v>
                </c:pt>
                <c:pt idx="38">
                  <c:v>779.44296711202855</c:v>
                </c:pt>
                <c:pt idx="39">
                  <c:v>800.58368455572781</c:v>
                </c:pt>
                <c:pt idx="40">
                  <c:v>791.74051412884182</c:v>
                </c:pt>
                <c:pt idx="41">
                  <c:v>764.77413615258024</c:v>
                </c:pt>
                <c:pt idx="42">
                  <c:v>765.798782463674</c:v>
                </c:pt>
                <c:pt idx="43">
                  <c:v>725.60216523724716</c:v>
                </c:pt>
                <c:pt idx="44">
                  <c:v>728.24693810630424</c:v>
                </c:pt>
                <c:pt idx="45">
                  <c:v>786.14693959490842</c:v>
                </c:pt>
                <c:pt idx="46">
                  <c:v>850.88753917256463</c:v>
                </c:pt>
                <c:pt idx="47">
                  <c:v>954.20990536132126</c:v>
                </c:pt>
                <c:pt idx="48">
                  <c:v>1009.1521414452961</c:v>
                </c:pt>
                <c:pt idx="49">
                  <c:v>991.24153811931342</c:v>
                </c:pt>
                <c:pt idx="50">
                  <c:v>969.62394635363648</c:v>
                </c:pt>
                <c:pt idx="51">
                  <c:v>903.90889340992146</c:v>
                </c:pt>
                <c:pt idx="52">
                  <c:v>898.73262067298595</c:v>
                </c:pt>
                <c:pt idx="53">
                  <c:v>894.20900338850004</c:v>
                </c:pt>
                <c:pt idx="54">
                  <c:v>868.77597834850678</c:v>
                </c:pt>
                <c:pt idx="55">
                  <c:v>923.50799144299003</c:v>
                </c:pt>
                <c:pt idx="56">
                  <c:v>927.45560871515681</c:v>
                </c:pt>
                <c:pt idx="57">
                  <c:v>1025.6660013960586</c:v>
                </c:pt>
                <c:pt idx="58">
                  <c:v>1011.9956689665054</c:v>
                </c:pt>
                <c:pt idx="59">
                  <c:v>964.29897088945154</c:v>
                </c:pt>
                <c:pt idx="60">
                  <c:v>955.43225065228478</c:v>
                </c:pt>
                <c:pt idx="61">
                  <c:v>848.27579551983627</c:v>
                </c:pt>
                <c:pt idx="62">
                  <c:v>881.48729354665079</c:v>
                </c:pt>
                <c:pt idx="63">
                  <c:v>905.99004166872237</c:v>
                </c:pt>
                <c:pt idx="64">
                  <c:v>896.59329666238614</c:v>
                </c:pt>
                <c:pt idx="65">
                  <c:v>898.94224694860736</c:v>
                </c:pt>
                <c:pt idx="66">
                  <c:v>876.03424170224503</c:v>
                </c:pt>
                <c:pt idx="67">
                  <c:v>810.38525645750519</c:v>
                </c:pt>
                <c:pt idx="68">
                  <c:v>791.94008821630848</c:v>
                </c:pt>
                <c:pt idx="69">
                  <c:v>798.28979365249279</c:v>
                </c:pt>
                <c:pt idx="70">
                  <c:v>783.96032590119739</c:v>
                </c:pt>
                <c:pt idx="71">
                  <c:v>814.72467583208197</c:v>
                </c:pt>
                <c:pt idx="72">
                  <c:v>813.11375109358039</c:v>
                </c:pt>
                <c:pt idx="73">
                  <c:v>808.09794037751158</c:v>
                </c:pt>
                <c:pt idx="74">
                  <c:v>807.60118266041729</c:v>
                </c:pt>
                <c:pt idx="75">
                  <c:v>799.77128613141929</c:v>
                </c:pt>
                <c:pt idx="76">
                  <c:v>809.42553109543167</c:v>
                </c:pt>
                <c:pt idx="77">
                  <c:v>787.95518968631484</c:v>
                </c:pt>
                <c:pt idx="78">
                  <c:v>798.45587954605912</c:v>
                </c:pt>
                <c:pt idx="79">
                  <c:v>785.24640532113176</c:v>
                </c:pt>
                <c:pt idx="80">
                  <c:v>781.92095519343547</c:v>
                </c:pt>
                <c:pt idx="81">
                  <c:v>790.01492086460598</c:v>
                </c:pt>
                <c:pt idx="82">
                  <c:v>793.79089960590363</c:v>
                </c:pt>
                <c:pt idx="83">
                  <c:v>787.03827950283505</c:v>
                </c:pt>
                <c:pt idx="84">
                  <c:v>791.76915000689542</c:v>
                </c:pt>
                <c:pt idx="85">
                  <c:v>784.82268908182607</c:v>
                </c:pt>
                <c:pt idx="86">
                  <c:v>765.74697773976573</c:v>
                </c:pt>
                <c:pt idx="87">
                  <c:v>762.03459704637328</c:v>
                </c:pt>
                <c:pt idx="88">
                  <c:v>743.13332323734755</c:v>
                </c:pt>
                <c:pt idx="89">
                  <c:v>724.14315168478993</c:v>
                </c:pt>
                <c:pt idx="90">
                  <c:v>695.84013230185133</c:v>
                </c:pt>
                <c:pt idx="91">
                  <c:v>735.08732618049999</c:v>
                </c:pt>
                <c:pt idx="92">
                  <c:v>715.03306847435033</c:v>
                </c:pt>
                <c:pt idx="93">
                  <c:v>744.74019310409949</c:v>
                </c:pt>
                <c:pt idx="94">
                  <c:v>764.80628195148881</c:v>
                </c:pt>
                <c:pt idx="95">
                  <c:v>753.39337576002117</c:v>
                </c:pt>
                <c:pt idx="96">
                  <c:v>767.77090583447784</c:v>
                </c:pt>
                <c:pt idx="97">
                  <c:v>755.86503192977148</c:v>
                </c:pt>
                <c:pt idx="98">
                  <c:v>767.48377015832057</c:v>
                </c:pt>
                <c:pt idx="99">
                  <c:v>755.91335845516767</c:v>
                </c:pt>
                <c:pt idx="100">
                  <c:v>759.52660573763148</c:v>
                </c:pt>
                <c:pt idx="101">
                  <c:v>798.87929019019498</c:v>
                </c:pt>
                <c:pt idx="102">
                  <c:v>755.33005959272873</c:v>
                </c:pt>
                <c:pt idx="103">
                  <c:v>777.52979862832069</c:v>
                </c:pt>
                <c:pt idx="104">
                  <c:v>762.57903164825234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638E-485E-AC75-C5B322D40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Annual Premium Finance: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NBREN'!$AH$6</c:f>
              <c:strCache>
                <c:ptCount val="1"/>
                <c:pt idx="0">
                  <c:v>NB NWP (Boom Annual Premium Finance)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NBREN'!$AH$7:$AH$111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194068.92464344</c:v>
                </c:pt>
                <c:pt idx="24">
                  <c:v>608487.30714173988</c:v>
                </c:pt>
                <c:pt idx="25">
                  <c:v>551056.91750047996</c:v>
                </c:pt>
                <c:pt idx="26">
                  <c:v>562021.32035764016</c:v>
                </c:pt>
                <c:pt idx="27">
                  <c:v>872174.39250002988</c:v>
                </c:pt>
                <c:pt idx="28">
                  <c:v>1262777.9667850102</c:v>
                </c:pt>
                <c:pt idx="29">
                  <c:v>1151626.7621429504</c:v>
                </c:pt>
                <c:pt idx="30">
                  <c:v>1061456.48214301</c:v>
                </c:pt>
                <c:pt idx="31">
                  <c:v>1184902.5596423801</c:v>
                </c:pt>
                <c:pt idx="32">
                  <c:v>1362771.5389302899</c:v>
                </c:pt>
                <c:pt idx="33">
                  <c:v>1221499.2492867596</c:v>
                </c:pt>
                <c:pt idx="34">
                  <c:v>1077621.05714405</c:v>
                </c:pt>
                <c:pt idx="35">
                  <c:v>1081352.8035718701</c:v>
                </c:pt>
                <c:pt idx="36">
                  <c:v>1315559.1950001002</c:v>
                </c:pt>
                <c:pt idx="37">
                  <c:v>1183557.5428567301</c:v>
                </c:pt>
                <c:pt idx="38">
                  <c:v>994791.65107186954</c:v>
                </c:pt>
                <c:pt idx="39">
                  <c:v>980733.03178555984</c:v>
                </c:pt>
                <c:pt idx="40">
                  <c:v>1052996.1335710902</c:v>
                </c:pt>
                <c:pt idx="41">
                  <c:v>1035583.19857012</c:v>
                </c:pt>
                <c:pt idx="42">
                  <c:v>908297.05535666994</c:v>
                </c:pt>
                <c:pt idx="43">
                  <c:v>912765.91357170022</c:v>
                </c:pt>
                <c:pt idx="44">
                  <c:v>820444.15892906999</c:v>
                </c:pt>
                <c:pt idx="45">
                  <c:v>977779.31785667024</c:v>
                </c:pt>
                <c:pt idx="46">
                  <c:v>893203.85357165011</c:v>
                </c:pt>
                <c:pt idx="47">
                  <c:v>758106.01142911019</c:v>
                </c:pt>
                <c:pt idx="48">
                  <c:v>727964.43821506004</c:v>
                </c:pt>
                <c:pt idx="49">
                  <c:v>735324.24214265996</c:v>
                </c:pt>
                <c:pt idx="50">
                  <c:v>806462.0739292698</c:v>
                </c:pt>
                <c:pt idx="51">
                  <c:v>731414.69678614009</c:v>
                </c:pt>
                <c:pt idx="52">
                  <c:v>666276.55571447988</c:v>
                </c:pt>
                <c:pt idx="53">
                  <c:v>637979.92892924009</c:v>
                </c:pt>
                <c:pt idx="54">
                  <c:v>620736.36107127008</c:v>
                </c:pt>
                <c:pt idx="55">
                  <c:v>691946.50250047015</c:v>
                </c:pt>
                <c:pt idx="56">
                  <c:v>561462.72214317007</c:v>
                </c:pt>
                <c:pt idx="57">
                  <c:v>638779.95428501035</c:v>
                </c:pt>
                <c:pt idx="58">
                  <c:v>718972.79928574024</c:v>
                </c:pt>
                <c:pt idx="59">
                  <c:v>642394.97821455973</c:v>
                </c:pt>
                <c:pt idx="60">
                  <c:v>557758.40607104008</c:v>
                </c:pt>
                <c:pt idx="61">
                  <c:v>659849.66999986034</c:v>
                </c:pt>
                <c:pt idx="62">
                  <c:v>664593.26892832003</c:v>
                </c:pt>
                <c:pt idx="63">
                  <c:v>750230.50107170991</c:v>
                </c:pt>
                <c:pt idx="64">
                  <c:v>656826.02999896032</c:v>
                </c:pt>
                <c:pt idx="65">
                  <c:v>653844.7910717401</c:v>
                </c:pt>
                <c:pt idx="66">
                  <c:v>803385.59321418009</c:v>
                </c:pt>
                <c:pt idx="67">
                  <c:v>905372.17071482993</c:v>
                </c:pt>
                <c:pt idx="68">
                  <c:v>918517.27035650029</c:v>
                </c:pt>
                <c:pt idx="69">
                  <c:v>806828.33142913005</c:v>
                </c:pt>
                <c:pt idx="70">
                  <c:v>818161.3946426101</c:v>
                </c:pt>
                <c:pt idx="71">
                  <c:v>656852.86964237015</c:v>
                </c:pt>
                <c:pt idx="72">
                  <c:v>748123.06321459042</c:v>
                </c:pt>
                <c:pt idx="73">
                  <c:v>820370.93857134006</c:v>
                </c:pt>
                <c:pt idx="74">
                  <c:v>828057.1657135</c:v>
                </c:pt>
                <c:pt idx="75">
                  <c:v>745959.02071486006</c:v>
                </c:pt>
                <c:pt idx="76">
                  <c:v>837916.89607200981</c:v>
                </c:pt>
                <c:pt idx="77">
                  <c:v>810514.59714269976</c:v>
                </c:pt>
                <c:pt idx="78">
                  <c:v>674011.32035625982</c:v>
                </c:pt>
                <c:pt idx="79">
                  <c:v>577461.33142868022</c:v>
                </c:pt>
                <c:pt idx="80">
                  <c:v>701320.93928609998</c:v>
                </c:pt>
                <c:pt idx="81">
                  <c:v>728458.27428591973</c:v>
                </c:pt>
                <c:pt idx="82">
                  <c:v>714828.19999958982</c:v>
                </c:pt>
                <c:pt idx="83">
                  <c:v>747695.05035698996</c:v>
                </c:pt>
                <c:pt idx="84">
                  <c:v>841087.78178572969</c:v>
                </c:pt>
                <c:pt idx="85">
                  <c:v>853133.09535710281</c:v>
                </c:pt>
                <c:pt idx="86">
                  <c:v>784572.97571360995</c:v>
                </c:pt>
                <c:pt idx="87">
                  <c:v>794528.75857047003</c:v>
                </c:pt>
                <c:pt idx="88">
                  <c:v>664189.30535707006</c:v>
                </c:pt>
                <c:pt idx="89">
                  <c:v>867041.13821367011</c:v>
                </c:pt>
                <c:pt idx="90">
                  <c:v>691993.50428575999</c:v>
                </c:pt>
                <c:pt idx="91">
                  <c:v>678570.9446428899</c:v>
                </c:pt>
                <c:pt idx="92">
                  <c:v>661111.94785728015</c:v>
                </c:pt>
                <c:pt idx="93">
                  <c:v>729627.31178577</c:v>
                </c:pt>
                <c:pt idx="94">
                  <c:v>699666.44714325992</c:v>
                </c:pt>
                <c:pt idx="95">
                  <c:v>656165.63107170991</c:v>
                </c:pt>
                <c:pt idx="96">
                  <c:v>589127.63250084012</c:v>
                </c:pt>
                <c:pt idx="97">
                  <c:v>654299.64428572997</c:v>
                </c:pt>
                <c:pt idx="98">
                  <c:v>741665.66428558005</c:v>
                </c:pt>
                <c:pt idx="99">
                  <c:v>677752.10249997</c:v>
                </c:pt>
                <c:pt idx="100">
                  <c:v>562692.27642903</c:v>
                </c:pt>
                <c:pt idx="101">
                  <c:v>562471.49892813002</c:v>
                </c:pt>
                <c:pt idx="102">
                  <c:v>630377.54607119993</c:v>
                </c:pt>
                <c:pt idx="103">
                  <c:v>566011.48249978002</c:v>
                </c:pt>
                <c:pt idx="104">
                  <c:v>567064.38750021998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CA6-4D56-8867-4B8E62A4786B}"/>
            </c:ext>
          </c:extLst>
        </c:ser>
        <c:ser>
          <c:idx val="5"/>
          <c:order val="3"/>
          <c:tx>
            <c:strRef>
              <c:f>'NWP NBREN'!$AK$6</c:f>
              <c:strCache>
                <c:ptCount val="1"/>
                <c:pt idx="0">
                  <c:v>RN NWP (Boom Annual Premium Finance)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NBREN'!$AK$7:$AK$111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5182.40607146</c:v>
                </c:pt>
                <c:pt idx="76">
                  <c:v>42143.455714130003</c:v>
                </c:pt>
                <c:pt idx="77">
                  <c:v>53293.593571589998</c:v>
                </c:pt>
                <c:pt idx="78">
                  <c:v>65319.623928459987</c:v>
                </c:pt>
                <c:pt idx="79">
                  <c:v>71320.662142920002</c:v>
                </c:pt>
                <c:pt idx="80">
                  <c:v>109078.82214269998</c:v>
                </c:pt>
                <c:pt idx="81">
                  <c:v>110798.36714272999</c:v>
                </c:pt>
                <c:pt idx="82">
                  <c:v>119659.13714282998</c:v>
                </c:pt>
                <c:pt idx="83">
                  <c:v>134102.58607136997</c:v>
                </c:pt>
                <c:pt idx="84">
                  <c:v>156593.71857113999</c:v>
                </c:pt>
                <c:pt idx="85">
                  <c:v>143996.08785705996</c:v>
                </c:pt>
                <c:pt idx="86">
                  <c:v>126581.76750009999</c:v>
                </c:pt>
                <c:pt idx="87">
                  <c:v>127602.92178578</c:v>
                </c:pt>
                <c:pt idx="88">
                  <c:v>151689.27785704</c:v>
                </c:pt>
                <c:pt idx="89">
                  <c:v>163665.57214316001</c:v>
                </c:pt>
                <c:pt idx="90">
                  <c:v>127278.59392871</c:v>
                </c:pt>
                <c:pt idx="91">
                  <c:v>132824.47928559998</c:v>
                </c:pt>
                <c:pt idx="92">
                  <c:v>131885.04035694999</c:v>
                </c:pt>
                <c:pt idx="93">
                  <c:v>122319.79107146998</c:v>
                </c:pt>
                <c:pt idx="94">
                  <c:v>132963.91714305995</c:v>
                </c:pt>
                <c:pt idx="95">
                  <c:v>127571.85035735001</c:v>
                </c:pt>
                <c:pt idx="96">
                  <c:v>91343.780357110023</c:v>
                </c:pt>
                <c:pt idx="97">
                  <c:v>98720.65428582998</c:v>
                </c:pt>
                <c:pt idx="98">
                  <c:v>118048.93428596003</c:v>
                </c:pt>
                <c:pt idx="99">
                  <c:v>104475.49714312001</c:v>
                </c:pt>
                <c:pt idx="100">
                  <c:v>85053.204642820012</c:v>
                </c:pt>
                <c:pt idx="101">
                  <c:v>82130.29964297</c:v>
                </c:pt>
                <c:pt idx="102">
                  <c:v>112983.89535701998</c:v>
                </c:pt>
                <c:pt idx="103">
                  <c:v>45806.841428600004</c:v>
                </c:pt>
                <c:pt idx="104">
                  <c:v>115091.59142825002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CA6-4D56-8867-4B8E62A47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NBREN'!$AI$6</c:f>
              <c:strCache>
                <c:ptCount val="1"/>
                <c:pt idx="0">
                  <c:v>NB NWP - 4 Week Avg (Boom Annual Premium Finance)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NBREN'!$AI$7:$AI$111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48517.231160859999</c:v>
                </c:pt>
                <c:pt idx="24">
                  <c:v>200639.05794629495</c:v>
                </c:pt>
                <c:pt idx="25">
                  <c:v>338403.28732141491</c:v>
                </c:pt>
                <c:pt idx="26">
                  <c:v>478908.61741082498</c:v>
                </c:pt>
                <c:pt idx="27">
                  <c:v>648434.98437497253</c:v>
                </c:pt>
                <c:pt idx="28">
                  <c:v>812007.64928579004</c:v>
                </c:pt>
                <c:pt idx="29">
                  <c:v>962150.11044640769</c:v>
                </c:pt>
                <c:pt idx="30">
                  <c:v>1087008.9008927501</c:v>
                </c:pt>
                <c:pt idx="31">
                  <c:v>1165190.9426783377</c:v>
                </c:pt>
                <c:pt idx="32">
                  <c:v>1190189.3357146578</c:v>
                </c:pt>
                <c:pt idx="33">
                  <c:v>1207657.45750061</c:v>
                </c:pt>
                <c:pt idx="34">
                  <c:v>1211698.6012508699</c:v>
                </c:pt>
                <c:pt idx="35">
                  <c:v>1185811.1622332423</c:v>
                </c:pt>
                <c:pt idx="36">
                  <c:v>1174008.0762506949</c:v>
                </c:pt>
                <c:pt idx="37">
                  <c:v>1164522.6496431874</c:v>
                </c:pt>
                <c:pt idx="38">
                  <c:v>1143815.2981251425</c:v>
                </c:pt>
                <c:pt idx="39">
                  <c:v>1118660.355178565</c:v>
                </c:pt>
                <c:pt idx="40">
                  <c:v>1053019.5898213123</c:v>
                </c:pt>
                <c:pt idx="41">
                  <c:v>1016026.00374966</c:v>
                </c:pt>
                <c:pt idx="42">
                  <c:v>994402.35482086008</c:v>
                </c:pt>
                <c:pt idx="43">
                  <c:v>977410.57526739524</c:v>
                </c:pt>
                <c:pt idx="44">
                  <c:v>919272.58160688996</c:v>
                </c:pt>
                <c:pt idx="45">
                  <c:v>904821.61142852763</c:v>
                </c:pt>
                <c:pt idx="46">
                  <c:v>901048.31098227261</c:v>
                </c:pt>
                <c:pt idx="47">
                  <c:v>862383.33544662513</c:v>
                </c:pt>
                <c:pt idx="48">
                  <c:v>839263.40526812267</c:v>
                </c:pt>
                <c:pt idx="49">
                  <c:v>778649.6363396201</c:v>
                </c:pt>
                <c:pt idx="50">
                  <c:v>756964.19142902503</c:v>
                </c:pt>
                <c:pt idx="51">
                  <c:v>750291.36276828242</c:v>
                </c:pt>
                <c:pt idx="52">
                  <c:v>734869.39214313752</c:v>
                </c:pt>
                <c:pt idx="53">
                  <c:v>710533.31383978238</c:v>
                </c:pt>
                <c:pt idx="54">
                  <c:v>664101.88562528254</c:v>
                </c:pt>
                <c:pt idx="55">
                  <c:v>654234.83705386508</c:v>
                </c:pt>
                <c:pt idx="56">
                  <c:v>628031.37866103754</c:v>
                </c:pt>
                <c:pt idx="57">
                  <c:v>628231.3849999801</c:v>
                </c:pt>
                <c:pt idx="58">
                  <c:v>652790.49455359764</c:v>
                </c:pt>
                <c:pt idx="59">
                  <c:v>640402.6134821201</c:v>
                </c:pt>
                <c:pt idx="60">
                  <c:v>639476.53446408757</c:v>
                </c:pt>
                <c:pt idx="61">
                  <c:v>644743.96339280007</c:v>
                </c:pt>
                <c:pt idx="62">
                  <c:v>631149.08080344507</c:v>
                </c:pt>
                <c:pt idx="63">
                  <c:v>658107.96151773259</c:v>
                </c:pt>
                <c:pt idx="64">
                  <c:v>682874.86749971262</c:v>
                </c:pt>
                <c:pt idx="65">
                  <c:v>681373.64776768256</c:v>
                </c:pt>
                <c:pt idx="66">
                  <c:v>716071.7288391476</c:v>
                </c:pt>
                <c:pt idx="67">
                  <c:v>754857.14624992758</c:v>
                </c:pt>
                <c:pt idx="68">
                  <c:v>820279.95633931272</c:v>
                </c:pt>
                <c:pt idx="69">
                  <c:v>858525.84142865997</c:v>
                </c:pt>
                <c:pt idx="70">
                  <c:v>862219.79178576753</c:v>
                </c:pt>
                <c:pt idx="71">
                  <c:v>800089.96651765262</c:v>
                </c:pt>
                <c:pt idx="72">
                  <c:v>757491.41473217506</c:v>
                </c:pt>
                <c:pt idx="73">
                  <c:v>760877.06651772768</c:v>
                </c:pt>
                <c:pt idx="74">
                  <c:v>763351.00928545021</c:v>
                </c:pt>
                <c:pt idx="75">
                  <c:v>785627.54705357261</c:v>
                </c:pt>
                <c:pt idx="76">
                  <c:v>808076.00526792742</c:v>
                </c:pt>
                <c:pt idx="77">
                  <c:v>805611.91991076746</c:v>
                </c:pt>
                <c:pt idx="78">
                  <c:v>767100.4585714573</c:v>
                </c:pt>
                <c:pt idx="79">
                  <c:v>724976.03624991246</c:v>
                </c:pt>
                <c:pt idx="80">
                  <c:v>690827.04705343489</c:v>
                </c:pt>
                <c:pt idx="81">
                  <c:v>670312.96633923997</c:v>
                </c:pt>
                <c:pt idx="82">
                  <c:v>680517.18625007244</c:v>
                </c:pt>
                <c:pt idx="83">
                  <c:v>723075.61598214996</c:v>
                </c:pt>
                <c:pt idx="84">
                  <c:v>758017.32660705724</c:v>
                </c:pt>
                <c:pt idx="85">
                  <c:v>789186.03187485307</c:v>
                </c:pt>
                <c:pt idx="86">
                  <c:v>806622.22580335801</c:v>
                </c:pt>
                <c:pt idx="87">
                  <c:v>818330.65285672806</c:v>
                </c:pt>
                <c:pt idx="88">
                  <c:v>774106.03374956327</c:v>
                </c:pt>
                <c:pt idx="89">
                  <c:v>777583.04446370504</c:v>
                </c:pt>
                <c:pt idx="90">
                  <c:v>754438.17660674267</c:v>
                </c:pt>
                <c:pt idx="91">
                  <c:v>725448.7231248474</c:v>
                </c:pt>
                <c:pt idx="92">
                  <c:v>724679.38374990004</c:v>
                </c:pt>
                <c:pt idx="93">
                  <c:v>690325.92714292509</c:v>
                </c:pt>
                <c:pt idx="94">
                  <c:v>692244.16285730002</c:v>
                </c:pt>
                <c:pt idx="95">
                  <c:v>686642.83446450497</c:v>
                </c:pt>
                <c:pt idx="96">
                  <c:v>668646.7556253951</c:v>
                </c:pt>
                <c:pt idx="97">
                  <c:v>649814.83875038498</c:v>
                </c:pt>
                <c:pt idx="98">
                  <c:v>660314.64303596504</c:v>
                </c:pt>
                <c:pt idx="99">
                  <c:v>665711.26089303009</c:v>
                </c:pt>
                <c:pt idx="100">
                  <c:v>659102.42187507753</c:v>
                </c:pt>
                <c:pt idx="101">
                  <c:v>636145.38553567755</c:v>
                </c:pt>
                <c:pt idx="102">
                  <c:v>608323.35598208243</c:v>
                </c:pt>
                <c:pt idx="103">
                  <c:v>580388.20098203502</c:v>
                </c:pt>
                <c:pt idx="104">
                  <c:v>581481.22874983249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CA6-4D56-8867-4B8E62A4786B}"/>
            </c:ext>
          </c:extLst>
        </c:ser>
        <c:ser>
          <c:idx val="3"/>
          <c:order val="4"/>
          <c:tx>
            <c:strRef>
              <c:f>'NWP NBREN'!$AL$6</c:f>
              <c:strCache>
                <c:ptCount val="1"/>
                <c:pt idx="0">
                  <c:v>RN NWP - 4 Week Avg (Boom Annual Premium Finance)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NBREN'!$AL$7:$AL$111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1295.601517865</c:v>
                </c:pt>
                <c:pt idx="76">
                  <c:v>11831.4654463975</c:v>
                </c:pt>
                <c:pt idx="77">
                  <c:v>25154.863839295002</c:v>
                </c:pt>
                <c:pt idx="78">
                  <c:v>41484.769821409995</c:v>
                </c:pt>
                <c:pt idx="79">
                  <c:v>58019.333839275001</c:v>
                </c:pt>
                <c:pt idx="80">
                  <c:v>74753.175446417488</c:v>
                </c:pt>
                <c:pt idx="81">
                  <c:v>89129.368839202492</c:v>
                </c:pt>
                <c:pt idx="82">
                  <c:v>102714.24714279498</c:v>
                </c:pt>
                <c:pt idx="83">
                  <c:v>118409.72812490747</c:v>
                </c:pt>
                <c:pt idx="84">
                  <c:v>130288.45223201747</c:v>
                </c:pt>
                <c:pt idx="85">
                  <c:v>138587.88241059997</c:v>
                </c:pt>
                <c:pt idx="86">
                  <c:v>140318.53999991747</c:v>
                </c:pt>
                <c:pt idx="87">
                  <c:v>138693.62392851998</c:v>
                </c:pt>
                <c:pt idx="88">
                  <c:v>137467.51374999498</c:v>
                </c:pt>
                <c:pt idx="89">
                  <c:v>142384.88482152001</c:v>
                </c:pt>
                <c:pt idx="90">
                  <c:v>142559.09142867249</c:v>
                </c:pt>
                <c:pt idx="91">
                  <c:v>143864.48080362749</c:v>
                </c:pt>
                <c:pt idx="92">
                  <c:v>138913.42142860501</c:v>
                </c:pt>
                <c:pt idx="93">
                  <c:v>128576.9761606825</c:v>
                </c:pt>
                <c:pt idx="94">
                  <c:v>129998.30696426997</c:v>
                </c:pt>
                <c:pt idx="95">
                  <c:v>128685.14973220749</c:v>
                </c:pt>
                <c:pt idx="96">
                  <c:v>118549.83473224749</c:v>
                </c:pt>
                <c:pt idx="97">
                  <c:v>112650.05053583749</c:v>
                </c:pt>
                <c:pt idx="98">
                  <c:v>108921.30482156252</c:v>
                </c:pt>
                <c:pt idx="99">
                  <c:v>103147.21651800501</c:v>
                </c:pt>
                <c:pt idx="100">
                  <c:v>101574.57258943252</c:v>
                </c:pt>
                <c:pt idx="101">
                  <c:v>97426.983928717498</c:v>
                </c:pt>
                <c:pt idx="102">
                  <c:v>96160.724196482508</c:v>
                </c:pt>
                <c:pt idx="103">
                  <c:v>81493.560267852503</c:v>
                </c:pt>
                <c:pt idx="104">
                  <c:v>89003.156964210008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CA6-4D56-8867-4B8E62A47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NBREN'!$AJ$6</c:f>
              <c:strCache>
                <c:ptCount val="1"/>
                <c:pt idx="0">
                  <c:v>NB Average NWP - 4 Week Avg (Boom Annual Premium Finance)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NBREN'!$AJ$7:$AJ$111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356.74434677102943</c:v>
                </c:pt>
                <c:pt idx="24">
                  <c:v>725.07806780113833</c:v>
                </c:pt>
                <c:pt idx="25">
                  <c:v>1105.6422373456687</c:v>
                </c:pt>
                <c:pt idx="26">
                  <c:v>1456.9055625691938</c:v>
                </c:pt>
                <c:pt idx="27">
                  <c:v>1464.1739004809815</c:v>
                </c:pt>
                <c:pt idx="28">
                  <c:v>1447.3930655268778</c:v>
                </c:pt>
                <c:pt idx="29">
                  <c:v>1425.8147944059604</c:v>
                </c:pt>
                <c:pt idx="30">
                  <c:v>1427.8991663006141</c:v>
                </c:pt>
                <c:pt idx="31">
                  <c:v>1406.740231514319</c:v>
                </c:pt>
                <c:pt idx="32">
                  <c:v>1381.52152621664</c:v>
                </c:pt>
                <c:pt idx="33">
                  <c:v>1330.6837734254086</c:v>
                </c:pt>
                <c:pt idx="34">
                  <c:v>1284.8763323414903</c:v>
                </c:pt>
                <c:pt idx="35">
                  <c:v>1246.4574933604722</c:v>
                </c:pt>
                <c:pt idx="36">
                  <c:v>1227.2099594075662</c:v>
                </c:pt>
                <c:pt idx="37">
                  <c:v>1203.2975349223343</c:v>
                </c:pt>
                <c:pt idx="38">
                  <c:v>1188.3430586150942</c:v>
                </c:pt>
                <c:pt idx="39">
                  <c:v>1193.8743397936355</c:v>
                </c:pt>
                <c:pt idx="40">
                  <c:v>1182.2411535661643</c:v>
                </c:pt>
                <c:pt idx="41">
                  <c:v>1182.8192934118974</c:v>
                </c:pt>
                <c:pt idx="42">
                  <c:v>1158.3259149117571</c:v>
                </c:pt>
                <c:pt idx="43">
                  <c:v>1145.4840436418326</c:v>
                </c:pt>
                <c:pt idx="44">
                  <c:v>1129.0932221354039</c:v>
                </c:pt>
                <c:pt idx="45">
                  <c:v>1138.7912038704344</c:v>
                </c:pt>
                <c:pt idx="46">
                  <c:v>1155.5214600324734</c:v>
                </c:pt>
                <c:pt idx="47">
                  <c:v>1145.5585071739242</c:v>
                </c:pt>
                <c:pt idx="48">
                  <c:v>1156.2906285183353</c:v>
                </c:pt>
                <c:pt idx="49">
                  <c:v>1142.009060997229</c:v>
                </c:pt>
                <c:pt idx="50">
                  <c:v>1137.9879613831254</c:v>
                </c:pt>
                <c:pt idx="51">
                  <c:v>1156.0914919092645</c:v>
                </c:pt>
                <c:pt idx="52">
                  <c:v>1167.5067476191196</c:v>
                </c:pt>
                <c:pt idx="53">
                  <c:v>1172.5984442053543</c:v>
                </c:pt>
                <c:pt idx="54">
                  <c:v>1172.9274847418026</c:v>
                </c:pt>
                <c:pt idx="55">
                  <c:v>1137.1121588748852</c:v>
                </c:pt>
                <c:pt idx="56">
                  <c:v>1108.9871243162436</c:v>
                </c:pt>
                <c:pt idx="57">
                  <c:v>1115.0793652444661</c:v>
                </c:pt>
                <c:pt idx="58">
                  <c:v>1121.0784791080189</c:v>
                </c:pt>
                <c:pt idx="59">
                  <c:v>1130.4461713332944</c:v>
                </c:pt>
                <c:pt idx="60">
                  <c:v>1149.075837272844</c:v>
                </c:pt>
                <c:pt idx="61">
                  <c:v>1153.8239539949645</c:v>
                </c:pt>
                <c:pt idx="62">
                  <c:v>1145.4665861692758</c:v>
                </c:pt>
                <c:pt idx="63">
                  <c:v>1149.5416671230187</c:v>
                </c:pt>
                <c:pt idx="64">
                  <c:v>1156.3843059594878</c:v>
                </c:pt>
                <c:pt idx="65">
                  <c:v>1153.1631911539798</c:v>
                </c:pt>
                <c:pt idx="66">
                  <c:v>1172.3825356825155</c:v>
                </c:pt>
                <c:pt idx="67">
                  <c:v>1186.5283036302881</c:v>
                </c:pt>
                <c:pt idx="68">
                  <c:v>1178.6410395318396</c:v>
                </c:pt>
                <c:pt idx="69">
                  <c:v>1182.3278879193786</c:v>
                </c:pt>
                <c:pt idx="70">
                  <c:v>1181.2017268510804</c:v>
                </c:pt>
                <c:pt idx="71">
                  <c:v>1188.8263541210033</c:v>
                </c:pt>
                <c:pt idx="72">
                  <c:v>1183.2642065569703</c:v>
                </c:pt>
                <c:pt idx="73">
                  <c:v>1164.9166518664733</c:v>
                </c:pt>
                <c:pt idx="74">
                  <c:v>1149.3205417587048</c:v>
                </c:pt>
                <c:pt idx="75">
                  <c:v>1123.8340809448546</c:v>
                </c:pt>
                <c:pt idx="76">
                  <c:v>1100.5752362666753</c:v>
                </c:pt>
                <c:pt idx="77">
                  <c:v>1098.7321757976163</c:v>
                </c:pt>
                <c:pt idx="78">
                  <c:v>1105.0102497155845</c:v>
                </c:pt>
                <c:pt idx="79">
                  <c:v>1102.9267389074857</c:v>
                </c:pt>
                <c:pt idx="80">
                  <c:v>1110.4021863374021</c:v>
                </c:pt>
                <c:pt idx="81">
                  <c:v>1108.647345668345</c:v>
                </c:pt>
                <c:pt idx="82">
                  <c:v>1109.8026811891639</c:v>
                </c:pt>
                <c:pt idx="83">
                  <c:v>1121.6183547405287</c:v>
                </c:pt>
                <c:pt idx="84">
                  <c:v>1147.2054417291085</c:v>
                </c:pt>
                <c:pt idx="85">
                  <c:v>1156.1442093185772</c:v>
                </c:pt>
                <c:pt idx="86">
                  <c:v>1166.4402296300268</c:v>
                </c:pt>
                <c:pt idx="87">
                  <c:v>1171.8016972607588</c:v>
                </c:pt>
                <c:pt idx="88">
                  <c:v>1157.8500758642053</c:v>
                </c:pt>
                <c:pt idx="89">
                  <c:v>1158.3181959054805</c:v>
                </c:pt>
                <c:pt idx="90">
                  <c:v>1152.5369350154101</c:v>
                </c:pt>
                <c:pt idx="91">
                  <c:v>1147.7597482575129</c:v>
                </c:pt>
                <c:pt idx="92">
                  <c:v>1166.7598541501272</c:v>
                </c:pt>
                <c:pt idx="93">
                  <c:v>1172.2050068566168</c:v>
                </c:pt>
                <c:pt idx="94">
                  <c:v>1160.2038379569362</c:v>
                </c:pt>
                <c:pt idx="95">
                  <c:v>1164.6921316384241</c:v>
                </c:pt>
                <c:pt idx="96">
                  <c:v>1155.8030473756921</c:v>
                </c:pt>
                <c:pt idx="97">
                  <c:v>1159.9396944043719</c:v>
                </c:pt>
                <c:pt idx="98">
                  <c:v>1171.1781916813989</c:v>
                </c:pt>
                <c:pt idx="99">
                  <c:v>1181.9418245808151</c:v>
                </c:pt>
                <c:pt idx="100">
                  <c:v>1186.4025176948433</c:v>
                </c:pt>
                <c:pt idx="101">
                  <c:v>1190.6504492593153</c:v>
                </c:pt>
                <c:pt idx="102">
                  <c:v>1188.4246070970021</c:v>
                </c:pt>
                <c:pt idx="103">
                  <c:v>1208.2278250981763</c:v>
                </c:pt>
                <c:pt idx="104">
                  <c:v>1226.3379745555171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CA6-4D56-8867-4B8E62A4786B}"/>
            </c:ext>
          </c:extLst>
        </c:ser>
        <c:ser>
          <c:idx val="6"/>
          <c:order val="5"/>
          <c:tx>
            <c:strRef>
              <c:f>'NWP NBREN'!$AM$6</c:f>
              <c:strCache>
                <c:ptCount val="1"/>
                <c:pt idx="0">
                  <c:v>RN Average NWP - 4 Week Avg (Boom Annual Premium Finance)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NBREN'!$AM$7:$AM$111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259.120303573</c:v>
                </c:pt>
                <c:pt idx="76">
                  <c:v>522.51690178631247</c:v>
                </c:pt>
                <c:pt idx="77">
                  <c:v>800.08770163834379</c:v>
                </c:pt>
                <c:pt idx="78">
                  <c:v>1091.6931656046831</c:v>
                </c:pt>
                <c:pt idx="79">
                  <c:v>1098.6947356992951</c:v>
                </c:pt>
                <c:pt idx="80">
                  <c:v>1060.6676047229657</c:v>
                </c:pt>
                <c:pt idx="81">
                  <c:v>1012.0190510335999</c:v>
                </c:pt>
                <c:pt idx="82">
                  <c:v>950.52731234193368</c:v>
                </c:pt>
                <c:pt idx="83">
                  <c:v>907.90974879327155</c:v>
                </c:pt>
                <c:pt idx="84">
                  <c:v>907.53125651482264</c:v>
                </c:pt>
                <c:pt idx="85">
                  <c:v>890.36796308312796</c:v>
                </c:pt>
                <c:pt idx="86">
                  <c:v>858.03824952736113</c:v>
                </c:pt>
                <c:pt idx="87">
                  <c:v>851.54571115293504</c:v>
                </c:pt>
                <c:pt idx="88">
                  <c:v>844.49910093152698</c:v>
                </c:pt>
                <c:pt idx="89">
                  <c:v>838.35016345578254</c:v>
                </c:pt>
                <c:pt idx="90">
                  <c:v>852.69714161805973</c:v>
                </c:pt>
                <c:pt idx="91">
                  <c:v>841.93456131080302</c:v>
                </c:pt>
                <c:pt idx="92">
                  <c:v>861.19350656819097</c:v>
                </c:pt>
                <c:pt idx="93">
                  <c:v>854.15458071470175</c:v>
                </c:pt>
                <c:pt idx="94">
                  <c:v>851.08635363707185</c:v>
                </c:pt>
                <c:pt idx="95">
                  <c:v>864.7886283331668</c:v>
                </c:pt>
                <c:pt idx="96">
                  <c:v>817.88486074929847</c:v>
                </c:pt>
                <c:pt idx="97">
                  <c:v>824.98180110970725</c:v>
                </c:pt>
                <c:pt idx="98">
                  <c:v>813.98771999400617</c:v>
                </c:pt>
                <c:pt idx="99">
                  <c:v>802.98724814688399</c:v>
                </c:pt>
                <c:pt idx="100">
                  <c:v>804.24897745430144</c:v>
                </c:pt>
                <c:pt idx="101">
                  <c:v>810.25697769981014</c:v>
                </c:pt>
                <c:pt idx="102">
                  <c:v>824.56403916425097</c:v>
                </c:pt>
                <c:pt idx="103">
                  <c:v>849.32141951372535</c:v>
                </c:pt>
                <c:pt idx="104">
                  <c:v>884.31839863867401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4CA6-4D56-8867-4B8E62A47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Annual: Daily NWP with 4 Week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265244444444444E-2"/>
          <c:y val="9.3460912698412696E-2"/>
          <c:w val="0.82756444444444444"/>
          <c:h val="0.659227380952380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'NWP NBREN'!$R$6</c:f>
              <c:strCache>
                <c:ptCount val="1"/>
                <c:pt idx="0">
                  <c:v>NB NWP (Boom Annual)</c:v>
                </c:pt>
              </c:strCache>
            </c:strRef>
          </c:tx>
          <c:spPr>
            <a:solidFill>
              <a:srgbClr val="B9D0FF"/>
            </a:solidFill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NBREN'!$R$7:$R$111</c:f>
              <c:numCache>
                <c:formatCode>#,##0</c:formatCode>
                <c:ptCount val="105"/>
                <c:pt idx="0">
                  <c:v>274390.71500045003</c:v>
                </c:pt>
                <c:pt idx="1">
                  <c:v>260993.84357141011</c:v>
                </c:pt>
                <c:pt idx="2">
                  <c:v>273889.61821397999</c:v>
                </c:pt>
                <c:pt idx="3">
                  <c:v>248470.61214267</c:v>
                </c:pt>
                <c:pt idx="4">
                  <c:v>240899.51499991</c:v>
                </c:pt>
                <c:pt idx="5">
                  <c:v>240617.21178558003</c:v>
                </c:pt>
                <c:pt idx="6">
                  <c:v>211928.07857150002</c:v>
                </c:pt>
                <c:pt idx="7">
                  <c:v>192531.13607162001</c:v>
                </c:pt>
                <c:pt idx="8">
                  <c:v>263923.41607090004</c:v>
                </c:pt>
                <c:pt idx="9">
                  <c:v>311547.32428510999</c:v>
                </c:pt>
                <c:pt idx="10">
                  <c:v>385053.39928602014</c:v>
                </c:pt>
                <c:pt idx="11">
                  <c:v>478038.29964251979</c:v>
                </c:pt>
                <c:pt idx="12">
                  <c:v>374788.92821459007</c:v>
                </c:pt>
                <c:pt idx="13">
                  <c:v>359966.56178526004</c:v>
                </c:pt>
                <c:pt idx="14">
                  <c:v>421667.87392849004</c:v>
                </c:pt>
                <c:pt idx="15">
                  <c:v>508730.16571393987</c:v>
                </c:pt>
                <c:pt idx="16">
                  <c:v>353021.91642869002</c:v>
                </c:pt>
                <c:pt idx="17">
                  <c:v>378219.42928490014</c:v>
                </c:pt>
                <c:pt idx="18">
                  <c:v>359191.37392830011</c:v>
                </c:pt>
                <c:pt idx="19">
                  <c:v>285932.50285694993</c:v>
                </c:pt>
                <c:pt idx="20">
                  <c:v>293819.24607167998</c:v>
                </c:pt>
                <c:pt idx="21">
                  <c:v>367096.29214300995</c:v>
                </c:pt>
                <c:pt idx="22">
                  <c:v>357815.17714274995</c:v>
                </c:pt>
                <c:pt idx="23">
                  <c:v>561459.11357185012</c:v>
                </c:pt>
                <c:pt idx="24">
                  <c:v>1064207.0171409398</c:v>
                </c:pt>
                <c:pt idx="25">
                  <c:v>884071.09035781003</c:v>
                </c:pt>
                <c:pt idx="26">
                  <c:v>896525.66357184015</c:v>
                </c:pt>
                <c:pt idx="27">
                  <c:v>1237381.7478567897</c:v>
                </c:pt>
                <c:pt idx="28">
                  <c:v>1627927.5003566002</c:v>
                </c:pt>
                <c:pt idx="29">
                  <c:v>1560230.6199999005</c:v>
                </c:pt>
                <c:pt idx="30">
                  <c:v>1511844.8553573401</c:v>
                </c:pt>
                <c:pt idx="31">
                  <c:v>1588336.0314285702</c:v>
                </c:pt>
                <c:pt idx="32">
                  <c:v>1817304.8789303098</c:v>
                </c:pt>
                <c:pt idx="33">
                  <c:v>1686320.4721442196</c:v>
                </c:pt>
                <c:pt idx="34">
                  <c:v>1476667.88321526</c:v>
                </c:pt>
                <c:pt idx="35">
                  <c:v>1422448.4314291701</c:v>
                </c:pt>
                <c:pt idx="36">
                  <c:v>1706802.3475002202</c:v>
                </c:pt>
                <c:pt idx="37">
                  <c:v>1623827.97249887</c:v>
                </c:pt>
                <c:pt idx="38">
                  <c:v>1349898.2332144794</c:v>
                </c:pt>
                <c:pt idx="39">
                  <c:v>1332888.5375001598</c:v>
                </c:pt>
                <c:pt idx="40">
                  <c:v>1418563.4242857702</c:v>
                </c:pt>
                <c:pt idx="41">
                  <c:v>1360691.82571357</c:v>
                </c:pt>
                <c:pt idx="42">
                  <c:v>1230352.54142821</c:v>
                </c:pt>
                <c:pt idx="43">
                  <c:v>1222368.5942860502</c:v>
                </c:pt>
                <c:pt idx="44">
                  <c:v>1153721.1960718899</c:v>
                </c:pt>
                <c:pt idx="45">
                  <c:v>1274768.6085706002</c:v>
                </c:pt>
                <c:pt idx="46">
                  <c:v>1190118.8128574803</c:v>
                </c:pt>
                <c:pt idx="47">
                  <c:v>1011332.0350005502</c:v>
                </c:pt>
                <c:pt idx="48">
                  <c:v>945117.60071502009</c:v>
                </c:pt>
                <c:pt idx="49">
                  <c:v>953215.49357134011</c:v>
                </c:pt>
                <c:pt idx="50">
                  <c:v>1074245.7014296497</c:v>
                </c:pt>
                <c:pt idx="51">
                  <c:v>919647.52321450016</c:v>
                </c:pt>
                <c:pt idx="52">
                  <c:v>855677.67000041984</c:v>
                </c:pt>
                <c:pt idx="53">
                  <c:v>833355.98321481002</c:v>
                </c:pt>
                <c:pt idx="54">
                  <c:v>791515.13749990007</c:v>
                </c:pt>
                <c:pt idx="55">
                  <c:v>916387.11500057019</c:v>
                </c:pt>
                <c:pt idx="56">
                  <c:v>749337.63678587007</c:v>
                </c:pt>
                <c:pt idx="57">
                  <c:v>843793.09892808029</c:v>
                </c:pt>
                <c:pt idx="58">
                  <c:v>928060.91071449022</c:v>
                </c:pt>
                <c:pt idx="59">
                  <c:v>833109.83250065963</c:v>
                </c:pt>
                <c:pt idx="60">
                  <c:v>713125.13357106014</c:v>
                </c:pt>
                <c:pt idx="61">
                  <c:v>821714.60964244034</c:v>
                </c:pt>
                <c:pt idx="62">
                  <c:v>866327.13142821006</c:v>
                </c:pt>
                <c:pt idx="63">
                  <c:v>943578.43464308977</c:v>
                </c:pt>
                <c:pt idx="64">
                  <c:v>805118.34392788028</c:v>
                </c:pt>
                <c:pt idx="65">
                  <c:v>826310.11035742017</c:v>
                </c:pt>
                <c:pt idx="66">
                  <c:v>1044250.39035695</c:v>
                </c:pt>
                <c:pt idx="67">
                  <c:v>1112892.8396433699</c:v>
                </c:pt>
                <c:pt idx="68">
                  <c:v>1151785.7196425602</c:v>
                </c:pt>
                <c:pt idx="69">
                  <c:v>1015356.6978576729</c:v>
                </c:pt>
                <c:pt idx="70">
                  <c:v>1024231.29357159</c:v>
                </c:pt>
                <c:pt idx="71">
                  <c:v>800017.48392807017</c:v>
                </c:pt>
                <c:pt idx="72">
                  <c:v>879081.72357188328</c:v>
                </c:pt>
                <c:pt idx="73">
                  <c:v>988838.57071433007</c:v>
                </c:pt>
                <c:pt idx="74">
                  <c:v>979056.79142739996</c:v>
                </c:pt>
                <c:pt idx="75">
                  <c:v>881758.17357222002</c:v>
                </c:pt>
                <c:pt idx="76">
                  <c:v>996722.30607234989</c:v>
                </c:pt>
                <c:pt idx="77">
                  <c:v>941105.56678548979</c:v>
                </c:pt>
                <c:pt idx="78">
                  <c:v>790882.59392747981</c:v>
                </c:pt>
                <c:pt idx="79">
                  <c:v>700053.56214320019</c:v>
                </c:pt>
                <c:pt idx="80">
                  <c:v>829414.31071481993</c:v>
                </c:pt>
                <c:pt idx="81">
                  <c:v>855603.22214276972</c:v>
                </c:pt>
                <c:pt idx="82">
                  <c:v>844511.3489283598</c:v>
                </c:pt>
                <c:pt idx="83">
                  <c:v>863701.37392821</c:v>
                </c:pt>
                <c:pt idx="84">
                  <c:v>961244.82892852975</c:v>
                </c:pt>
                <c:pt idx="85">
                  <c:v>1003836.8439289128</c:v>
                </c:pt>
                <c:pt idx="86">
                  <c:v>922090.78571387986</c:v>
                </c:pt>
                <c:pt idx="87">
                  <c:v>892548.43999921007</c:v>
                </c:pt>
                <c:pt idx="88">
                  <c:v>777318.97607134003</c:v>
                </c:pt>
                <c:pt idx="89">
                  <c:v>1020228.5203564601</c:v>
                </c:pt>
                <c:pt idx="90">
                  <c:v>831646.03249977995</c:v>
                </c:pt>
                <c:pt idx="91">
                  <c:v>807579.3849999099</c:v>
                </c:pt>
                <c:pt idx="92">
                  <c:v>760120.43142873014</c:v>
                </c:pt>
                <c:pt idx="93">
                  <c:v>837756.30214306002</c:v>
                </c:pt>
                <c:pt idx="94">
                  <c:v>812146.94321469986</c:v>
                </c:pt>
                <c:pt idx="95">
                  <c:v>759012.40071466984</c:v>
                </c:pt>
                <c:pt idx="96">
                  <c:v>694172.57107230008</c:v>
                </c:pt>
                <c:pt idx="97">
                  <c:v>778182.00357135991</c:v>
                </c:pt>
                <c:pt idx="98">
                  <c:v>884438.64607112005</c:v>
                </c:pt>
                <c:pt idx="99">
                  <c:v>800534.95428605995</c:v>
                </c:pt>
                <c:pt idx="100">
                  <c:v>674854.16892882995</c:v>
                </c:pt>
                <c:pt idx="101">
                  <c:v>685240.52892809</c:v>
                </c:pt>
                <c:pt idx="102">
                  <c:v>728874.5564285299</c:v>
                </c:pt>
                <c:pt idx="103">
                  <c:v>672803.27821381006</c:v>
                </c:pt>
                <c:pt idx="104">
                  <c:v>673245.25464304001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E9D-4A4F-94E3-4E4FB66A13C0}"/>
            </c:ext>
          </c:extLst>
        </c:ser>
        <c:ser>
          <c:idx val="5"/>
          <c:order val="3"/>
          <c:tx>
            <c:strRef>
              <c:f>'NWP NBREN'!$U$6</c:f>
              <c:strCache>
                <c:ptCount val="1"/>
                <c:pt idx="0">
                  <c:v>RN NWP (Boom Annual)</c:v>
                </c:pt>
              </c:strCache>
            </c:strRef>
          </c:tx>
          <c:spPr>
            <a:solidFill>
              <a:srgbClr val="8D8D8D"/>
            </a:solidFill>
            <a:ln>
              <a:noFill/>
            </a:ln>
          </c:spPr>
          <c:invertIfNegative val="0"/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NBREN'!$U$7:$U$111</c:f>
              <c:numCache>
                <c:formatCode>#,##0</c:formatCode>
                <c:ptCount val="105"/>
                <c:pt idx="0">
                  <c:v>38628.342499860002</c:v>
                </c:pt>
                <c:pt idx="1">
                  <c:v>24623.682142789999</c:v>
                </c:pt>
                <c:pt idx="2">
                  <c:v>31112.504642810003</c:v>
                </c:pt>
                <c:pt idx="3">
                  <c:v>25120.327857110002</c:v>
                </c:pt>
                <c:pt idx="4">
                  <c:v>38803.267857160004</c:v>
                </c:pt>
                <c:pt idx="5">
                  <c:v>38282.106071429989</c:v>
                </c:pt>
                <c:pt idx="6">
                  <c:v>39655.81035711</c:v>
                </c:pt>
                <c:pt idx="7">
                  <c:v>37566.10678563999</c:v>
                </c:pt>
                <c:pt idx="8">
                  <c:v>33171.373214250001</c:v>
                </c:pt>
                <c:pt idx="9">
                  <c:v>17230.230714229998</c:v>
                </c:pt>
                <c:pt idx="10">
                  <c:v>22194.266428619998</c:v>
                </c:pt>
                <c:pt idx="11">
                  <c:v>14728.007142900002</c:v>
                </c:pt>
                <c:pt idx="12">
                  <c:v>15402.278571450001</c:v>
                </c:pt>
                <c:pt idx="13">
                  <c:v>47212.098214279999</c:v>
                </c:pt>
                <c:pt idx="14">
                  <c:v>68403.23464291</c:v>
                </c:pt>
                <c:pt idx="15">
                  <c:v>74535.581071549983</c:v>
                </c:pt>
                <c:pt idx="16">
                  <c:v>45156.894285570001</c:v>
                </c:pt>
                <c:pt idx="17">
                  <c:v>69223.912499969985</c:v>
                </c:pt>
                <c:pt idx="18">
                  <c:v>64451.695357020013</c:v>
                </c:pt>
                <c:pt idx="19">
                  <c:v>44003.632500109998</c:v>
                </c:pt>
                <c:pt idx="20">
                  <c:v>33655.239285689997</c:v>
                </c:pt>
                <c:pt idx="21">
                  <c:v>55954.689999859998</c:v>
                </c:pt>
                <c:pt idx="22">
                  <c:v>39386.360357139994</c:v>
                </c:pt>
                <c:pt idx="23">
                  <c:v>46737.561428609995</c:v>
                </c:pt>
                <c:pt idx="24">
                  <c:v>48435.404642829992</c:v>
                </c:pt>
                <c:pt idx="25">
                  <c:v>34827.846071319997</c:v>
                </c:pt>
                <c:pt idx="26">
                  <c:v>45701.005000119992</c:v>
                </c:pt>
                <c:pt idx="27">
                  <c:v>49578.287499890001</c:v>
                </c:pt>
                <c:pt idx="28">
                  <c:v>56167.109642889998</c:v>
                </c:pt>
                <c:pt idx="29">
                  <c:v>58736.486785740002</c:v>
                </c:pt>
                <c:pt idx="30">
                  <c:v>66577.578571579987</c:v>
                </c:pt>
                <c:pt idx="31">
                  <c:v>73524.891071420017</c:v>
                </c:pt>
                <c:pt idx="32">
                  <c:v>42171.665357120008</c:v>
                </c:pt>
                <c:pt idx="33">
                  <c:v>52763.322500100003</c:v>
                </c:pt>
                <c:pt idx="34">
                  <c:v>45080.889285560013</c:v>
                </c:pt>
                <c:pt idx="35">
                  <c:v>28812.74178574</c:v>
                </c:pt>
                <c:pt idx="36">
                  <c:v>29529.122857220002</c:v>
                </c:pt>
                <c:pt idx="37">
                  <c:v>38229.68250001</c:v>
                </c:pt>
                <c:pt idx="38">
                  <c:v>33117.165357290003</c:v>
                </c:pt>
                <c:pt idx="39">
                  <c:v>47754.365000090002</c:v>
                </c:pt>
                <c:pt idx="40">
                  <c:v>42277.441428500002</c:v>
                </c:pt>
                <c:pt idx="41">
                  <c:v>42331.919285709992</c:v>
                </c:pt>
                <c:pt idx="42">
                  <c:v>38044.921071490004</c:v>
                </c:pt>
                <c:pt idx="43">
                  <c:v>26502.586071420003</c:v>
                </c:pt>
                <c:pt idx="44">
                  <c:v>28586.966428429998</c:v>
                </c:pt>
                <c:pt idx="45">
                  <c:v>22491.167857189997</c:v>
                </c:pt>
                <c:pt idx="46">
                  <c:v>37856.337142799995</c:v>
                </c:pt>
                <c:pt idx="47">
                  <c:v>20441.228214270002</c:v>
                </c:pt>
                <c:pt idx="48">
                  <c:v>30133.783571290001</c:v>
                </c:pt>
                <c:pt idx="49">
                  <c:v>39812.520714300001</c:v>
                </c:pt>
                <c:pt idx="50">
                  <c:v>30883.025714259995</c:v>
                </c:pt>
                <c:pt idx="51">
                  <c:v>24389.817142969998</c:v>
                </c:pt>
                <c:pt idx="52">
                  <c:v>36151.392857179999</c:v>
                </c:pt>
                <c:pt idx="53">
                  <c:v>40674.965357170011</c:v>
                </c:pt>
                <c:pt idx="54">
                  <c:v>39714.672856889993</c:v>
                </c:pt>
                <c:pt idx="55">
                  <c:v>51596.097857179986</c:v>
                </c:pt>
                <c:pt idx="56">
                  <c:v>43521.431071440005</c:v>
                </c:pt>
                <c:pt idx="57">
                  <c:v>47128.993928590004</c:v>
                </c:pt>
                <c:pt idx="58">
                  <c:v>33155.926071390008</c:v>
                </c:pt>
                <c:pt idx="59">
                  <c:v>32804.271428579996</c:v>
                </c:pt>
                <c:pt idx="60">
                  <c:v>33540.337142999997</c:v>
                </c:pt>
                <c:pt idx="61">
                  <c:v>37334.099642869987</c:v>
                </c:pt>
                <c:pt idx="62">
                  <c:v>62140.789642780008</c:v>
                </c:pt>
                <c:pt idx="63">
                  <c:v>74192.54642857</c:v>
                </c:pt>
                <c:pt idx="64">
                  <c:v>51857.165000029992</c:v>
                </c:pt>
                <c:pt idx="65">
                  <c:v>52544.426428570005</c:v>
                </c:pt>
                <c:pt idx="66">
                  <c:v>96038.145714010025</c:v>
                </c:pt>
                <c:pt idx="67">
                  <c:v>70361.222499849988</c:v>
                </c:pt>
                <c:pt idx="68">
                  <c:v>62343.436785750004</c:v>
                </c:pt>
                <c:pt idx="69">
                  <c:v>59248.383928380012</c:v>
                </c:pt>
                <c:pt idx="70">
                  <c:v>59443.291785679983</c:v>
                </c:pt>
                <c:pt idx="71">
                  <c:v>63968.609285460007</c:v>
                </c:pt>
                <c:pt idx="72">
                  <c:v>47204.151428739999</c:v>
                </c:pt>
                <c:pt idx="73">
                  <c:v>68586.406071630016</c:v>
                </c:pt>
                <c:pt idx="74">
                  <c:v>68781.346785839996</c:v>
                </c:pt>
                <c:pt idx="75">
                  <c:v>52816.263928499997</c:v>
                </c:pt>
                <c:pt idx="76">
                  <c:v>100112.20857114</c:v>
                </c:pt>
                <c:pt idx="77">
                  <c:v>108828.15928587</c:v>
                </c:pt>
                <c:pt idx="78">
                  <c:v>115275.20107123998</c:v>
                </c:pt>
                <c:pt idx="79">
                  <c:v>107808.6189286</c:v>
                </c:pt>
                <c:pt idx="80">
                  <c:v>168660.59214242999</c:v>
                </c:pt>
                <c:pt idx="81">
                  <c:v>157941.40821411001</c:v>
                </c:pt>
                <c:pt idx="82">
                  <c:v>178997.91785696999</c:v>
                </c:pt>
                <c:pt idx="83">
                  <c:v>184358.68071410997</c:v>
                </c:pt>
                <c:pt idx="84">
                  <c:v>221809.57249985999</c:v>
                </c:pt>
                <c:pt idx="85">
                  <c:v>201365.00678551994</c:v>
                </c:pt>
                <c:pt idx="86">
                  <c:v>176722.37892857997</c:v>
                </c:pt>
                <c:pt idx="87">
                  <c:v>186878.85321405</c:v>
                </c:pt>
                <c:pt idx="88">
                  <c:v>213506.63928561</c:v>
                </c:pt>
                <c:pt idx="89">
                  <c:v>226560.05178583</c:v>
                </c:pt>
                <c:pt idx="90">
                  <c:v>174667.69392874002</c:v>
                </c:pt>
                <c:pt idx="91">
                  <c:v>196779.05499996</c:v>
                </c:pt>
                <c:pt idx="92">
                  <c:v>192983.50607122999</c:v>
                </c:pt>
                <c:pt idx="93">
                  <c:v>188504.96250008998</c:v>
                </c:pt>
                <c:pt idx="94">
                  <c:v>196470.29892881995</c:v>
                </c:pt>
                <c:pt idx="95">
                  <c:v>182516.76000042999</c:v>
                </c:pt>
                <c:pt idx="96">
                  <c:v>143769.38250002003</c:v>
                </c:pt>
                <c:pt idx="97">
                  <c:v>142398.07178584998</c:v>
                </c:pt>
                <c:pt idx="98">
                  <c:v>169068.81571462</c:v>
                </c:pt>
                <c:pt idx="99">
                  <c:v>156919.33714312001</c:v>
                </c:pt>
                <c:pt idx="100">
                  <c:v>120668.44357140001</c:v>
                </c:pt>
                <c:pt idx="101">
                  <c:v>121629.36142867</c:v>
                </c:pt>
                <c:pt idx="102">
                  <c:v>142298.66321423999</c:v>
                </c:pt>
                <c:pt idx="103">
                  <c:v>68147.845357120008</c:v>
                </c:pt>
                <c:pt idx="104">
                  <c:v>153671.41928541003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E9D-4A4F-94E3-4E4FB66A1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771535"/>
        <c:axId val="974774447"/>
      </c:barChart>
      <c:lineChart>
        <c:grouping val="standard"/>
        <c:varyColors val="0"/>
        <c:ser>
          <c:idx val="1"/>
          <c:order val="1"/>
          <c:tx>
            <c:strRef>
              <c:f>'NWP NBREN'!$S$6</c:f>
              <c:strCache>
                <c:ptCount val="1"/>
                <c:pt idx="0">
                  <c:v>NB NWP - 4 Week Avg (Boom Annual)</c:v>
                </c:pt>
              </c:strCache>
            </c:strRef>
          </c:tx>
          <c:spPr>
            <a:ln>
              <a:solidFill>
                <a:srgbClr val="0043CE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NBREN'!$S$7:$S$111</c:f>
              <c:numCache>
                <c:formatCode>#,##0</c:formatCode>
                <c:ptCount val="105"/>
                <c:pt idx="3">
                  <c:v>264436.19723212754</c:v>
                </c:pt>
                <c:pt idx="4">
                  <c:v>256063.39723199251</c:v>
                </c:pt>
                <c:pt idx="5">
                  <c:v>250969.239285535</c:v>
                </c:pt>
                <c:pt idx="6">
                  <c:v>235478.85437491501</c:v>
                </c:pt>
                <c:pt idx="7">
                  <c:v>221493.98535715253</c:v>
                </c:pt>
                <c:pt idx="8">
                  <c:v>227249.96062490004</c:v>
                </c:pt>
                <c:pt idx="9">
                  <c:v>244982.48874978253</c:v>
                </c:pt>
                <c:pt idx="10">
                  <c:v>288263.81892841257</c:v>
                </c:pt>
                <c:pt idx="11">
                  <c:v>359640.60982113751</c:v>
                </c:pt>
                <c:pt idx="12">
                  <c:v>387356.98785705998</c:v>
                </c:pt>
                <c:pt idx="13">
                  <c:v>399461.79723209748</c:v>
                </c:pt>
                <c:pt idx="14">
                  <c:v>408615.41589271498</c:v>
                </c:pt>
                <c:pt idx="15">
                  <c:v>416288.38241056999</c:v>
                </c:pt>
                <c:pt idx="16">
                  <c:v>410846.62946409499</c:v>
                </c:pt>
                <c:pt idx="17">
                  <c:v>415409.84633900505</c:v>
                </c:pt>
                <c:pt idx="18">
                  <c:v>399790.72133895755</c:v>
                </c:pt>
                <c:pt idx="19">
                  <c:v>344091.30562471005</c:v>
                </c:pt>
                <c:pt idx="20">
                  <c:v>329290.63803545758</c:v>
                </c:pt>
                <c:pt idx="21">
                  <c:v>326509.85374998499</c:v>
                </c:pt>
                <c:pt idx="22">
                  <c:v>326165.80455359747</c:v>
                </c:pt>
                <c:pt idx="23">
                  <c:v>395047.45723232249</c:v>
                </c:pt>
                <c:pt idx="24">
                  <c:v>587644.39999963739</c:v>
                </c:pt>
                <c:pt idx="25">
                  <c:v>716888.09955333755</c:v>
                </c:pt>
                <c:pt idx="26">
                  <c:v>851565.72116060997</c:v>
                </c:pt>
                <c:pt idx="27">
                  <c:v>1020546.379731845</c:v>
                </c:pt>
                <c:pt idx="28">
                  <c:v>1161476.5005357601</c:v>
                </c:pt>
                <c:pt idx="29">
                  <c:v>1330516.3829462826</c:v>
                </c:pt>
                <c:pt idx="30">
                  <c:v>1484346.1808926575</c:v>
                </c:pt>
                <c:pt idx="31">
                  <c:v>1572084.7517856027</c:v>
                </c:pt>
                <c:pt idx="32">
                  <c:v>1619429.0964290302</c:v>
                </c:pt>
                <c:pt idx="33">
                  <c:v>1650951.5594651098</c:v>
                </c:pt>
                <c:pt idx="34">
                  <c:v>1642157.3164295899</c:v>
                </c:pt>
                <c:pt idx="35">
                  <c:v>1600685.4164297399</c:v>
                </c:pt>
                <c:pt idx="36">
                  <c:v>1573059.7835722174</c:v>
                </c:pt>
                <c:pt idx="37">
                  <c:v>1557436.6586608798</c:v>
                </c:pt>
                <c:pt idx="38">
                  <c:v>1525744.2461606846</c:v>
                </c:pt>
                <c:pt idx="39">
                  <c:v>1503354.2726784325</c:v>
                </c:pt>
                <c:pt idx="40">
                  <c:v>1431294.5418748199</c:v>
                </c:pt>
                <c:pt idx="41">
                  <c:v>1365510.5051784948</c:v>
                </c:pt>
                <c:pt idx="42">
                  <c:v>1335624.0822319277</c:v>
                </c:pt>
                <c:pt idx="43">
                  <c:v>1307994.0964283999</c:v>
                </c:pt>
                <c:pt idx="44">
                  <c:v>1241783.5393749301</c:v>
                </c:pt>
                <c:pt idx="45">
                  <c:v>1220302.7350891875</c:v>
                </c:pt>
                <c:pt idx="46">
                  <c:v>1210244.3029465051</c:v>
                </c:pt>
                <c:pt idx="47">
                  <c:v>1157485.1631251301</c:v>
                </c:pt>
                <c:pt idx="48">
                  <c:v>1105334.2642859127</c:v>
                </c:pt>
                <c:pt idx="49">
                  <c:v>1024945.9855360977</c:v>
                </c:pt>
                <c:pt idx="50">
                  <c:v>995977.70767914003</c:v>
                </c:pt>
                <c:pt idx="51">
                  <c:v>973056.57973262761</c:v>
                </c:pt>
                <c:pt idx="52">
                  <c:v>950696.59705397743</c:v>
                </c:pt>
                <c:pt idx="53">
                  <c:v>920731.71946484491</c:v>
                </c:pt>
                <c:pt idx="54">
                  <c:v>850049.07848240749</c:v>
                </c:pt>
                <c:pt idx="55">
                  <c:v>849233.97642892506</c:v>
                </c:pt>
                <c:pt idx="56">
                  <c:v>822648.96812528756</c:v>
                </c:pt>
                <c:pt idx="57">
                  <c:v>825258.24705360516</c:v>
                </c:pt>
                <c:pt idx="58">
                  <c:v>859394.69035725272</c:v>
                </c:pt>
                <c:pt idx="59">
                  <c:v>838575.36973227514</c:v>
                </c:pt>
                <c:pt idx="60">
                  <c:v>829522.24392857263</c:v>
                </c:pt>
                <c:pt idx="61">
                  <c:v>824002.62160716252</c:v>
                </c:pt>
                <c:pt idx="62">
                  <c:v>808569.17678559257</c:v>
                </c:pt>
                <c:pt idx="63">
                  <c:v>836186.32732120005</c:v>
                </c:pt>
                <c:pt idx="64">
                  <c:v>859184.62991040514</c:v>
                </c:pt>
                <c:pt idx="65">
                  <c:v>860333.50508915004</c:v>
                </c:pt>
                <c:pt idx="66">
                  <c:v>904814.31982133503</c:v>
                </c:pt>
                <c:pt idx="67">
                  <c:v>947142.92107140506</c:v>
                </c:pt>
                <c:pt idx="68">
                  <c:v>1033809.7650000751</c:v>
                </c:pt>
                <c:pt idx="69">
                  <c:v>1081071.4118751383</c:v>
                </c:pt>
                <c:pt idx="70">
                  <c:v>1076066.6376787983</c:v>
                </c:pt>
                <c:pt idx="71">
                  <c:v>997847.7987499733</c:v>
                </c:pt>
                <c:pt idx="72">
                  <c:v>929671.79973230418</c:v>
                </c:pt>
                <c:pt idx="73">
                  <c:v>923042.26794646843</c:v>
                </c:pt>
                <c:pt idx="74">
                  <c:v>911748.64241042081</c:v>
                </c:pt>
                <c:pt idx="75">
                  <c:v>932183.81482145831</c:v>
                </c:pt>
                <c:pt idx="76">
                  <c:v>961593.96044657496</c:v>
                </c:pt>
                <c:pt idx="77">
                  <c:v>949660.7094643648</c:v>
                </c:pt>
                <c:pt idx="78">
                  <c:v>902617.16008938488</c:v>
                </c:pt>
                <c:pt idx="79">
                  <c:v>857191.00723212992</c:v>
                </c:pt>
                <c:pt idx="80">
                  <c:v>815364.00839274738</c:v>
                </c:pt>
                <c:pt idx="81">
                  <c:v>793988.42223206745</c:v>
                </c:pt>
                <c:pt idx="82">
                  <c:v>807395.61098228733</c:v>
                </c:pt>
                <c:pt idx="83">
                  <c:v>848307.56392853986</c:v>
                </c:pt>
                <c:pt idx="84">
                  <c:v>881265.19348196732</c:v>
                </c:pt>
                <c:pt idx="85">
                  <c:v>918323.59892850299</c:v>
                </c:pt>
                <c:pt idx="86">
                  <c:v>937718.45812488312</c:v>
                </c:pt>
                <c:pt idx="87">
                  <c:v>944930.22464263311</c:v>
                </c:pt>
                <c:pt idx="88">
                  <c:v>898948.76142833568</c:v>
                </c:pt>
                <c:pt idx="89">
                  <c:v>903046.68053522252</c:v>
                </c:pt>
                <c:pt idx="90">
                  <c:v>880435.49223169754</c:v>
                </c:pt>
                <c:pt idx="91">
                  <c:v>859193.22848187247</c:v>
                </c:pt>
                <c:pt idx="92">
                  <c:v>854893.59232121997</c:v>
                </c:pt>
                <c:pt idx="93">
                  <c:v>809275.53776787</c:v>
                </c:pt>
                <c:pt idx="94">
                  <c:v>804400.76544660004</c:v>
                </c:pt>
                <c:pt idx="95">
                  <c:v>792259.01937528991</c:v>
                </c:pt>
                <c:pt idx="96">
                  <c:v>775772.05428618239</c:v>
                </c:pt>
                <c:pt idx="97">
                  <c:v>760878.47964325745</c:v>
                </c:pt>
                <c:pt idx="98">
                  <c:v>778951.40535736247</c:v>
                </c:pt>
                <c:pt idx="99">
                  <c:v>789332.04375020997</c:v>
                </c:pt>
                <c:pt idx="100">
                  <c:v>784502.44321434246</c:v>
                </c:pt>
                <c:pt idx="101">
                  <c:v>761267.07455352496</c:v>
                </c:pt>
                <c:pt idx="102">
                  <c:v>722376.05214287736</c:v>
                </c:pt>
                <c:pt idx="103">
                  <c:v>690443.13312481495</c:v>
                </c:pt>
                <c:pt idx="104">
                  <c:v>690040.90455336752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E9D-4A4F-94E3-4E4FB66A13C0}"/>
            </c:ext>
          </c:extLst>
        </c:ser>
        <c:ser>
          <c:idx val="3"/>
          <c:order val="4"/>
          <c:tx>
            <c:strRef>
              <c:f>'NWP NBREN'!$V$6</c:f>
              <c:strCache>
                <c:ptCount val="1"/>
                <c:pt idx="0">
                  <c:v>RN NWP - 4 Week Avg (Boom Annual)</c:v>
                </c:pt>
              </c:strCache>
            </c:strRef>
          </c:tx>
          <c:spPr>
            <a:ln>
              <a:solidFill>
                <a:srgbClr val="595959"/>
              </a:solidFill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NBREN'!$V$7:$V$111</c:f>
              <c:numCache>
                <c:formatCode>#,##0</c:formatCode>
                <c:ptCount val="105"/>
                <c:pt idx="3">
                  <c:v>29871.214285642505</c:v>
                </c:pt>
                <c:pt idx="4">
                  <c:v>29914.945624967506</c:v>
                </c:pt>
                <c:pt idx="5">
                  <c:v>33329.551607127498</c:v>
                </c:pt>
                <c:pt idx="6">
                  <c:v>35465.378035702495</c:v>
                </c:pt>
                <c:pt idx="7">
                  <c:v>38576.822767834994</c:v>
                </c:pt>
                <c:pt idx="8">
                  <c:v>37168.849107107497</c:v>
                </c:pt>
                <c:pt idx="9">
                  <c:v>31905.880267807497</c:v>
                </c:pt>
                <c:pt idx="10">
                  <c:v>27540.494285684999</c:v>
                </c:pt>
                <c:pt idx="11">
                  <c:v>21830.969375000001</c:v>
                </c:pt>
                <c:pt idx="12">
                  <c:v>17388.6957143</c:v>
                </c:pt>
                <c:pt idx="13">
                  <c:v>24884.162589312498</c:v>
                </c:pt>
                <c:pt idx="14">
                  <c:v>36436.404642884998</c:v>
                </c:pt>
                <c:pt idx="15">
                  <c:v>51388.298125047499</c:v>
                </c:pt>
                <c:pt idx="16">
                  <c:v>58826.952053577494</c:v>
                </c:pt>
                <c:pt idx="17">
                  <c:v>64329.905624999999</c:v>
                </c:pt>
                <c:pt idx="18">
                  <c:v>63342.020803527499</c:v>
                </c:pt>
                <c:pt idx="19">
                  <c:v>55709.033660667497</c:v>
                </c:pt>
                <c:pt idx="20">
                  <c:v>52833.619910697496</c:v>
                </c:pt>
                <c:pt idx="21">
                  <c:v>49516.31428567</c:v>
                </c:pt>
                <c:pt idx="22">
                  <c:v>43249.980535699993</c:v>
                </c:pt>
                <c:pt idx="23">
                  <c:v>43933.462767824996</c:v>
                </c:pt>
                <c:pt idx="24">
                  <c:v>47628.504107109999</c:v>
                </c:pt>
                <c:pt idx="25">
                  <c:v>42346.793124974996</c:v>
                </c:pt>
                <c:pt idx="26">
                  <c:v>43925.454285719999</c:v>
                </c:pt>
                <c:pt idx="27">
                  <c:v>44635.635803539997</c:v>
                </c:pt>
                <c:pt idx="28">
                  <c:v>46568.562053554997</c:v>
                </c:pt>
                <c:pt idx="29">
                  <c:v>52545.722232159998</c:v>
                </c:pt>
                <c:pt idx="30">
                  <c:v>57764.865625024991</c:v>
                </c:pt>
                <c:pt idx="31">
                  <c:v>63751.516517907505</c:v>
                </c:pt>
                <c:pt idx="32">
                  <c:v>60252.655446465003</c:v>
                </c:pt>
                <c:pt idx="33">
                  <c:v>58759.364375055004</c:v>
                </c:pt>
                <c:pt idx="34">
                  <c:v>53385.19205355001</c:v>
                </c:pt>
                <c:pt idx="35">
                  <c:v>42207.154732130002</c:v>
                </c:pt>
                <c:pt idx="36">
                  <c:v>39046.519107155</c:v>
                </c:pt>
                <c:pt idx="37">
                  <c:v>35413.109107132506</c:v>
                </c:pt>
                <c:pt idx="38">
                  <c:v>32422.178125065002</c:v>
                </c:pt>
                <c:pt idx="39">
                  <c:v>37157.583928652501</c:v>
                </c:pt>
                <c:pt idx="40">
                  <c:v>40344.663571472498</c:v>
                </c:pt>
                <c:pt idx="41">
                  <c:v>41370.222767897503</c:v>
                </c:pt>
                <c:pt idx="42">
                  <c:v>42602.161696447503</c:v>
                </c:pt>
                <c:pt idx="43">
                  <c:v>37289.21696428</c:v>
                </c:pt>
                <c:pt idx="44">
                  <c:v>33866.5982142625</c:v>
                </c:pt>
                <c:pt idx="45">
                  <c:v>28906.410357132499</c:v>
                </c:pt>
                <c:pt idx="46">
                  <c:v>28859.264374959999</c:v>
                </c:pt>
                <c:pt idx="47">
                  <c:v>27343.924910672496</c:v>
                </c:pt>
                <c:pt idx="48">
                  <c:v>27730.629196387497</c:v>
                </c:pt>
                <c:pt idx="49">
                  <c:v>32060.967410664998</c:v>
                </c:pt>
                <c:pt idx="50">
                  <c:v>30317.639553530003</c:v>
                </c:pt>
                <c:pt idx="51">
                  <c:v>31304.786785704997</c:v>
                </c:pt>
                <c:pt idx="52">
                  <c:v>32809.189107177495</c:v>
                </c:pt>
                <c:pt idx="53">
                  <c:v>33024.800267895</c:v>
                </c:pt>
                <c:pt idx="54">
                  <c:v>35232.712053552495</c:v>
                </c:pt>
                <c:pt idx="55">
                  <c:v>42034.282232104997</c:v>
                </c:pt>
                <c:pt idx="56">
                  <c:v>43876.791785669993</c:v>
                </c:pt>
                <c:pt idx="57">
                  <c:v>45490.298928525001</c:v>
                </c:pt>
                <c:pt idx="58">
                  <c:v>43850.612232150001</c:v>
                </c:pt>
                <c:pt idx="59">
                  <c:v>39152.655624999999</c:v>
                </c:pt>
                <c:pt idx="60">
                  <c:v>36657.382142889997</c:v>
                </c:pt>
                <c:pt idx="61">
                  <c:v>34208.658571459993</c:v>
                </c:pt>
                <c:pt idx="62">
                  <c:v>41454.874464307497</c:v>
                </c:pt>
                <c:pt idx="63">
                  <c:v>51801.943214305</c:v>
                </c:pt>
                <c:pt idx="64">
                  <c:v>56381.150178562493</c:v>
                </c:pt>
                <c:pt idx="65">
                  <c:v>60183.731874987498</c:v>
                </c:pt>
                <c:pt idx="66">
                  <c:v>68658.070892795004</c:v>
                </c:pt>
                <c:pt idx="67">
                  <c:v>67700.239910614997</c:v>
                </c:pt>
                <c:pt idx="68">
                  <c:v>70321.807857045002</c:v>
                </c:pt>
                <c:pt idx="69">
                  <c:v>71997.797231997509</c:v>
                </c:pt>
                <c:pt idx="70">
                  <c:v>62849.083749915</c:v>
                </c:pt>
                <c:pt idx="71">
                  <c:v>61250.930446317499</c:v>
                </c:pt>
                <c:pt idx="72">
                  <c:v>57466.109107065</c:v>
                </c:pt>
                <c:pt idx="73">
                  <c:v>59800.614642877503</c:v>
                </c:pt>
                <c:pt idx="74">
                  <c:v>62135.128392917504</c:v>
                </c:pt>
                <c:pt idx="75">
                  <c:v>59347.042053677505</c:v>
                </c:pt>
                <c:pt idx="76">
                  <c:v>72574.056339277508</c:v>
                </c:pt>
                <c:pt idx="77">
                  <c:v>82634.494642837497</c:v>
                </c:pt>
                <c:pt idx="78">
                  <c:v>94257.9582141875</c:v>
                </c:pt>
                <c:pt idx="79">
                  <c:v>108006.0469642125</c:v>
                </c:pt>
                <c:pt idx="80">
                  <c:v>125143.14285703498</c:v>
                </c:pt>
                <c:pt idx="81">
                  <c:v>137421.45508909499</c:v>
                </c:pt>
                <c:pt idx="82">
                  <c:v>153352.13428552751</c:v>
                </c:pt>
                <c:pt idx="83">
                  <c:v>172489.64973190497</c:v>
                </c:pt>
                <c:pt idx="84">
                  <c:v>185776.89482126248</c:v>
                </c:pt>
                <c:pt idx="85">
                  <c:v>196632.794464115</c:v>
                </c:pt>
                <c:pt idx="86">
                  <c:v>196063.90973201746</c:v>
                </c:pt>
                <c:pt idx="87">
                  <c:v>196693.9528570025</c:v>
                </c:pt>
                <c:pt idx="88">
                  <c:v>194618.21955343999</c:v>
                </c:pt>
                <c:pt idx="89">
                  <c:v>200916.98080351751</c:v>
                </c:pt>
                <c:pt idx="90">
                  <c:v>200403.30955355748</c:v>
                </c:pt>
                <c:pt idx="91">
                  <c:v>202878.360000035</c:v>
                </c:pt>
                <c:pt idx="92">
                  <c:v>197747.57669644</c:v>
                </c:pt>
                <c:pt idx="93">
                  <c:v>188233.80437500501</c:v>
                </c:pt>
                <c:pt idx="94">
                  <c:v>193684.45562502497</c:v>
                </c:pt>
                <c:pt idx="95">
                  <c:v>190118.88187514246</c:v>
                </c:pt>
                <c:pt idx="96">
                  <c:v>177815.35098233999</c:v>
                </c:pt>
                <c:pt idx="97">
                  <c:v>166288.62830377999</c:v>
                </c:pt>
                <c:pt idx="98">
                  <c:v>159438.25750022999</c:v>
                </c:pt>
                <c:pt idx="99">
                  <c:v>153038.9017859025</c:v>
                </c:pt>
                <c:pt idx="100">
                  <c:v>147263.66705374751</c:v>
                </c:pt>
                <c:pt idx="101">
                  <c:v>142071.48946445249</c:v>
                </c:pt>
                <c:pt idx="102">
                  <c:v>135378.9513393575</c:v>
                </c:pt>
                <c:pt idx="103">
                  <c:v>113186.07839285751</c:v>
                </c:pt>
                <c:pt idx="104">
                  <c:v>121436.82232136001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E9D-4A4F-94E3-4E4FB66A1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71535"/>
        <c:axId val="974774447"/>
      </c:lineChart>
      <c:lineChart>
        <c:grouping val="standard"/>
        <c:varyColors val="0"/>
        <c:ser>
          <c:idx val="4"/>
          <c:order val="2"/>
          <c:tx>
            <c:strRef>
              <c:f>'NWP NBREN'!$T$6</c:f>
              <c:strCache>
                <c:ptCount val="1"/>
                <c:pt idx="0">
                  <c:v>NB Average NWP - 4 Week Avg (Boom Annual)</c:v>
                </c:pt>
              </c:strCache>
            </c:strRef>
          </c:tx>
          <c:spPr>
            <a:ln>
              <a:solidFill>
                <a:srgbClr val="0043CE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NBREN'!$T$7:$T$111</c:f>
              <c:numCache>
                <c:formatCode>#,##0</c:formatCode>
                <c:ptCount val="105"/>
                <c:pt idx="3">
                  <c:v>1263.8911739521518</c:v>
                </c:pt>
                <c:pt idx="4">
                  <c:v>1254.9329672209763</c:v>
                </c:pt>
                <c:pt idx="5">
                  <c:v>1282.5536602312786</c:v>
                </c:pt>
                <c:pt idx="6">
                  <c:v>1278.7394129139716</c:v>
                </c:pt>
                <c:pt idx="7">
                  <c:v>1288.3972921668792</c:v>
                </c:pt>
                <c:pt idx="8">
                  <c:v>1296.8817906922975</c:v>
                </c:pt>
                <c:pt idx="9">
                  <c:v>1261.6672089960671</c:v>
                </c:pt>
                <c:pt idx="10">
                  <c:v>1267.7124356339461</c:v>
                </c:pt>
                <c:pt idx="11">
                  <c:v>1194.9375865641723</c:v>
                </c:pt>
                <c:pt idx="12">
                  <c:v>1136.0488530331083</c:v>
                </c:pt>
                <c:pt idx="13">
                  <c:v>1085.6023268367612</c:v>
                </c:pt>
                <c:pt idx="14">
                  <c:v>1020.036012790506</c:v>
                </c:pt>
                <c:pt idx="15">
                  <c:v>1010.5830494871449</c:v>
                </c:pt>
                <c:pt idx="16">
                  <c:v>1014.0909617985747</c:v>
                </c:pt>
                <c:pt idx="17">
                  <c:v>1028.380178635618</c:v>
                </c:pt>
                <c:pt idx="18">
                  <c:v>1016.1094523040897</c:v>
                </c:pt>
                <c:pt idx="19">
                  <c:v>1015.2306308451249</c:v>
                </c:pt>
                <c:pt idx="20">
                  <c:v>1009.7093626332804</c:v>
                </c:pt>
                <c:pt idx="21">
                  <c:v>1005.5915107338452</c:v>
                </c:pt>
                <c:pt idx="22">
                  <c:v>1015.2656644492315</c:v>
                </c:pt>
                <c:pt idx="23">
                  <c:v>1034.3323708045514</c:v>
                </c:pt>
                <c:pt idx="24">
                  <c:v>1092.5759293380834</c:v>
                </c:pt>
                <c:pt idx="25">
                  <c:v>1173.497665567869</c:v>
                </c:pt>
                <c:pt idx="26">
                  <c:v>1226.4484909211942</c:v>
                </c:pt>
                <c:pt idx="27">
                  <c:v>1281.5919606299426</c:v>
                </c:pt>
                <c:pt idx="28">
                  <c:v>1288.7574952497325</c:v>
                </c:pt>
                <c:pt idx="29">
                  <c:v>1292.366914921171</c:v>
                </c:pt>
                <c:pt idx="30">
                  <c:v>1307.9129443660415</c:v>
                </c:pt>
                <c:pt idx="31">
                  <c:v>1297.3762575885867</c:v>
                </c:pt>
                <c:pt idx="32">
                  <c:v>1287.7401665255886</c:v>
                </c:pt>
                <c:pt idx="33">
                  <c:v>1244.131112282269</c:v>
                </c:pt>
                <c:pt idx="34">
                  <c:v>1205.6491981991426</c:v>
                </c:pt>
                <c:pt idx="35">
                  <c:v>1168.7196349513188</c:v>
                </c:pt>
                <c:pt idx="36">
                  <c:v>1144.5010330725916</c:v>
                </c:pt>
                <c:pt idx="37">
                  <c:v>1115.4096473846805</c:v>
                </c:pt>
                <c:pt idx="38">
                  <c:v>1097.0335086198736</c:v>
                </c:pt>
                <c:pt idx="39">
                  <c:v>1099.4344784138168</c:v>
                </c:pt>
                <c:pt idx="40">
                  <c:v>1085.3058354337104</c:v>
                </c:pt>
                <c:pt idx="41">
                  <c:v>1089.0510426671199</c:v>
                </c:pt>
                <c:pt idx="42">
                  <c:v>1072.4825301358221</c:v>
                </c:pt>
                <c:pt idx="43">
                  <c:v>1062.9453394569273</c:v>
                </c:pt>
                <c:pt idx="44">
                  <c:v>1050.4458386687904</c:v>
                </c:pt>
                <c:pt idx="45">
                  <c:v>1060.3169417984532</c:v>
                </c:pt>
                <c:pt idx="46">
                  <c:v>1074.3222664357936</c:v>
                </c:pt>
                <c:pt idx="47">
                  <c:v>1064.5960173320104</c:v>
                </c:pt>
                <c:pt idx="48">
                  <c:v>1072.4577129852944</c:v>
                </c:pt>
                <c:pt idx="49">
                  <c:v>1058.0240698877647</c:v>
                </c:pt>
                <c:pt idx="50">
                  <c:v>1059.3887823459459</c:v>
                </c:pt>
                <c:pt idx="51">
                  <c:v>1081.2715373589592</c:v>
                </c:pt>
                <c:pt idx="52">
                  <c:v>1093.3698281112972</c:v>
                </c:pt>
                <c:pt idx="53">
                  <c:v>1091.6703101964017</c:v>
                </c:pt>
                <c:pt idx="54">
                  <c:v>1089.4319128419127</c:v>
                </c:pt>
                <c:pt idx="55">
                  <c:v>1061.5935513360557</c:v>
                </c:pt>
                <c:pt idx="56">
                  <c:v>1041.8071435238635</c:v>
                </c:pt>
                <c:pt idx="57">
                  <c:v>1054.6609308394434</c:v>
                </c:pt>
                <c:pt idx="58">
                  <c:v>1067.2704167927084</c:v>
                </c:pt>
                <c:pt idx="59">
                  <c:v>1072.1724848364402</c:v>
                </c:pt>
                <c:pt idx="60">
                  <c:v>1088.9056336241024</c:v>
                </c:pt>
                <c:pt idx="61">
                  <c:v>1088.8423141328115</c:v>
                </c:pt>
                <c:pt idx="62">
                  <c:v>1074.141106059722</c:v>
                </c:pt>
                <c:pt idx="63">
                  <c:v>1079.888982357106</c:v>
                </c:pt>
                <c:pt idx="64">
                  <c:v>1081.2464928000236</c:v>
                </c:pt>
                <c:pt idx="65">
                  <c:v>1085.738008784135</c:v>
                </c:pt>
                <c:pt idx="66">
                  <c:v>1110.4075370844694</c:v>
                </c:pt>
                <c:pt idx="67">
                  <c:v>1130.9587700773927</c:v>
                </c:pt>
                <c:pt idx="68">
                  <c:v>1132.148368018997</c:v>
                </c:pt>
                <c:pt idx="69">
                  <c:v>1131.8400879821133</c:v>
                </c:pt>
                <c:pt idx="70">
                  <c:v>1130.7481036153663</c:v>
                </c:pt>
                <c:pt idx="71">
                  <c:v>1135.8269900427294</c:v>
                </c:pt>
                <c:pt idx="72">
                  <c:v>1131.1611907745894</c:v>
                </c:pt>
                <c:pt idx="73">
                  <c:v>1123.6122780188907</c:v>
                </c:pt>
                <c:pt idx="74">
                  <c:v>1110.658850255998</c:v>
                </c:pt>
                <c:pt idx="75">
                  <c:v>1092.1720980026189</c:v>
                </c:pt>
                <c:pt idx="76">
                  <c:v>1074.212001007289</c:v>
                </c:pt>
                <c:pt idx="77">
                  <c:v>1068.6903871855586</c:v>
                </c:pt>
                <c:pt idx="78">
                  <c:v>1072.6024709724691</c:v>
                </c:pt>
                <c:pt idx="79">
                  <c:v>1065.0016211939392</c:v>
                </c:pt>
                <c:pt idx="80">
                  <c:v>1074.7743557469369</c:v>
                </c:pt>
                <c:pt idx="81">
                  <c:v>1082.6065992891379</c:v>
                </c:pt>
                <c:pt idx="82">
                  <c:v>1088.3021293966995</c:v>
                </c:pt>
                <c:pt idx="83">
                  <c:v>1101.8503477042457</c:v>
                </c:pt>
                <c:pt idx="84">
                  <c:v>1120.7513972637255</c:v>
                </c:pt>
                <c:pt idx="85">
                  <c:v>1126.4915840077686</c:v>
                </c:pt>
                <c:pt idx="86">
                  <c:v>1141.3167498981886</c:v>
                </c:pt>
                <c:pt idx="87">
                  <c:v>1143.6926882576513</c:v>
                </c:pt>
                <c:pt idx="88">
                  <c:v>1131.382511697758</c:v>
                </c:pt>
                <c:pt idx="89">
                  <c:v>1129.7918536935726</c:v>
                </c:pt>
                <c:pt idx="90">
                  <c:v>1119.9390935944139</c:v>
                </c:pt>
                <c:pt idx="91">
                  <c:v>1120.3693603748718</c:v>
                </c:pt>
                <c:pt idx="92">
                  <c:v>1136.4479200946839</c:v>
                </c:pt>
                <c:pt idx="93">
                  <c:v>1139.0653894759407</c:v>
                </c:pt>
                <c:pt idx="94">
                  <c:v>1125.0738808767546</c:v>
                </c:pt>
                <c:pt idx="95">
                  <c:v>1128.6195819849836</c:v>
                </c:pt>
                <c:pt idx="96">
                  <c:v>1120.1390333728982</c:v>
                </c:pt>
                <c:pt idx="97">
                  <c:v>1131.2533519015897</c:v>
                </c:pt>
                <c:pt idx="98">
                  <c:v>1142.920343872004</c:v>
                </c:pt>
                <c:pt idx="99">
                  <c:v>1151.4714729208222</c:v>
                </c:pt>
                <c:pt idx="100">
                  <c:v>1161.3562565724246</c:v>
                </c:pt>
                <c:pt idx="101">
                  <c:v>1162.3335996287378</c:v>
                </c:pt>
                <c:pt idx="102">
                  <c:v>1154.4890359394683</c:v>
                </c:pt>
                <c:pt idx="103">
                  <c:v>1168.7668250625188</c:v>
                </c:pt>
                <c:pt idx="104">
                  <c:v>1179.3600965348269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E9D-4A4F-94E3-4E4FB66A13C0}"/>
            </c:ext>
          </c:extLst>
        </c:ser>
        <c:ser>
          <c:idx val="6"/>
          <c:order val="5"/>
          <c:tx>
            <c:strRef>
              <c:f>'NWP NBREN'!$W$6</c:f>
              <c:strCache>
                <c:ptCount val="1"/>
                <c:pt idx="0">
                  <c:v>RN Average NWP - 4 Week Avg (Boom Annual)</c:v>
                </c:pt>
              </c:strCache>
            </c:strRef>
          </c:tx>
          <c:spPr>
            <a:ln>
              <a:solidFill>
                <a:srgbClr val="595959"/>
              </a:solidFill>
              <a:prstDash val="dash"/>
            </a:ln>
          </c:spPr>
          <c:marker>
            <c:symbol val="none"/>
          </c:marker>
          <c:cat>
            <c:numRef>
              <c:f>'NWP NBREN'!$A$7:$A$111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'NWP NBREN'!$W$7:$W$111</c:f>
              <c:numCache>
                <c:formatCode>#,##0</c:formatCode>
                <c:ptCount val="105"/>
                <c:pt idx="3">
                  <c:v>1193.950230808081</c:v>
                </c:pt>
                <c:pt idx="4">
                  <c:v>1237.0869942023596</c:v>
                </c:pt>
                <c:pt idx="5">
                  <c:v>1181.1469284137347</c:v>
                </c:pt>
                <c:pt idx="6">
                  <c:v>1173.8291706844718</c:v>
                </c:pt>
                <c:pt idx="7">
                  <c:v>1213.8330186396963</c:v>
                </c:pt>
                <c:pt idx="8">
                  <c:v>1132.9426846444853</c:v>
                </c:pt>
                <c:pt idx="9">
                  <c:v>1120.3954835680966</c:v>
                </c:pt>
                <c:pt idx="10">
                  <c:v>1123.7194518601548</c:v>
                </c:pt>
                <c:pt idx="11">
                  <c:v>1073.668689531607</c:v>
                </c:pt>
                <c:pt idx="12">
                  <c:v>969.18790510587621</c:v>
                </c:pt>
                <c:pt idx="13">
                  <c:v>948.45367395582991</c:v>
                </c:pt>
                <c:pt idx="14">
                  <c:v>912.24699861529177</c:v>
                </c:pt>
                <c:pt idx="15">
                  <c:v>865.92007185289549</c:v>
                </c:pt>
                <c:pt idx="16">
                  <c:v>861.31506558631668</c:v>
                </c:pt>
                <c:pt idx="17">
                  <c:v>879.80873030954967</c:v>
                </c:pt>
                <c:pt idx="18">
                  <c:v>872.52293226589995</c:v>
                </c:pt>
                <c:pt idx="19">
                  <c:v>889.91160647709557</c:v>
                </c:pt>
                <c:pt idx="20">
                  <c:v>883.07800307989157</c:v>
                </c:pt>
                <c:pt idx="21">
                  <c:v>864.58281739879681</c:v>
                </c:pt>
                <c:pt idx="22">
                  <c:v>829.64255196516785</c:v>
                </c:pt>
                <c:pt idx="23">
                  <c:v>793.62119149259127</c:v>
                </c:pt>
                <c:pt idx="24">
                  <c:v>814.83422628128642</c:v>
                </c:pt>
                <c:pt idx="25">
                  <c:v>770.40044882593327</c:v>
                </c:pt>
                <c:pt idx="26">
                  <c:v>785.05873454666983</c:v>
                </c:pt>
                <c:pt idx="27">
                  <c:v>777.70394117208446</c:v>
                </c:pt>
                <c:pt idx="28">
                  <c:v>743.01197375376114</c:v>
                </c:pt>
                <c:pt idx="29">
                  <c:v>778.64591048908972</c:v>
                </c:pt>
                <c:pt idx="30">
                  <c:v>781.18332857692769</c:v>
                </c:pt>
                <c:pt idx="31">
                  <c:v>823.17131334571991</c:v>
                </c:pt>
                <c:pt idx="32">
                  <c:v>815.47433321879566</c:v>
                </c:pt>
                <c:pt idx="33">
                  <c:v>794.14160362722419</c:v>
                </c:pt>
                <c:pt idx="34">
                  <c:v>792.41515117771644</c:v>
                </c:pt>
                <c:pt idx="35">
                  <c:v>744.4385079846038</c:v>
                </c:pt>
                <c:pt idx="36">
                  <c:v>768.66201536757069</c:v>
                </c:pt>
                <c:pt idx="37">
                  <c:v>783.57095286726667</c:v>
                </c:pt>
                <c:pt idx="38">
                  <c:v>779.44296711202855</c:v>
                </c:pt>
                <c:pt idx="39">
                  <c:v>800.58368455572781</c:v>
                </c:pt>
                <c:pt idx="40">
                  <c:v>791.74051412884182</c:v>
                </c:pt>
                <c:pt idx="41">
                  <c:v>764.77413615258024</c:v>
                </c:pt>
                <c:pt idx="42">
                  <c:v>765.798782463674</c:v>
                </c:pt>
                <c:pt idx="43">
                  <c:v>725.60216523724716</c:v>
                </c:pt>
                <c:pt idx="44">
                  <c:v>728.24693810630424</c:v>
                </c:pt>
                <c:pt idx="45">
                  <c:v>786.14693959490842</c:v>
                </c:pt>
                <c:pt idx="46">
                  <c:v>850.88753917256463</c:v>
                </c:pt>
                <c:pt idx="47">
                  <c:v>954.20990536132126</c:v>
                </c:pt>
                <c:pt idx="48">
                  <c:v>1009.1521414452961</c:v>
                </c:pt>
                <c:pt idx="49">
                  <c:v>991.24153811931342</c:v>
                </c:pt>
                <c:pt idx="50">
                  <c:v>969.62394635363648</c:v>
                </c:pt>
                <c:pt idx="51">
                  <c:v>903.90889340992146</c:v>
                </c:pt>
                <c:pt idx="52">
                  <c:v>898.73262067298595</c:v>
                </c:pt>
                <c:pt idx="53">
                  <c:v>894.20900338850004</c:v>
                </c:pt>
                <c:pt idx="54">
                  <c:v>868.77597834850678</c:v>
                </c:pt>
                <c:pt idx="55">
                  <c:v>923.50799144299003</c:v>
                </c:pt>
                <c:pt idx="56">
                  <c:v>927.45560871515681</c:v>
                </c:pt>
                <c:pt idx="57">
                  <c:v>1025.6660013960586</c:v>
                </c:pt>
                <c:pt idx="58">
                  <c:v>1011.9956689665054</c:v>
                </c:pt>
                <c:pt idx="59">
                  <c:v>964.29897088945154</c:v>
                </c:pt>
                <c:pt idx="60">
                  <c:v>955.43225065228478</c:v>
                </c:pt>
                <c:pt idx="61">
                  <c:v>848.27579551983627</c:v>
                </c:pt>
                <c:pt idx="62">
                  <c:v>881.48729354665079</c:v>
                </c:pt>
                <c:pt idx="63">
                  <c:v>905.99004166872237</c:v>
                </c:pt>
                <c:pt idx="64">
                  <c:v>896.59329666238614</c:v>
                </c:pt>
                <c:pt idx="65">
                  <c:v>898.94224694860736</c:v>
                </c:pt>
                <c:pt idx="66">
                  <c:v>876.03424170224503</c:v>
                </c:pt>
                <c:pt idx="67">
                  <c:v>810.38525645750519</c:v>
                </c:pt>
                <c:pt idx="68">
                  <c:v>791.94008821630848</c:v>
                </c:pt>
                <c:pt idx="69">
                  <c:v>798.28979365249279</c:v>
                </c:pt>
                <c:pt idx="70">
                  <c:v>783.96032590119739</c:v>
                </c:pt>
                <c:pt idx="71">
                  <c:v>814.72467583208197</c:v>
                </c:pt>
                <c:pt idx="72">
                  <c:v>813.11375109358039</c:v>
                </c:pt>
                <c:pt idx="73">
                  <c:v>808.09794037751158</c:v>
                </c:pt>
                <c:pt idx="74">
                  <c:v>807.60118266041729</c:v>
                </c:pt>
                <c:pt idx="75">
                  <c:v>804.77489031686218</c:v>
                </c:pt>
                <c:pt idx="76">
                  <c:v>833.04994390970228</c:v>
                </c:pt>
                <c:pt idx="77">
                  <c:v>847.65982915597306</c:v>
                </c:pt>
                <c:pt idx="78">
                  <c:v>898.45021426399035</c:v>
                </c:pt>
                <c:pt idx="79">
                  <c:v>929.78269354090662</c:v>
                </c:pt>
                <c:pt idx="80">
                  <c:v>917.65161601539012</c:v>
                </c:pt>
                <c:pt idx="81">
                  <c:v>913.40865412299308</c:v>
                </c:pt>
                <c:pt idx="82">
                  <c:v>888.71811810101599</c:v>
                </c:pt>
                <c:pt idx="83">
                  <c:v>866.99016248031194</c:v>
                </c:pt>
                <c:pt idx="84">
                  <c:v>869.18958896138292</c:v>
                </c:pt>
                <c:pt idx="85">
                  <c:v>856.0478407636665</c:v>
                </c:pt>
                <c:pt idx="86">
                  <c:v>828.65864225198743</c:v>
                </c:pt>
                <c:pt idx="87">
                  <c:v>820.78579757551233</c:v>
                </c:pt>
                <c:pt idx="88">
                  <c:v>809.95116508119577</c:v>
                </c:pt>
                <c:pt idx="89">
                  <c:v>799.45105385896136</c:v>
                </c:pt>
                <c:pt idx="90">
                  <c:v>799.79070857278407</c:v>
                </c:pt>
                <c:pt idx="91">
                  <c:v>807.68410594470743</c:v>
                </c:pt>
                <c:pt idx="92">
                  <c:v>810.18649566397573</c:v>
                </c:pt>
                <c:pt idx="93">
                  <c:v>814.88528566418665</c:v>
                </c:pt>
                <c:pt idx="94">
                  <c:v>818.66732900697355</c:v>
                </c:pt>
                <c:pt idx="95">
                  <c:v>824.19543167997995</c:v>
                </c:pt>
                <c:pt idx="96">
                  <c:v>800.8892428282104</c:v>
                </c:pt>
                <c:pt idx="97">
                  <c:v>801.7598169650829</c:v>
                </c:pt>
                <c:pt idx="98">
                  <c:v>798.79021883097289</c:v>
                </c:pt>
                <c:pt idx="99">
                  <c:v>786.713643876574</c:v>
                </c:pt>
                <c:pt idx="100">
                  <c:v>788.6897061427037</c:v>
                </c:pt>
                <c:pt idx="101">
                  <c:v>805.46461376510433</c:v>
                </c:pt>
                <c:pt idx="102">
                  <c:v>804.49942996986726</c:v>
                </c:pt>
                <c:pt idx="103">
                  <c:v>828.51775816398651</c:v>
                </c:pt>
                <c:pt idx="104">
                  <c:v>848.62389657924814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F-CE9D-4A4F-94E3-4E4FB66A1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077519"/>
        <c:axId val="974078351"/>
      </c:lineChart>
      <c:dateAx>
        <c:axId val="974771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UW</a:t>
                </a:r>
                <a:r>
                  <a:rPr lang="en-GB" baseline="0"/>
                  <a:t> Date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4447"/>
        <c:crosses val="autoZero"/>
        <c:auto val="1"/>
        <c:lblOffset val="100"/>
        <c:baseTimeUnit val="days"/>
      </c:dateAx>
      <c:valAx>
        <c:axId val="9747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71535"/>
        <c:crosses val="autoZero"/>
        <c:crossBetween val="between"/>
      </c:valAx>
      <c:valAx>
        <c:axId val="97407835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077519"/>
        <c:crosses val="max"/>
        <c:crossBetween val="between"/>
      </c:valAx>
      <c:dateAx>
        <c:axId val="97407751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74078351"/>
        <c:crosses val="autoZero"/>
        <c:auto val="1"/>
        <c:lblOffset val="100"/>
        <c:baseTimeUnit val="days"/>
      </c:dateAx>
    </c:plotArea>
    <c:legend>
      <c:legendPos val="b"/>
      <c:layout>
        <c:manualLayout>
          <c:xMode val="edge"/>
          <c:yMode val="edge"/>
          <c:x val="3.6708666666666667E-2"/>
          <c:y val="0.90126150793650794"/>
          <c:w val="0.93943888888888893"/>
          <c:h val="8.75980158730158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 (excl. Boom</a:t>
            </a:r>
            <a:r>
              <a:rPr lang="en-GB" b="1" baseline="0"/>
              <a:t> Subscription): NWP Distribution</a:t>
            </a:r>
            <a:endParaRPr lang="en-GB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Data'!$B$4</c:f>
              <c:strCache>
                <c:ptCount val="1"/>
                <c:pt idx="0">
                  <c:v>PC Annual Direct (L month)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Data'!$A$5:$A$18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Data'!$B$5:$B$18</c:f>
              <c:numCache>
                <c:formatCode>#,##0</c:formatCode>
                <c:ptCount val="14"/>
                <c:pt idx="0">
                  <c:v>187</c:v>
                </c:pt>
                <c:pt idx="1">
                  <c:v>631</c:v>
                </c:pt>
                <c:pt idx="2">
                  <c:v>585</c:v>
                </c:pt>
                <c:pt idx="3">
                  <c:v>454</c:v>
                </c:pt>
                <c:pt idx="4">
                  <c:v>408</c:v>
                </c:pt>
                <c:pt idx="5">
                  <c:v>294</c:v>
                </c:pt>
                <c:pt idx="6">
                  <c:v>214</c:v>
                </c:pt>
                <c:pt idx="7">
                  <c:v>147</c:v>
                </c:pt>
                <c:pt idx="8">
                  <c:v>126</c:v>
                </c:pt>
                <c:pt idx="9">
                  <c:v>117</c:v>
                </c:pt>
                <c:pt idx="10">
                  <c:v>85</c:v>
                </c:pt>
                <c:pt idx="11">
                  <c:v>45</c:v>
                </c:pt>
                <c:pt idx="12">
                  <c:v>61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B-45A4-AB5F-A5A01136E790}"/>
            </c:ext>
          </c:extLst>
        </c:ser>
        <c:ser>
          <c:idx val="1"/>
          <c:order val="1"/>
          <c:tx>
            <c:strRef>
              <c:f>'Dist Graph Data'!$C$4</c:f>
              <c:strCache>
                <c:ptCount val="1"/>
                <c:pt idx="0">
                  <c:v>PC Annual Direct (L3 months)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Data'!$A$5:$A$18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Data'!$C$5:$C$18</c:f>
              <c:numCache>
                <c:formatCode>#,##0</c:formatCode>
                <c:ptCount val="14"/>
                <c:pt idx="0">
                  <c:v>693</c:v>
                </c:pt>
                <c:pt idx="1">
                  <c:v>2115</c:v>
                </c:pt>
                <c:pt idx="2">
                  <c:v>1981</c:v>
                </c:pt>
                <c:pt idx="3">
                  <c:v>1595</c:v>
                </c:pt>
                <c:pt idx="4">
                  <c:v>1366</c:v>
                </c:pt>
                <c:pt idx="5">
                  <c:v>979</c:v>
                </c:pt>
                <c:pt idx="6">
                  <c:v>684</c:v>
                </c:pt>
                <c:pt idx="7">
                  <c:v>495</c:v>
                </c:pt>
                <c:pt idx="8">
                  <c:v>353</c:v>
                </c:pt>
                <c:pt idx="9">
                  <c:v>401</c:v>
                </c:pt>
                <c:pt idx="10">
                  <c:v>236</c:v>
                </c:pt>
                <c:pt idx="11">
                  <c:v>124</c:v>
                </c:pt>
                <c:pt idx="12">
                  <c:v>183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B-45A4-AB5F-A5A01136E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Annual Up Front: NWP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Data'!$F$4</c:f>
              <c:strCache>
                <c:ptCount val="1"/>
                <c:pt idx="0">
                  <c:v>Boom Annual Up Front (L month)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Data'!$E$5:$E$18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Data'!$F$5:$F$18</c:f>
              <c:numCache>
                <c:formatCode>#,##0</c:formatCode>
                <c:ptCount val="14"/>
                <c:pt idx="0">
                  <c:v>74</c:v>
                </c:pt>
                <c:pt idx="1">
                  <c:v>199</c:v>
                </c:pt>
                <c:pt idx="2">
                  <c:v>132</c:v>
                </c:pt>
                <c:pt idx="3">
                  <c:v>80</c:v>
                </c:pt>
                <c:pt idx="4">
                  <c:v>63</c:v>
                </c:pt>
                <c:pt idx="5">
                  <c:v>44</c:v>
                </c:pt>
                <c:pt idx="6">
                  <c:v>32</c:v>
                </c:pt>
                <c:pt idx="7">
                  <c:v>14</c:v>
                </c:pt>
                <c:pt idx="8">
                  <c:v>17</c:v>
                </c:pt>
                <c:pt idx="9">
                  <c:v>24</c:v>
                </c:pt>
                <c:pt idx="10">
                  <c:v>11</c:v>
                </c:pt>
                <c:pt idx="11">
                  <c:v>6</c:v>
                </c:pt>
                <c:pt idx="12">
                  <c:v>8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58-473D-B9AE-A05E477A5092}"/>
            </c:ext>
          </c:extLst>
        </c:ser>
        <c:ser>
          <c:idx val="1"/>
          <c:order val="1"/>
          <c:tx>
            <c:strRef>
              <c:f>'Dist Graph Data'!$G$4</c:f>
              <c:strCache>
                <c:ptCount val="1"/>
                <c:pt idx="0">
                  <c:v>Boom Annual Up Front (L3 months)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Data'!$E$5:$E$18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Data'!$G$5:$G$18</c:f>
              <c:numCache>
                <c:formatCode>#,##0</c:formatCode>
                <c:ptCount val="14"/>
                <c:pt idx="0">
                  <c:v>295</c:v>
                </c:pt>
                <c:pt idx="1">
                  <c:v>645</c:v>
                </c:pt>
                <c:pt idx="2">
                  <c:v>397</c:v>
                </c:pt>
                <c:pt idx="3">
                  <c:v>310</c:v>
                </c:pt>
                <c:pt idx="4">
                  <c:v>215</c:v>
                </c:pt>
                <c:pt idx="5">
                  <c:v>152</c:v>
                </c:pt>
                <c:pt idx="6">
                  <c:v>102</c:v>
                </c:pt>
                <c:pt idx="7">
                  <c:v>53</c:v>
                </c:pt>
                <c:pt idx="8">
                  <c:v>50</c:v>
                </c:pt>
                <c:pt idx="9">
                  <c:v>61</c:v>
                </c:pt>
                <c:pt idx="10">
                  <c:v>24</c:v>
                </c:pt>
                <c:pt idx="11">
                  <c:v>24</c:v>
                </c:pt>
                <c:pt idx="12">
                  <c:v>23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58-473D-B9AE-A05E477A5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Annual Premium Finance: NWP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Data'!$J$4</c:f>
              <c:strCache>
                <c:ptCount val="1"/>
                <c:pt idx="0">
                  <c:v>Boom Annual Premium Finance (L month)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Data'!$I$5:$I$18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Data'!$J$5:$J$18</c:f>
              <c:numCache>
                <c:formatCode>#,##0</c:formatCode>
                <c:ptCount val="14"/>
                <c:pt idx="0">
                  <c:v>113</c:v>
                </c:pt>
                <c:pt idx="1">
                  <c:v>432</c:v>
                </c:pt>
                <c:pt idx="2">
                  <c:v>453</c:v>
                </c:pt>
                <c:pt idx="3">
                  <c:v>374</c:v>
                </c:pt>
                <c:pt idx="4">
                  <c:v>345</c:v>
                </c:pt>
                <c:pt idx="5">
                  <c:v>250</c:v>
                </c:pt>
                <c:pt idx="6">
                  <c:v>182</c:v>
                </c:pt>
                <c:pt idx="7">
                  <c:v>133</c:v>
                </c:pt>
                <c:pt idx="8">
                  <c:v>109</c:v>
                </c:pt>
                <c:pt idx="9">
                  <c:v>93</c:v>
                </c:pt>
                <c:pt idx="10">
                  <c:v>74</c:v>
                </c:pt>
                <c:pt idx="11">
                  <c:v>39</c:v>
                </c:pt>
                <c:pt idx="12">
                  <c:v>53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67-46BA-83BE-F89F9BDF00D8}"/>
            </c:ext>
          </c:extLst>
        </c:ser>
        <c:ser>
          <c:idx val="1"/>
          <c:order val="1"/>
          <c:tx>
            <c:strRef>
              <c:f>'Dist Graph Data'!$K$4</c:f>
              <c:strCache>
                <c:ptCount val="1"/>
                <c:pt idx="0">
                  <c:v>Boom Annual Premium Finance (L3 months)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Data'!$I$5:$I$18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Data'!$K$5:$K$18</c:f>
              <c:numCache>
                <c:formatCode>#,##0</c:formatCode>
                <c:ptCount val="14"/>
                <c:pt idx="0">
                  <c:v>398</c:v>
                </c:pt>
                <c:pt idx="1">
                  <c:v>1470</c:v>
                </c:pt>
                <c:pt idx="2">
                  <c:v>1584</c:v>
                </c:pt>
                <c:pt idx="3">
                  <c:v>1285</c:v>
                </c:pt>
                <c:pt idx="4">
                  <c:v>1151</c:v>
                </c:pt>
                <c:pt idx="5">
                  <c:v>827</c:v>
                </c:pt>
                <c:pt idx="6">
                  <c:v>582</c:v>
                </c:pt>
                <c:pt idx="7">
                  <c:v>442</c:v>
                </c:pt>
                <c:pt idx="8">
                  <c:v>303</c:v>
                </c:pt>
                <c:pt idx="9">
                  <c:v>340</c:v>
                </c:pt>
                <c:pt idx="10">
                  <c:v>212</c:v>
                </c:pt>
                <c:pt idx="11">
                  <c:v>100</c:v>
                </c:pt>
                <c:pt idx="12">
                  <c:v>160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67-46BA-83BE-F89F9BDF0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tx1">
          <a:lumMod val="50000"/>
          <a:lumOff val="50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 (excl. Boom Subscription): NWP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Data'!$B$26</c:f>
              <c:strCache>
                <c:ptCount val="1"/>
                <c:pt idx="0">
                  <c:v>PC Annual Direct (2022 YTD)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Data'!$A$27:$A$40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Data'!$B$27:$B$40</c:f>
              <c:numCache>
                <c:formatCode>#,##0</c:formatCode>
                <c:ptCount val="14"/>
                <c:pt idx="0">
                  <c:v>17356</c:v>
                </c:pt>
                <c:pt idx="1">
                  <c:v>7030</c:v>
                </c:pt>
                <c:pt idx="2">
                  <c:v>3363</c:v>
                </c:pt>
                <c:pt idx="3">
                  <c:v>2509</c:v>
                </c:pt>
                <c:pt idx="4">
                  <c:v>1634</c:v>
                </c:pt>
                <c:pt idx="5">
                  <c:v>1270</c:v>
                </c:pt>
                <c:pt idx="6">
                  <c:v>821</c:v>
                </c:pt>
                <c:pt idx="7">
                  <c:v>613</c:v>
                </c:pt>
                <c:pt idx="8">
                  <c:v>477</c:v>
                </c:pt>
                <c:pt idx="9">
                  <c:v>565</c:v>
                </c:pt>
                <c:pt idx="10">
                  <c:v>308</c:v>
                </c:pt>
                <c:pt idx="11">
                  <c:v>150</c:v>
                </c:pt>
                <c:pt idx="12">
                  <c:v>281</c:v>
                </c:pt>
                <c:pt idx="1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1-4D75-9FAB-B58FA244D53D}"/>
            </c:ext>
          </c:extLst>
        </c:ser>
        <c:ser>
          <c:idx val="1"/>
          <c:order val="1"/>
          <c:tx>
            <c:strRef>
              <c:f>'Dist Graph Data'!$C$26</c:f>
              <c:strCache>
                <c:ptCount val="1"/>
                <c:pt idx="0">
                  <c:v>PC Annual Direct (2023 YTD)</c:v>
                </c:pt>
              </c:strCache>
            </c:strRef>
          </c:tx>
          <c:spPr>
            <a:ln w="28575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'Dist Graph Data'!$A$27:$A$40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Data'!$C$27:$C$40</c:f>
              <c:numCache>
                <c:formatCode>#,##0</c:formatCode>
                <c:ptCount val="14"/>
                <c:pt idx="0">
                  <c:v>9724</c:v>
                </c:pt>
                <c:pt idx="1">
                  <c:v>10673</c:v>
                </c:pt>
                <c:pt idx="2">
                  <c:v>8113</c:v>
                </c:pt>
                <c:pt idx="3">
                  <c:v>6539</c:v>
                </c:pt>
                <c:pt idx="4">
                  <c:v>5440</c:v>
                </c:pt>
                <c:pt idx="5">
                  <c:v>4130</c:v>
                </c:pt>
                <c:pt idx="6">
                  <c:v>3020</c:v>
                </c:pt>
                <c:pt idx="7">
                  <c:v>2176</c:v>
                </c:pt>
                <c:pt idx="8">
                  <c:v>1636</c:v>
                </c:pt>
                <c:pt idx="9">
                  <c:v>2121</c:v>
                </c:pt>
                <c:pt idx="10">
                  <c:v>1088</c:v>
                </c:pt>
                <c:pt idx="11">
                  <c:v>590</c:v>
                </c:pt>
                <c:pt idx="12">
                  <c:v>1037</c:v>
                </c:pt>
                <c:pt idx="1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B1-4D75-9FAB-B58FA244D53D}"/>
            </c:ext>
          </c:extLst>
        </c:ser>
        <c:ser>
          <c:idx val="2"/>
          <c:order val="2"/>
          <c:tx>
            <c:strRef>
              <c:f>'Dist Graph Data'!$D$26</c:f>
              <c:strCache>
                <c:ptCount val="1"/>
                <c:pt idx="0">
                  <c:v>PC Annual Direct (2024 YTD)</c:v>
                </c:pt>
              </c:strCache>
            </c:strRef>
          </c:tx>
          <c:spPr>
            <a:ln w="28575" cap="rnd">
              <a:solidFill>
                <a:srgbClr val="00114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'Dist Graph Data'!$A$27:$A$40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Data'!$D$27:$D$40</c:f>
              <c:numCache>
                <c:formatCode>#,##0</c:formatCode>
                <c:ptCount val="14"/>
                <c:pt idx="0">
                  <c:v>5506</c:v>
                </c:pt>
                <c:pt idx="1">
                  <c:v>15739</c:v>
                </c:pt>
                <c:pt idx="2">
                  <c:v>14338</c:v>
                </c:pt>
                <c:pt idx="3">
                  <c:v>11450</c:v>
                </c:pt>
                <c:pt idx="4">
                  <c:v>9478</c:v>
                </c:pt>
                <c:pt idx="5">
                  <c:v>7075</c:v>
                </c:pt>
                <c:pt idx="6">
                  <c:v>5076</c:v>
                </c:pt>
                <c:pt idx="7">
                  <c:v>3667</c:v>
                </c:pt>
                <c:pt idx="8">
                  <c:v>2602</c:v>
                </c:pt>
                <c:pt idx="9">
                  <c:v>3326</c:v>
                </c:pt>
                <c:pt idx="10">
                  <c:v>1804</c:v>
                </c:pt>
                <c:pt idx="11">
                  <c:v>983</c:v>
                </c:pt>
                <c:pt idx="12">
                  <c:v>1659</c:v>
                </c:pt>
                <c:pt idx="13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B1-4D75-9FAB-B58FA244D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NWP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Data'!$G$26</c:f>
              <c:strCache>
                <c:ptCount val="1"/>
                <c:pt idx="0">
                  <c:v>Boom Annual (2022 YTD)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Data'!$F$27:$F$40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Data'!$G$27:$G$40</c:f>
              <c:numCache>
                <c:formatCode>#,##0</c:formatCode>
                <c:ptCount val="14"/>
                <c:pt idx="0">
                  <c:v>17356</c:v>
                </c:pt>
                <c:pt idx="1">
                  <c:v>7030</c:v>
                </c:pt>
                <c:pt idx="2">
                  <c:v>3363</c:v>
                </c:pt>
                <c:pt idx="3">
                  <c:v>2509</c:v>
                </c:pt>
                <c:pt idx="4">
                  <c:v>1634</c:v>
                </c:pt>
                <c:pt idx="5">
                  <c:v>1270</c:v>
                </c:pt>
                <c:pt idx="6">
                  <c:v>821</c:v>
                </c:pt>
                <c:pt idx="7">
                  <c:v>613</c:v>
                </c:pt>
                <c:pt idx="8">
                  <c:v>477</c:v>
                </c:pt>
                <c:pt idx="9">
                  <c:v>565</c:v>
                </c:pt>
                <c:pt idx="10">
                  <c:v>308</c:v>
                </c:pt>
                <c:pt idx="11">
                  <c:v>150</c:v>
                </c:pt>
                <c:pt idx="12">
                  <c:v>281</c:v>
                </c:pt>
                <c:pt idx="1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6F-4CAF-9D9E-09491D3CDEF2}"/>
            </c:ext>
          </c:extLst>
        </c:ser>
        <c:ser>
          <c:idx val="1"/>
          <c:order val="1"/>
          <c:tx>
            <c:strRef>
              <c:f>'Dist Graph Data'!$H$26</c:f>
              <c:strCache>
                <c:ptCount val="1"/>
                <c:pt idx="0">
                  <c:v>Boom Annual (2023 YTD)</c:v>
                </c:pt>
              </c:strCache>
            </c:strRef>
          </c:tx>
          <c:spPr>
            <a:ln w="28575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'Dist Graph Data'!$F$27:$F$40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Data'!$H$27:$H$40</c:f>
              <c:numCache>
                <c:formatCode>#,##0</c:formatCode>
                <c:ptCount val="14"/>
                <c:pt idx="0">
                  <c:v>9002</c:v>
                </c:pt>
                <c:pt idx="1">
                  <c:v>7774</c:v>
                </c:pt>
                <c:pt idx="2">
                  <c:v>4533</c:v>
                </c:pt>
                <c:pt idx="3">
                  <c:v>3361</c:v>
                </c:pt>
                <c:pt idx="4">
                  <c:v>2469</c:v>
                </c:pt>
                <c:pt idx="5">
                  <c:v>1873</c:v>
                </c:pt>
                <c:pt idx="6">
                  <c:v>1314</c:v>
                </c:pt>
                <c:pt idx="7">
                  <c:v>919</c:v>
                </c:pt>
                <c:pt idx="8">
                  <c:v>692</c:v>
                </c:pt>
                <c:pt idx="9">
                  <c:v>913</c:v>
                </c:pt>
                <c:pt idx="10">
                  <c:v>474</c:v>
                </c:pt>
                <c:pt idx="11">
                  <c:v>248</c:v>
                </c:pt>
                <c:pt idx="12">
                  <c:v>463</c:v>
                </c:pt>
                <c:pt idx="1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6F-4CAF-9D9E-09491D3CDEF2}"/>
            </c:ext>
          </c:extLst>
        </c:ser>
        <c:ser>
          <c:idx val="2"/>
          <c:order val="2"/>
          <c:tx>
            <c:strRef>
              <c:f>'Dist Graph Data'!$I$26</c:f>
              <c:strCache>
                <c:ptCount val="1"/>
                <c:pt idx="0">
                  <c:v>Boom Annual (2024 YTD)</c:v>
                </c:pt>
              </c:strCache>
            </c:strRef>
          </c:tx>
          <c:spPr>
            <a:ln w="28575" cap="rnd">
              <a:solidFill>
                <a:srgbClr val="00114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'Dist Graph Data'!$F$27:$F$40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Data'!$I$27:$I$40</c:f>
              <c:numCache>
                <c:formatCode>#,##0</c:formatCode>
                <c:ptCount val="14"/>
                <c:pt idx="0">
                  <c:v>3180</c:v>
                </c:pt>
                <c:pt idx="1">
                  <c:v>6890</c:v>
                </c:pt>
                <c:pt idx="2">
                  <c:v>4249</c:v>
                </c:pt>
                <c:pt idx="3">
                  <c:v>3005</c:v>
                </c:pt>
                <c:pt idx="4">
                  <c:v>2095</c:v>
                </c:pt>
                <c:pt idx="5">
                  <c:v>1560</c:v>
                </c:pt>
                <c:pt idx="6">
                  <c:v>1045</c:v>
                </c:pt>
                <c:pt idx="7">
                  <c:v>712</c:v>
                </c:pt>
                <c:pt idx="8">
                  <c:v>522</c:v>
                </c:pt>
                <c:pt idx="9">
                  <c:v>710</c:v>
                </c:pt>
                <c:pt idx="10">
                  <c:v>372</c:v>
                </c:pt>
                <c:pt idx="11">
                  <c:v>215</c:v>
                </c:pt>
                <c:pt idx="12">
                  <c:v>375</c:v>
                </c:pt>
                <c:pt idx="1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6F-4CAF-9D9E-09491D3CD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</a:t>
            </a:r>
            <a:r>
              <a:rPr lang="en-GB" b="1" baseline="0"/>
              <a:t> Finance</a:t>
            </a:r>
            <a:r>
              <a:rPr lang="en-GB" b="1"/>
              <a:t>: NWP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Data'!$L$26</c:f>
              <c:strCache>
                <c:ptCount val="1"/>
                <c:pt idx="0">
                  <c:v>Boom Premium Finance (2022 YTD)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Data'!$K$27:$K$40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Data'!$L$27:$L$40</c:f>
              <c:numCache>
                <c:formatCode>#,##0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D4-4AB7-A192-9C52EEF504FA}"/>
            </c:ext>
          </c:extLst>
        </c:ser>
        <c:ser>
          <c:idx val="1"/>
          <c:order val="1"/>
          <c:tx>
            <c:strRef>
              <c:f>'Dist Graph Data'!$M$26</c:f>
              <c:strCache>
                <c:ptCount val="1"/>
                <c:pt idx="0">
                  <c:v>Boom Premium Finance (2023 YTD)</c:v>
                </c:pt>
              </c:strCache>
            </c:strRef>
          </c:tx>
          <c:spPr>
            <a:ln w="28575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'Dist Graph Data'!$K$27:$K$40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Data'!$M$27:$M$40</c:f>
              <c:numCache>
                <c:formatCode>#,##0</c:formatCode>
                <c:ptCount val="14"/>
                <c:pt idx="0">
                  <c:v>722</c:v>
                </c:pt>
                <c:pt idx="1">
                  <c:v>2899</c:v>
                </c:pt>
                <c:pt idx="2">
                  <c:v>3580</c:v>
                </c:pt>
                <c:pt idx="3">
                  <c:v>3178</c:v>
                </c:pt>
                <c:pt idx="4">
                  <c:v>2971</c:v>
                </c:pt>
                <c:pt idx="5">
                  <c:v>2257</c:v>
                </c:pt>
                <c:pt idx="6">
                  <c:v>1706</c:v>
                </c:pt>
                <c:pt idx="7">
                  <c:v>1257</c:v>
                </c:pt>
                <c:pt idx="8">
                  <c:v>944</c:v>
                </c:pt>
                <c:pt idx="9">
                  <c:v>1208</c:v>
                </c:pt>
                <c:pt idx="10">
                  <c:v>614</c:v>
                </c:pt>
                <c:pt idx="11">
                  <c:v>342</c:v>
                </c:pt>
                <c:pt idx="12">
                  <c:v>574</c:v>
                </c:pt>
                <c:pt idx="1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D4-4AB7-A192-9C52EEF504FA}"/>
            </c:ext>
          </c:extLst>
        </c:ser>
        <c:ser>
          <c:idx val="2"/>
          <c:order val="2"/>
          <c:tx>
            <c:strRef>
              <c:f>'Dist Graph Data'!$N$26</c:f>
              <c:strCache>
                <c:ptCount val="1"/>
                <c:pt idx="0">
                  <c:v>Boom Premium Finance (2024 YTD)</c:v>
                </c:pt>
              </c:strCache>
            </c:strRef>
          </c:tx>
          <c:spPr>
            <a:ln w="28575" cap="rnd">
              <a:solidFill>
                <a:srgbClr val="00114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'Dist Graph Data'!$K$27:$K$40</c:f>
              <c:strCache>
                <c:ptCount val="14"/>
                <c:pt idx="0">
                  <c:v>A. 0 - 400</c:v>
                </c:pt>
                <c:pt idx="1">
                  <c:v>B. 400 - 600</c:v>
                </c:pt>
                <c:pt idx="2">
                  <c:v>C. 600 - 800</c:v>
                </c:pt>
                <c:pt idx="3">
                  <c:v>D. 800 - 1,000</c:v>
                </c:pt>
                <c:pt idx="4">
                  <c:v>E. 1,000 - 1,200</c:v>
                </c:pt>
                <c:pt idx="5">
                  <c:v>F. 1,200 - 1,400</c:v>
                </c:pt>
                <c:pt idx="6">
                  <c:v>G. 1,400 - 1,600</c:v>
                </c:pt>
                <c:pt idx="7">
                  <c:v>H. 1,600 - 1,800</c:v>
                </c:pt>
                <c:pt idx="8">
                  <c:v>I. 1,800 - 2,000</c:v>
                </c:pt>
                <c:pt idx="9">
                  <c:v>J. 2,000 - 2,400</c:v>
                </c:pt>
                <c:pt idx="10">
                  <c:v>K. 2,400 - 2,800</c:v>
                </c:pt>
                <c:pt idx="11">
                  <c:v>L. 2,800 - 3,200</c:v>
                </c:pt>
                <c:pt idx="12">
                  <c:v>M. 3,200 - 9,999</c:v>
                </c:pt>
                <c:pt idx="13">
                  <c:v>N. 9,999+</c:v>
                </c:pt>
              </c:strCache>
            </c:strRef>
          </c:cat>
          <c:val>
            <c:numRef>
              <c:f>'Dist Graph Data'!$N$27:$N$40</c:f>
              <c:numCache>
                <c:formatCode>#,##0</c:formatCode>
                <c:ptCount val="14"/>
                <c:pt idx="0">
                  <c:v>2326</c:v>
                </c:pt>
                <c:pt idx="1">
                  <c:v>8849</c:v>
                </c:pt>
                <c:pt idx="2">
                  <c:v>10089</c:v>
                </c:pt>
                <c:pt idx="3">
                  <c:v>8445</c:v>
                </c:pt>
                <c:pt idx="4">
                  <c:v>7383</c:v>
                </c:pt>
                <c:pt idx="5">
                  <c:v>5515</c:v>
                </c:pt>
                <c:pt idx="6">
                  <c:v>4031</c:v>
                </c:pt>
                <c:pt idx="7">
                  <c:v>2955</c:v>
                </c:pt>
                <c:pt idx="8">
                  <c:v>2080</c:v>
                </c:pt>
                <c:pt idx="9">
                  <c:v>2616</c:v>
                </c:pt>
                <c:pt idx="10">
                  <c:v>1432</c:v>
                </c:pt>
                <c:pt idx="11">
                  <c:v>768</c:v>
                </c:pt>
                <c:pt idx="12">
                  <c:v>1284</c:v>
                </c:pt>
                <c:pt idx="13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0D4-4AB7-A192-9C52EEF50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Premium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PC Annual Direct (excl. Boom Subscription): Commission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Data'!$B$48</c:f>
              <c:strCache>
                <c:ptCount val="1"/>
                <c:pt idx="0">
                  <c:v>PC Annual Direct (L month)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Data'!$A$49:$A$72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Data'!$B$49:$B$72</c:f>
              <c:numCache>
                <c:formatCode>#,##0</c:formatCode>
                <c:ptCount val="24"/>
                <c:pt idx="0">
                  <c:v>2074</c:v>
                </c:pt>
                <c:pt idx="1">
                  <c:v>155</c:v>
                </c:pt>
                <c:pt idx="2">
                  <c:v>149</c:v>
                </c:pt>
                <c:pt idx="3">
                  <c:v>155</c:v>
                </c:pt>
                <c:pt idx="4">
                  <c:v>180</c:v>
                </c:pt>
                <c:pt idx="5">
                  <c:v>233</c:v>
                </c:pt>
                <c:pt idx="6">
                  <c:v>201</c:v>
                </c:pt>
                <c:pt idx="7">
                  <c:v>116</c:v>
                </c:pt>
                <c:pt idx="8">
                  <c:v>57</c:v>
                </c:pt>
                <c:pt idx="9">
                  <c:v>18</c:v>
                </c:pt>
                <c:pt idx="10">
                  <c:v>13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46-4E3C-9FD3-7A703880D0FC}"/>
            </c:ext>
          </c:extLst>
        </c:ser>
        <c:ser>
          <c:idx val="1"/>
          <c:order val="1"/>
          <c:tx>
            <c:strRef>
              <c:f>'Dist Graph Data'!$C$48</c:f>
              <c:strCache>
                <c:ptCount val="1"/>
                <c:pt idx="0">
                  <c:v>PC Annual Direct (L3 months)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Data'!$A$49:$A$72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Data'!$C$49:$C$72</c:f>
              <c:numCache>
                <c:formatCode>#,##0</c:formatCode>
                <c:ptCount val="24"/>
                <c:pt idx="0">
                  <c:v>7041</c:v>
                </c:pt>
                <c:pt idx="1">
                  <c:v>565</c:v>
                </c:pt>
                <c:pt idx="2">
                  <c:v>496</c:v>
                </c:pt>
                <c:pt idx="3">
                  <c:v>436</c:v>
                </c:pt>
                <c:pt idx="4">
                  <c:v>515</c:v>
                </c:pt>
                <c:pt idx="5">
                  <c:v>682</c:v>
                </c:pt>
                <c:pt idx="6">
                  <c:v>672</c:v>
                </c:pt>
                <c:pt idx="7">
                  <c:v>444</c:v>
                </c:pt>
                <c:pt idx="8">
                  <c:v>198</c:v>
                </c:pt>
                <c:pt idx="9">
                  <c:v>96</c:v>
                </c:pt>
                <c:pt idx="10">
                  <c:v>42</c:v>
                </c:pt>
                <c:pt idx="11">
                  <c:v>18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46-4E3C-9FD3-7A703880D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Commission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Annual Up Front: Commission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Data'!$F$48</c:f>
              <c:strCache>
                <c:ptCount val="1"/>
                <c:pt idx="0">
                  <c:v>Boom Annual (L month)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Data'!$E$49:$E$72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Data'!$F$49:$F$72</c:f>
              <c:numCache>
                <c:formatCode>#,##0</c:formatCode>
                <c:ptCount val="24"/>
                <c:pt idx="0">
                  <c:v>52</c:v>
                </c:pt>
                <c:pt idx="1">
                  <c:v>10</c:v>
                </c:pt>
                <c:pt idx="2">
                  <c:v>24</c:v>
                </c:pt>
                <c:pt idx="3">
                  <c:v>54</c:v>
                </c:pt>
                <c:pt idx="4">
                  <c:v>88</c:v>
                </c:pt>
                <c:pt idx="5">
                  <c:v>153</c:v>
                </c:pt>
                <c:pt idx="6">
                  <c:v>156</c:v>
                </c:pt>
                <c:pt idx="7">
                  <c:v>89</c:v>
                </c:pt>
                <c:pt idx="8">
                  <c:v>49</c:v>
                </c:pt>
                <c:pt idx="9">
                  <c:v>15</c:v>
                </c:pt>
                <c:pt idx="10">
                  <c:v>12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3-4529-92C2-9C76C9F95E52}"/>
            </c:ext>
          </c:extLst>
        </c:ser>
        <c:ser>
          <c:idx val="1"/>
          <c:order val="1"/>
          <c:tx>
            <c:strRef>
              <c:f>'Dist Graph Data'!$G$48</c:f>
              <c:strCache>
                <c:ptCount val="1"/>
                <c:pt idx="0">
                  <c:v>Boom Annual (L3 months)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Data'!$E$49:$E$72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Data'!$G$49:$G$72</c:f>
              <c:numCache>
                <c:formatCode>#,##0</c:formatCode>
                <c:ptCount val="24"/>
                <c:pt idx="0">
                  <c:v>178</c:v>
                </c:pt>
                <c:pt idx="1">
                  <c:v>36</c:v>
                </c:pt>
                <c:pt idx="2">
                  <c:v>70</c:v>
                </c:pt>
                <c:pt idx="3">
                  <c:v>141</c:v>
                </c:pt>
                <c:pt idx="4">
                  <c:v>246</c:v>
                </c:pt>
                <c:pt idx="5">
                  <c:v>468</c:v>
                </c:pt>
                <c:pt idx="6">
                  <c:v>520</c:v>
                </c:pt>
                <c:pt idx="7">
                  <c:v>381</c:v>
                </c:pt>
                <c:pt idx="8">
                  <c:v>172</c:v>
                </c:pt>
                <c:pt idx="9">
                  <c:v>83</c:v>
                </c:pt>
                <c:pt idx="10">
                  <c:v>38</c:v>
                </c:pt>
                <c:pt idx="11">
                  <c:v>17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33-4529-92C2-9C76C9F95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Commission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Boom Annual Premium Finance: Commission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Data'!$J$48</c:f>
              <c:strCache>
                <c:ptCount val="1"/>
                <c:pt idx="0">
                  <c:v>Boom Premium Finance (L month)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Data'!$I$49:$I$72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Data'!$J$49:$J$72</c:f>
              <c:numCache>
                <c:formatCode>#,##0</c:formatCode>
                <c:ptCount val="24"/>
                <c:pt idx="0">
                  <c:v>2022</c:v>
                </c:pt>
                <c:pt idx="1">
                  <c:v>145</c:v>
                </c:pt>
                <c:pt idx="2">
                  <c:v>125</c:v>
                </c:pt>
                <c:pt idx="3">
                  <c:v>101</c:v>
                </c:pt>
                <c:pt idx="4">
                  <c:v>92</c:v>
                </c:pt>
                <c:pt idx="5">
                  <c:v>80</c:v>
                </c:pt>
                <c:pt idx="6">
                  <c:v>45</c:v>
                </c:pt>
                <c:pt idx="7">
                  <c:v>27</c:v>
                </c:pt>
                <c:pt idx="8">
                  <c:v>8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C-47E3-B99A-CB01EC299F37}"/>
            </c:ext>
          </c:extLst>
        </c:ser>
        <c:ser>
          <c:idx val="1"/>
          <c:order val="1"/>
          <c:tx>
            <c:strRef>
              <c:f>'Dist Graph Data'!$K$48</c:f>
              <c:strCache>
                <c:ptCount val="1"/>
                <c:pt idx="0">
                  <c:v>Boom Premium Finance (L3 months)</c:v>
                </c:pt>
              </c:strCache>
            </c:strRef>
          </c:tx>
          <c:spPr>
            <a:ln w="28575" cap="rnd">
              <a:solidFill>
                <a:srgbClr val="808080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Data'!$I$49:$I$72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Data'!$K$49:$K$72</c:f>
              <c:numCache>
                <c:formatCode>#,##0</c:formatCode>
                <c:ptCount val="24"/>
                <c:pt idx="0">
                  <c:v>6863</c:v>
                </c:pt>
                <c:pt idx="1">
                  <c:v>529</c:v>
                </c:pt>
                <c:pt idx="2">
                  <c:v>426</c:v>
                </c:pt>
                <c:pt idx="3">
                  <c:v>295</c:v>
                </c:pt>
                <c:pt idx="4">
                  <c:v>269</c:v>
                </c:pt>
                <c:pt idx="5">
                  <c:v>214</c:v>
                </c:pt>
                <c:pt idx="6">
                  <c:v>152</c:v>
                </c:pt>
                <c:pt idx="7">
                  <c:v>63</c:v>
                </c:pt>
                <c:pt idx="8">
                  <c:v>26</c:v>
                </c:pt>
                <c:pt idx="9">
                  <c:v>13</c:v>
                </c:pt>
                <c:pt idx="10">
                  <c:v>4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AC-47E3-B99A-CB01EC299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Commission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 (excl. Boom Subscription): Commission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Data'!$B$78</c:f>
              <c:strCache>
                <c:ptCount val="1"/>
                <c:pt idx="0">
                  <c:v>PC Annual Direct (2022 YTD)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Data'!$A$79:$A$102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Data'!$B$79:$B$102</c:f>
              <c:numCache>
                <c:formatCode>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187</c:v>
                </c:pt>
                <c:pt idx="7">
                  <c:v>122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2145</c:v>
                </c:pt>
                <c:pt idx="12">
                  <c:v>1513</c:v>
                </c:pt>
                <c:pt idx="13">
                  <c:v>0</c:v>
                </c:pt>
                <c:pt idx="14">
                  <c:v>11774</c:v>
                </c:pt>
                <c:pt idx="15" formatCode="General">
                  <c:v>944</c:v>
                </c:pt>
                <c:pt idx="16" formatCode="General">
                  <c:v>382</c:v>
                </c:pt>
                <c:pt idx="17" formatCode="General">
                  <c:v>663</c:v>
                </c:pt>
                <c:pt idx="18" formatCode="General">
                  <c:v>668</c:v>
                </c:pt>
                <c:pt idx="19" formatCode="General">
                  <c:v>471</c:v>
                </c:pt>
                <c:pt idx="20" formatCode="General">
                  <c:v>346</c:v>
                </c:pt>
                <c:pt idx="21" formatCode="General">
                  <c:v>8310</c:v>
                </c:pt>
                <c:pt idx="22" formatCode="General">
                  <c:v>8651</c:v>
                </c:pt>
                <c:pt idx="23" formatCode="General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9B-4AB9-99A6-C8500D226D64}"/>
            </c:ext>
          </c:extLst>
        </c:ser>
        <c:ser>
          <c:idx val="1"/>
          <c:order val="1"/>
          <c:tx>
            <c:strRef>
              <c:f>'Dist Graph Data'!$C$78</c:f>
              <c:strCache>
                <c:ptCount val="1"/>
                <c:pt idx="0">
                  <c:v>PC Annual Direct (2023 YTD)</c:v>
                </c:pt>
              </c:strCache>
            </c:strRef>
          </c:tx>
          <c:spPr>
            <a:ln w="28575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'Dist Graph Data'!$A$79:$A$102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Data'!$C$79:$C$102</c:f>
              <c:numCache>
                <c:formatCode>#,##0</c:formatCode>
                <c:ptCount val="24"/>
                <c:pt idx="0">
                  <c:v>0</c:v>
                </c:pt>
                <c:pt idx="1">
                  <c:v>3198</c:v>
                </c:pt>
                <c:pt idx="2">
                  <c:v>10440</c:v>
                </c:pt>
                <c:pt idx="3">
                  <c:v>3785</c:v>
                </c:pt>
                <c:pt idx="4">
                  <c:v>0</c:v>
                </c:pt>
                <c:pt idx="5">
                  <c:v>0</c:v>
                </c:pt>
                <c:pt idx="6">
                  <c:v>1078</c:v>
                </c:pt>
                <c:pt idx="7">
                  <c:v>3933</c:v>
                </c:pt>
                <c:pt idx="8">
                  <c:v>4304</c:v>
                </c:pt>
                <c:pt idx="9">
                  <c:v>3134</c:v>
                </c:pt>
                <c:pt idx="10">
                  <c:v>1531</c:v>
                </c:pt>
                <c:pt idx="11">
                  <c:v>9216</c:v>
                </c:pt>
                <c:pt idx="12">
                  <c:v>5454</c:v>
                </c:pt>
                <c:pt idx="13">
                  <c:v>0</c:v>
                </c:pt>
                <c:pt idx="14">
                  <c:v>9398</c:v>
                </c:pt>
                <c:pt idx="15" formatCode="General">
                  <c:v>780</c:v>
                </c:pt>
                <c:pt idx="16" formatCode="General">
                  <c:v>48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9B-4AB9-99A6-C8500D226D64}"/>
            </c:ext>
          </c:extLst>
        </c:ser>
        <c:ser>
          <c:idx val="2"/>
          <c:order val="2"/>
          <c:tx>
            <c:strRef>
              <c:f>'Dist Graph Data'!$D$78</c:f>
              <c:strCache>
                <c:ptCount val="1"/>
                <c:pt idx="0">
                  <c:v>PC Annual Direct (2024 YTD)</c:v>
                </c:pt>
              </c:strCache>
            </c:strRef>
          </c:tx>
          <c:spPr>
            <a:ln w="28575" cap="rnd">
              <a:solidFill>
                <a:srgbClr val="00114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'Dist Graph Data'!$A$79:$A$102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Data'!$D$79:$D$102</c:f>
              <c:numCache>
                <c:formatCode>#,##0</c:formatCode>
                <c:ptCount val="24"/>
                <c:pt idx="0">
                  <c:v>12992</c:v>
                </c:pt>
                <c:pt idx="1">
                  <c:v>8250</c:v>
                </c:pt>
                <c:pt idx="2">
                  <c:v>19244</c:v>
                </c:pt>
                <c:pt idx="3">
                  <c:v>8276</c:v>
                </c:pt>
                <c:pt idx="4">
                  <c:v>1880</c:v>
                </c:pt>
                <c:pt idx="5">
                  <c:v>1392</c:v>
                </c:pt>
                <c:pt idx="6">
                  <c:v>1656</c:v>
                </c:pt>
                <c:pt idx="7">
                  <c:v>6454</c:v>
                </c:pt>
                <c:pt idx="8">
                  <c:v>7939</c:v>
                </c:pt>
                <c:pt idx="9">
                  <c:v>5662</c:v>
                </c:pt>
                <c:pt idx="10">
                  <c:v>2981</c:v>
                </c:pt>
                <c:pt idx="11">
                  <c:v>3924</c:v>
                </c:pt>
                <c:pt idx="12">
                  <c:v>1959</c:v>
                </c:pt>
                <c:pt idx="13">
                  <c:v>116</c:v>
                </c:pt>
                <c:pt idx="14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9B-4AB9-99A6-C8500D226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Commission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Commission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Data'!$G$78</c:f>
              <c:strCache>
                <c:ptCount val="1"/>
                <c:pt idx="0">
                  <c:v>Boom Annual (2022 YTD)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Data'!$F$79:$F$102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Data'!$G$79:$G$102</c:f>
              <c:numCache>
                <c:formatCode>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187</c:v>
                </c:pt>
                <c:pt idx="7">
                  <c:v>122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2145</c:v>
                </c:pt>
                <c:pt idx="12">
                  <c:v>1513</c:v>
                </c:pt>
                <c:pt idx="13">
                  <c:v>0</c:v>
                </c:pt>
                <c:pt idx="14">
                  <c:v>11774</c:v>
                </c:pt>
                <c:pt idx="15">
                  <c:v>944</c:v>
                </c:pt>
                <c:pt idx="16">
                  <c:v>382</c:v>
                </c:pt>
                <c:pt idx="17">
                  <c:v>663</c:v>
                </c:pt>
                <c:pt idx="18">
                  <c:v>668</c:v>
                </c:pt>
                <c:pt idx="19">
                  <c:v>471</c:v>
                </c:pt>
                <c:pt idx="20">
                  <c:v>346</c:v>
                </c:pt>
                <c:pt idx="21">
                  <c:v>8310</c:v>
                </c:pt>
                <c:pt idx="22">
                  <c:v>8651</c:v>
                </c:pt>
                <c:pt idx="23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7-4FE2-B8C1-52D5F1CF7DA8}"/>
            </c:ext>
          </c:extLst>
        </c:ser>
        <c:ser>
          <c:idx val="1"/>
          <c:order val="1"/>
          <c:tx>
            <c:strRef>
              <c:f>'Dist Graph Data'!$H$78</c:f>
              <c:strCache>
                <c:ptCount val="1"/>
                <c:pt idx="0">
                  <c:v>Boom Annual (2023 YTD)</c:v>
                </c:pt>
              </c:strCache>
            </c:strRef>
          </c:tx>
          <c:spPr>
            <a:ln w="28575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'Dist Graph Data'!$F$79:$F$102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Data'!$H$79:$H$102</c:f>
              <c:numCache>
                <c:formatCode>#,##0</c:formatCode>
                <c:ptCount val="24"/>
                <c:pt idx="0">
                  <c:v>0</c:v>
                </c:pt>
                <c:pt idx="1">
                  <c:v>95</c:v>
                </c:pt>
                <c:pt idx="2">
                  <c:v>262</c:v>
                </c:pt>
                <c:pt idx="3">
                  <c:v>97</c:v>
                </c:pt>
                <c:pt idx="4">
                  <c:v>0</c:v>
                </c:pt>
                <c:pt idx="5">
                  <c:v>0</c:v>
                </c:pt>
                <c:pt idx="6">
                  <c:v>1070</c:v>
                </c:pt>
                <c:pt idx="7">
                  <c:v>2579</c:v>
                </c:pt>
                <c:pt idx="8">
                  <c:v>3062</c:v>
                </c:pt>
                <c:pt idx="9">
                  <c:v>2617</c:v>
                </c:pt>
                <c:pt idx="10">
                  <c:v>1338</c:v>
                </c:pt>
                <c:pt idx="11">
                  <c:v>7824</c:v>
                </c:pt>
                <c:pt idx="12">
                  <c:v>4867</c:v>
                </c:pt>
                <c:pt idx="13">
                  <c:v>0</c:v>
                </c:pt>
                <c:pt idx="14">
                  <c:v>9398</c:v>
                </c:pt>
                <c:pt idx="15">
                  <c:v>780</c:v>
                </c:pt>
                <c:pt idx="16">
                  <c:v>48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B7-4FE2-B8C1-52D5F1CF7DA8}"/>
            </c:ext>
          </c:extLst>
        </c:ser>
        <c:ser>
          <c:idx val="2"/>
          <c:order val="2"/>
          <c:tx>
            <c:strRef>
              <c:f>'Dist Graph Data'!$I$78</c:f>
              <c:strCache>
                <c:ptCount val="1"/>
                <c:pt idx="0">
                  <c:v>Boom Annual (2024 YTD)</c:v>
                </c:pt>
              </c:strCache>
            </c:strRef>
          </c:tx>
          <c:spPr>
            <a:ln w="28575" cap="rnd">
              <a:solidFill>
                <a:srgbClr val="00114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'Dist Graph Data'!$F$79:$F$102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Data'!$I$79:$I$102</c:f>
              <c:numCache>
                <c:formatCode>#,##0</c:formatCode>
                <c:ptCount val="24"/>
                <c:pt idx="0">
                  <c:v>316</c:v>
                </c:pt>
                <c:pt idx="1">
                  <c:v>281</c:v>
                </c:pt>
                <c:pt idx="2">
                  <c:v>597</c:v>
                </c:pt>
                <c:pt idx="3">
                  <c:v>421</c:v>
                </c:pt>
                <c:pt idx="4">
                  <c:v>471</c:v>
                </c:pt>
                <c:pt idx="5">
                  <c:v>786</c:v>
                </c:pt>
                <c:pt idx="6">
                  <c:v>1292</c:v>
                </c:pt>
                <c:pt idx="7">
                  <c:v>4030</c:v>
                </c:pt>
                <c:pt idx="8">
                  <c:v>5607</c:v>
                </c:pt>
                <c:pt idx="9">
                  <c:v>4670</c:v>
                </c:pt>
                <c:pt idx="10">
                  <c:v>2553</c:v>
                </c:pt>
                <c:pt idx="11">
                  <c:v>2457</c:v>
                </c:pt>
                <c:pt idx="12">
                  <c:v>1349</c:v>
                </c:pt>
                <c:pt idx="13">
                  <c:v>104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B7-4FE2-B8C1-52D5F1CF7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Commission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 Finance: Commission Distribution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'Dist Graph Data'!$L$78</c:f>
              <c:strCache>
                <c:ptCount val="1"/>
                <c:pt idx="0">
                  <c:v>Boom Premium Finance (2022 YTD)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strRef>
              <c:f>'Dist Graph Data'!$K$79:$K$102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Data'!$L$79:$L$102</c:f>
              <c:numCache>
                <c:formatCode>#,##0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1-4D0B-98C9-037AC27BE15E}"/>
            </c:ext>
          </c:extLst>
        </c:ser>
        <c:ser>
          <c:idx val="1"/>
          <c:order val="1"/>
          <c:tx>
            <c:strRef>
              <c:f>'Dist Graph Data'!$M$78</c:f>
              <c:strCache>
                <c:ptCount val="1"/>
                <c:pt idx="0">
                  <c:v>Boom Premium Finance (2023 YTD)</c:v>
                </c:pt>
              </c:strCache>
            </c:strRef>
          </c:tx>
          <c:spPr>
            <a:ln w="28575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'Dist Graph Data'!$K$79:$K$102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Data'!$M$79:$M$102</c:f>
              <c:numCache>
                <c:formatCode>#,##0</c:formatCode>
                <c:ptCount val="24"/>
                <c:pt idx="0">
                  <c:v>0</c:v>
                </c:pt>
                <c:pt idx="1">
                  <c:v>3103</c:v>
                </c:pt>
                <c:pt idx="2">
                  <c:v>10178</c:v>
                </c:pt>
                <c:pt idx="3">
                  <c:v>3688</c:v>
                </c:pt>
                <c:pt idx="4">
                  <c:v>0</c:v>
                </c:pt>
                <c:pt idx="5">
                  <c:v>0</c:v>
                </c:pt>
                <c:pt idx="6">
                  <c:v>8</c:v>
                </c:pt>
                <c:pt idx="7">
                  <c:v>1354</c:v>
                </c:pt>
                <c:pt idx="8">
                  <c:v>1242</c:v>
                </c:pt>
                <c:pt idx="9">
                  <c:v>517</c:v>
                </c:pt>
                <c:pt idx="10">
                  <c:v>193</c:v>
                </c:pt>
                <c:pt idx="11">
                  <c:v>1392</c:v>
                </c:pt>
                <c:pt idx="12">
                  <c:v>587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1-4D0B-98C9-037AC27BE15E}"/>
            </c:ext>
          </c:extLst>
        </c:ser>
        <c:ser>
          <c:idx val="2"/>
          <c:order val="2"/>
          <c:tx>
            <c:strRef>
              <c:f>'Dist Graph Data'!$N$78</c:f>
              <c:strCache>
                <c:ptCount val="1"/>
                <c:pt idx="0">
                  <c:v>Boom Premium Finance (2024 YTD)</c:v>
                </c:pt>
              </c:strCache>
            </c:strRef>
          </c:tx>
          <c:spPr>
            <a:ln w="28575" cap="rnd">
              <a:solidFill>
                <a:srgbClr val="00114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'Dist Graph Data'!$K$79:$K$102</c:f>
              <c:strCache>
                <c:ptCount val="24"/>
                <c:pt idx="0">
                  <c:v>A. 4%</c:v>
                </c:pt>
                <c:pt idx="1">
                  <c:v>B. 5%</c:v>
                </c:pt>
                <c:pt idx="2">
                  <c:v>C. 6%</c:v>
                </c:pt>
                <c:pt idx="3">
                  <c:v>D. 7%</c:v>
                </c:pt>
                <c:pt idx="4">
                  <c:v>E. 8%</c:v>
                </c:pt>
                <c:pt idx="5">
                  <c:v>F. 9%</c:v>
                </c:pt>
                <c:pt idx="6">
                  <c:v>G. 10%</c:v>
                </c:pt>
                <c:pt idx="7">
                  <c:v>H. 11%</c:v>
                </c:pt>
                <c:pt idx="8">
                  <c:v>I. 12%</c:v>
                </c:pt>
                <c:pt idx="9">
                  <c:v>J. 13%</c:v>
                </c:pt>
                <c:pt idx="10">
                  <c:v>K. 14%</c:v>
                </c:pt>
                <c:pt idx="11">
                  <c:v>L. 15%</c:v>
                </c:pt>
                <c:pt idx="12">
                  <c:v>M. 16%</c:v>
                </c:pt>
                <c:pt idx="13">
                  <c:v>N. 17%</c:v>
                </c:pt>
                <c:pt idx="14">
                  <c:v>O. 18%</c:v>
                </c:pt>
                <c:pt idx="15">
                  <c:v>P. 19%</c:v>
                </c:pt>
                <c:pt idx="16">
                  <c:v>Q. 20%</c:v>
                </c:pt>
                <c:pt idx="17">
                  <c:v>R. 21%</c:v>
                </c:pt>
                <c:pt idx="18">
                  <c:v>S. 22%</c:v>
                </c:pt>
                <c:pt idx="19">
                  <c:v>T. 23%</c:v>
                </c:pt>
                <c:pt idx="20">
                  <c:v>U. 24%</c:v>
                </c:pt>
                <c:pt idx="21">
                  <c:v>V. 25%</c:v>
                </c:pt>
                <c:pt idx="22">
                  <c:v>W. 26%</c:v>
                </c:pt>
                <c:pt idx="23">
                  <c:v>X. 26%+</c:v>
                </c:pt>
              </c:strCache>
            </c:strRef>
          </c:cat>
          <c:val>
            <c:numRef>
              <c:f>'Dist Graph Data'!$N$79:$N$102</c:f>
              <c:numCache>
                <c:formatCode>#,##0</c:formatCode>
                <c:ptCount val="24"/>
                <c:pt idx="0">
                  <c:v>12676</c:v>
                </c:pt>
                <c:pt idx="1">
                  <c:v>7969</c:v>
                </c:pt>
                <c:pt idx="2">
                  <c:v>18647</c:v>
                </c:pt>
                <c:pt idx="3">
                  <c:v>7855</c:v>
                </c:pt>
                <c:pt idx="4">
                  <c:v>1409</c:v>
                </c:pt>
                <c:pt idx="5">
                  <c:v>606</c:v>
                </c:pt>
                <c:pt idx="6">
                  <c:v>364</c:v>
                </c:pt>
                <c:pt idx="7">
                  <c:v>2424</c:v>
                </c:pt>
                <c:pt idx="8">
                  <c:v>2332</c:v>
                </c:pt>
                <c:pt idx="9">
                  <c:v>992</c:v>
                </c:pt>
                <c:pt idx="10">
                  <c:v>428</c:v>
                </c:pt>
                <c:pt idx="11">
                  <c:v>1467</c:v>
                </c:pt>
                <c:pt idx="12">
                  <c:v>610</c:v>
                </c:pt>
                <c:pt idx="13">
                  <c:v>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A1-4D0B-98C9-037AC27BE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190160"/>
        <c:axId val="1153177680"/>
      </c:lineChart>
      <c:catAx>
        <c:axId val="115319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Commission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7680"/>
        <c:crosses val="autoZero"/>
        <c:auto val="1"/>
        <c:lblAlgn val="ctr"/>
        <c:lblOffset val="100"/>
        <c:noMultiLvlLbl val="0"/>
      </c:catAx>
      <c:valAx>
        <c:axId val="11531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9016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50000"/>
          <a:lumOff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NWP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6167470.9099999992</c:v>
              </c:pt>
              <c:pt idx="1">
                <c:v>6058738.209999999</c:v>
              </c:pt>
              <c:pt idx="2">
                <c:v>5837682.0899999999</c:v>
              </c:pt>
              <c:pt idx="3">
                <c:v>5650863.1100000003</c:v>
              </c:pt>
              <c:pt idx="4">
                <c:v>5506465.5099999998</c:v>
              </c:pt>
              <c:pt idx="5">
                <c:v>5405147.5999999996</c:v>
              </c:pt>
              <c:pt idx="6">
                <c:v>5355808.2300000004</c:v>
              </c:pt>
              <c:pt idx="7">
                <c:v>5245019.46</c:v>
              </c:pt>
              <c:pt idx="8">
                <c:v>5224282.53</c:v>
              </c:pt>
              <c:pt idx="9">
                <c:v>5209245.3899999997</c:v>
              </c:pt>
              <c:pt idx="10">
                <c:v>5284326.5599999996</c:v>
              </c:pt>
              <c:pt idx="11">
                <c:v>5278173.1099999994</c:v>
              </c:pt>
              <c:pt idx="12">
                <c:v>5112036.74</c:v>
              </c:pt>
              <c:pt idx="13">
                <c:v>5193261.6100000003</c:v>
              </c:pt>
              <c:pt idx="14">
                <c:v>5191071.3099999996</c:v>
              </c:pt>
              <c:pt idx="15">
                <c:v>5188917.29</c:v>
              </c:pt>
              <c:pt idx="16">
                <c:v>5188834.63</c:v>
              </c:pt>
              <c:pt idx="17">
                <c:v>5189360.5599999996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590-42B6-B6EF-C13F08EDA131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9017260.0800000001</c:v>
              </c:pt>
              <c:pt idx="1">
                <c:v>8788399.9399999995</c:v>
              </c:pt>
              <c:pt idx="2">
                <c:v>8462542.7700000014</c:v>
              </c:pt>
              <c:pt idx="3">
                <c:v>8218128</c:v>
              </c:pt>
              <c:pt idx="4">
                <c:v>8072876.8800000008</c:v>
              </c:pt>
              <c:pt idx="5">
                <c:v>7982772.3299999991</c:v>
              </c:pt>
              <c:pt idx="6">
                <c:v>7736379.8799999999</c:v>
              </c:pt>
              <c:pt idx="7">
                <c:v>7678347.7100000018</c:v>
              </c:pt>
              <c:pt idx="8">
                <c:v>7633178.71</c:v>
              </c:pt>
              <c:pt idx="9">
                <c:v>7688411.330000001</c:v>
              </c:pt>
              <c:pt idx="10">
                <c:v>7671630.8400000008</c:v>
              </c:pt>
              <c:pt idx="11">
                <c:v>7403343.6599999992</c:v>
              </c:pt>
              <c:pt idx="12">
                <c:v>7581347.0600000005</c:v>
              </c:pt>
              <c:pt idx="13">
                <c:v>7582268.7199999895</c:v>
              </c:pt>
              <c:pt idx="14">
                <c:v>7582268.7200000007</c:v>
              </c:pt>
              <c:pt idx="15">
                <c:v>7583881.7500000019</c:v>
              </c:pt>
              <c:pt idx="16">
                <c:v>7583313.9900000002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590-42B6-B6EF-C13F08EDA131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8039650.4700000007</c:v>
              </c:pt>
              <c:pt idx="1">
                <c:v>7864036.7399999984</c:v>
              </c:pt>
              <c:pt idx="2">
                <c:v>7506663.79</c:v>
              </c:pt>
              <c:pt idx="3">
                <c:v>7301270.7299999995</c:v>
              </c:pt>
              <c:pt idx="4">
                <c:v>7156507.75</c:v>
              </c:pt>
              <c:pt idx="5">
                <c:v>6950285.6999999993</c:v>
              </c:pt>
              <c:pt idx="6">
                <c:v>6864189.4399999995</c:v>
              </c:pt>
              <c:pt idx="7">
                <c:v>6800648.0600000005</c:v>
              </c:pt>
              <c:pt idx="8">
                <c:v>6854252.9399999995</c:v>
              </c:pt>
              <c:pt idx="9">
                <c:v>6819927.4200000009</c:v>
              </c:pt>
              <c:pt idx="10">
                <c:v>6615825.2699999996</c:v>
              </c:pt>
              <c:pt idx="11">
                <c:v>6719828.7399999993</c:v>
              </c:pt>
              <c:pt idx="12">
                <c:v>6719490.54</c:v>
              </c:pt>
              <c:pt idx="13">
                <c:v>6718098.1999999993</c:v>
              </c:pt>
              <c:pt idx="14">
                <c:v>6717718.1400000006</c:v>
              </c:pt>
              <c:pt idx="15">
                <c:v>6718556.2400000002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590-42B6-B6EF-C13F08EDA131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7542963.7299999995</c:v>
              </c:pt>
              <c:pt idx="1">
                <c:v>7389561.4800000004</c:v>
              </c:pt>
              <c:pt idx="2">
                <c:v>7084728.0200000014</c:v>
              </c:pt>
              <c:pt idx="3">
                <c:v>6928527.5499999998</c:v>
              </c:pt>
              <c:pt idx="4">
                <c:v>6673712.5700000105</c:v>
              </c:pt>
              <c:pt idx="5">
                <c:v>6575879.4100000001</c:v>
              </c:pt>
              <c:pt idx="6">
                <c:v>6512445.7700000005</c:v>
              </c:pt>
              <c:pt idx="7">
                <c:v>6645099.4000000013</c:v>
              </c:pt>
              <c:pt idx="8">
                <c:v>6606949.7700000005</c:v>
              </c:pt>
              <c:pt idx="9">
                <c:v>6275691.4200000009</c:v>
              </c:pt>
              <c:pt idx="10">
                <c:v>6395056.1300000008</c:v>
              </c:pt>
              <c:pt idx="11">
                <c:v>6387742.9500000011</c:v>
              </c:pt>
              <c:pt idx="12">
                <c:v>6387587.1500000004</c:v>
              </c:pt>
              <c:pt idx="13">
                <c:v>6386015.8200000003</c:v>
              </c:pt>
              <c:pt idx="14">
                <c:v>6386015.8200000003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590-42B6-B6EF-C13F08EDA131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6338790.7199999997</c:v>
              </c:pt>
              <c:pt idx="1">
                <c:v>6149546.6399999997</c:v>
              </c:pt>
              <c:pt idx="2">
                <c:v>5940858.1300000092</c:v>
              </c:pt>
              <c:pt idx="3">
                <c:v>5710827.3300000001</c:v>
              </c:pt>
              <c:pt idx="4">
                <c:v>5615031.459999999</c:v>
              </c:pt>
              <c:pt idx="5">
                <c:v>5527892.2399999993</c:v>
              </c:pt>
              <c:pt idx="6">
                <c:v>5603817.7699999996</c:v>
              </c:pt>
              <c:pt idx="7">
                <c:v>5556889.25</c:v>
              </c:pt>
              <c:pt idx="8">
                <c:v>5308131.6999999993</c:v>
              </c:pt>
              <c:pt idx="9">
                <c:v>5370099.5500000007</c:v>
              </c:pt>
              <c:pt idx="10">
                <c:v>5360453.2700000005</c:v>
              </c:pt>
              <c:pt idx="11">
                <c:v>5355473.25</c:v>
              </c:pt>
              <c:pt idx="12">
                <c:v>5353689.18</c:v>
              </c:pt>
              <c:pt idx="13">
                <c:v>5352709.49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590-42B6-B6EF-C13F08EDA131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5447409.1900000004</c:v>
              </c:pt>
              <c:pt idx="1">
                <c:v>5265138.379999999</c:v>
              </c:pt>
              <c:pt idx="2">
                <c:v>4999322.9600000009</c:v>
              </c:pt>
              <c:pt idx="3">
                <c:v>4873106.66</c:v>
              </c:pt>
              <c:pt idx="4">
                <c:v>4780572.5699999994</c:v>
              </c:pt>
              <c:pt idx="5">
                <c:v>4813462.3499999996</c:v>
              </c:pt>
              <c:pt idx="6">
                <c:v>4764619.63</c:v>
              </c:pt>
              <c:pt idx="7">
                <c:v>4526270.59</c:v>
              </c:pt>
              <c:pt idx="8">
                <c:v>4597424.2300000004</c:v>
              </c:pt>
              <c:pt idx="9">
                <c:v>4582622.959999999</c:v>
              </c:pt>
              <c:pt idx="10">
                <c:v>4571249.7</c:v>
              </c:pt>
              <c:pt idx="11">
                <c:v>4568798.6500000004</c:v>
              </c:pt>
              <c:pt idx="12">
                <c:v>4568691.3099999996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590-42B6-B6EF-C13F08EDA131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4788789.1899999995</c:v>
              </c:pt>
              <c:pt idx="1">
                <c:v>4512161.4200000009</c:v>
              </c:pt>
              <c:pt idx="2">
                <c:v>4364582.3600000003</c:v>
              </c:pt>
              <c:pt idx="3">
                <c:v>4252083.4600000009</c:v>
              </c:pt>
              <c:pt idx="4">
                <c:v>4231858.4400000013</c:v>
              </c:pt>
              <c:pt idx="5">
                <c:v>4146657.7100000004</c:v>
              </c:pt>
              <c:pt idx="6">
                <c:v>3981964.5700000003</c:v>
              </c:pt>
              <c:pt idx="7">
                <c:v>4028861.2000000011</c:v>
              </c:pt>
              <c:pt idx="8">
                <c:v>4002164.3000000003</c:v>
              </c:pt>
              <c:pt idx="9">
                <c:v>3985236.0500000003</c:v>
              </c:pt>
              <c:pt idx="10">
                <c:v>3978957.0799999991</c:v>
              </c:pt>
              <c:pt idx="11">
                <c:v>3976567.73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590-42B6-B6EF-C13F08EDA131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4361157.47</c:v>
              </c:pt>
              <c:pt idx="1">
                <c:v>4183854.2600000012</c:v>
              </c:pt>
              <c:pt idx="2">
                <c:v>4046974.28</c:v>
              </c:pt>
              <c:pt idx="3">
                <c:v>3984670.3699999992</c:v>
              </c:pt>
              <c:pt idx="4">
                <c:v>3892935.4999999991</c:v>
              </c:pt>
              <c:pt idx="5">
                <c:v>3752177.35</c:v>
              </c:pt>
              <c:pt idx="6">
                <c:v>3726432.5399999991</c:v>
              </c:pt>
              <c:pt idx="7">
                <c:v>3695673.9799999991</c:v>
              </c:pt>
              <c:pt idx="8">
                <c:v>3670831.31</c:v>
              </c:pt>
              <c:pt idx="9">
                <c:v>3659890.2999999993</c:v>
              </c:pt>
              <c:pt idx="10">
                <c:v>3647267.5700000012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D590-42B6-B6EF-C13F08EDA131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4231025.68</c:v>
              </c:pt>
              <c:pt idx="1">
                <c:v>4013321.43</c:v>
              </c:pt>
              <c:pt idx="2">
                <c:v>3895722.24</c:v>
              </c:pt>
              <c:pt idx="3">
                <c:v>3777447.12</c:v>
              </c:pt>
              <c:pt idx="4">
                <c:v>3660842.9099999997</c:v>
              </c:pt>
              <c:pt idx="5">
                <c:v>3594093.87</c:v>
              </c:pt>
              <c:pt idx="6">
                <c:v>3549536.54</c:v>
              </c:pt>
              <c:pt idx="7">
                <c:v>3515751.9</c:v>
              </c:pt>
              <c:pt idx="8">
                <c:v>3497069.6700000009</c:v>
              </c:pt>
              <c:pt idx="9">
                <c:v>3475041.34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D590-42B6-B6EF-C13F08EDA131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4561228.16</c:v>
              </c:pt>
              <c:pt idx="1">
                <c:v>4274992.83</c:v>
              </c:pt>
              <c:pt idx="2">
                <c:v>4059286.71</c:v>
              </c:pt>
              <c:pt idx="3">
                <c:v>3955386.32</c:v>
              </c:pt>
              <c:pt idx="4">
                <c:v>3845626.36</c:v>
              </c:pt>
              <c:pt idx="5">
                <c:v>3766522.5300000003</c:v>
              </c:pt>
              <c:pt idx="6">
                <c:v>3709297</c:v>
              </c:pt>
              <c:pt idx="7">
                <c:v>3679699.0599999996</c:v>
              </c:pt>
              <c:pt idx="8">
                <c:v>3648896.1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D590-42B6-B6EF-C13F08EDA131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4425533.07</c:v>
              </c:pt>
              <c:pt idx="1">
                <c:v>4160456.05</c:v>
              </c:pt>
              <c:pt idx="2">
                <c:v>3977095.6500000004</c:v>
              </c:pt>
              <c:pt idx="3">
                <c:v>3859740.3300000005</c:v>
              </c:pt>
              <c:pt idx="4">
                <c:v>3793375.58</c:v>
              </c:pt>
              <c:pt idx="5">
                <c:v>3751222.18</c:v>
              </c:pt>
              <c:pt idx="6">
                <c:v>3698161.2499999995</c:v>
              </c:pt>
              <c:pt idx="7">
                <c:v>3651633.03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D590-42B6-B6EF-C13F08EDA131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4368422.0599999996</c:v>
              </c:pt>
              <c:pt idx="1">
                <c:v>4142858.32</c:v>
              </c:pt>
              <c:pt idx="2">
                <c:v>3953248.87</c:v>
              </c:pt>
              <c:pt idx="3">
                <c:v>3857288.8799999994</c:v>
              </c:pt>
              <c:pt idx="4">
                <c:v>3759652.36</c:v>
              </c:pt>
              <c:pt idx="5">
                <c:v>3688844.2999999993</c:v>
              </c:pt>
              <c:pt idx="6">
                <c:v>3628130.67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D590-42B6-B6EF-C13F08EDA131}"/>
            </c:ext>
          </c:extLst>
        </c:ser>
        <c:ser>
          <c:idx val="13"/>
          <c:order val="12"/>
          <c:tx>
            <c:v>Feb-2025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3531376.0800000005</c:v>
              </c:pt>
              <c:pt idx="1">
                <c:v>3352802.27</c:v>
              </c:pt>
              <c:pt idx="2">
                <c:v>3210414.68</c:v>
              </c:pt>
              <c:pt idx="3">
                <c:v>3116872.11</c:v>
              </c:pt>
              <c:pt idx="4">
                <c:v>3047480.5</c:v>
              </c:pt>
              <c:pt idx="5">
                <c:v>2965660.02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D590-42B6-B6EF-C13F08EDA131}"/>
            </c:ext>
          </c:extLst>
        </c:ser>
        <c:ser>
          <c:idx val="14"/>
          <c:order val="13"/>
          <c:tx>
            <c:v>Mar-2025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4617824.72</c:v>
              </c:pt>
              <c:pt idx="1">
                <c:v>4292842.7300000004</c:v>
              </c:pt>
              <c:pt idx="2">
                <c:v>4046790.55</c:v>
              </c:pt>
              <c:pt idx="3">
                <c:v>3932907.86</c:v>
              </c:pt>
              <c:pt idx="4">
                <c:v>3841250.8000000003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D590-42B6-B6EF-C13F08EDA131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val>
            <c:numLit>
              <c:formatCode>General</c:formatCode>
              <c:ptCount val="18"/>
              <c:pt idx="0">
                <c:v>4509270.29</c:v>
              </c:pt>
              <c:pt idx="1">
                <c:v>4127528.87</c:v>
              </c:pt>
              <c:pt idx="2">
                <c:v>3936234.48</c:v>
              </c:pt>
              <c:pt idx="3">
                <c:v>3789621.72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D590-42B6-B6EF-C13F08EDA131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4473358.5599999996</c:v>
              </c:pt>
              <c:pt idx="1">
                <c:v>4162327.58</c:v>
              </c:pt>
              <c:pt idx="2">
                <c:v>3909695.94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D590-42B6-B6EF-C13F08EDA131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3854663.9</c:v>
              </c:pt>
              <c:pt idx="1">
                <c:v>3584715.63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D590-42B6-B6EF-C13F08EDA131}"/>
            </c:ext>
          </c:extLst>
        </c:ser>
        <c:ser>
          <c:idx val="0"/>
          <c:order val="17"/>
          <c:tx>
            <c:v>Jul-2025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3640811.53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D590-42B6-B6EF-C13F08EDA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75568"/>
        <c:axId val="1922848688"/>
        <c:extLst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NWP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4481333.43</c:v>
              </c:pt>
              <c:pt idx="1">
                <c:v>4323994.6899999995</c:v>
              </c:pt>
              <c:pt idx="2">
                <c:v>4102781.63</c:v>
              </c:pt>
              <c:pt idx="3">
                <c:v>3915962.65</c:v>
              </c:pt>
              <c:pt idx="4">
                <c:v>3782426.45</c:v>
              </c:pt>
              <c:pt idx="5">
                <c:v>3686685.2199999997</c:v>
              </c:pt>
              <c:pt idx="6">
                <c:v>3637345.85</c:v>
              </c:pt>
              <c:pt idx="7">
                <c:v>3608484.44</c:v>
              </c:pt>
              <c:pt idx="8">
                <c:v>3587747.5100000002</c:v>
              </c:pt>
              <c:pt idx="9">
                <c:v>3572710.37</c:v>
              </c:pt>
              <c:pt idx="10">
                <c:v>3565096.31</c:v>
              </c:pt>
              <c:pt idx="11">
                <c:v>3558942.86</c:v>
              </c:pt>
              <c:pt idx="12">
                <c:v>3557616.38</c:v>
              </c:pt>
              <c:pt idx="13">
                <c:v>3556731.38</c:v>
              </c:pt>
              <c:pt idx="14">
                <c:v>3554541.08</c:v>
              </c:pt>
              <c:pt idx="15">
                <c:v>3552387.06</c:v>
              </c:pt>
              <c:pt idx="16">
                <c:v>3552263.4</c:v>
              </c:pt>
              <c:pt idx="17">
                <c:v>3552789.33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294-45A8-AB0D-C4307A91DFEE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7168988.75</c:v>
              </c:pt>
              <c:pt idx="1">
                <c:v>6909174.1799999997</c:v>
              </c:pt>
              <c:pt idx="2">
                <c:v>6582942.1799999997</c:v>
              </c:pt>
              <c:pt idx="3">
                <c:v>6350825.0599999996</c:v>
              </c:pt>
              <c:pt idx="4">
                <c:v>6211535.1900000004</c:v>
              </c:pt>
              <c:pt idx="5">
                <c:v>6121430.6399999997</c:v>
              </c:pt>
              <c:pt idx="6">
                <c:v>6052985.0799999991</c:v>
              </c:pt>
              <c:pt idx="7">
                <c:v>5994952.9100000001</c:v>
              </c:pt>
              <c:pt idx="8">
                <c:v>5949783.9100000001</c:v>
              </c:pt>
              <c:pt idx="9">
                <c:v>5924675.9100000001</c:v>
              </c:pt>
              <c:pt idx="10">
                <c:v>5907895.4199999999</c:v>
              </c:pt>
              <c:pt idx="11">
                <c:v>5899873.0699999994</c:v>
              </c:pt>
              <c:pt idx="12">
                <c:v>5898823.5499999998</c:v>
              </c:pt>
              <c:pt idx="13">
                <c:v>5899745.2099999897</c:v>
              </c:pt>
              <c:pt idx="14">
                <c:v>5899745.21</c:v>
              </c:pt>
              <c:pt idx="15">
                <c:v>5901358.2400000002</c:v>
              </c:pt>
              <c:pt idx="16">
                <c:v>5900790.4799999995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294-45A8-AB0D-C4307A91DFEE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6498068.1900000004</c:v>
              </c:pt>
              <c:pt idx="1">
                <c:v>6329599.2599999988</c:v>
              </c:pt>
              <c:pt idx="2">
                <c:v>5983605.3200000003</c:v>
              </c:pt>
              <c:pt idx="3">
                <c:v>5783981.2400000002</c:v>
              </c:pt>
              <c:pt idx="4">
                <c:v>5639382.8799999999</c:v>
              </c:pt>
              <c:pt idx="5">
                <c:v>5544017.75</c:v>
              </c:pt>
              <c:pt idx="6">
                <c:v>5457921.4899999993</c:v>
              </c:pt>
              <c:pt idx="7">
                <c:v>5394380.1100000003</c:v>
              </c:pt>
              <c:pt idx="8">
                <c:v>5365870.33</c:v>
              </c:pt>
              <c:pt idx="9">
                <c:v>5331544.8099999996</c:v>
              </c:pt>
              <c:pt idx="10">
                <c:v>5320619.2700000005</c:v>
              </c:pt>
              <c:pt idx="11">
                <c:v>5313573.1899999995</c:v>
              </c:pt>
              <c:pt idx="12">
                <c:v>5313234.99</c:v>
              </c:pt>
              <c:pt idx="13">
                <c:v>5311842.6499999994</c:v>
              </c:pt>
              <c:pt idx="14">
                <c:v>5311462.59</c:v>
              </c:pt>
              <c:pt idx="15">
                <c:v>5312300.6900000004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294-45A8-AB0D-C4307A91DFEE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6053207.54</c:v>
              </c:pt>
              <c:pt idx="1">
                <c:v>5918449.8299999991</c:v>
              </c:pt>
              <c:pt idx="2">
                <c:v>5619577.6200000001</c:v>
              </c:pt>
              <c:pt idx="3">
                <c:v>5463418.8499999996</c:v>
              </c:pt>
              <c:pt idx="4">
                <c:v>5343920.8700000094</c:v>
              </c:pt>
              <c:pt idx="5">
                <c:v>5246087.7100000009</c:v>
              </c:pt>
              <c:pt idx="6">
                <c:v>5182654.07</c:v>
              </c:pt>
              <c:pt idx="7">
                <c:v>5136241.7300000004</c:v>
              </c:pt>
              <c:pt idx="8">
                <c:v>5098092.1000000006</c:v>
              </c:pt>
              <c:pt idx="9">
                <c:v>5081424.2700000005</c:v>
              </c:pt>
              <c:pt idx="10">
                <c:v>5065276.83</c:v>
              </c:pt>
              <c:pt idx="11">
                <c:v>5057963.6500000004</c:v>
              </c:pt>
              <c:pt idx="12">
                <c:v>5057807.8499999996</c:v>
              </c:pt>
              <c:pt idx="13">
                <c:v>5056236.5199999996</c:v>
              </c:pt>
              <c:pt idx="14">
                <c:v>5056236.5199999996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294-45A8-AB0D-C4307A91DFEE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5117727.46</c:v>
              </c:pt>
              <c:pt idx="1">
                <c:v>4933654.9400000004</c:v>
              </c:pt>
              <c:pt idx="2">
                <c:v>4725346.4500000095</c:v>
              </c:pt>
              <c:pt idx="3">
                <c:v>4577802.9800000004</c:v>
              </c:pt>
              <c:pt idx="4">
                <c:v>4481907.8999999994</c:v>
              </c:pt>
              <c:pt idx="5">
                <c:v>4394768.68</c:v>
              </c:pt>
              <c:pt idx="6">
                <c:v>4335169.6599999992</c:v>
              </c:pt>
              <c:pt idx="7">
                <c:v>4288241.1399999997</c:v>
              </c:pt>
              <c:pt idx="8">
                <c:v>4257703.37</c:v>
              </c:pt>
              <c:pt idx="9">
                <c:v>4236995.05</c:v>
              </c:pt>
              <c:pt idx="10">
                <c:v>4227348.7700000005</c:v>
              </c:pt>
              <c:pt idx="11">
                <c:v>4222368.75</c:v>
              </c:pt>
              <c:pt idx="12">
                <c:v>4220584.68</c:v>
              </c:pt>
              <c:pt idx="13">
                <c:v>4219604.99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294-45A8-AB0D-C4307A91DFEE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4294498.6500000004</c:v>
              </c:pt>
              <c:pt idx="1">
                <c:v>4117025.29</c:v>
              </c:pt>
              <c:pt idx="2">
                <c:v>3950420.66</c:v>
              </c:pt>
              <c:pt idx="3">
                <c:v>3824105.15</c:v>
              </c:pt>
              <c:pt idx="4">
                <c:v>3731571.06</c:v>
              </c:pt>
              <c:pt idx="5">
                <c:v>3665031.12</c:v>
              </c:pt>
              <c:pt idx="6">
                <c:v>3616188.4</c:v>
              </c:pt>
              <c:pt idx="7">
                <c:v>3576472.87</c:v>
              </c:pt>
              <c:pt idx="8">
                <c:v>3548220.54</c:v>
              </c:pt>
              <c:pt idx="9">
                <c:v>3533419.27</c:v>
              </c:pt>
              <c:pt idx="10">
                <c:v>3522046.0100000002</c:v>
              </c:pt>
              <c:pt idx="11">
                <c:v>3519594.96</c:v>
              </c:pt>
              <c:pt idx="12">
                <c:v>3519487.62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294-45A8-AB0D-C4307A91DFEE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3818309.7399999998</c:v>
              </c:pt>
              <c:pt idx="1">
                <c:v>3614148.5399999996</c:v>
              </c:pt>
              <c:pt idx="2">
                <c:v>3466470.27</c:v>
              </c:pt>
              <c:pt idx="3">
                <c:v>3353971.3699999996</c:v>
              </c:pt>
              <c:pt idx="4">
                <c:v>3291563.08</c:v>
              </c:pt>
              <c:pt idx="5">
                <c:v>3206362.35</c:v>
              </c:pt>
              <c:pt idx="6">
                <c:v>3164553.8000000003</c:v>
              </c:pt>
              <c:pt idx="7">
                <c:v>3131652.64</c:v>
              </c:pt>
              <c:pt idx="8">
                <c:v>3104955.74</c:v>
              </c:pt>
              <c:pt idx="9">
                <c:v>3088027.49</c:v>
              </c:pt>
              <c:pt idx="10">
                <c:v>3081748.5200000005</c:v>
              </c:pt>
              <c:pt idx="11">
                <c:v>3079359.17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294-45A8-AB0D-C4307A91DFEE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3617443.4</c:v>
              </c:pt>
              <c:pt idx="1">
                <c:v>3439763.63</c:v>
              </c:pt>
              <c:pt idx="2">
                <c:v>3302883.65</c:v>
              </c:pt>
              <c:pt idx="3">
                <c:v>3197667.18</c:v>
              </c:pt>
              <c:pt idx="4">
                <c:v>3105932.31</c:v>
              </c:pt>
              <c:pt idx="5">
                <c:v>3050920.33</c:v>
              </c:pt>
              <c:pt idx="6">
                <c:v>3011667.53</c:v>
              </c:pt>
              <c:pt idx="7">
                <c:v>2980908.97</c:v>
              </c:pt>
              <c:pt idx="8">
                <c:v>2956066.3000000003</c:v>
              </c:pt>
              <c:pt idx="9">
                <c:v>2945125.29</c:v>
              </c:pt>
              <c:pt idx="10">
                <c:v>2932502.56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B294-45A8-AB0D-C4307A91DFEE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3617822.0999999996</c:v>
              </c:pt>
              <c:pt idx="1">
                <c:v>3392073.49</c:v>
              </c:pt>
              <c:pt idx="2">
                <c:v>3261876.2100000004</c:v>
              </c:pt>
              <c:pt idx="3">
                <c:v>3143601.09</c:v>
              </c:pt>
              <c:pt idx="4">
                <c:v>3082507.53</c:v>
              </c:pt>
              <c:pt idx="5">
                <c:v>3015758.49</c:v>
              </c:pt>
              <c:pt idx="6">
                <c:v>2971201.16</c:v>
              </c:pt>
              <c:pt idx="7">
                <c:v>2937416.52</c:v>
              </c:pt>
              <c:pt idx="8">
                <c:v>2918707.11</c:v>
              </c:pt>
              <c:pt idx="9">
                <c:v>2896678.78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B294-45A8-AB0D-C4307A91DFEE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4210269.8499999996</c:v>
              </c:pt>
              <c:pt idx="1">
                <c:v>3914360.8700000006</c:v>
              </c:pt>
              <c:pt idx="2">
                <c:v>3698312.3800000004</c:v>
              </c:pt>
              <c:pt idx="3">
                <c:v>3607495.7199999997</c:v>
              </c:pt>
              <c:pt idx="4">
                <c:v>3497735.76</c:v>
              </c:pt>
              <c:pt idx="5">
                <c:v>3418631.93</c:v>
              </c:pt>
              <c:pt idx="6">
                <c:v>3361406.4000000004</c:v>
              </c:pt>
              <c:pt idx="7">
                <c:v>3331808.46</c:v>
              </c:pt>
              <c:pt idx="8">
                <c:v>3301005.5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B294-45A8-AB0D-C4307A91DFEE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4230976.5</c:v>
              </c:pt>
              <c:pt idx="1">
                <c:v>3963652.73</c:v>
              </c:pt>
              <c:pt idx="2">
                <c:v>3780752.8600000003</c:v>
              </c:pt>
              <c:pt idx="3">
                <c:v>3663397.54</c:v>
              </c:pt>
              <c:pt idx="4">
                <c:v>3597032.79</c:v>
              </c:pt>
              <c:pt idx="5">
                <c:v>3554879.39</c:v>
              </c:pt>
              <c:pt idx="6">
                <c:v>3501818.4599999995</c:v>
              </c:pt>
              <c:pt idx="7">
                <c:v>3455290.2399999998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B294-45A8-AB0D-C4307A91DFEE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4338584.01</c:v>
              </c:pt>
              <c:pt idx="1">
                <c:v>4113016.92</c:v>
              </c:pt>
              <c:pt idx="2">
                <c:v>3923407.47</c:v>
              </c:pt>
              <c:pt idx="3">
                <c:v>3827447.4799999995</c:v>
              </c:pt>
              <c:pt idx="4">
                <c:v>3729810.96</c:v>
              </c:pt>
              <c:pt idx="5">
                <c:v>3659002.8999999994</c:v>
              </c:pt>
              <c:pt idx="6">
                <c:v>3598289.2699999996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B294-45A8-AB0D-C4307A91DFEE}"/>
            </c:ext>
          </c:extLst>
        </c:ser>
        <c:ser>
          <c:idx val="13"/>
          <c:order val="12"/>
          <c:tx>
            <c:v>Feb-2025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3531376.0800000005</c:v>
              </c:pt>
              <c:pt idx="1">
                <c:v>3352802.27</c:v>
              </c:pt>
              <c:pt idx="2">
                <c:v>3210414.68</c:v>
              </c:pt>
              <c:pt idx="3">
                <c:v>3116872.11</c:v>
              </c:pt>
              <c:pt idx="4">
                <c:v>3047480.5</c:v>
              </c:pt>
              <c:pt idx="5">
                <c:v>2965660.02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B294-45A8-AB0D-C4307A91DFEE}"/>
            </c:ext>
          </c:extLst>
        </c:ser>
        <c:ser>
          <c:idx val="14"/>
          <c:order val="13"/>
          <c:tx>
            <c:v>Mar-2025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4617824.72</c:v>
              </c:pt>
              <c:pt idx="1">
                <c:v>4292842.7300000004</c:v>
              </c:pt>
              <c:pt idx="2">
                <c:v>4046790.55</c:v>
              </c:pt>
              <c:pt idx="3">
                <c:v>3932907.86</c:v>
              </c:pt>
              <c:pt idx="4">
                <c:v>3841250.8000000003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B294-45A8-AB0D-C4307A91DFEE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val>
            <c:numLit>
              <c:formatCode>General</c:formatCode>
              <c:ptCount val="18"/>
              <c:pt idx="0">
                <c:v>4509270.29</c:v>
              </c:pt>
              <c:pt idx="1">
                <c:v>4127528.87</c:v>
              </c:pt>
              <c:pt idx="2">
                <c:v>3936234.48</c:v>
              </c:pt>
              <c:pt idx="3">
                <c:v>3789621.72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B294-45A8-AB0D-C4307A91DFEE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4473358.5599999996</c:v>
              </c:pt>
              <c:pt idx="1">
                <c:v>4162327.58</c:v>
              </c:pt>
              <c:pt idx="2">
                <c:v>3909695.94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B294-45A8-AB0D-C4307A91DFEE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3854663.9</c:v>
              </c:pt>
              <c:pt idx="1">
                <c:v>3584715.63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B294-45A8-AB0D-C4307A91DFEE}"/>
            </c:ext>
          </c:extLst>
        </c:ser>
        <c:ser>
          <c:idx val="0"/>
          <c:order val="17"/>
          <c:tx>
            <c:v>Jul-2025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3640811.53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B294-45A8-AB0D-C4307A91D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75568"/>
        <c:axId val="1922848688"/>
        <c:extLst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(MPM): NWP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4481333.43</c:v>
              </c:pt>
              <c:pt idx="1">
                <c:v>4323994.6899999995</c:v>
              </c:pt>
              <c:pt idx="2">
                <c:v>4102781.63</c:v>
              </c:pt>
              <c:pt idx="3">
                <c:v>3915962.65</c:v>
              </c:pt>
              <c:pt idx="4">
                <c:v>3782426.45</c:v>
              </c:pt>
              <c:pt idx="5">
                <c:v>3686685.2199999997</c:v>
              </c:pt>
              <c:pt idx="6">
                <c:v>3637345.85</c:v>
              </c:pt>
              <c:pt idx="7">
                <c:v>3608484.44</c:v>
              </c:pt>
              <c:pt idx="8">
                <c:v>3587747.5100000002</c:v>
              </c:pt>
              <c:pt idx="9">
                <c:v>3572710.37</c:v>
              </c:pt>
              <c:pt idx="10">
                <c:v>3565096.31</c:v>
              </c:pt>
              <c:pt idx="11">
                <c:v>3558942.86</c:v>
              </c:pt>
              <c:pt idx="12">
                <c:v>3557616.38</c:v>
              </c:pt>
              <c:pt idx="13">
                <c:v>3556731.38</c:v>
              </c:pt>
              <c:pt idx="14">
                <c:v>3554541.08</c:v>
              </c:pt>
              <c:pt idx="15">
                <c:v>3552387.06</c:v>
              </c:pt>
              <c:pt idx="16">
                <c:v>3552263.4</c:v>
              </c:pt>
              <c:pt idx="17">
                <c:v>3552789.33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B34-47A0-AD4F-28F774C1281C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7168988.75</c:v>
              </c:pt>
              <c:pt idx="1">
                <c:v>6909174.1799999997</c:v>
              </c:pt>
              <c:pt idx="2">
                <c:v>6582942.1799999997</c:v>
              </c:pt>
              <c:pt idx="3">
                <c:v>6350825.0599999996</c:v>
              </c:pt>
              <c:pt idx="4">
                <c:v>6211535.1900000004</c:v>
              </c:pt>
              <c:pt idx="5">
                <c:v>6121430.6399999997</c:v>
              </c:pt>
              <c:pt idx="6">
                <c:v>6052985.0799999991</c:v>
              </c:pt>
              <c:pt idx="7">
                <c:v>5994952.9100000001</c:v>
              </c:pt>
              <c:pt idx="8">
                <c:v>5949783.9100000001</c:v>
              </c:pt>
              <c:pt idx="9">
                <c:v>5924675.9100000001</c:v>
              </c:pt>
              <c:pt idx="10">
                <c:v>5907895.4199999999</c:v>
              </c:pt>
              <c:pt idx="11">
                <c:v>5899873.0699999994</c:v>
              </c:pt>
              <c:pt idx="12">
                <c:v>5898823.5499999998</c:v>
              </c:pt>
              <c:pt idx="13">
                <c:v>5899745.2099999897</c:v>
              </c:pt>
              <c:pt idx="14">
                <c:v>5899745.21</c:v>
              </c:pt>
              <c:pt idx="15">
                <c:v>5901358.2400000002</c:v>
              </c:pt>
              <c:pt idx="16">
                <c:v>5900790.4799999995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B34-47A0-AD4F-28F774C1281C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6498068.1900000004</c:v>
              </c:pt>
              <c:pt idx="1">
                <c:v>6329599.2599999988</c:v>
              </c:pt>
              <c:pt idx="2">
                <c:v>5983605.3200000003</c:v>
              </c:pt>
              <c:pt idx="3">
                <c:v>5783981.2400000002</c:v>
              </c:pt>
              <c:pt idx="4">
                <c:v>5639382.8799999999</c:v>
              </c:pt>
              <c:pt idx="5">
                <c:v>5544017.75</c:v>
              </c:pt>
              <c:pt idx="6">
                <c:v>5457921.4899999993</c:v>
              </c:pt>
              <c:pt idx="7">
                <c:v>5394380.1100000003</c:v>
              </c:pt>
              <c:pt idx="8">
                <c:v>5365870.33</c:v>
              </c:pt>
              <c:pt idx="9">
                <c:v>5331544.8099999996</c:v>
              </c:pt>
              <c:pt idx="10">
                <c:v>5320619.2700000005</c:v>
              </c:pt>
              <c:pt idx="11">
                <c:v>5313573.1899999995</c:v>
              </c:pt>
              <c:pt idx="12">
                <c:v>5313234.99</c:v>
              </c:pt>
              <c:pt idx="13">
                <c:v>5311842.6499999994</c:v>
              </c:pt>
              <c:pt idx="14">
                <c:v>5311462.59</c:v>
              </c:pt>
              <c:pt idx="15">
                <c:v>5312300.6900000004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B34-47A0-AD4F-28F774C1281C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6053207.54</c:v>
              </c:pt>
              <c:pt idx="1">
                <c:v>5918449.8299999991</c:v>
              </c:pt>
              <c:pt idx="2">
                <c:v>5619577.6200000001</c:v>
              </c:pt>
              <c:pt idx="3">
                <c:v>5463418.8499999996</c:v>
              </c:pt>
              <c:pt idx="4">
                <c:v>5343920.8700000094</c:v>
              </c:pt>
              <c:pt idx="5">
                <c:v>5246087.7100000009</c:v>
              </c:pt>
              <c:pt idx="6">
                <c:v>5182654.07</c:v>
              </c:pt>
              <c:pt idx="7">
                <c:v>5136241.7300000004</c:v>
              </c:pt>
              <c:pt idx="8">
                <c:v>5098092.1000000006</c:v>
              </c:pt>
              <c:pt idx="9">
                <c:v>5081424.2700000005</c:v>
              </c:pt>
              <c:pt idx="10">
                <c:v>5065276.83</c:v>
              </c:pt>
              <c:pt idx="11">
                <c:v>5057963.6500000004</c:v>
              </c:pt>
              <c:pt idx="12">
                <c:v>5057807.8499999996</c:v>
              </c:pt>
              <c:pt idx="13">
                <c:v>5056236.5199999996</c:v>
              </c:pt>
              <c:pt idx="14">
                <c:v>5056236.5199999996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B34-47A0-AD4F-28F774C1281C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5117727.46</c:v>
              </c:pt>
              <c:pt idx="1">
                <c:v>4933654.9400000004</c:v>
              </c:pt>
              <c:pt idx="2">
                <c:v>4725346.4500000095</c:v>
              </c:pt>
              <c:pt idx="3">
                <c:v>4577802.9800000004</c:v>
              </c:pt>
              <c:pt idx="4">
                <c:v>4481907.8999999994</c:v>
              </c:pt>
              <c:pt idx="5">
                <c:v>4394768.68</c:v>
              </c:pt>
              <c:pt idx="6">
                <c:v>4335169.6599999992</c:v>
              </c:pt>
              <c:pt idx="7">
                <c:v>4288241.1399999997</c:v>
              </c:pt>
              <c:pt idx="8">
                <c:v>4257703.37</c:v>
              </c:pt>
              <c:pt idx="9">
                <c:v>4236995.05</c:v>
              </c:pt>
              <c:pt idx="10">
                <c:v>4227348.7700000005</c:v>
              </c:pt>
              <c:pt idx="11">
                <c:v>4222368.75</c:v>
              </c:pt>
              <c:pt idx="12">
                <c:v>4220584.68</c:v>
              </c:pt>
              <c:pt idx="13">
                <c:v>4219604.99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B34-47A0-AD4F-28F774C1281C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4294498.6500000004</c:v>
              </c:pt>
              <c:pt idx="1">
                <c:v>4117025.29</c:v>
              </c:pt>
              <c:pt idx="2">
                <c:v>3950420.66</c:v>
              </c:pt>
              <c:pt idx="3">
                <c:v>3824105.15</c:v>
              </c:pt>
              <c:pt idx="4">
                <c:v>3731571.06</c:v>
              </c:pt>
              <c:pt idx="5">
                <c:v>3665031.12</c:v>
              </c:pt>
              <c:pt idx="6">
                <c:v>3616188.4</c:v>
              </c:pt>
              <c:pt idx="7">
                <c:v>3576472.87</c:v>
              </c:pt>
              <c:pt idx="8">
                <c:v>3548220.54</c:v>
              </c:pt>
              <c:pt idx="9">
                <c:v>3533419.27</c:v>
              </c:pt>
              <c:pt idx="10">
                <c:v>3522046.0100000002</c:v>
              </c:pt>
              <c:pt idx="11">
                <c:v>3519594.96</c:v>
              </c:pt>
              <c:pt idx="12">
                <c:v>3519487.62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B34-47A0-AD4F-28F774C1281C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3818309.7399999998</c:v>
              </c:pt>
              <c:pt idx="1">
                <c:v>3614148.5399999996</c:v>
              </c:pt>
              <c:pt idx="2">
                <c:v>3466470.27</c:v>
              </c:pt>
              <c:pt idx="3">
                <c:v>3353971.3699999996</c:v>
              </c:pt>
              <c:pt idx="4">
                <c:v>3291563.08</c:v>
              </c:pt>
              <c:pt idx="5">
                <c:v>3206362.35</c:v>
              </c:pt>
              <c:pt idx="6">
                <c:v>3164553.8000000003</c:v>
              </c:pt>
              <c:pt idx="7">
                <c:v>3131652.64</c:v>
              </c:pt>
              <c:pt idx="8">
                <c:v>3104955.74</c:v>
              </c:pt>
              <c:pt idx="9">
                <c:v>3088027.49</c:v>
              </c:pt>
              <c:pt idx="10">
                <c:v>3081748.5200000005</c:v>
              </c:pt>
              <c:pt idx="11">
                <c:v>3079359.17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7B34-47A0-AD4F-28F774C1281C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3617443.4</c:v>
              </c:pt>
              <c:pt idx="1">
                <c:v>3439763.63</c:v>
              </c:pt>
              <c:pt idx="2">
                <c:v>3302883.65</c:v>
              </c:pt>
              <c:pt idx="3">
                <c:v>3197667.18</c:v>
              </c:pt>
              <c:pt idx="4">
                <c:v>3105932.31</c:v>
              </c:pt>
              <c:pt idx="5">
                <c:v>3050920.33</c:v>
              </c:pt>
              <c:pt idx="6">
                <c:v>3011667.53</c:v>
              </c:pt>
              <c:pt idx="7">
                <c:v>2980908.97</c:v>
              </c:pt>
              <c:pt idx="8">
                <c:v>2956066.3000000003</c:v>
              </c:pt>
              <c:pt idx="9">
                <c:v>2945125.29</c:v>
              </c:pt>
              <c:pt idx="10">
                <c:v>2932502.56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7B34-47A0-AD4F-28F774C1281C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3617822.0999999996</c:v>
              </c:pt>
              <c:pt idx="1">
                <c:v>3392073.49</c:v>
              </c:pt>
              <c:pt idx="2">
                <c:v>3261876.2100000004</c:v>
              </c:pt>
              <c:pt idx="3">
                <c:v>3143601.09</c:v>
              </c:pt>
              <c:pt idx="4">
                <c:v>3082507.53</c:v>
              </c:pt>
              <c:pt idx="5">
                <c:v>3015758.49</c:v>
              </c:pt>
              <c:pt idx="6">
                <c:v>2971201.16</c:v>
              </c:pt>
              <c:pt idx="7">
                <c:v>2937416.52</c:v>
              </c:pt>
              <c:pt idx="8">
                <c:v>2918707.11</c:v>
              </c:pt>
              <c:pt idx="9">
                <c:v>2896678.78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7B34-47A0-AD4F-28F774C1281C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4210269.8499999996</c:v>
              </c:pt>
              <c:pt idx="1">
                <c:v>3914360.8700000006</c:v>
              </c:pt>
              <c:pt idx="2">
                <c:v>3698312.3800000004</c:v>
              </c:pt>
              <c:pt idx="3">
                <c:v>3607495.7199999997</c:v>
              </c:pt>
              <c:pt idx="4">
                <c:v>3497735.76</c:v>
              </c:pt>
              <c:pt idx="5">
                <c:v>3418631.93</c:v>
              </c:pt>
              <c:pt idx="6">
                <c:v>3361406.4000000004</c:v>
              </c:pt>
              <c:pt idx="7">
                <c:v>3331808.46</c:v>
              </c:pt>
              <c:pt idx="8">
                <c:v>3301005.5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7B34-47A0-AD4F-28F774C1281C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4230976.5</c:v>
              </c:pt>
              <c:pt idx="1">
                <c:v>3963652.73</c:v>
              </c:pt>
              <c:pt idx="2">
                <c:v>3780752.8600000003</c:v>
              </c:pt>
              <c:pt idx="3">
                <c:v>3663397.54</c:v>
              </c:pt>
              <c:pt idx="4">
                <c:v>3597032.79</c:v>
              </c:pt>
              <c:pt idx="5">
                <c:v>3554879.39</c:v>
              </c:pt>
              <c:pt idx="6">
                <c:v>3501818.4599999995</c:v>
              </c:pt>
              <c:pt idx="7">
                <c:v>3455290.2399999998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7B34-47A0-AD4F-28F774C1281C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4338584.01</c:v>
              </c:pt>
              <c:pt idx="1">
                <c:v>4113016.92</c:v>
              </c:pt>
              <c:pt idx="2">
                <c:v>3923407.47</c:v>
              </c:pt>
              <c:pt idx="3">
                <c:v>3827447.4799999995</c:v>
              </c:pt>
              <c:pt idx="4">
                <c:v>3729810.96</c:v>
              </c:pt>
              <c:pt idx="5">
                <c:v>3659002.8999999994</c:v>
              </c:pt>
              <c:pt idx="6">
                <c:v>3598289.2699999996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7B34-47A0-AD4F-28F774C1281C}"/>
            </c:ext>
          </c:extLst>
        </c:ser>
        <c:ser>
          <c:idx val="13"/>
          <c:order val="12"/>
          <c:tx>
            <c:v>Feb-2025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3531376.0800000005</c:v>
              </c:pt>
              <c:pt idx="1">
                <c:v>3352802.27</c:v>
              </c:pt>
              <c:pt idx="2">
                <c:v>3210414.68</c:v>
              </c:pt>
              <c:pt idx="3">
                <c:v>3116872.11</c:v>
              </c:pt>
              <c:pt idx="4">
                <c:v>3047480.5</c:v>
              </c:pt>
              <c:pt idx="5">
                <c:v>2965660.02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7B34-47A0-AD4F-28F774C1281C}"/>
            </c:ext>
          </c:extLst>
        </c:ser>
        <c:ser>
          <c:idx val="14"/>
          <c:order val="13"/>
          <c:tx>
            <c:v>Mar-2025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4617824.72</c:v>
              </c:pt>
              <c:pt idx="1">
                <c:v>4292842.7300000004</c:v>
              </c:pt>
              <c:pt idx="2">
                <c:v>4046790.55</c:v>
              </c:pt>
              <c:pt idx="3">
                <c:v>3932907.86</c:v>
              </c:pt>
              <c:pt idx="4">
                <c:v>3841250.8000000003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7B34-47A0-AD4F-28F774C1281C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val>
            <c:numLit>
              <c:formatCode>General</c:formatCode>
              <c:ptCount val="18"/>
              <c:pt idx="0">
                <c:v>4509270.29</c:v>
              </c:pt>
              <c:pt idx="1">
                <c:v>4127528.87</c:v>
              </c:pt>
              <c:pt idx="2">
                <c:v>3936234.48</c:v>
              </c:pt>
              <c:pt idx="3">
                <c:v>3789621.72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7B34-47A0-AD4F-28F774C1281C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4473358.5599999996</c:v>
              </c:pt>
              <c:pt idx="1">
                <c:v>4162327.58</c:v>
              </c:pt>
              <c:pt idx="2">
                <c:v>3909695.94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7B34-47A0-AD4F-28F774C1281C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3854663.9</c:v>
              </c:pt>
              <c:pt idx="1">
                <c:v>3584715.63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7B34-47A0-AD4F-28F774C1281C}"/>
            </c:ext>
          </c:extLst>
        </c:ser>
        <c:ser>
          <c:idx val="0"/>
          <c:order val="17"/>
          <c:tx>
            <c:v>Jul-2025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3640811.53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7B34-47A0-AD4F-28F774C12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75568"/>
        <c:axId val="1922848688"/>
        <c:extLst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NWP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1686137.48</c:v>
              </c:pt>
              <c:pt idx="1">
                <c:v>1734743.5199999998</c:v>
              </c:pt>
              <c:pt idx="2">
                <c:v>1734900.46</c:v>
              </c:pt>
              <c:pt idx="3">
                <c:v>1734900.4600000002</c:v>
              </c:pt>
              <c:pt idx="4">
                <c:v>1724039.0599999998</c:v>
              </c:pt>
              <c:pt idx="5">
                <c:v>1718462.38</c:v>
              </c:pt>
              <c:pt idx="6">
                <c:v>1718462.38</c:v>
              </c:pt>
              <c:pt idx="7">
                <c:v>1636535.02</c:v>
              </c:pt>
              <c:pt idx="8">
                <c:v>1636535.0200000003</c:v>
              </c:pt>
              <c:pt idx="9">
                <c:v>1636535.02</c:v>
              </c:pt>
              <c:pt idx="10">
                <c:v>1719230.25</c:v>
              </c:pt>
              <c:pt idx="11">
                <c:v>1719230.25</c:v>
              </c:pt>
              <c:pt idx="12">
                <c:v>1554420.3600000008</c:v>
              </c:pt>
              <c:pt idx="13">
                <c:v>1636530.23</c:v>
              </c:pt>
              <c:pt idx="14">
                <c:v>1636530.23</c:v>
              </c:pt>
              <c:pt idx="15">
                <c:v>1636530.23</c:v>
              </c:pt>
              <c:pt idx="16">
                <c:v>1636571.2300000002</c:v>
              </c:pt>
              <c:pt idx="17">
                <c:v>1636571.23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DE0-4BD5-96FA-B247B1FF37B8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1848271.33</c:v>
              </c:pt>
              <c:pt idx="1">
                <c:v>1879225.76</c:v>
              </c:pt>
              <c:pt idx="2">
                <c:v>1879600.5899999999</c:v>
              </c:pt>
              <c:pt idx="3">
                <c:v>1867302.94</c:v>
              </c:pt>
              <c:pt idx="4">
                <c:v>1861341.69</c:v>
              </c:pt>
              <c:pt idx="5">
                <c:v>1861341.69</c:v>
              </c:pt>
              <c:pt idx="6">
                <c:v>1683394.8</c:v>
              </c:pt>
              <c:pt idx="7">
                <c:v>1683394.8</c:v>
              </c:pt>
              <c:pt idx="8">
                <c:v>1683394.8</c:v>
              </c:pt>
              <c:pt idx="9">
                <c:v>1763735.42</c:v>
              </c:pt>
              <c:pt idx="10">
                <c:v>1763735.42</c:v>
              </c:pt>
              <c:pt idx="11">
                <c:v>1503470.5899999999</c:v>
              </c:pt>
              <c:pt idx="12">
                <c:v>1682523.51</c:v>
              </c:pt>
              <c:pt idx="13">
                <c:v>1682523.51</c:v>
              </c:pt>
              <c:pt idx="14">
                <c:v>1682523.51</c:v>
              </c:pt>
              <c:pt idx="15">
                <c:v>1682523.51</c:v>
              </c:pt>
              <c:pt idx="16">
                <c:v>1682523.51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E0-4BD5-96FA-B247B1FF37B8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1541582.28</c:v>
              </c:pt>
              <c:pt idx="1">
                <c:v>1534437.48</c:v>
              </c:pt>
              <c:pt idx="2">
                <c:v>1523058.47</c:v>
              </c:pt>
              <c:pt idx="3">
                <c:v>1517289.49</c:v>
              </c:pt>
              <c:pt idx="4">
                <c:v>1517124.87</c:v>
              </c:pt>
              <c:pt idx="5">
                <c:v>1406267.95</c:v>
              </c:pt>
              <c:pt idx="6">
                <c:v>1406267.95</c:v>
              </c:pt>
              <c:pt idx="7">
                <c:v>1406267.95</c:v>
              </c:pt>
              <c:pt idx="8">
                <c:v>1488382.61</c:v>
              </c:pt>
              <c:pt idx="9">
                <c:v>1488382.61</c:v>
              </c:pt>
              <c:pt idx="10">
                <c:v>1295206</c:v>
              </c:pt>
              <c:pt idx="11">
                <c:v>1406255.55</c:v>
              </c:pt>
              <c:pt idx="12">
                <c:v>1406255.55</c:v>
              </c:pt>
              <c:pt idx="13">
                <c:v>1406255.55</c:v>
              </c:pt>
              <c:pt idx="14">
                <c:v>1406255.55</c:v>
              </c:pt>
              <c:pt idx="15">
                <c:v>1406255.55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E0-4BD5-96FA-B247B1FF37B8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1489756.1900000002</c:v>
              </c:pt>
              <c:pt idx="1">
                <c:v>1471111.6500000001</c:v>
              </c:pt>
              <c:pt idx="2">
                <c:v>1465150.4000000001</c:v>
              </c:pt>
              <c:pt idx="3">
                <c:v>1465108.7</c:v>
              </c:pt>
              <c:pt idx="4">
                <c:v>1329791.7</c:v>
              </c:pt>
              <c:pt idx="5">
                <c:v>1329791.7</c:v>
              </c:pt>
              <c:pt idx="6">
                <c:v>1329791.7</c:v>
              </c:pt>
              <c:pt idx="7">
                <c:v>1508857.6700000002</c:v>
              </c:pt>
              <c:pt idx="8">
                <c:v>1508857.6700000002</c:v>
              </c:pt>
              <c:pt idx="9">
                <c:v>1194267.1500000001</c:v>
              </c:pt>
              <c:pt idx="10">
                <c:v>1329779.3</c:v>
              </c:pt>
              <c:pt idx="11">
                <c:v>1329779.3</c:v>
              </c:pt>
              <c:pt idx="12">
                <c:v>1329779.3</c:v>
              </c:pt>
              <c:pt idx="13">
                <c:v>1329779.3</c:v>
              </c:pt>
              <c:pt idx="14">
                <c:v>1329779.3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E0-4BD5-96FA-B247B1FF37B8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1221063.26</c:v>
              </c:pt>
              <c:pt idx="1">
                <c:v>1215891.7</c:v>
              </c:pt>
              <c:pt idx="2">
                <c:v>1215511.68</c:v>
              </c:pt>
              <c:pt idx="3">
                <c:v>1133024.3499999999</c:v>
              </c:pt>
              <c:pt idx="4">
                <c:v>1133123.5599999998</c:v>
              </c:pt>
              <c:pt idx="5">
                <c:v>1133123.5599999998</c:v>
              </c:pt>
              <c:pt idx="6">
                <c:v>1268648.1099999999</c:v>
              </c:pt>
              <c:pt idx="7">
                <c:v>1268648.1099999999</c:v>
              </c:pt>
              <c:pt idx="8">
                <c:v>1050428.3299999998</c:v>
              </c:pt>
              <c:pt idx="9">
                <c:v>1133104.5</c:v>
              </c:pt>
              <c:pt idx="10">
                <c:v>1133104.5</c:v>
              </c:pt>
              <c:pt idx="11">
                <c:v>1133104.5</c:v>
              </c:pt>
              <c:pt idx="12">
                <c:v>1133104.5</c:v>
              </c:pt>
              <c:pt idx="13">
                <c:v>1133104.5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E0-4BD5-96FA-B247B1FF37B8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1152910.54</c:v>
              </c:pt>
              <c:pt idx="1">
                <c:v>1148113.0900000001</c:v>
              </c:pt>
              <c:pt idx="2">
                <c:v>1048902.3</c:v>
              </c:pt>
              <c:pt idx="3">
                <c:v>1049001.51</c:v>
              </c:pt>
              <c:pt idx="4">
                <c:v>1049001.51</c:v>
              </c:pt>
              <c:pt idx="5">
                <c:v>1148431.2300000002</c:v>
              </c:pt>
              <c:pt idx="6">
                <c:v>1148431.2300000002</c:v>
              </c:pt>
              <c:pt idx="7">
                <c:v>949797.72</c:v>
              </c:pt>
              <c:pt idx="8">
                <c:v>1049203.69</c:v>
              </c:pt>
              <c:pt idx="9">
                <c:v>1049203.69</c:v>
              </c:pt>
              <c:pt idx="10">
                <c:v>1049203.6900000002</c:v>
              </c:pt>
              <c:pt idx="11">
                <c:v>1049203.69</c:v>
              </c:pt>
              <c:pt idx="12">
                <c:v>1049203.69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E0-4BD5-96FA-B247B1FF37B8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970479.45000000007</c:v>
              </c:pt>
              <c:pt idx="1">
                <c:v>898012.88000000094</c:v>
              </c:pt>
              <c:pt idx="2">
                <c:v>898112.09</c:v>
              </c:pt>
              <c:pt idx="3">
                <c:v>898112.09000000102</c:v>
              </c:pt>
              <c:pt idx="4">
                <c:v>940295.36000000092</c:v>
              </c:pt>
              <c:pt idx="5">
                <c:v>940295.36</c:v>
              </c:pt>
              <c:pt idx="6">
                <c:v>817410.77</c:v>
              </c:pt>
              <c:pt idx="7">
                <c:v>897208.56000000099</c:v>
              </c:pt>
              <c:pt idx="8">
                <c:v>897208.55999999994</c:v>
              </c:pt>
              <c:pt idx="9">
                <c:v>897208.55999999994</c:v>
              </c:pt>
              <c:pt idx="10">
                <c:v>897208.55999999901</c:v>
              </c:pt>
              <c:pt idx="11">
                <c:v>897208.55999999994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DE0-4BD5-96FA-B247B1FF37B8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743714.07000000007</c:v>
              </c:pt>
              <c:pt idx="1">
                <c:v>744090.63000000094</c:v>
              </c:pt>
              <c:pt idx="2">
                <c:v>744090.62999999989</c:v>
              </c:pt>
              <c:pt idx="3">
                <c:v>787003.1899999989</c:v>
              </c:pt>
              <c:pt idx="4">
                <c:v>787003.1899999989</c:v>
              </c:pt>
              <c:pt idx="5">
                <c:v>701257.0199999999</c:v>
              </c:pt>
              <c:pt idx="6">
                <c:v>714765.00999999896</c:v>
              </c:pt>
              <c:pt idx="7">
                <c:v>714765.00999999896</c:v>
              </c:pt>
              <c:pt idx="8">
                <c:v>714765.00999999989</c:v>
              </c:pt>
              <c:pt idx="9">
                <c:v>714765.00999999896</c:v>
              </c:pt>
              <c:pt idx="10">
                <c:v>714765.01000000094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BDE0-4BD5-96FA-B247B1FF37B8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613203.58000000007</c:v>
              </c:pt>
              <c:pt idx="1">
                <c:v>621247.94000000006</c:v>
              </c:pt>
              <c:pt idx="2">
                <c:v>633846.03</c:v>
              </c:pt>
              <c:pt idx="3">
                <c:v>633846.03</c:v>
              </c:pt>
              <c:pt idx="4">
                <c:v>578335.38</c:v>
              </c:pt>
              <c:pt idx="5">
                <c:v>578335.38</c:v>
              </c:pt>
              <c:pt idx="6">
                <c:v>578335.38</c:v>
              </c:pt>
              <c:pt idx="7">
                <c:v>578335.38</c:v>
              </c:pt>
              <c:pt idx="8">
                <c:v>578362.56000000099</c:v>
              </c:pt>
              <c:pt idx="9">
                <c:v>578362.56000000006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BDE0-4BD5-96FA-B247B1FF37B8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350958.31</c:v>
              </c:pt>
              <c:pt idx="1">
                <c:v>360631.95999999996</c:v>
              </c:pt>
              <c:pt idx="2">
                <c:v>360974.32999999996</c:v>
              </c:pt>
              <c:pt idx="3">
                <c:v>347890.6</c:v>
              </c:pt>
              <c:pt idx="4">
                <c:v>347890.6</c:v>
              </c:pt>
              <c:pt idx="5">
                <c:v>347890.6</c:v>
              </c:pt>
              <c:pt idx="6">
                <c:v>347890.6</c:v>
              </c:pt>
              <c:pt idx="7">
                <c:v>347890.6</c:v>
              </c:pt>
              <c:pt idx="8">
                <c:v>347890.6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BDE0-4BD5-96FA-B247B1FF37B8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194556.57</c:v>
              </c:pt>
              <c:pt idx="1">
                <c:v>196803.32</c:v>
              </c:pt>
              <c:pt idx="2">
                <c:v>196342.79</c:v>
              </c:pt>
              <c:pt idx="3">
                <c:v>196342.78999999998</c:v>
              </c:pt>
              <c:pt idx="4">
                <c:v>196342.78999999998</c:v>
              </c:pt>
              <c:pt idx="5">
                <c:v>196342.79</c:v>
              </c:pt>
              <c:pt idx="6">
                <c:v>196342.79</c:v>
              </c:pt>
              <c:pt idx="7">
                <c:v>196342.79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BDE0-4BD5-96FA-B247B1FF37B8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29838.05</c:v>
              </c:pt>
              <c:pt idx="1">
                <c:v>29841.399999999998</c:v>
              </c:pt>
              <c:pt idx="2">
                <c:v>29841.399999999998</c:v>
              </c:pt>
              <c:pt idx="3">
                <c:v>29841.399999999998</c:v>
              </c:pt>
              <c:pt idx="4">
                <c:v>29841.399999999998</c:v>
              </c:pt>
              <c:pt idx="5">
                <c:v>29841.399999999998</c:v>
              </c:pt>
              <c:pt idx="6">
                <c:v>29841.399999999998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BDE0-4BD5-96FA-B247B1FF37B8}"/>
            </c:ext>
          </c:extLst>
        </c:ser>
        <c:ser>
          <c:idx val="13"/>
          <c:order val="12"/>
          <c:tx>
            <c:v>Feb-2025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BDE0-4BD5-96FA-B247B1FF37B8}"/>
            </c:ext>
          </c:extLst>
        </c:ser>
        <c:ser>
          <c:idx val="14"/>
          <c:order val="13"/>
          <c:tx>
            <c:v>Mar-2025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BDE0-4BD5-96FA-B247B1FF37B8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BDE0-4BD5-96FA-B247B1FF37B8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BDE0-4BD5-96FA-B247B1FF37B8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BDE0-4BD5-96FA-B247B1FF37B8}"/>
            </c:ext>
          </c:extLst>
        </c:ser>
        <c:ser>
          <c:idx val="0"/>
          <c:order val="17"/>
          <c:tx>
            <c:v>Jul-2025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BDE0-4BD5-96FA-B247B1FF3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75568"/>
        <c:axId val="1922848688"/>
        <c:extLst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 (MPM): NWP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1433140.5</c:v>
              </c:pt>
              <c:pt idx="1">
                <c:v>1471094.41</c:v>
              </c:pt>
              <c:pt idx="2">
                <c:v>1471251.35</c:v>
              </c:pt>
              <c:pt idx="3">
                <c:v>1471251.35</c:v>
              </c:pt>
              <c:pt idx="4">
                <c:v>1460430.97</c:v>
              </c:pt>
              <c:pt idx="5">
                <c:v>1454854.29</c:v>
              </c:pt>
              <c:pt idx="6">
                <c:v>1454854.29</c:v>
              </c:pt>
              <c:pt idx="7">
                <c:v>1372926.9300000002</c:v>
              </c:pt>
              <c:pt idx="8">
                <c:v>1372926.9300000002</c:v>
              </c:pt>
              <c:pt idx="9">
                <c:v>1372926.9300000002</c:v>
              </c:pt>
              <c:pt idx="10">
                <c:v>1455622.1600000001</c:v>
              </c:pt>
              <c:pt idx="11">
                <c:v>1455622.1600000001</c:v>
              </c:pt>
              <c:pt idx="12">
                <c:v>1290812.27</c:v>
              </c:pt>
              <c:pt idx="13">
                <c:v>1372922.1400000001</c:v>
              </c:pt>
              <c:pt idx="14">
                <c:v>1372922.1400000001</c:v>
              </c:pt>
              <c:pt idx="15">
                <c:v>1372922.1400000001</c:v>
              </c:pt>
              <c:pt idx="16">
                <c:v>1372963.1400000001</c:v>
              </c:pt>
              <c:pt idx="17">
                <c:v>1372963.1400000001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24D-46BA-A422-5A052EBFC026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1632925.9</c:v>
              </c:pt>
              <c:pt idx="1">
                <c:v>1658669.1199999999</c:v>
              </c:pt>
              <c:pt idx="2">
                <c:v>1659043.95</c:v>
              </c:pt>
              <c:pt idx="3">
                <c:v>1646790.15</c:v>
              </c:pt>
              <c:pt idx="4">
                <c:v>1640828.9</c:v>
              </c:pt>
              <c:pt idx="5">
                <c:v>1640828.9</c:v>
              </c:pt>
              <c:pt idx="6">
                <c:v>1462882.01</c:v>
              </c:pt>
              <c:pt idx="7">
                <c:v>1462882.01</c:v>
              </c:pt>
              <c:pt idx="8">
                <c:v>1462882.01</c:v>
              </c:pt>
              <c:pt idx="9">
                <c:v>1543222.63</c:v>
              </c:pt>
              <c:pt idx="10">
                <c:v>1543222.63</c:v>
              </c:pt>
              <c:pt idx="11">
                <c:v>1282957.7999999998</c:v>
              </c:pt>
              <c:pt idx="12">
                <c:v>1462010.72</c:v>
              </c:pt>
              <c:pt idx="13">
                <c:v>1462010.72</c:v>
              </c:pt>
              <c:pt idx="14">
                <c:v>1462010.72</c:v>
              </c:pt>
              <c:pt idx="15">
                <c:v>1462010.72</c:v>
              </c:pt>
              <c:pt idx="16">
                <c:v>1462010.72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24D-46BA-A422-5A052EBFC026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1420468.51</c:v>
              </c:pt>
              <c:pt idx="1">
                <c:v>1414044.55</c:v>
              </c:pt>
              <c:pt idx="2">
                <c:v>1402707.97</c:v>
              </c:pt>
              <c:pt idx="3">
                <c:v>1396938.99</c:v>
              </c:pt>
              <c:pt idx="4">
                <c:v>1396774.37</c:v>
              </c:pt>
              <c:pt idx="5">
                <c:v>1285917.45</c:v>
              </c:pt>
              <c:pt idx="6">
                <c:v>1285917.45</c:v>
              </c:pt>
              <c:pt idx="7">
                <c:v>1285917.45</c:v>
              </c:pt>
              <c:pt idx="8">
                <c:v>1368032.11</c:v>
              </c:pt>
              <c:pt idx="9">
                <c:v>1368032.11</c:v>
              </c:pt>
              <c:pt idx="10">
                <c:v>1174855.5</c:v>
              </c:pt>
              <c:pt idx="11">
                <c:v>1285905.05</c:v>
              </c:pt>
              <c:pt idx="12">
                <c:v>1285905.05</c:v>
              </c:pt>
              <c:pt idx="13">
                <c:v>1285905.05</c:v>
              </c:pt>
              <c:pt idx="14">
                <c:v>1285905.05</c:v>
              </c:pt>
              <c:pt idx="15">
                <c:v>1285905.05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24D-46BA-A422-5A052EBFC026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1455885.22</c:v>
              </c:pt>
              <c:pt idx="1">
                <c:v>1437327.33</c:v>
              </c:pt>
              <c:pt idx="2">
                <c:v>1431366.08</c:v>
              </c:pt>
              <c:pt idx="3">
                <c:v>1431324.38</c:v>
              </c:pt>
              <c:pt idx="4">
                <c:v>1296007.3799999999</c:v>
              </c:pt>
              <c:pt idx="5">
                <c:v>1296007.3799999999</c:v>
              </c:pt>
              <c:pt idx="6">
                <c:v>1296007.3799999999</c:v>
              </c:pt>
              <c:pt idx="7">
                <c:v>1475073.35</c:v>
              </c:pt>
              <c:pt idx="8">
                <c:v>1475073.35</c:v>
              </c:pt>
              <c:pt idx="9">
                <c:v>1160482.83</c:v>
              </c:pt>
              <c:pt idx="10">
                <c:v>1295994.98</c:v>
              </c:pt>
              <c:pt idx="11">
                <c:v>1295994.98</c:v>
              </c:pt>
              <c:pt idx="12">
                <c:v>1295994.98</c:v>
              </c:pt>
              <c:pt idx="13">
                <c:v>1295994.98</c:v>
              </c:pt>
              <c:pt idx="14">
                <c:v>1295994.98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24D-46BA-A422-5A052EBFC026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1221063.26</c:v>
              </c:pt>
              <c:pt idx="1">
                <c:v>1215891.7</c:v>
              </c:pt>
              <c:pt idx="2">
                <c:v>1215511.68</c:v>
              </c:pt>
              <c:pt idx="3">
                <c:v>1133024.3499999999</c:v>
              </c:pt>
              <c:pt idx="4">
                <c:v>1133123.5599999998</c:v>
              </c:pt>
              <c:pt idx="5">
                <c:v>1133123.5599999998</c:v>
              </c:pt>
              <c:pt idx="6">
                <c:v>1268648.1099999999</c:v>
              </c:pt>
              <c:pt idx="7">
                <c:v>1268648.1099999999</c:v>
              </c:pt>
              <c:pt idx="8">
                <c:v>1050428.3299999998</c:v>
              </c:pt>
              <c:pt idx="9">
                <c:v>1133104.5</c:v>
              </c:pt>
              <c:pt idx="10">
                <c:v>1133104.5</c:v>
              </c:pt>
              <c:pt idx="11">
                <c:v>1133104.5</c:v>
              </c:pt>
              <c:pt idx="12">
                <c:v>1133104.5</c:v>
              </c:pt>
              <c:pt idx="13">
                <c:v>1133104.5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24D-46BA-A422-5A052EBFC026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1152910.54</c:v>
              </c:pt>
              <c:pt idx="1">
                <c:v>1148113.0900000001</c:v>
              </c:pt>
              <c:pt idx="2">
                <c:v>1048902.3</c:v>
              </c:pt>
              <c:pt idx="3">
                <c:v>1049001.51</c:v>
              </c:pt>
              <c:pt idx="4">
                <c:v>1049001.51</c:v>
              </c:pt>
              <c:pt idx="5">
                <c:v>1148431.2300000002</c:v>
              </c:pt>
              <c:pt idx="6">
                <c:v>1148431.2300000002</c:v>
              </c:pt>
              <c:pt idx="7">
                <c:v>949797.72</c:v>
              </c:pt>
              <c:pt idx="8">
                <c:v>1049203.69</c:v>
              </c:pt>
              <c:pt idx="9">
                <c:v>1049203.69</c:v>
              </c:pt>
              <c:pt idx="10">
                <c:v>1049203.6900000002</c:v>
              </c:pt>
              <c:pt idx="11">
                <c:v>1049203.69</c:v>
              </c:pt>
              <c:pt idx="12">
                <c:v>1049203.69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24D-46BA-A422-5A052EBFC026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970479.45000000007</c:v>
              </c:pt>
              <c:pt idx="1">
                <c:v>898012.88000000094</c:v>
              </c:pt>
              <c:pt idx="2">
                <c:v>898112.09</c:v>
              </c:pt>
              <c:pt idx="3">
                <c:v>898112.09000000102</c:v>
              </c:pt>
              <c:pt idx="4">
                <c:v>940295.36000000092</c:v>
              </c:pt>
              <c:pt idx="5">
                <c:v>940295.36</c:v>
              </c:pt>
              <c:pt idx="6">
                <c:v>817410.77</c:v>
              </c:pt>
              <c:pt idx="7">
                <c:v>897208.56000000099</c:v>
              </c:pt>
              <c:pt idx="8">
                <c:v>897208.55999999994</c:v>
              </c:pt>
              <c:pt idx="9">
                <c:v>897208.55999999994</c:v>
              </c:pt>
              <c:pt idx="10">
                <c:v>897208.55999999901</c:v>
              </c:pt>
              <c:pt idx="11">
                <c:v>897208.55999999994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24D-46BA-A422-5A052EBFC026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743714.07000000007</c:v>
              </c:pt>
              <c:pt idx="1">
                <c:v>744090.63000000094</c:v>
              </c:pt>
              <c:pt idx="2">
                <c:v>744090.62999999989</c:v>
              </c:pt>
              <c:pt idx="3">
                <c:v>787003.1899999989</c:v>
              </c:pt>
              <c:pt idx="4">
                <c:v>787003.1899999989</c:v>
              </c:pt>
              <c:pt idx="5">
                <c:v>701257.0199999999</c:v>
              </c:pt>
              <c:pt idx="6">
                <c:v>714765.00999999896</c:v>
              </c:pt>
              <c:pt idx="7">
                <c:v>714765.00999999896</c:v>
              </c:pt>
              <c:pt idx="8">
                <c:v>714765.00999999989</c:v>
              </c:pt>
              <c:pt idx="9">
                <c:v>714765.00999999896</c:v>
              </c:pt>
              <c:pt idx="10">
                <c:v>714765.01000000094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B24D-46BA-A422-5A052EBFC026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613203.58000000007</c:v>
              </c:pt>
              <c:pt idx="1">
                <c:v>621247.94000000006</c:v>
              </c:pt>
              <c:pt idx="2">
                <c:v>633846.03</c:v>
              </c:pt>
              <c:pt idx="3">
                <c:v>633846.03</c:v>
              </c:pt>
              <c:pt idx="4">
                <c:v>578335.38</c:v>
              </c:pt>
              <c:pt idx="5">
                <c:v>578335.38</c:v>
              </c:pt>
              <c:pt idx="6">
                <c:v>578335.38</c:v>
              </c:pt>
              <c:pt idx="7">
                <c:v>578335.38</c:v>
              </c:pt>
              <c:pt idx="8">
                <c:v>578362.56000000099</c:v>
              </c:pt>
              <c:pt idx="9">
                <c:v>578362.56000000006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B24D-46BA-A422-5A052EBFC026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350958.31</c:v>
              </c:pt>
              <c:pt idx="1">
                <c:v>360631.95999999996</c:v>
              </c:pt>
              <c:pt idx="2">
                <c:v>360974.32999999996</c:v>
              </c:pt>
              <c:pt idx="3">
                <c:v>347890.6</c:v>
              </c:pt>
              <c:pt idx="4">
                <c:v>347890.6</c:v>
              </c:pt>
              <c:pt idx="5">
                <c:v>347890.6</c:v>
              </c:pt>
              <c:pt idx="6">
                <c:v>347890.6</c:v>
              </c:pt>
              <c:pt idx="7">
                <c:v>347890.6</c:v>
              </c:pt>
              <c:pt idx="8">
                <c:v>347890.6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B24D-46BA-A422-5A052EBFC026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194556.57</c:v>
              </c:pt>
              <c:pt idx="1">
                <c:v>196803.32</c:v>
              </c:pt>
              <c:pt idx="2">
                <c:v>196342.79</c:v>
              </c:pt>
              <c:pt idx="3">
                <c:v>196342.78999999998</c:v>
              </c:pt>
              <c:pt idx="4">
                <c:v>196342.78999999998</c:v>
              </c:pt>
              <c:pt idx="5">
                <c:v>196342.79</c:v>
              </c:pt>
              <c:pt idx="6">
                <c:v>196342.79</c:v>
              </c:pt>
              <c:pt idx="7">
                <c:v>196342.79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B24D-46BA-A422-5A052EBFC026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29838.05</c:v>
              </c:pt>
              <c:pt idx="1">
                <c:v>29841.399999999998</c:v>
              </c:pt>
              <c:pt idx="2">
                <c:v>29841.399999999998</c:v>
              </c:pt>
              <c:pt idx="3">
                <c:v>29841.399999999998</c:v>
              </c:pt>
              <c:pt idx="4">
                <c:v>29841.399999999998</c:v>
              </c:pt>
              <c:pt idx="5">
                <c:v>29841.399999999998</c:v>
              </c:pt>
              <c:pt idx="6">
                <c:v>29841.399999999998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B24D-46BA-A422-5A052EBFC026}"/>
            </c:ext>
          </c:extLst>
        </c:ser>
        <c:ser>
          <c:idx val="13"/>
          <c:order val="12"/>
          <c:tx>
            <c:v>Feb-2025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B24D-46BA-A422-5A052EBFC026}"/>
            </c:ext>
          </c:extLst>
        </c:ser>
        <c:ser>
          <c:idx val="14"/>
          <c:order val="13"/>
          <c:tx>
            <c:v>Mar-2025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B24D-46BA-A422-5A052EBFC026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B24D-46BA-A422-5A052EBFC026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B24D-46BA-A422-5A052EBFC026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B24D-46BA-A422-5A052EBFC026}"/>
            </c:ext>
          </c:extLst>
        </c:ser>
        <c:ser>
          <c:idx val="0"/>
          <c:order val="17"/>
          <c:tx>
            <c:v>Jul-2025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B24D-46BA-A422-5A052EBFC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75568"/>
        <c:axId val="1922848688"/>
        <c:extLst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Live Policies 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0.99051902557954286</c:v>
              </c:pt>
              <c:pt idx="2">
                <c:v>0.95745227139275491</c:v>
              </c:pt>
              <c:pt idx="3">
                <c:v>0.93056885846522952</c:v>
              </c:pt>
              <c:pt idx="4">
                <c:v>0.90490224314965595</c:v>
              </c:pt>
              <c:pt idx="5">
                <c:v>0.89032020754772057</c:v>
              </c:pt>
              <c:pt idx="6">
                <c:v>0.88052610309960011</c:v>
              </c:pt>
              <c:pt idx="7">
                <c:v>0.87494725349801661</c:v>
              </c:pt>
              <c:pt idx="8">
                <c:v>0.87099154493109188</c:v>
              </c:pt>
              <c:pt idx="9">
                <c:v>0.86824984315590747</c:v>
              </c:pt>
              <c:pt idx="10">
                <c:v>0.86658763063829702</c:v>
              </c:pt>
              <c:pt idx="11">
                <c:v>0.86576266418395664</c:v>
              </c:pt>
              <c:pt idx="12">
                <c:v>0.86567224160912348</c:v>
              </c:pt>
              <c:pt idx="13">
                <c:v>0.8656722416091237</c:v>
              </c:pt>
              <c:pt idx="14">
                <c:v>0.8656722416091237</c:v>
              </c:pt>
              <c:pt idx="15">
                <c:v>0.8656722416091237</c:v>
              </c:pt>
              <c:pt idx="16">
                <c:v>0.86567224160912348</c:v>
              </c:pt>
              <c:pt idx="17">
                <c:v>0.86567224160912348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D38-4B23-AEE7-F99DF0C1AF36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0.97704139746870056</c:v>
              </c:pt>
              <c:pt idx="2">
                <c:v>0.94517853462290358</c:v>
              </c:pt>
              <c:pt idx="3">
                <c:v>0.91959859348098183</c:v>
              </c:pt>
              <c:pt idx="4">
                <c:v>0.90230147796076809</c:v>
              </c:pt>
              <c:pt idx="5">
                <c:v>0.89115129687686767</c:v>
              </c:pt>
              <c:pt idx="6">
                <c:v>0.88256395275856903</c:v>
              </c:pt>
              <c:pt idx="7">
                <c:v>0.87547789257703468</c:v>
              </c:pt>
              <c:pt idx="8">
                <c:v>0.87016702800795687</c:v>
              </c:pt>
              <c:pt idx="9">
                <c:v>0.86698934262747829</c:v>
              </c:pt>
              <c:pt idx="10">
                <c:v>0.86444277764261124</c:v>
              </c:pt>
              <c:pt idx="11">
                <c:v>0.86345871023631837</c:v>
              </c:pt>
              <c:pt idx="12">
                <c:v>0.86334790579608289</c:v>
              </c:pt>
              <c:pt idx="13">
                <c:v>0.86334790579608289</c:v>
              </c:pt>
              <c:pt idx="14">
                <c:v>0.863347905796083</c:v>
              </c:pt>
              <c:pt idx="15">
                <c:v>0.86334790579608278</c:v>
              </c:pt>
              <c:pt idx="16">
                <c:v>0.86334790579608289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38-4B23-AEE7-F99DF0C1AF36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0.98125830996125918</c:v>
              </c:pt>
              <c:pt idx="2">
                <c:v>0.93849508223274192</c:v>
              </c:pt>
              <c:pt idx="3">
                <c:v>0.91270796034335133</c:v>
              </c:pt>
              <c:pt idx="4">
                <c:v>0.89384793566999177</c:v>
              </c:pt>
              <c:pt idx="5">
                <c:v>0.8803066793414458</c:v>
              </c:pt>
              <c:pt idx="6">
                <c:v>0.87023486869573397</c:v>
              </c:pt>
              <c:pt idx="7">
                <c:v>0.86196441783684508</c:v>
              </c:pt>
              <c:pt idx="8">
                <c:v>0.85764972476386114</c:v>
              </c:pt>
              <c:pt idx="9">
                <c:v>0.85300086411803155</c:v>
              </c:pt>
              <c:pt idx="10">
                <c:v>0.85098681649954366</c:v>
              </c:pt>
              <c:pt idx="11">
                <c:v>0.849967408833189</c:v>
              </c:pt>
              <c:pt idx="12">
                <c:v>0.84987738015768044</c:v>
              </c:pt>
              <c:pt idx="13">
                <c:v>0.84987738015768044</c:v>
              </c:pt>
              <c:pt idx="14">
                <c:v>0.84987738015768033</c:v>
              </c:pt>
              <c:pt idx="15">
                <c:v>0.84987738015768166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D38-4B23-AEE7-F99DF0C1AF36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0.98606099234945188</c:v>
              </c:pt>
              <c:pt idx="2">
                <c:v>0.94874379126546426</c:v>
              </c:pt>
              <c:pt idx="3">
                <c:v>0.92660460267958333</c:v>
              </c:pt>
              <c:pt idx="4">
                <c:v>0.91107235666440667</c:v>
              </c:pt>
              <c:pt idx="5">
                <c:v>0.89788934508641338</c:v>
              </c:pt>
              <c:pt idx="6">
                <c:v>0.88854927969133124</c:v>
              </c:pt>
              <c:pt idx="7">
                <c:v>0.88254152798952767</c:v>
              </c:pt>
              <c:pt idx="8">
                <c:v>0.87643384343772512</c:v>
              </c:pt>
              <c:pt idx="9">
                <c:v>0.87306984371883667</c:v>
              </c:pt>
              <c:pt idx="10">
                <c:v>0.87035500129384868</c:v>
              </c:pt>
              <c:pt idx="11">
                <c:v>0.86942107600056062</c:v>
              </c:pt>
              <c:pt idx="12">
                <c:v>0.86935404786946346</c:v>
              </c:pt>
              <c:pt idx="13">
                <c:v>0.86935404786946191</c:v>
              </c:pt>
              <c:pt idx="14">
                <c:v>0.86935404786946191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38-4B23-AEE7-F99DF0C1AF36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0.97470741060777644</c:v>
              </c:pt>
              <c:pt idx="2">
                <c:v>0.94263058988162718</c:v>
              </c:pt>
              <c:pt idx="3">
                <c:v>0.92191036689811368</c:v>
              </c:pt>
              <c:pt idx="4">
                <c:v>0.90647701725139984</c:v>
              </c:pt>
              <c:pt idx="5">
                <c:v>0.89413158015477412</c:v>
              </c:pt>
              <c:pt idx="6">
                <c:v>0.88432061144587526</c:v>
              </c:pt>
              <c:pt idx="7">
                <c:v>0.87597641314654506</c:v>
              </c:pt>
              <c:pt idx="8">
                <c:v>0.87112158948398744</c:v>
              </c:pt>
              <c:pt idx="9">
                <c:v>0.86668925687456189</c:v>
              </c:pt>
              <c:pt idx="10">
                <c:v>0.86457584574679625</c:v>
              </c:pt>
              <c:pt idx="11">
                <c:v>0.86337289327990874</c:v>
              </c:pt>
              <c:pt idx="12">
                <c:v>0.86327109396507018</c:v>
              </c:pt>
              <c:pt idx="13">
                <c:v>0.86327109396507018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38-4B23-AEE7-F99DF0C1AF36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0.97029343502064935</c:v>
              </c:pt>
              <c:pt idx="2">
                <c:v>0.94265666276132742</c:v>
              </c:pt>
              <c:pt idx="3">
                <c:v>0.91953868736051159</c:v>
              </c:pt>
              <c:pt idx="4">
                <c:v>0.90241180689507838</c:v>
              </c:pt>
              <c:pt idx="5">
                <c:v>0.89034330605535639</c:v>
              </c:pt>
              <c:pt idx="6">
                <c:v>0.87998598978078257</c:v>
              </c:pt>
              <c:pt idx="7">
                <c:v>0.87321141398527358</c:v>
              </c:pt>
              <c:pt idx="8">
                <c:v>0.86766523817372765</c:v>
              </c:pt>
              <c:pt idx="9">
                <c:v>0.86394885490402384</c:v>
              </c:pt>
              <c:pt idx="10">
                <c:v>0.86126653272689424</c:v>
              </c:pt>
              <c:pt idx="11">
                <c:v>0.86046913074274389</c:v>
              </c:pt>
              <c:pt idx="12">
                <c:v>0.86041901469625326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38-4B23-AEE7-F99DF0C1AF36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0.96784075750645593</c:v>
              </c:pt>
              <c:pt idx="2">
                <c:v>0.93776970305431018</c:v>
              </c:pt>
              <c:pt idx="3">
                <c:v>0.91613485184566934</c:v>
              </c:pt>
              <c:pt idx="4">
                <c:v>0.90181502909321076</c:v>
              </c:pt>
              <c:pt idx="5">
                <c:v>0.88522673848980382</c:v>
              </c:pt>
              <c:pt idx="6">
                <c:v>0.8757999518404469</c:v>
              </c:pt>
              <c:pt idx="7">
                <c:v>0.86810270470676831</c:v>
              </c:pt>
              <c:pt idx="8">
                <c:v>0.86224966269201708</c:v>
              </c:pt>
              <c:pt idx="9">
                <c:v>0.8577751560407747</c:v>
              </c:pt>
              <c:pt idx="10">
                <c:v>0.8555875911432288</c:v>
              </c:pt>
              <c:pt idx="11">
                <c:v>0.85475690255079917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38-4B23-AEE7-F99DF0C1AF36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0.9656454016280418</c:v>
              </c:pt>
              <c:pt idx="2">
                <c:v>0.93138973064956099</c:v>
              </c:pt>
              <c:pt idx="3">
                <c:v>0.90778180738973757</c:v>
              </c:pt>
              <c:pt idx="4">
                <c:v>0.88566741297309082</c:v>
              </c:pt>
              <c:pt idx="5">
                <c:v>0.87147407999241366</c:v>
              </c:pt>
              <c:pt idx="6">
                <c:v>0.86079404347171973</c:v>
              </c:pt>
              <c:pt idx="7">
                <c:v>0.85252398817542818</c:v>
              </c:pt>
              <c:pt idx="8">
                <c:v>0.84594119453453609</c:v>
              </c:pt>
              <c:pt idx="9">
                <c:v>0.84223553925390948</c:v>
              </c:pt>
              <c:pt idx="10">
                <c:v>0.83915367614881076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1D38-4B23-AEE7-F99DF0C1AF36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0.96186403168661294</c:v>
              </c:pt>
              <c:pt idx="2">
                <c:v>0.92974047486011813</c:v>
              </c:pt>
              <c:pt idx="3">
                <c:v>0.9006259564797704</c:v>
              </c:pt>
              <c:pt idx="4">
                <c:v>0.8880282193843253</c:v>
              </c:pt>
              <c:pt idx="5">
                <c:v>0.87278827884275534</c:v>
              </c:pt>
              <c:pt idx="6">
                <c:v>0.86188733066634426</c:v>
              </c:pt>
              <c:pt idx="7">
                <c:v>0.85251675012516936</c:v>
              </c:pt>
              <c:pt idx="8">
                <c:v>0.84702555593561046</c:v>
              </c:pt>
              <c:pt idx="9">
                <c:v>0.84193660552986105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1D38-4B23-AEE7-F99DF0C1AF36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0.9521958901673907</c:v>
              </c:pt>
              <c:pt idx="2">
                <c:v>0.90439579097098799</c:v>
              </c:pt>
              <c:pt idx="3">
                <c:v>0.88289477026407304</c:v>
              </c:pt>
              <c:pt idx="4">
                <c:v>0.86081956014015804</c:v>
              </c:pt>
              <c:pt idx="5">
                <c:v>0.84288533190019954</c:v>
              </c:pt>
              <c:pt idx="6">
                <c:v>0.83005597511266627</c:v>
              </c:pt>
              <c:pt idx="7">
                <c:v>0.82190836765769482</c:v>
              </c:pt>
              <c:pt idx="8">
                <c:v>0.81551140290717683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1D38-4B23-AEE7-F99DF0C1AF36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0.95377178714433752</c:v>
              </c:pt>
              <c:pt idx="2">
                <c:v>0.92059089485125156</c:v>
              </c:pt>
              <c:pt idx="3">
                <c:v>0.89205026587121838</c:v>
              </c:pt>
              <c:pt idx="4">
                <c:v>0.8737012529531738</c:v>
              </c:pt>
              <c:pt idx="5">
                <c:v>0.8601142555400656</c:v>
              </c:pt>
              <c:pt idx="6">
                <c:v>0.84781181215141688</c:v>
              </c:pt>
              <c:pt idx="7">
                <c:v>0.83587462533841017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1D38-4B23-AEE7-F99DF0C1AF36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0.96586479184648721</c:v>
              </c:pt>
              <c:pt idx="2">
                <c:v>0.92157599539836077</c:v>
              </c:pt>
              <c:pt idx="3">
                <c:v>0.89363398080757239</c:v>
              </c:pt>
              <c:pt idx="4">
                <c:v>0.86813477097137015</c:v>
              </c:pt>
              <c:pt idx="5">
                <c:v>0.85017992488656291</c:v>
              </c:pt>
              <c:pt idx="6">
                <c:v>0.83587244583597486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1D38-4B23-AEE7-F99DF0C1AF36}"/>
            </c:ext>
          </c:extLst>
        </c:ser>
        <c:ser>
          <c:idx val="13"/>
          <c:order val="12"/>
          <c:tx>
            <c:v>Feb-2025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0.96669970073740175</c:v>
              </c:pt>
              <c:pt idx="2">
                <c:v>0.9272299627714744</c:v>
              </c:pt>
              <c:pt idx="3">
                <c:v>0.89827516511602257</c:v>
              </c:pt>
              <c:pt idx="4">
                <c:v>0.87574571154736736</c:v>
              </c:pt>
              <c:pt idx="5">
                <c:v>0.85180877836964086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1D38-4B23-AEE7-F99DF0C1AF36}"/>
            </c:ext>
          </c:extLst>
        </c:ser>
        <c:ser>
          <c:idx val="14"/>
          <c:order val="13"/>
          <c:tx>
            <c:v>Mar-2025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0.93841866043810462</c:v>
              </c:pt>
              <c:pt idx="2">
                <c:v>0.88768133324916354</c:v>
              </c:pt>
              <c:pt idx="3">
                <c:v>0.86124487090461699</c:v>
              </c:pt>
              <c:pt idx="4">
                <c:v>0.83835363929045081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1D38-4B23-AEE7-F99DF0C1AF36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0.93118177895110843</c:v>
              </c:pt>
              <c:pt idx="2">
                <c:v>0.89024280347260976</c:v>
              </c:pt>
              <c:pt idx="3">
                <c:v>0.85819414123978277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1D38-4B23-AEE7-F99DF0C1AF36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0.93663529055397599</c:v>
              </c:pt>
              <c:pt idx="2">
                <c:v>0.88606958600932739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1D38-4B23-AEE7-F99DF0C1AF36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0.93916372237769141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1D38-4B23-AEE7-F99DF0C1AF36}"/>
            </c:ext>
          </c:extLst>
        </c:ser>
        <c:ser>
          <c:idx val="0"/>
          <c:order val="17"/>
          <c:tx>
            <c:v>Jul-2025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1D38-4B23-AEE7-F99DF0C1A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75568"/>
        <c:axId val="1922848688"/>
        <c:extLst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Live Policies 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0.9775383714772401</c:v>
              </c:pt>
              <c:pt idx="2">
                <c:v>0.93282105984185326</c:v>
              </c:pt>
              <c:pt idx="3">
                <c:v>0.89648715971858783</c:v>
              </c:pt>
              <c:pt idx="4">
                <c:v>0.86361434949162652</c:v>
              </c:pt>
              <c:pt idx="5">
                <c:v>0.84479335301759262</c:v>
              </c:pt>
              <c:pt idx="6">
                <c:v>0.83155626835969609</c:v>
              </c:pt>
              <c:pt idx="7">
                <c:v>0.82395363889697848</c:v>
              </c:pt>
              <c:pt idx="8">
                <c:v>0.81860735640022664</c:v>
              </c:pt>
              <c:pt idx="9">
                <c:v>0.81490184777541463</c:v>
              </c:pt>
              <c:pt idx="10">
                <c:v>0.81265530773374206</c:v>
              </c:pt>
              <c:pt idx="11">
                <c:v>0.8115403358796156</c:v>
              </c:pt>
              <c:pt idx="12">
                <c:v>0.81141812651536072</c:v>
              </c:pt>
              <c:pt idx="13">
                <c:v>0.81141812651536072</c:v>
              </c:pt>
              <c:pt idx="14">
                <c:v>0.81141812651536072</c:v>
              </c:pt>
              <c:pt idx="15">
                <c:v>0.81141812651536072</c:v>
              </c:pt>
              <c:pt idx="16">
                <c:v>0.81141812651536072</c:v>
              </c:pt>
              <c:pt idx="17">
                <c:v>0.81141812651536072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869-43A7-A0B4-E69C939C0E0C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0.96772745922041936</c:v>
              </c:pt>
              <c:pt idx="2">
                <c:v>0.92816983583312285</c:v>
              </c:pt>
              <c:pt idx="3">
                <c:v>0.89779432171436746</c:v>
              </c:pt>
              <c:pt idx="4">
                <c:v>0.8769260664642371</c:v>
              </c:pt>
              <c:pt idx="5">
                <c:v>0.86308315893418519</c:v>
              </c:pt>
              <c:pt idx="6">
                <c:v>0.85237871462976378</c:v>
              </c:pt>
              <c:pt idx="7">
                <c:v>0.84358139778734997</c:v>
              </c:pt>
              <c:pt idx="8">
                <c:v>0.83698797956560078</c:v>
              </c:pt>
              <c:pt idx="9">
                <c:v>0.8330428952166965</c:v>
              </c:pt>
              <c:pt idx="10">
                <c:v>0.82988134444550044</c:v>
              </c:pt>
              <c:pt idx="11">
                <c:v>0.82865962849253538</c:v>
              </c:pt>
              <c:pt idx="12">
                <c:v>0.82852206520019456</c:v>
              </c:pt>
              <c:pt idx="13">
                <c:v>0.82852206520019456</c:v>
              </c:pt>
              <c:pt idx="14">
                <c:v>0.82852206520019456</c:v>
              </c:pt>
              <c:pt idx="15">
                <c:v>0.82852206520019456</c:v>
              </c:pt>
              <c:pt idx="16">
                <c:v>0.82852206520019456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869-43A7-A0B4-E69C939C0E0C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0.97883565632534242</c:v>
              </c:pt>
              <c:pt idx="2">
                <c:v>0.92903019498878903</c:v>
              </c:pt>
              <c:pt idx="3">
                <c:v>0.89884599045921365</c:v>
              </c:pt>
              <c:pt idx="4">
                <c:v>0.87635236958313967</c:v>
              </c:pt>
              <c:pt idx="5">
                <c:v>0.86016144505326098</c:v>
              </c:pt>
              <c:pt idx="6">
                <c:v>0.84814918663239813</c:v>
              </c:pt>
              <c:pt idx="7">
                <c:v>0.83828534025276824</c:v>
              </c:pt>
              <c:pt idx="8">
                <c:v>0.83313937295626661</c:v>
              </c:pt>
              <c:pt idx="9">
                <c:v>0.82759485693976875</c:v>
              </c:pt>
              <c:pt idx="10">
                <c:v>0.82519278036027088</c:v>
              </c:pt>
              <c:pt idx="11">
                <c:v>0.8239769723238406</c:v>
              </c:pt>
              <c:pt idx="12">
                <c:v>0.82386959860986408</c:v>
              </c:pt>
              <c:pt idx="13">
                <c:v>0.82386959860986408</c:v>
              </c:pt>
              <c:pt idx="14">
                <c:v>0.82386959860986408</c:v>
              </c:pt>
              <c:pt idx="15">
                <c:v>0.82386959860986586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1869-43A7-A0B4-E69C939C0E0C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0.98581791923247319</c:v>
              </c:pt>
              <c:pt idx="2">
                <c:v>0.9421723729790904</c:v>
              </c:pt>
              <c:pt idx="3">
                <c:v>0.91592829763486006</c:v>
              </c:pt>
              <c:pt idx="4">
                <c:v>0.89746606103786675</c:v>
              </c:pt>
              <c:pt idx="5">
                <c:v>0.88183301467007313</c:v>
              </c:pt>
              <c:pt idx="6">
                <c:v>0.87075711789673738</c:v>
              </c:pt>
              <c:pt idx="7">
                <c:v>0.86363283826117454</c:v>
              </c:pt>
              <c:pt idx="8">
                <c:v>0.85639005346702524</c:v>
              </c:pt>
              <c:pt idx="9">
                <c:v>0.85240086152287053</c:v>
              </c:pt>
              <c:pt idx="10">
                <c:v>0.84918147138124778</c:v>
              </c:pt>
              <c:pt idx="11">
                <c:v>0.84807397804957219</c:v>
              </c:pt>
              <c:pt idx="12">
                <c:v>0.84799449288222728</c:v>
              </c:pt>
              <c:pt idx="13">
                <c:v>0.8479944928822255</c:v>
              </c:pt>
              <c:pt idx="14">
                <c:v>0.8479944928822255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869-43A7-A0B4-E69C939C0E0C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0.97120607955979787</c:v>
              </c:pt>
              <c:pt idx="2">
                <c:v>0.93347530066398388</c:v>
              </c:pt>
              <c:pt idx="3">
                <c:v>0.90905395901649189</c:v>
              </c:pt>
              <c:pt idx="4">
                <c:v>0.89088397712407208</c:v>
              </c:pt>
              <c:pt idx="5">
                <c:v>0.8763624956642454</c:v>
              </c:pt>
              <c:pt idx="6">
                <c:v>0.86482221571351325</c:v>
              </c:pt>
              <c:pt idx="7">
                <c:v>0.85500724359446534</c:v>
              </c:pt>
              <c:pt idx="8">
                <c:v>0.84929669391892348</c:v>
              </c:pt>
              <c:pt idx="9">
                <c:v>0.84408310485700599</c:v>
              </c:pt>
              <c:pt idx="10">
                <c:v>0.8415971774436114</c:v>
              </c:pt>
              <c:pt idx="11">
                <c:v>0.84018218890912411</c:v>
              </c:pt>
              <c:pt idx="12">
                <c:v>0.84006244613683634</c:v>
              </c:pt>
              <c:pt idx="13">
                <c:v>0.84006244613683634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869-43A7-A0B4-E69C939C0E0C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0.96558146878715423</c:v>
              </c:pt>
              <c:pt idx="2">
                <c:v>0.93231635477346819</c:v>
              </c:pt>
              <c:pt idx="3">
                <c:v>0.90452060595883332</c:v>
              </c:pt>
              <c:pt idx="4">
                <c:v>0.883943081135944</c:v>
              </c:pt>
              <c:pt idx="5">
                <c:v>0.86944307478010718</c:v>
              </c:pt>
              <c:pt idx="6">
                <c:v>0.85699901451071314</c:v>
              </c:pt>
              <c:pt idx="7">
                <c:v>0.84885952863773184</c:v>
              </c:pt>
              <c:pt idx="8">
                <c:v>0.84219593507412083</c:v>
              </c:pt>
              <c:pt idx="9">
                <c:v>0.83773079215810375</c:v>
              </c:pt>
              <c:pt idx="10">
                <c:v>0.83450804816253077</c:v>
              </c:pt>
              <c:pt idx="11">
                <c:v>0.83354998932888669</c:v>
              </c:pt>
              <c:pt idx="12">
                <c:v>0.83348977613403374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869-43A7-A0B4-E69C939C0E0C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0.96284574939400869</c:v>
              </c:pt>
              <c:pt idx="2">
                <c:v>0.92691983276404144</c:v>
              </c:pt>
              <c:pt idx="3">
                <c:v>0.90108907208685118</c:v>
              </c:pt>
              <c:pt idx="4">
                <c:v>0.88399203218158906</c:v>
              </c:pt>
              <c:pt idx="5">
                <c:v>0.8641865729025735</c:v>
              </c:pt>
              <c:pt idx="6">
                <c:v>0.85293153502197028</c:v>
              </c:pt>
              <c:pt idx="7">
                <c:v>0.84374146726204824</c:v>
              </c:pt>
              <c:pt idx="8">
                <c:v>0.83675327371920583</c:v>
              </c:pt>
              <c:pt idx="9">
                <c:v>0.83141097164640132</c:v>
              </c:pt>
              <c:pt idx="10">
                <c:v>0.82879914571843905</c:v>
              </c:pt>
              <c:pt idx="11">
                <c:v>0.82780735159786067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869-43A7-A0B4-E69C939C0E0C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0.96060421048593736</c:v>
              </c:pt>
              <c:pt idx="2">
                <c:v>0.92075690932687138</c:v>
              </c:pt>
              <c:pt idx="3">
                <c:v>0.8932954116827222</c:v>
              </c:pt>
              <c:pt idx="4">
                <c:v>0.86757123495227517</c:v>
              </c:pt>
              <c:pt idx="5">
                <c:v>0.85106109232254135</c:v>
              </c:pt>
              <c:pt idx="6">
                <c:v>0.83863772943184656</c:v>
              </c:pt>
              <c:pt idx="7">
                <c:v>0.82901773441845217</c:v>
              </c:pt>
              <c:pt idx="8">
                <c:v>0.82136041657343362</c:v>
              </c:pt>
              <c:pt idx="9">
                <c:v>0.81704987885103519</c:v>
              </c:pt>
              <c:pt idx="10">
                <c:v>0.81346495630326121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1869-43A7-A0B4-E69C939C0E0C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0.95555653831000265</c:v>
              </c:pt>
              <c:pt idx="2">
                <c:v>0.91905891434222997</c:v>
              </c:pt>
              <c:pt idx="3">
                <c:v>0.88600191369092951</c:v>
              </c:pt>
              <c:pt idx="4">
                <c:v>0.87169828009037709</c:v>
              </c:pt>
              <c:pt idx="5">
                <c:v>0.85439465453054264</c:v>
              </c:pt>
              <c:pt idx="6">
                <c:v>0.8420175770099797</c:v>
              </c:pt>
              <c:pt idx="7">
                <c:v>0.83137809869177492</c:v>
              </c:pt>
              <c:pt idx="8">
                <c:v>0.82514332580186212</c:v>
              </c:pt>
              <c:pt idx="9">
                <c:v>0.81936526570553392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1869-43A7-A0B4-E69C939C0E0C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0.94729217987006387</c:v>
              </c:pt>
              <c:pt idx="2">
                <c:v>0.89618801985851471</c:v>
              </c:pt>
              <c:pt idx="3">
                <c:v>0.87320079554119567</c:v>
              </c:pt>
              <c:pt idx="4">
                <c:v>0.84959969241741751</c:v>
              </c:pt>
              <c:pt idx="5">
                <c:v>0.8304258060643227</c:v>
              </c:pt>
              <c:pt idx="6">
                <c:v>0.81670965247599092</c:v>
              </c:pt>
              <c:pt idx="7">
                <c:v>0.8079988622874742</c:v>
              </c:pt>
              <c:pt idx="8">
                <c:v>0.80115972354729126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1869-43A7-A0B4-E69C939C0E0C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0.95183441065571606</c:v>
              </c:pt>
              <c:pt idx="2">
                <c:v>0.9173212250403342</c:v>
              </c:pt>
              <c:pt idx="3">
                <c:v>0.88765296828327767</c:v>
              </c:pt>
              <c:pt idx="4">
                <c:v>0.86857899388446747</c:v>
              </c:pt>
              <c:pt idx="5">
                <c:v>0.85445518014190536</c:v>
              </c:pt>
              <c:pt idx="6">
                <c:v>0.84166667259188144</c:v>
              </c:pt>
              <c:pt idx="7">
                <c:v>0.82925785274516406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1869-43A7-A0B4-E69C939C0E0C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0.96562962076882974</c:v>
              </c:pt>
              <c:pt idx="2">
                <c:v>0.92106156816225904</c:v>
              </c:pt>
              <c:pt idx="3">
                <c:v>0.89294336951862652</c:v>
              </c:pt>
              <c:pt idx="4">
                <c:v>0.86728337835727443</c:v>
              </c:pt>
              <c:pt idx="5">
                <c:v>0.84921532076650585</c:v>
              </c:pt>
              <c:pt idx="6">
                <c:v>0.83481762811886595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1869-43A7-A0B4-E69C939C0E0C}"/>
            </c:ext>
          </c:extLst>
        </c:ser>
        <c:ser>
          <c:idx val="13"/>
          <c:order val="12"/>
          <c:tx>
            <c:v>Feb-2025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0.96669970073740175</c:v>
              </c:pt>
              <c:pt idx="2">
                <c:v>0.9272299627714744</c:v>
              </c:pt>
              <c:pt idx="3">
                <c:v>0.89827516511602257</c:v>
              </c:pt>
              <c:pt idx="4">
                <c:v>0.87574571154736736</c:v>
              </c:pt>
              <c:pt idx="5">
                <c:v>0.85180877836964086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1869-43A7-A0B4-E69C939C0E0C}"/>
            </c:ext>
          </c:extLst>
        </c:ser>
        <c:ser>
          <c:idx val="14"/>
          <c:order val="13"/>
          <c:tx>
            <c:v>Mar-2025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0.93841866043810462</c:v>
              </c:pt>
              <c:pt idx="2">
                <c:v>0.88768133324916354</c:v>
              </c:pt>
              <c:pt idx="3">
                <c:v>0.86124487090461699</c:v>
              </c:pt>
              <c:pt idx="4">
                <c:v>0.83835363929045081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1869-43A7-A0B4-E69C939C0E0C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0.93118177895110843</c:v>
              </c:pt>
              <c:pt idx="2">
                <c:v>0.89024280347260976</c:v>
              </c:pt>
              <c:pt idx="3">
                <c:v>0.85819414123978277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1869-43A7-A0B4-E69C939C0E0C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0.93663529055397599</c:v>
              </c:pt>
              <c:pt idx="2">
                <c:v>0.88606958600932739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1869-43A7-A0B4-E69C939C0E0C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0.93916372237769141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1869-43A7-A0B4-E69C939C0E0C}"/>
            </c:ext>
          </c:extLst>
        </c:ser>
        <c:ser>
          <c:idx val="0"/>
          <c:order val="17"/>
          <c:tx>
            <c:v>Jul-2025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1869-43A7-A0B4-E69C939C0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75568"/>
        <c:axId val="1922848688"/>
        <c:extLst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(MPM): Live Policies 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0.9775383714772401</c:v>
              </c:pt>
              <c:pt idx="2">
                <c:v>0.93282105984185326</c:v>
              </c:pt>
              <c:pt idx="3">
                <c:v>0.89648715971858783</c:v>
              </c:pt>
              <c:pt idx="4">
                <c:v>0.86361434949162652</c:v>
              </c:pt>
              <c:pt idx="5">
                <c:v>0.84479335301759262</c:v>
              </c:pt>
              <c:pt idx="6">
                <c:v>0.83155626835969609</c:v>
              </c:pt>
              <c:pt idx="7">
                <c:v>0.82395363889697848</c:v>
              </c:pt>
              <c:pt idx="8">
                <c:v>0.81860735640022664</c:v>
              </c:pt>
              <c:pt idx="9">
                <c:v>0.81490184777541463</c:v>
              </c:pt>
              <c:pt idx="10">
                <c:v>0.81265530773374206</c:v>
              </c:pt>
              <c:pt idx="11">
                <c:v>0.8115403358796156</c:v>
              </c:pt>
              <c:pt idx="12">
                <c:v>0.81141812651536072</c:v>
              </c:pt>
              <c:pt idx="13">
                <c:v>0.81141812651536072</c:v>
              </c:pt>
              <c:pt idx="14">
                <c:v>0.81141812651536072</c:v>
              </c:pt>
              <c:pt idx="15">
                <c:v>0.81141812651536072</c:v>
              </c:pt>
              <c:pt idx="16">
                <c:v>0.81141812651536072</c:v>
              </c:pt>
              <c:pt idx="17">
                <c:v>0.81141812651536072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9A9-4B23-9519-4603EB95CE73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0.96772745922041936</c:v>
              </c:pt>
              <c:pt idx="2">
                <c:v>0.92816983583312285</c:v>
              </c:pt>
              <c:pt idx="3">
                <c:v>0.89779432171436746</c:v>
              </c:pt>
              <c:pt idx="4">
                <c:v>0.8769260664642371</c:v>
              </c:pt>
              <c:pt idx="5">
                <c:v>0.86308315893418519</c:v>
              </c:pt>
              <c:pt idx="6">
                <c:v>0.85237871462976378</c:v>
              </c:pt>
              <c:pt idx="7">
                <c:v>0.84358139778734997</c:v>
              </c:pt>
              <c:pt idx="8">
                <c:v>0.83698797956560078</c:v>
              </c:pt>
              <c:pt idx="9">
                <c:v>0.8330428952166965</c:v>
              </c:pt>
              <c:pt idx="10">
                <c:v>0.82988134444550044</c:v>
              </c:pt>
              <c:pt idx="11">
                <c:v>0.82865962849253538</c:v>
              </c:pt>
              <c:pt idx="12">
                <c:v>0.82852206520019456</c:v>
              </c:pt>
              <c:pt idx="13">
                <c:v>0.82852206520019456</c:v>
              </c:pt>
              <c:pt idx="14">
                <c:v>0.82852206520019456</c:v>
              </c:pt>
              <c:pt idx="15">
                <c:v>0.82852206520019456</c:v>
              </c:pt>
              <c:pt idx="16">
                <c:v>0.82852206520019456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A9-4B23-9519-4603EB95CE73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0.97883565632534242</c:v>
              </c:pt>
              <c:pt idx="2">
                <c:v>0.92903019498878903</c:v>
              </c:pt>
              <c:pt idx="3">
                <c:v>0.89884599045921365</c:v>
              </c:pt>
              <c:pt idx="4">
                <c:v>0.87635236958313967</c:v>
              </c:pt>
              <c:pt idx="5">
                <c:v>0.86016144505326098</c:v>
              </c:pt>
              <c:pt idx="6">
                <c:v>0.84814918663239813</c:v>
              </c:pt>
              <c:pt idx="7">
                <c:v>0.83828534025276824</c:v>
              </c:pt>
              <c:pt idx="8">
                <c:v>0.83313937295626661</c:v>
              </c:pt>
              <c:pt idx="9">
                <c:v>0.82759485693976875</c:v>
              </c:pt>
              <c:pt idx="10">
                <c:v>0.82519278036027088</c:v>
              </c:pt>
              <c:pt idx="11">
                <c:v>0.8239769723238406</c:v>
              </c:pt>
              <c:pt idx="12">
                <c:v>0.82386959860986408</c:v>
              </c:pt>
              <c:pt idx="13">
                <c:v>0.82386959860986408</c:v>
              </c:pt>
              <c:pt idx="14">
                <c:v>0.82386959860986408</c:v>
              </c:pt>
              <c:pt idx="15">
                <c:v>0.82386959860986586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9A9-4B23-9519-4603EB95CE73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0.98581791923247319</c:v>
              </c:pt>
              <c:pt idx="2">
                <c:v>0.9421723729790904</c:v>
              </c:pt>
              <c:pt idx="3">
                <c:v>0.91592829763486006</c:v>
              </c:pt>
              <c:pt idx="4">
                <c:v>0.89746606103786675</c:v>
              </c:pt>
              <c:pt idx="5">
                <c:v>0.88183301467007313</c:v>
              </c:pt>
              <c:pt idx="6">
                <c:v>0.87075711789673738</c:v>
              </c:pt>
              <c:pt idx="7">
                <c:v>0.86363283826117454</c:v>
              </c:pt>
              <c:pt idx="8">
                <c:v>0.85639005346702524</c:v>
              </c:pt>
              <c:pt idx="9">
                <c:v>0.85240086152287053</c:v>
              </c:pt>
              <c:pt idx="10">
                <c:v>0.84918147138124778</c:v>
              </c:pt>
              <c:pt idx="11">
                <c:v>0.84807397804957219</c:v>
              </c:pt>
              <c:pt idx="12">
                <c:v>0.84799449288222728</c:v>
              </c:pt>
              <c:pt idx="13">
                <c:v>0.8479944928822255</c:v>
              </c:pt>
              <c:pt idx="14">
                <c:v>0.8479944928822255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A9-4B23-9519-4603EB95CE73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0.97120607955979787</c:v>
              </c:pt>
              <c:pt idx="2">
                <c:v>0.93347530066398388</c:v>
              </c:pt>
              <c:pt idx="3">
                <c:v>0.90905395901649189</c:v>
              </c:pt>
              <c:pt idx="4">
                <c:v>0.89088397712407208</c:v>
              </c:pt>
              <c:pt idx="5">
                <c:v>0.8763624956642454</c:v>
              </c:pt>
              <c:pt idx="6">
                <c:v>0.86482221571351325</c:v>
              </c:pt>
              <c:pt idx="7">
                <c:v>0.85500724359446534</c:v>
              </c:pt>
              <c:pt idx="8">
                <c:v>0.84929669391892348</c:v>
              </c:pt>
              <c:pt idx="9">
                <c:v>0.84408310485700599</c:v>
              </c:pt>
              <c:pt idx="10">
                <c:v>0.8415971774436114</c:v>
              </c:pt>
              <c:pt idx="11">
                <c:v>0.84018218890912411</c:v>
              </c:pt>
              <c:pt idx="12">
                <c:v>0.84006244613683634</c:v>
              </c:pt>
              <c:pt idx="13">
                <c:v>0.84006244613683634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A9-4B23-9519-4603EB95CE73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0.96558146878715423</c:v>
              </c:pt>
              <c:pt idx="2">
                <c:v>0.93231635477346819</c:v>
              </c:pt>
              <c:pt idx="3">
                <c:v>0.90452060595883332</c:v>
              </c:pt>
              <c:pt idx="4">
                <c:v>0.883943081135944</c:v>
              </c:pt>
              <c:pt idx="5">
                <c:v>0.86944307478010718</c:v>
              </c:pt>
              <c:pt idx="6">
                <c:v>0.85699901451071314</c:v>
              </c:pt>
              <c:pt idx="7">
                <c:v>0.84885952863773184</c:v>
              </c:pt>
              <c:pt idx="8">
                <c:v>0.84219593507412083</c:v>
              </c:pt>
              <c:pt idx="9">
                <c:v>0.83773079215810375</c:v>
              </c:pt>
              <c:pt idx="10">
                <c:v>0.83450804816253077</c:v>
              </c:pt>
              <c:pt idx="11">
                <c:v>0.83354998932888669</c:v>
              </c:pt>
              <c:pt idx="12">
                <c:v>0.83348977613403374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A9-4B23-9519-4603EB95CE73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0.96284574939400869</c:v>
              </c:pt>
              <c:pt idx="2">
                <c:v>0.92691983276404144</c:v>
              </c:pt>
              <c:pt idx="3">
                <c:v>0.90108907208685118</c:v>
              </c:pt>
              <c:pt idx="4">
                <c:v>0.88399203218158906</c:v>
              </c:pt>
              <c:pt idx="5">
                <c:v>0.8641865729025735</c:v>
              </c:pt>
              <c:pt idx="6">
                <c:v>0.85293153502197028</c:v>
              </c:pt>
              <c:pt idx="7">
                <c:v>0.84374146726204824</c:v>
              </c:pt>
              <c:pt idx="8">
                <c:v>0.83675327371920583</c:v>
              </c:pt>
              <c:pt idx="9">
                <c:v>0.83141097164640132</c:v>
              </c:pt>
              <c:pt idx="10">
                <c:v>0.82879914571843905</c:v>
              </c:pt>
              <c:pt idx="11">
                <c:v>0.82780735159786067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A9-4B23-9519-4603EB95CE73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0.96060421048593736</c:v>
              </c:pt>
              <c:pt idx="2">
                <c:v>0.92075690932687138</c:v>
              </c:pt>
              <c:pt idx="3">
                <c:v>0.8932954116827222</c:v>
              </c:pt>
              <c:pt idx="4">
                <c:v>0.86757123495227517</c:v>
              </c:pt>
              <c:pt idx="5">
                <c:v>0.85106109232254135</c:v>
              </c:pt>
              <c:pt idx="6">
                <c:v>0.83863772943184656</c:v>
              </c:pt>
              <c:pt idx="7">
                <c:v>0.82901773441845217</c:v>
              </c:pt>
              <c:pt idx="8">
                <c:v>0.82136041657343362</c:v>
              </c:pt>
              <c:pt idx="9">
                <c:v>0.81704987885103519</c:v>
              </c:pt>
              <c:pt idx="10">
                <c:v>0.81346495630326121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B9A9-4B23-9519-4603EB95CE73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0.95555653831000265</c:v>
              </c:pt>
              <c:pt idx="2">
                <c:v>0.91905891434222997</c:v>
              </c:pt>
              <c:pt idx="3">
                <c:v>0.88600191369092951</c:v>
              </c:pt>
              <c:pt idx="4">
                <c:v>0.87169828009037709</c:v>
              </c:pt>
              <c:pt idx="5">
                <c:v>0.85439465453054264</c:v>
              </c:pt>
              <c:pt idx="6">
                <c:v>0.8420175770099797</c:v>
              </c:pt>
              <c:pt idx="7">
                <c:v>0.83137809869177492</c:v>
              </c:pt>
              <c:pt idx="8">
                <c:v>0.82514332580186212</c:v>
              </c:pt>
              <c:pt idx="9">
                <c:v>0.81936526570553392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B9A9-4B23-9519-4603EB95CE73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0.94729217987006387</c:v>
              </c:pt>
              <c:pt idx="2">
                <c:v>0.89618801985851471</c:v>
              </c:pt>
              <c:pt idx="3">
                <c:v>0.87320079554119567</c:v>
              </c:pt>
              <c:pt idx="4">
                <c:v>0.84959969241741751</c:v>
              </c:pt>
              <c:pt idx="5">
                <c:v>0.8304258060643227</c:v>
              </c:pt>
              <c:pt idx="6">
                <c:v>0.81670965247599092</c:v>
              </c:pt>
              <c:pt idx="7">
                <c:v>0.8079988622874742</c:v>
              </c:pt>
              <c:pt idx="8">
                <c:v>0.80115972354729126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B9A9-4B23-9519-4603EB95CE73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0.95183441065571606</c:v>
              </c:pt>
              <c:pt idx="2">
                <c:v>0.9173212250403342</c:v>
              </c:pt>
              <c:pt idx="3">
                <c:v>0.88765296828327767</c:v>
              </c:pt>
              <c:pt idx="4">
                <c:v>0.86857899388446747</c:v>
              </c:pt>
              <c:pt idx="5">
                <c:v>0.85445518014190536</c:v>
              </c:pt>
              <c:pt idx="6">
                <c:v>0.84166667259188144</c:v>
              </c:pt>
              <c:pt idx="7">
                <c:v>0.82925785274516406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B9A9-4B23-9519-4603EB95CE73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0.96562962076882974</c:v>
              </c:pt>
              <c:pt idx="2">
                <c:v>0.92106156816225904</c:v>
              </c:pt>
              <c:pt idx="3">
                <c:v>0.89294336951862652</c:v>
              </c:pt>
              <c:pt idx="4">
                <c:v>0.86728337835727443</c:v>
              </c:pt>
              <c:pt idx="5">
                <c:v>0.84921532076650585</c:v>
              </c:pt>
              <c:pt idx="6">
                <c:v>0.83481762811886595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B9A9-4B23-9519-4603EB95CE73}"/>
            </c:ext>
          </c:extLst>
        </c:ser>
        <c:ser>
          <c:idx val="13"/>
          <c:order val="12"/>
          <c:tx>
            <c:v>Feb-2025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0.96669970073740175</c:v>
              </c:pt>
              <c:pt idx="2">
                <c:v>0.9272299627714744</c:v>
              </c:pt>
              <c:pt idx="3">
                <c:v>0.89827516511602257</c:v>
              </c:pt>
              <c:pt idx="4">
                <c:v>0.87574571154736736</c:v>
              </c:pt>
              <c:pt idx="5">
                <c:v>0.85180877836964086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B9A9-4B23-9519-4603EB95CE73}"/>
            </c:ext>
          </c:extLst>
        </c:ser>
        <c:ser>
          <c:idx val="14"/>
          <c:order val="13"/>
          <c:tx>
            <c:v>Mar-2025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0.93841866043810462</c:v>
              </c:pt>
              <c:pt idx="2">
                <c:v>0.88768133324916354</c:v>
              </c:pt>
              <c:pt idx="3">
                <c:v>0.86124487090461699</c:v>
              </c:pt>
              <c:pt idx="4">
                <c:v>0.83835363929045081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B9A9-4B23-9519-4603EB95CE73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0.93118177895110843</c:v>
              </c:pt>
              <c:pt idx="2">
                <c:v>0.89024280347260976</c:v>
              </c:pt>
              <c:pt idx="3">
                <c:v>0.85819414123978277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B9A9-4B23-9519-4603EB95CE73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0.93663529055397599</c:v>
              </c:pt>
              <c:pt idx="2">
                <c:v>0.88606958600932739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B9A9-4B23-9519-4603EB95CE73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0.93916372237769141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B9A9-4B23-9519-4603EB95CE73}"/>
            </c:ext>
          </c:extLst>
        </c:ser>
        <c:ser>
          <c:idx val="0"/>
          <c:order val="17"/>
          <c:tx>
            <c:v>Jul-2025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B9A9-4B23-9519-4603EB95C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75568"/>
        <c:axId val="1922848688"/>
        <c:extLst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Live Policies 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1.0274445593720098</c:v>
              </c:pt>
              <c:pt idx="2">
                <c:v>1.0275196676352061</c:v>
              </c:pt>
              <c:pt idx="3">
                <c:v>1.0275196676352061</c:v>
              </c:pt>
              <c:pt idx="4">
                <c:v>1.0223522191272865</c:v>
              </c:pt>
              <c:pt idx="5">
                <c:v>1.0198285814838832</c:v>
              </c:pt>
              <c:pt idx="6">
                <c:v>1.019828581483883</c:v>
              </c:pt>
              <c:pt idx="7">
                <c:v>1.0200066953651779</c:v>
              </c:pt>
              <c:pt idx="8">
                <c:v>1.0200066953651774</c:v>
              </c:pt>
              <c:pt idx="9">
                <c:v>1.0200066953651776</c:v>
              </c:pt>
              <c:pt idx="10">
                <c:v>1.0200066953651776</c:v>
              </c:pt>
              <c:pt idx="11">
                <c:v>1.0200066953651776</c:v>
              </c:pt>
              <c:pt idx="12">
                <c:v>1.0200066953651776</c:v>
              </c:pt>
              <c:pt idx="13">
                <c:v>1.0200066953651774</c:v>
              </c:pt>
              <c:pt idx="14">
                <c:v>1.0200066953651776</c:v>
              </c:pt>
              <c:pt idx="15">
                <c:v>1.0200066953651776</c:v>
              </c:pt>
              <c:pt idx="16">
                <c:v>1.0200066953651776</c:v>
              </c:pt>
              <c:pt idx="17">
                <c:v>1.0200066953651774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CAE-46F5-9855-F497B690E98A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1.015609035195524</c:v>
              </c:pt>
              <c:pt idx="2">
                <c:v>1.0156090351955249</c:v>
              </c:pt>
              <c:pt idx="3">
                <c:v>1.00988685092645</c:v>
              </c:pt>
              <c:pt idx="4">
                <c:v>1.0073772956953242</c:v>
              </c:pt>
              <c:pt idx="5">
                <c:v>1.0073772956953242</c:v>
              </c:pt>
              <c:pt idx="6">
                <c:v>1.0075565496404006</c:v>
              </c:pt>
              <c:pt idx="7">
                <c:v>1.0075565496404006</c:v>
              </c:pt>
              <c:pt idx="8">
                <c:v>1.007556549640408</c:v>
              </c:pt>
              <c:pt idx="9">
                <c:v>1.0075565496404015</c:v>
              </c:pt>
              <c:pt idx="10">
                <c:v>1.0075565496404015</c:v>
              </c:pt>
              <c:pt idx="11">
                <c:v>1.0075565496404015</c:v>
              </c:pt>
              <c:pt idx="12">
                <c:v>1.0075565496404006</c:v>
              </c:pt>
              <c:pt idx="13">
                <c:v>1.0075565496404006</c:v>
              </c:pt>
              <c:pt idx="14">
                <c:v>1.0075565496404013</c:v>
              </c:pt>
              <c:pt idx="15">
                <c:v>1.0075565496404006</c:v>
              </c:pt>
              <c:pt idx="16">
                <c:v>1.0075565496404006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CAE-46F5-9855-F497B690E98A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0.99383298936957232</c:v>
              </c:pt>
              <c:pt idx="2">
                <c:v>0.98762217203379821</c:v>
              </c:pt>
              <c:pt idx="3">
                <c:v>0.98465791830536042</c:v>
              </c:pt>
              <c:pt idx="4">
                <c:v>0.98465791830536042</c:v>
              </c:pt>
              <c:pt idx="5">
                <c:v>0.98486965071453492</c:v>
              </c:pt>
              <c:pt idx="6">
                <c:v>0.98486965071453492</c:v>
              </c:pt>
              <c:pt idx="7">
                <c:v>0.98486965071453569</c:v>
              </c:pt>
              <c:pt idx="8">
                <c:v>0.98486965071453569</c:v>
              </c:pt>
              <c:pt idx="9">
                <c:v>0.98486965071453492</c:v>
              </c:pt>
              <c:pt idx="10">
                <c:v>0.98486965071453492</c:v>
              </c:pt>
              <c:pt idx="11">
                <c:v>0.98486965071453569</c:v>
              </c:pt>
              <c:pt idx="12">
                <c:v>0.98486965071453569</c:v>
              </c:pt>
              <c:pt idx="13">
                <c:v>0.98486965071453569</c:v>
              </c:pt>
              <c:pt idx="14">
                <c:v>0.98486965071453514</c:v>
              </c:pt>
              <c:pt idx="15">
                <c:v>0.98486965071453492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CAE-46F5-9855-F497B690E98A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0.9873689067222472</c:v>
              </c:pt>
              <c:pt idx="2">
                <c:v>0.98410291502719738</c:v>
              </c:pt>
              <c:pt idx="3">
                <c:v>0.98405107388918089</c:v>
              </c:pt>
              <c:pt idx="4">
                <c:v>0.98428435901025613</c:v>
              </c:pt>
              <c:pt idx="5">
                <c:v>0.98428435901025613</c:v>
              </c:pt>
              <c:pt idx="6">
                <c:v>0.9842843590102559</c:v>
              </c:pt>
              <c:pt idx="7">
                <c:v>0.9842843590102559</c:v>
              </c:pt>
              <c:pt idx="8">
                <c:v>0.98428435901025613</c:v>
              </c:pt>
              <c:pt idx="9">
                <c:v>0.9842843590102559</c:v>
              </c:pt>
              <c:pt idx="10">
                <c:v>0.98428435901025613</c:v>
              </c:pt>
              <c:pt idx="11">
                <c:v>0.9842843590102569</c:v>
              </c:pt>
              <c:pt idx="12">
                <c:v>0.98428435901025613</c:v>
              </c:pt>
              <c:pt idx="13">
                <c:v>0.98428435901025613</c:v>
              </c:pt>
              <c:pt idx="14">
                <c:v>0.9842843590102559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CAE-46F5-9855-F497B690E98A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0.99457164818411714</c:v>
              </c:pt>
              <c:pt idx="2">
                <c:v>0.99457164818411714</c:v>
              </c:pt>
              <c:pt idx="3">
                <c:v>0.99484912562711514</c:v>
              </c:pt>
              <c:pt idx="4">
                <c:v>0.99494161810811499</c:v>
              </c:pt>
              <c:pt idx="5">
                <c:v>0.99494161810811377</c:v>
              </c:pt>
              <c:pt idx="6">
                <c:v>0.99494161810811499</c:v>
              </c:pt>
              <c:pt idx="7">
                <c:v>0.99494161810811377</c:v>
              </c:pt>
              <c:pt idx="8">
                <c:v>0.99494161810811377</c:v>
              </c:pt>
              <c:pt idx="9">
                <c:v>0.99494161810811377</c:v>
              </c:pt>
              <c:pt idx="10">
                <c:v>0.99494161810811377</c:v>
              </c:pt>
              <c:pt idx="11">
                <c:v>0.99494161810811377</c:v>
              </c:pt>
              <c:pt idx="12">
                <c:v>0.99494161810811377</c:v>
              </c:pt>
              <c:pt idx="13">
                <c:v>0.99494161810811377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CAE-46F5-9855-F497B690E98A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0.99368074303570053</c:v>
              </c:pt>
              <c:pt idx="2">
                <c:v>0.99397960437400201</c:v>
              </c:pt>
              <c:pt idx="3">
                <c:v>0.99407922482010236</c:v>
              </c:pt>
              <c:pt idx="4">
                <c:v>0.99407922482010236</c:v>
              </c:pt>
              <c:pt idx="5">
                <c:v>0.99407922482010236</c:v>
              </c:pt>
              <c:pt idx="6">
                <c:v>0.99407922482010236</c:v>
              </c:pt>
              <c:pt idx="7">
                <c:v>0.99407922482010236</c:v>
              </c:pt>
              <c:pt idx="8">
                <c:v>0.99407922482010236</c:v>
              </c:pt>
              <c:pt idx="9">
                <c:v>0.99407922482010236</c:v>
              </c:pt>
              <c:pt idx="10">
                <c:v>0.99407922482010236</c:v>
              </c:pt>
              <c:pt idx="11">
                <c:v>0.99407922482010236</c:v>
              </c:pt>
              <c:pt idx="12">
                <c:v>0.99407922482010236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CAE-46F5-9855-F497B690E98A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0.99359590263262176</c:v>
              </c:pt>
              <c:pt idx="2">
                <c:v>0.99371355292106112</c:v>
              </c:pt>
              <c:pt idx="3">
                <c:v>0.99371355292105967</c:v>
              </c:pt>
              <c:pt idx="4">
                <c:v>0.99371355292105967</c:v>
              </c:pt>
              <c:pt idx="5">
                <c:v>0.99371355292106112</c:v>
              </c:pt>
              <c:pt idx="6">
                <c:v>0.99371355292105967</c:v>
              </c:pt>
              <c:pt idx="7">
                <c:v>0.99371355292105967</c:v>
              </c:pt>
              <c:pt idx="8">
                <c:v>0.99371355292105967</c:v>
              </c:pt>
              <c:pt idx="9">
                <c:v>0.99371355292105967</c:v>
              </c:pt>
              <c:pt idx="10">
                <c:v>0.99371355292105967</c:v>
              </c:pt>
              <c:pt idx="11">
                <c:v>0.99371355292105967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CAE-46F5-9855-F497B690E98A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0.99652895070522574</c:v>
              </c:pt>
              <c:pt idx="2">
                <c:v>0.99652895070522574</c:v>
              </c:pt>
              <c:pt idx="3">
                <c:v>0.99652895070522596</c:v>
              </c:pt>
              <c:pt idx="4">
                <c:v>0.99652895070522596</c:v>
              </c:pt>
              <c:pt idx="5">
                <c:v>0.99652895070522574</c:v>
              </c:pt>
              <c:pt idx="6">
                <c:v>0.99652895070522574</c:v>
              </c:pt>
              <c:pt idx="7">
                <c:v>0.99652895070522596</c:v>
              </c:pt>
              <c:pt idx="8">
                <c:v>0.99652895070522596</c:v>
              </c:pt>
              <c:pt idx="9">
                <c:v>0.99652895070522596</c:v>
              </c:pt>
              <c:pt idx="10">
                <c:v>0.99652895070522574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BCAE-46F5-9855-F497B690E98A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1.0084437292543729</c:v>
              </c:pt>
              <c:pt idx="2">
                <c:v>1.0086218670023557</c:v>
              </c:pt>
              <c:pt idx="3">
                <c:v>1.0086218670023557</c:v>
              </c:pt>
              <c:pt idx="4">
                <c:v>1.0086218670023557</c:v>
              </c:pt>
              <c:pt idx="5">
                <c:v>1.0086218670023557</c:v>
              </c:pt>
              <c:pt idx="6">
                <c:v>1.0086218670023557</c:v>
              </c:pt>
              <c:pt idx="7">
                <c:v>1.0086218670023557</c:v>
              </c:pt>
              <c:pt idx="8">
                <c:v>1.0086218670023557</c:v>
              </c:pt>
              <c:pt idx="9">
                <c:v>1.0086218670023557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BCAE-46F5-9855-F497B690E98A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1.0231382401290281</c:v>
              </c:pt>
              <c:pt idx="2">
                <c:v>1.0231382401290281</c:v>
              </c:pt>
              <c:pt idx="3">
                <c:v>1.0231382401290281</c:v>
              </c:pt>
              <c:pt idx="4">
                <c:v>1.0231382401290281</c:v>
              </c:pt>
              <c:pt idx="5">
                <c:v>1.0231382401290281</c:v>
              </c:pt>
              <c:pt idx="6">
                <c:v>1.0231382401290281</c:v>
              </c:pt>
              <c:pt idx="7">
                <c:v>1.0231382401290281</c:v>
              </c:pt>
              <c:pt idx="8">
                <c:v>1.0231382401290281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BCAE-46F5-9855-F497B690E98A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1.002807421671136</c:v>
              </c:pt>
              <c:pt idx="2">
                <c:v>1.0033473104540471</c:v>
              </c:pt>
              <c:pt idx="3">
                <c:v>1.0033473104540471</c:v>
              </c:pt>
              <c:pt idx="4">
                <c:v>1.0033473104540471</c:v>
              </c:pt>
              <c:pt idx="5">
                <c:v>1.0033473104540471</c:v>
              </c:pt>
              <c:pt idx="6">
                <c:v>1.0033473104540471</c:v>
              </c:pt>
              <c:pt idx="7">
                <c:v>1.0033473104540471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BCAE-46F5-9855-F497B690E98A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1.003161888701517</c:v>
              </c:pt>
              <c:pt idx="2">
                <c:v>1.003161888701517</c:v>
              </c:pt>
              <c:pt idx="3">
                <c:v>1.003161888701517</c:v>
              </c:pt>
              <c:pt idx="4">
                <c:v>1.003161888701517</c:v>
              </c:pt>
              <c:pt idx="5">
                <c:v>1.003161888701517</c:v>
              </c:pt>
              <c:pt idx="6">
                <c:v>1.003161888701517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BCAE-46F5-9855-F497B690E98A}"/>
            </c:ext>
          </c:extLst>
        </c:ser>
        <c:ser>
          <c:idx val="13"/>
          <c:order val="12"/>
          <c:tx>
            <c:v>Feb-2025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BCAE-46F5-9855-F497B690E98A}"/>
            </c:ext>
          </c:extLst>
        </c:ser>
        <c:ser>
          <c:idx val="14"/>
          <c:order val="13"/>
          <c:tx>
            <c:v>Mar-2025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BCAE-46F5-9855-F497B690E98A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BCAE-46F5-9855-F497B690E98A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BCAE-46F5-9855-F497B690E98A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BCAE-46F5-9855-F497B690E98A}"/>
            </c:ext>
          </c:extLst>
        </c:ser>
        <c:ser>
          <c:idx val="0"/>
          <c:order val="17"/>
          <c:tx>
            <c:v>Jul-2025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BCAE-46F5-9855-F497B690E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75568"/>
        <c:axId val="1922848688"/>
        <c:extLst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  <c:max val="1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 (MPM): Live Policies 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Feb-2024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1.0254619529723688</c:v>
              </c:pt>
              <c:pt idx="2">
                <c:v>1.0255592208564581</c:v>
              </c:pt>
              <c:pt idx="3">
                <c:v>1.0255592208564581</c:v>
              </c:pt>
              <c:pt idx="4">
                <c:v>1.0189450047383373</c:v>
              </c:pt>
              <c:pt idx="5">
                <c:v>1.015676803832912</c:v>
              </c:pt>
              <c:pt idx="6">
                <c:v>1.0156768038329118</c:v>
              </c:pt>
              <c:pt idx="7">
                <c:v>1.0159074676723254</c:v>
              </c:pt>
              <c:pt idx="8">
                <c:v>1.0159074676723254</c:v>
              </c:pt>
              <c:pt idx="9">
                <c:v>1.0159074676723254</c:v>
              </c:pt>
              <c:pt idx="10">
                <c:v>1.0159074676723254</c:v>
              </c:pt>
              <c:pt idx="11">
                <c:v>1.0159074676723254</c:v>
              </c:pt>
              <c:pt idx="12">
                <c:v>1.0159074676723252</c:v>
              </c:pt>
              <c:pt idx="13">
                <c:v>1.0159074676723254</c:v>
              </c:pt>
              <c:pt idx="14">
                <c:v>1.0159074676723254</c:v>
              </c:pt>
              <c:pt idx="15">
                <c:v>1.0159074676723254</c:v>
              </c:pt>
              <c:pt idx="16">
                <c:v>1.0159074676723254</c:v>
              </c:pt>
              <c:pt idx="17">
                <c:v>1.0159074676723254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099-43E3-A587-576EC6E06901}"/>
            </c:ext>
          </c:extLst>
        </c:ser>
        <c:ser>
          <c:idx val="2"/>
          <c:order val="1"/>
          <c:tx>
            <c:v>Mar-2024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1.0149649059518344</c:v>
              </c:pt>
              <c:pt idx="2">
                <c:v>1.0149649059518344</c:v>
              </c:pt>
              <c:pt idx="3">
                <c:v>1.0080816787036462</c:v>
              </c:pt>
              <c:pt idx="4">
                <c:v>1.00503107499886</c:v>
              </c:pt>
              <c:pt idx="5">
                <c:v>1.00503107499886</c:v>
              </c:pt>
              <c:pt idx="6">
                <c:v>1.0052489752634828</c:v>
              </c:pt>
              <c:pt idx="7">
                <c:v>1.0052489752634828</c:v>
              </c:pt>
              <c:pt idx="8">
                <c:v>1.0052489752634917</c:v>
              </c:pt>
              <c:pt idx="9">
                <c:v>1.0052489752634828</c:v>
              </c:pt>
              <c:pt idx="10">
                <c:v>1.0052489752634828</c:v>
              </c:pt>
              <c:pt idx="11">
                <c:v>1.0052489752634828</c:v>
              </c:pt>
              <c:pt idx="12">
                <c:v>1.0052489752634828</c:v>
              </c:pt>
              <c:pt idx="13">
                <c:v>1.0052489752634828</c:v>
              </c:pt>
              <c:pt idx="14">
                <c:v>1.0052489752634828</c:v>
              </c:pt>
              <c:pt idx="15">
                <c:v>1.0052489752634828</c:v>
              </c:pt>
              <c:pt idx="16">
                <c:v>1.0052489752634828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099-43E3-A587-576EC6E06901}"/>
            </c:ext>
          </c:extLst>
        </c:ser>
        <c:ser>
          <c:idx val="3"/>
          <c:order val="2"/>
          <c:tx>
            <c:v>Apr-2024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0.99380436805943284</c:v>
              </c:pt>
              <c:pt idx="2">
                <c:v>0.98679469120470209</c:v>
              </c:pt>
              <c:pt idx="3">
                <c:v>0.98341070927483187</c:v>
              </c:pt>
              <c:pt idx="4">
                <c:v>0.98341070927483187</c:v>
              </c:pt>
              <c:pt idx="5">
                <c:v>0.98365242226982308</c:v>
              </c:pt>
              <c:pt idx="6">
                <c:v>0.98365242226982308</c:v>
              </c:pt>
              <c:pt idx="7">
                <c:v>0.98365242226982408</c:v>
              </c:pt>
              <c:pt idx="8">
                <c:v>0.98365242226982408</c:v>
              </c:pt>
              <c:pt idx="9">
                <c:v>0.98365242226982308</c:v>
              </c:pt>
              <c:pt idx="10">
                <c:v>0.98365242226982308</c:v>
              </c:pt>
              <c:pt idx="11">
                <c:v>0.98365242226982408</c:v>
              </c:pt>
              <c:pt idx="12">
                <c:v>0.98365242226982408</c:v>
              </c:pt>
              <c:pt idx="13">
                <c:v>0.98365242226982408</c:v>
              </c:pt>
              <c:pt idx="14">
                <c:v>0.98365242226982308</c:v>
              </c:pt>
              <c:pt idx="15">
                <c:v>0.98365242226982308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099-43E3-A587-576EC6E06901}"/>
            </c:ext>
          </c:extLst>
        </c:ser>
        <c:ser>
          <c:idx val="4"/>
          <c:order val="3"/>
          <c:tx>
            <c:v>May-2024</c:v>
          </c:tx>
          <c:spPr>
            <a:ln w="19050" cap="rnd">
              <a:solidFill>
                <a:schemeClr val="accent1">
                  <a:lumMod val="60000"/>
                  <a:lumOff val="40000"/>
                  <a:alpha val="5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0.98702728074648471</c:v>
              </c:pt>
              <c:pt idx="2">
                <c:v>0.98362831500320347</c:v>
              </c:pt>
              <c:pt idx="3">
                <c:v>0.98357436316600855</c:v>
              </c:pt>
              <c:pt idx="4">
                <c:v>0.98381714643338602</c:v>
              </c:pt>
              <c:pt idx="5">
                <c:v>0.98381714643338602</c:v>
              </c:pt>
              <c:pt idx="6">
                <c:v>0.98381714643338602</c:v>
              </c:pt>
              <c:pt idx="7">
                <c:v>0.98381714643338602</c:v>
              </c:pt>
              <c:pt idx="8">
                <c:v>0.98381714643338602</c:v>
              </c:pt>
              <c:pt idx="9">
                <c:v>0.98381714643338602</c:v>
              </c:pt>
              <c:pt idx="10">
                <c:v>0.98381714643338602</c:v>
              </c:pt>
              <c:pt idx="11">
                <c:v>0.98381714643338691</c:v>
              </c:pt>
              <c:pt idx="12">
                <c:v>0.98381714643338602</c:v>
              </c:pt>
              <c:pt idx="13">
                <c:v>0.98381714643338602</c:v>
              </c:pt>
              <c:pt idx="14">
                <c:v>0.98381714643338602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099-43E3-A587-576EC6E06901}"/>
            </c:ext>
          </c:extLst>
        </c:ser>
        <c:ser>
          <c:idx val="5"/>
          <c:order val="4"/>
          <c:tx>
            <c:v>Jun-2024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0.99457164818411714</c:v>
              </c:pt>
              <c:pt idx="2">
                <c:v>0.99457164818411714</c:v>
              </c:pt>
              <c:pt idx="3">
                <c:v>0.99484912562711514</c:v>
              </c:pt>
              <c:pt idx="4">
                <c:v>0.99494161810811499</c:v>
              </c:pt>
              <c:pt idx="5">
                <c:v>0.99494161810811377</c:v>
              </c:pt>
              <c:pt idx="6">
                <c:v>0.99494161810811499</c:v>
              </c:pt>
              <c:pt idx="7">
                <c:v>0.99494161810811377</c:v>
              </c:pt>
              <c:pt idx="8">
                <c:v>0.99494161810811377</c:v>
              </c:pt>
              <c:pt idx="9">
                <c:v>0.99494161810811377</c:v>
              </c:pt>
              <c:pt idx="10">
                <c:v>0.99494161810811377</c:v>
              </c:pt>
              <c:pt idx="11">
                <c:v>0.99494161810811377</c:v>
              </c:pt>
              <c:pt idx="12">
                <c:v>0.99494161810811377</c:v>
              </c:pt>
              <c:pt idx="13">
                <c:v>0.99494161810811377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099-43E3-A587-576EC6E06901}"/>
            </c:ext>
          </c:extLst>
        </c:ser>
        <c:ser>
          <c:idx val="6"/>
          <c:order val="5"/>
          <c:tx>
            <c:v>Jul-2024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0.99368074303570053</c:v>
              </c:pt>
              <c:pt idx="2">
                <c:v>0.99397960437400201</c:v>
              </c:pt>
              <c:pt idx="3">
                <c:v>0.99407922482010236</c:v>
              </c:pt>
              <c:pt idx="4">
                <c:v>0.99407922482010236</c:v>
              </c:pt>
              <c:pt idx="5">
                <c:v>0.99407922482010236</c:v>
              </c:pt>
              <c:pt idx="6">
                <c:v>0.99407922482010236</c:v>
              </c:pt>
              <c:pt idx="7">
                <c:v>0.99407922482010236</c:v>
              </c:pt>
              <c:pt idx="8">
                <c:v>0.99407922482010236</c:v>
              </c:pt>
              <c:pt idx="9">
                <c:v>0.99407922482010236</c:v>
              </c:pt>
              <c:pt idx="10">
                <c:v>0.99407922482010236</c:v>
              </c:pt>
              <c:pt idx="11">
                <c:v>0.99407922482010236</c:v>
              </c:pt>
              <c:pt idx="12">
                <c:v>0.99407922482010236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8099-43E3-A587-576EC6E06901}"/>
            </c:ext>
          </c:extLst>
        </c:ser>
        <c:ser>
          <c:idx val="7"/>
          <c:order val="6"/>
          <c:tx>
            <c:v>Aug-2024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0.99359590263262176</c:v>
              </c:pt>
              <c:pt idx="2">
                <c:v>0.99371355292106112</c:v>
              </c:pt>
              <c:pt idx="3">
                <c:v>0.99371355292105967</c:v>
              </c:pt>
              <c:pt idx="4">
                <c:v>0.99371355292105967</c:v>
              </c:pt>
              <c:pt idx="5">
                <c:v>0.99371355292106112</c:v>
              </c:pt>
              <c:pt idx="6">
                <c:v>0.99371355292105967</c:v>
              </c:pt>
              <c:pt idx="7">
                <c:v>0.99371355292105967</c:v>
              </c:pt>
              <c:pt idx="8">
                <c:v>0.99371355292105967</c:v>
              </c:pt>
              <c:pt idx="9">
                <c:v>0.99371355292105967</c:v>
              </c:pt>
              <c:pt idx="10">
                <c:v>0.99371355292105967</c:v>
              </c:pt>
              <c:pt idx="11">
                <c:v>0.99371355292105967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8099-43E3-A587-576EC6E06901}"/>
            </c:ext>
          </c:extLst>
        </c:ser>
        <c:ser>
          <c:idx val="8"/>
          <c:order val="7"/>
          <c:tx>
            <c:v>Sep-2024</c:v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  <a:alpha val="50000"/>
                </a:schemeClr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0.99652895070522574</c:v>
              </c:pt>
              <c:pt idx="2">
                <c:v>0.99652895070522574</c:v>
              </c:pt>
              <c:pt idx="3">
                <c:v>0.99652895070522596</c:v>
              </c:pt>
              <c:pt idx="4">
                <c:v>0.99652895070522596</c:v>
              </c:pt>
              <c:pt idx="5">
                <c:v>0.99652895070522574</c:v>
              </c:pt>
              <c:pt idx="6">
                <c:v>0.99652895070522574</c:v>
              </c:pt>
              <c:pt idx="7">
                <c:v>0.99652895070522596</c:v>
              </c:pt>
              <c:pt idx="8">
                <c:v>0.99652895070522596</c:v>
              </c:pt>
              <c:pt idx="9">
                <c:v>0.99652895070522596</c:v>
              </c:pt>
              <c:pt idx="10">
                <c:v>0.99652895070522574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8099-43E3-A587-576EC6E06901}"/>
            </c:ext>
          </c:extLst>
        </c:ser>
        <c:ser>
          <c:idx val="9"/>
          <c:order val="8"/>
          <c:tx>
            <c:v>Oct-2024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1.0084437292543729</c:v>
              </c:pt>
              <c:pt idx="2">
                <c:v>1.0086218670023557</c:v>
              </c:pt>
              <c:pt idx="3">
                <c:v>1.0086218670023557</c:v>
              </c:pt>
              <c:pt idx="4">
                <c:v>1.0086218670023557</c:v>
              </c:pt>
              <c:pt idx="5">
                <c:v>1.0086218670023557</c:v>
              </c:pt>
              <c:pt idx="6">
                <c:v>1.0086218670023557</c:v>
              </c:pt>
              <c:pt idx="7">
                <c:v>1.0086218670023557</c:v>
              </c:pt>
              <c:pt idx="8">
                <c:v>1.0086218670023557</c:v>
              </c:pt>
              <c:pt idx="9">
                <c:v>1.0086218670023557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8099-43E3-A587-576EC6E06901}"/>
            </c:ext>
          </c:extLst>
        </c:ser>
        <c:ser>
          <c:idx val="10"/>
          <c:order val="9"/>
          <c:tx>
            <c:v>Nov-2024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1.0231382401290281</c:v>
              </c:pt>
              <c:pt idx="2">
                <c:v>1.0231382401290281</c:v>
              </c:pt>
              <c:pt idx="3">
                <c:v>1.0231382401290281</c:v>
              </c:pt>
              <c:pt idx="4">
                <c:v>1.0231382401290281</c:v>
              </c:pt>
              <c:pt idx="5">
                <c:v>1.0231382401290281</c:v>
              </c:pt>
              <c:pt idx="6">
                <c:v>1.0231382401290281</c:v>
              </c:pt>
              <c:pt idx="7">
                <c:v>1.0231382401290281</c:v>
              </c:pt>
              <c:pt idx="8">
                <c:v>1.0231382401290281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8099-43E3-A587-576EC6E06901}"/>
            </c:ext>
          </c:extLst>
        </c:ser>
        <c:ser>
          <c:idx val="11"/>
          <c:order val="10"/>
          <c:tx>
            <c:v>Dec-2024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tx2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1.002807421671136</c:v>
              </c:pt>
              <c:pt idx="2">
                <c:v>1.0033473104540471</c:v>
              </c:pt>
              <c:pt idx="3">
                <c:v>1.0033473104540471</c:v>
              </c:pt>
              <c:pt idx="4">
                <c:v>1.0033473104540471</c:v>
              </c:pt>
              <c:pt idx="5">
                <c:v>1.0033473104540471</c:v>
              </c:pt>
              <c:pt idx="6">
                <c:v>1.0033473104540471</c:v>
              </c:pt>
              <c:pt idx="7">
                <c:v>1.0033473104540471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8099-43E3-A587-576EC6E06901}"/>
            </c:ext>
          </c:extLst>
        </c:ser>
        <c:ser>
          <c:idx val="12"/>
          <c:order val="11"/>
          <c:tx>
            <c:v>Jan-2025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1</c:v>
              </c:pt>
              <c:pt idx="1">
                <c:v>1.003161888701517</c:v>
              </c:pt>
              <c:pt idx="2">
                <c:v>1.003161888701517</c:v>
              </c:pt>
              <c:pt idx="3">
                <c:v>1.003161888701517</c:v>
              </c:pt>
              <c:pt idx="4">
                <c:v>1.003161888701517</c:v>
              </c:pt>
              <c:pt idx="5">
                <c:v>1.003161888701517</c:v>
              </c:pt>
              <c:pt idx="6">
                <c:v>1.003161888701517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8099-43E3-A587-576EC6E06901}"/>
            </c:ext>
          </c:extLst>
        </c:ser>
        <c:ser>
          <c:idx val="13"/>
          <c:order val="12"/>
          <c:tx>
            <c:v>Feb-2025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8099-43E3-A587-576EC6E06901}"/>
            </c:ext>
          </c:extLst>
        </c:ser>
        <c:ser>
          <c:idx val="14"/>
          <c:order val="13"/>
          <c:tx>
            <c:v>Mar-2025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28575"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D-8099-43E3-A587-576EC6E06901}"/>
            </c:ext>
          </c:extLst>
        </c:ser>
        <c:ser>
          <c:idx val="15"/>
          <c:order val="14"/>
          <c:tx>
            <c:v>Apr-2025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E-8099-43E3-A587-576EC6E06901}"/>
            </c:ext>
          </c:extLst>
        </c:ser>
        <c:ser>
          <c:idx val="16"/>
          <c:order val="15"/>
          <c:tx>
            <c:v>May-2025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F-8099-43E3-A587-576EC6E06901}"/>
            </c:ext>
          </c:extLst>
        </c:ser>
        <c:ser>
          <c:idx val="17"/>
          <c:order val="16"/>
          <c:tx>
            <c:v>Jun-2025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0-8099-43E3-A587-576EC6E06901}"/>
            </c:ext>
          </c:extLst>
        </c:ser>
        <c:ser>
          <c:idx val="0"/>
          <c:order val="17"/>
          <c:tx>
            <c:v>Jul-2025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>
                <a:noFill/>
              </a:ln>
            </c:spPr>
          </c:marker>
          <c:val>
            <c:numLit>
              <c:formatCode>General</c:formatCode>
              <c:ptCount val="18"/>
              <c:pt idx="0">
                <c:v>#N/A</c:v>
              </c:pt>
              <c:pt idx="1">
                <c:v>#N/A</c:v>
              </c:pt>
              <c:pt idx="2">
                <c:v>#N/A</c:v>
              </c:pt>
              <c:pt idx="3">
                <c:v>#N/A</c:v>
              </c:pt>
              <c:pt idx="4">
                <c:v>#N/A</c:v>
              </c:pt>
              <c:pt idx="5">
                <c:v>#N/A</c:v>
              </c:pt>
              <c:pt idx="6">
                <c:v>#N/A</c:v>
              </c:pt>
              <c:pt idx="7">
                <c:v>#N/A</c:v>
              </c:pt>
              <c:pt idx="8">
                <c:v>#N/A</c:v>
              </c:pt>
              <c:pt idx="9">
                <c:v>#N/A</c:v>
              </c:pt>
              <c:pt idx="10">
                <c:v>#N/A</c:v>
              </c:pt>
              <c:pt idx="11">
                <c:v>#N/A</c:v>
              </c:pt>
              <c:pt idx="12">
                <c:v>#N/A</c:v>
              </c:pt>
              <c:pt idx="13">
                <c:v>#N/A</c:v>
              </c:pt>
              <c:pt idx="14">
                <c:v>#N/A</c:v>
              </c:pt>
              <c:pt idx="15">
                <c:v>#N/A</c:v>
              </c:pt>
              <c:pt idx="16">
                <c:v>#N/A</c:v>
              </c:pt>
              <c:pt idx="17">
                <c:v>#N/A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11-8099-43E3-A587-576EC6E06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75568"/>
        <c:axId val="1922848688"/>
        <c:extLst/>
      </c:lineChart>
      <c:catAx>
        <c:axId val="192287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Development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8688"/>
        <c:crosses val="autoZero"/>
        <c:auto val="1"/>
        <c:lblAlgn val="ctr"/>
        <c:lblOffset val="100"/>
        <c:noMultiLvlLbl val="0"/>
      </c:catAx>
      <c:valAx>
        <c:axId val="1922848688"/>
        <c:scaling>
          <c:orientation val="minMax"/>
          <c:max val="1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Live Policies Proportion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75568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chemeClr val="bg1">
          <a:lumMod val="85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Data'!$D$4</c:f>
              <c:strCache>
                <c:ptCount val="1"/>
                <c:pt idx="0">
                  <c:v>Average Proposer 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Data'!$D$5:$D$109</c:f>
              <c:numCache>
                <c:formatCode>#,##0</c:formatCode>
                <c:ptCount val="105"/>
                <c:pt idx="0">
                  <c:v>41.641968019872124</c:v>
                </c:pt>
                <c:pt idx="1">
                  <c:v>40.701229804810779</c:v>
                </c:pt>
                <c:pt idx="2">
                  <c:v>41.916966732866534</c:v>
                </c:pt>
                <c:pt idx="3">
                  <c:v>41.722334878045309</c:v>
                </c:pt>
                <c:pt idx="4">
                  <c:v>41.65477492039669</c:v>
                </c:pt>
                <c:pt idx="5">
                  <c:v>41.855643220565433</c:v>
                </c:pt>
                <c:pt idx="6">
                  <c:v>42.370970525519184</c:v>
                </c:pt>
                <c:pt idx="7">
                  <c:v>41.634751263337904</c:v>
                </c:pt>
                <c:pt idx="8">
                  <c:v>41.312769486046513</c:v>
                </c:pt>
                <c:pt idx="9">
                  <c:v>41.522291873073975</c:v>
                </c:pt>
                <c:pt idx="10">
                  <c:v>41.41442859229852</c:v>
                </c:pt>
                <c:pt idx="11">
                  <c:v>41.999496988627115</c:v>
                </c:pt>
                <c:pt idx="12">
                  <c:v>42.170842985616275</c:v>
                </c:pt>
                <c:pt idx="13">
                  <c:v>42.447568997452436</c:v>
                </c:pt>
                <c:pt idx="14">
                  <c:v>42.33378164056387</c:v>
                </c:pt>
                <c:pt idx="15">
                  <c:v>43.169868228537617</c:v>
                </c:pt>
                <c:pt idx="16">
                  <c:v>42.285172877522179</c:v>
                </c:pt>
                <c:pt idx="17">
                  <c:v>42.713394733937712</c:v>
                </c:pt>
                <c:pt idx="18">
                  <c:v>42.339429370285046</c:v>
                </c:pt>
                <c:pt idx="19">
                  <c:v>41.423195426983362</c:v>
                </c:pt>
                <c:pt idx="20">
                  <c:v>41.809375238009132</c:v>
                </c:pt>
                <c:pt idx="21">
                  <c:v>42.073437527241062</c:v>
                </c:pt>
                <c:pt idx="22">
                  <c:v>41.625059217961486</c:v>
                </c:pt>
                <c:pt idx="23">
                  <c:v>41.099294281735666</c:v>
                </c:pt>
                <c:pt idx="24">
                  <c:v>40.772938990595762</c:v>
                </c:pt>
                <c:pt idx="25">
                  <c:v>40.881210710729583</c:v>
                </c:pt>
                <c:pt idx="26">
                  <c:v>41.48936590785457</c:v>
                </c:pt>
                <c:pt idx="27">
                  <c:v>40.834146813507644</c:v>
                </c:pt>
                <c:pt idx="28">
                  <c:v>40.71192398071824</c:v>
                </c:pt>
                <c:pt idx="29">
                  <c:v>40.257117816357692</c:v>
                </c:pt>
                <c:pt idx="30">
                  <c:v>41.019256228231079</c:v>
                </c:pt>
                <c:pt idx="31">
                  <c:v>40.555155907385242</c:v>
                </c:pt>
                <c:pt idx="32">
                  <c:v>40.719270286800402</c:v>
                </c:pt>
                <c:pt idx="33">
                  <c:v>41.09667106692585</c:v>
                </c:pt>
                <c:pt idx="34">
                  <c:v>41.03072690025467</c:v>
                </c:pt>
                <c:pt idx="35">
                  <c:v>40.829484982879563</c:v>
                </c:pt>
                <c:pt idx="36">
                  <c:v>40.778048544535729</c:v>
                </c:pt>
                <c:pt idx="37">
                  <c:v>41.122361108095028</c:v>
                </c:pt>
                <c:pt idx="38">
                  <c:v>40.961934591450223</c:v>
                </c:pt>
                <c:pt idx="39">
                  <c:v>41.341565103498283</c:v>
                </c:pt>
                <c:pt idx="40">
                  <c:v>40.775303581084195</c:v>
                </c:pt>
                <c:pt idx="41">
                  <c:v>41.082814582731359</c:v>
                </c:pt>
                <c:pt idx="42">
                  <c:v>41.208552848660652</c:v>
                </c:pt>
                <c:pt idx="43">
                  <c:v>40.511578150757096</c:v>
                </c:pt>
                <c:pt idx="44">
                  <c:v>40.992145543774058</c:v>
                </c:pt>
                <c:pt idx="45">
                  <c:v>40.670448395396789</c:v>
                </c:pt>
                <c:pt idx="46">
                  <c:v>41.137692454889375</c:v>
                </c:pt>
                <c:pt idx="47">
                  <c:v>40.642666377775427</c:v>
                </c:pt>
                <c:pt idx="48">
                  <c:v>40.890110488232096</c:v>
                </c:pt>
                <c:pt idx="49">
                  <c:v>41.207599228647823</c:v>
                </c:pt>
                <c:pt idx="50">
                  <c:v>40.595508052281154</c:v>
                </c:pt>
                <c:pt idx="51">
                  <c:v>40.965049845675047</c:v>
                </c:pt>
                <c:pt idx="52">
                  <c:v>40.966143553152293</c:v>
                </c:pt>
                <c:pt idx="53">
                  <c:v>41.110684818061763</c:v>
                </c:pt>
                <c:pt idx="54">
                  <c:v>40.82405369848</c:v>
                </c:pt>
                <c:pt idx="55">
                  <c:v>41.567324959715428</c:v>
                </c:pt>
                <c:pt idx="56">
                  <c:v>41.577161595559787</c:v>
                </c:pt>
                <c:pt idx="57">
                  <c:v>41.270019786992393</c:v>
                </c:pt>
                <c:pt idx="58">
                  <c:v>41.227109604468566</c:v>
                </c:pt>
                <c:pt idx="59">
                  <c:v>41.021700826938407</c:v>
                </c:pt>
                <c:pt idx="60">
                  <c:v>41.167832793296533</c:v>
                </c:pt>
                <c:pt idx="61">
                  <c:v>40.369992857743014</c:v>
                </c:pt>
                <c:pt idx="62">
                  <c:v>41.501086726358814</c:v>
                </c:pt>
                <c:pt idx="63">
                  <c:v>41.337254076810709</c:v>
                </c:pt>
                <c:pt idx="64">
                  <c:v>41.370381194939611</c:v>
                </c:pt>
                <c:pt idx="65">
                  <c:v>40.721420307074574</c:v>
                </c:pt>
                <c:pt idx="66">
                  <c:v>40.555178706568945</c:v>
                </c:pt>
                <c:pt idx="67">
                  <c:v>40.390896511580081</c:v>
                </c:pt>
                <c:pt idx="68">
                  <c:v>40.182110053776455</c:v>
                </c:pt>
                <c:pt idx="69">
                  <c:v>40.266726634117397</c:v>
                </c:pt>
                <c:pt idx="70">
                  <c:v>39.503239056570678</c:v>
                </c:pt>
                <c:pt idx="71">
                  <c:v>40.044859120972227</c:v>
                </c:pt>
                <c:pt idx="72">
                  <c:v>39.41437416822567</c:v>
                </c:pt>
                <c:pt idx="73">
                  <c:v>39.014348671621732</c:v>
                </c:pt>
                <c:pt idx="74">
                  <c:v>38.998549129472764</c:v>
                </c:pt>
                <c:pt idx="75">
                  <c:v>39.542946704500551</c:v>
                </c:pt>
                <c:pt idx="76">
                  <c:v>38.583051877357612</c:v>
                </c:pt>
                <c:pt idx="77">
                  <c:v>39.198616600790501</c:v>
                </c:pt>
                <c:pt idx="78">
                  <c:v>39.507246376811615</c:v>
                </c:pt>
                <c:pt idx="79">
                  <c:v>39.638601036269463</c:v>
                </c:pt>
                <c:pt idx="80">
                  <c:v>39.429743589743559</c:v>
                </c:pt>
                <c:pt idx="81">
                  <c:v>39.644260599793142</c:v>
                </c:pt>
                <c:pt idx="82">
                  <c:v>39.858201058201061</c:v>
                </c:pt>
                <c:pt idx="83">
                  <c:v>39.739656912209895</c:v>
                </c:pt>
                <c:pt idx="84">
                  <c:v>39.839562443026395</c:v>
                </c:pt>
                <c:pt idx="85">
                  <c:v>39.937903625239692</c:v>
                </c:pt>
                <c:pt idx="86">
                  <c:v>39.590180360721455</c:v>
                </c:pt>
                <c:pt idx="87">
                  <c:v>40.104696673189828</c:v>
                </c:pt>
                <c:pt idx="88">
                  <c:v>40.58101135190919</c:v>
                </c:pt>
                <c:pt idx="89">
                  <c:v>40.188477366255121</c:v>
                </c:pt>
                <c:pt idx="90">
                  <c:v>40.566277836691427</c:v>
                </c:pt>
                <c:pt idx="91">
                  <c:v>39.532139093782938</c:v>
                </c:pt>
                <c:pt idx="92">
                  <c:v>39.244644870349518</c:v>
                </c:pt>
                <c:pt idx="93">
                  <c:v>39.886639676113369</c:v>
                </c:pt>
                <c:pt idx="94">
                  <c:v>39.853807106598985</c:v>
                </c:pt>
                <c:pt idx="95">
                  <c:v>39.492571428571438</c:v>
                </c:pt>
                <c:pt idx="96">
                  <c:v>39.477188655980306</c:v>
                </c:pt>
                <c:pt idx="97">
                  <c:v>38.776207302709089</c:v>
                </c:pt>
                <c:pt idx="98">
                  <c:v>38.771023302938168</c:v>
                </c:pt>
                <c:pt idx="99">
                  <c:v>38.292431192660572</c:v>
                </c:pt>
                <c:pt idx="100">
                  <c:v>39.448043184885314</c:v>
                </c:pt>
                <c:pt idx="101">
                  <c:v>38.861454046639267</c:v>
                </c:pt>
                <c:pt idx="102">
                  <c:v>38.374401913875623</c:v>
                </c:pt>
                <c:pt idx="103">
                  <c:v>37.580906148867356</c:v>
                </c:pt>
                <c:pt idx="104">
                  <c:v>38.142664872139989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F-47F7-9CED-94768D3B4759}"/>
            </c:ext>
          </c:extLst>
        </c:ser>
        <c:ser>
          <c:idx val="2"/>
          <c:order val="1"/>
          <c:tx>
            <c:strRef>
              <c:f>'Averages Graph Data'!$E$4</c:f>
              <c:strCache>
                <c:ptCount val="1"/>
                <c:pt idx="0">
                  <c:v>Average Proposer Age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Data'!$E$5:$E$109</c:f>
              <c:numCache>
                <c:formatCode>#,##0</c:formatCode>
                <c:ptCount val="105"/>
                <c:pt idx="3">
                  <c:v>41.495624858898687</c:v>
                </c:pt>
                <c:pt idx="4">
                  <c:v>41.498826584029828</c:v>
                </c:pt>
                <c:pt idx="5">
                  <c:v>41.78742993796849</c:v>
                </c:pt>
                <c:pt idx="6">
                  <c:v>41.900930886131661</c:v>
                </c:pt>
                <c:pt idx="7">
                  <c:v>41.879034982454797</c:v>
                </c:pt>
                <c:pt idx="8">
                  <c:v>41.793533623867255</c:v>
                </c:pt>
                <c:pt idx="9">
                  <c:v>41.710195786994397</c:v>
                </c:pt>
                <c:pt idx="10">
                  <c:v>41.471060303689228</c:v>
                </c:pt>
                <c:pt idx="11">
                  <c:v>41.562246735011527</c:v>
                </c:pt>
                <c:pt idx="12">
                  <c:v>41.776765109903977</c:v>
                </c:pt>
                <c:pt idx="13">
                  <c:v>42.00808439099859</c:v>
                </c:pt>
                <c:pt idx="14">
                  <c:v>42.237922653064928</c:v>
                </c:pt>
                <c:pt idx="15">
                  <c:v>42.530515463042548</c:v>
                </c:pt>
                <c:pt idx="16">
                  <c:v>42.559097936019022</c:v>
                </c:pt>
                <c:pt idx="17">
                  <c:v>42.625554370140343</c:v>
                </c:pt>
                <c:pt idx="18">
                  <c:v>42.626966302570636</c:v>
                </c:pt>
                <c:pt idx="19">
                  <c:v>42.190298102182076</c:v>
                </c:pt>
                <c:pt idx="20">
                  <c:v>42.071348692303815</c:v>
                </c:pt>
                <c:pt idx="21">
                  <c:v>41.911359390629649</c:v>
                </c:pt>
                <c:pt idx="22">
                  <c:v>41.732766852548757</c:v>
                </c:pt>
                <c:pt idx="23">
                  <c:v>41.651791566236838</c:v>
                </c:pt>
                <c:pt idx="24">
                  <c:v>41.392682504383494</c:v>
                </c:pt>
                <c:pt idx="25">
                  <c:v>41.094625800255621</c:v>
                </c:pt>
                <c:pt idx="26">
                  <c:v>41.060702472728892</c:v>
                </c:pt>
                <c:pt idx="27">
                  <c:v>40.99441560567189</c:v>
                </c:pt>
                <c:pt idx="28">
                  <c:v>40.979161853202513</c:v>
                </c:pt>
                <c:pt idx="29">
                  <c:v>40.823138629609538</c:v>
                </c:pt>
                <c:pt idx="30">
                  <c:v>40.705611209703662</c:v>
                </c:pt>
                <c:pt idx="31">
                  <c:v>40.635863483173068</c:v>
                </c:pt>
                <c:pt idx="32">
                  <c:v>40.637700059693607</c:v>
                </c:pt>
                <c:pt idx="33">
                  <c:v>40.847588372335636</c:v>
                </c:pt>
                <c:pt idx="34">
                  <c:v>40.850456040341541</c:v>
                </c:pt>
                <c:pt idx="35">
                  <c:v>40.919038309215125</c:v>
                </c:pt>
                <c:pt idx="36">
                  <c:v>40.93373287364895</c:v>
                </c:pt>
                <c:pt idx="37">
                  <c:v>40.940155383941246</c:v>
                </c:pt>
                <c:pt idx="38">
                  <c:v>40.92295730674013</c:v>
                </c:pt>
                <c:pt idx="39">
                  <c:v>41.050977336894817</c:v>
                </c:pt>
                <c:pt idx="40">
                  <c:v>41.050291096031934</c:v>
                </c:pt>
                <c:pt idx="41">
                  <c:v>41.040404464691008</c:v>
                </c:pt>
                <c:pt idx="42">
                  <c:v>41.102059028993622</c:v>
                </c:pt>
                <c:pt idx="43">
                  <c:v>40.894562290808324</c:v>
                </c:pt>
                <c:pt idx="44">
                  <c:v>40.948772781480791</c:v>
                </c:pt>
                <c:pt idx="45">
                  <c:v>40.845681234647145</c:v>
                </c:pt>
                <c:pt idx="46">
                  <c:v>40.827966136204324</c:v>
                </c:pt>
                <c:pt idx="47">
                  <c:v>40.860738192958912</c:v>
                </c:pt>
                <c:pt idx="48">
                  <c:v>40.835229429073422</c:v>
                </c:pt>
                <c:pt idx="49">
                  <c:v>40.969517137386177</c:v>
                </c:pt>
                <c:pt idx="50">
                  <c:v>40.833971036734127</c:v>
                </c:pt>
                <c:pt idx="51">
                  <c:v>40.91456690370903</c:v>
                </c:pt>
                <c:pt idx="52">
                  <c:v>40.933575169939076</c:v>
                </c:pt>
                <c:pt idx="53">
                  <c:v>40.909346567292566</c:v>
                </c:pt>
                <c:pt idx="54">
                  <c:v>40.966482978842279</c:v>
                </c:pt>
                <c:pt idx="55">
                  <c:v>41.117051757352371</c:v>
                </c:pt>
                <c:pt idx="56">
                  <c:v>41.269806267954237</c:v>
                </c:pt>
                <c:pt idx="57">
                  <c:v>41.309640010186904</c:v>
                </c:pt>
                <c:pt idx="58">
                  <c:v>41.410403986684045</c:v>
                </c:pt>
                <c:pt idx="59">
                  <c:v>41.27399795348979</c:v>
                </c:pt>
                <c:pt idx="60">
                  <c:v>41.171665752923971</c:v>
                </c:pt>
                <c:pt idx="61">
                  <c:v>40.946659020611634</c:v>
                </c:pt>
                <c:pt idx="62">
                  <c:v>41.01515330108419</c:v>
                </c:pt>
                <c:pt idx="63">
                  <c:v>41.094041613552264</c:v>
                </c:pt>
                <c:pt idx="64">
                  <c:v>41.144678713963039</c:v>
                </c:pt>
                <c:pt idx="65">
                  <c:v>41.23253557629593</c:v>
                </c:pt>
                <c:pt idx="66">
                  <c:v>40.996058571348456</c:v>
                </c:pt>
                <c:pt idx="67">
                  <c:v>40.759469180040803</c:v>
                </c:pt>
                <c:pt idx="68">
                  <c:v>40.462401394750017</c:v>
                </c:pt>
                <c:pt idx="69">
                  <c:v>40.348727976510716</c:v>
                </c:pt>
                <c:pt idx="70">
                  <c:v>40.085743064011155</c:v>
                </c:pt>
                <c:pt idx="71">
                  <c:v>39.999233716359186</c:v>
                </c:pt>
                <c:pt idx="72">
                  <c:v>39.807299744971495</c:v>
                </c:pt>
                <c:pt idx="73">
                  <c:v>39.494205254347577</c:v>
                </c:pt>
                <c:pt idx="74">
                  <c:v>39.368032772573102</c:v>
                </c:pt>
                <c:pt idx="75">
                  <c:v>39.242554668455185</c:v>
                </c:pt>
                <c:pt idx="76">
                  <c:v>39.034724095738163</c:v>
                </c:pt>
                <c:pt idx="77">
                  <c:v>39.080791078030359</c:v>
                </c:pt>
                <c:pt idx="78">
                  <c:v>39.207965389865073</c:v>
                </c:pt>
                <c:pt idx="79">
                  <c:v>39.231878972807294</c:v>
                </c:pt>
                <c:pt idx="80">
                  <c:v>39.443551900903785</c:v>
                </c:pt>
                <c:pt idx="81">
                  <c:v>39.554962900654445</c:v>
                </c:pt>
                <c:pt idx="82">
                  <c:v>39.642701571001808</c:v>
                </c:pt>
                <c:pt idx="83">
                  <c:v>39.667965539986916</c:v>
                </c:pt>
                <c:pt idx="84">
                  <c:v>39.77042025330762</c:v>
                </c:pt>
                <c:pt idx="85">
                  <c:v>39.843831009669259</c:v>
                </c:pt>
                <c:pt idx="86">
                  <c:v>39.776825835299363</c:v>
                </c:pt>
                <c:pt idx="87">
                  <c:v>39.868085775544344</c:v>
                </c:pt>
                <c:pt idx="88">
                  <c:v>40.053448002765037</c:v>
                </c:pt>
                <c:pt idx="89">
                  <c:v>40.116091438018898</c:v>
                </c:pt>
                <c:pt idx="90">
                  <c:v>40.36011580701139</c:v>
                </c:pt>
                <c:pt idx="91">
                  <c:v>40.216976412159667</c:v>
                </c:pt>
                <c:pt idx="92">
                  <c:v>39.882884791769754</c:v>
                </c:pt>
                <c:pt idx="93">
                  <c:v>39.807425369234316</c:v>
                </c:pt>
                <c:pt idx="94">
                  <c:v>39.629307686711201</c:v>
                </c:pt>
                <c:pt idx="95">
                  <c:v>39.619415770408331</c:v>
                </c:pt>
                <c:pt idx="96">
                  <c:v>39.677551716816026</c:v>
                </c:pt>
                <c:pt idx="97">
                  <c:v>39.399943623464956</c:v>
                </c:pt>
                <c:pt idx="98">
                  <c:v>39.129247672549752</c:v>
                </c:pt>
                <c:pt idx="99">
                  <c:v>38.829212613572039</c:v>
                </c:pt>
                <c:pt idx="100">
                  <c:v>38.821926245798288</c:v>
                </c:pt>
                <c:pt idx="101">
                  <c:v>38.843237931780827</c:v>
                </c:pt>
                <c:pt idx="102">
                  <c:v>38.744082584515198</c:v>
                </c:pt>
                <c:pt idx="103">
                  <c:v>38.566201323566887</c:v>
                </c:pt>
                <c:pt idx="104">
                  <c:v>38.239856745380564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F-47F7-9CED-94768D3B4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Data'!$L$4</c:f>
              <c:strCache>
                <c:ptCount val="1"/>
                <c:pt idx="0">
                  <c:v>Average Proposer Age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Data'!$L$5:$L$109</c:f>
              <c:numCache>
                <c:formatCode>#,##0</c:formatCode>
                <c:ptCount val="105"/>
                <c:pt idx="0">
                  <c:v>40.058963511369548</c:v>
                </c:pt>
                <c:pt idx="1">
                  <c:v>39.649651394422214</c:v>
                </c:pt>
                <c:pt idx="2">
                  <c:v>39.968848141467689</c:v>
                </c:pt>
                <c:pt idx="3">
                  <c:v>39.723245262876965</c:v>
                </c:pt>
                <c:pt idx="4">
                  <c:v>40.01168348380245</c:v>
                </c:pt>
                <c:pt idx="5">
                  <c:v>40.193099897013383</c:v>
                </c:pt>
                <c:pt idx="6">
                  <c:v>39.627577639751543</c:v>
                </c:pt>
                <c:pt idx="7">
                  <c:v>39.989469192435884</c:v>
                </c:pt>
                <c:pt idx="8">
                  <c:v>40.136201699095466</c:v>
                </c:pt>
                <c:pt idx="9">
                  <c:v>39.784184914841696</c:v>
                </c:pt>
                <c:pt idx="10">
                  <c:v>39.973043893129613</c:v>
                </c:pt>
                <c:pt idx="11">
                  <c:v>39.860271156134949</c:v>
                </c:pt>
                <c:pt idx="12">
                  <c:v>39.868508569966743</c:v>
                </c:pt>
                <c:pt idx="13">
                  <c:v>40.143478260869578</c:v>
                </c:pt>
                <c:pt idx="14">
                  <c:v>39.950152833294155</c:v>
                </c:pt>
                <c:pt idx="15">
                  <c:v>39.91331737420159</c:v>
                </c:pt>
                <c:pt idx="16">
                  <c:v>40.106487148102673</c:v>
                </c:pt>
                <c:pt idx="17">
                  <c:v>40.209899175068578</c:v>
                </c:pt>
                <c:pt idx="18">
                  <c:v>40.046937863209457</c:v>
                </c:pt>
                <c:pt idx="19">
                  <c:v>39.841452805567485</c:v>
                </c:pt>
                <c:pt idx="20">
                  <c:v>40.059186714924294</c:v>
                </c:pt>
                <c:pt idx="21">
                  <c:v>40.088435374149512</c:v>
                </c:pt>
                <c:pt idx="22">
                  <c:v>40.083549783549621</c:v>
                </c:pt>
                <c:pt idx="23">
                  <c:v>40.073208722741299</c:v>
                </c:pt>
                <c:pt idx="24">
                  <c:v>40.048332889455359</c:v>
                </c:pt>
                <c:pt idx="25">
                  <c:v>40.283518145161089</c:v>
                </c:pt>
                <c:pt idx="26">
                  <c:v>40.290412876137054</c:v>
                </c:pt>
                <c:pt idx="27">
                  <c:v>40.26143946615808</c:v>
                </c:pt>
                <c:pt idx="28">
                  <c:v>40.064734465989353</c:v>
                </c:pt>
                <c:pt idx="29">
                  <c:v>40.323844419391278</c:v>
                </c:pt>
                <c:pt idx="30">
                  <c:v>40.255863539445649</c:v>
                </c:pt>
                <c:pt idx="31">
                  <c:v>40.190300474433322</c:v>
                </c:pt>
                <c:pt idx="32">
                  <c:v>40.028188668713476</c:v>
                </c:pt>
                <c:pt idx="33">
                  <c:v>40.17128210099694</c:v>
                </c:pt>
                <c:pt idx="34">
                  <c:v>40.361180124223338</c:v>
                </c:pt>
                <c:pt idx="35">
                  <c:v>40.210400478182628</c:v>
                </c:pt>
                <c:pt idx="36">
                  <c:v>40.213408876298139</c:v>
                </c:pt>
                <c:pt idx="37">
                  <c:v>40.129135720544447</c:v>
                </c:pt>
                <c:pt idx="38">
                  <c:v>40.501051156272069</c:v>
                </c:pt>
                <c:pt idx="39">
                  <c:v>40.314482758620862</c:v>
                </c:pt>
                <c:pt idx="40">
                  <c:v>40.445158985352073</c:v>
                </c:pt>
                <c:pt idx="41">
                  <c:v>39.91335877862609</c:v>
                </c:pt>
                <c:pt idx="42">
                  <c:v>40.780714817572296</c:v>
                </c:pt>
                <c:pt idx="43">
                  <c:v>40.613152804641878</c:v>
                </c:pt>
                <c:pt idx="44">
                  <c:v>40.408456026058445</c:v>
                </c:pt>
                <c:pt idx="45">
                  <c:v>40.543287327477763</c:v>
                </c:pt>
                <c:pt idx="46">
                  <c:v>40.597610879576671</c:v>
                </c:pt>
                <c:pt idx="47">
                  <c:v>40.55824175824192</c:v>
                </c:pt>
                <c:pt idx="48">
                  <c:v>40.582006026689804</c:v>
                </c:pt>
                <c:pt idx="49">
                  <c:v>40.456956724057861</c:v>
                </c:pt>
                <c:pt idx="50">
                  <c:v>40.700000000000102</c:v>
                </c:pt>
                <c:pt idx="51">
                  <c:v>40.847906730259744</c:v>
                </c:pt>
                <c:pt idx="52">
                  <c:v>40.551294343240791</c:v>
                </c:pt>
                <c:pt idx="53">
                  <c:v>40.482617586912177</c:v>
                </c:pt>
                <c:pt idx="54">
                  <c:v>40.49239956568956</c:v>
                </c:pt>
                <c:pt idx="55">
                  <c:v>41.009456410311003</c:v>
                </c:pt>
                <c:pt idx="56">
                  <c:v>40.53056516724314</c:v>
                </c:pt>
                <c:pt idx="57">
                  <c:v>40.192806603773377</c:v>
                </c:pt>
                <c:pt idx="58">
                  <c:v>40.966577540106726</c:v>
                </c:pt>
                <c:pt idx="59">
                  <c:v>40.50497369120815</c:v>
                </c:pt>
                <c:pt idx="60">
                  <c:v>40.511861969805885</c:v>
                </c:pt>
                <c:pt idx="61">
                  <c:v>40.51339285714284</c:v>
                </c:pt>
                <c:pt idx="62">
                  <c:v>40.659863945578238</c:v>
                </c:pt>
                <c:pt idx="63">
                  <c:v>41.213597224089632</c:v>
                </c:pt>
                <c:pt idx="64">
                  <c:v>41.343283582089533</c:v>
                </c:pt>
                <c:pt idx="65">
                  <c:v>40.136971046770583</c:v>
                </c:pt>
                <c:pt idx="66">
                  <c:v>40.161997563946372</c:v>
                </c:pt>
                <c:pt idx="67">
                  <c:v>40.925217391304336</c:v>
                </c:pt>
                <c:pt idx="68">
                  <c:v>40.624558650324488</c:v>
                </c:pt>
                <c:pt idx="69">
                  <c:v>39.898437500000028</c:v>
                </c:pt>
                <c:pt idx="70">
                  <c:v>40.218777166075938</c:v>
                </c:pt>
                <c:pt idx="71">
                  <c:v>41.07119741100324</c:v>
                </c:pt>
                <c:pt idx="72">
                  <c:v>40.914572864321599</c:v>
                </c:pt>
                <c:pt idx="73">
                  <c:v>42.054263565891468</c:v>
                </c:pt>
                <c:pt idx="74">
                  <c:v>41.233333333333327</c:v>
                </c:pt>
                <c:pt idx="75">
                  <c:v>41.882352941176464</c:v>
                </c:pt>
                <c:pt idx="76">
                  <c:v>46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8-400D-A61F-077182DAE10E}"/>
            </c:ext>
          </c:extLst>
        </c:ser>
        <c:ser>
          <c:idx val="2"/>
          <c:order val="1"/>
          <c:tx>
            <c:strRef>
              <c:f>'Averages Graph Data'!$M$4</c:f>
              <c:strCache>
                <c:ptCount val="1"/>
                <c:pt idx="0">
                  <c:v>Average Proposer Age - 4 Week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Data'!$M$5:$M$109</c:f>
              <c:numCache>
                <c:formatCode>#,##0</c:formatCode>
                <c:ptCount val="105"/>
                <c:pt idx="3">
                  <c:v>39.850177077534106</c:v>
                </c:pt>
                <c:pt idx="4">
                  <c:v>39.838357070642324</c:v>
                </c:pt>
                <c:pt idx="5">
                  <c:v>39.974219196290122</c:v>
                </c:pt>
                <c:pt idx="6">
                  <c:v>39.888901570861087</c:v>
                </c:pt>
                <c:pt idx="7">
                  <c:v>39.95545755325081</c:v>
                </c:pt>
                <c:pt idx="8">
                  <c:v>39.986587107074065</c:v>
                </c:pt>
                <c:pt idx="9">
                  <c:v>39.884358361531149</c:v>
                </c:pt>
                <c:pt idx="10">
                  <c:v>39.970724924875661</c:v>
                </c:pt>
                <c:pt idx="11">
                  <c:v>39.938425415800431</c:v>
                </c:pt>
                <c:pt idx="12">
                  <c:v>39.871502133518248</c:v>
                </c:pt>
                <c:pt idx="13">
                  <c:v>39.961325470025223</c:v>
                </c:pt>
                <c:pt idx="14">
                  <c:v>39.955602705066354</c:v>
                </c:pt>
                <c:pt idx="15">
                  <c:v>39.968864259583015</c:v>
                </c:pt>
                <c:pt idx="16">
                  <c:v>40.028358904116999</c:v>
                </c:pt>
                <c:pt idx="17">
                  <c:v>40.044964132666749</c:v>
                </c:pt>
                <c:pt idx="18">
                  <c:v>40.069160390145576</c:v>
                </c:pt>
                <c:pt idx="19">
                  <c:v>40.051194247987048</c:v>
                </c:pt>
                <c:pt idx="20">
                  <c:v>40.039369139692454</c:v>
                </c:pt>
                <c:pt idx="21">
                  <c:v>40.009003189462689</c:v>
                </c:pt>
                <c:pt idx="22">
                  <c:v>40.01815616954773</c:v>
                </c:pt>
                <c:pt idx="23">
                  <c:v>40.076095148841183</c:v>
                </c:pt>
                <c:pt idx="24">
                  <c:v>40.073381692473951</c:v>
                </c:pt>
                <c:pt idx="25">
                  <c:v>40.12215238522684</c:v>
                </c:pt>
                <c:pt idx="26">
                  <c:v>40.173868158373701</c:v>
                </c:pt>
                <c:pt idx="27">
                  <c:v>40.220925844227892</c:v>
                </c:pt>
                <c:pt idx="28">
                  <c:v>40.225026238361394</c:v>
                </c:pt>
                <c:pt idx="29">
                  <c:v>40.235107806918947</c:v>
                </c:pt>
                <c:pt idx="30">
                  <c:v>40.226470472746094</c:v>
                </c:pt>
                <c:pt idx="31">
                  <c:v>40.208685724814899</c:v>
                </c:pt>
                <c:pt idx="32">
                  <c:v>40.199549275495933</c:v>
                </c:pt>
                <c:pt idx="33">
                  <c:v>40.161408695897343</c:v>
                </c:pt>
                <c:pt idx="34">
                  <c:v>40.187737842091764</c:v>
                </c:pt>
                <c:pt idx="35">
                  <c:v>40.192762843029094</c:v>
                </c:pt>
                <c:pt idx="36">
                  <c:v>40.239067894925263</c:v>
                </c:pt>
                <c:pt idx="37">
                  <c:v>40.228531299812133</c:v>
                </c:pt>
                <c:pt idx="38">
                  <c:v>40.263499057824319</c:v>
                </c:pt>
                <c:pt idx="39">
                  <c:v>40.289519627933878</c:v>
                </c:pt>
                <c:pt idx="40">
                  <c:v>40.347457155197361</c:v>
                </c:pt>
                <c:pt idx="41">
                  <c:v>40.29351291971777</c:v>
                </c:pt>
                <c:pt idx="42">
                  <c:v>40.363428835042832</c:v>
                </c:pt>
                <c:pt idx="43">
                  <c:v>40.438096346548086</c:v>
                </c:pt>
                <c:pt idx="44">
                  <c:v>40.428920606724681</c:v>
                </c:pt>
                <c:pt idx="45">
                  <c:v>40.586402743937597</c:v>
                </c:pt>
                <c:pt idx="46">
                  <c:v>40.540626759438695</c:v>
                </c:pt>
                <c:pt idx="47">
                  <c:v>40.5268989978387</c:v>
                </c:pt>
                <c:pt idx="48">
                  <c:v>40.570286497996541</c:v>
                </c:pt>
                <c:pt idx="49">
                  <c:v>40.548703847141567</c:v>
                </c:pt>
                <c:pt idx="50">
                  <c:v>40.574301127247423</c:v>
                </c:pt>
                <c:pt idx="51">
                  <c:v>40.646717370251878</c:v>
                </c:pt>
                <c:pt idx="52">
                  <c:v>40.639039449389621</c:v>
                </c:pt>
                <c:pt idx="53">
                  <c:v>40.645454665103202</c:v>
                </c:pt>
                <c:pt idx="54">
                  <c:v>40.593554556525568</c:v>
                </c:pt>
                <c:pt idx="55">
                  <c:v>40.633941976538381</c:v>
                </c:pt>
                <c:pt idx="56">
                  <c:v>40.62875968253897</c:v>
                </c:pt>
                <c:pt idx="57">
                  <c:v>40.556306936754268</c:v>
                </c:pt>
                <c:pt idx="58">
                  <c:v>40.674851430358558</c:v>
                </c:pt>
                <c:pt idx="59">
                  <c:v>40.548730750582848</c:v>
                </c:pt>
                <c:pt idx="60">
                  <c:v>40.544054951223536</c:v>
                </c:pt>
                <c:pt idx="61">
                  <c:v>40.624201514565897</c:v>
                </c:pt>
                <c:pt idx="62">
                  <c:v>40.547523115933771</c:v>
                </c:pt>
                <c:pt idx="63">
                  <c:v>40.72467899915415</c:v>
                </c:pt>
                <c:pt idx="64">
                  <c:v>40.932534402225059</c:v>
                </c:pt>
                <c:pt idx="65">
                  <c:v>40.838428949631997</c:v>
                </c:pt>
                <c:pt idx="66">
                  <c:v>40.71396235422403</c:v>
                </c:pt>
                <c:pt idx="67">
                  <c:v>40.641867396027706</c:v>
                </c:pt>
                <c:pt idx="68">
                  <c:v>40.462186163086443</c:v>
                </c:pt>
                <c:pt idx="69">
                  <c:v>40.402552776393804</c:v>
                </c:pt>
                <c:pt idx="70">
                  <c:v>40.4167476769262</c:v>
                </c:pt>
                <c:pt idx="71">
                  <c:v>40.453242681850924</c:v>
                </c:pt>
                <c:pt idx="72">
                  <c:v>40.525746235350198</c:v>
                </c:pt>
                <c:pt idx="73">
                  <c:v>41.064702751823063</c:v>
                </c:pt>
                <c:pt idx="74">
                  <c:v>41.318341793637408</c:v>
                </c:pt>
                <c:pt idx="75">
                  <c:v>41.521130676180711</c:v>
                </c:pt>
                <c:pt idx="76">
                  <c:v>42.792487460100318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8-400D-A61F-077182DAE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Data'!$H$4</c:f>
              <c:strCache>
                <c:ptCount val="1"/>
                <c:pt idx="0">
                  <c:v>Average Proposer Age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Data'!$H$5:$H$109</c:f>
              <c:numCache>
                <c:formatCode>#,##0</c:formatCode>
                <c:ptCount val="105"/>
                <c:pt idx="0">
                  <c:v>43.642276422764226</c:v>
                </c:pt>
                <c:pt idx="1">
                  <c:v>42.159663865546214</c:v>
                </c:pt>
                <c:pt idx="2">
                  <c:v>44.789256198347104</c:v>
                </c:pt>
                <c:pt idx="3">
                  <c:v>44.516431924882625</c:v>
                </c:pt>
                <c:pt idx="4">
                  <c:v>43.869369369369373</c:v>
                </c:pt>
                <c:pt idx="5">
                  <c:v>44.166666666666664</c:v>
                </c:pt>
                <c:pt idx="6">
                  <c:v>46.671568627450995</c:v>
                </c:pt>
                <c:pt idx="7">
                  <c:v>45.03448275862069</c:v>
                </c:pt>
                <c:pt idx="8">
                  <c:v>42.801687763713083</c:v>
                </c:pt>
                <c:pt idx="9">
                  <c:v>43.582456140350878</c:v>
                </c:pt>
                <c:pt idx="10">
                  <c:v>42.981072555205046</c:v>
                </c:pt>
                <c:pt idx="11">
                  <c:v>43.619658119658105</c:v>
                </c:pt>
                <c:pt idx="12">
                  <c:v>44.023316062176171</c:v>
                </c:pt>
                <c:pt idx="13">
                  <c:v>44.222482435597172</c:v>
                </c:pt>
                <c:pt idx="14">
                  <c:v>44.008316008315987</c:v>
                </c:pt>
                <c:pt idx="15">
                  <c:v>45.582623509369647</c:v>
                </c:pt>
                <c:pt idx="16">
                  <c:v>44.123115577889443</c:v>
                </c:pt>
                <c:pt idx="17">
                  <c:v>44.740406320541759</c:v>
                </c:pt>
                <c:pt idx="18">
                  <c:v>44.2729357798165</c:v>
                </c:pt>
                <c:pt idx="19">
                  <c:v>43.240121580547097</c:v>
                </c:pt>
                <c:pt idx="20">
                  <c:v>43.832335329341326</c:v>
                </c:pt>
                <c:pt idx="21">
                  <c:v>43.750582750582744</c:v>
                </c:pt>
                <c:pt idx="22">
                  <c:v>43.084788029925178</c:v>
                </c:pt>
                <c:pt idx="23">
                  <c:v>42.43607305936073</c:v>
                </c:pt>
                <c:pt idx="24">
                  <c:v>43.174698795180717</c:v>
                </c:pt>
                <c:pt idx="25">
                  <c:v>43.38243626062323</c:v>
                </c:pt>
                <c:pt idx="26">
                  <c:v>43.542105263157886</c:v>
                </c:pt>
                <c:pt idx="27">
                  <c:v>43.8390243902439</c:v>
                </c:pt>
                <c:pt idx="28">
                  <c:v>45.26382058880138</c:v>
                </c:pt>
                <c:pt idx="29">
                  <c:v>43.668997668997712</c:v>
                </c:pt>
                <c:pt idx="30">
                  <c:v>44.030487804878113</c:v>
                </c:pt>
                <c:pt idx="31">
                  <c:v>43.753747323340534</c:v>
                </c:pt>
                <c:pt idx="32">
                  <c:v>44.48975409836072</c:v>
                </c:pt>
                <c:pt idx="33">
                  <c:v>44.385796545105613</c:v>
                </c:pt>
                <c:pt idx="34">
                  <c:v>43.869098712446416</c:v>
                </c:pt>
                <c:pt idx="35">
                  <c:v>42.764285714285784</c:v>
                </c:pt>
                <c:pt idx="36">
                  <c:v>43.208602150537693</c:v>
                </c:pt>
                <c:pt idx="37">
                  <c:v>43.175182481751875</c:v>
                </c:pt>
                <c:pt idx="38">
                  <c:v>43.14062500000005</c:v>
                </c:pt>
                <c:pt idx="39">
                  <c:v>44.109865470852078</c:v>
                </c:pt>
                <c:pt idx="40">
                  <c:v>43.298319327731157</c:v>
                </c:pt>
                <c:pt idx="41">
                  <c:v>43.327058823529455</c:v>
                </c:pt>
                <c:pt idx="42">
                  <c:v>44.477434679334948</c:v>
                </c:pt>
                <c:pt idx="43">
                  <c:v>42.618925831202098</c:v>
                </c:pt>
                <c:pt idx="44">
                  <c:v>42.102380952381012</c:v>
                </c:pt>
                <c:pt idx="45">
                  <c:v>43.51304347826089</c:v>
                </c:pt>
                <c:pt idx="46">
                  <c:v>42.367567567567598</c:v>
                </c:pt>
                <c:pt idx="47">
                  <c:v>42.836990595611297</c:v>
                </c:pt>
                <c:pt idx="48">
                  <c:v>42.835051546391753</c:v>
                </c:pt>
                <c:pt idx="49">
                  <c:v>43.375838926174502</c:v>
                </c:pt>
                <c:pt idx="50">
                  <c:v>43.176100628930826</c:v>
                </c:pt>
                <c:pt idx="51">
                  <c:v>43.367088607594944</c:v>
                </c:pt>
                <c:pt idx="52">
                  <c:v>43.287401574803141</c:v>
                </c:pt>
                <c:pt idx="53">
                  <c:v>43.902777777777793</c:v>
                </c:pt>
                <c:pt idx="54">
                  <c:v>44.045833333333341</c:v>
                </c:pt>
                <c:pt idx="55">
                  <c:v>43.449664429530209</c:v>
                </c:pt>
                <c:pt idx="56">
                  <c:v>43.789062500000014</c:v>
                </c:pt>
                <c:pt idx="57">
                  <c:v>43.97318007662836</c:v>
                </c:pt>
                <c:pt idx="58">
                  <c:v>43.080000000000005</c:v>
                </c:pt>
                <c:pt idx="59">
                  <c:v>44.95330739299613</c:v>
                </c:pt>
                <c:pt idx="60">
                  <c:v>44.694174757281552</c:v>
                </c:pt>
                <c:pt idx="61">
                  <c:v>43.225000000000001</c:v>
                </c:pt>
                <c:pt idx="62">
                  <c:v>43.638225255972721</c:v>
                </c:pt>
                <c:pt idx="63">
                  <c:v>43.020270270270288</c:v>
                </c:pt>
                <c:pt idx="64">
                  <c:v>44.470338983050851</c:v>
                </c:pt>
                <c:pt idx="65">
                  <c:v>43.903614457831353</c:v>
                </c:pt>
                <c:pt idx="66">
                  <c:v>41.956647398843955</c:v>
                </c:pt>
                <c:pt idx="67">
                  <c:v>43.571895424836612</c:v>
                </c:pt>
                <c:pt idx="68">
                  <c:v>42.606811145510846</c:v>
                </c:pt>
                <c:pt idx="69">
                  <c:v>43.032894736842138</c:v>
                </c:pt>
                <c:pt idx="70">
                  <c:v>40.87455197132617</c:v>
                </c:pt>
                <c:pt idx="71">
                  <c:v>43.202702702702702</c:v>
                </c:pt>
                <c:pt idx="72">
                  <c:v>41.439613526570042</c:v>
                </c:pt>
                <c:pt idx="73">
                  <c:v>40.559386973180075</c:v>
                </c:pt>
                <c:pt idx="74">
                  <c:v>40.74285714285714</c:v>
                </c:pt>
                <c:pt idx="75">
                  <c:v>41.774358974358975</c:v>
                </c:pt>
                <c:pt idx="76">
                  <c:v>39.934693877551027</c:v>
                </c:pt>
                <c:pt idx="77">
                  <c:v>41.705627705627727</c:v>
                </c:pt>
                <c:pt idx="78">
                  <c:v>40.956989247311824</c:v>
                </c:pt>
                <c:pt idx="79">
                  <c:v>41.173913043478265</c:v>
                </c:pt>
                <c:pt idx="80">
                  <c:v>42.054187192118235</c:v>
                </c:pt>
                <c:pt idx="81">
                  <c:v>42.497267759562838</c:v>
                </c:pt>
                <c:pt idx="82">
                  <c:v>42.173469387755091</c:v>
                </c:pt>
                <c:pt idx="83">
                  <c:v>41.876288659793815</c:v>
                </c:pt>
                <c:pt idx="84">
                  <c:v>42.990476190476187</c:v>
                </c:pt>
                <c:pt idx="85">
                  <c:v>45.066079295154189</c:v>
                </c:pt>
                <c:pt idx="86">
                  <c:v>42.208791208791212</c:v>
                </c:pt>
                <c:pt idx="87">
                  <c:v>43.269999999999996</c:v>
                </c:pt>
                <c:pt idx="88">
                  <c:v>44.818627450980401</c:v>
                </c:pt>
                <c:pt idx="89">
                  <c:v>42.711462450592904</c:v>
                </c:pt>
                <c:pt idx="90">
                  <c:v>42.945812807881772</c:v>
                </c:pt>
                <c:pt idx="91">
                  <c:v>42.678217821782184</c:v>
                </c:pt>
                <c:pt idx="92">
                  <c:v>42.182741116751259</c:v>
                </c:pt>
                <c:pt idx="93">
                  <c:v>43.078431372549019</c:v>
                </c:pt>
                <c:pt idx="94">
                  <c:v>42.88725490196078</c:v>
                </c:pt>
                <c:pt idx="95">
                  <c:v>41.691860465116278</c:v>
                </c:pt>
                <c:pt idx="96">
                  <c:v>43.037837837837834</c:v>
                </c:pt>
                <c:pt idx="97">
                  <c:v>41.639534883720934</c:v>
                </c:pt>
                <c:pt idx="98">
                  <c:v>40.828431372549012</c:v>
                </c:pt>
                <c:pt idx="99">
                  <c:v>41.780104712041883</c:v>
                </c:pt>
                <c:pt idx="100">
                  <c:v>41.545454545454547</c:v>
                </c:pt>
                <c:pt idx="101">
                  <c:v>41.050000000000004</c:v>
                </c:pt>
                <c:pt idx="102">
                  <c:v>40.799999999999997</c:v>
                </c:pt>
                <c:pt idx="103">
                  <c:v>40.015037593984964</c:v>
                </c:pt>
                <c:pt idx="104">
                  <c:v>40.487804878048777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2-4065-8C73-DB03DC0FA40B}"/>
            </c:ext>
          </c:extLst>
        </c:ser>
        <c:ser>
          <c:idx val="2"/>
          <c:order val="1"/>
          <c:tx>
            <c:strRef>
              <c:f>'Averages Graph Data'!$I$4</c:f>
              <c:strCache>
                <c:ptCount val="1"/>
                <c:pt idx="0">
                  <c:v>Average Proposer Age - 4 Week Avg (Boom Annual Up Front)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Data'!$I$5:$I$109</c:f>
              <c:numCache>
                <c:formatCode>#,##0</c:formatCode>
                <c:ptCount val="105"/>
                <c:pt idx="3">
                  <c:v>43.776907102885048</c:v>
                </c:pt>
                <c:pt idx="4">
                  <c:v>43.833680339536329</c:v>
                </c:pt>
                <c:pt idx="5">
                  <c:v>44.335431039816442</c:v>
                </c:pt>
                <c:pt idx="6">
                  <c:v>44.806009147092411</c:v>
                </c:pt>
                <c:pt idx="7">
                  <c:v>44.935521855526929</c:v>
                </c:pt>
                <c:pt idx="8">
                  <c:v>44.66860145411286</c:v>
                </c:pt>
                <c:pt idx="9">
                  <c:v>44.522548822533913</c:v>
                </c:pt>
                <c:pt idx="10">
                  <c:v>43.599924804472423</c:v>
                </c:pt>
                <c:pt idx="11">
                  <c:v>43.246218644731776</c:v>
                </c:pt>
                <c:pt idx="12">
                  <c:v>43.551625719347555</c:v>
                </c:pt>
                <c:pt idx="13">
                  <c:v>43.711632293159127</c:v>
                </c:pt>
                <c:pt idx="14">
                  <c:v>43.968443156436862</c:v>
                </c:pt>
                <c:pt idx="15">
                  <c:v>44.459184503864741</c:v>
                </c:pt>
                <c:pt idx="16">
                  <c:v>44.484134382793066</c:v>
                </c:pt>
                <c:pt idx="17">
                  <c:v>44.613615354029207</c:v>
                </c:pt>
                <c:pt idx="18">
                  <c:v>44.679770296904337</c:v>
                </c:pt>
                <c:pt idx="19">
                  <c:v>44.094144814698694</c:v>
                </c:pt>
                <c:pt idx="20">
                  <c:v>44.021449752561672</c:v>
                </c:pt>
                <c:pt idx="21">
                  <c:v>43.773993860071919</c:v>
                </c:pt>
                <c:pt idx="22">
                  <c:v>43.476956922599086</c:v>
                </c:pt>
                <c:pt idx="23">
                  <c:v>43.275944792302489</c:v>
                </c:pt>
                <c:pt idx="24">
                  <c:v>43.111535658762342</c:v>
                </c:pt>
                <c:pt idx="25">
                  <c:v>43.019499036272464</c:v>
                </c:pt>
                <c:pt idx="26">
                  <c:v>43.133828344580635</c:v>
                </c:pt>
                <c:pt idx="27">
                  <c:v>43.484566177301431</c:v>
                </c:pt>
                <c:pt idx="28">
                  <c:v>44.006846625706601</c:v>
                </c:pt>
                <c:pt idx="29">
                  <c:v>44.078486977800218</c:v>
                </c:pt>
                <c:pt idx="30">
                  <c:v>44.200582613230274</c:v>
                </c:pt>
                <c:pt idx="31">
                  <c:v>44.179263346504428</c:v>
                </c:pt>
                <c:pt idx="32">
                  <c:v>43.985746723894266</c:v>
                </c:pt>
                <c:pt idx="33">
                  <c:v>44.164946442921249</c:v>
                </c:pt>
                <c:pt idx="34">
                  <c:v>44.124599169813322</c:v>
                </c:pt>
                <c:pt idx="35">
                  <c:v>43.87723376754964</c:v>
                </c:pt>
                <c:pt idx="36">
                  <c:v>43.556945780593878</c:v>
                </c:pt>
                <c:pt idx="37">
                  <c:v>43.254292264755442</c:v>
                </c:pt>
                <c:pt idx="38">
                  <c:v>43.072173836643856</c:v>
                </c:pt>
                <c:pt idx="39">
                  <c:v>43.408568775785426</c:v>
                </c:pt>
                <c:pt idx="40">
                  <c:v>43.430998070083788</c:v>
                </c:pt>
                <c:pt idx="41">
                  <c:v>43.468967155528183</c:v>
                </c:pt>
                <c:pt idx="42">
                  <c:v>43.803169575361913</c:v>
                </c:pt>
                <c:pt idx="43">
                  <c:v>43.430434665449411</c:v>
                </c:pt>
                <c:pt idx="44">
                  <c:v>43.13145007161188</c:v>
                </c:pt>
                <c:pt idx="45">
                  <c:v>43.177946235294741</c:v>
                </c:pt>
                <c:pt idx="46">
                  <c:v>42.650479457352901</c:v>
                </c:pt>
                <c:pt idx="47">
                  <c:v>42.704995648455196</c:v>
                </c:pt>
                <c:pt idx="48">
                  <c:v>42.888163296957885</c:v>
                </c:pt>
                <c:pt idx="49">
                  <c:v>42.853862158936288</c:v>
                </c:pt>
                <c:pt idx="50">
                  <c:v>43.0559954242771</c:v>
                </c:pt>
                <c:pt idx="51">
                  <c:v>43.188519927273006</c:v>
                </c:pt>
                <c:pt idx="52">
                  <c:v>43.301607434375853</c:v>
                </c:pt>
                <c:pt idx="53">
                  <c:v>43.433342147276676</c:v>
                </c:pt>
                <c:pt idx="54">
                  <c:v>43.65077532337731</c:v>
                </c:pt>
                <c:pt idx="55">
                  <c:v>43.671419278861123</c:v>
                </c:pt>
                <c:pt idx="56">
                  <c:v>43.796834510160338</c:v>
                </c:pt>
                <c:pt idx="57">
                  <c:v>43.814435084872983</c:v>
                </c:pt>
                <c:pt idx="58">
                  <c:v>43.572976751539649</c:v>
                </c:pt>
                <c:pt idx="59">
                  <c:v>43.948887492406129</c:v>
                </c:pt>
                <c:pt idx="60">
                  <c:v>44.175165556726512</c:v>
                </c:pt>
                <c:pt idx="61">
                  <c:v>43.988120537569422</c:v>
                </c:pt>
                <c:pt idx="62">
                  <c:v>44.127676851562597</c:v>
                </c:pt>
                <c:pt idx="63">
                  <c:v>43.644417570881139</c:v>
                </c:pt>
                <c:pt idx="64">
                  <c:v>43.588458627323462</c:v>
                </c:pt>
                <c:pt idx="65">
                  <c:v>43.758112241781305</c:v>
                </c:pt>
                <c:pt idx="66">
                  <c:v>43.337717777499115</c:v>
                </c:pt>
                <c:pt idx="67">
                  <c:v>43.475624066140696</c:v>
                </c:pt>
                <c:pt idx="68">
                  <c:v>43.009742106755695</c:v>
                </c:pt>
                <c:pt idx="69">
                  <c:v>42.792062176508388</c:v>
                </c:pt>
                <c:pt idx="70">
                  <c:v>42.521538319628945</c:v>
                </c:pt>
                <c:pt idx="71">
                  <c:v>42.429240139095462</c:v>
                </c:pt>
                <c:pt idx="72">
                  <c:v>42.137440734360261</c:v>
                </c:pt>
                <c:pt idx="73">
                  <c:v>41.519063793444744</c:v>
                </c:pt>
                <c:pt idx="74">
                  <c:v>41.486140086327488</c:v>
                </c:pt>
                <c:pt idx="75">
                  <c:v>41.129054154241558</c:v>
                </c:pt>
                <c:pt idx="76">
                  <c:v>40.752824241986801</c:v>
                </c:pt>
                <c:pt idx="77">
                  <c:v>41.039384425098717</c:v>
                </c:pt>
                <c:pt idx="78">
                  <c:v>41.092917451212386</c:v>
                </c:pt>
                <c:pt idx="79">
                  <c:v>40.942805968492209</c:v>
                </c:pt>
                <c:pt idx="80">
                  <c:v>41.472679297134007</c:v>
                </c:pt>
                <c:pt idx="81">
                  <c:v>41.670589310617792</c:v>
                </c:pt>
                <c:pt idx="82">
                  <c:v>41.974709345728606</c:v>
                </c:pt>
                <c:pt idx="83">
                  <c:v>42.150303249807493</c:v>
                </c:pt>
                <c:pt idx="84">
                  <c:v>42.384375499396981</c:v>
                </c:pt>
                <c:pt idx="85">
                  <c:v>43.026578383294819</c:v>
                </c:pt>
                <c:pt idx="86">
                  <c:v>43.035408838553849</c:v>
                </c:pt>
                <c:pt idx="87">
                  <c:v>43.383836673605401</c:v>
                </c:pt>
                <c:pt idx="88">
                  <c:v>43.840874488731444</c:v>
                </c:pt>
                <c:pt idx="89">
                  <c:v>43.252220277591128</c:v>
                </c:pt>
                <c:pt idx="90">
                  <c:v>43.436475677363767</c:v>
                </c:pt>
                <c:pt idx="91">
                  <c:v>43.288530132809313</c:v>
                </c:pt>
                <c:pt idx="92">
                  <c:v>42.629558549252032</c:v>
                </c:pt>
                <c:pt idx="93">
                  <c:v>42.721300779741057</c:v>
                </c:pt>
                <c:pt idx="94">
                  <c:v>42.706661303260809</c:v>
                </c:pt>
                <c:pt idx="95">
                  <c:v>42.46007196409434</c:v>
                </c:pt>
                <c:pt idx="96">
                  <c:v>42.673846144365982</c:v>
                </c:pt>
                <c:pt idx="97">
                  <c:v>42.314122022158955</c:v>
                </c:pt>
                <c:pt idx="98">
                  <c:v>41.799416139806013</c:v>
                </c:pt>
                <c:pt idx="99">
                  <c:v>41.821477201537419</c:v>
                </c:pt>
                <c:pt idx="100">
                  <c:v>41.448381378441596</c:v>
                </c:pt>
                <c:pt idx="101">
                  <c:v>41.30099765751136</c:v>
                </c:pt>
                <c:pt idx="102">
                  <c:v>41.293889814374111</c:v>
                </c:pt>
                <c:pt idx="103">
                  <c:v>40.852623034859874</c:v>
                </c:pt>
                <c:pt idx="104">
                  <c:v>40.588210618008432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2-4065-8C73-DB03DC0FA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 Finance: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Data'!$J$4</c:f>
              <c:strCache>
                <c:ptCount val="1"/>
                <c:pt idx="0">
                  <c:v>Average Proposer Age (Boom Annual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Data'!$J$5:$J$109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39.580882352941174</c:v>
                </c:pt>
                <c:pt idx="24">
                  <c:v>38.544794188861978</c:v>
                </c:pt>
                <c:pt idx="25">
                  <c:v>38.944751381215461</c:v>
                </c:pt>
                <c:pt idx="26">
                  <c:v>40.524999999999999</c:v>
                </c:pt>
                <c:pt idx="27">
                  <c:v>39.08514190317193</c:v>
                </c:pt>
                <c:pt idx="28">
                  <c:v>38.692344290431159</c:v>
                </c:pt>
                <c:pt idx="29">
                  <c:v>38.407730673316721</c:v>
                </c:pt>
                <c:pt idx="30">
                  <c:v>39.360852197070592</c:v>
                </c:pt>
                <c:pt idx="31">
                  <c:v>38.958333333333343</c:v>
                </c:pt>
                <c:pt idx="32">
                  <c:v>39.152298850574645</c:v>
                </c:pt>
                <c:pt idx="33">
                  <c:v>39.632694248234074</c:v>
                </c:pt>
                <c:pt idx="34">
                  <c:v>39.716894977168955</c:v>
                </c:pt>
                <c:pt idx="35">
                  <c:v>40.100225225225238</c:v>
                </c:pt>
                <c:pt idx="36">
                  <c:v>39.856209150326762</c:v>
                </c:pt>
                <c:pt idx="37">
                  <c:v>40.334293948126771</c:v>
                </c:pt>
                <c:pt idx="38">
                  <c:v>39.941176470588239</c:v>
                </c:pt>
                <c:pt idx="39">
                  <c:v>40.091024020227579</c:v>
                </c:pt>
                <c:pt idx="40">
                  <c:v>39.512906846240135</c:v>
                </c:pt>
                <c:pt idx="41">
                  <c:v>40.311331133113306</c:v>
                </c:pt>
                <c:pt idx="42">
                  <c:v>39.691853600944476</c:v>
                </c:pt>
                <c:pt idx="43">
                  <c:v>39.41145833333335</c:v>
                </c:pt>
                <c:pt idx="44">
                  <c:v>40.525170068027229</c:v>
                </c:pt>
                <c:pt idx="45">
                  <c:v>39.518072289156635</c:v>
                </c:pt>
                <c:pt idx="46">
                  <c:v>40.71173469387756</c:v>
                </c:pt>
                <c:pt idx="47">
                  <c:v>39.606060606060645</c:v>
                </c:pt>
                <c:pt idx="48">
                  <c:v>40.082802547770733</c:v>
                </c:pt>
                <c:pt idx="49">
                  <c:v>40.425304878048827</c:v>
                </c:pt>
                <c:pt idx="50">
                  <c:v>39.426183844011163</c:v>
                </c:pt>
                <c:pt idx="51">
                  <c:v>40.045075125208726</c:v>
                </c:pt>
                <c:pt idx="52">
                  <c:v>40.028933092224278</c:v>
                </c:pt>
                <c:pt idx="53">
                  <c:v>39.853309481216485</c:v>
                </c:pt>
                <c:pt idx="54">
                  <c:v>39.51449275362323</c:v>
                </c:pt>
                <c:pt idx="55">
                  <c:v>40.809968847352046</c:v>
                </c:pt>
                <c:pt idx="56">
                  <c:v>40.756809338521464</c:v>
                </c:pt>
                <c:pt idx="57">
                  <c:v>40.248175182481802</c:v>
                </c:pt>
                <c:pt idx="58">
                  <c:v>40.536741214057542</c:v>
                </c:pt>
                <c:pt idx="59">
                  <c:v>39.395833333333364</c:v>
                </c:pt>
                <c:pt idx="60">
                  <c:v>39.805439330543983</c:v>
                </c:pt>
                <c:pt idx="61">
                  <c:v>39.11131059245966</c:v>
                </c:pt>
                <c:pt idx="62">
                  <c:v>40.587248322147694</c:v>
                </c:pt>
                <c:pt idx="63">
                  <c:v>40.601809954751168</c:v>
                </c:pt>
                <c:pt idx="64">
                  <c:v>40.043636363636402</c:v>
                </c:pt>
                <c:pt idx="65">
                  <c:v>39.376344086021561</c:v>
                </c:pt>
                <c:pt idx="66">
                  <c:v>39.873887240356112</c:v>
                </c:pt>
                <c:pt idx="67">
                  <c:v>39.081364829396335</c:v>
                </c:pt>
                <c:pt idx="68">
                  <c:v>39.163291139240528</c:v>
                </c:pt>
                <c:pt idx="69">
                  <c:v>39.052941176470618</c:v>
                </c:pt>
                <c:pt idx="70">
                  <c:v>38.908563134978259</c:v>
                </c:pt>
                <c:pt idx="71">
                  <c:v>38.695732838590011</c:v>
                </c:pt>
                <c:pt idx="72">
                  <c:v>38.737804878048806</c:v>
                </c:pt>
                <c:pt idx="73">
                  <c:v>38.423337856173696</c:v>
                </c:pt>
                <c:pt idx="74">
                  <c:v>38.395380434782624</c:v>
                </c:pt>
                <c:pt idx="75">
                  <c:v>38.891530460624097</c:v>
                </c:pt>
                <c:pt idx="76">
                  <c:v>38.188095238095251</c:v>
                </c:pt>
                <c:pt idx="77">
                  <c:v>38.457106274007664</c:v>
                </c:pt>
                <c:pt idx="78">
                  <c:v>39.087227414330258</c:v>
                </c:pt>
                <c:pt idx="79">
                  <c:v>39.158163265306172</c:v>
                </c:pt>
                <c:pt idx="80">
                  <c:v>38.739637305699453</c:v>
                </c:pt>
                <c:pt idx="81">
                  <c:v>38.978316326530582</c:v>
                </c:pt>
                <c:pt idx="82">
                  <c:v>39.25233644859815</c:v>
                </c:pt>
                <c:pt idx="83">
                  <c:v>39.219573400250951</c:v>
                </c:pt>
                <c:pt idx="84">
                  <c:v>39.093573844419346</c:v>
                </c:pt>
                <c:pt idx="85">
                  <c:v>38.674178280540403</c:v>
                </c:pt>
                <c:pt idx="86">
                  <c:v>39.006127450980394</c:v>
                </c:pt>
                <c:pt idx="87">
                  <c:v>39.334549878345506</c:v>
                </c:pt>
                <c:pt idx="88">
                  <c:v>39.450980392156886</c:v>
                </c:pt>
                <c:pt idx="89">
                  <c:v>39.524948024947989</c:v>
                </c:pt>
                <c:pt idx="90">
                  <c:v>39.913513513513522</c:v>
                </c:pt>
                <c:pt idx="91">
                  <c:v>38.681392235609124</c:v>
                </c:pt>
                <c:pt idx="92">
                  <c:v>38.405797101449309</c:v>
                </c:pt>
                <c:pt idx="93">
                  <c:v>39.056122448979593</c:v>
                </c:pt>
                <c:pt idx="94">
                  <c:v>39.06145966709348</c:v>
                </c:pt>
                <c:pt idx="95">
                  <c:v>38.954480796586083</c:v>
                </c:pt>
                <c:pt idx="96">
                  <c:v>38.424920127795559</c:v>
                </c:pt>
                <c:pt idx="97">
                  <c:v>38.04874446085676</c:v>
                </c:pt>
                <c:pt idx="98">
                  <c:v>38.234993614303924</c:v>
                </c:pt>
                <c:pt idx="99">
                  <c:v>37.3142437591777</c:v>
                </c:pt>
                <c:pt idx="100">
                  <c:v>38.897785349233423</c:v>
                </c:pt>
                <c:pt idx="101">
                  <c:v>38.246045694200397</c:v>
                </c:pt>
                <c:pt idx="102">
                  <c:v>37.800295857988196</c:v>
                </c:pt>
                <c:pt idx="103">
                  <c:v>36.91340206185572</c:v>
                </c:pt>
                <c:pt idx="104">
                  <c:v>37.478411053540626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5A-4A33-B2F9-EC723ADE6889}"/>
            </c:ext>
          </c:extLst>
        </c:ser>
        <c:ser>
          <c:idx val="2"/>
          <c:order val="1"/>
          <c:tx>
            <c:strRef>
              <c:f>'Averages Graph Data'!$K$4</c:f>
              <c:strCache>
                <c:ptCount val="1"/>
                <c:pt idx="0">
                  <c:v>Average Proposer Age - 4 Week Avg (Boom Annual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Data'!$K$5:$K$109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39.398856980754658</c:v>
                </c:pt>
                <c:pt idx="27">
                  <c:v>39.274921868312347</c:v>
                </c:pt>
                <c:pt idx="28">
                  <c:v>39.311809393704635</c:v>
                </c:pt>
                <c:pt idx="29">
                  <c:v>39.177554216729945</c:v>
                </c:pt>
                <c:pt idx="30">
                  <c:v>38.886517265997604</c:v>
                </c:pt>
                <c:pt idx="31">
                  <c:v>38.854815123537954</c:v>
                </c:pt>
                <c:pt idx="32">
                  <c:v>38.969803763573829</c:v>
                </c:pt>
                <c:pt idx="33">
                  <c:v>39.27604465730316</c:v>
                </c:pt>
                <c:pt idx="34">
                  <c:v>39.365055352327758</c:v>
                </c:pt>
                <c:pt idx="35">
                  <c:v>39.650528325300726</c:v>
                </c:pt>
                <c:pt idx="36">
                  <c:v>39.826505900238757</c:v>
                </c:pt>
                <c:pt idx="37">
                  <c:v>40.001905825211935</c:v>
                </c:pt>
                <c:pt idx="38">
                  <c:v>40.057976198566749</c:v>
                </c:pt>
                <c:pt idx="39">
                  <c:v>40.055675897317343</c:v>
                </c:pt>
                <c:pt idx="40">
                  <c:v>39.969850321295681</c:v>
                </c:pt>
                <c:pt idx="41">
                  <c:v>39.964109617542313</c:v>
                </c:pt>
                <c:pt idx="42">
                  <c:v>39.901778900131376</c:v>
                </c:pt>
                <c:pt idx="43">
                  <c:v>39.731887478407813</c:v>
                </c:pt>
                <c:pt idx="44">
                  <c:v>39.984953283854587</c:v>
                </c:pt>
                <c:pt idx="45">
                  <c:v>39.786638572865421</c:v>
                </c:pt>
                <c:pt idx="46">
                  <c:v>40.041608846098697</c:v>
                </c:pt>
                <c:pt idx="47">
                  <c:v>40.090259414280517</c:v>
                </c:pt>
                <c:pt idx="48">
                  <c:v>39.979667534216397</c:v>
                </c:pt>
                <c:pt idx="49">
                  <c:v>40.206475681439443</c:v>
                </c:pt>
                <c:pt idx="50">
                  <c:v>39.88508796897284</c:v>
                </c:pt>
                <c:pt idx="51">
                  <c:v>39.994841598759862</c:v>
                </c:pt>
                <c:pt idx="52">
                  <c:v>39.98137423487325</c:v>
                </c:pt>
                <c:pt idx="53">
                  <c:v>39.838375385665159</c:v>
                </c:pt>
                <c:pt idx="54">
                  <c:v>39.860452613068176</c:v>
                </c:pt>
                <c:pt idx="55">
                  <c:v>40.051676043604012</c:v>
                </c:pt>
                <c:pt idx="56">
                  <c:v>40.233645105178304</c:v>
                </c:pt>
                <c:pt idx="57">
                  <c:v>40.332361530494637</c:v>
                </c:pt>
                <c:pt idx="58">
                  <c:v>40.587923645603212</c:v>
                </c:pt>
                <c:pt idx="59">
                  <c:v>40.234389767098541</c:v>
                </c:pt>
                <c:pt idx="60">
                  <c:v>39.996547265104169</c:v>
                </c:pt>
                <c:pt idx="61">
                  <c:v>39.712331117598637</c:v>
                </c:pt>
                <c:pt idx="62">
                  <c:v>39.724957894621177</c:v>
                </c:pt>
                <c:pt idx="63">
                  <c:v>40.026452049975624</c:v>
                </c:pt>
                <c:pt idx="64">
                  <c:v>40.086001308248733</c:v>
                </c:pt>
                <c:pt idx="65">
                  <c:v>40.152259681639208</c:v>
                </c:pt>
                <c:pt idx="66">
                  <c:v>39.973919411191311</c:v>
                </c:pt>
                <c:pt idx="67">
                  <c:v>39.593808129852604</c:v>
                </c:pt>
                <c:pt idx="68">
                  <c:v>39.373721823753634</c:v>
                </c:pt>
                <c:pt idx="69">
                  <c:v>39.2928710963659</c:v>
                </c:pt>
                <c:pt idx="70">
                  <c:v>39.051540070021439</c:v>
                </c:pt>
                <c:pt idx="71">
                  <c:v>38.955132072319856</c:v>
                </c:pt>
                <c:pt idx="72">
                  <c:v>38.848760507021922</c:v>
                </c:pt>
                <c:pt idx="73">
                  <c:v>38.691359676947691</c:v>
                </c:pt>
                <c:pt idx="74">
                  <c:v>38.563064001898788</c:v>
                </c:pt>
                <c:pt idx="75">
                  <c:v>38.612013407407304</c:v>
                </c:pt>
                <c:pt idx="76">
                  <c:v>38.47458599741892</c:v>
                </c:pt>
                <c:pt idx="77">
                  <c:v>38.483028101877409</c:v>
                </c:pt>
                <c:pt idx="78">
                  <c:v>38.655989846764314</c:v>
                </c:pt>
                <c:pt idx="79">
                  <c:v>38.72264804793484</c:v>
                </c:pt>
                <c:pt idx="80">
                  <c:v>38.86053356483589</c:v>
                </c:pt>
                <c:pt idx="81">
                  <c:v>38.990836077966613</c:v>
                </c:pt>
                <c:pt idx="82">
                  <c:v>39.032113336533591</c:v>
                </c:pt>
                <c:pt idx="83">
                  <c:v>39.047465870269789</c:v>
                </c:pt>
                <c:pt idx="84">
                  <c:v>39.135950004949756</c:v>
                </c:pt>
                <c:pt idx="85">
                  <c:v>39.059915493452209</c:v>
                </c:pt>
                <c:pt idx="86">
                  <c:v>38.998363244047773</c:v>
                </c:pt>
                <c:pt idx="87">
                  <c:v>39.02710736357141</c:v>
                </c:pt>
                <c:pt idx="88">
                  <c:v>39.116459000505799</c:v>
                </c:pt>
                <c:pt idx="89">
                  <c:v>39.329151436607688</c:v>
                </c:pt>
                <c:pt idx="90">
                  <c:v>39.555997952240972</c:v>
                </c:pt>
                <c:pt idx="91">
                  <c:v>39.392708541556885</c:v>
                </c:pt>
                <c:pt idx="92">
                  <c:v>39.131412718879986</c:v>
                </c:pt>
                <c:pt idx="93">
                  <c:v>39.014206324887887</c:v>
                </c:pt>
                <c:pt idx="94">
                  <c:v>38.801192863282878</c:v>
                </c:pt>
                <c:pt idx="95">
                  <c:v>38.869465003527111</c:v>
                </c:pt>
                <c:pt idx="96">
                  <c:v>38.874245760113681</c:v>
                </c:pt>
                <c:pt idx="97">
                  <c:v>38.622401263082971</c:v>
                </c:pt>
                <c:pt idx="98">
                  <c:v>38.415784749885582</c:v>
                </c:pt>
                <c:pt idx="99">
                  <c:v>38.005725490533493</c:v>
                </c:pt>
                <c:pt idx="100">
                  <c:v>38.123941795892954</c:v>
                </c:pt>
                <c:pt idx="101">
                  <c:v>38.173267104228863</c:v>
                </c:pt>
                <c:pt idx="102">
                  <c:v>38.064592665149931</c:v>
                </c:pt>
                <c:pt idx="103">
                  <c:v>37.964382240819432</c:v>
                </c:pt>
                <c:pt idx="104">
                  <c:v>37.609538666896235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5A-4A33-B2F9-EC723ADE6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Data'!$F$4</c:f>
              <c:strCache>
                <c:ptCount val="1"/>
                <c:pt idx="0">
                  <c:v>Average Proposer Age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Data'!$F$5:$F$109</c:f>
              <c:numCache>
                <c:formatCode>#,##0</c:formatCode>
                <c:ptCount val="105"/>
                <c:pt idx="0">
                  <c:v>43.642276422764226</c:v>
                </c:pt>
                <c:pt idx="1">
                  <c:v>42.159663865546214</c:v>
                </c:pt>
                <c:pt idx="2">
                  <c:v>44.789256198347104</c:v>
                </c:pt>
                <c:pt idx="3">
                  <c:v>44.516431924882625</c:v>
                </c:pt>
                <c:pt idx="4">
                  <c:v>43.869369369369373</c:v>
                </c:pt>
                <c:pt idx="5">
                  <c:v>44.166666666666664</c:v>
                </c:pt>
                <c:pt idx="6">
                  <c:v>46.671568627450995</c:v>
                </c:pt>
                <c:pt idx="7">
                  <c:v>45.03448275862069</c:v>
                </c:pt>
                <c:pt idx="8">
                  <c:v>42.801687763713083</c:v>
                </c:pt>
                <c:pt idx="9">
                  <c:v>43.582456140350878</c:v>
                </c:pt>
                <c:pt idx="10">
                  <c:v>42.981072555205046</c:v>
                </c:pt>
                <c:pt idx="11">
                  <c:v>43.619658119658105</c:v>
                </c:pt>
                <c:pt idx="12">
                  <c:v>44.023316062176171</c:v>
                </c:pt>
                <c:pt idx="13">
                  <c:v>44.222482435597172</c:v>
                </c:pt>
                <c:pt idx="14">
                  <c:v>44.008316008315987</c:v>
                </c:pt>
                <c:pt idx="15">
                  <c:v>45.582623509369647</c:v>
                </c:pt>
                <c:pt idx="16">
                  <c:v>44.123115577889443</c:v>
                </c:pt>
                <c:pt idx="17">
                  <c:v>44.740406320541759</c:v>
                </c:pt>
                <c:pt idx="18">
                  <c:v>44.2729357798165</c:v>
                </c:pt>
                <c:pt idx="19">
                  <c:v>43.240121580547097</c:v>
                </c:pt>
                <c:pt idx="20">
                  <c:v>43.832335329341326</c:v>
                </c:pt>
                <c:pt idx="21">
                  <c:v>43.750582750582744</c:v>
                </c:pt>
                <c:pt idx="22">
                  <c:v>43.084788029925178</c:v>
                </c:pt>
                <c:pt idx="23">
                  <c:v>41.759581881533101</c:v>
                </c:pt>
                <c:pt idx="24">
                  <c:v>41.075740944017561</c:v>
                </c:pt>
                <c:pt idx="25">
                  <c:v>41.13566433566433</c:v>
                </c:pt>
                <c:pt idx="26">
                  <c:v>41.994871794871791</c:v>
                </c:pt>
                <c:pt idx="27">
                  <c:v>41.016848364717525</c:v>
                </c:pt>
                <c:pt idx="28">
                  <c:v>40.91223773469315</c:v>
                </c:pt>
                <c:pt idx="29">
                  <c:v>40.241267262388327</c:v>
                </c:pt>
                <c:pt idx="30">
                  <c:v>41.209171359613869</c:v>
                </c:pt>
                <c:pt idx="31">
                  <c:v>40.640871525169068</c:v>
                </c:pt>
                <c:pt idx="32">
                  <c:v>40.852480417754542</c:v>
                </c:pt>
                <c:pt idx="33">
                  <c:v>41.270502645502638</c:v>
                </c:pt>
                <c:pt idx="34">
                  <c:v>41.158718330849503</c:v>
                </c:pt>
                <c:pt idx="35">
                  <c:v>40.955657492354767</c:v>
                </c:pt>
                <c:pt idx="36">
                  <c:v>40.871093749999986</c:v>
                </c:pt>
                <c:pt idx="37">
                  <c:v>41.314033983637501</c:v>
                </c:pt>
                <c:pt idx="38">
                  <c:v>41.045454545454561</c:v>
                </c:pt>
                <c:pt idx="39">
                  <c:v>41.540016168148775</c:v>
                </c:pt>
                <c:pt idx="40">
                  <c:v>40.831016825164582</c:v>
                </c:pt>
                <c:pt idx="41">
                  <c:v>41.272113943028494</c:v>
                </c:pt>
                <c:pt idx="42">
                  <c:v>41.280757097791778</c:v>
                </c:pt>
                <c:pt idx="43">
                  <c:v>40.493528904227809</c:v>
                </c:pt>
                <c:pt idx="44">
                  <c:v>41.098701298701329</c:v>
                </c:pt>
                <c:pt idx="45">
                  <c:v>40.691063829787254</c:v>
                </c:pt>
                <c:pt idx="46">
                  <c:v>41.242634315424631</c:v>
                </c:pt>
                <c:pt idx="47">
                  <c:v>40.658835546476027</c:v>
                </c:pt>
                <c:pt idx="48">
                  <c:v>40.954298150163247</c:v>
                </c:pt>
                <c:pt idx="49">
                  <c:v>41.346960167714911</c:v>
                </c:pt>
                <c:pt idx="50">
                  <c:v>40.577220077220105</c:v>
                </c:pt>
                <c:pt idx="51">
                  <c:v>40.986842105263193</c:v>
                </c:pt>
                <c:pt idx="52">
                  <c:v>41.05452292441143</c:v>
                </c:pt>
                <c:pt idx="53">
                  <c:v>41.230224321133441</c:v>
                </c:pt>
                <c:pt idx="54">
                  <c:v>40.887626262626291</c:v>
                </c:pt>
                <c:pt idx="55">
                  <c:v>41.646808510638316</c:v>
                </c:pt>
                <c:pt idx="56">
                  <c:v>41.764935064935109</c:v>
                </c:pt>
                <c:pt idx="57">
                  <c:v>41.449938195302884</c:v>
                </c:pt>
                <c:pt idx="58">
                  <c:v>41.262557077625601</c:v>
                </c:pt>
                <c:pt idx="59">
                  <c:v>41.110444177671091</c:v>
                </c:pt>
                <c:pt idx="60">
                  <c:v>41.277777777777807</c:v>
                </c:pt>
                <c:pt idx="61">
                  <c:v>40.350062735257254</c:v>
                </c:pt>
                <c:pt idx="62">
                  <c:v>41.59280089988755</c:v>
                </c:pt>
                <c:pt idx="63">
                  <c:v>41.348279457768534</c:v>
                </c:pt>
                <c:pt idx="64">
                  <c:v>41.372773536895707</c:v>
                </c:pt>
                <c:pt idx="65">
                  <c:v>40.773234200743545</c:v>
                </c:pt>
                <c:pt idx="66">
                  <c:v>40.580392156862771</c:v>
                </c:pt>
                <c:pt idx="67">
                  <c:v>40.367977528089895</c:v>
                </c:pt>
                <c:pt idx="68">
                  <c:v>40.16262353998205</c:v>
                </c:pt>
                <c:pt idx="69">
                  <c:v>40.282520325203279</c:v>
                </c:pt>
                <c:pt idx="70">
                  <c:v>39.475206611570272</c:v>
                </c:pt>
                <c:pt idx="71">
                  <c:v>40.010512483574267</c:v>
                </c:pt>
                <c:pt idx="72">
                  <c:v>39.385863267670935</c:v>
                </c:pt>
                <c:pt idx="73">
                  <c:v>38.981963927855723</c:v>
                </c:pt>
                <c:pt idx="74">
                  <c:v>38.9816513761468</c:v>
                </c:pt>
                <c:pt idx="75">
                  <c:v>39.539170506912463</c:v>
                </c:pt>
                <c:pt idx="76">
                  <c:v>38.582488479262679</c:v>
                </c:pt>
                <c:pt idx="77">
                  <c:v>39.198616600790508</c:v>
                </c:pt>
                <c:pt idx="78">
                  <c:v>39.507246376811622</c:v>
                </c:pt>
                <c:pt idx="79">
                  <c:v>39.638601036269471</c:v>
                </c:pt>
                <c:pt idx="80">
                  <c:v>39.429743589743559</c:v>
                </c:pt>
                <c:pt idx="81">
                  <c:v>39.644260599793142</c:v>
                </c:pt>
                <c:pt idx="82">
                  <c:v>39.858201058201075</c:v>
                </c:pt>
                <c:pt idx="83">
                  <c:v>39.739656912209902</c:v>
                </c:pt>
                <c:pt idx="84">
                  <c:v>39.839562443026395</c:v>
                </c:pt>
                <c:pt idx="85">
                  <c:v>39.937903625239684</c:v>
                </c:pt>
                <c:pt idx="86">
                  <c:v>39.590180360721448</c:v>
                </c:pt>
                <c:pt idx="87">
                  <c:v>40.104696673189828</c:v>
                </c:pt>
                <c:pt idx="88">
                  <c:v>40.581011351909204</c:v>
                </c:pt>
                <c:pt idx="89">
                  <c:v>40.188477366255121</c:v>
                </c:pt>
                <c:pt idx="90">
                  <c:v>40.566277836691413</c:v>
                </c:pt>
                <c:pt idx="91">
                  <c:v>39.532139093782945</c:v>
                </c:pt>
                <c:pt idx="92">
                  <c:v>39.244644870349518</c:v>
                </c:pt>
                <c:pt idx="93">
                  <c:v>39.886639676113361</c:v>
                </c:pt>
                <c:pt idx="94">
                  <c:v>39.853807106598993</c:v>
                </c:pt>
                <c:pt idx="95">
                  <c:v>39.492571428571452</c:v>
                </c:pt>
                <c:pt idx="96">
                  <c:v>39.477188655980299</c:v>
                </c:pt>
                <c:pt idx="97">
                  <c:v>38.776207302709096</c:v>
                </c:pt>
                <c:pt idx="98">
                  <c:v>38.771023302938161</c:v>
                </c:pt>
                <c:pt idx="99">
                  <c:v>38.292431192660572</c:v>
                </c:pt>
                <c:pt idx="100">
                  <c:v>39.448043184885321</c:v>
                </c:pt>
                <c:pt idx="101">
                  <c:v>38.861454046639267</c:v>
                </c:pt>
                <c:pt idx="102">
                  <c:v>38.374401913875623</c:v>
                </c:pt>
                <c:pt idx="103">
                  <c:v>37.580906148867356</c:v>
                </c:pt>
                <c:pt idx="104">
                  <c:v>38.142664872139996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4A-438E-80EF-430ECA57B6FA}"/>
            </c:ext>
          </c:extLst>
        </c:ser>
        <c:ser>
          <c:idx val="2"/>
          <c:order val="1"/>
          <c:tx>
            <c:strRef>
              <c:f>'Averages Graph Data'!$G$4</c:f>
              <c:strCache>
                <c:ptCount val="1"/>
                <c:pt idx="0">
                  <c:v>Average Proposer Age - 4 Week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Data'!$G$5:$G$109</c:f>
              <c:numCache>
                <c:formatCode>#,##0</c:formatCode>
                <c:ptCount val="105"/>
                <c:pt idx="3">
                  <c:v>43.776907102885048</c:v>
                </c:pt>
                <c:pt idx="4">
                  <c:v>43.833680339536329</c:v>
                </c:pt>
                <c:pt idx="5">
                  <c:v>44.335431039816442</c:v>
                </c:pt>
                <c:pt idx="6">
                  <c:v>44.806009147092411</c:v>
                </c:pt>
                <c:pt idx="7">
                  <c:v>44.935521855526929</c:v>
                </c:pt>
                <c:pt idx="8">
                  <c:v>44.66860145411286</c:v>
                </c:pt>
                <c:pt idx="9">
                  <c:v>44.522548822533913</c:v>
                </c:pt>
                <c:pt idx="10">
                  <c:v>43.599924804472423</c:v>
                </c:pt>
                <c:pt idx="11">
                  <c:v>43.246218644731776</c:v>
                </c:pt>
                <c:pt idx="12">
                  <c:v>43.551625719347555</c:v>
                </c:pt>
                <c:pt idx="13">
                  <c:v>43.711632293159127</c:v>
                </c:pt>
                <c:pt idx="14">
                  <c:v>43.968443156436862</c:v>
                </c:pt>
                <c:pt idx="15">
                  <c:v>44.459184503864741</c:v>
                </c:pt>
                <c:pt idx="16">
                  <c:v>44.484134382793066</c:v>
                </c:pt>
                <c:pt idx="17">
                  <c:v>44.613615354029207</c:v>
                </c:pt>
                <c:pt idx="18">
                  <c:v>44.679770296904337</c:v>
                </c:pt>
                <c:pt idx="19">
                  <c:v>44.094144814698694</c:v>
                </c:pt>
                <c:pt idx="20">
                  <c:v>44.021449752561672</c:v>
                </c:pt>
                <c:pt idx="21">
                  <c:v>43.773993860071919</c:v>
                </c:pt>
                <c:pt idx="22">
                  <c:v>43.476956922599086</c:v>
                </c:pt>
                <c:pt idx="23">
                  <c:v>43.106821997845586</c:v>
                </c:pt>
                <c:pt idx="24">
                  <c:v>42.417673401514648</c:v>
                </c:pt>
                <c:pt idx="25">
                  <c:v>41.763943797785039</c:v>
                </c:pt>
                <c:pt idx="26">
                  <c:v>41.491464739021694</c:v>
                </c:pt>
                <c:pt idx="27">
                  <c:v>41.3057813598178</c:v>
                </c:pt>
                <c:pt idx="28">
                  <c:v>41.264905557486699</c:v>
                </c:pt>
                <c:pt idx="29">
                  <c:v>41.0413062891677</c:v>
                </c:pt>
                <c:pt idx="30">
                  <c:v>40.844881180353219</c:v>
                </c:pt>
                <c:pt idx="31">
                  <c:v>40.750886970466105</c:v>
                </c:pt>
                <c:pt idx="32">
                  <c:v>40.735947641231455</c:v>
                </c:pt>
                <c:pt idx="33">
                  <c:v>40.993256487010029</c:v>
                </c:pt>
                <c:pt idx="34">
                  <c:v>40.980643229818938</c:v>
                </c:pt>
                <c:pt idx="35">
                  <c:v>41.059339721615359</c:v>
                </c:pt>
                <c:pt idx="36">
                  <c:v>41.063993054676729</c:v>
                </c:pt>
                <c:pt idx="37">
                  <c:v>41.074875889210439</c:v>
                </c:pt>
                <c:pt idx="38">
                  <c:v>41.046559942861705</c:v>
                </c:pt>
                <c:pt idx="39">
                  <c:v>41.192649611810204</c:v>
                </c:pt>
                <c:pt idx="40">
                  <c:v>41.182630380601353</c:v>
                </c:pt>
                <c:pt idx="41">
                  <c:v>41.172150370449103</c:v>
                </c:pt>
                <c:pt idx="42">
                  <c:v>41.230976008533403</c:v>
                </c:pt>
                <c:pt idx="43">
                  <c:v>40.969354192553162</c:v>
                </c:pt>
                <c:pt idx="44">
                  <c:v>41.036275310937356</c:v>
                </c:pt>
                <c:pt idx="45">
                  <c:v>40.891012782627044</c:v>
                </c:pt>
                <c:pt idx="46">
                  <c:v>40.881482087035252</c:v>
                </c:pt>
                <c:pt idx="47">
                  <c:v>40.922808747597315</c:v>
                </c:pt>
                <c:pt idx="48">
                  <c:v>40.886707960462786</c:v>
                </c:pt>
                <c:pt idx="49">
                  <c:v>41.050682044944708</c:v>
                </c:pt>
                <c:pt idx="50">
                  <c:v>40.884328485393567</c:v>
                </c:pt>
                <c:pt idx="51">
                  <c:v>40.966330125090366</c:v>
                </c:pt>
                <c:pt idx="52">
                  <c:v>40.99138631865241</c:v>
                </c:pt>
                <c:pt idx="53">
                  <c:v>40.962202357007044</c:v>
                </c:pt>
                <c:pt idx="54">
                  <c:v>41.039803903358589</c:v>
                </c:pt>
                <c:pt idx="55">
                  <c:v>41.204795504702375</c:v>
                </c:pt>
                <c:pt idx="56">
                  <c:v>41.382398539833289</c:v>
                </c:pt>
                <c:pt idx="57">
                  <c:v>41.437327008375647</c:v>
                </c:pt>
                <c:pt idx="58">
                  <c:v>41.531059712125483</c:v>
                </c:pt>
                <c:pt idx="59">
                  <c:v>41.39696862888367</c:v>
                </c:pt>
                <c:pt idx="60">
                  <c:v>41.275179307094348</c:v>
                </c:pt>
                <c:pt idx="61">
                  <c:v>41.000210442082931</c:v>
                </c:pt>
                <c:pt idx="62">
                  <c:v>41.082771397648429</c:v>
                </c:pt>
                <c:pt idx="63">
                  <c:v>41.14223021767279</c:v>
                </c:pt>
                <c:pt idx="64">
                  <c:v>41.165979157452256</c:v>
                </c:pt>
                <c:pt idx="65">
                  <c:v>41.271772023823836</c:v>
                </c:pt>
                <c:pt idx="66">
                  <c:v>41.018669838067638</c:v>
                </c:pt>
                <c:pt idx="67">
                  <c:v>40.77359435564798</c:v>
                </c:pt>
                <c:pt idx="68">
                  <c:v>40.471056856419565</c:v>
                </c:pt>
                <c:pt idx="69">
                  <c:v>40.348378387534495</c:v>
                </c:pt>
                <c:pt idx="70">
                  <c:v>40.072082001211371</c:v>
                </c:pt>
                <c:pt idx="71">
                  <c:v>39.982715740082469</c:v>
                </c:pt>
                <c:pt idx="72">
                  <c:v>39.788525672004688</c:v>
                </c:pt>
                <c:pt idx="73">
                  <c:v>39.463386572667801</c:v>
                </c:pt>
                <c:pt idx="74">
                  <c:v>39.33999776381193</c:v>
                </c:pt>
                <c:pt idx="75">
                  <c:v>39.222162269646482</c:v>
                </c:pt>
                <c:pt idx="76">
                  <c:v>39.021318572544416</c:v>
                </c:pt>
                <c:pt idx="77">
                  <c:v>39.075481740778109</c:v>
                </c:pt>
                <c:pt idx="78">
                  <c:v>39.206880490944314</c:v>
                </c:pt>
                <c:pt idx="79">
                  <c:v>39.23173812328357</c:v>
                </c:pt>
                <c:pt idx="80">
                  <c:v>39.443551900903792</c:v>
                </c:pt>
                <c:pt idx="81">
                  <c:v>39.554962900654452</c:v>
                </c:pt>
                <c:pt idx="82">
                  <c:v>39.642701571001808</c:v>
                </c:pt>
                <c:pt idx="83">
                  <c:v>39.667965539986923</c:v>
                </c:pt>
                <c:pt idx="84">
                  <c:v>39.770420253307634</c:v>
                </c:pt>
                <c:pt idx="85">
                  <c:v>39.843831009669266</c:v>
                </c:pt>
                <c:pt idx="86">
                  <c:v>39.776825835299356</c:v>
                </c:pt>
                <c:pt idx="87">
                  <c:v>39.868085775544337</c:v>
                </c:pt>
                <c:pt idx="88">
                  <c:v>40.053448002765045</c:v>
                </c:pt>
                <c:pt idx="89">
                  <c:v>40.116091438018898</c:v>
                </c:pt>
                <c:pt idx="90">
                  <c:v>40.360115807011397</c:v>
                </c:pt>
                <c:pt idx="91">
                  <c:v>40.216976412159667</c:v>
                </c:pt>
                <c:pt idx="92">
                  <c:v>39.882884791769754</c:v>
                </c:pt>
                <c:pt idx="93">
                  <c:v>39.807425369234309</c:v>
                </c:pt>
                <c:pt idx="94">
                  <c:v>39.629307686711201</c:v>
                </c:pt>
                <c:pt idx="95">
                  <c:v>39.619415770408331</c:v>
                </c:pt>
                <c:pt idx="96">
                  <c:v>39.677551716816026</c:v>
                </c:pt>
                <c:pt idx="97">
                  <c:v>39.399943623464964</c:v>
                </c:pt>
                <c:pt idx="98">
                  <c:v>39.129247672549752</c:v>
                </c:pt>
                <c:pt idx="99">
                  <c:v>38.829212613572032</c:v>
                </c:pt>
                <c:pt idx="100">
                  <c:v>38.821926245798288</c:v>
                </c:pt>
                <c:pt idx="101">
                  <c:v>38.843237931780834</c:v>
                </c:pt>
                <c:pt idx="102">
                  <c:v>38.744082584515198</c:v>
                </c:pt>
                <c:pt idx="103">
                  <c:v>38.566201323566887</c:v>
                </c:pt>
                <c:pt idx="104">
                  <c:v>38.239856745380564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4A-438E-80EF-430ECA57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Data'!$P$4</c:f>
              <c:strCache>
                <c:ptCount val="1"/>
                <c:pt idx="0">
                  <c:v>Average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Data'!$P$5:$P$109</c:f>
              <c:numCache>
                <c:formatCode>0.0%</c:formatCode>
                <c:ptCount val="105"/>
                <c:pt idx="0">
                  <c:v>0.16472324723070797</c:v>
                </c:pt>
                <c:pt idx="1">
                  <c:v>0.14950566674338123</c:v>
                </c:pt>
                <c:pt idx="2">
                  <c:v>0.13649153790657234</c:v>
                </c:pt>
                <c:pt idx="3">
                  <c:v>0.15011158319864881</c:v>
                </c:pt>
                <c:pt idx="4">
                  <c:v>0.16078299447199915</c:v>
                </c:pt>
                <c:pt idx="5">
                  <c:v>0.11957700371136797</c:v>
                </c:pt>
                <c:pt idx="6">
                  <c:v>0.13113999529661999</c:v>
                </c:pt>
                <c:pt idx="7">
                  <c:v>0.1351363841741916</c:v>
                </c:pt>
                <c:pt idx="8">
                  <c:v>0.1275162648271799</c:v>
                </c:pt>
                <c:pt idx="9">
                  <c:v>0.10366215770074753</c:v>
                </c:pt>
                <c:pt idx="10">
                  <c:v>0.11094775640192125</c:v>
                </c:pt>
                <c:pt idx="11">
                  <c:v>7.9995469565503741E-2</c:v>
                </c:pt>
                <c:pt idx="12">
                  <c:v>8.7653539222936436E-2</c:v>
                </c:pt>
                <c:pt idx="13">
                  <c:v>6.3881992646648983E-2</c:v>
                </c:pt>
                <c:pt idx="14">
                  <c:v>8.3181109529638975E-2</c:v>
                </c:pt>
                <c:pt idx="15">
                  <c:v>8.0140484457989714E-2</c:v>
                </c:pt>
                <c:pt idx="16">
                  <c:v>7.9437682023281664E-2</c:v>
                </c:pt>
                <c:pt idx="17">
                  <c:v>8.0737487824549495E-2</c:v>
                </c:pt>
                <c:pt idx="18">
                  <c:v>7.3731933460013888E-2</c:v>
                </c:pt>
                <c:pt idx="19">
                  <c:v>8.0806123436856697E-2</c:v>
                </c:pt>
                <c:pt idx="20">
                  <c:v>7.3244045353491369E-2</c:v>
                </c:pt>
                <c:pt idx="21">
                  <c:v>7.0200945011042265E-2</c:v>
                </c:pt>
                <c:pt idx="22">
                  <c:v>7.686908918643999E-2</c:v>
                </c:pt>
                <c:pt idx="23">
                  <c:v>7.0688002787430024E-2</c:v>
                </c:pt>
                <c:pt idx="24">
                  <c:v>6.4772158449080991E-2</c:v>
                </c:pt>
                <c:pt idx="25">
                  <c:v>7.6217684952061299E-2</c:v>
                </c:pt>
                <c:pt idx="26">
                  <c:v>5.869752134480731E-2</c:v>
                </c:pt>
                <c:pt idx="27">
                  <c:v>6.7230990606368182E-2</c:v>
                </c:pt>
                <c:pt idx="28">
                  <c:v>6.0235540317474245E-2</c:v>
                </c:pt>
                <c:pt idx="29">
                  <c:v>6.825673911240844E-2</c:v>
                </c:pt>
                <c:pt idx="30">
                  <c:v>6.7800329904066411E-2</c:v>
                </c:pt>
                <c:pt idx="31">
                  <c:v>7.3116676472462269E-2</c:v>
                </c:pt>
                <c:pt idx="32">
                  <c:v>6.4488872985306131E-2</c:v>
                </c:pt>
                <c:pt idx="33">
                  <c:v>6.9575206538092682E-2</c:v>
                </c:pt>
                <c:pt idx="34">
                  <c:v>6.9935105556660729E-2</c:v>
                </c:pt>
                <c:pt idx="35">
                  <c:v>5.7999183454204017E-2</c:v>
                </c:pt>
                <c:pt idx="36">
                  <c:v>5.8132446405916249E-2</c:v>
                </c:pt>
                <c:pt idx="37">
                  <c:v>5.3494489250191582E-2</c:v>
                </c:pt>
                <c:pt idx="38">
                  <c:v>7.1063552245436534E-2</c:v>
                </c:pt>
                <c:pt idx="39">
                  <c:v>5.7405242820487597E-2</c:v>
                </c:pt>
                <c:pt idx="40">
                  <c:v>6.3274858225755473E-2</c:v>
                </c:pt>
                <c:pt idx="41">
                  <c:v>5.6875868522562836E-2</c:v>
                </c:pt>
                <c:pt idx="42">
                  <c:v>6.1956155018340162E-2</c:v>
                </c:pt>
                <c:pt idx="43">
                  <c:v>8.4326776574297754E-2</c:v>
                </c:pt>
                <c:pt idx="44">
                  <c:v>7.0832914294844854E-2</c:v>
                </c:pt>
                <c:pt idx="45">
                  <c:v>7.5660058868525726E-2</c:v>
                </c:pt>
                <c:pt idx="46">
                  <c:v>7.7603871822234841E-2</c:v>
                </c:pt>
                <c:pt idx="47">
                  <c:v>7.5326302502182099E-2</c:v>
                </c:pt>
                <c:pt idx="48">
                  <c:v>7.2378935493946084E-2</c:v>
                </c:pt>
                <c:pt idx="49">
                  <c:v>6.6719128741309919E-2</c:v>
                </c:pt>
                <c:pt idx="50">
                  <c:v>7.4131580849093506E-2</c:v>
                </c:pt>
                <c:pt idx="51">
                  <c:v>6.2419302105156546E-2</c:v>
                </c:pt>
                <c:pt idx="52">
                  <c:v>6.1937316180602713E-2</c:v>
                </c:pt>
                <c:pt idx="53">
                  <c:v>6.6857771916939854E-2</c:v>
                </c:pt>
                <c:pt idx="54">
                  <c:v>6.2244577177518939E-2</c:v>
                </c:pt>
                <c:pt idx="55">
                  <c:v>6.7227750633063507E-2</c:v>
                </c:pt>
                <c:pt idx="56">
                  <c:v>7.858339938155276E-2</c:v>
                </c:pt>
                <c:pt idx="57">
                  <c:v>6.7584240237385795E-2</c:v>
                </c:pt>
                <c:pt idx="58">
                  <c:v>7.3408272785382686E-2</c:v>
                </c:pt>
                <c:pt idx="59">
                  <c:v>5.9512618003807145E-2</c:v>
                </c:pt>
                <c:pt idx="60">
                  <c:v>6.8343962629003427E-2</c:v>
                </c:pt>
                <c:pt idx="61">
                  <c:v>6.7306644715778505E-2</c:v>
                </c:pt>
                <c:pt idx="62">
                  <c:v>7.812726401395606E-2</c:v>
                </c:pt>
                <c:pt idx="63">
                  <c:v>8.7538137823089168E-2</c:v>
                </c:pt>
                <c:pt idx="64">
                  <c:v>6.8954885455201523E-2</c:v>
                </c:pt>
                <c:pt idx="65">
                  <c:v>6.31289283592332E-2</c:v>
                </c:pt>
                <c:pt idx="66">
                  <c:v>7.8923989278307932E-2</c:v>
                </c:pt>
                <c:pt idx="67">
                  <c:v>7.3971393123755766E-2</c:v>
                </c:pt>
                <c:pt idx="68">
                  <c:v>7.1094036290731979E-2</c:v>
                </c:pt>
                <c:pt idx="69">
                  <c:v>7.8578771524224364E-2</c:v>
                </c:pt>
                <c:pt idx="70">
                  <c:v>8.0244485956876443E-2</c:v>
                </c:pt>
                <c:pt idx="71">
                  <c:v>6.0585313371066603E-2</c:v>
                </c:pt>
                <c:pt idx="72">
                  <c:v>6.7172338817012262E-2</c:v>
                </c:pt>
                <c:pt idx="73">
                  <c:v>5.1544089207861785E-2</c:v>
                </c:pt>
                <c:pt idx="74">
                  <c:v>6.9213750472535904E-2</c:v>
                </c:pt>
                <c:pt idx="75">
                  <c:v>7.3613893611274198E-2</c:v>
                </c:pt>
                <c:pt idx="76">
                  <c:v>6.5432817682357106E-2</c:v>
                </c:pt>
                <c:pt idx="77">
                  <c:v>6.719367588932805E-2</c:v>
                </c:pt>
                <c:pt idx="78">
                  <c:v>7.0048309178744009E-2</c:v>
                </c:pt>
                <c:pt idx="79">
                  <c:v>6.7357512953367948E-2</c:v>
                </c:pt>
                <c:pt idx="80">
                  <c:v>4.8205128205128178E-2</c:v>
                </c:pt>
                <c:pt idx="81">
                  <c:v>5.8945191313340195E-2</c:v>
                </c:pt>
                <c:pt idx="82">
                  <c:v>6.6666666666666693E-2</c:v>
                </c:pt>
                <c:pt idx="83">
                  <c:v>4.9445005045408691E-2</c:v>
                </c:pt>
                <c:pt idx="84">
                  <c:v>4.5578851412944356E-2</c:v>
                </c:pt>
                <c:pt idx="85">
                  <c:v>5.3128387221815052E-2</c:v>
                </c:pt>
                <c:pt idx="86">
                  <c:v>6.1122244488977955E-2</c:v>
                </c:pt>
                <c:pt idx="87">
                  <c:v>5.1859099804305274E-2</c:v>
                </c:pt>
                <c:pt idx="88">
                  <c:v>4.1279669762641906E-2</c:v>
                </c:pt>
                <c:pt idx="89">
                  <c:v>6.0082304526748925E-2</c:v>
                </c:pt>
                <c:pt idx="90">
                  <c:v>5.7264050901378587E-2</c:v>
                </c:pt>
                <c:pt idx="91">
                  <c:v>6.7439409905163353E-2</c:v>
                </c:pt>
                <c:pt idx="92">
                  <c:v>7.3280721533258208E-2</c:v>
                </c:pt>
                <c:pt idx="93">
                  <c:v>5.0607287449392725E-2</c:v>
                </c:pt>
                <c:pt idx="94">
                  <c:v>6.192893401015228E-2</c:v>
                </c:pt>
                <c:pt idx="95">
                  <c:v>8.1142857142857155E-2</c:v>
                </c:pt>
                <c:pt idx="96">
                  <c:v>6.2885326757090063E-2</c:v>
                </c:pt>
                <c:pt idx="97">
                  <c:v>7.8916372202591317E-2</c:v>
                </c:pt>
                <c:pt idx="98">
                  <c:v>6.4842958459979685E-2</c:v>
                </c:pt>
                <c:pt idx="99">
                  <c:v>7.7981651376146807E-2</c:v>
                </c:pt>
                <c:pt idx="100">
                  <c:v>6.8825910931174142E-2</c:v>
                </c:pt>
                <c:pt idx="101">
                  <c:v>6.9958847736625571E-2</c:v>
                </c:pt>
                <c:pt idx="102">
                  <c:v>9.3301435406698635E-2</c:v>
                </c:pt>
                <c:pt idx="103">
                  <c:v>9.7087378640776822E-2</c:v>
                </c:pt>
                <c:pt idx="104">
                  <c:v>8.0753701211305567E-2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9-4A98-A381-4F3C81B830E3}"/>
            </c:ext>
          </c:extLst>
        </c:ser>
        <c:ser>
          <c:idx val="1"/>
          <c:order val="1"/>
          <c:tx>
            <c:strRef>
              <c:f>'Averages Graph Data'!$Q$4</c:f>
              <c:strCache>
                <c:ptCount val="1"/>
                <c:pt idx="0">
                  <c:v>Average Proportion Under 25 - 4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Data'!$Q$5:$Q$109</c:f>
              <c:numCache>
                <c:formatCode>0.0%</c:formatCode>
                <c:ptCount val="105"/>
                <c:pt idx="3">
                  <c:v>0.15020800876982759</c:v>
                </c:pt>
                <c:pt idx="4">
                  <c:v>0.1492229455801504</c:v>
                </c:pt>
                <c:pt idx="5">
                  <c:v>0.14174077982214706</c:v>
                </c:pt>
                <c:pt idx="6">
                  <c:v>0.14040289416965898</c:v>
                </c:pt>
                <c:pt idx="7">
                  <c:v>0.13665909441354468</c:v>
                </c:pt>
                <c:pt idx="8">
                  <c:v>0.12834241200233987</c:v>
                </c:pt>
                <c:pt idx="9">
                  <c:v>0.12436370049968477</c:v>
                </c:pt>
                <c:pt idx="10">
                  <c:v>0.11931564077601009</c:v>
                </c:pt>
                <c:pt idx="11">
                  <c:v>0.1055304121238381</c:v>
                </c:pt>
                <c:pt idx="12">
                  <c:v>9.5564730722777241E-2</c:v>
                </c:pt>
                <c:pt idx="13">
                  <c:v>8.5619689459252607E-2</c:v>
                </c:pt>
                <c:pt idx="14">
                  <c:v>7.8678027741182044E-2</c:v>
                </c:pt>
                <c:pt idx="15">
                  <c:v>7.8714281464303523E-2</c:v>
                </c:pt>
                <c:pt idx="16">
                  <c:v>7.6660317164389841E-2</c:v>
                </c:pt>
                <c:pt idx="17">
                  <c:v>8.0874190958864958E-2</c:v>
                </c:pt>
                <c:pt idx="18">
                  <c:v>7.8511896941458686E-2</c:v>
                </c:pt>
                <c:pt idx="19">
                  <c:v>7.8678306686175425E-2</c:v>
                </c:pt>
                <c:pt idx="20">
                  <c:v>7.7129897518727855E-2</c:v>
                </c:pt>
                <c:pt idx="21">
                  <c:v>7.4495761815351058E-2</c:v>
                </c:pt>
                <c:pt idx="22">
                  <c:v>7.528005074695758E-2</c:v>
                </c:pt>
                <c:pt idx="23">
                  <c:v>7.2750520584600908E-2</c:v>
                </c:pt>
                <c:pt idx="24">
                  <c:v>7.0632548858498317E-2</c:v>
                </c:pt>
                <c:pt idx="25">
                  <c:v>7.2136733843753076E-2</c:v>
                </c:pt>
                <c:pt idx="26">
                  <c:v>6.7593841883344899E-2</c:v>
                </c:pt>
                <c:pt idx="27">
                  <c:v>6.6729588838079446E-2</c:v>
                </c:pt>
                <c:pt idx="28">
                  <c:v>6.5595434305177752E-2</c:v>
                </c:pt>
                <c:pt idx="29">
                  <c:v>6.3605197845264541E-2</c:v>
                </c:pt>
                <c:pt idx="30">
                  <c:v>6.5880899985079316E-2</c:v>
                </c:pt>
                <c:pt idx="31">
                  <c:v>6.7352321451602845E-2</c:v>
                </c:pt>
                <c:pt idx="32">
                  <c:v>6.841565461856082E-2</c:v>
                </c:pt>
                <c:pt idx="33">
                  <c:v>6.874527147498187E-2</c:v>
                </c:pt>
                <c:pt idx="34">
                  <c:v>6.9278965388130456E-2</c:v>
                </c:pt>
                <c:pt idx="35">
                  <c:v>6.549959213356589E-2</c:v>
                </c:pt>
                <c:pt idx="36">
                  <c:v>6.3910485488718416E-2</c:v>
                </c:pt>
                <c:pt idx="37">
                  <c:v>5.9890306166743137E-2</c:v>
                </c:pt>
                <c:pt idx="38">
                  <c:v>6.0172417838937092E-2</c:v>
                </c:pt>
                <c:pt idx="39">
                  <c:v>6.0023932680507985E-2</c:v>
                </c:pt>
                <c:pt idx="40">
                  <c:v>6.1309535635467802E-2</c:v>
                </c:pt>
                <c:pt idx="41">
                  <c:v>6.2154880453560601E-2</c:v>
                </c:pt>
                <c:pt idx="42">
                  <c:v>5.9878031146786526E-2</c:v>
                </c:pt>
                <c:pt idx="43">
                  <c:v>6.6608414585239056E-2</c:v>
                </c:pt>
                <c:pt idx="44">
                  <c:v>6.8497928602511401E-2</c:v>
                </c:pt>
                <c:pt idx="45">
                  <c:v>7.3193976189002127E-2</c:v>
                </c:pt>
                <c:pt idx="46">
                  <c:v>7.710590538997579E-2</c:v>
                </c:pt>
                <c:pt idx="47">
                  <c:v>7.4855786871946869E-2</c:v>
                </c:pt>
                <c:pt idx="48">
                  <c:v>7.524229217172218E-2</c:v>
                </c:pt>
                <c:pt idx="49">
                  <c:v>7.3007059639918243E-2</c:v>
                </c:pt>
                <c:pt idx="50">
                  <c:v>7.2138986896632895E-2</c:v>
                </c:pt>
                <c:pt idx="51">
                  <c:v>6.8912236797376514E-2</c:v>
                </c:pt>
                <c:pt idx="52">
                  <c:v>6.6301831969040673E-2</c:v>
                </c:pt>
                <c:pt idx="53">
                  <c:v>6.633649276294816E-2</c:v>
                </c:pt>
                <c:pt idx="54">
                  <c:v>6.3364741845054501E-2</c:v>
                </c:pt>
                <c:pt idx="55">
                  <c:v>6.4566853977031255E-2</c:v>
                </c:pt>
                <c:pt idx="56">
                  <c:v>6.8728374777268758E-2</c:v>
                </c:pt>
                <c:pt idx="57">
                  <c:v>6.8909991857380254E-2</c:v>
                </c:pt>
                <c:pt idx="58">
                  <c:v>7.1700915759346187E-2</c:v>
                </c:pt>
                <c:pt idx="59">
                  <c:v>6.9772132602032091E-2</c:v>
                </c:pt>
                <c:pt idx="60">
                  <c:v>6.7212273413894769E-2</c:v>
                </c:pt>
                <c:pt idx="61">
                  <c:v>6.7142874533492949E-2</c:v>
                </c:pt>
                <c:pt idx="62">
                  <c:v>6.8322622340636296E-2</c:v>
                </c:pt>
                <c:pt idx="63">
                  <c:v>7.532900229545679E-2</c:v>
                </c:pt>
                <c:pt idx="64">
                  <c:v>7.5481733002006307E-2</c:v>
                </c:pt>
                <c:pt idx="65">
                  <c:v>7.4437303912869984E-2</c:v>
                </c:pt>
                <c:pt idx="66">
                  <c:v>7.4636485228957952E-2</c:v>
                </c:pt>
                <c:pt idx="67">
                  <c:v>7.1244799054124605E-2</c:v>
                </c:pt>
                <c:pt idx="68">
                  <c:v>7.1779586763007219E-2</c:v>
                </c:pt>
                <c:pt idx="69">
                  <c:v>7.5642047554255007E-2</c:v>
                </c:pt>
                <c:pt idx="70">
                  <c:v>7.5972171723897142E-2</c:v>
                </c:pt>
                <c:pt idx="71">
                  <c:v>7.2625651785724846E-2</c:v>
                </c:pt>
                <c:pt idx="72">
                  <c:v>7.1645227417294927E-2</c:v>
                </c:pt>
                <c:pt idx="73">
                  <c:v>6.4886556838204268E-2</c:v>
                </c:pt>
                <c:pt idx="74">
                  <c:v>6.2128872967119136E-2</c:v>
                </c:pt>
                <c:pt idx="75">
                  <c:v>6.5386018027171033E-2</c:v>
                </c:pt>
                <c:pt idx="76">
                  <c:v>6.4951137743507248E-2</c:v>
                </c:pt>
                <c:pt idx="77">
                  <c:v>6.8863534413873814E-2</c:v>
                </c:pt>
                <c:pt idx="78">
                  <c:v>6.9072174090425834E-2</c:v>
                </c:pt>
                <c:pt idx="79">
                  <c:v>6.7508078925949275E-2</c:v>
                </c:pt>
                <c:pt idx="80">
                  <c:v>6.3201156556642046E-2</c:v>
                </c:pt>
                <c:pt idx="81">
                  <c:v>6.1139035412645079E-2</c:v>
                </c:pt>
                <c:pt idx="82">
                  <c:v>6.0293624784625757E-2</c:v>
                </c:pt>
                <c:pt idx="83">
                  <c:v>5.5815497807635943E-2</c:v>
                </c:pt>
                <c:pt idx="84">
                  <c:v>5.5158928609589986E-2</c:v>
                </c:pt>
                <c:pt idx="85">
                  <c:v>5.3704727586708703E-2</c:v>
                </c:pt>
                <c:pt idx="86">
                  <c:v>5.2318622042286517E-2</c:v>
                </c:pt>
                <c:pt idx="87">
                  <c:v>5.2922145732010664E-2</c:v>
                </c:pt>
                <c:pt idx="88">
                  <c:v>5.1847350319435048E-2</c:v>
                </c:pt>
                <c:pt idx="89">
                  <c:v>5.3585829645668513E-2</c:v>
                </c:pt>
                <c:pt idx="90">
                  <c:v>5.2621281248768678E-2</c:v>
                </c:pt>
                <c:pt idx="91">
                  <c:v>5.65163587739832E-2</c:v>
                </c:pt>
                <c:pt idx="92">
                  <c:v>6.4516621716637274E-2</c:v>
                </c:pt>
                <c:pt idx="93">
                  <c:v>6.2147867447298215E-2</c:v>
                </c:pt>
                <c:pt idx="94">
                  <c:v>6.3314088224491638E-2</c:v>
                </c:pt>
                <c:pt idx="95">
                  <c:v>6.6739950033915085E-2</c:v>
                </c:pt>
                <c:pt idx="96">
                  <c:v>6.4141101339873052E-2</c:v>
                </c:pt>
                <c:pt idx="97">
                  <c:v>7.1218372528172702E-2</c:v>
                </c:pt>
                <c:pt idx="98">
                  <c:v>7.1946878640629555E-2</c:v>
                </c:pt>
                <c:pt idx="99">
                  <c:v>7.1156577198951965E-2</c:v>
                </c:pt>
                <c:pt idx="100">
                  <c:v>7.2641723242472991E-2</c:v>
                </c:pt>
                <c:pt idx="101">
                  <c:v>7.0402342125981551E-2</c:v>
                </c:pt>
                <c:pt idx="102">
                  <c:v>7.7516961362661285E-2</c:v>
                </c:pt>
                <c:pt idx="103">
                  <c:v>8.2293393178818786E-2</c:v>
                </c:pt>
                <c:pt idx="104">
                  <c:v>8.5275340748851652E-2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F9-4A98-A381-4F3C81B83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Data'!$AB$4</c:f>
              <c:strCache>
                <c:ptCount val="1"/>
                <c:pt idx="0">
                  <c:v>Average Premium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Data'!$AB$5:$AB$109</c:f>
              <c:numCache>
                <c:formatCode>0.0%</c:formatCode>
                <c:ptCount val="105"/>
                <c:pt idx="0">
                  <c:v>0.23922249630838541</c:v>
                </c:pt>
                <c:pt idx="1">
                  <c:v>0.22878880167555149</c:v>
                </c:pt>
                <c:pt idx="2">
                  <c:v>0.2131796095742968</c:v>
                </c:pt>
                <c:pt idx="3">
                  <c:v>0.22626496518093828</c:v>
                </c:pt>
                <c:pt idx="4">
                  <c:v>0.22665882108685659</c:v>
                </c:pt>
                <c:pt idx="5">
                  <c:v>0.19587120789707771</c:v>
                </c:pt>
                <c:pt idx="6">
                  <c:v>0.20782856387430015</c:v>
                </c:pt>
                <c:pt idx="7">
                  <c:v>0.21177829427474537</c:v>
                </c:pt>
                <c:pt idx="8">
                  <c:v>0.1931099358498187</c:v>
                </c:pt>
                <c:pt idx="9">
                  <c:v>0.17249227327241687</c:v>
                </c:pt>
                <c:pt idx="10">
                  <c:v>0.19000539936520183</c:v>
                </c:pt>
                <c:pt idx="11">
                  <c:v>0.13125722490099828</c:v>
                </c:pt>
                <c:pt idx="12">
                  <c:v>0.14892264285776644</c:v>
                </c:pt>
                <c:pt idx="13">
                  <c:v>0.12003599911654585</c:v>
                </c:pt>
                <c:pt idx="14">
                  <c:v>0.15098766880840392</c:v>
                </c:pt>
                <c:pt idx="15">
                  <c:v>0.15058132911745509</c:v>
                </c:pt>
                <c:pt idx="16">
                  <c:v>0.14075390047902273</c:v>
                </c:pt>
                <c:pt idx="17">
                  <c:v>0.14847839672151755</c:v>
                </c:pt>
                <c:pt idx="18">
                  <c:v>0.13249784939872303</c:v>
                </c:pt>
                <c:pt idx="19">
                  <c:v>0.13690021891688459</c:v>
                </c:pt>
                <c:pt idx="20">
                  <c:v>0.134812423961398</c:v>
                </c:pt>
                <c:pt idx="21">
                  <c:v>0.12088230045563442</c:v>
                </c:pt>
                <c:pt idx="22">
                  <c:v>0.14493607250425811</c:v>
                </c:pt>
                <c:pt idx="23">
                  <c:v>0.13158730651319603</c:v>
                </c:pt>
                <c:pt idx="24">
                  <c:v>0.11247724249706709</c:v>
                </c:pt>
                <c:pt idx="25">
                  <c:v>0.14868307027902433</c:v>
                </c:pt>
                <c:pt idx="26">
                  <c:v>0.10222104934656301</c:v>
                </c:pt>
                <c:pt idx="27">
                  <c:v>0.13119074173475137</c:v>
                </c:pt>
                <c:pt idx="28">
                  <c:v>0.11523062268939654</c:v>
                </c:pt>
                <c:pt idx="29">
                  <c:v>0.12961682890260998</c:v>
                </c:pt>
                <c:pt idx="30">
                  <c:v>0.13209454347564387</c:v>
                </c:pt>
                <c:pt idx="31">
                  <c:v>0.1389001840707795</c:v>
                </c:pt>
                <c:pt idx="32">
                  <c:v>0.12543866535889892</c:v>
                </c:pt>
                <c:pt idx="33">
                  <c:v>0.13029458191039708</c:v>
                </c:pt>
                <c:pt idx="34">
                  <c:v>0.13193680069886587</c:v>
                </c:pt>
                <c:pt idx="35">
                  <c:v>0.11837711316012685</c:v>
                </c:pt>
                <c:pt idx="36">
                  <c:v>0.10267615509290963</c:v>
                </c:pt>
                <c:pt idx="37">
                  <c:v>0.10088878241551259</c:v>
                </c:pt>
                <c:pt idx="38">
                  <c:v>0.11686573368978806</c:v>
                </c:pt>
                <c:pt idx="39">
                  <c:v>0.11726829441210128</c:v>
                </c:pt>
                <c:pt idx="40">
                  <c:v>0.11898970390223909</c:v>
                </c:pt>
                <c:pt idx="41">
                  <c:v>0.11337078262161773</c:v>
                </c:pt>
                <c:pt idx="42">
                  <c:v>0.12462587778119086</c:v>
                </c:pt>
                <c:pt idx="43">
                  <c:v>0.15377481191708006</c:v>
                </c:pt>
                <c:pt idx="44">
                  <c:v>0.12621299724140139</c:v>
                </c:pt>
                <c:pt idx="45">
                  <c:v>0.14660061423762036</c:v>
                </c:pt>
                <c:pt idx="46">
                  <c:v>0.14719673281811615</c:v>
                </c:pt>
                <c:pt idx="47">
                  <c:v>0.14030673354118639</c:v>
                </c:pt>
                <c:pt idx="48">
                  <c:v>0.13673731243117357</c:v>
                </c:pt>
                <c:pt idx="49">
                  <c:v>0.12331296002548181</c:v>
                </c:pt>
                <c:pt idx="50">
                  <c:v>0.14974240950218839</c:v>
                </c:pt>
                <c:pt idx="51">
                  <c:v>0.11448120595474028</c:v>
                </c:pt>
                <c:pt idx="52">
                  <c:v>0.13743162295234723</c:v>
                </c:pt>
                <c:pt idx="53">
                  <c:v>0.12103535665630272</c:v>
                </c:pt>
                <c:pt idx="54">
                  <c:v>0.12559551666173815</c:v>
                </c:pt>
                <c:pt idx="55">
                  <c:v>0.12703362032926369</c:v>
                </c:pt>
                <c:pt idx="56">
                  <c:v>0.15828754074818946</c:v>
                </c:pt>
                <c:pt idx="57">
                  <c:v>0.1369086121217796</c:v>
                </c:pt>
                <c:pt idx="58">
                  <c:v>0.13988184339853679</c:v>
                </c:pt>
                <c:pt idx="59">
                  <c:v>0.12248723484198198</c:v>
                </c:pt>
                <c:pt idx="60">
                  <c:v>0.14435121986249239</c:v>
                </c:pt>
                <c:pt idx="61">
                  <c:v>0.15083731815734083</c:v>
                </c:pt>
                <c:pt idx="62">
                  <c:v>0.14540575756979038</c:v>
                </c:pt>
                <c:pt idx="63">
                  <c:v>0.15552493257804845</c:v>
                </c:pt>
                <c:pt idx="64">
                  <c:v>0.12397735768212138</c:v>
                </c:pt>
                <c:pt idx="65">
                  <c:v>0.11073181593466445</c:v>
                </c:pt>
                <c:pt idx="66">
                  <c:v>0.13673993097690573</c:v>
                </c:pt>
                <c:pt idx="67">
                  <c:v>0.13037385253004563</c:v>
                </c:pt>
                <c:pt idx="68">
                  <c:v>0.11487358640502443</c:v>
                </c:pt>
                <c:pt idx="69">
                  <c:v>0.12117631679100328</c:v>
                </c:pt>
                <c:pt idx="70">
                  <c:v>0.11156252642486347</c:v>
                </c:pt>
                <c:pt idx="71">
                  <c:v>8.7948631140110201E-2</c:v>
                </c:pt>
                <c:pt idx="72">
                  <c:v>0.10797683389828515</c:v>
                </c:pt>
                <c:pt idx="73">
                  <c:v>8.4949495196141547E-2</c:v>
                </c:pt>
                <c:pt idx="74">
                  <c:v>0.11029254127268151</c:v>
                </c:pt>
                <c:pt idx="75">
                  <c:v>0.12041719566248578</c:v>
                </c:pt>
                <c:pt idx="76">
                  <c:v>9.9819398911276822E-2</c:v>
                </c:pt>
                <c:pt idx="77">
                  <c:v>9.9868980743983968E-2</c:v>
                </c:pt>
                <c:pt idx="78">
                  <c:v>0.1098520862868267</c:v>
                </c:pt>
                <c:pt idx="79">
                  <c:v>0.10629542196746054</c:v>
                </c:pt>
                <c:pt idx="80">
                  <c:v>8.1137283939131694E-2</c:v>
                </c:pt>
                <c:pt idx="81">
                  <c:v>9.5626217869372879E-2</c:v>
                </c:pt>
                <c:pt idx="82">
                  <c:v>0.10758525594469806</c:v>
                </c:pt>
                <c:pt idx="83">
                  <c:v>5.9662928877926034E-2</c:v>
                </c:pt>
                <c:pt idx="84">
                  <c:v>6.3945008344681017E-2</c:v>
                </c:pt>
                <c:pt idx="85">
                  <c:v>7.9140639340173027E-2</c:v>
                </c:pt>
                <c:pt idx="86">
                  <c:v>0.1031773095913535</c:v>
                </c:pt>
                <c:pt idx="87">
                  <c:v>8.4763914561324011E-2</c:v>
                </c:pt>
                <c:pt idx="88">
                  <c:v>6.8196744594735945E-2</c:v>
                </c:pt>
                <c:pt idx="89">
                  <c:v>8.9099780012341992E-2</c:v>
                </c:pt>
                <c:pt idx="90">
                  <c:v>8.7062789010911162E-2</c:v>
                </c:pt>
                <c:pt idx="91">
                  <c:v>9.7877330385148897E-2</c:v>
                </c:pt>
                <c:pt idx="92">
                  <c:v>0.11089681504087213</c:v>
                </c:pt>
                <c:pt idx="93">
                  <c:v>8.1272990975521486E-2</c:v>
                </c:pt>
                <c:pt idx="94">
                  <c:v>9.1624053700472149E-2</c:v>
                </c:pt>
                <c:pt idx="95">
                  <c:v>0.12764043781176604</c:v>
                </c:pt>
                <c:pt idx="96">
                  <c:v>8.4010067403880617E-2</c:v>
                </c:pt>
                <c:pt idx="97">
                  <c:v>0.12245763973412842</c:v>
                </c:pt>
                <c:pt idx="98">
                  <c:v>9.8464642612267547E-2</c:v>
                </c:pt>
                <c:pt idx="99">
                  <c:v>9.6074742271719193E-2</c:v>
                </c:pt>
                <c:pt idx="100">
                  <c:v>9.9542246333478177E-2</c:v>
                </c:pt>
                <c:pt idx="101">
                  <c:v>0.10996071758685953</c:v>
                </c:pt>
                <c:pt idx="102">
                  <c:v>0.13635903018930215</c:v>
                </c:pt>
                <c:pt idx="103">
                  <c:v>0.13944009298935828</c:v>
                </c:pt>
                <c:pt idx="104">
                  <c:v>0.11664202111756633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55-4798-A6C1-DC7EFBA40457}"/>
            </c:ext>
          </c:extLst>
        </c:ser>
        <c:ser>
          <c:idx val="1"/>
          <c:order val="1"/>
          <c:tx>
            <c:strRef>
              <c:f>'Averages Graph Data'!$AC$4</c:f>
              <c:strCache>
                <c:ptCount val="1"/>
                <c:pt idx="0">
                  <c:v>Average Premium Proportion Under 25 - 4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Data'!$AC$5:$AC$109</c:f>
              <c:numCache>
                <c:formatCode>#,##0</c:formatCode>
                <c:ptCount val="105"/>
                <c:pt idx="3">
                  <c:v>0.22686396818479301</c:v>
                </c:pt>
                <c:pt idx="4">
                  <c:v>0.22372304937941079</c:v>
                </c:pt>
                <c:pt idx="5">
                  <c:v>0.21549365093479234</c:v>
                </c:pt>
                <c:pt idx="6">
                  <c:v>0.21415588950979317</c:v>
                </c:pt>
                <c:pt idx="7">
                  <c:v>0.21053422178324496</c:v>
                </c:pt>
                <c:pt idx="8">
                  <c:v>0.20214700047398548</c:v>
                </c:pt>
                <c:pt idx="9">
                  <c:v>0.19630226681782029</c:v>
                </c:pt>
                <c:pt idx="10">
                  <c:v>0.19184647569054569</c:v>
                </c:pt>
                <c:pt idx="11">
                  <c:v>0.17171620834710893</c:v>
                </c:pt>
                <c:pt idx="12">
                  <c:v>0.16066938509909584</c:v>
                </c:pt>
                <c:pt idx="13">
                  <c:v>0.1475553165601281</c:v>
                </c:pt>
                <c:pt idx="14">
                  <c:v>0.1378008839209286</c:v>
                </c:pt>
                <c:pt idx="15">
                  <c:v>0.14263190997504283</c:v>
                </c:pt>
                <c:pt idx="16">
                  <c:v>0.14058972438035688</c:v>
                </c:pt>
                <c:pt idx="17">
                  <c:v>0.14770032378159981</c:v>
                </c:pt>
                <c:pt idx="18">
                  <c:v>0.14307786892917959</c:v>
                </c:pt>
                <c:pt idx="19">
                  <c:v>0.13965759137903699</c:v>
                </c:pt>
                <c:pt idx="20">
                  <c:v>0.1381722222496308</c:v>
                </c:pt>
                <c:pt idx="21">
                  <c:v>0.13127319818316002</c:v>
                </c:pt>
                <c:pt idx="22">
                  <c:v>0.13438275395954377</c:v>
                </c:pt>
                <c:pt idx="23">
                  <c:v>0.13305452585862165</c:v>
                </c:pt>
                <c:pt idx="24">
                  <c:v>0.12747073049253893</c:v>
                </c:pt>
                <c:pt idx="25">
                  <c:v>0.1344209229483864</c:v>
                </c:pt>
                <c:pt idx="26">
                  <c:v>0.12374216715896262</c:v>
                </c:pt>
                <c:pt idx="27">
                  <c:v>0.12364302596435145</c:v>
                </c:pt>
                <c:pt idx="28">
                  <c:v>0.12433137101243381</c:v>
                </c:pt>
                <c:pt idx="29">
                  <c:v>0.11956481066833022</c:v>
                </c:pt>
                <c:pt idx="30">
                  <c:v>0.12703318420060045</c:v>
                </c:pt>
                <c:pt idx="31">
                  <c:v>0.12896054478460747</c:v>
                </c:pt>
                <c:pt idx="32">
                  <c:v>0.13151255545198307</c:v>
                </c:pt>
                <c:pt idx="33">
                  <c:v>0.13168199370392986</c:v>
                </c:pt>
                <c:pt idx="34">
                  <c:v>0.13164255800973534</c:v>
                </c:pt>
                <c:pt idx="35">
                  <c:v>0.12651179028207218</c:v>
                </c:pt>
                <c:pt idx="36">
                  <c:v>0.12082116271557485</c:v>
                </c:pt>
                <c:pt idx="37">
                  <c:v>0.11346971284185373</c:v>
                </c:pt>
                <c:pt idx="38">
                  <c:v>0.10970194608958428</c:v>
                </c:pt>
                <c:pt idx="39">
                  <c:v>0.10942474140257789</c:v>
                </c:pt>
                <c:pt idx="40">
                  <c:v>0.11350312860491027</c:v>
                </c:pt>
                <c:pt idx="41">
                  <c:v>0.11662362865643652</c:v>
                </c:pt>
                <c:pt idx="42">
                  <c:v>0.11856366467928722</c:v>
                </c:pt>
                <c:pt idx="43">
                  <c:v>0.12769029405553195</c:v>
                </c:pt>
                <c:pt idx="44">
                  <c:v>0.12949611739032252</c:v>
                </c:pt>
                <c:pt idx="45">
                  <c:v>0.13780357529432316</c:v>
                </c:pt>
                <c:pt idx="46">
                  <c:v>0.1434462890535545</c:v>
                </c:pt>
                <c:pt idx="47">
                  <c:v>0.14007926945958107</c:v>
                </c:pt>
                <c:pt idx="48">
                  <c:v>0.14271034825702411</c:v>
                </c:pt>
                <c:pt idx="49">
                  <c:v>0.13688843470398948</c:v>
                </c:pt>
                <c:pt idx="50">
                  <c:v>0.13752485387500754</c:v>
                </c:pt>
                <c:pt idx="51">
                  <c:v>0.13106847197839602</c:v>
                </c:pt>
                <c:pt idx="52">
                  <c:v>0.1312420496086894</c:v>
                </c:pt>
                <c:pt idx="53">
                  <c:v>0.13067264876639467</c:v>
                </c:pt>
                <c:pt idx="54">
                  <c:v>0.12463592555628208</c:v>
                </c:pt>
                <c:pt idx="55">
                  <c:v>0.12777402914991295</c:v>
                </c:pt>
                <c:pt idx="56">
                  <c:v>0.1329880085988735</c:v>
                </c:pt>
                <c:pt idx="57">
                  <c:v>0.13695632246524272</c:v>
                </c:pt>
                <c:pt idx="58">
                  <c:v>0.14052790414944238</c:v>
                </c:pt>
                <c:pt idx="59">
                  <c:v>0.13939130777762196</c:v>
                </c:pt>
                <c:pt idx="60">
                  <c:v>0.13590722755619769</c:v>
                </c:pt>
                <c:pt idx="61">
                  <c:v>0.13938940406508801</c:v>
                </c:pt>
                <c:pt idx="62">
                  <c:v>0.1407703826079014</c:v>
                </c:pt>
                <c:pt idx="63">
                  <c:v>0.14902980704191801</c:v>
                </c:pt>
                <c:pt idx="64">
                  <c:v>0.14393634149682527</c:v>
                </c:pt>
                <c:pt idx="65">
                  <c:v>0.13390996594115614</c:v>
                </c:pt>
                <c:pt idx="66">
                  <c:v>0.13174350929293499</c:v>
                </c:pt>
                <c:pt idx="67">
                  <c:v>0.12545573928093429</c:v>
                </c:pt>
                <c:pt idx="68">
                  <c:v>0.12317979646166007</c:v>
                </c:pt>
                <c:pt idx="69">
                  <c:v>0.12579092167574477</c:v>
                </c:pt>
                <c:pt idx="70">
                  <c:v>0.1194965705377342</c:v>
                </c:pt>
                <c:pt idx="71">
                  <c:v>0.10889026519025034</c:v>
                </c:pt>
                <c:pt idx="72">
                  <c:v>0.10716607706356553</c:v>
                </c:pt>
                <c:pt idx="73">
                  <c:v>9.8109371664850092E-2</c:v>
                </c:pt>
                <c:pt idx="74">
                  <c:v>9.7791875376804602E-2</c:v>
                </c:pt>
                <c:pt idx="75">
                  <c:v>0.10590901650739849</c:v>
                </c:pt>
                <c:pt idx="76">
                  <c:v>0.10386965776064641</c:v>
                </c:pt>
                <c:pt idx="77">
                  <c:v>0.10759952914760702</c:v>
                </c:pt>
                <c:pt idx="78">
                  <c:v>0.10748941540114332</c:v>
                </c:pt>
                <c:pt idx="79">
                  <c:v>0.10395897197738702</c:v>
                </c:pt>
                <c:pt idx="80">
                  <c:v>9.9288443234350737E-2</c:v>
                </c:pt>
                <c:pt idx="81">
                  <c:v>9.8227752515697958E-2</c:v>
                </c:pt>
                <c:pt idx="82">
                  <c:v>9.766104493016578E-2</c:v>
                </c:pt>
                <c:pt idx="83">
                  <c:v>8.6002921657782172E-2</c:v>
                </c:pt>
                <c:pt idx="84">
                  <c:v>8.17048527591695E-2</c:v>
                </c:pt>
                <c:pt idx="85">
                  <c:v>7.7583458126869537E-2</c:v>
                </c:pt>
                <c:pt idx="86">
                  <c:v>7.6481471538533394E-2</c:v>
                </c:pt>
                <c:pt idx="87">
                  <c:v>8.2756717959382886E-2</c:v>
                </c:pt>
                <c:pt idx="88">
                  <c:v>8.3819652021896632E-2</c:v>
                </c:pt>
                <c:pt idx="89">
                  <c:v>8.6309437189938859E-2</c:v>
                </c:pt>
                <c:pt idx="90">
                  <c:v>8.2280807044828264E-2</c:v>
                </c:pt>
                <c:pt idx="91">
                  <c:v>8.5559161000784506E-2</c:v>
                </c:pt>
                <c:pt idx="92">
                  <c:v>9.6234178612318547E-2</c:v>
                </c:pt>
                <c:pt idx="93">
                  <c:v>9.4277481353113424E-2</c:v>
                </c:pt>
                <c:pt idx="94">
                  <c:v>9.5417797525503667E-2</c:v>
                </c:pt>
                <c:pt idx="95">
                  <c:v>0.10285857438215795</c:v>
                </c:pt>
                <c:pt idx="96">
                  <c:v>9.6136887472910076E-2</c:v>
                </c:pt>
                <c:pt idx="97">
                  <c:v>0.10643304966256181</c:v>
                </c:pt>
                <c:pt idx="98">
                  <c:v>0.10814319689051066</c:v>
                </c:pt>
                <c:pt idx="99">
                  <c:v>0.10025177300549895</c:v>
                </c:pt>
                <c:pt idx="100">
                  <c:v>0.10413481773789834</c:v>
                </c:pt>
                <c:pt idx="101">
                  <c:v>0.10101058720108112</c:v>
                </c:pt>
                <c:pt idx="102">
                  <c:v>0.11048418409533978</c:v>
                </c:pt>
                <c:pt idx="103">
                  <c:v>0.12132552177474953</c:v>
                </c:pt>
                <c:pt idx="104">
                  <c:v>0.12560046547077158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55-4798-A6C1-DC7EFBA40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Data'!$X$4</c:f>
              <c:strCache>
                <c:ptCount val="1"/>
                <c:pt idx="0">
                  <c:v>Average Proportion Under 25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Data'!$X$5:$X$109</c:f>
              <c:numCache>
                <c:formatCode>0.0%</c:formatCode>
                <c:ptCount val="105"/>
                <c:pt idx="0">
                  <c:v>0.17927022739291365</c:v>
                </c:pt>
                <c:pt idx="1">
                  <c:v>0.17853585657370502</c:v>
                </c:pt>
                <c:pt idx="2">
                  <c:v>0.16460497723215006</c:v>
                </c:pt>
                <c:pt idx="3">
                  <c:v>0.18361355751267691</c:v>
                </c:pt>
                <c:pt idx="4">
                  <c:v>0.17312798725438142</c:v>
                </c:pt>
                <c:pt idx="5">
                  <c:v>0.14727085478887747</c:v>
                </c:pt>
                <c:pt idx="6">
                  <c:v>0.15850931677018634</c:v>
                </c:pt>
                <c:pt idx="7">
                  <c:v>0.14769038511229887</c:v>
                </c:pt>
                <c:pt idx="8">
                  <c:v>0.148259797204713</c:v>
                </c:pt>
                <c:pt idx="9">
                  <c:v>0.12895377128953722</c:v>
                </c:pt>
                <c:pt idx="10">
                  <c:v>0.12595419847328199</c:v>
                </c:pt>
                <c:pt idx="11">
                  <c:v>0.11508672664705248</c:v>
                </c:pt>
                <c:pt idx="12">
                  <c:v>0.12253773343566129</c:v>
                </c:pt>
                <c:pt idx="13">
                  <c:v>0.10120772946859903</c:v>
                </c:pt>
                <c:pt idx="14">
                  <c:v>0.10392664001881025</c:v>
                </c:pt>
                <c:pt idx="15">
                  <c:v>9.1734912436263513E-2</c:v>
                </c:pt>
                <c:pt idx="16">
                  <c:v>9.9143206854344815E-2</c:v>
                </c:pt>
                <c:pt idx="17">
                  <c:v>8.845096241979794E-2</c:v>
                </c:pt>
                <c:pt idx="18">
                  <c:v>7.957085382208276E-2</c:v>
                </c:pt>
                <c:pt idx="19">
                  <c:v>8.7646802957807385E-2</c:v>
                </c:pt>
                <c:pt idx="20">
                  <c:v>7.9625292740046538E-2</c:v>
                </c:pt>
                <c:pt idx="21">
                  <c:v>8.7074829931972492E-2</c:v>
                </c:pt>
                <c:pt idx="22">
                  <c:v>7.6406926406926104E-2</c:v>
                </c:pt>
                <c:pt idx="23">
                  <c:v>7.7659101023586738E-2</c:v>
                </c:pt>
                <c:pt idx="24">
                  <c:v>7.2672054579571654E-2</c:v>
                </c:pt>
                <c:pt idx="25">
                  <c:v>8.7701612903225368E-2</c:v>
                </c:pt>
                <c:pt idx="26">
                  <c:v>7.3244693258688875E-2</c:v>
                </c:pt>
                <c:pt idx="27">
                  <c:v>6.9828408007626033E-2</c:v>
                </c:pt>
                <c:pt idx="28">
                  <c:v>7.3783681585433428E-2</c:v>
                </c:pt>
                <c:pt idx="29">
                  <c:v>8.2018038331454476E-2</c:v>
                </c:pt>
                <c:pt idx="30">
                  <c:v>7.5159914712153525E-2</c:v>
                </c:pt>
                <c:pt idx="31">
                  <c:v>6.7738534528202443E-2</c:v>
                </c:pt>
                <c:pt idx="32">
                  <c:v>7.396036840636358E-2</c:v>
                </c:pt>
                <c:pt idx="33">
                  <c:v>7.0271315953968433E-2</c:v>
                </c:pt>
                <c:pt idx="34">
                  <c:v>8.1055900621117477E-2</c:v>
                </c:pt>
                <c:pt idx="35">
                  <c:v>6.8738792588164496E-2</c:v>
                </c:pt>
                <c:pt idx="36">
                  <c:v>7.1136292099464454E-2</c:v>
                </c:pt>
                <c:pt idx="37">
                  <c:v>6.654780996167535E-2</c:v>
                </c:pt>
                <c:pt idx="38">
                  <c:v>8.0588647512263842E-2</c:v>
                </c:pt>
                <c:pt idx="39">
                  <c:v>7.0000000000000284E-2</c:v>
                </c:pt>
                <c:pt idx="40">
                  <c:v>6.1093247588424687E-2</c:v>
                </c:pt>
                <c:pt idx="41">
                  <c:v>7.4809160305343778E-2</c:v>
                </c:pt>
                <c:pt idx="42">
                  <c:v>6.9247952345494634E-2</c:v>
                </c:pt>
                <c:pt idx="43">
                  <c:v>6.8471953578336076E-2</c:v>
                </c:pt>
                <c:pt idx="44">
                  <c:v>6.0456026058643413E-2</c:v>
                </c:pt>
                <c:pt idx="45">
                  <c:v>5.9389376829777935E-2</c:v>
                </c:pt>
                <c:pt idx="46">
                  <c:v>5.7779955893125928E-2</c:v>
                </c:pt>
                <c:pt idx="47">
                  <c:v>6.3296703296703574E-2</c:v>
                </c:pt>
                <c:pt idx="48">
                  <c:v>5.9405940594059674E-2</c:v>
                </c:pt>
                <c:pt idx="49">
                  <c:v>5.9097254536994194E-2</c:v>
                </c:pt>
                <c:pt idx="50">
                  <c:v>4.5454545454545574E-2</c:v>
                </c:pt>
                <c:pt idx="51">
                  <c:v>6.3593004769475478E-2</c:v>
                </c:pt>
                <c:pt idx="52">
                  <c:v>6.184084372003857E-2</c:v>
                </c:pt>
                <c:pt idx="53">
                  <c:v>5.2147239263803803E-2</c:v>
                </c:pt>
                <c:pt idx="54">
                  <c:v>5.1031487513572303E-2</c:v>
                </c:pt>
                <c:pt idx="55">
                  <c:v>5.3743589743144679E-2</c:v>
                </c:pt>
                <c:pt idx="56">
                  <c:v>6.0553633217992724E-2</c:v>
                </c:pt>
                <c:pt idx="57">
                  <c:v>5.7783018867924224E-2</c:v>
                </c:pt>
                <c:pt idx="58">
                  <c:v>5.0802139037432852E-2</c:v>
                </c:pt>
                <c:pt idx="59">
                  <c:v>4.2554825824413597E-2</c:v>
                </c:pt>
                <c:pt idx="60">
                  <c:v>6.6139468008626884E-2</c:v>
                </c:pt>
                <c:pt idx="61">
                  <c:v>5.5059523809523815E-2</c:v>
                </c:pt>
                <c:pt idx="62">
                  <c:v>5.187074829931973E-2</c:v>
                </c:pt>
                <c:pt idx="63">
                  <c:v>4.0161932913795988E-2</c:v>
                </c:pt>
                <c:pt idx="64">
                  <c:v>5.7405281285878275E-2</c:v>
                </c:pt>
                <c:pt idx="65">
                  <c:v>6.2360801781737182E-2</c:v>
                </c:pt>
                <c:pt idx="66">
                  <c:v>5.6029232643118092E-2</c:v>
                </c:pt>
                <c:pt idx="67">
                  <c:v>5.2173913043478244E-2</c:v>
                </c:pt>
                <c:pt idx="68">
                  <c:v>5.3298212184394525E-2</c:v>
                </c:pt>
                <c:pt idx="69">
                  <c:v>6.2500000000000042E-2</c:v>
                </c:pt>
                <c:pt idx="70">
                  <c:v>7.171834250886136E-2</c:v>
                </c:pt>
                <c:pt idx="71">
                  <c:v>6.4724919093851141E-2</c:v>
                </c:pt>
                <c:pt idx="72">
                  <c:v>6.5326633165829151E-2</c:v>
                </c:pt>
                <c:pt idx="73">
                  <c:v>9.3023255813953487E-2</c:v>
                </c:pt>
                <c:pt idx="74">
                  <c:v>5.5555555555555552E-2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B-46D8-8B4D-25623948CBDD}"/>
            </c:ext>
          </c:extLst>
        </c:ser>
        <c:ser>
          <c:idx val="1"/>
          <c:order val="1"/>
          <c:tx>
            <c:strRef>
              <c:f>'Averages Graph Data'!$Y$4</c:f>
              <c:strCache>
                <c:ptCount val="1"/>
                <c:pt idx="0">
                  <c:v>Average Proportion Under 25 - 4 Week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Data'!$Y$5:$Y$109</c:f>
              <c:numCache>
                <c:formatCode>0.0%</c:formatCode>
                <c:ptCount val="105"/>
                <c:pt idx="3">
                  <c:v>0.1765061546778614</c:v>
                </c:pt>
                <c:pt idx="4">
                  <c:v>0.17497059464322834</c:v>
                </c:pt>
                <c:pt idx="5">
                  <c:v>0.16715434419702146</c:v>
                </c:pt>
                <c:pt idx="6">
                  <c:v>0.16563042908153053</c:v>
                </c:pt>
                <c:pt idx="7">
                  <c:v>0.156649635981436</c:v>
                </c:pt>
                <c:pt idx="8">
                  <c:v>0.15043258846901891</c:v>
                </c:pt>
                <c:pt idx="9">
                  <c:v>0.14585331759418385</c:v>
                </c:pt>
                <c:pt idx="10">
                  <c:v>0.13771453801995776</c:v>
                </c:pt>
                <c:pt idx="11">
                  <c:v>0.12956362340364616</c:v>
                </c:pt>
                <c:pt idx="12">
                  <c:v>0.12313310746138326</c:v>
                </c:pt>
                <c:pt idx="13">
                  <c:v>0.11619659700614871</c:v>
                </c:pt>
                <c:pt idx="14">
                  <c:v>0.11068970739253076</c:v>
                </c:pt>
                <c:pt idx="15">
                  <c:v>0.10485175383983353</c:v>
                </c:pt>
                <c:pt idx="16">
                  <c:v>9.9003122194504398E-2</c:v>
                </c:pt>
                <c:pt idx="17">
                  <c:v>9.5813930432304129E-2</c:v>
                </c:pt>
                <c:pt idx="18">
                  <c:v>8.972498388312225E-2</c:v>
                </c:pt>
                <c:pt idx="19">
                  <c:v>8.8702956513508208E-2</c:v>
                </c:pt>
                <c:pt idx="20">
                  <c:v>8.3823477984933656E-2</c:v>
                </c:pt>
                <c:pt idx="21">
                  <c:v>8.3479444862977287E-2</c:v>
                </c:pt>
                <c:pt idx="22">
                  <c:v>8.2688463009188126E-2</c:v>
                </c:pt>
                <c:pt idx="23">
                  <c:v>8.0191537525632975E-2</c:v>
                </c:pt>
                <c:pt idx="24">
                  <c:v>7.8453227985514254E-2</c:v>
                </c:pt>
                <c:pt idx="25">
                  <c:v>7.8609923728327466E-2</c:v>
                </c:pt>
                <c:pt idx="26">
                  <c:v>7.7819365441268162E-2</c:v>
                </c:pt>
                <c:pt idx="27">
                  <c:v>7.5861692187277979E-2</c:v>
                </c:pt>
                <c:pt idx="28">
                  <c:v>7.6139598938743419E-2</c:v>
                </c:pt>
                <c:pt idx="29">
                  <c:v>7.47187052958007E-2</c:v>
                </c:pt>
                <c:pt idx="30">
                  <c:v>7.5197510659166855E-2</c:v>
                </c:pt>
                <c:pt idx="31">
                  <c:v>7.4675042289310961E-2</c:v>
                </c:pt>
                <c:pt idx="32">
                  <c:v>7.471921399454351E-2</c:v>
                </c:pt>
                <c:pt idx="33">
                  <c:v>7.1782533400171988E-2</c:v>
                </c:pt>
                <c:pt idx="34">
                  <c:v>7.325652987741299E-2</c:v>
                </c:pt>
                <c:pt idx="35">
                  <c:v>7.3506594392403493E-2</c:v>
                </c:pt>
                <c:pt idx="36">
                  <c:v>7.2800575315678712E-2</c:v>
                </c:pt>
                <c:pt idx="37">
                  <c:v>7.1869698817605437E-2</c:v>
                </c:pt>
                <c:pt idx="38">
                  <c:v>7.1752885540392039E-2</c:v>
                </c:pt>
                <c:pt idx="39">
                  <c:v>7.2068187393350983E-2</c:v>
                </c:pt>
                <c:pt idx="40">
                  <c:v>6.9557426265591041E-2</c:v>
                </c:pt>
                <c:pt idx="41">
                  <c:v>7.1622763851508148E-2</c:v>
                </c:pt>
                <c:pt idx="42">
                  <c:v>6.8787590059815842E-2</c:v>
                </c:pt>
                <c:pt idx="43">
                  <c:v>6.840557845439979E-2</c:v>
                </c:pt>
                <c:pt idx="44">
                  <c:v>6.824627307195448E-2</c:v>
                </c:pt>
                <c:pt idx="45">
                  <c:v>6.4391327203063009E-2</c:v>
                </c:pt>
                <c:pt idx="46">
                  <c:v>6.1524328089970839E-2</c:v>
                </c:pt>
                <c:pt idx="47">
                  <c:v>6.0230515519562711E-2</c:v>
                </c:pt>
                <c:pt idx="48">
                  <c:v>5.9967994153416776E-2</c:v>
                </c:pt>
                <c:pt idx="49">
                  <c:v>5.9894963580220839E-2</c:v>
                </c:pt>
                <c:pt idx="50">
                  <c:v>5.6813610970575752E-2</c:v>
                </c:pt>
                <c:pt idx="51">
                  <c:v>5.6887686338768728E-2</c:v>
                </c:pt>
                <c:pt idx="52">
                  <c:v>5.7496412120263449E-2</c:v>
                </c:pt>
                <c:pt idx="53">
                  <c:v>5.5758908301965851E-2</c:v>
                </c:pt>
                <c:pt idx="54">
                  <c:v>5.715314381672254E-2</c:v>
                </c:pt>
                <c:pt idx="55">
                  <c:v>5.4690790060139841E-2</c:v>
                </c:pt>
                <c:pt idx="56">
                  <c:v>5.4368987434628382E-2</c:v>
                </c:pt>
                <c:pt idx="57">
                  <c:v>5.5777932335658482E-2</c:v>
                </c:pt>
                <c:pt idx="58">
                  <c:v>5.572059521662362E-2</c:v>
                </c:pt>
                <c:pt idx="59">
                  <c:v>5.2923404236940849E-2</c:v>
                </c:pt>
                <c:pt idx="60">
                  <c:v>5.4319862934599387E-2</c:v>
                </c:pt>
                <c:pt idx="61">
                  <c:v>5.3638989169999284E-2</c:v>
                </c:pt>
                <c:pt idx="62">
                  <c:v>5.3906141485471008E-2</c:v>
                </c:pt>
                <c:pt idx="63">
                  <c:v>5.3307918257816604E-2</c:v>
                </c:pt>
                <c:pt idx="64">
                  <c:v>5.112437157712945E-2</c:v>
                </c:pt>
                <c:pt idx="65">
                  <c:v>5.2949691070182797E-2</c:v>
                </c:pt>
                <c:pt idx="66">
                  <c:v>5.3989312156132382E-2</c:v>
                </c:pt>
                <c:pt idx="67">
                  <c:v>5.699230718855295E-2</c:v>
                </c:pt>
                <c:pt idx="68">
                  <c:v>5.5965539913182011E-2</c:v>
                </c:pt>
                <c:pt idx="69">
                  <c:v>5.6000339467747726E-2</c:v>
                </c:pt>
                <c:pt idx="70">
                  <c:v>5.9922616934183541E-2</c:v>
                </c:pt>
                <c:pt idx="71">
                  <c:v>6.306036844677676E-2</c:v>
                </c:pt>
                <c:pt idx="72">
                  <c:v>6.606747369213542E-2</c:v>
                </c:pt>
                <c:pt idx="73">
                  <c:v>7.3698287645623778E-2</c:v>
                </c:pt>
                <c:pt idx="74">
                  <c:v>6.965759090729734E-2</c:v>
                </c:pt>
                <c:pt idx="75">
                  <c:v>5.3476361133834548E-2</c:v>
                </c:pt>
                <c:pt idx="76">
                  <c:v>3.714470284237726E-2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EB-46D8-8B4D-25623948C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Data'!$AJ$4</c:f>
              <c:strCache>
                <c:ptCount val="1"/>
                <c:pt idx="0">
                  <c:v>Average Premium Proportion Under 25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Data'!$AJ$5:$AJ$109</c:f>
              <c:numCache>
                <c:formatCode>0.0%</c:formatCode>
                <c:ptCount val="105"/>
                <c:pt idx="0">
                  <c:v>0.25638549380025838</c:v>
                </c:pt>
                <c:pt idx="1">
                  <c:v>0.25162540908536346</c:v>
                </c:pt>
                <c:pt idx="2">
                  <c:v>0.24071376232487868</c:v>
                </c:pt>
                <c:pt idx="3">
                  <c:v>0.26085316444748641</c:v>
                </c:pt>
                <c:pt idx="4">
                  <c:v>0.24631196675975489</c:v>
                </c:pt>
                <c:pt idx="5">
                  <c:v>0.20844706519090483</c:v>
                </c:pt>
                <c:pt idx="6">
                  <c:v>0.2337947440744341</c:v>
                </c:pt>
                <c:pt idx="7">
                  <c:v>0.21396963235250724</c:v>
                </c:pt>
                <c:pt idx="8">
                  <c:v>0.22090359723523764</c:v>
                </c:pt>
                <c:pt idx="9">
                  <c:v>0.19186598588666204</c:v>
                </c:pt>
                <c:pt idx="10">
                  <c:v>0.18546458904267241</c:v>
                </c:pt>
                <c:pt idx="11">
                  <c:v>0.17573139987525263</c:v>
                </c:pt>
                <c:pt idx="12">
                  <c:v>0.18925686851369158</c:v>
                </c:pt>
                <c:pt idx="13">
                  <c:v>0.15848540225259977</c:v>
                </c:pt>
                <c:pt idx="14">
                  <c:v>0.15898668236926866</c:v>
                </c:pt>
                <c:pt idx="15">
                  <c:v>0.14690857781980421</c:v>
                </c:pt>
                <c:pt idx="16">
                  <c:v>0.15339754911848558</c:v>
                </c:pt>
                <c:pt idx="17">
                  <c:v>0.14583964696968446</c:v>
                </c:pt>
                <c:pt idx="18">
                  <c:v>0.14025502169926829</c:v>
                </c:pt>
                <c:pt idx="19">
                  <c:v>0.14049979261355144</c:v>
                </c:pt>
                <c:pt idx="20">
                  <c:v>0.13383631441732627</c:v>
                </c:pt>
                <c:pt idx="21">
                  <c:v>0.14227250329420921</c:v>
                </c:pt>
                <c:pt idx="22">
                  <c:v>0.13536937021099532</c:v>
                </c:pt>
                <c:pt idx="23">
                  <c:v>0.1310512481130601</c:v>
                </c:pt>
                <c:pt idx="24">
                  <c:v>0.12114391120330203</c:v>
                </c:pt>
                <c:pt idx="25">
                  <c:v>0.14876935792140664</c:v>
                </c:pt>
                <c:pt idx="26">
                  <c:v>0.12896430120895061</c:v>
                </c:pt>
                <c:pt idx="27">
                  <c:v>0.12350993594407576</c:v>
                </c:pt>
                <c:pt idx="28">
                  <c:v>0.12738457276195675</c:v>
                </c:pt>
                <c:pt idx="29">
                  <c:v>0.13685659526254762</c:v>
                </c:pt>
                <c:pt idx="30">
                  <c:v>0.13203306180261346</c:v>
                </c:pt>
                <c:pt idx="31">
                  <c:v>0.12371083136915158</c:v>
                </c:pt>
                <c:pt idx="32">
                  <c:v>0.12468488786731961</c:v>
                </c:pt>
                <c:pt idx="33">
                  <c:v>0.12553812950025064</c:v>
                </c:pt>
                <c:pt idx="34">
                  <c:v>0.13964578893696306</c:v>
                </c:pt>
                <c:pt idx="35">
                  <c:v>0.12403970549869883</c:v>
                </c:pt>
                <c:pt idx="36">
                  <c:v>0.12456980030504818</c:v>
                </c:pt>
                <c:pt idx="37">
                  <c:v>0.1167188010710143</c:v>
                </c:pt>
                <c:pt idx="38">
                  <c:v>0.1381966718378364</c:v>
                </c:pt>
                <c:pt idx="39">
                  <c:v>0.12498701779134616</c:v>
                </c:pt>
                <c:pt idx="40">
                  <c:v>0.10773529543817909</c:v>
                </c:pt>
                <c:pt idx="41">
                  <c:v>0.12933081029913179</c:v>
                </c:pt>
                <c:pt idx="42">
                  <c:v>0.1217431090448428</c:v>
                </c:pt>
                <c:pt idx="43">
                  <c:v>0.12119444864065664</c:v>
                </c:pt>
                <c:pt idx="44">
                  <c:v>0.11020135719894111</c:v>
                </c:pt>
                <c:pt idx="45">
                  <c:v>0.10495277492800541</c:v>
                </c:pt>
                <c:pt idx="46">
                  <c:v>0.1074469101427227</c:v>
                </c:pt>
                <c:pt idx="47">
                  <c:v>0.11281582223537803</c:v>
                </c:pt>
                <c:pt idx="48">
                  <c:v>0.1049348909704388</c:v>
                </c:pt>
                <c:pt idx="49">
                  <c:v>0.10499652571919163</c:v>
                </c:pt>
                <c:pt idx="50">
                  <c:v>8.3447931594330255E-2</c:v>
                </c:pt>
                <c:pt idx="51">
                  <c:v>0.12029389427004324</c:v>
                </c:pt>
                <c:pt idx="52">
                  <c:v>0.10939733602397057</c:v>
                </c:pt>
                <c:pt idx="53">
                  <c:v>9.2994853253209386E-2</c:v>
                </c:pt>
                <c:pt idx="54">
                  <c:v>9.1674747337199963E-2</c:v>
                </c:pt>
                <c:pt idx="55">
                  <c:v>0.10476865733700447</c:v>
                </c:pt>
                <c:pt idx="56">
                  <c:v>0.10742278600635245</c:v>
                </c:pt>
                <c:pt idx="57">
                  <c:v>0.10546160665156007</c:v>
                </c:pt>
                <c:pt idx="58">
                  <c:v>8.8980373490793629E-2</c:v>
                </c:pt>
                <c:pt idx="59">
                  <c:v>8.4136857438717738E-2</c:v>
                </c:pt>
                <c:pt idx="60">
                  <c:v>0.12314035713866307</c:v>
                </c:pt>
                <c:pt idx="61">
                  <c:v>9.4857402039477137E-2</c:v>
                </c:pt>
                <c:pt idx="62">
                  <c:v>9.7724127020507479E-2</c:v>
                </c:pt>
                <c:pt idx="63">
                  <c:v>7.4946919728065123E-2</c:v>
                </c:pt>
                <c:pt idx="64">
                  <c:v>0.11072761113072176</c:v>
                </c:pt>
                <c:pt idx="65">
                  <c:v>0.11061832389624238</c:v>
                </c:pt>
                <c:pt idx="66">
                  <c:v>0.10749660515286169</c:v>
                </c:pt>
                <c:pt idx="67">
                  <c:v>9.7241557985109417E-2</c:v>
                </c:pt>
                <c:pt idx="68">
                  <c:v>0.11825910780320956</c:v>
                </c:pt>
                <c:pt idx="69">
                  <c:v>0.10667546464223104</c:v>
                </c:pt>
                <c:pt idx="70">
                  <c:v>0.14350870199804397</c:v>
                </c:pt>
                <c:pt idx="71">
                  <c:v>0.13998323562395346</c:v>
                </c:pt>
                <c:pt idx="72">
                  <c:v>0.13200554295302161</c:v>
                </c:pt>
                <c:pt idx="73">
                  <c:v>0.16965627635195563</c:v>
                </c:pt>
                <c:pt idx="74">
                  <c:v>7.4727240062996372E-2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B3-4137-BAA2-5FA6A9842E6C}"/>
            </c:ext>
          </c:extLst>
        </c:ser>
        <c:ser>
          <c:idx val="1"/>
          <c:order val="1"/>
          <c:tx>
            <c:strRef>
              <c:f>'Averages Graph Data'!$AK$4</c:f>
              <c:strCache>
                <c:ptCount val="1"/>
                <c:pt idx="0">
                  <c:v>Average Premium Proportion Under 25 - 4 Week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Data'!$AK$5:$AK$109</c:f>
              <c:numCache>
                <c:formatCode>0.0%</c:formatCode>
                <c:ptCount val="105"/>
                <c:pt idx="3">
                  <c:v>0.25239445741449673</c:v>
                </c:pt>
                <c:pt idx="4">
                  <c:v>0.24987607565437087</c:v>
                </c:pt>
                <c:pt idx="5">
                  <c:v>0.23908148968075618</c:v>
                </c:pt>
                <c:pt idx="6">
                  <c:v>0.23735173511814506</c:v>
                </c:pt>
                <c:pt idx="7">
                  <c:v>0.22563085209440026</c:v>
                </c:pt>
                <c:pt idx="8">
                  <c:v>0.21927875971327096</c:v>
                </c:pt>
                <c:pt idx="9">
                  <c:v>0.21513348988721026</c:v>
                </c:pt>
                <c:pt idx="10">
                  <c:v>0.20305095112926982</c:v>
                </c:pt>
                <c:pt idx="11">
                  <c:v>0.19349139300995619</c:v>
                </c:pt>
                <c:pt idx="12">
                  <c:v>0.18557971082956967</c:v>
                </c:pt>
                <c:pt idx="13">
                  <c:v>0.17723456492105411</c:v>
                </c:pt>
                <c:pt idx="14">
                  <c:v>0.17061508825270316</c:v>
                </c:pt>
                <c:pt idx="15">
                  <c:v>0.16340938273884109</c:v>
                </c:pt>
                <c:pt idx="16">
                  <c:v>0.15444455289003955</c:v>
                </c:pt>
                <c:pt idx="17">
                  <c:v>0.15128311406931072</c:v>
                </c:pt>
                <c:pt idx="18">
                  <c:v>0.14660019890181064</c:v>
                </c:pt>
                <c:pt idx="19">
                  <c:v>0.14499800260024742</c:v>
                </c:pt>
                <c:pt idx="20">
                  <c:v>0.14010769392495762</c:v>
                </c:pt>
                <c:pt idx="21">
                  <c:v>0.1392159080060888</c:v>
                </c:pt>
                <c:pt idx="22">
                  <c:v>0.13799449513402057</c:v>
                </c:pt>
                <c:pt idx="23">
                  <c:v>0.13563235900889772</c:v>
                </c:pt>
                <c:pt idx="24">
                  <c:v>0.13245925820539167</c:v>
                </c:pt>
                <c:pt idx="25">
                  <c:v>0.13408347186219102</c:v>
                </c:pt>
                <c:pt idx="26">
                  <c:v>0.13248220461167987</c:v>
                </c:pt>
                <c:pt idx="27">
                  <c:v>0.13059687656943378</c:v>
                </c:pt>
                <c:pt idx="28">
                  <c:v>0.13215704195909744</c:v>
                </c:pt>
                <c:pt idx="29">
                  <c:v>0.12917885129438267</c:v>
                </c:pt>
                <c:pt idx="30">
                  <c:v>0.12994604144279839</c:v>
                </c:pt>
                <c:pt idx="31">
                  <c:v>0.12999626529906735</c:v>
                </c:pt>
                <c:pt idx="32">
                  <c:v>0.12932134407540807</c:v>
                </c:pt>
                <c:pt idx="33">
                  <c:v>0.12649172763483382</c:v>
                </c:pt>
                <c:pt idx="34">
                  <c:v>0.12839490941842124</c:v>
                </c:pt>
                <c:pt idx="35">
                  <c:v>0.12847712795080804</c:v>
                </c:pt>
                <c:pt idx="36">
                  <c:v>0.12844835606024016</c:v>
                </c:pt>
                <c:pt idx="37">
                  <c:v>0.12624352395293109</c:v>
                </c:pt>
                <c:pt idx="38">
                  <c:v>0.12588124467814943</c:v>
                </c:pt>
                <c:pt idx="39">
                  <c:v>0.12611807275131126</c:v>
                </c:pt>
                <c:pt idx="40">
                  <c:v>0.12190944653459398</c:v>
                </c:pt>
                <c:pt idx="41">
                  <c:v>0.12506244884162337</c:v>
                </c:pt>
                <c:pt idx="42">
                  <c:v>0.12094905814337496</c:v>
                </c:pt>
                <c:pt idx="43">
                  <c:v>0.12000091585570258</c:v>
                </c:pt>
                <c:pt idx="44">
                  <c:v>0.12061743129589308</c:v>
                </c:pt>
                <c:pt idx="45">
                  <c:v>0.11452292245311149</c:v>
                </c:pt>
                <c:pt idx="46">
                  <c:v>0.11094887272758147</c:v>
                </c:pt>
                <c:pt idx="47">
                  <c:v>0.10885421612626181</c:v>
                </c:pt>
                <c:pt idx="48">
                  <c:v>0.10753759956913624</c:v>
                </c:pt>
                <c:pt idx="49">
                  <c:v>0.10754853726693278</c:v>
                </c:pt>
                <c:pt idx="50">
                  <c:v>0.10154879262983468</c:v>
                </c:pt>
                <c:pt idx="51">
                  <c:v>0.10341831063850099</c:v>
                </c:pt>
                <c:pt idx="52">
                  <c:v>0.10453392190188392</c:v>
                </c:pt>
                <c:pt idx="53">
                  <c:v>0.10153350378538836</c:v>
                </c:pt>
                <c:pt idx="54">
                  <c:v>0.10359020772110578</c:v>
                </c:pt>
                <c:pt idx="55">
                  <c:v>9.9708898487846087E-2</c:v>
                </c:pt>
                <c:pt idx="56">
                  <c:v>9.9215260983441578E-2</c:v>
                </c:pt>
                <c:pt idx="57">
                  <c:v>0.10233194933302923</c:v>
                </c:pt>
                <c:pt idx="58">
                  <c:v>0.10165835587142766</c:v>
                </c:pt>
                <c:pt idx="59">
                  <c:v>9.6500405896855976E-2</c:v>
                </c:pt>
                <c:pt idx="60">
                  <c:v>0.10042979867993362</c:v>
                </c:pt>
                <c:pt idx="61">
                  <c:v>9.7778747526912888E-2</c:v>
                </c:pt>
                <c:pt idx="62">
                  <c:v>9.996468590934135E-2</c:v>
                </c:pt>
                <c:pt idx="63">
                  <c:v>9.7667201481678206E-2</c:v>
                </c:pt>
                <c:pt idx="64">
                  <c:v>9.456401497969287E-2</c:v>
                </c:pt>
                <c:pt idx="65">
                  <c:v>9.8504245443884184E-2</c:v>
                </c:pt>
                <c:pt idx="66">
                  <c:v>0.10094736497697274</c:v>
                </c:pt>
                <c:pt idx="67">
                  <c:v>0.10652102454123381</c:v>
                </c:pt>
                <c:pt idx="68">
                  <c:v>0.10840389870935577</c:v>
                </c:pt>
                <c:pt idx="69">
                  <c:v>0.10741818389585293</c:v>
                </c:pt>
                <c:pt idx="70">
                  <c:v>0.11642120810714851</c:v>
                </c:pt>
                <c:pt idx="71">
                  <c:v>0.1271066275168595</c:v>
                </c:pt>
                <c:pt idx="72">
                  <c:v>0.1305432363043125</c:v>
                </c:pt>
                <c:pt idx="73">
                  <c:v>0.14628843923174367</c:v>
                </c:pt>
                <c:pt idx="74">
                  <c:v>0.12909307374798176</c:v>
                </c:pt>
                <c:pt idx="75">
                  <c:v>9.4097264841993405E-2</c:v>
                </c:pt>
                <c:pt idx="76">
                  <c:v>6.1095879103737996E-2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B3-4137-BAA2-5FA6A9842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Data'!$T$4</c:f>
              <c:strCache>
                <c:ptCount val="1"/>
                <c:pt idx="0">
                  <c:v>Average Proportion Under 25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Data'!$T$5:$T$109</c:f>
              <c:numCache>
                <c:formatCode>0.0%</c:formatCode>
                <c:ptCount val="105"/>
                <c:pt idx="0">
                  <c:v>0.14634146341463414</c:v>
                </c:pt>
                <c:pt idx="1">
                  <c:v>0.1092436974789916</c:v>
                </c:pt>
                <c:pt idx="2">
                  <c:v>9.5041322314049576E-2</c:v>
                </c:pt>
                <c:pt idx="3">
                  <c:v>0.10328638497652581</c:v>
                </c:pt>
                <c:pt idx="4">
                  <c:v>0.14414414414414414</c:v>
                </c:pt>
                <c:pt idx="5">
                  <c:v>8.1081081081081086E-2</c:v>
                </c:pt>
                <c:pt idx="6">
                  <c:v>8.8235294117647078E-2</c:v>
                </c:pt>
                <c:pt idx="7">
                  <c:v>0.10919540229885059</c:v>
                </c:pt>
                <c:pt idx="8">
                  <c:v>0.10126582278481013</c:v>
                </c:pt>
                <c:pt idx="9">
                  <c:v>7.3684210526315783E-2</c:v>
                </c:pt>
                <c:pt idx="10">
                  <c:v>9.4637223974763388E-2</c:v>
                </c:pt>
                <c:pt idx="11">
                  <c:v>5.3418803418803396E-2</c:v>
                </c:pt>
                <c:pt idx="12">
                  <c:v>5.9585492227979278E-2</c:v>
                </c:pt>
                <c:pt idx="13">
                  <c:v>3.512880562060889E-2</c:v>
                </c:pt>
                <c:pt idx="14">
                  <c:v>6.8607068607068569E-2</c:v>
                </c:pt>
                <c:pt idx="15">
                  <c:v>7.1550255536626875E-2</c:v>
                </c:pt>
                <c:pt idx="16">
                  <c:v>6.2814070351758788E-2</c:v>
                </c:pt>
                <c:pt idx="17">
                  <c:v>7.4492099322799085E-2</c:v>
                </c:pt>
                <c:pt idx="18">
                  <c:v>6.8807339449541247E-2</c:v>
                </c:pt>
                <c:pt idx="19">
                  <c:v>7.2948328267477172E-2</c:v>
                </c:pt>
                <c:pt idx="20">
                  <c:v>6.5868263473053884E-2</c:v>
                </c:pt>
                <c:pt idx="21">
                  <c:v>5.5944055944055937E-2</c:v>
                </c:pt>
                <c:pt idx="22">
                  <c:v>7.7306733167082281E-2</c:v>
                </c:pt>
                <c:pt idx="23">
                  <c:v>6.8493150684931503E-2</c:v>
                </c:pt>
                <c:pt idx="24">
                  <c:v>6.4257028112449779E-2</c:v>
                </c:pt>
                <c:pt idx="25">
                  <c:v>8.2152974504249271E-2</c:v>
                </c:pt>
                <c:pt idx="26">
                  <c:v>6.5789473684210509E-2</c:v>
                </c:pt>
                <c:pt idx="27">
                  <c:v>8.0487804878048769E-2</c:v>
                </c:pt>
                <c:pt idx="28">
                  <c:v>6.1111609249223556E-2</c:v>
                </c:pt>
                <c:pt idx="29">
                  <c:v>6.9930069930070005E-2</c:v>
                </c:pt>
                <c:pt idx="30">
                  <c:v>6.9105691056910667E-2</c:v>
                </c:pt>
                <c:pt idx="31">
                  <c:v>0.10920770877944339</c:v>
                </c:pt>
                <c:pt idx="32">
                  <c:v>7.9918032786885349E-2</c:v>
                </c:pt>
                <c:pt idx="33">
                  <c:v>8.8291746641074961E-2</c:v>
                </c:pt>
                <c:pt idx="34">
                  <c:v>0.1030042918454937</c:v>
                </c:pt>
                <c:pt idx="35">
                  <c:v>7.1428571428571536E-2</c:v>
                </c:pt>
                <c:pt idx="36">
                  <c:v>7.3118279569892572E-2</c:v>
                </c:pt>
                <c:pt idx="37">
                  <c:v>6.2043795620438026E-2</c:v>
                </c:pt>
                <c:pt idx="38">
                  <c:v>9.3750000000000097E-2</c:v>
                </c:pt>
                <c:pt idx="39">
                  <c:v>7.3991031390134632E-2</c:v>
                </c:pt>
                <c:pt idx="40">
                  <c:v>8.6134453781512743E-2</c:v>
                </c:pt>
                <c:pt idx="41">
                  <c:v>5.4117647058823583E-2</c:v>
                </c:pt>
                <c:pt idx="42">
                  <c:v>8.0760095011876545E-2</c:v>
                </c:pt>
                <c:pt idx="43">
                  <c:v>0.10485933503836327</c:v>
                </c:pt>
                <c:pt idx="44">
                  <c:v>0.10952380952380969</c:v>
                </c:pt>
                <c:pt idx="45">
                  <c:v>9.2753623188405854E-2</c:v>
                </c:pt>
                <c:pt idx="46">
                  <c:v>0.11081081081081089</c:v>
                </c:pt>
                <c:pt idx="47">
                  <c:v>8.150470219435739E-2</c:v>
                </c:pt>
                <c:pt idx="48">
                  <c:v>8.9347079037800675E-2</c:v>
                </c:pt>
                <c:pt idx="49">
                  <c:v>8.3892617449664433E-2</c:v>
                </c:pt>
                <c:pt idx="50">
                  <c:v>0.12264150943396231</c:v>
                </c:pt>
                <c:pt idx="51">
                  <c:v>7.1729957805907185E-2</c:v>
                </c:pt>
                <c:pt idx="52">
                  <c:v>6.6929133858267709E-2</c:v>
                </c:pt>
                <c:pt idx="53">
                  <c:v>7.6388888888888909E-2</c:v>
                </c:pt>
                <c:pt idx="54">
                  <c:v>7.4999999999999997E-2</c:v>
                </c:pt>
                <c:pt idx="55">
                  <c:v>8.0536912751677861E-2</c:v>
                </c:pt>
                <c:pt idx="56">
                  <c:v>0.11328125000000004</c:v>
                </c:pt>
                <c:pt idx="57">
                  <c:v>8.4291187739463605E-2</c:v>
                </c:pt>
                <c:pt idx="58">
                  <c:v>0.10800000000000001</c:v>
                </c:pt>
                <c:pt idx="59">
                  <c:v>9.7276264591439732E-2</c:v>
                </c:pt>
                <c:pt idx="60">
                  <c:v>6.7961165048543701E-2</c:v>
                </c:pt>
                <c:pt idx="61">
                  <c:v>7.4999999999999997E-2</c:v>
                </c:pt>
                <c:pt idx="62">
                  <c:v>9.2150170648464189E-2</c:v>
                </c:pt>
                <c:pt idx="63">
                  <c:v>9.4594594594594628E-2</c:v>
                </c:pt>
                <c:pt idx="64">
                  <c:v>8.4745762711864403E-2</c:v>
                </c:pt>
                <c:pt idx="65">
                  <c:v>7.6305220883534169E-2</c:v>
                </c:pt>
                <c:pt idx="66">
                  <c:v>9.5375722543352637E-2</c:v>
                </c:pt>
                <c:pt idx="67">
                  <c:v>8.496732026143794E-2</c:v>
                </c:pt>
                <c:pt idx="68">
                  <c:v>7.7399380804953566E-2</c:v>
                </c:pt>
                <c:pt idx="69">
                  <c:v>9.8684210526315874E-2</c:v>
                </c:pt>
                <c:pt idx="70">
                  <c:v>0.10035842293906813</c:v>
                </c:pt>
                <c:pt idx="71">
                  <c:v>5.8558558558558543E-2</c:v>
                </c:pt>
                <c:pt idx="72">
                  <c:v>7.7294685990338161E-2</c:v>
                </c:pt>
                <c:pt idx="73">
                  <c:v>6.5134099616858232E-2</c:v>
                </c:pt>
                <c:pt idx="74">
                  <c:v>8.1632653061224469E-2</c:v>
                </c:pt>
                <c:pt idx="75">
                  <c:v>0.1076923076923077</c:v>
                </c:pt>
                <c:pt idx="76">
                  <c:v>4.4897959183673466E-2</c:v>
                </c:pt>
                <c:pt idx="77">
                  <c:v>6.0606060606060629E-2</c:v>
                </c:pt>
                <c:pt idx="78">
                  <c:v>5.3763440860215048E-2</c:v>
                </c:pt>
                <c:pt idx="79">
                  <c:v>0.10326086956521736</c:v>
                </c:pt>
                <c:pt idx="80">
                  <c:v>7.389162561576354E-2</c:v>
                </c:pt>
                <c:pt idx="81">
                  <c:v>7.650273224043716E-2</c:v>
                </c:pt>
                <c:pt idx="82">
                  <c:v>7.6530612244897947E-2</c:v>
                </c:pt>
                <c:pt idx="83">
                  <c:v>6.7010309278350513E-2</c:v>
                </c:pt>
                <c:pt idx="84">
                  <c:v>3.8095238095238092E-2</c:v>
                </c:pt>
                <c:pt idx="85">
                  <c:v>6.1674008810572695E-2</c:v>
                </c:pt>
                <c:pt idx="86">
                  <c:v>9.8901098901098897E-2</c:v>
                </c:pt>
                <c:pt idx="87">
                  <c:v>4.9999999999999996E-2</c:v>
                </c:pt>
                <c:pt idx="88">
                  <c:v>3.9215686274509803E-2</c:v>
                </c:pt>
                <c:pt idx="89">
                  <c:v>6.7193675889328092E-2</c:v>
                </c:pt>
                <c:pt idx="90">
                  <c:v>6.4039408866995065E-2</c:v>
                </c:pt>
                <c:pt idx="91">
                  <c:v>7.4257425742574268E-2</c:v>
                </c:pt>
                <c:pt idx="92">
                  <c:v>7.614213197969541E-2</c:v>
                </c:pt>
                <c:pt idx="93">
                  <c:v>4.9019607843137268E-2</c:v>
                </c:pt>
                <c:pt idx="94">
                  <c:v>6.8627450980392163E-2</c:v>
                </c:pt>
                <c:pt idx="95">
                  <c:v>0.11046511627906974</c:v>
                </c:pt>
                <c:pt idx="96">
                  <c:v>9.7297297297297275E-2</c:v>
                </c:pt>
                <c:pt idx="97">
                  <c:v>6.9767441860465115E-2</c:v>
                </c:pt>
                <c:pt idx="98">
                  <c:v>0.1225490196078431</c:v>
                </c:pt>
                <c:pt idx="99">
                  <c:v>8.3769633507853408E-2</c:v>
                </c:pt>
                <c:pt idx="100">
                  <c:v>8.4415584415584402E-2</c:v>
                </c:pt>
                <c:pt idx="101">
                  <c:v>6.8750000000000019E-2</c:v>
                </c:pt>
                <c:pt idx="102">
                  <c:v>7.4999999999999997E-2</c:v>
                </c:pt>
                <c:pt idx="103">
                  <c:v>0.14285714285714288</c:v>
                </c:pt>
                <c:pt idx="104">
                  <c:v>0.1097560975609756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0-43AA-BEEE-B051C0A45085}"/>
            </c:ext>
          </c:extLst>
        </c:ser>
        <c:ser>
          <c:idx val="1"/>
          <c:order val="1"/>
          <c:tx>
            <c:strRef>
              <c:f>'Averages Graph Data'!$U$4</c:f>
              <c:strCache>
                <c:ptCount val="1"/>
                <c:pt idx="0">
                  <c:v>Average Proportion Under 25 - 4 Week Avg (Boom Annual Up Front)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Data'!$U$5:$U$109</c:f>
              <c:numCache>
                <c:formatCode>0.0%</c:formatCode>
                <c:ptCount val="105"/>
                <c:pt idx="3">
                  <c:v>0.11347821704605028</c:v>
                </c:pt>
                <c:pt idx="4">
                  <c:v>0.11292888722842778</c:v>
                </c:pt>
                <c:pt idx="5">
                  <c:v>0.10588823312895015</c:v>
                </c:pt>
                <c:pt idx="6">
                  <c:v>0.10418672607984952</c:v>
                </c:pt>
                <c:pt idx="7">
                  <c:v>0.10566398041043074</c:v>
                </c:pt>
                <c:pt idx="8">
                  <c:v>9.4944400070597221E-2</c:v>
                </c:pt>
                <c:pt idx="9">
                  <c:v>9.3095182431905898E-2</c:v>
                </c:pt>
                <c:pt idx="10">
                  <c:v>9.4695664896184972E-2</c:v>
                </c:pt>
                <c:pt idx="11">
                  <c:v>8.0751515176173169E-2</c:v>
                </c:pt>
                <c:pt idx="12">
                  <c:v>7.0331432536965457E-2</c:v>
                </c:pt>
                <c:pt idx="13">
                  <c:v>6.0692581310538729E-2</c:v>
                </c:pt>
                <c:pt idx="14">
                  <c:v>5.4185042468615038E-2</c:v>
                </c:pt>
                <c:pt idx="15">
                  <c:v>5.8717905498070905E-2</c:v>
                </c:pt>
                <c:pt idx="16">
                  <c:v>5.9525050029015786E-2</c:v>
                </c:pt>
                <c:pt idx="17">
                  <c:v>6.9365873454563326E-2</c:v>
                </c:pt>
                <c:pt idx="18">
                  <c:v>6.9415941165181502E-2</c:v>
                </c:pt>
                <c:pt idx="19">
                  <c:v>6.9765459347894077E-2</c:v>
                </c:pt>
                <c:pt idx="20">
                  <c:v>7.0529007628217844E-2</c:v>
                </c:pt>
                <c:pt idx="21">
                  <c:v>6.5891996783532053E-2</c:v>
                </c:pt>
                <c:pt idx="22">
                  <c:v>6.8016845212917315E-2</c:v>
                </c:pt>
                <c:pt idx="23">
                  <c:v>6.6903050817280901E-2</c:v>
                </c:pt>
                <c:pt idx="24">
                  <c:v>6.6500241977129879E-2</c:v>
                </c:pt>
                <c:pt idx="25">
                  <c:v>7.3052471617178205E-2</c:v>
                </c:pt>
                <c:pt idx="26">
                  <c:v>7.0173156746460269E-2</c:v>
                </c:pt>
                <c:pt idx="27">
                  <c:v>7.3171820294739592E-2</c:v>
                </c:pt>
                <c:pt idx="28">
                  <c:v>7.2385465578933023E-2</c:v>
                </c:pt>
                <c:pt idx="29">
                  <c:v>6.9329739435388213E-2</c:v>
                </c:pt>
                <c:pt idx="30">
                  <c:v>7.0158793778563253E-2</c:v>
                </c:pt>
                <c:pt idx="31">
                  <c:v>7.7338769753911907E-2</c:v>
                </c:pt>
                <c:pt idx="32">
                  <c:v>8.2040375638327348E-2</c:v>
                </c:pt>
                <c:pt idx="33">
                  <c:v>8.6630794816078591E-2</c:v>
                </c:pt>
                <c:pt idx="34">
                  <c:v>9.5105445013224349E-2</c:v>
                </c:pt>
                <c:pt idx="35">
                  <c:v>8.5660660675506373E-2</c:v>
                </c:pt>
                <c:pt idx="36">
                  <c:v>8.3960722371258206E-2</c:v>
                </c:pt>
                <c:pt idx="37">
                  <c:v>7.739873461609896E-2</c:v>
                </c:pt>
                <c:pt idx="38">
                  <c:v>7.5085161654725549E-2</c:v>
                </c:pt>
                <c:pt idx="39">
                  <c:v>7.572577664511633E-2</c:v>
                </c:pt>
                <c:pt idx="40">
                  <c:v>7.8979820198021383E-2</c:v>
                </c:pt>
                <c:pt idx="41">
                  <c:v>7.6998283057617772E-2</c:v>
                </c:pt>
                <c:pt idx="42">
                  <c:v>7.3750806810586877E-2</c:v>
                </c:pt>
                <c:pt idx="43">
                  <c:v>8.1467882722644033E-2</c:v>
                </c:pt>
                <c:pt idx="44">
                  <c:v>8.731522165821827E-2</c:v>
                </c:pt>
                <c:pt idx="45">
                  <c:v>9.6974215690613846E-2</c:v>
                </c:pt>
                <c:pt idx="46">
                  <c:v>0.10448689464034742</c:v>
                </c:pt>
                <c:pt idx="47">
                  <c:v>9.8648236429345962E-2</c:v>
                </c:pt>
                <c:pt idx="48">
                  <c:v>9.3604053807843701E-2</c:v>
                </c:pt>
                <c:pt idx="49">
                  <c:v>9.1388802373158343E-2</c:v>
                </c:pt>
                <c:pt idx="50">
                  <c:v>9.4346477028946191E-2</c:v>
                </c:pt>
                <c:pt idx="51">
                  <c:v>9.190279093183365E-2</c:v>
                </c:pt>
                <c:pt idx="52">
                  <c:v>8.6298304636950401E-2</c:v>
                </c:pt>
                <c:pt idx="53">
                  <c:v>8.442237249675652E-2</c:v>
                </c:pt>
                <c:pt idx="54">
                  <c:v>7.251199513826595E-2</c:v>
                </c:pt>
                <c:pt idx="55">
                  <c:v>7.4713733874708615E-2</c:v>
                </c:pt>
                <c:pt idx="56">
                  <c:v>8.6301762910141702E-2</c:v>
                </c:pt>
                <c:pt idx="57">
                  <c:v>8.8277337622785376E-2</c:v>
                </c:pt>
                <c:pt idx="58">
                  <c:v>9.652733762278537E-2</c:v>
                </c:pt>
                <c:pt idx="59">
                  <c:v>0.10071217558272584</c:v>
                </c:pt>
                <c:pt idx="60">
                  <c:v>8.9382154344861769E-2</c:v>
                </c:pt>
                <c:pt idx="61">
                  <c:v>8.7059357409995861E-2</c:v>
                </c:pt>
                <c:pt idx="62">
                  <c:v>8.3096900072111915E-2</c:v>
                </c:pt>
                <c:pt idx="63">
                  <c:v>8.2426482572900625E-2</c:v>
                </c:pt>
                <c:pt idx="64">
                  <c:v>8.6622631988730797E-2</c:v>
                </c:pt>
                <c:pt idx="65">
                  <c:v>8.6948937209614358E-2</c:v>
                </c:pt>
                <c:pt idx="66">
                  <c:v>8.7755325183336466E-2</c:v>
                </c:pt>
                <c:pt idx="67">
                  <c:v>8.534850660004728E-2</c:v>
                </c:pt>
                <c:pt idx="68">
                  <c:v>8.3511911123319571E-2</c:v>
                </c:pt>
                <c:pt idx="69">
                  <c:v>8.9106658534015004E-2</c:v>
                </c:pt>
                <c:pt idx="70">
                  <c:v>9.0352333632943871E-2</c:v>
                </c:pt>
                <c:pt idx="71">
                  <c:v>8.3750143207224015E-2</c:v>
                </c:pt>
                <c:pt idx="72">
                  <c:v>8.3723969503570181E-2</c:v>
                </c:pt>
                <c:pt idx="73">
                  <c:v>7.533644177620577E-2</c:v>
                </c:pt>
                <c:pt idx="74">
                  <c:v>7.0654999306744848E-2</c:v>
                </c:pt>
                <c:pt idx="75">
                  <c:v>8.2938436590182144E-2</c:v>
                </c:pt>
                <c:pt idx="76">
                  <c:v>7.4839254888515963E-2</c:v>
                </c:pt>
                <c:pt idx="77">
                  <c:v>7.3707245135816557E-2</c:v>
                </c:pt>
                <c:pt idx="78">
                  <c:v>6.6739942085564205E-2</c:v>
                </c:pt>
                <c:pt idx="79">
                  <c:v>6.5632082553791618E-2</c:v>
                </c:pt>
                <c:pt idx="80">
                  <c:v>7.2880499161814133E-2</c:v>
                </c:pt>
                <c:pt idx="81">
                  <c:v>7.6854667070408278E-2</c:v>
                </c:pt>
                <c:pt idx="82">
                  <c:v>8.254645991657901E-2</c:v>
                </c:pt>
                <c:pt idx="83">
                  <c:v>7.3483819844862283E-2</c:v>
                </c:pt>
                <c:pt idx="84">
                  <c:v>6.4534722964730923E-2</c:v>
                </c:pt>
                <c:pt idx="85">
                  <c:v>6.0827542107264813E-2</c:v>
                </c:pt>
                <c:pt idx="86">
                  <c:v>6.6420163771315044E-2</c:v>
                </c:pt>
                <c:pt idx="87">
                  <c:v>6.2167586451727416E-2</c:v>
                </c:pt>
                <c:pt idx="88">
                  <c:v>6.2447698496545349E-2</c:v>
                </c:pt>
                <c:pt idx="89">
                  <c:v>6.3827615266234206E-2</c:v>
                </c:pt>
                <c:pt idx="90">
                  <c:v>5.5112192757708234E-2</c:v>
                </c:pt>
                <c:pt idx="91">
                  <c:v>6.1176549193351804E-2</c:v>
                </c:pt>
                <c:pt idx="92">
                  <c:v>7.0408160619648219E-2</c:v>
                </c:pt>
                <c:pt idx="93">
                  <c:v>6.5864643608100501E-2</c:v>
                </c:pt>
                <c:pt idx="94">
                  <c:v>6.7011654136449772E-2</c:v>
                </c:pt>
                <c:pt idx="95">
                  <c:v>7.6063576770573654E-2</c:v>
                </c:pt>
                <c:pt idx="96">
                  <c:v>8.1352368099974121E-2</c:v>
                </c:pt>
                <c:pt idx="97">
                  <c:v>8.6539326604306077E-2</c:v>
                </c:pt>
                <c:pt idx="98">
                  <c:v>0.1000197187611688</c:v>
                </c:pt>
                <c:pt idx="99">
                  <c:v>9.3345848068364712E-2</c:v>
                </c:pt>
                <c:pt idx="100">
                  <c:v>9.0125419847936511E-2</c:v>
                </c:pt>
                <c:pt idx="101">
                  <c:v>8.9871059382820237E-2</c:v>
                </c:pt>
                <c:pt idx="102">
                  <c:v>7.7983804480859467E-2</c:v>
                </c:pt>
                <c:pt idx="103">
                  <c:v>9.2755681818181834E-2</c:v>
                </c:pt>
                <c:pt idx="104">
                  <c:v>9.9090810104529622E-2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0-43AA-BEEE-B051C0A45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Data'!$AF$4</c:f>
              <c:strCache>
                <c:ptCount val="1"/>
                <c:pt idx="0">
                  <c:v>Average Premium Proportion Under 25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Data'!$AF$5:$AF$109</c:f>
              <c:numCache>
                <c:formatCode>0.0%</c:formatCode>
                <c:ptCount val="105"/>
                <c:pt idx="0">
                  <c:v>0.22037978698530739</c:v>
                </c:pt>
                <c:pt idx="1">
                  <c:v>0.19892729121669314</c:v>
                </c:pt>
                <c:pt idx="2">
                  <c:v>0.17775413165024484</c:v>
                </c:pt>
                <c:pt idx="3">
                  <c:v>0.18165247122949307</c:v>
                </c:pt>
                <c:pt idx="4">
                  <c:v>0.20261539049620328</c:v>
                </c:pt>
                <c:pt idx="5">
                  <c:v>0.1794749126631178</c:v>
                </c:pt>
                <c:pt idx="6">
                  <c:v>0.1692577481068484</c:v>
                </c:pt>
                <c:pt idx="7">
                  <c:v>0.20768790021476</c:v>
                </c:pt>
                <c:pt idx="8">
                  <c:v>0.15913443978882041</c:v>
                </c:pt>
                <c:pt idx="9">
                  <c:v>0.1481375117855529</c:v>
                </c:pt>
                <c:pt idx="10">
                  <c:v>0.194759137898525</c:v>
                </c:pt>
                <c:pt idx="11">
                  <c:v>9.1280290812125117E-2</c:v>
                </c:pt>
                <c:pt idx="12">
                  <c:v>0.1077647225551583</c:v>
                </c:pt>
                <c:pt idx="13">
                  <c:v>8.1538184175829601E-2</c:v>
                </c:pt>
                <c:pt idx="14">
                  <c:v>0.14392862116317454</c:v>
                </c:pt>
                <c:pt idx="15">
                  <c:v>0.15401619452069076</c:v>
                </c:pt>
                <c:pt idx="16">
                  <c:v>0.12673730835580277</c:v>
                </c:pt>
                <c:pt idx="17">
                  <c:v>0.15118064625007538</c:v>
                </c:pt>
                <c:pt idx="18">
                  <c:v>0.12376549610834593</c:v>
                </c:pt>
                <c:pt idx="19">
                  <c:v>0.13162074085738895</c:v>
                </c:pt>
                <c:pt idx="20">
                  <c:v>0.13630470092006949</c:v>
                </c:pt>
                <c:pt idx="21">
                  <c:v>9.6857377245733442E-2</c:v>
                </c:pt>
                <c:pt idx="22">
                  <c:v>0.15688074074624461</c:v>
                </c:pt>
                <c:pt idx="23">
                  <c:v>0.14520886960168097</c:v>
                </c:pt>
                <c:pt idx="24">
                  <c:v>0.13499116673861927</c:v>
                </c:pt>
                <c:pt idx="25">
                  <c:v>0.17916507679940563</c:v>
                </c:pt>
                <c:pt idx="26">
                  <c:v>0.13361294914929517</c:v>
                </c:pt>
                <c:pt idx="27">
                  <c:v>0.18205816549997619</c:v>
                </c:pt>
                <c:pt idx="28">
                  <c:v>0.14148118734074108</c:v>
                </c:pt>
                <c:pt idx="29">
                  <c:v>0.15162780132480994</c:v>
                </c:pt>
                <c:pt idx="30">
                  <c:v>0.13924363414718785</c:v>
                </c:pt>
                <c:pt idx="31">
                  <c:v>0.2261396692623461</c:v>
                </c:pt>
                <c:pt idx="32">
                  <c:v>0.17418934232824981</c:v>
                </c:pt>
                <c:pt idx="33">
                  <c:v>0.18420116260242475</c:v>
                </c:pt>
                <c:pt idx="34">
                  <c:v>0.20312120274131606</c:v>
                </c:pt>
                <c:pt idx="35">
                  <c:v>0.16780248382684279</c:v>
                </c:pt>
                <c:pt idx="36">
                  <c:v>0.1365620605106192</c:v>
                </c:pt>
                <c:pt idx="37">
                  <c:v>0.11901821214219813</c:v>
                </c:pt>
                <c:pt idx="38">
                  <c:v>0.16164495541838578</c:v>
                </c:pt>
                <c:pt idx="39">
                  <c:v>0.15999157213715587</c:v>
                </c:pt>
                <c:pt idx="40">
                  <c:v>0.17272406143735444</c:v>
                </c:pt>
                <c:pt idx="41">
                  <c:v>0.12172324613087541</c:v>
                </c:pt>
                <c:pt idx="42">
                  <c:v>0.19065551598071517</c:v>
                </c:pt>
                <c:pt idx="43">
                  <c:v>0.22547239762714866</c:v>
                </c:pt>
                <c:pt idx="44">
                  <c:v>0.21756228940834313</c:v>
                </c:pt>
                <c:pt idx="45">
                  <c:v>0.19299697297377599</c:v>
                </c:pt>
                <c:pt idx="46">
                  <c:v>0.24656457095316511</c:v>
                </c:pt>
                <c:pt idx="47">
                  <c:v>0.1384619386029462</c:v>
                </c:pt>
                <c:pt idx="48">
                  <c:v>0.16727688339412597</c:v>
                </c:pt>
                <c:pt idx="49">
                  <c:v>0.17370479423736837</c:v>
                </c:pt>
                <c:pt idx="50">
                  <c:v>0.28980706941449474</c:v>
                </c:pt>
                <c:pt idx="51">
                  <c:v>0.15354171843258019</c:v>
                </c:pt>
                <c:pt idx="52">
                  <c:v>0.15140243239518184</c:v>
                </c:pt>
                <c:pt idx="53">
                  <c:v>0.13068205722566872</c:v>
                </c:pt>
                <c:pt idx="54">
                  <c:v>0.18171490501405943</c:v>
                </c:pt>
                <c:pt idx="55">
                  <c:v>0.16066517519027648</c:v>
                </c:pt>
                <c:pt idx="56">
                  <c:v>0.24111459452395601</c:v>
                </c:pt>
                <c:pt idx="57">
                  <c:v>0.19844212360541091</c:v>
                </c:pt>
                <c:pt idx="58">
                  <c:v>0.24483450466179474</c:v>
                </c:pt>
                <c:pt idx="59">
                  <c:v>0.2229715379157676</c:v>
                </c:pt>
                <c:pt idx="60">
                  <c:v>0.16482312567837815</c:v>
                </c:pt>
                <c:pt idx="61">
                  <c:v>0.15109963148636779</c:v>
                </c:pt>
                <c:pt idx="62">
                  <c:v>0.20820362832848222</c:v>
                </c:pt>
                <c:pt idx="63">
                  <c:v>0.15556234705117439</c:v>
                </c:pt>
                <c:pt idx="64">
                  <c:v>0.13870482561343553</c:v>
                </c:pt>
                <c:pt idx="65">
                  <c:v>0.15152773351017002</c:v>
                </c:pt>
                <c:pt idx="66">
                  <c:v>0.17499946890108772</c:v>
                </c:pt>
                <c:pt idx="67">
                  <c:v>0.14015647778522694</c:v>
                </c:pt>
                <c:pt idx="68">
                  <c:v>0.1162172882905136</c:v>
                </c:pt>
                <c:pt idx="69">
                  <c:v>0.16937447469926484</c:v>
                </c:pt>
                <c:pt idx="70">
                  <c:v>0.15158814130174106</c:v>
                </c:pt>
                <c:pt idx="71">
                  <c:v>8.5943476274651154E-2</c:v>
                </c:pt>
                <c:pt idx="72">
                  <c:v>0.10189301309485256</c:v>
                </c:pt>
                <c:pt idx="73">
                  <c:v>0.10509463448821146</c:v>
                </c:pt>
                <c:pt idx="74">
                  <c:v>0.12959094504176741</c:v>
                </c:pt>
                <c:pt idx="75">
                  <c:v>0.17513723139462176</c:v>
                </c:pt>
                <c:pt idx="76">
                  <c:v>7.2533448141681417E-2</c:v>
                </c:pt>
                <c:pt idx="77">
                  <c:v>7.8791332422098764E-2</c:v>
                </c:pt>
                <c:pt idx="78">
                  <c:v>8.9363404591913886E-2</c:v>
                </c:pt>
                <c:pt idx="79">
                  <c:v>0.16671027936729493</c:v>
                </c:pt>
                <c:pt idx="80">
                  <c:v>0.13978699431774111</c:v>
                </c:pt>
                <c:pt idx="81">
                  <c:v>0.16056078972976989</c:v>
                </c:pt>
                <c:pt idx="82">
                  <c:v>0.14310637535830817</c:v>
                </c:pt>
                <c:pt idx="83">
                  <c:v>7.0407073846993504E-2</c:v>
                </c:pt>
                <c:pt idx="84">
                  <c:v>5.1440935013100673E-2</c:v>
                </c:pt>
                <c:pt idx="85">
                  <c:v>9.369058700179686E-2</c:v>
                </c:pt>
                <c:pt idx="86">
                  <c:v>0.1628590989730973</c:v>
                </c:pt>
                <c:pt idx="87">
                  <c:v>8.2987000300805039E-2</c:v>
                </c:pt>
                <c:pt idx="88">
                  <c:v>7.5333336095918371E-2</c:v>
                </c:pt>
                <c:pt idx="89">
                  <c:v>0.10453831425183503</c:v>
                </c:pt>
                <c:pt idx="90">
                  <c:v>0.1018947770181375</c:v>
                </c:pt>
                <c:pt idx="91">
                  <c:v>0.10920402965014298</c:v>
                </c:pt>
                <c:pt idx="92">
                  <c:v>0.11732303276647468</c:v>
                </c:pt>
                <c:pt idx="93">
                  <c:v>8.6434012850571812E-2</c:v>
                </c:pt>
                <c:pt idx="94">
                  <c:v>0.1149318137684235</c:v>
                </c:pt>
                <c:pt idx="95">
                  <c:v>0.20807346708246041</c:v>
                </c:pt>
                <c:pt idx="96">
                  <c:v>0.13265574204466893</c:v>
                </c:pt>
                <c:pt idx="97">
                  <c:v>0.12166403727541775</c:v>
                </c:pt>
                <c:pt idx="98">
                  <c:v>0.20917474373209896</c:v>
                </c:pt>
                <c:pt idx="99">
                  <c:v>9.5789603662724834E-2</c:v>
                </c:pt>
                <c:pt idx="100">
                  <c:v>0.14158051344358377</c:v>
                </c:pt>
                <c:pt idx="101">
                  <c:v>9.6149818046968538E-2</c:v>
                </c:pt>
                <c:pt idx="102">
                  <c:v>0.13141989409695767</c:v>
                </c:pt>
                <c:pt idx="103">
                  <c:v>0.23399375414333978</c:v>
                </c:pt>
                <c:pt idx="104">
                  <c:v>0.17873841968749579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6-48C1-81D6-3ADB4574CF2B}"/>
            </c:ext>
          </c:extLst>
        </c:ser>
        <c:ser>
          <c:idx val="1"/>
          <c:order val="1"/>
          <c:tx>
            <c:strRef>
              <c:f>'Averages Graph Data'!$AG$4</c:f>
              <c:strCache>
                <c:ptCount val="1"/>
                <c:pt idx="0">
                  <c:v>Average Premium Proportion Under 25 - 4 Week Avg (Boom Annual Up Front)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Data'!$AG$5:$AG$109</c:f>
              <c:numCache>
                <c:formatCode>0.0%</c:formatCode>
                <c:ptCount val="105"/>
                <c:pt idx="3">
                  <c:v>0.19467842027043464</c:v>
                </c:pt>
                <c:pt idx="4">
                  <c:v>0.19023732114815858</c:v>
                </c:pt>
                <c:pt idx="5">
                  <c:v>0.18537422650976473</c:v>
                </c:pt>
                <c:pt idx="6">
                  <c:v>0.18325013062391565</c:v>
                </c:pt>
                <c:pt idx="7">
                  <c:v>0.18975898787023238</c:v>
                </c:pt>
                <c:pt idx="8">
                  <c:v>0.17888875019338668</c:v>
                </c:pt>
                <c:pt idx="9">
                  <c:v>0.17105439997399544</c:v>
                </c:pt>
                <c:pt idx="10">
                  <c:v>0.17742974742191459</c:v>
                </c:pt>
                <c:pt idx="11">
                  <c:v>0.14832784507125585</c:v>
                </c:pt>
                <c:pt idx="12">
                  <c:v>0.13548541576284034</c:v>
                </c:pt>
                <c:pt idx="13">
                  <c:v>0.1188355838604095</c:v>
                </c:pt>
                <c:pt idx="14">
                  <c:v>0.10612795467657188</c:v>
                </c:pt>
                <c:pt idx="15">
                  <c:v>0.1218119306037133</c:v>
                </c:pt>
                <c:pt idx="16">
                  <c:v>0.12655507705387442</c:v>
                </c:pt>
                <c:pt idx="17">
                  <c:v>0.14396569257243585</c:v>
                </c:pt>
                <c:pt idx="18">
                  <c:v>0.13892491130872872</c:v>
                </c:pt>
                <c:pt idx="19">
                  <c:v>0.13332604789290325</c:v>
                </c:pt>
                <c:pt idx="20">
                  <c:v>0.13571789603396994</c:v>
                </c:pt>
                <c:pt idx="21">
                  <c:v>0.12213707878288445</c:v>
                </c:pt>
                <c:pt idx="22">
                  <c:v>0.13041588994235914</c:v>
                </c:pt>
                <c:pt idx="23">
                  <c:v>0.13381292212843213</c:v>
                </c:pt>
                <c:pt idx="24">
                  <c:v>0.13348453858306958</c:v>
                </c:pt>
                <c:pt idx="25">
                  <c:v>0.15406146347148764</c:v>
                </c:pt>
                <c:pt idx="26">
                  <c:v>0.14824451557225027</c:v>
                </c:pt>
                <c:pt idx="27">
                  <c:v>0.15745683954682407</c:v>
                </c:pt>
                <c:pt idx="28">
                  <c:v>0.15907934469735452</c:v>
                </c:pt>
                <c:pt idx="29">
                  <c:v>0.15219502582870559</c:v>
                </c:pt>
                <c:pt idx="30">
                  <c:v>0.15360269707817878</c:v>
                </c:pt>
                <c:pt idx="31">
                  <c:v>0.16462307301877124</c:v>
                </c:pt>
                <c:pt idx="32">
                  <c:v>0.17280011176564841</c:v>
                </c:pt>
                <c:pt idx="33">
                  <c:v>0.18094345208505214</c:v>
                </c:pt>
                <c:pt idx="34">
                  <c:v>0.19691284423358418</c:v>
                </c:pt>
                <c:pt idx="35">
                  <c:v>0.18232854787470837</c:v>
                </c:pt>
                <c:pt idx="36">
                  <c:v>0.17292172742030071</c:v>
                </c:pt>
                <c:pt idx="37">
                  <c:v>0.15662598980524406</c:v>
                </c:pt>
                <c:pt idx="38">
                  <c:v>0.14625692797451145</c:v>
                </c:pt>
                <c:pt idx="39">
                  <c:v>0.14430420005208974</c:v>
                </c:pt>
                <c:pt idx="40">
                  <c:v>0.15334470028377356</c:v>
                </c:pt>
                <c:pt idx="41">
                  <c:v>0.15402095878094285</c:v>
                </c:pt>
                <c:pt idx="42">
                  <c:v>0.16127359892152521</c:v>
                </c:pt>
                <c:pt idx="43">
                  <c:v>0.1776438052940234</c:v>
                </c:pt>
                <c:pt idx="44">
                  <c:v>0.18885336228677058</c:v>
                </c:pt>
                <c:pt idx="45">
                  <c:v>0.20667179399749575</c:v>
                </c:pt>
                <c:pt idx="46">
                  <c:v>0.2206490577406082</c:v>
                </c:pt>
                <c:pt idx="47">
                  <c:v>0.19889644298455761</c:v>
                </c:pt>
                <c:pt idx="48">
                  <c:v>0.18632509148100332</c:v>
                </c:pt>
                <c:pt idx="49">
                  <c:v>0.18150204679690141</c:v>
                </c:pt>
                <c:pt idx="50">
                  <c:v>0.19231267141223382</c:v>
                </c:pt>
                <c:pt idx="51">
                  <c:v>0.1960826163696423</c:v>
                </c:pt>
                <c:pt idx="52">
                  <c:v>0.1921140036199063</c:v>
                </c:pt>
                <c:pt idx="53">
                  <c:v>0.18135831936698138</c:v>
                </c:pt>
                <c:pt idx="54">
                  <c:v>0.15433527826687254</c:v>
                </c:pt>
                <c:pt idx="55">
                  <c:v>0.1561161424562966</c:v>
                </c:pt>
                <c:pt idx="56">
                  <c:v>0.17854418298849015</c:v>
                </c:pt>
                <c:pt idx="57">
                  <c:v>0.19548419958342569</c:v>
                </c:pt>
                <c:pt idx="58">
                  <c:v>0.21126409949535951</c:v>
                </c:pt>
                <c:pt idx="59">
                  <c:v>0.22684069017673233</c:v>
                </c:pt>
                <c:pt idx="60">
                  <c:v>0.20776782296533786</c:v>
                </c:pt>
                <c:pt idx="61">
                  <c:v>0.19593219993557703</c:v>
                </c:pt>
                <c:pt idx="62">
                  <c:v>0.18677448085224896</c:v>
                </c:pt>
                <c:pt idx="63">
                  <c:v>0.16992218313610064</c:v>
                </c:pt>
                <c:pt idx="64">
                  <c:v>0.163392608119865</c:v>
                </c:pt>
                <c:pt idx="65">
                  <c:v>0.16349963362581554</c:v>
                </c:pt>
                <c:pt idx="66">
                  <c:v>0.15519859376896691</c:v>
                </c:pt>
                <c:pt idx="67">
                  <c:v>0.15134712645248005</c:v>
                </c:pt>
                <c:pt idx="68">
                  <c:v>0.14572524212174959</c:v>
                </c:pt>
                <c:pt idx="69">
                  <c:v>0.15018692741902326</c:v>
                </c:pt>
                <c:pt idx="70">
                  <c:v>0.14433409551918661</c:v>
                </c:pt>
                <c:pt idx="71">
                  <c:v>0.13078084514154267</c:v>
                </c:pt>
                <c:pt idx="72">
                  <c:v>0.12719977634262741</c:v>
                </c:pt>
                <c:pt idx="73">
                  <c:v>0.11112981628986407</c:v>
                </c:pt>
                <c:pt idx="74">
                  <c:v>0.10563051722487063</c:v>
                </c:pt>
                <c:pt idx="75">
                  <c:v>0.12792895600486331</c:v>
                </c:pt>
                <c:pt idx="76">
                  <c:v>0.1205890647665705</c:v>
                </c:pt>
                <c:pt idx="77">
                  <c:v>0.11401323925004234</c:v>
                </c:pt>
                <c:pt idx="78">
                  <c:v>0.10395635413757896</c:v>
                </c:pt>
                <c:pt idx="79">
                  <c:v>0.10184961613074725</c:v>
                </c:pt>
                <c:pt idx="80">
                  <c:v>0.11866300267476218</c:v>
                </c:pt>
                <c:pt idx="81">
                  <c:v>0.13910536700167997</c:v>
                </c:pt>
                <c:pt idx="82">
                  <c:v>0.15254110969327853</c:v>
                </c:pt>
                <c:pt idx="83">
                  <c:v>0.12846530831320316</c:v>
                </c:pt>
                <c:pt idx="84">
                  <c:v>0.10637879348704306</c:v>
                </c:pt>
                <c:pt idx="85">
                  <c:v>8.9661242805049807E-2</c:v>
                </c:pt>
                <c:pt idx="86">
                  <c:v>9.4599423708747077E-2</c:v>
                </c:pt>
                <c:pt idx="87">
                  <c:v>9.7744405322199968E-2</c:v>
                </c:pt>
                <c:pt idx="88">
                  <c:v>0.10371750559290438</c:v>
                </c:pt>
                <c:pt idx="89">
                  <c:v>0.10642943740541393</c:v>
                </c:pt>
                <c:pt idx="90">
                  <c:v>9.1188356916673985E-2</c:v>
                </c:pt>
                <c:pt idx="91">
                  <c:v>9.7742614254008472E-2</c:v>
                </c:pt>
                <c:pt idx="92">
                  <c:v>0.10824003842164756</c:v>
                </c:pt>
                <c:pt idx="93">
                  <c:v>0.10371396307133174</c:v>
                </c:pt>
                <c:pt idx="94">
                  <c:v>0.10697322225890324</c:v>
                </c:pt>
                <c:pt idx="95">
                  <c:v>0.1316905816169826</c:v>
                </c:pt>
                <c:pt idx="96">
                  <c:v>0.13552375893653115</c:v>
                </c:pt>
                <c:pt idx="97">
                  <c:v>0.14433126504274266</c:v>
                </c:pt>
                <c:pt idx="98">
                  <c:v>0.16789199753366152</c:v>
                </c:pt>
                <c:pt idx="99">
                  <c:v>0.13982103167872761</c:v>
                </c:pt>
                <c:pt idx="100">
                  <c:v>0.14205222452845634</c:v>
                </c:pt>
                <c:pt idx="101">
                  <c:v>0.13567366972134404</c:v>
                </c:pt>
                <c:pt idx="102">
                  <c:v>0.1162349573125587</c:v>
                </c:pt>
                <c:pt idx="103">
                  <c:v>0.15078599493271244</c:v>
                </c:pt>
                <c:pt idx="104">
                  <c:v>0.16007547149369045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26-48C1-81D6-3ADB4574C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 Finance: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Data'!$V$4</c:f>
              <c:strCache>
                <c:ptCount val="1"/>
                <c:pt idx="0">
                  <c:v>Average Proportion Under 25 (Boom Annual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Data'!$V$5:$V$109</c:f>
              <c:numCache>
                <c:formatCode>0.0%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5.8823529411764698E-2</c:v>
                </c:pt>
                <c:pt idx="24">
                  <c:v>5.8111380145278432E-2</c:v>
                </c:pt>
                <c:pt idx="25">
                  <c:v>6.0773480662983416E-2</c:v>
                </c:pt>
                <c:pt idx="26">
                  <c:v>0.04</c:v>
                </c:pt>
                <c:pt idx="27">
                  <c:v>5.6761268781302138E-2</c:v>
                </c:pt>
                <c:pt idx="28">
                  <c:v>5.3456134377844411E-2</c:v>
                </c:pt>
                <c:pt idx="29">
                  <c:v>6.2344139650872842E-2</c:v>
                </c:pt>
                <c:pt idx="30">
                  <c:v>6.3914780292942772E-2</c:v>
                </c:pt>
                <c:pt idx="31">
                  <c:v>5.5555555555555573E-2</c:v>
                </c:pt>
                <c:pt idx="32">
                  <c:v>5.4597701149425193E-2</c:v>
                </c:pt>
                <c:pt idx="33">
                  <c:v>5.9535822401614473E-2</c:v>
                </c:pt>
                <c:pt idx="34">
                  <c:v>4.9086757990867584E-2</c:v>
                </c:pt>
                <c:pt idx="35">
                  <c:v>4.8423423423423442E-2</c:v>
                </c:pt>
                <c:pt idx="36">
                  <c:v>4.8552754435107336E-2</c:v>
                </c:pt>
                <c:pt idx="37">
                  <c:v>4.5148895292987469E-2</c:v>
                </c:pt>
                <c:pt idx="38">
                  <c:v>5.647058823529412E-2</c:v>
                </c:pt>
                <c:pt idx="39">
                  <c:v>4.4247787610619482E-2</c:v>
                </c:pt>
                <c:pt idx="40">
                  <c:v>5.1627384960718239E-2</c:v>
                </c:pt>
                <c:pt idx="41">
                  <c:v>5.3905390539053903E-2</c:v>
                </c:pt>
                <c:pt idx="42">
                  <c:v>5.0767414403777987E-2</c:v>
                </c:pt>
                <c:pt idx="43">
                  <c:v>7.8125000000000028E-2</c:v>
                </c:pt>
                <c:pt idx="44">
                  <c:v>5.1700680272108862E-2</c:v>
                </c:pt>
                <c:pt idx="45">
                  <c:v>7.2289156626506049E-2</c:v>
                </c:pt>
                <c:pt idx="46">
                  <c:v>6.760204081632655E-2</c:v>
                </c:pt>
                <c:pt idx="47">
                  <c:v>7.5757575757575829E-2</c:v>
                </c:pt>
                <c:pt idx="48">
                  <c:v>6.8471337579617889E-2</c:v>
                </c:pt>
                <c:pt idx="49">
                  <c:v>6.0975609756097615E-2</c:v>
                </c:pt>
                <c:pt idx="50">
                  <c:v>5.9888579387186648E-2</c:v>
                </c:pt>
                <c:pt idx="51">
                  <c:v>5.8430717863105226E-2</c:v>
                </c:pt>
                <c:pt idx="52">
                  <c:v>5.9674502712477442E-2</c:v>
                </c:pt>
                <c:pt idx="53">
                  <c:v>6.6189624329159272E-2</c:v>
                </c:pt>
                <c:pt idx="54">
                  <c:v>5.9782608695652238E-2</c:v>
                </c:pt>
                <c:pt idx="55">
                  <c:v>6.3862928348909706E-2</c:v>
                </c:pt>
                <c:pt idx="56">
                  <c:v>6.6147859922179073E-2</c:v>
                </c:pt>
                <c:pt idx="57">
                  <c:v>6.2043795620438026E-2</c:v>
                </c:pt>
                <c:pt idx="58">
                  <c:v>6.3897763578274813E-2</c:v>
                </c:pt>
                <c:pt idx="59">
                  <c:v>4.6875000000000035E-2</c:v>
                </c:pt>
                <c:pt idx="60">
                  <c:v>6.9037656903765773E-2</c:v>
                </c:pt>
                <c:pt idx="61">
                  <c:v>6.6427289048474059E-2</c:v>
                </c:pt>
                <c:pt idx="62">
                  <c:v>7.5503355704698058E-2</c:v>
                </c:pt>
                <c:pt idx="63">
                  <c:v>9.0497737556561153E-2</c:v>
                </c:pt>
                <c:pt idx="64">
                  <c:v>6.3636363636363699E-2</c:v>
                </c:pt>
                <c:pt idx="65">
                  <c:v>5.7347670250896134E-2</c:v>
                </c:pt>
                <c:pt idx="66">
                  <c:v>7.2700296735905084E-2</c:v>
                </c:pt>
                <c:pt idx="67">
                  <c:v>7.0866141732283477E-2</c:v>
                </c:pt>
                <c:pt idx="68">
                  <c:v>6.9620253164557E-2</c:v>
                </c:pt>
                <c:pt idx="69">
                  <c:v>7.0588235294117702E-2</c:v>
                </c:pt>
                <c:pt idx="70">
                  <c:v>7.2568940493468861E-2</c:v>
                </c:pt>
                <c:pt idx="71">
                  <c:v>6.1224489795918421E-2</c:v>
                </c:pt>
                <c:pt idx="72">
                  <c:v>6.4024390243902482E-2</c:v>
                </c:pt>
                <c:pt idx="73">
                  <c:v>4.6132971506105853E-2</c:v>
                </c:pt>
                <c:pt idx="74">
                  <c:v>6.5217391304347852E-2</c:v>
                </c:pt>
                <c:pt idx="75">
                  <c:v>6.3893016344725162E-2</c:v>
                </c:pt>
                <c:pt idx="76">
                  <c:v>7.1428571428571438E-2</c:v>
                </c:pt>
                <c:pt idx="77">
                  <c:v>6.9142125480153624E-2</c:v>
                </c:pt>
                <c:pt idx="78">
                  <c:v>7.4766355140186994E-2</c:v>
                </c:pt>
                <c:pt idx="79">
                  <c:v>5.6122448979591906E-2</c:v>
                </c:pt>
                <c:pt idx="80">
                  <c:v>4.1450777202072506E-2</c:v>
                </c:pt>
                <c:pt idx="81">
                  <c:v>5.4846938775510168E-2</c:v>
                </c:pt>
                <c:pt idx="82">
                  <c:v>6.4085447263017389E-2</c:v>
                </c:pt>
                <c:pt idx="83">
                  <c:v>4.51693851944793E-2</c:v>
                </c:pt>
                <c:pt idx="84">
                  <c:v>4.7350620067643706E-2</c:v>
                </c:pt>
                <c:pt idx="85">
                  <c:v>5.1022508000227777E-2</c:v>
                </c:pt>
                <c:pt idx="86">
                  <c:v>5.2696078431372556E-2</c:v>
                </c:pt>
                <c:pt idx="87">
                  <c:v>5.2311435523114368E-2</c:v>
                </c:pt>
                <c:pt idx="88">
                  <c:v>4.1830065359477142E-2</c:v>
                </c:pt>
                <c:pt idx="89">
                  <c:v>5.8212058212058153E-2</c:v>
                </c:pt>
                <c:pt idx="90">
                  <c:v>5.5405405405405408E-2</c:v>
                </c:pt>
                <c:pt idx="91">
                  <c:v>6.5595716198125875E-2</c:v>
                </c:pt>
                <c:pt idx="92">
                  <c:v>7.2463768115942073E-2</c:v>
                </c:pt>
                <c:pt idx="93">
                  <c:v>5.1020408163265314E-2</c:v>
                </c:pt>
                <c:pt idx="94">
                  <c:v>6.0179257362355978E-2</c:v>
                </c:pt>
                <c:pt idx="95">
                  <c:v>7.3968705547652974E-2</c:v>
                </c:pt>
                <c:pt idx="96">
                  <c:v>5.2715654952076724E-2</c:v>
                </c:pt>
                <c:pt idx="97">
                  <c:v>8.1240768094534788E-2</c:v>
                </c:pt>
                <c:pt idx="98">
                  <c:v>4.9808429118773909E-2</c:v>
                </c:pt>
                <c:pt idx="99">
                  <c:v>7.6358296622613842E-2</c:v>
                </c:pt>
                <c:pt idx="100">
                  <c:v>6.4735945485519655E-2</c:v>
                </c:pt>
                <c:pt idx="101">
                  <c:v>7.029876977152906E-2</c:v>
                </c:pt>
                <c:pt idx="102">
                  <c:v>9.7633136094674625E-2</c:v>
                </c:pt>
                <c:pt idx="103">
                  <c:v>8.453608247422692E-2</c:v>
                </c:pt>
                <c:pt idx="104">
                  <c:v>7.253886010362702E-2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4C-49C3-BD30-FA49A20BD171}"/>
            </c:ext>
          </c:extLst>
        </c:ser>
        <c:ser>
          <c:idx val="1"/>
          <c:order val="1"/>
          <c:tx>
            <c:strRef>
              <c:f>'Averages Graph Data'!$W$4</c:f>
              <c:strCache>
                <c:ptCount val="1"/>
                <c:pt idx="0">
                  <c:v>Average Proportion Under 25 - 4 Week Avg (Boom Annual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Data'!$W$5:$W$109</c:f>
              <c:numCache>
                <c:formatCode>0.0%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5.4427097555006639E-2</c:v>
                </c:pt>
                <c:pt idx="27">
                  <c:v>5.3911532397391E-2</c:v>
                </c:pt>
                <c:pt idx="28">
                  <c:v>5.2747720955532491E-2</c:v>
                </c:pt>
                <c:pt idx="29">
                  <c:v>5.3140385702504851E-2</c:v>
                </c:pt>
                <c:pt idx="30">
                  <c:v>5.9119080775740546E-2</c:v>
                </c:pt>
                <c:pt idx="31">
                  <c:v>5.8817652469303899E-2</c:v>
                </c:pt>
                <c:pt idx="32">
                  <c:v>5.9103044162199095E-2</c:v>
                </c:pt>
                <c:pt idx="33">
                  <c:v>5.8400964849884503E-2</c:v>
                </c:pt>
                <c:pt idx="34">
                  <c:v>5.4693959274365711E-2</c:v>
                </c:pt>
                <c:pt idx="35">
                  <c:v>5.2910926241332673E-2</c:v>
                </c:pt>
                <c:pt idx="36">
                  <c:v>5.139968956275321E-2</c:v>
                </c:pt>
                <c:pt idx="37">
                  <c:v>4.7802957785596456E-2</c:v>
                </c:pt>
                <c:pt idx="38">
                  <c:v>4.9648915346703085E-2</c:v>
                </c:pt>
                <c:pt idx="39">
                  <c:v>4.8605006393502098E-2</c:v>
                </c:pt>
                <c:pt idx="40">
                  <c:v>4.9373664024904826E-2</c:v>
                </c:pt>
                <c:pt idx="41">
                  <c:v>5.1562787836421438E-2</c:v>
                </c:pt>
                <c:pt idx="42">
                  <c:v>5.0136994378542403E-2</c:v>
                </c:pt>
                <c:pt idx="43">
                  <c:v>5.8606297475887539E-2</c:v>
                </c:pt>
                <c:pt idx="44">
                  <c:v>5.8624621303735198E-2</c:v>
                </c:pt>
                <c:pt idx="45">
                  <c:v>6.3220562825598237E-2</c:v>
                </c:pt>
                <c:pt idx="46">
                  <c:v>6.7429219428735365E-2</c:v>
                </c:pt>
                <c:pt idx="47">
                  <c:v>6.6837363368129316E-2</c:v>
                </c:pt>
                <c:pt idx="48">
                  <c:v>7.1030027695006576E-2</c:v>
                </c:pt>
                <c:pt idx="49">
                  <c:v>6.8201640977404471E-2</c:v>
                </c:pt>
                <c:pt idx="50">
                  <c:v>6.6273275620119504E-2</c:v>
                </c:pt>
                <c:pt idx="51">
                  <c:v>6.1941561146501838E-2</c:v>
                </c:pt>
                <c:pt idx="52">
                  <c:v>5.9742352429716733E-2</c:v>
                </c:pt>
                <c:pt idx="53">
                  <c:v>6.1045856072982144E-2</c:v>
                </c:pt>
                <c:pt idx="54">
                  <c:v>6.1019363400098552E-2</c:v>
                </c:pt>
                <c:pt idx="55">
                  <c:v>6.237741602154967E-2</c:v>
                </c:pt>
                <c:pt idx="56">
                  <c:v>6.399575532397507E-2</c:v>
                </c:pt>
                <c:pt idx="57">
                  <c:v>6.2959298146794768E-2</c:v>
                </c:pt>
                <c:pt idx="58">
                  <c:v>6.3988086867450403E-2</c:v>
                </c:pt>
                <c:pt idx="59">
                  <c:v>5.9741104780222987E-2</c:v>
                </c:pt>
                <c:pt idx="60">
                  <c:v>6.0463554025619662E-2</c:v>
                </c:pt>
                <c:pt idx="61">
                  <c:v>6.1559427382628665E-2</c:v>
                </c:pt>
                <c:pt idx="62">
                  <c:v>6.4460825414234479E-2</c:v>
                </c:pt>
                <c:pt idx="63">
                  <c:v>7.5366509803374768E-2</c:v>
                </c:pt>
                <c:pt idx="64">
                  <c:v>7.4016186486524249E-2</c:v>
                </c:pt>
                <c:pt idx="65">
                  <c:v>7.1746281787129773E-2</c:v>
                </c:pt>
                <c:pt idx="66">
                  <c:v>7.1045517044931519E-2</c:v>
                </c:pt>
                <c:pt idx="67">
                  <c:v>6.6137618088862093E-2</c:v>
                </c:pt>
                <c:pt idx="68">
                  <c:v>6.7633590470910415E-2</c:v>
                </c:pt>
                <c:pt idx="69">
                  <c:v>7.0943731731715809E-2</c:v>
                </c:pt>
                <c:pt idx="70">
                  <c:v>7.0910892671106757E-2</c:v>
                </c:pt>
                <c:pt idx="71">
                  <c:v>6.8500479687015503E-2</c:v>
                </c:pt>
                <c:pt idx="72">
                  <c:v>6.7101513956851877E-2</c:v>
                </c:pt>
                <c:pt idx="73">
                  <c:v>6.0987698009848906E-2</c:v>
                </c:pt>
                <c:pt idx="74">
                  <c:v>5.9149810712568654E-2</c:v>
                </c:pt>
                <c:pt idx="75">
                  <c:v>5.9816942349770336E-2</c:v>
                </c:pt>
                <c:pt idx="76">
                  <c:v>6.1667987645937575E-2</c:v>
                </c:pt>
                <c:pt idx="77">
                  <c:v>6.7420276139449523E-2</c:v>
                </c:pt>
                <c:pt idx="78">
                  <c:v>6.9807517098409308E-2</c:v>
                </c:pt>
                <c:pt idx="79">
                  <c:v>6.7864875257125992E-2</c:v>
                </c:pt>
                <c:pt idx="80">
                  <c:v>6.0370426700501259E-2</c:v>
                </c:pt>
                <c:pt idx="81">
                  <c:v>5.6796630024340392E-2</c:v>
                </c:pt>
                <c:pt idx="82">
                  <c:v>5.4126403055047997E-2</c:v>
                </c:pt>
                <c:pt idx="83">
                  <c:v>5.1388137108769841E-2</c:v>
                </c:pt>
                <c:pt idx="84">
                  <c:v>5.2863097825162637E-2</c:v>
                </c:pt>
                <c:pt idx="85">
                  <c:v>5.1906990131342048E-2</c:v>
                </c:pt>
                <c:pt idx="86">
                  <c:v>4.9059647923430837E-2</c:v>
                </c:pt>
                <c:pt idx="87">
                  <c:v>5.0845160505589605E-2</c:v>
                </c:pt>
                <c:pt idx="88">
                  <c:v>4.9465021828547964E-2</c:v>
                </c:pt>
                <c:pt idx="89">
                  <c:v>5.1262409381505558E-2</c:v>
                </c:pt>
                <c:pt idx="90">
                  <c:v>5.1939741125013775E-2</c:v>
                </c:pt>
                <c:pt idx="91">
                  <c:v>5.5260811293766643E-2</c:v>
                </c:pt>
                <c:pt idx="92">
                  <c:v>6.2919236982882876E-2</c:v>
                </c:pt>
                <c:pt idx="93">
                  <c:v>6.1121324470684663E-2</c:v>
                </c:pt>
                <c:pt idx="94">
                  <c:v>6.2314787459922305E-2</c:v>
                </c:pt>
                <c:pt idx="95">
                  <c:v>6.4408034797304087E-2</c:v>
                </c:pt>
                <c:pt idx="96">
                  <c:v>5.9471006506337749E-2</c:v>
                </c:pt>
                <c:pt idx="97">
                  <c:v>6.7026096489155113E-2</c:v>
                </c:pt>
                <c:pt idx="98">
                  <c:v>6.4433389428259602E-2</c:v>
                </c:pt>
                <c:pt idx="99">
                  <c:v>6.5030787196999812E-2</c:v>
                </c:pt>
                <c:pt idx="100">
                  <c:v>6.8035859830360548E-2</c:v>
                </c:pt>
                <c:pt idx="101">
                  <c:v>6.5300360249609113E-2</c:v>
                </c:pt>
                <c:pt idx="102">
                  <c:v>7.7256536993584285E-2</c:v>
                </c:pt>
                <c:pt idx="103">
                  <c:v>7.9300983456487562E-2</c:v>
                </c:pt>
                <c:pt idx="104">
                  <c:v>8.125171211101441E-2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4C-49C3-BD30-FA49A20BD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 Finance: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Data'!$AH$4</c:f>
              <c:strCache>
                <c:ptCount val="1"/>
                <c:pt idx="0">
                  <c:v>Average Premium Proportion Under 25 (Boom Annual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Data'!$AH$5:$AH$109</c:f>
              <c:numCache>
                <c:formatCode>0.0%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0.10387188488335554</c:v>
                </c:pt>
                <c:pt idx="24">
                  <c:v>8.6911498905237097E-2</c:v>
                </c:pt>
                <c:pt idx="25">
                  <c:v>0.12827217227944229</c:v>
                </c:pt>
                <c:pt idx="26">
                  <c:v>6.0518519461888305E-2</c:v>
                </c:pt>
                <c:pt idx="27">
                  <c:v>0.11080542587702341</c:v>
                </c:pt>
                <c:pt idx="28">
                  <c:v>0.1012361211368481</c:v>
                </c:pt>
                <c:pt idx="29">
                  <c:v>0.11819391692827315</c:v>
                </c:pt>
                <c:pt idx="30">
                  <c:v>0.1286364932903615</c:v>
                </c:pt>
                <c:pt idx="31">
                  <c:v>0.10923524261007986</c:v>
                </c:pt>
                <c:pt idx="32">
                  <c:v>0.107887422338801</c:v>
                </c:pt>
                <c:pt idx="33">
                  <c:v>0.10895133530651654</c:v>
                </c:pt>
                <c:pt idx="34">
                  <c:v>0.10009474838712376</c:v>
                </c:pt>
                <c:pt idx="35">
                  <c:v>9.9579039528807478E-2</c:v>
                </c:pt>
                <c:pt idx="36">
                  <c:v>8.5984601291560589E-2</c:v>
                </c:pt>
                <c:pt idx="37">
                  <c:v>8.8021370329208259E-2</c:v>
                </c:pt>
                <c:pt idx="38">
                  <c:v>9.2329566383769615E-2</c:v>
                </c:pt>
                <c:pt idx="39">
                  <c:v>9.7235090396181417E-2</c:v>
                </c:pt>
                <c:pt idx="40">
                  <c:v>0.10173542341224336</c:v>
                </c:pt>
                <c:pt idx="41">
                  <c:v>0.10572176087491514</c:v>
                </c:pt>
                <c:pt idx="42">
                  <c:v>9.9418856147221887E-2</c:v>
                </c:pt>
                <c:pt idx="43">
                  <c:v>0.13753940428045838</c:v>
                </c:pt>
                <c:pt idx="44">
                  <c:v>9.1790133562655626E-2</c:v>
                </c:pt>
                <c:pt idx="45">
                  <c:v>0.1429506089730353</c:v>
                </c:pt>
                <c:pt idx="46">
                  <c:v>0.12386947789955406</c:v>
                </c:pt>
                <c:pt idx="47">
                  <c:v>0.15037370112764237</c:v>
                </c:pt>
                <c:pt idx="48">
                  <c:v>0.13799104110209798</c:v>
                </c:pt>
                <c:pt idx="49">
                  <c:v>0.1119488858453539</c:v>
                </c:pt>
                <c:pt idx="50">
                  <c:v>0.11801758951461543</c:v>
                </c:pt>
                <c:pt idx="51">
                  <c:v>0.10142700797729687</c:v>
                </c:pt>
                <c:pt idx="52">
                  <c:v>0.14260644564779945</c:v>
                </c:pt>
                <c:pt idx="53">
                  <c:v>0.12735657205119025</c:v>
                </c:pt>
                <c:pt idx="54">
                  <c:v>0.11790516062368529</c:v>
                </c:pt>
                <c:pt idx="55">
                  <c:v>0.11944914515152689</c:v>
                </c:pt>
                <c:pt idx="56">
                  <c:v>0.14088299840066637</c:v>
                </c:pt>
                <c:pt idx="57">
                  <c:v>0.12161630572974765</c:v>
                </c:pt>
                <c:pt idx="58">
                  <c:v>0.11596076882760535</c:v>
                </c:pt>
                <c:pt idx="59">
                  <c:v>9.885451042574897E-2</c:v>
                </c:pt>
                <c:pt idx="60">
                  <c:v>0.14320799085211189</c:v>
                </c:pt>
                <c:pt idx="61">
                  <c:v>0.1630592037510496</c:v>
                </c:pt>
                <c:pt idx="62">
                  <c:v>0.12989996626597075</c:v>
                </c:pt>
                <c:pt idx="63">
                  <c:v>0.16750597340125759</c:v>
                </c:pt>
                <c:pt idx="64">
                  <c:v>0.12129324846863355</c:v>
                </c:pt>
                <c:pt idx="65">
                  <c:v>9.6709204548686367E-2</c:v>
                </c:pt>
                <c:pt idx="66">
                  <c:v>0.12385362572064822</c:v>
                </c:pt>
                <c:pt idx="67">
                  <c:v>0.12958462656343744</c:v>
                </c:pt>
                <c:pt idx="68">
                  <c:v>0.11421166850690083</c:v>
                </c:pt>
                <c:pt idx="69">
                  <c:v>0.10614116307526102</c:v>
                </c:pt>
                <c:pt idx="70">
                  <c:v>9.6637211037911619E-2</c:v>
                </c:pt>
                <c:pt idx="71">
                  <c:v>8.6011852507488357E-2</c:v>
                </c:pt>
                <c:pt idx="72">
                  <c:v>0.10878639119147906</c:v>
                </c:pt>
                <c:pt idx="73">
                  <c:v>7.7942021008097453E-2</c:v>
                </c:pt>
                <c:pt idx="74">
                  <c:v>0.1055578739577049</c:v>
                </c:pt>
                <c:pt idx="75">
                  <c:v>0.10727043106608142</c:v>
                </c:pt>
                <c:pt idx="76">
                  <c:v>0.10655443908219346</c:v>
                </c:pt>
                <c:pt idx="77">
                  <c:v>0.1044106007704564</c:v>
                </c:pt>
                <c:pt idx="78">
                  <c:v>0.11447526927256085</c:v>
                </c:pt>
                <c:pt idx="79">
                  <c:v>9.1481806703486906E-2</c:v>
                </c:pt>
                <c:pt idx="80">
                  <c:v>6.7554983926312415E-2</c:v>
                </c:pt>
                <c:pt idx="81">
                  <c:v>8.214128920416866E-2</c:v>
                </c:pt>
                <c:pt idx="82">
                  <c:v>9.9539273416516347E-2</c:v>
                </c:pt>
                <c:pt idx="83">
                  <c:v>5.7637126754624866E-2</c:v>
                </c:pt>
                <c:pt idx="84">
                  <c:v>6.6268311270371194E-2</c:v>
                </c:pt>
                <c:pt idx="85">
                  <c:v>7.6104476651418243E-2</c:v>
                </c:pt>
                <c:pt idx="86">
                  <c:v>9.0885445375272392E-2</c:v>
                </c:pt>
                <c:pt idx="87">
                  <c:v>8.5067017495055464E-2</c:v>
                </c:pt>
                <c:pt idx="88">
                  <c:v>6.666646113291351E-2</c:v>
                </c:pt>
                <c:pt idx="89">
                  <c:v>8.5863178185471858E-2</c:v>
                </c:pt>
                <c:pt idx="90">
                  <c:v>8.3676613413610809E-2</c:v>
                </c:pt>
                <c:pt idx="91">
                  <c:v>9.5183657253835569E-2</c:v>
                </c:pt>
                <c:pt idx="92">
                  <c:v>0.1095993547342333</c:v>
                </c:pt>
                <c:pt idx="93">
                  <c:v>8.0217010857635107E-2</c:v>
                </c:pt>
                <c:pt idx="94">
                  <c:v>8.6697666073809826E-2</c:v>
                </c:pt>
                <c:pt idx="95">
                  <c:v>0.11144667005225529</c:v>
                </c:pt>
                <c:pt idx="96">
                  <c:v>7.2752782315404246E-2</c:v>
                </c:pt>
                <c:pt idx="97">
                  <c:v>0.1226342297292326</c:v>
                </c:pt>
                <c:pt idx="98">
                  <c:v>7.3508886924980102E-2</c:v>
                </c:pt>
                <c:pt idx="99">
                  <c:v>9.6138616130398424E-2</c:v>
                </c:pt>
                <c:pt idx="100">
                  <c:v>8.9951605093539791E-2</c:v>
                </c:pt>
                <c:pt idx="101">
                  <c:v>0.11343738848531089</c:v>
                </c:pt>
                <c:pt idx="102">
                  <c:v>0.13720825336880055</c:v>
                </c:pt>
                <c:pt idx="103">
                  <c:v>0.11948322261831663</c:v>
                </c:pt>
                <c:pt idx="104">
                  <c:v>0.1034645102671904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89-42D0-8958-3933DAB95931}"/>
            </c:ext>
          </c:extLst>
        </c:ser>
        <c:ser>
          <c:idx val="1"/>
          <c:order val="1"/>
          <c:tx>
            <c:strRef>
              <c:f>'Averages Graph Data'!$AI$4</c:f>
              <c:strCache>
                <c:ptCount val="1"/>
                <c:pt idx="0">
                  <c:v>Average Premium Proportion Under 25 - 4 Week Avg (Boom Annual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Data'!$AI$5:$AI$109</c:f>
              <c:numCache>
                <c:formatCode>0.0%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9.4893518882480807E-2</c:v>
                </c:pt>
                <c:pt idx="27">
                  <c:v>9.6626904130897778E-2</c:v>
                </c:pt>
                <c:pt idx="28">
                  <c:v>0.10020805968880053</c:v>
                </c:pt>
                <c:pt idx="29">
                  <c:v>9.7688495851008236E-2</c:v>
                </c:pt>
                <c:pt idx="30">
                  <c:v>0.11471798930812654</c:v>
                </c:pt>
                <c:pt idx="31">
                  <c:v>0.11432544349139065</c:v>
                </c:pt>
                <c:pt idx="32">
                  <c:v>0.11598826879187887</c:v>
                </c:pt>
                <c:pt idx="33">
                  <c:v>0.11367762338643972</c:v>
                </c:pt>
                <c:pt idx="34">
                  <c:v>0.1065421871606303</c:v>
                </c:pt>
                <c:pt idx="35">
                  <c:v>0.1041281363903122</c:v>
                </c:pt>
                <c:pt idx="36">
                  <c:v>9.8652431128502097E-2</c:v>
                </c:pt>
                <c:pt idx="37">
                  <c:v>9.3419939884175018E-2</c:v>
                </c:pt>
                <c:pt idx="38">
                  <c:v>9.1478644383336485E-2</c:v>
                </c:pt>
                <c:pt idx="39">
                  <c:v>9.0892657100179963E-2</c:v>
                </c:pt>
                <c:pt idx="40">
                  <c:v>9.4830362630350648E-2</c:v>
                </c:pt>
                <c:pt idx="41">
                  <c:v>9.9255460266777382E-2</c:v>
                </c:pt>
                <c:pt idx="42">
                  <c:v>0.10102778270764046</c:v>
                </c:pt>
                <c:pt idx="43">
                  <c:v>0.11110386117870968</c:v>
                </c:pt>
                <c:pt idx="44">
                  <c:v>0.10861753871631277</c:v>
                </c:pt>
                <c:pt idx="45">
                  <c:v>0.1179247507408428</c:v>
                </c:pt>
                <c:pt idx="46">
                  <c:v>0.12403740617892584</c:v>
                </c:pt>
                <c:pt idx="47">
                  <c:v>0.12724598039072182</c:v>
                </c:pt>
                <c:pt idx="48">
                  <c:v>0.13879620727558242</c:v>
                </c:pt>
                <c:pt idx="49">
                  <c:v>0.13104577649366206</c:v>
                </c:pt>
                <c:pt idx="50">
                  <c:v>0.12958280439742742</c:v>
                </c:pt>
                <c:pt idx="51">
                  <c:v>0.11734613110984105</c:v>
                </c:pt>
                <c:pt idx="52">
                  <c:v>0.11849998224626641</c:v>
                </c:pt>
                <c:pt idx="53">
                  <c:v>0.12235190379772551</c:v>
                </c:pt>
                <c:pt idx="54">
                  <c:v>0.12232379657499295</c:v>
                </c:pt>
                <c:pt idx="55">
                  <c:v>0.12682933086855047</c:v>
                </c:pt>
                <c:pt idx="56">
                  <c:v>0.12639846905676722</c:v>
                </c:pt>
                <c:pt idx="57">
                  <c:v>0.12496340247640654</c:v>
                </c:pt>
                <c:pt idx="58">
                  <c:v>0.12447730452738656</c:v>
                </c:pt>
                <c:pt idx="59">
                  <c:v>0.11932864584594208</c:v>
                </c:pt>
                <c:pt idx="60">
                  <c:v>0.11990989395880347</c:v>
                </c:pt>
                <c:pt idx="61">
                  <c:v>0.13027061846412896</c:v>
                </c:pt>
                <c:pt idx="62">
                  <c:v>0.1337554178237203</c:v>
                </c:pt>
                <c:pt idx="63">
                  <c:v>0.15091828356759746</c:v>
                </c:pt>
                <c:pt idx="64">
                  <c:v>0.14543959797172787</c:v>
                </c:pt>
                <c:pt idx="65">
                  <c:v>0.12885209817113707</c:v>
                </c:pt>
                <c:pt idx="66">
                  <c:v>0.12734051303480642</c:v>
                </c:pt>
                <c:pt idx="67">
                  <c:v>0.1178601763253514</c:v>
                </c:pt>
                <c:pt idx="68">
                  <c:v>0.11608978133491822</c:v>
                </c:pt>
                <c:pt idx="69">
                  <c:v>0.11844777096656188</c:v>
                </c:pt>
                <c:pt idx="70">
                  <c:v>0.11164366729587773</c:v>
                </c:pt>
                <c:pt idx="71">
                  <c:v>0.10075047378189045</c:v>
                </c:pt>
                <c:pt idx="72">
                  <c:v>9.9394154453035011E-2</c:v>
                </c:pt>
                <c:pt idx="73">
                  <c:v>9.234436893624412E-2</c:v>
                </c:pt>
                <c:pt idx="74">
                  <c:v>9.4574534666192436E-2</c:v>
                </c:pt>
                <c:pt idx="75">
                  <c:v>9.9889179305840708E-2</c:v>
                </c:pt>
                <c:pt idx="76">
                  <c:v>9.9331191278519318E-2</c:v>
                </c:pt>
                <c:pt idx="77">
                  <c:v>0.10594833621910904</c:v>
                </c:pt>
                <c:pt idx="78">
                  <c:v>0.10817768504782303</c:v>
                </c:pt>
                <c:pt idx="79">
                  <c:v>0.10423052895717441</c:v>
                </c:pt>
                <c:pt idx="80">
                  <c:v>9.4480665168204137E-2</c:v>
                </c:pt>
                <c:pt idx="81">
                  <c:v>8.8913337276632198E-2</c:v>
                </c:pt>
                <c:pt idx="82">
                  <c:v>8.5179338312621075E-2</c:v>
                </c:pt>
                <c:pt idx="83">
                  <c:v>7.6718168325405567E-2</c:v>
                </c:pt>
                <c:pt idx="84">
                  <c:v>7.6396500161420272E-2</c:v>
                </c:pt>
                <c:pt idx="85">
                  <c:v>7.4887297023232657E-2</c:v>
                </c:pt>
                <c:pt idx="86">
                  <c:v>7.2723840012921676E-2</c:v>
                </c:pt>
                <c:pt idx="87">
                  <c:v>7.9581312698029316E-2</c:v>
                </c:pt>
                <c:pt idx="88">
                  <c:v>7.9680850163664912E-2</c:v>
                </c:pt>
                <c:pt idx="89">
                  <c:v>8.2120525547178302E-2</c:v>
                </c:pt>
                <c:pt idx="90">
                  <c:v>8.0318317556762914E-2</c:v>
                </c:pt>
                <c:pt idx="91">
                  <c:v>8.2847477496457933E-2</c:v>
                </c:pt>
                <c:pt idx="92">
                  <c:v>9.3580700896787883E-2</c:v>
                </c:pt>
                <c:pt idx="93">
                  <c:v>9.2169159064828698E-2</c:v>
                </c:pt>
                <c:pt idx="94">
                  <c:v>9.2924422229878456E-2</c:v>
                </c:pt>
                <c:pt idx="95">
                  <c:v>9.6990175429483377E-2</c:v>
                </c:pt>
                <c:pt idx="96">
                  <c:v>8.7778532324776115E-2</c:v>
                </c:pt>
                <c:pt idx="97">
                  <c:v>9.8382837042675489E-2</c:v>
                </c:pt>
                <c:pt idx="98">
                  <c:v>9.5085642255468061E-2</c:v>
                </c:pt>
                <c:pt idx="99">
                  <c:v>9.1258628775003847E-2</c:v>
                </c:pt>
                <c:pt idx="100">
                  <c:v>9.5558334469537723E-2</c:v>
                </c:pt>
                <c:pt idx="101">
                  <c:v>9.3259124158557291E-2</c:v>
                </c:pt>
                <c:pt idx="102">
                  <c:v>0.10918396576951241</c:v>
                </c:pt>
                <c:pt idx="103">
                  <c:v>0.11502011739149197</c:v>
                </c:pt>
                <c:pt idx="104">
                  <c:v>0.11839834368490461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89-42D0-8958-3933DAB95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Data'!$R$4</c:f>
              <c:strCache>
                <c:ptCount val="1"/>
                <c:pt idx="0">
                  <c:v>Average Proportion Under 25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Data'!$R$5:$R$109</c:f>
              <c:numCache>
                <c:formatCode>0.0%</c:formatCode>
                <c:ptCount val="105"/>
                <c:pt idx="0">
                  <c:v>0.14634146341463414</c:v>
                </c:pt>
                <c:pt idx="1">
                  <c:v>0.1092436974789916</c:v>
                </c:pt>
                <c:pt idx="2">
                  <c:v>9.5041322314049576E-2</c:v>
                </c:pt>
                <c:pt idx="3">
                  <c:v>0.10328638497652581</c:v>
                </c:pt>
                <c:pt idx="4">
                  <c:v>0.14414414414414414</c:v>
                </c:pt>
                <c:pt idx="5">
                  <c:v>8.1081081081081086E-2</c:v>
                </c:pt>
                <c:pt idx="6">
                  <c:v>8.8235294117647078E-2</c:v>
                </c:pt>
                <c:pt idx="7">
                  <c:v>0.10919540229885059</c:v>
                </c:pt>
                <c:pt idx="8">
                  <c:v>0.10126582278481013</c:v>
                </c:pt>
                <c:pt idx="9">
                  <c:v>7.3684210526315783E-2</c:v>
                </c:pt>
                <c:pt idx="10">
                  <c:v>9.4637223974763388E-2</c:v>
                </c:pt>
                <c:pt idx="11">
                  <c:v>5.3418803418803396E-2</c:v>
                </c:pt>
                <c:pt idx="12">
                  <c:v>5.9585492227979278E-2</c:v>
                </c:pt>
                <c:pt idx="13">
                  <c:v>3.512880562060889E-2</c:v>
                </c:pt>
                <c:pt idx="14">
                  <c:v>6.8607068607068569E-2</c:v>
                </c:pt>
                <c:pt idx="15">
                  <c:v>7.1550255536626875E-2</c:v>
                </c:pt>
                <c:pt idx="16">
                  <c:v>6.2814070351758788E-2</c:v>
                </c:pt>
                <c:pt idx="17">
                  <c:v>7.4492099322799085E-2</c:v>
                </c:pt>
                <c:pt idx="18">
                  <c:v>6.8807339449541247E-2</c:v>
                </c:pt>
                <c:pt idx="19">
                  <c:v>7.2948328267477172E-2</c:v>
                </c:pt>
                <c:pt idx="20">
                  <c:v>6.5868263473053884E-2</c:v>
                </c:pt>
                <c:pt idx="21">
                  <c:v>5.5944055944055937E-2</c:v>
                </c:pt>
                <c:pt idx="22">
                  <c:v>7.7306733167082281E-2</c:v>
                </c:pt>
                <c:pt idx="23">
                  <c:v>6.6202090592334492E-2</c:v>
                </c:pt>
                <c:pt idx="24">
                  <c:v>6.1470911086717879E-2</c:v>
                </c:pt>
                <c:pt idx="25">
                  <c:v>7.1328671328671323E-2</c:v>
                </c:pt>
                <c:pt idx="26">
                  <c:v>5.2564102564102558E-2</c:v>
                </c:pt>
                <c:pt idx="27">
                  <c:v>6.640237859266597E-2</c:v>
                </c:pt>
                <c:pt idx="28">
                  <c:v>5.6042210581741199E-2</c:v>
                </c:pt>
                <c:pt idx="29">
                  <c:v>6.4987814784727899E-2</c:v>
                </c:pt>
                <c:pt idx="30">
                  <c:v>6.5969428801287255E-2</c:v>
                </c:pt>
                <c:pt idx="31">
                  <c:v>7.4380165289256256E-2</c:v>
                </c:pt>
                <c:pt idx="32">
                  <c:v>6.2663185378590031E-2</c:v>
                </c:pt>
                <c:pt idx="33">
                  <c:v>6.9444444444444434E-2</c:v>
                </c:pt>
                <c:pt idx="34">
                  <c:v>6.7809239940387511E-2</c:v>
                </c:pt>
                <c:pt idx="35">
                  <c:v>5.5810397553516855E-2</c:v>
                </c:pt>
                <c:pt idx="36">
                  <c:v>5.5989583333333315E-2</c:v>
                </c:pt>
                <c:pt idx="37">
                  <c:v>5.0975456261799862E-2</c:v>
                </c:pt>
                <c:pt idx="38">
                  <c:v>6.9337442218798173E-2</c:v>
                </c:pt>
                <c:pt idx="39">
                  <c:v>5.4971705739692837E-2</c:v>
                </c:pt>
                <c:pt idx="40">
                  <c:v>6.3643013899049E-2</c:v>
                </c:pt>
                <c:pt idx="41">
                  <c:v>5.3973013493253383E-2</c:v>
                </c:pt>
                <c:pt idx="42">
                  <c:v>6.0725552050473156E-2</c:v>
                </c:pt>
                <c:pt idx="43">
                  <c:v>8.7144089732528088E-2</c:v>
                </c:pt>
                <c:pt idx="44">
                  <c:v>7.2727272727272779E-2</c:v>
                </c:pt>
                <c:pt idx="45">
                  <c:v>7.8297872340425567E-2</c:v>
                </c:pt>
                <c:pt idx="46">
                  <c:v>8.1455805892547695E-2</c:v>
                </c:pt>
                <c:pt idx="47">
                  <c:v>7.7630234933605768E-2</c:v>
                </c:pt>
                <c:pt idx="48">
                  <c:v>7.5081610446137148E-2</c:v>
                </c:pt>
                <c:pt idx="49">
                  <c:v>6.8134171907756863E-2</c:v>
                </c:pt>
                <c:pt idx="50">
                  <c:v>7.9150579150579187E-2</c:v>
                </c:pt>
                <c:pt idx="51">
                  <c:v>6.220095693779909E-2</c:v>
                </c:pt>
                <c:pt idx="52">
                  <c:v>6.1957868649318501E-2</c:v>
                </c:pt>
                <c:pt idx="53">
                  <c:v>6.9657615112160606E-2</c:v>
                </c:pt>
                <c:pt idx="54">
                  <c:v>6.4393939393939434E-2</c:v>
                </c:pt>
                <c:pt idx="55">
                  <c:v>6.9148936170212796E-2</c:v>
                </c:pt>
                <c:pt idx="56">
                  <c:v>8.1818181818181901E-2</c:v>
                </c:pt>
                <c:pt idx="57">
                  <c:v>6.9221260815822069E-2</c:v>
                </c:pt>
                <c:pt idx="58">
                  <c:v>7.6484018264840234E-2</c:v>
                </c:pt>
                <c:pt idx="59">
                  <c:v>6.2424969987995238E-2</c:v>
                </c:pt>
                <c:pt idx="60">
                  <c:v>6.8713450292397713E-2</c:v>
                </c:pt>
                <c:pt idx="61">
                  <c:v>6.9008782936010107E-2</c:v>
                </c:pt>
                <c:pt idx="62">
                  <c:v>8.0989876265466873E-2</c:v>
                </c:pt>
                <c:pt idx="63">
                  <c:v>9.176225234619402E-2</c:v>
                </c:pt>
                <c:pt idx="64">
                  <c:v>6.9974554707379191E-2</c:v>
                </c:pt>
                <c:pt idx="65">
                  <c:v>6.3197026022304897E-2</c:v>
                </c:pt>
                <c:pt idx="66">
                  <c:v>8.0392156862745132E-2</c:v>
                </c:pt>
                <c:pt idx="67">
                  <c:v>7.4906367041198504E-2</c:v>
                </c:pt>
                <c:pt idx="68">
                  <c:v>7.1877807726864362E-2</c:v>
                </c:pt>
                <c:pt idx="69">
                  <c:v>7.92682926829269E-2</c:v>
                </c:pt>
                <c:pt idx="70">
                  <c:v>8.0578512396694266E-2</c:v>
                </c:pt>
                <c:pt idx="71">
                  <c:v>6.0446780551905423E-2</c:v>
                </c:pt>
                <c:pt idx="72">
                  <c:v>6.7207415990730046E-2</c:v>
                </c:pt>
                <c:pt idx="73">
                  <c:v>5.1102204408817645E-2</c:v>
                </c:pt>
                <c:pt idx="74">
                  <c:v>6.9317023445463824E-2</c:v>
                </c:pt>
                <c:pt idx="75">
                  <c:v>7.3732718894009258E-2</c:v>
                </c:pt>
                <c:pt idx="76">
                  <c:v>6.5437788018433196E-2</c:v>
                </c:pt>
                <c:pt idx="77">
                  <c:v>6.719367588932805E-2</c:v>
                </c:pt>
                <c:pt idx="78">
                  <c:v>7.0048309178744009E-2</c:v>
                </c:pt>
                <c:pt idx="79">
                  <c:v>6.7357512953367935E-2</c:v>
                </c:pt>
                <c:pt idx="80">
                  <c:v>4.8205128205128171E-2</c:v>
                </c:pt>
                <c:pt idx="81">
                  <c:v>5.8945191313340195E-2</c:v>
                </c:pt>
                <c:pt idx="82">
                  <c:v>6.6666666666666693E-2</c:v>
                </c:pt>
                <c:pt idx="83">
                  <c:v>4.9445005045408684E-2</c:v>
                </c:pt>
                <c:pt idx="84">
                  <c:v>4.5578851412944363E-2</c:v>
                </c:pt>
                <c:pt idx="85">
                  <c:v>5.3128387221815059E-2</c:v>
                </c:pt>
                <c:pt idx="86">
                  <c:v>6.1122244488977961E-2</c:v>
                </c:pt>
                <c:pt idx="87">
                  <c:v>5.1859099804305288E-2</c:v>
                </c:pt>
                <c:pt idx="88">
                  <c:v>4.1279669762641913E-2</c:v>
                </c:pt>
                <c:pt idx="89">
                  <c:v>6.0082304526748925E-2</c:v>
                </c:pt>
                <c:pt idx="90">
                  <c:v>5.726405090137858E-2</c:v>
                </c:pt>
                <c:pt idx="91">
                  <c:v>6.7439409905163353E-2</c:v>
                </c:pt>
                <c:pt idx="92">
                  <c:v>7.3280721533258208E-2</c:v>
                </c:pt>
                <c:pt idx="93">
                  <c:v>5.0607287449392718E-2</c:v>
                </c:pt>
                <c:pt idx="94">
                  <c:v>6.1928934010152301E-2</c:v>
                </c:pt>
                <c:pt idx="95">
                  <c:v>8.1142857142857183E-2</c:v>
                </c:pt>
                <c:pt idx="96">
                  <c:v>6.2885326757090049E-2</c:v>
                </c:pt>
                <c:pt idx="97">
                  <c:v>7.8916372202591331E-2</c:v>
                </c:pt>
                <c:pt idx="98">
                  <c:v>6.4842958459979685E-2</c:v>
                </c:pt>
                <c:pt idx="99">
                  <c:v>7.7981651376146821E-2</c:v>
                </c:pt>
                <c:pt idx="100">
                  <c:v>6.8825910931174128E-2</c:v>
                </c:pt>
                <c:pt idx="101">
                  <c:v>6.9958847736625571E-2</c:v>
                </c:pt>
                <c:pt idx="102">
                  <c:v>9.3301435406698607E-2</c:v>
                </c:pt>
                <c:pt idx="103">
                  <c:v>9.7087378640776809E-2</c:v>
                </c:pt>
                <c:pt idx="104">
                  <c:v>8.0753701211305581E-2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B8-4596-84EC-25CCFAAEB201}"/>
            </c:ext>
          </c:extLst>
        </c:ser>
        <c:ser>
          <c:idx val="1"/>
          <c:order val="1"/>
          <c:tx>
            <c:strRef>
              <c:f>'Averages Graph Data'!$S$4</c:f>
              <c:strCache>
                <c:ptCount val="1"/>
                <c:pt idx="0">
                  <c:v>Average Proportion Under 25 - 4 Week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Data'!$S$5:$S$109</c:f>
              <c:numCache>
                <c:formatCode>0.0%</c:formatCode>
                <c:ptCount val="105"/>
                <c:pt idx="3">
                  <c:v>0.11347821704605028</c:v>
                </c:pt>
                <c:pt idx="4">
                  <c:v>0.11292888722842778</c:v>
                </c:pt>
                <c:pt idx="5">
                  <c:v>0.10588823312895015</c:v>
                </c:pt>
                <c:pt idx="6">
                  <c:v>0.10418672607984952</c:v>
                </c:pt>
                <c:pt idx="7">
                  <c:v>0.10566398041043074</c:v>
                </c:pt>
                <c:pt idx="8">
                  <c:v>9.4944400070597221E-2</c:v>
                </c:pt>
                <c:pt idx="9">
                  <c:v>9.3095182431905898E-2</c:v>
                </c:pt>
                <c:pt idx="10">
                  <c:v>9.4695664896184972E-2</c:v>
                </c:pt>
                <c:pt idx="11">
                  <c:v>8.0751515176173169E-2</c:v>
                </c:pt>
                <c:pt idx="12">
                  <c:v>7.0331432536965457E-2</c:v>
                </c:pt>
                <c:pt idx="13">
                  <c:v>6.0692581310538729E-2</c:v>
                </c:pt>
                <c:pt idx="14">
                  <c:v>5.4185042468615038E-2</c:v>
                </c:pt>
                <c:pt idx="15">
                  <c:v>5.8717905498070905E-2</c:v>
                </c:pt>
                <c:pt idx="16">
                  <c:v>5.9525050029015786E-2</c:v>
                </c:pt>
                <c:pt idx="17">
                  <c:v>6.9365873454563326E-2</c:v>
                </c:pt>
                <c:pt idx="18">
                  <c:v>6.9415941165181502E-2</c:v>
                </c:pt>
                <c:pt idx="19">
                  <c:v>6.9765459347894077E-2</c:v>
                </c:pt>
                <c:pt idx="20">
                  <c:v>7.0529007628217844E-2</c:v>
                </c:pt>
                <c:pt idx="21">
                  <c:v>6.5891996783532053E-2</c:v>
                </c:pt>
                <c:pt idx="22">
                  <c:v>6.8016845212917315E-2</c:v>
                </c:pt>
                <c:pt idx="23">
                  <c:v>6.6330285794131652E-2</c:v>
                </c:pt>
                <c:pt idx="24">
                  <c:v>6.5230947697547642E-2</c:v>
                </c:pt>
                <c:pt idx="25">
                  <c:v>6.9077101543701488E-2</c:v>
                </c:pt>
                <c:pt idx="26">
                  <c:v>6.2891443892956561E-2</c:v>
                </c:pt>
                <c:pt idx="27">
                  <c:v>6.2941515893039424E-2</c:v>
                </c:pt>
                <c:pt idx="28">
                  <c:v>6.1584340766795261E-2</c:v>
                </c:pt>
                <c:pt idx="29">
                  <c:v>5.9999126630809405E-2</c:v>
                </c:pt>
                <c:pt idx="30">
                  <c:v>6.3350458190105582E-2</c:v>
                </c:pt>
                <c:pt idx="31">
                  <c:v>6.534490486425315E-2</c:v>
                </c:pt>
                <c:pt idx="32">
                  <c:v>6.7000148563465367E-2</c:v>
                </c:pt>
                <c:pt idx="33">
                  <c:v>6.811430597839449E-2</c:v>
                </c:pt>
                <c:pt idx="34">
                  <c:v>6.8574258763169554E-2</c:v>
                </c:pt>
                <c:pt idx="35">
                  <c:v>6.3931816829234711E-2</c:v>
                </c:pt>
                <c:pt idx="36">
                  <c:v>6.2263416317920525E-2</c:v>
                </c:pt>
                <c:pt idx="37">
                  <c:v>5.7646169272259386E-2</c:v>
                </c:pt>
                <c:pt idx="38">
                  <c:v>5.8028219841862051E-2</c:v>
                </c:pt>
                <c:pt idx="39">
                  <c:v>5.7818546888406049E-2</c:v>
                </c:pt>
                <c:pt idx="40">
                  <c:v>5.973190452983497E-2</c:v>
                </c:pt>
                <c:pt idx="41">
                  <c:v>6.0481293837698347E-2</c:v>
                </c:pt>
                <c:pt idx="42">
                  <c:v>5.8328321295617089E-2</c:v>
                </c:pt>
                <c:pt idx="43">
                  <c:v>6.637141729382591E-2</c:v>
                </c:pt>
                <c:pt idx="44">
                  <c:v>6.8642482000881855E-2</c:v>
                </c:pt>
                <c:pt idx="45">
                  <c:v>7.4723696712674897E-2</c:v>
                </c:pt>
                <c:pt idx="46">
                  <c:v>7.9906260173193536E-2</c:v>
                </c:pt>
                <c:pt idx="47">
                  <c:v>7.7527796473462945E-2</c:v>
                </c:pt>
                <c:pt idx="48">
                  <c:v>7.8116380903179045E-2</c:v>
                </c:pt>
                <c:pt idx="49">
                  <c:v>7.5575455795011875E-2</c:v>
                </c:pt>
                <c:pt idx="50">
                  <c:v>7.4999149109519742E-2</c:v>
                </c:pt>
                <c:pt idx="51">
                  <c:v>7.1141829610568072E-2</c:v>
                </c:pt>
                <c:pt idx="52">
                  <c:v>6.7860894161363414E-2</c:v>
                </c:pt>
                <c:pt idx="53">
                  <c:v>6.8241754962464346E-2</c:v>
                </c:pt>
                <c:pt idx="54">
                  <c:v>6.4552595023304404E-2</c:v>
                </c:pt>
                <c:pt idx="55">
                  <c:v>6.6289589831407827E-2</c:v>
                </c:pt>
                <c:pt idx="56">
                  <c:v>7.1254668123623688E-2</c:v>
                </c:pt>
                <c:pt idx="57">
                  <c:v>7.1145579549539054E-2</c:v>
                </c:pt>
                <c:pt idx="58">
                  <c:v>7.4168099267264254E-2</c:v>
                </c:pt>
                <c:pt idx="59">
                  <c:v>7.2487107721709867E-2</c:v>
                </c:pt>
                <c:pt idx="60">
                  <c:v>6.921092484026381E-2</c:v>
                </c:pt>
                <c:pt idx="61">
                  <c:v>6.9157805370310826E-2</c:v>
                </c:pt>
                <c:pt idx="62">
                  <c:v>7.0284269870467486E-2</c:v>
                </c:pt>
                <c:pt idx="63">
                  <c:v>7.7618590460017178E-2</c:v>
                </c:pt>
                <c:pt idx="64">
                  <c:v>7.7933866563762541E-2</c:v>
                </c:pt>
                <c:pt idx="65">
                  <c:v>7.6480927335336235E-2</c:v>
                </c:pt>
                <c:pt idx="66">
                  <c:v>7.6331497484655814E-2</c:v>
                </c:pt>
                <c:pt idx="67">
                  <c:v>7.2117526158406942E-2</c:v>
                </c:pt>
                <c:pt idx="68">
                  <c:v>7.2593339413278224E-2</c:v>
                </c:pt>
                <c:pt idx="69">
                  <c:v>7.6611156078433718E-2</c:v>
                </c:pt>
                <c:pt idx="70">
                  <c:v>7.6657744961921015E-2</c:v>
                </c:pt>
                <c:pt idx="71">
                  <c:v>7.3042848339597746E-2</c:v>
                </c:pt>
                <c:pt idx="72">
                  <c:v>7.1875250405564167E-2</c:v>
                </c:pt>
                <c:pt idx="73">
                  <c:v>6.483372833703685E-2</c:v>
                </c:pt>
                <c:pt idx="74">
                  <c:v>6.2018356099229233E-2</c:v>
                </c:pt>
                <c:pt idx="75">
                  <c:v>6.5339840684755193E-2</c:v>
                </c:pt>
                <c:pt idx="76">
                  <c:v>6.4897433691680981E-2</c:v>
                </c:pt>
                <c:pt idx="77">
                  <c:v>6.8920301561808589E-2</c:v>
                </c:pt>
                <c:pt idx="78">
                  <c:v>6.9103122995128621E-2</c:v>
                </c:pt>
                <c:pt idx="79">
                  <c:v>6.7509321509968301E-2</c:v>
                </c:pt>
                <c:pt idx="80">
                  <c:v>6.3201156556642046E-2</c:v>
                </c:pt>
                <c:pt idx="81">
                  <c:v>6.1139035412645079E-2</c:v>
                </c:pt>
                <c:pt idx="82">
                  <c:v>6.0293624784625743E-2</c:v>
                </c:pt>
                <c:pt idx="83">
                  <c:v>5.5815497807635943E-2</c:v>
                </c:pt>
                <c:pt idx="84">
                  <c:v>5.5158928609589986E-2</c:v>
                </c:pt>
                <c:pt idx="85">
                  <c:v>5.3704727586708703E-2</c:v>
                </c:pt>
                <c:pt idx="86">
                  <c:v>5.2318622042286517E-2</c:v>
                </c:pt>
                <c:pt idx="87">
                  <c:v>5.2922145732010664E-2</c:v>
                </c:pt>
                <c:pt idx="88">
                  <c:v>5.1847350319435055E-2</c:v>
                </c:pt>
                <c:pt idx="89">
                  <c:v>5.358582964566852E-2</c:v>
                </c:pt>
                <c:pt idx="90">
                  <c:v>5.2621281248768678E-2</c:v>
                </c:pt>
                <c:pt idx="91">
                  <c:v>5.6516358773983186E-2</c:v>
                </c:pt>
                <c:pt idx="92">
                  <c:v>6.4516621716637274E-2</c:v>
                </c:pt>
                <c:pt idx="93">
                  <c:v>6.2147867447298215E-2</c:v>
                </c:pt>
                <c:pt idx="94">
                  <c:v>6.3314088224491638E-2</c:v>
                </c:pt>
                <c:pt idx="95">
                  <c:v>6.6739950033915099E-2</c:v>
                </c:pt>
                <c:pt idx="96">
                  <c:v>6.4141101339873052E-2</c:v>
                </c:pt>
                <c:pt idx="97">
                  <c:v>7.1218372528172716E-2</c:v>
                </c:pt>
                <c:pt idx="98">
                  <c:v>7.1946878640629555E-2</c:v>
                </c:pt>
                <c:pt idx="99">
                  <c:v>7.1156577198951965E-2</c:v>
                </c:pt>
                <c:pt idx="100">
                  <c:v>7.2641723242472991E-2</c:v>
                </c:pt>
                <c:pt idx="101">
                  <c:v>7.0402342125981551E-2</c:v>
                </c:pt>
                <c:pt idx="102">
                  <c:v>7.7516961362661285E-2</c:v>
                </c:pt>
                <c:pt idx="103">
                  <c:v>8.2293393178818786E-2</c:v>
                </c:pt>
                <c:pt idx="104">
                  <c:v>8.5275340748851652E-2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B8-4596-84EC-25CCFAAEB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Data'!$AD$4</c:f>
              <c:strCache>
                <c:ptCount val="1"/>
                <c:pt idx="0">
                  <c:v>Average Premium Proportion Under 25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Data'!$AD$5:$AD$109</c:f>
              <c:numCache>
                <c:formatCode>0.0%</c:formatCode>
                <c:ptCount val="105"/>
                <c:pt idx="0">
                  <c:v>0.22037978698530739</c:v>
                </c:pt>
                <c:pt idx="1">
                  <c:v>0.19892729121669314</c:v>
                </c:pt>
                <c:pt idx="2">
                  <c:v>0.17775413165024484</c:v>
                </c:pt>
                <c:pt idx="3">
                  <c:v>0.18165247122949307</c:v>
                </c:pt>
                <c:pt idx="4">
                  <c:v>0.20261539049620328</c:v>
                </c:pt>
                <c:pt idx="5">
                  <c:v>0.1794749126631178</c:v>
                </c:pt>
                <c:pt idx="6">
                  <c:v>0.1692577481068484</c:v>
                </c:pt>
                <c:pt idx="7">
                  <c:v>0.20768790021476</c:v>
                </c:pt>
                <c:pt idx="8">
                  <c:v>0.15913443978882041</c:v>
                </c:pt>
                <c:pt idx="9">
                  <c:v>0.1481375117855529</c:v>
                </c:pt>
                <c:pt idx="10">
                  <c:v>0.194759137898525</c:v>
                </c:pt>
                <c:pt idx="11">
                  <c:v>9.1280290812125117E-2</c:v>
                </c:pt>
                <c:pt idx="12">
                  <c:v>0.1077647225551583</c:v>
                </c:pt>
                <c:pt idx="13">
                  <c:v>8.1538184175829601E-2</c:v>
                </c:pt>
                <c:pt idx="14">
                  <c:v>0.14392862116317454</c:v>
                </c:pt>
                <c:pt idx="15">
                  <c:v>0.15401619452069076</c:v>
                </c:pt>
                <c:pt idx="16">
                  <c:v>0.12673730835580277</c:v>
                </c:pt>
                <c:pt idx="17">
                  <c:v>0.15118064625007538</c:v>
                </c:pt>
                <c:pt idx="18">
                  <c:v>0.12376549610834593</c:v>
                </c:pt>
                <c:pt idx="19">
                  <c:v>0.13162074085738895</c:v>
                </c:pt>
                <c:pt idx="20">
                  <c:v>0.13630470092006949</c:v>
                </c:pt>
                <c:pt idx="21">
                  <c:v>9.6857377245733442E-2</c:v>
                </c:pt>
                <c:pt idx="22">
                  <c:v>0.15688074074624461</c:v>
                </c:pt>
                <c:pt idx="23">
                  <c:v>0.13201868869139949</c:v>
                </c:pt>
                <c:pt idx="24">
                  <c:v>0.10869712380495014</c:v>
                </c:pt>
                <c:pt idx="25">
                  <c:v>0.14864497717190955</c:v>
                </c:pt>
                <c:pt idx="26">
                  <c:v>9.0013431905777819E-2</c:v>
                </c:pt>
                <c:pt idx="27">
                  <c:v>0.13377009657218833</c:v>
                </c:pt>
                <c:pt idx="28">
                  <c:v>0.11130438933169365</c:v>
                </c:pt>
                <c:pt idx="29">
                  <c:v>0.12784513404759057</c:v>
                </c:pt>
                <c:pt idx="30">
                  <c:v>0.13211055102731797</c:v>
                </c:pt>
                <c:pt idx="31">
                  <c:v>0.1427871140043438</c:v>
                </c:pt>
                <c:pt idx="32">
                  <c:v>0.12559804935623825</c:v>
                </c:pt>
                <c:pt idx="33">
                  <c:v>0.13134712081675604</c:v>
                </c:pt>
                <c:pt idx="34">
                  <c:v>0.1301633803587729</c:v>
                </c:pt>
                <c:pt idx="35">
                  <c:v>0.11696834444338322</c:v>
                </c:pt>
                <c:pt idx="36">
                  <c:v>9.8241242929816092E-2</c:v>
                </c:pt>
                <c:pt idx="37">
                  <c:v>9.6945243841633499E-2</c:v>
                </c:pt>
                <c:pt idx="38">
                  <c:v>0.11178696368984574</c:v>
                </c:pt>
                <c:pt idx="39">
                  <c:v>0.11541280778718316</c:v>
                </c:pt>
                <c:pt idx="40">
                  <c:v>0.12155438024735662</c:v>
                </c:pt>
                <c:pt idx="41">
                  <c:v>0.10991242016139156</c:v>
                </c:pt>
                <c:pt idx="42">
                  <c:v>0.12532111417260711</c:v>
                </c:pt>
                <c:pt idx="43">
                  <c:v>0.16120456899312399</c:v>
                </c:pt>
                <c:pt idx="44">
                  <c:v>0.13028467948193523</c:v>
                </c:pt>
                <c:pt idx="45">
                  <c:v>0.15527569266968827</c:v>
                </c:pt>
                <c:pt idx="46">
                  <c:v>0.1573186852120794</c:v>
                </c:pt>
                <c:pt idx="47">
                  <c:v>0.14721422856687794</c:v>
                </c:pt>
                <c:pt idx="48">
                  <c:v>0.14541682548980184</c:v>
                </c:pt>
                <c:pt idx="49">
                  <c:v>0.12797535268797072</c:v>
                </c:pt>
                <c:pt idx="50">
                  <c:v>0.16444456924916659</c:v>
                </c:pt>
                <c:pt idx="51">
                  <c:v>0.11316464486119482</c:v>
                </c:pt>
                <c:pt idx="52">
                  <c:v>0.14483103884205212</c:v>
                </c:pt>
                <c:pt idx="53">
                  <c:v>0.12825469146850035</c:v>
                </c:pt>
                <c:pt idx="54">
                  <c:v>0.1340637885114315</c:v>
                </c:pt>
                <c:pt idx="55">
                  <c:v>0.13120259004061219</c:v>
                </c:pt>
                <c:pt idx="56">
                  <c:v>0.17013564367935899</c:v>
                </c:pt>
                <c:pt idx="57">
                  <c:v>0.14335897680278722</c:v>
                </c:pt>
                <c:pt idx="58">
                  <c:v>0.14843928241730731</c:v>
                </c:pt>
                <c:pt idx="59">
                  <c:v>0.13089294165696136</c:v>
                </c:pt>
                <c:pt idx="60">
                  <c:v>0.14867664024336891</c:v>
                </c:pt>
                <c:pt idx="61">
                  <c:v>0.16028597881090445</c:v>
                </c:pt>
                <c:pt idx="62">
                  <c:v>0.15215421018686823</c:v>
                </c:pt>
                <c:pt idx="63">
                  <c:v>0.16436636381710859</c:v>
                </c:pt>
                <c:pt idx="64">
                  <c:v>0.1253597801916031</c:v>
                </c:pt>
                <c:pt idx="65">
                  <c:v>0.11074418160775833</c:v>
                </c:pt>
                <c:pt idx="66">
                  <c:v>0.1389648756695025</c:v>
                </c:pt>
                <c:pt idx="67">
                  <c:v>0.13206737824576789</c:v>
                </c:pt>
                <c:pt idx="68">
                  <c:v>0.11469998974013834</c:v>
                </c:pt>
                <c:pt idx="69">
                  <c:v>0.12189803133130887</c:v>
                </c:pt>
                <c:pt idx="70">
                  <c:v>0.1101008439626221</c:v>
                </c:pt>
                <c:pt idx="71">
                  <c:v>8.5995459894650642E-2</c:v>
                </c:pt>
                <c:pt idx="72">
                  <c:v>0.10746051150622703</c:v>
                </c:pt>
                <c:pt idx="73">
                  <c:v>8.4029106914755236E-2</c:v>
                </c:pt>
                <c:pt idx="74">
                  <c:v>0.11059874004415739</c:v>
                </c:pt>
                <c:pt idx="75">
                  <c:v>0.1205909446734393</c:v>
                </c:pt>
                <c:pt idx="76">
                  <c:v>9.9830661035234303E-2</c:v>
                </c:pt>
                <c:pt idx="77">
                  <c:v>9.9868980743983968E-2</c:v>
                </c:pt>
                <c:pt idx="78">
                  <c:v>0.1098520862868267</c:v>
                </c:pt>
                <c:pt idx="79">
                  <c:v>0.10629542196746054</c:v>
                </c:pt>
                <c:pt idx="80">
                  <c:v>8.1137283939131707E-2</c:v>
                </c:pt>
                <c:pt idx="81">
                  <c:v>9.5626217869372893E-2</c:v>
                </c:pt>
                <c:pt idx="82">
                  <c:v>0.10758525594469807</c:v>
                </c:pt>
                <c:pt idx="83">
                  <c:v>5.9662928877926028E-2</c:v>
                </c:pt>
                <c:pt idx="84">
                  <c:v>6.3945008344681017E-2</c:v>
                </c:pt>
                <c:pt idx="85">
                  <c:v>7.9140639340173027E-2</c:v>
                </c:pt>
                <c:pt idx="86">
                  <c:v>0.1031773095913535</c:v>
                </c:pt>
                <c:pt idx="87">
                  <c:v>8.4763914561324025E-2</c:v>
                </c:pt>
                <c:pt idx="88">
                  <c:v>6.8196744594735959E-2</c:v>
                </c:pt>
                <c:pt idx="89">
                  <c:v>8.9099780012341992E-2</c:v>
                </c:pt>
                <c:pt idx="90">
                  <c:v>8.7062789010911135E-2</c:v>
                </c:pt>
                <c:pt idx="91">
                  <c:v>9.7877330385148884E-2</c:v>
                </c:pt>
                <c:pt idx="92">
                  <c:v>0.11089681504087213</c:v>
                </c:pt>
                <c:pt idx="93">
                  <c:v>8.1272990975521486E-2</c:v>
                </c:pt>
                <c:pt idx="94">
                  <c:v>9.1624053700472149E-2</c:v>
                </c:pt>
                <c:pt idx="95">
                  <c:v>0.12764043781176607</c:v>
                </c:pt>
                <c:pt idx="96">
                  <c:v>8.4010067403880617E-2</c:v>
                </c:pt>
                <c:pt idx="97">
                  <c:v>0.12245763973412843</c:v>
                </c:pt>
                <c:pt idx="98">
                  <c:v>9.8464642612267547E-2</c:v>
                </c:pt>
                <c:pt idx="99">
                  <c:v>9.6074742271719221E-2</c:v>
                </c:pt>
                <c:pt idx="100">
                  <c:v>9.9542246333478177E-2</c:v>
                </c:pt>
                <c:pt idx="101">
                  <c:v>0.1099607175868595</c:v>
                </c:pt>
                <c:pt idx="102">
                  <c:v>0.13635903018930212</c:v>
                </c:pt>
                <c:pt idx="103">
                  <c:v>0.13944009298935831</c:v>
                </c:pt>
                <c:pt idx="104">
                  <c:v>0.11664202111756637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54-4853-AC8F-26C5E4E0A159}"/>
            </c:ext>
          </c:extLst>
        </c:ser>
        <c:ser>
          <c:idx val="1"/>
          <c:order val="1"/>
          <c:tx>
            <c:strRef>
              <c:f>'Averages Graph Data'!$AE$4</c:f>
              <c:strCache>
                <c:ptCount val="1"/>
                <c:pt idx="0">
                  <c:v>Average Premium Proportion Under 25 - 4 Week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Data'!$AE$5:$AE$109</c:f>
              <c:numCache>
                <c:formatCode>0.0%</c:formatCode>
                <c:ptCount val="105"/>
                <c:pt idx="3">
                  <c:v>0.19467842027043464</c:v>
                </c:pt>
                <c:pt idx="4">
                  <c:v>0.19023732114815858</c:v>
                </c:pt>
                <c:pt idx="5">
                  <c:v>0.18537422650976473</c:v>
                </c:pt>
                <c:pt idx="6">
                  <c:v>0.18325013062391565</c:v>
                </c:pt>
                <c:pt idx="7">
                  <c:v>0.18975898787023238</c:v>
                </c:pt>
                <c:pt idx="8">
                  <c:v>0.17888875019338668</c:v>
                </c:pt>
                <c:pt idx="9">
                  <c:v>0.17105439997399544</c:v>
                </c:pt>
                <c:pt idx="10">
                  <c:v>0.17742974742191459</c:v>
                </c:pt>
                <c:pt idx="11">
                  <c:v>0.14832784507125585</c:v>
                </c:pt>
                <c:pt idx="12">
                  <c:v>0.13548541576284034</c:v>
                </c:pt>
                <c:pt idx="13">
                  <c:v>0.1188355838604095</c:v>
                </c:pt>
                <c:pt idx="14">
                  <c:v>0.10612795467657188</c:v>
                </c:pt>
                <c:pt idx="15">
                  <c:v>0.1218119306037133</c:v>
                </c:pt>
                <c:pt idx="16">
                  <c:v>0.12655507705387442</c:v>
                </c:pt>
                <c:pt idx="17">
                  <c:v>0.14396569257243585</c:v>
                </c:pt>
                <c:pt idx="18">
                  <c:v>0.13892491130872872</c:v>
                </c:pt>
                <c:pt idx="19">
                  <c:v>0.13332604789290325</c:v>
                </c:pt>
                <c:pt idx="20">
                  <c:v>0.13571789603396994</c:v>
                </c:pt>
                <c:pt idx="21">
                  <c:v>0.12213707878288445</c:v>
                </c:pt>
                <c:pt idx="22">
                  <c:v>0.13041588994235914</c:v>
                </c:pt>
                <c:pt idx="23">
                  <c:v>0.13051537690086173</c:v>
                </c:pt>
                <c:pt idx="24">
                  <c:v>0.12361348262208191</c:v>
                </c:pt>
                <c:pt idx="25">
                  <c:v>0.13656038260362596</c:v>
                </c:pt>
                <c:pt idx="26">
                  <c:v>0.11984355539350924</c:v>
                </c:pt>
                <c:pt idx="27">
                  <c:v>0.12028140736370646</c:v>
                </c:pt>
                <c:pt idx="28">
                  <c:v>0.12093322374539234</c:v>
                </c:pt>
                <c:pt idx="29">
                  <c:v>0.11573326296431259</c:v>
                </c:pt>
                <c:pt idx="30">
                  <c:v>0.12625754274469764</c:v>
                </c:pt>
                <c:pt idx="31">
                  <c:v>0.1285117971027365</c:v>
                </c:pt>
                <c:pt idx="32">
                  <c:v>0.13208521210887264</c:v>
                </c:pt>
                <c:pt idx="33">
                  <c:v>0.13296070880116401</c:v>
                </c:pt>
                <c:pt idx="34">
                  <c:v>0.13247391613402776</c:v>
                </c:pt>
                <c:pt idx="35">
                  <c:v>0.1260192237437876</c:v>
                </c:pt>
                <c:pt idx="36">
                  <c:v>0.11918002213718207</c:v>
                </c:pt>
                <c:pt idx="37">
                  <c:v>0.11057955289340143</c:v>
                </c:pt>
                <c:pt idx="38">
                  <c:v>0.10598544872616963</c:v>
                </c:pt>
                <c:pt idx="39">
                  <c:v>0.10559656456211962</c:v>
                </c:pt>
                <c:pt idx="40">
                  <c:v>0.11142484889150475</c:v>
                </c:pt>
                <c:pt idx="41">
                  <c:v>0.11466664297144427</c:v>
                </c:pt>
                <c:pt idx="42">
                  <c:v>0.11805018059213461</c:v>
                </c:pt>
                <c:pt idx="43">
                  <c:v>0.12949812089361981</c:v>
                </c:pt>
                <c:pt idx="44">
                  <c:v>0.13168069570226448</c:v>
                </c:pt>
                <c:pt idx="45">
                  <c:v>0.14302151382933864</c:v>
                </c:pt>
                <c:pt idx="46">
                  <c:v>0.15102090658920672</c:v>
                </c:pt>
                <c:pt idx="47">
                  <c:v>0.14752332148264521</c:v>
                </c:pt>
                <c:pt idx="48">
                  <c:v>0.15130635798461187</c:v>
                </c:pt>
                <c:pt idx="49">
                  <c:v>0.14448127298918245</c:v>
                </c:pt>
                <c:pt idx="50">
                  <c:v>0.14626274399845426</c:v>
                </c:pt>
                <c:pt idx="51">
                  <c:v>0.13775034807203348</c:v>
                </c:pt>
                <c:pt idx="52">
                  <c:v>0.13760390141009604</c:v>
                </c:pt>
                <c:pt idx="53">
                  <c:v>0.13767373610522848</c:v>
                </c:pt>
                <c:pt idx="54">
                  <c:v>0.13007854092079471</c:v>
                </c:pt>
                <c:pt idx="55">
                  <c:v>0.13458802721564905</c:v>
                </c:pt>
                <c:pt idx="56">
                  <c:v>0.14091417842497575</c:v>
                </c:pt>
                <c:pt idx="57">
                  <c:v>0.14469024975854747</c:v>
                </c:pt>
                <c:pt idx="58">
                  <c:v>0.14828412323501641</c:v>
                </c:pt>
                <c:pt idx="59">
                  <c:v>0.14820671113910372</c:v>
                </c:pt>
                <c:pt idx="60">
                  <c:v>0.14284196028010621</c:v>
                </c:pt>
                <c:pt idx="61">
                  <c:v>0.14707371078213549</c:v>
                </c:pt>
                <c:pt idx="62">
                  <c:v>0.14800244272452573</c:v>
                </c:pt>
                <c:pt idx="63">
                  <c:v>0.15637079826456254</c:v>
                </c:pt>
                <c:pt idx="64">
                  <c:v>0.15054158325162109</c:v>
                </c:pt>
                <c:pt idx="65">
                  <c:v>0.13815613395083456</c:v>
                </c:pt>
                <c:pt idx="66">
                  <c:v>0.13485880032149311</c:v>
                </c:pt>
                <c:pt idx="67">
                  <c:v>0.12678405392865796</c:v>
                </c:pt>
                <c:pt idx="68">
                  <c:v>0.12411910631579177</c:v>
                </c:pt>
                <c:pt idx="69">
                  <c:v>0.12690756874667941</c:v>
                </c:pt>
                <c:pt idx="70">
                  <c:v>0.1196915608199593</c:v>
                </c:pt>
                <c:pt idx="71">
                  <c:v>0.10817358123217999</c:v>
                </c:pt>
                <c:pt idx="72">
                  <c:v>0.10636371167370216</c:v>
                </c:pt>
                <c:pt idx="73">
                  <c:v>9.689648056956375E-2</c:v>
                </c:pt>
                <c:pt idx="74">
                  <c:v>9.7020954589947569E-2</c:v>
                </c:pt>
                <c:pt idx="75">
                  <c:v>0.10566982578464473</c:v>
                </c:pt>
                <c:pt idx="76">
                  <c:v>0.10376236316689655</c:v>
                </c:pt>
                <c:pt idx="77">
                  <c:v>0.10772233162420375</c:v>
                </c:pt>
                <c:pt idx="78">
                  <c:v>0.10753566818487106</c:v>
                </c:pt>
                <c:pt idx="79">
                  <c:v>0.10396178750837638</c:v>
                </c:pt>
                <c:pt idx="80">
                  <c:v>9.9288443234350737E-2</c:v>
                </c:pt>
                <c:pt idx="81">
                  <c:v>9.8227752515697958E-2</c:v>
                </c:pt>
                <c:pt idx="82">
                  <c:v>9.7661044930165808E-2</c:v>
                </c:pt>
                <c:pt idx="83">
                  <c:v>8.6002921657782172E-2</c:v>
                </c:pt>
                <c:pt idx="84">
                  <c:v>8.17048527591695E-2</c:v>
                </c:pt>
                <c:pt idx="85">
                  <c:v>7.7583458126869537E-2</c:v>
                </c:pt>
                <c:pt idx="86">
                  <c:v>7.6481471538533394E-2</c:v>
                </c:pt>
                <c:pt idx="87">
                  <c:v>8.27567179593829E-2</c:v>
                </c:pt>
                <c:pt idx="88">
                  <c:v>8.3819652021896632E-2</c:v>
                </c:pt>
                <c:pt idx="89">
                  <c:v>8.6309437189938859E-2</c:v>
                </c:pt>
                <c:pt idx="90">
                  <c:v>8.2280807044828277E-2</c:v>
                </c:pt>
                <c:pt idx="91">
                  <c:v>8.5559161000784492E-2</c:v>
                </c:pt>
                <c:pt idx="92">
                  <c:v>9.6234178612318533E-2</c:v>
                </c:pt>
                <c:pt idx="93">
                  <c:v>9.427748135311341E-2</c:v>
                </c:pt>
                <c:pt idx="94">
                  <c:v>9.5417797525503667E-2</c:v>
                </c:pt>
                <c:pt idx="95">
                  <c:v>0.10285857438215795</c:v>
                </c:pt>
                <c:pt idx="96">
                  <c:v>9.6136887472910076E-2</c:v>
                </c:pt>
                <c:pt idx="97">
                  <c:v>0.10643304966256181</c:v>
                </c:pt>
                <c:pt idx="98">
                  <c:v>0.10814319689051068</c:v>
                </c:pt>
                <c:pt idx="99">
                  <c:v>0.10025177300549895</c:v>
                </c:pt>
                <c:pt idx="100">
                  <c:v>0.10413481773789834</c:v>
                </c:pt>
                <c:pt idx="101">
                  <c:v>0.10101058720108111</c:v>
                </c:pt>
                <c:pt idx="102">
                  <c:v>0.11048418409533975</c:v>
                </c:pt>
                <c:pt idx="103">
                  <c:v>0.12132552177474953</c:v>
                </c:pt>
                <c:pt idx="104">
                  <c:v>0.12560046547077158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54-4853-AC8F-26C5E4E0A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Data'!$AN$4</c:f>
              <c:strCache>
                <c:ptCount val="1"/>
                <c:pt idx="0">
                  <c:v>Average Mileage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Data'!$AN$5:$AN$109</c:f>
              <c:numCache>
                <c:formatCode>#,##0</c:formatCode>
                <c:ptCount val="105"/>
                <c:pt idx="0">
                  <c:v>6797.7158918155437</c:v>
                </c:pt>
                <c:pt idx="1">
                  <c:v>7039.9637570166342</c:v>
                </c:pt>
                <c:pt idx="2">
                  <c:v>6808.9930729516482</c:v>
                </c:pt>
                <c:pt idx="3">
                  <c:v>7008.0699754716261</c:v>
                </c:pt>
                <c:pt idx="4">
                  <c:v>6837.7965401629017</c:v>
                </c:pt>
                <c:pt idx="5">
                  <c:v>7096.6523446546462</c:v>
                </c:pt>
                <c:pt idx="6">
                  <c:v>6777.6378585766724</c:v>
                </c:pt>
                <c:pt idx="7">
                  <c:v>6728.3530532625018</c:v>
                </c:pt>
                <c:pt idx="8">
                  <c:v>6823.0178084306881</c:v>
                </c:pt>
                <c:pt idx="9">
                  <c:v>6614.3445287873001</c:v>
                </c:pt>
                <c:pt idx="10">
                  <c:v>6624.4811256545518</c:v>
                </c:pt>
                <c:pt idx="11">
                  <c:v>6620.0192143616187</c:v>
                </c:pt>
                <c:pt idx="12">
                  <c:v>6839.0627647255087</c:v>
                </c:pt>
                <c:pt idx="13">
                  <c:v>6882.6949277458698</c:v>
                </c:pt>
                <c:pt idx="14">
                  <c:v>6719.174568892895</c:v>
                </c:pt>
                <c:pt idx="15">
                  <c:v>6829.736350339509</c:v>
                </c:pt>
                <c:pt idx="16">
                  <c:v>6698.5594615867458</c:v>
                </c:pt>
                <c:pt idx="17">
                  <c:v>6749.020231378171</c:v>
                </c:pt>
                <c:pt idx="18">
                  <c:v>6971.8784599523988</c:v>
                </c:pt>
                <c:pt idx="19">
                  <c:v>6848.8485612205441</c:v>
                </c:pt>
                <c:pt idx="20">
                  <c:v>6882.2447112349155</c:v>
                </c:pt>
                <c:pt idx="21">
                  <c:v>6919.7779739555363</c:v>
                </c:pt>
                <c:pt idx="22">
                  <c:v>6858.416665223639</c:v>
                </c:pt>
                <c:pt idx="23">
                  <c:v>6886.7858304778529</c:v>
                </c:pt>
                <c:pt idx="24">
                  <c:v>6905.0655718048702</c:v>
                </c:pt>
                <c:pt idx="25">
                  <c:v>6846.9978015506686</c:v>
                </c:pt>
                <c:pt idx="26">
                  <c:v>6794.4290401598691</c:v>
                </c:pt>
                <c:pt idx="27">
                  <c:v>6826.8011211237599</c:v>
                </c:pt>
                <c:pt idx="28">
                  <c:v>6975.3486036338127</c:v>
                </c:pt>
                <c:pt idx="29">
                  <c:v>7113.4701257458746</c:v>
                </c:pt>
                <c:pt idx="30">
                  <c:v>6920.5803381205997</c:v>
                </c:pt>
                <c:pt idx="31">
                  <c:v>6959.3365981297375</c:v>
                </c:pt>
                <c:pt idx="32">
                  <c:v>7115.5382883113789</c:v>
                </c:pt>
                <c:pt idx="33">
                  <c:v>7134.9042054122501</c:v>
                </c:pt>
                <c:pt idx="34">
                  <c:v>6972.1546381647249</c:v>
                </c:pt>
                <c:pt idx="35">
                  <c:v>7082.7413678173143</c:v>
                </c:pt>
                <c:pt idx="36">
                  <c:v>7156.981920558017</c:v>
                </c:pt>
                <c:pt idx="37">
                  <c:v>7213.3175104964575</c:v>
                </c:pt>
                <c:pt idx="38">
                  <c:v>7130.7056005177683</c:v>
                </c:pt>
                <c:pt idx="39">
                  <c:v>7123.1948897080738</c:v>
                </c:pt>
                <c:pt idx="40">
                  <c:v>7244.373850952371</c:v>
                </c:pt>
                <c:pt idx="41">
                  <c:v>7329.2037945742204</c:v>
                </c:pt>
                <c:pt idx="42">
                  <c:v>7376.7607916241313</c:v>
                </c:pt>
                <c:pt idx="43">
                  <c:v>7350.3395371933002</c:v>
                </c:pt>
                <c:pt idx="44">
                  <c:v>7367.1291429452676</c:v>
                </c:pt>
                <c:pt idx="45">
                  <c:v>7456.8103750380697</c:v>
                </c:pt>
                <c:pt idx="46">
                  <c:v>7422.089793031736</c:v>
                </c:pt>
                <c:pt idx="47">
                  <c:v>7325.270509618862</c:v>
                </c:pt>
                <c:pt idx="48">
                  <c:v>7551.7094402724279</c:v>
                </c:pt>
                <c:pt idx="49">
                  <c:v>7391.6914258754759</c:v>
                </c:pt>
                <c:pt idx="50">
                  <c:v>7606.662133527836</c:v>
                </c:pt>
                <c:pt idx="51">
                  <c:v>7519.07575768882</c:v>
                </c:pt>
                <c:pt idx="52">
                  <c:v>7391.6645618864095</c:v>
                </c:pt>
                <c:pt idx="53">
                  <c:v>7386.0277121061654</c:v>
                </c:pt>
                <c:pt idx="54">
                  <c:v>7523.6598728862909</c:v>
                </c:pt>
                <c:pt idx="55">
                  <c:v>7516.5660331026475</c:v>
                </c:pt>
                <c:pt idx="56">
                  <c:v>7512.0171493708749</c:v>
                </c:pt>
                <c:pt idx="57">
                  <c:v>7378.5798987340268</c:v>
                </c:pt>
                <c:pt idx="58">
                  <c:v>7397.5089579489177</c:v>
                </c:pt>
                <c:pt idx="59">
                  <c:v>7439.3179748288967</c:v>
                </c:pt>
                <c:pt idx="60">
                  <c:v>7370.5689046788812</c:v>
                </c:pt>
                <c:pt idx="61">
                  <c:v>7342.0799024400412</c:v>
                </c:pt>
                <c:pt idx="62">
                  <c:v>7476.8722678790073</c:v>
                </c:pt>
                <c:pt idx="63">
                  <c:v>7507.8867411985684</c:v>
                </c:pt>
                <c:pt idx="64">
                  <c:v>7484.0308707183331</c:v>
                </c:pt>
                <c:pt idx="65">
                  <c:v>7501.318765437939</c:v>
                </c:pt>
                <c:pt idx="66">
                  <c:v>7456.1642667848428</c:v>
                </c:pt>
                <c:pt idx="67">
                  <c:v>7335.8609194743203</c:v>
                </c:pt>
                <c:pt idx="68">
                  <c:v>7297.5250192111671</c:v>
                </c:pt>
                <c:pt idx="69">
                  <c:v>7298.0184774696727</c:v>
                </c:pt>
                <c:pt idx="70">
                  <c:v>7437.4970668283659</c:v>
                </c:pt>
                <c:pt idx="71">
                  <c:v>7315.04168733607</c:v>
                </c:pt>
                <c:pt idx="72">
                  <c:v>7423.4033151957437</c:v>
                </c:pt>
                <c:pt idx="73">
                  <c:v>7478.7556640218418</c:v>
                </c:pt>
                <c:pt idx="74">
                  <c:v>7262.2118159782131</c:v>
                </c:pt>
                <c:pt idx="75">
                  <c:v>7417.2754643530343</c:v>
                </c:pt>
                <c:pt idx="76">
                  <c:v>7593.2299769602687</c:v>
                </c:pt>
                <c:pt idx="77">
                  <c:v>7530.3250988142318</c:v>
                </c:pt>
                <c:pt idx="78">
                  <c:v>7380.2753623188464</c:v>
                </c:pt>
                <c:pt idx="79">
                  <c:v>7534.2344559585572</c:v>
                </c:pt>
                <c:pt idx="80">
                  <c:v>7664.6389743589662</c:v>
                </c:pt>
                <c:pt idx="81">
                  <c:v>7479.988624612196</c:v>
                </c:pt>
                <c:pt idx="82">
                  <c:v>7736.6550264550287</c:v>
                </c:pt>
                <c:pt idx="83">
                  <c:v>7477.1594349142288</c:v>
                </c:pt>
                <c:pt idx="84">
                  <c:v>7531.6581586143957</c:v>
                </c:pt>
                <c:pt idx="85">
                  <c:v>7419.0556622983595</c:v>
                </c:pt>
                <c:pt idx="86">
                  <c:v>7176.8907815631264</c:v>
                </c:pt>
                <c:pt idx="87">
                  <c:v>7231.3757338551859</c:v>
                </c:pt>
                <c:pt idx="88">
                  <c:v>7262.3601651186791</c:v>
                </c:pt>
                <c:pt idx="89">
                  <c:v>7502.3185185185121</c:v>
                </c:pt>
                <c:pt idx="90">
                  <c:v>7328.3987274655365</c:v>
                </c:pt>
                <c:pt idx="91">
                  <c:v>7142.7755532139108</c:v>
                </c:pt>
                <c:pt idx="92">
                  <c:v>7229.457722660658</c:v>
                </c:pt>
                <c:pt idx="93">
                  <c:v>7235.4827935222729</c:v>
                </c:pt>
                <c:pt idx="94">
                  <c:v>7424.7736040609152</c:v>
                </c:pt>
                <c:pt idx="95">
                  <c:v>7183.0651428571437</c:v>
                </c:pt>
                <c:pt idx="96">
                  <c:v>7193.6991368680683</c:v>
                </c:pt>
                <c:pt idx="97">
                  <c:v>6916.2709069493549</c:v>
                </c:pt>
                <c:pt idx="98">
                  <c:v>6886.8551165146837</c:v>
                </c:pt>
                <c:pt idx="99">
                  <c:v>6724.6089449541314</c:v>
                </c:pt>
                <c:pt idx="100">
                  <c:v>6856.7273954116108</c:v>
                </c:pt>
                <c:pt idx="101">
                  <c:v>6752.5144032921871</c:v>
                </c:pt>
                <c:pt idx="102">
                  <c:v>6748.1267942583781</c:v>
                </c:pt>
                <c:pt idx="103">
                  <c:v>6782.1585760517864</c:v>
                </c:pt>
                <c:pt idx="104">
                  <c:v>6988.3310901749701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0-4787-93FF-23335A5A653A}"/>
            </c:ext>
          </c:extLst>
        </c:ser>
        <c:ser>
          <c:idx val="1"/>
          <c:order val="1"/>
          <c:tx>
            <c:strRef>
              <c:f>'Averages Graph Data'!$AO$4</c:f>
              <c:strCache>
                <c:ptCount val="1"/>
                <c:pt idx="0">
                  <c:v>Average Mileage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Data'!$AO$5:$AO$109</c:f>
              <c:numCache>
                <c:formatCode>#,##0</c:formatCode>
                <c:ptCount val="105"/>
                <c:pt idx="3">
                  <c:v>6913.6856743138633</c:v>
                </c:pt>
                <c:pt idx="4">
                  <c:v>6923.7058364007025</c:v>
                </c:pt>
                <c:pt idx="5">
                  <c:v>6937.8779833102053</c:v>
                </c:pt>
                <c:pt idx="6">
                  <c:v>6930.0391797164611</c:v>
                </c:pt>
                <c:pt idx="7">
                  <c:v>6860.1099491641799</c:v>
                </c:pt>
                <c:pt idx="8">
                  <c:v>6856.4152662311262</c:v>
                </c:pt>
                <c:pt idx="9">
                  <c:v>6735.8383122642908</c:v>
                </c:pt>
                <c:pt idx="10">
                  <c:v>6697.5491290337604</c:v>
                </c:pt>
                <c:pt idx="11">
                  <c:v>6670.4656693085399</c:v>
                </c:pt>
                <c:pt idx="12">
                  <c:v>6674.4769083822448</c:v>
                </c:pt>
                <c:pt idx="13">
                  <c:v>6741.5645081218872</c:v>
                </c:pt>
                <c:pt idx="14">
                  <c:v>6765.2378689314737</c:v>
                </c:pt>
                <c:pt idx="15">
                  <c:v>6817.6671529259456</c:v>
                </c:pt>
                <c:pt idx="16">
                  <c:v>6782.5413271412544</c:v>
                </c:pt>
                <c:pt idx="17">
                  <c:v>6749.1226530493295</c:v>
                </c:pt>
                <c:pt idx="18">
                  <c:v>6812.2986258142064</c:v>
                </c:pt>
                <c:pt idx="19">
                  <c:v>6817.0766785344649</c:v>
                </c:pt>
                <c:pt idx="20">
                  <c:v>6862.9979909465073</c:v>
                </c:pt>
                <c:pt idx="21">
                  <c:v>6905.6874265908491</c:v>
                </c:pt>
                <c:pt idx="22">
                  <c:v>6877.3219779086585</c:v>
                </c:pt>
                <c:pt idx="23">
                  <c:v>6886.8062952229857</c:v>
                </c:pt>
                <c:pt idx="24">
                  <c:v>6892.5115103654744</c:v>
                </c:pt>
                <c:pt idx="25">
                  <c:v>6874.316467264257</c:v>
                </c:pt>
                <c:pt idx="26">
                  <c:v>6858.319560998315</c:v>
                </c:pt>
                <c:pt idx="27">
                  <c:v>6843.3233836597919</c:v>
                </c:pt>
                <c:pt idx="28">
                  <c:v>6860.8941416170273</c:v>
                </c:pt>
                <c:pt idx="29">
                  <c:v>6927.5122226658295</c:v>
                </c:pt>
                <c:pt idx="30">
                  <c:v>6959.0500471560117</c:v>
                </c:pt>
                <c:pt idx="31">
                  <c:v>6992.1839164075063</c:v>
                </c:pt>
                <c:pt idx="32">
                  <c:v>7027.2313375768972</c:v>
                </c:pt>
                <c:pt idx="33">
                  <c:v>7032.5898574934918</c:v>
                </c:pt>
                <c:pt idx="34">
                  <c:v>7045.4834325045231</c:v>
                </c:pt>
                <c:pt idx="35">
                  <c:v>7076.3346249264168</c:v>
                </c:pt>
                <c:pt idx="36">
                  <c:v>7086.6955329880766</c:v>
                </c:pt>
                <c:pt idx="37">
                  <c:v>7106.2988592591282</c:v>
                </c:pt>
                <c:pt idx="38">
                  <c:v>7145.9365998473895</c:v>
                </c:pt>
                <c:pt idx="39">
                  <c:v>7156.0499803200792</c:v>
                </c:pt>
                <c:pt idx="40">
                  <c:v>7177.8979629186679</c:v>
                </c:pt>
                <c:pt idx="41">
                  <c:v>7206.8695339381084</c:v>
                </c:pt>
                <c:pt idx="42">
                  <c:v>7268.3833317146991</c:v>
                </c:pt>
                <c:pt idx="43">
                  <c:v>7325.169493586006</c:v>
                </c:pt>
                <c:pt idx="44">
                  <c:v>7355.8583165842301</c:v>
                </c:pt>
                <c:pt idx="45">
                  <c:v>7387.7599617001924</c:v>
                </c:pt>
                <c:pt idx="46">
                  <c:v>7399.0922120520936</c:v>
                </c:pt>
                <c:pt idx="47">
                  <c:v>7392.824955158484</c:v>
                </c:pt>
                <c:pt idx="48">
                  <c:v>7438.9700294902741</c:v>
                </c:pt>
                <c:pt idx="49">
                  <c:v>7422.6902921996261</c:v>
                </c:pt>
                <c:pt idx="50">
                  <c:v>7468.8333773236509</c:v>
                </c:pt>
                <c:pt idx="51">
                  <c:v>7517.2846893411406</c:v>
                </c:pt>
                <c:pt idx="52">
                  <c:v>7477.2734697446358</c:v>
                </c:pt>
                <c:pt idx="53">
                  <c:v>7475.8575413023082</c:v>
                </c:pt>
                <c:pt idx="54">
                  <c:v>7455.1069761419221</c:v>
                </c:pt>
                <c:pt idx="55">
                  <c:v>7454.479544995379</c:v>
                </c:pt>
                <c:pt idx="56">
                  <c:v>7484.567691866494</c:v>
                </c:pt>
                <c:pt idx="57">
                  <c:v>7482.7057385234602</c:v>
                </c:pt>
                <c:pt idx="58">
                  <c:v>7451.1680097891167</c:v>
                </c:pt>
                <c:pt idx="59">
                  <c:v>7431.8559952206788</c:v>
                </c:pt>
                <c:pt idx="60">
                  <c:v>7396.4939340476813</c:v>
                </c:pt>
                <c:pt idx="61">
                  <c:v>7387.3689349741835</c:v>
                </c:pt>
                <c:pt idx="62">
                  <c:v>7407.2097624567068</c:v>
                </c:pt>
                <c:pt idx="63">
                  <c:v>7424.3519540491252</c:v>
                </c:pt>
                <c:pt idx="64">
                  <c:v>7452.7174455589875</c:v>
                </c:pt>
                <c:pt idx="65">
                  <c:v>7492.5271613084624</c:v>
                </c:pt>
                <c:pt idx="66">
                  <c:v>7487.3501610349213</c:v>
                </c:pt>
                <c:pt idx="67">
                  <c:v>7444.3437056038583</c:v>
                </c:pt>
                <c:pt idx="68">
                  <c:v>7397.717242727068</c:v>
                </c:pt>
                <c:pt idx="69">
                  <c:v>7346.8921707350009</c:v>
                </c:pt>
                <c:pt idx="70">
                  <c:v>7342.2253707458822</c:v>
                </c:pt>
                <c:pt idx="71">
                  <c:v>7337.0205627113182</c:v>
                </c:pt>
                <c:pt idx="72">
                  <c:v>7368.4901367074635</c:v>
                </c:pt>
                <c:pt idx="73">
                  <c:v>7413.6744333455053</c:v>
                </c:pt>
                <c:pt idx="74">
                  <c:v>7369.8531206329681</c:v>
                </c:pt>
                <c:pt idx="75">
                  <c:v>7395.4115648872084</c:v>
                </c:pt>
                <c:pt idx="76">
                  <c:v>7437.8682303283395</c:v>
                </c:pt>
                <c:pt idx="77">
                  <c:v>7450.7605890264367</c:v>
                </c:pt>
                <c:pt idx="78">
                  <c:v>7480.2764756115957</c:v>
                </c:pt>
                <c:pt idx="79">
                  <c:v>7509.5162235129765</c:v>
                </c:pt>
                <c:pt idx="80">
                  <c:v>7527.3684728626504</c:v>
                </c:pt>
                <c:pt idx="81">
                  <c:v>7514.7843543121417</c:v>
                </c:pt>
                <c:pt idx="82">
                  <c:v>7603.8792703461868</c:v>
                </c:pt>
                <c:pt idx="83">
                  <c:v>7589.6105150851045</c:v>
                </c:pt>
                <c:pt idx="84">
                  <c:v>7556.3653111489621</c:v>
                </c:pt>
                <c:pt idx="85">
                  <c:v>7541.1320705705029</c:v>
                </c:pt>
                <c:pt idx="86">
                  <c:v>7401.1910093475271</c:v>
                </c:pt>
                <c:pt idx="87">
                  <c:v>7339.7450840827678</c:v>
                </c:pt>
                <c:pt idx="88">
                  <c:v>7272.4205857088373</c:v>
                </c:pt>
                <c:pt idx="89">
                  <c:v>7293.2362997638756</c:v>
                </c:pt>
                <c:pt idx="90">
                  <c:v>7331.1132862394788</c:v>
                </c:pt>
                <c:pt idx="91">
                  <c:v>7308.9632410791601</c:v>
                </c:pt>
                <c:pt idx="92">
                  <c:v>7300.7376304646532</c:v>
                </c:pt>
                <c:pt idx="93">
                  <c:v>7234.0286992155943</c:v>
                </c:pt>
                <c:pt idx="94">
                  <c:v>7258.122418364439</c:v>
                </c:pt>
                <c:pt idx="95">
                  <c:v>7268.1948157752477</c:v>
                </c:pt>
                <c:pt idx="96">
                  <c:v>7259.2551693270998</c:v>
                </c:pt>
                <c:pt idx="97">
                  <c:v>7179.4521976838705</c:v>
                </c:pt>
                <c:pt idx="98">
                  <c:v>7044.9725757973119</c:v>
                </c:pt>
                <c:pt idx="99">
                  <c:v>6930.3585263215591</c:v>
                </c:pt>
                <c:pt idx="100">
                  <c:v>6846.1155909574454</c:v>
                </c:pt>
                <c:pt idx="101">
                  <c:v>6805.1764650431523</c:v>
                </c:pt>
                <c:pt idx="102">
                  <c:v>6770.4943844790778</c:v>
                </c:pt>
                <c:pt idx="103">
                  <c:v>6784.8817922534909</c:v>
                </c:pt>
                <c:pt idx="104">
                  <c:v>6817.7827159443314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F0-4787-93FF-23335A5A6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Data'!$AV$4</c:f>
              <c:strCache>
                <c:ptCount val="1"/>
                <c:pt idx="0">
                  <c:v>Average Mileage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Data'!$AV$5:$AV$109</c:f>
              <c:numCache>
                <c:formatCode>#,##0</c:formatCode>
                <c:ptCount val="105"/>
                <c:pt idx="0">
                  <c:v>6330.7665256477958</c:v>
                </c:pt>
                <c:pt idx="1">
                  <c:v>6375.2213645418269</c:v>
                </c:pt>
                <c:pt idx="2">
                  <c:v>6488.8927383917389</c:v>
                </c:pt>
                <c:pt idx="3">
                  <c:v>6547.6066186282205</c:v>
                </c:pt>
                <c:pt idx="4">
                  <c:v>6343.7121614444923</c:v>
                </c:pt>
                <c:pt idx="5">
                  <c:v>6369.3414006179028</c:v>
                </c:pt>
                <c:pt idx="6">
                  <c:v>6497.8648447204796</c:v>
                </c:pt>
                <c:pt idx="7">
                  <c:v>6608.8588475743045</c:v>
                </c:pt>
                <c:pt idx="8">
                  <c:v>6519.9621814195325</c:v>
                </c:pt>
                <c:pt idx="9">
                  <c:v>6368.8744525547254</c:v>
                </c:pt>
                <c:pt idx="10">
                  <c:v>6398.3051049618116</c:v>
                </c:pt>
                <c:pt idx="11">
                  <c:v>6658.8462186378447</c:v>
                </c:pt>
                <c:pt idx="12">
                  <c:v>6631.6341775389965</c:v>
                </c:pt>
                <c:pt idx="13">
                  <c:v>6509.5951690821121</c:v>
                </c:pt>
                <c:pt idx="14">
                  <c:v>6429.4046555372497</c:v>
                </c:pt>
                <c:pt idx="15">
                  <c:v>6587.6513481204283</c:v>
                </c:pt>
                <c:pt idx="16">
                  <c:v>6617.2428396572623</c:v>
                </c:pt>
                <c:pt idx="17">
                  <c:v>6582.8659486709266</c:v>
                </c:pt>
                <c:pt idx="18">
                  <c:v>6572.7226195797712</c:v>
                </c:pt>
                <c:pt idx="19">
                  <c:v>6550.7551109177721</c:v>
                </c:pt>
                <c:pt idx="20">
                  <c:v>6661.2831594634627</c:v>
                </c:pt>
                <c:pt idx="21">
                  <c:v>6705.9281179138197</c:v>
                </c:pt>
                <c:pt idx="22">
                  <c:v>6677.2125541125361</c:v>
                </c:pt>
                <c:pt idx="23">
                  <c:v>6598.5816644414599</c:v>
                </c:pt>
                <c:pt idx="24">
                  <c:v>6727.525566201648</c:v>
                </c:pt>
                <c:pt idx="25">
                  <c:v>6796.5120967741732</c:v>
                </c:pt>
                <c:pt idx="26">
                  <c:v>6821.7795661301616</c:v>
                </c:pt>
                <c:pt idx="27">
                  <c:v>6651.5376549094271</c:v>
                </c:pt>
                <c:pt idx="28">
                  <c:v>6734.8137011275876</c:v>
                </c:pt>
                <c:pt idx="29">
                  <c:v>6822.754791431792</c:v>
                </c:pt>
                <c:pt idx="30">
                  <c:v>6854.3009061833618</c:v>
                </c:pt>
                <c:pt idx="31">
                  <c:v>6737.8761201897678</c:v>
                </c:pt>
                <c:pt idx="32">
                  <c:v>6772.1465252581702</c:v>
                </c:pt>
                <c:pt idx="33">
                  <c:v>6876.9096193804335</c:v>
                </c:pt>
                <c:pt idx="34">
                  <c:v>6877.8394409937455</c:v>
                </c:pt>
                <c:pt idx="35">
                  <c:v>6839.8947997608702</c:v>
                </c:pt>
                <c:pt idx="36">
                  <c:v>6750.4800125904549</c:v>
                </c:pt>
                <c:pt idx="37">
                  <c:v>6877.2309194812733</c:v>
                </c:pt>
                <c:pt idx="38">
                  <c:v>6965.6296426068875</c:v>
                </c:pt>
                <c:pt idx="39">
                  <c:v>6979.6620689655392</c:v>
                </c:pt>
                <c:pt idx="40">
                  <c:v>6752.0485887817213</c:v>
                </c:pt>
                <c:pt idx="41">
                  <c:v>6996.0366412213907</c:v>
                </c:pt>
                <c:pt idx="42">
                  <c:v>6905.7892777363586</c:v>
                </c:pt>
                <c:pt idx="43">
                  <c:v>6918.6793036750059</c:v>
                </c:pt>
                <c:pt idx="44">
                  <c:v>6783.2739022794503</c:v>
                </c:pt>
                <c:pt idx="45">
                  <c:v>6952.7528230865291</c:v>
                </c:pt>
                <c:pt idx="46">
                  <c:v>6887.7011394394613</c:v>
                </c:pt>
                <c:pt idx="47">
                  <c:v>6965.4562637362915</c:v>
                </c:pt>
                <c:pt idx="48">
                  <c:v>6832.0245372363624</c:v>
                </c:pt>
                <c:pt idx="49">
                  <c:v>6864.2252210330544</c:v>
                </c:pt>
                <c:pt idx="50">
                  <c:v>6848.5768181818185</c:v>
                </c:pt>
                <c:pt idx="51">
                  <c:v>6888.4917859035622</c:v>
                </c:pt>
                <c:pt idx="52">
                  <c:v>6964.8068072866936</c:v>
                </c:pt>
                <c:pt idx="53">
                  <c:v>6782.5771983640198</c:v>
                </c:pt>
                <c:pt idx="54">
                  <c:v>6887.6520086862101</c:v>
                </c:pt>
                <c:pt idx="55">
                  <c:v>6796.6977641138983</c:v>
                </c:pt>
                <c:pt idx="56">
                  <c:v>7000.8217993079161</c:v>
                </c:pt>
                <c:pt idx="57">
                  <c:v>6856.8702830188276</c:v>
                </c:pt>
                <c:pt idx="58">
                  <c:v>6886.6290106951383</c:v>
                </c:pt>
                <c:pt idx="59">
                  <c:v>6799.2169988962887</c:v>
                </c:pt>
                <c:pt idx="60">
                  <c:v>7079.1258087706565</c:v>
                </c:pt>
                <c:pt idx="61">
                  <c:v>7050.6242559523716</c:v>
                </c:pt>
                <c:pt idx="62">
                  <c:v>6769.0578231292329</c:v>
                </c:pt>
                <c:pt idx="63">
                  <c:v>6935.6590091156022</c:v>
                </c:pt>
                <c:pt idx="64">
                  <c:v>6978.7233065441987</c:v>
                </c:pt>
                <c:pt idx="65">
                  <c:v>6942.6726057906435</c:v>
                </c:pt>
                <c:pt idx="66">
                  <c:v>7208.8380024360467</c:v>
                </c:pt>
                <c:pt idx="67">
                  <c:v>6925.9426086956501</c:v>
                </c:pt>
                <c:pt idx="68">
                  <c:v>7064.3786919227196</c:v>
                </c:pt>
                <c:pt idx="69">
                  <c:v>7273.7324218750027</c:v>
                </c:pt>
                <c:pt idx="70">
                  <c:v>7057.0733120907707</c:v>
                </c:pt>
                <c:pt idx="71">
                  <c:v>7151.7216828478977</c:v>
                </c:pt>
                <c:pt idx="72">
                  <c:v>6975.2663316582903</c:v>
                </c:pt>
                <c:pt idx="73">
                  <c:v>7209.7674418604638</c:v>
                </c:pt>
                <c:pt idx="74">
                  <c:v>7382.9777777777781</c:v>
                </c:pt>
                <c:pt idx="75">
                  <c:v>6823.5294117647054</c:v>
                </c:pt>
                <c:pt idx="76">
                  <c:v>8000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8-42F8-A9A2-305731BF8088}"/>
            </c:ext>
          </c:extLst>
        </c:ser>
        <c:ser>
          <c:idx val="1"/>
          <c:order val="1"/>
          <c:tx>
            <c:strRef>
              <c:f>'Averages Graph Data'!$AW$4</c:f>
              <c:strCache>
                <c:ptCount val="1"/>
                <c:pt idx="0">
                  <c:v>Average Mileage - 4 Week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Data'!$AW$5:$AW$109</c:f>
              <c:numCache>
                <c:formatCode>#,##0</c:formatCode>
                <c:ptCount val="105"/>
                <c:pt idx="6">
                  <c:v>6421.915093427493</c:v>
                </c:pt>
                <c:pt idx="7">
                  <c:v>6461.6425679884223</c:v>
                </c:pt>
                <c:pt idx="8">
                  <c:v>6482.3198275423811</c:v>
                </c:pt>
                <c:pt idx="9">
                  <c:v>6465.1743581370947</c:v>
                </c:pt>
                <c:pt idx="10">
                  <c:v>6443.8455704704638</c:v>
                </c:pt>
                <c:pt idx="11">
                  <c:v>6488.8647214980865</c:v>
                </c:pt>
                <c:pt idx="12">
                  <c:v>6526.3351182011002</c:v>
                </c:pt>
                <c:pt idx="13">
                  <c:v>6528.0108788241896</c:v>
                </c:pt>
                <c:pt idx="14">
                  <c:v>6502.3745656760384</c:v>
                </c:pt>
                <c:pt idx="15">
                  <c:v>6512.0444466333111</c:v>
                </c:pt>
                <c:pt idx="16">
                  <c:v>6547.5256447908159</c:v>
                </c:pt>
                <c:pt idx="17">
                  <c:v>6573.8914796064046</c:v>
                </c:pt>
                <c:pt idx="18">
                  <c:v>6561.5881083123923</c:v>
                </c:pt>
                <c:pt idx="19">
                  <c:v>6550.0339559379308</c:v>
                </c:pt>
                <c:pt idx="20">
                  <c:v>6571.7036688495527</c:v>
                </c:pt>
                <c:pt idx="21">
                  <c:v>6611.207020617635</c:v>
                </c:pt>
                <c:pt idx="22">
                  <c:v>6624.0014786165066</c:v>
                </c:pt>
                <c:pt idx="23">
                  <c:v>6621.3355964428201</c:v>
                </c:pt>
                <c:pt idx="24">
                  <c:v>6642.0012560900668</c:v>
                </c:pt>
                <c:pt idx="25">
                  <c:v>6673.9711814035536</c:v>
                </c:pt>
                <c:pt idx="26">
                  <c:v>6712.688960719609</c:v>
                </c:pt>
                <c:pt idx="27">
                  <c:v>6711.2967457833192</c:v>
                </c:pt>
                <c:pt idx="28">
                  <c:v>6715.4232576710001</c:v>
                </c:pt>
                <c:pt idx="29">
                  <c:v>6736.2150058594643</c:v>
                </c:pt>
                <c:pt idx="30">
                  <c:v>6772.7463261083076</c:v>
                </c:pt>
                <c:pt idx="31">
                  <c:v>6774.2249766780387</c:v>
                </c:pt>
                <c:pt idx="32">
                  <c:v>6770.7441807471796</c:v>
                </c:pt>
                <c:pt idx="33">
                  <c:v>6778.6199026400773</c:v>
                </c:pt>
                <c:pt idx="34">
                  <c:v>6810.9487292235517</c:v>
                </c:pt>
                <c:pt idx="35">
                  <c:v>6825.9603147425923</c:v>
                </c:pt>
                <c:pt idx="36">
                  <c:v>6815.635346336685</c:v>
                </c:pt>
                <c:pt idx="37">
                  <c:v>6818.911062522101</c:v>
                </c:pt>
                <c:pt idx="38">
                  <c:v>6851.4472800102621</c:v>
                </c:pt>
                <c:pt idx="39">
                  <c:v>6881.0923576827436</c:v>
                </c:pt>
                <c:pt idx="40">
                  <c:v>6863.2550675972134</c:v>
                </c:pt>
                <c:pt idx="41">
                  <c:v>6880.1403819154484</c:v>
                </c:pt>
                <c:pt idx="42">
                  <c:v>6889.5538787690894</c:v>
                </c:pt>
                <c:pt idx="43">
                  <c:v>6913.5823489240265</c:v>
                </c:pt>
                <c:pt idx="44">
                  <c:v>6900.1599178951928</c:v>
                </c:pt>
                <c:pt idx="45">
                  <c:v>6898.3203722494272</c:v>
                </c:pt>
                <c:pt idx="46">
                  <c:v>6885.1830966028456</c:v>
                </c:pt>
                <c:pt idx="47">
                  <c:v>6915.6699073106402</c:v>
                </c:pt>
                <c:pt idx="48">
                  <c:v>6892.239606741352</c:v>
                </c:pt>
                <c:pt idx="49">
                  <c:v>6886.3018843551663</c:v>
                </c:pt>
                <c:pt idx="50">
                  <c:v>6876.2872435704248</c:v>
                </c:pt>
                <c:pt idx="51">
                  <c:v>6891.3183698024395</c:v>
                </c:pt>
                <c:pt idx="52">
                  <c:v>6893.0403675453208</c:v>
                </c:pt>
                <c:pt idx="53">
                  <c:v>6878.0226616774016</c:v>
                </c:pt>
                <c:pt idx="54">
                  <c:v>6866.9077680988175</c:v>
                </c:pt>
                <c:pt idx="55">
                  <c:v>6861.8610862241785</c:v>
                </c:pt>
                <c:pt idx="56">
                  <c:v>6881.3748831205885</c:v>
                </c:pt>
                <c:pt idx="57">
                  <c:v>6882.5596638115894</c:v>
                </c:pt>
                <c:pt idx="58">
                  <c:v>6882.2935530675295</c:v>
                </c:pt>
                <c:pt idx="59">
                  <c:v>6858.6378661546141</c:v>
                </c:pt>
                <c:pt idx="60">
                  <c:v>6901.0019533555615</c:v>
                </c:pt>
                <c:pt idx="61">
                  <c:v>6924.2837029650154</c:v>
                </c:pt>
                <c:pt idx="62">
                  <c:v>6920.3351399672047</c:v>
                </c:pt>
                <c:pt idx="63">
                  <c:v>6911.0261699397306</c:v>
                </c:pt>
                <c:pt idx="64">
                  <c:v>6928.4337447290691</c:v>
                </c:pt>
                <c:pt idx="65">
                  <c:v>6936.4399725998564</c:v>
                </c:pt>
                <c:pt idx="66">
                  <c:v>6994.9572588198216</c:v>
                </c:pt>
                <c:pt idx="67">
                  <c:v>6973.0739445233921</c:v>
                </c:pt>
                <c:pt idx="68">
                  <c:v>6975.0388639477269</c:v>
                </c:pt>
                <c:pt idx="69">
                  <c:v>7047.1352351971227</c:v>
                </c:pt>
                <c:pt idx="70">
                  <c:v>7064.4801356221478</c:v>
                </c:pt>
                <c:pt idx="71">
                  <c:v>7089.1941893798185</c:v>
                </c:pt>
                <c:pt idx="72">
                  <c:v>7093.8504359323406</c:v>
                </c:pt>
                <c:pt idx="73">
                  <c:v>7093.9832129929709</c:v>
                </c:pt>
                <c:pt idx="74">
                  <c:v>7159.2739514332743</c:v>
                </c:pt>
                <c:pt idx="75">
                  <c:v>7124.8669114107015</c:v>
                </c:pt>
                <c:pt idx="76">
                  <c:v>7228.6194225714153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58-42F8-A9A2-305731BF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Data'!$AR$4</c:f>
              <c:strCache>
                <c:ptCount val="1"/>
                <c:pt idx="0">
                  <c:v>Average Mileage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Data'!$AR$5:$AR$109</c:f>
              <c:numCache>
                <c:formatCode>#,##0</c:formatCode>
                <c:ptCount val="105"/>
                <c:pt idx="0">
                  <c:v>7387.7601626016285</c:v>
                </c:pt>
                <c:pt idx="1">
                  <c:v>7961.8949579831951</c:v>
                </c:pt>
                <c:pt idx="2">
                  <c:v>7280.9462809917368</c:v>
                </c:pt>
                <c:pt idx="3">
                  <c:v>7651.6525821596215</c:v>
                </c:pt>
                <c:pt idx="4">
                  <c:v>7503.7342342342308</c:v>
                </c:pt>
                <c:pt idx="5">
                  <c:v>8107.6531531531555</c:v>
                </c:pt>
                <c:pt idx="6">
                  <c:v>7216.2156862745169</c:v>
                </c:pt>
                <c:pt idx="7">
                  <c:v>6975.2701149425275</c:v>
                </c:pt>
                <c:pt idx="8">
                  <c:v>7206.5274261603399</c:v>
                </c:pt>
                <c:pt idx="9">
                  <c:v>6905.2982456140362</c:v>
                </c:pt>
                <c:pt idx="10">
                  <c:v>6870.3123028391155</c:v>
                </c:pt>
                <c:pt idx="11">
                  <c:v>6590.6132478632471</c:v>
                </c:pt>
                <c:pt idx="12">
                  <c:v>7005.9611398963734</c:v>
                </c:pt>
                <c:pt idx="13">
                  <c:v>7170.1053864168625</c:v>
                </c:pt>
                <c:pt idx="14">
                  <c:v>6922.742203742202</c:v>
                </c:pt>
                <c:pt idx="15">
                  <c:v>7009.0954003407132</c:v>
                </c:pt>
                <c:pt idx="16">
                  <c:v>6767.1582914572855</c:v>
                </c:pt>
                <c:pt idx="17">
                  <c:v>6883.5507900677212</c:v>
                </c:pt>
                <c:pt idx="18">
                  <c:v>7308.529816513761</c:v>
                </c:pt>
                <c:pt idx="19">
                  <c:v>7191.2644376899698</c:v>
                </c:pt>
                <c:pt idx="20">
                  <c:v>7137.6437125748516</c:v>
                </c:pt>
                <c:pt idx="21">
                  <c:v>7100.4615384615399</c:v>
                </c:pt>
                <c:pt idx="22">
                  <c:v>7030.0074812967587</c:v>
                </c:pt>
                <c:pt idx="23">
                  <c:v>7066.5502283105043</c:v>
                </c:pt>
                <c:pt idx="24">
                  <c:v>7207.4297188755054</c:v>
                </c:pt>
                <c:pt idx="25">
                  <c:v>7137.85835694051</c:v>
                </c:pt>
                <c:pt idx="26">
                  <c:v>7098.2000000000035</c:v>
                </c:pt>
                <c:pt idx="27">
                  <c:v>6912.7365853658548</c:v>
                </c:pt>
                <c:pt idx="28">
                  <c:v>7318.7820853420772</c:v>
                </c:pt>
                <c:pt idx="29">
                  <c:v>7495.1771561771657</c:v>
                </c:pt>
                <c:pt idx="30">
                  <c:v>7029.9715447154567</c:v>
                </c:pt>
                <c:pt idx="31">
                  <c:v>7027.2719486081469</c:v>
                </c:pt>
                <c:pt idx="32">
                  <c:v>7543.3135245901749</c:v>
                </c:pt>
                <c:pt idx="33">
                  <c:v>7427.3838771593164</c:v>
                </c:pt>
                <c:pt idx="34">
                  <c:v>7087.049356223185</c:v>
                </c:pt>
                <c:pt idx="35">
                  <c:v>7019.5119047619155</c:v>
                </c:pt>
                <c:pt idx="36">
                  <c:v>7297.74623655915</c:v>
                </c:pt>
                <c:pt idx="37">
                  <c:v>7283.0985401459939</c:v>
                </c:pt>
                <c:pt idx="38">
                  <c:v>7169.0290178571504</c:v>
                </c:pt>
                <c:pt idx="39">
                  <c:v>7160.0269058296062</c:v>
                </c:pt>
                <c:pt idx="40">
                  <c:v>7403.8235294117758</c:v>
                </c:pt>
                <c:pt idx="41">
                  <c:v>7550.1341176470669</c:v>
                </c:pt>
                <c:pt idx="42">
                  <c:v>7513.3135391924043</c:v>
                </c:pt>
                <c:pt idx="43">
                  <c:v>7577.9002557544827</c:v>
                </c:pt>
                <c:pt idx="44">
                  <c:v>7625.5285714285828</c:v>
                </c:pt>
                <c:pt idx="45">
                  <c:v>7661.6057971014525</c:v>
                </c:pt>
                <c:pt idx="46">
                  <c:v>7597.4675675675744</c:v>
                </c:pt>
                <c:pt idx="47">
                  <c:v>7566.2131661442027</c:v>
                </c:pt>
                <c:pt idx="48">
                  <c:v>7597.0206185567004</c:v>
                </c:pt>
                <c:pt idx="49">
                  <c:v>8128.6778523489929</c:v>
                </c:pt>
                <c:pt idx="50">
                  <c:v>7748.2075471698145</c:v>
                </c:pt>
                <c:pt idx="51">
                  <c:v>7927.3080168776378</c:v>
                </c:pt>
                <c:pt idx="52">
                  <c:v>7430.8070866141725</c:v>
                </c:pt>
                <c:pt idx="53">
                  <c:v>7479.6631944444471</c:v>
                </c:pt>
                <c:pt idx="54">
                  <c:v>8295.9541666666682</c:v>
                </c:pt>
                <c:pt idx="55">
                  <c:v>7979.2147651006726</c:v>
                </c:pt>
                <c:pt idx="56">
                  <c:v>7742.9843750000036</c:v>
                </c:pt>
                <c:pt idx="57">
                  <c:v>7892.9770114942539</c:v>
                </c:pt>
                <c:pt idx="58">
                  <c:v>7754.9880000000012</c:v>
                </c:pt>
                <c:pt idx="59">
                  <c:v>7676.8404669260744</c:v>
                </c:pt>
                <c:pt idx="60">
                  <c:v>7326.4902912621355</c:v>
                </c:pt>
                <c:pt idx="61">
                  <c:v>7192.1625000000004</c:v>
                </c:pt>
                <c:pt idx="62">
                  <c:v>7677.0750853242362</c:v>
                </c:pt>
                <c:pt idx="63">
                  <c:v>7542.9020270270312</c:v>
                </c:pt>
                <c:pt idx="64">
                  <c:v>7758.4745762711873</c:v>
                </c:pt>
                <c:pt idx="65">
                  <c:v>7532.2289156626539</c:v>
                </c:pt>
                <c:pt idx="66">
                  <c:v>7823.1763005780385</c:v>
                </c:pt>
                <c:pt idx="67">
                  <c:v>7408.1307189542504</c:v>
                </c:pt>
                <c:pt idx="68">
                  <c:v>7411.7492260061936</c:v>
                </c:pt>
                <c:pt idx="69">
                  <c:v>7598.6743421052697</c:v>
                </c:pt>
                <c:pt idx="70">
                  <c:v>7665.4121863799301</c:v>
                </c:pt>
                <c:pt idx="71">
                  <c:v>7546.072072072071</c:v>
                </c:pt>
                <c:pt idx="72">
                  <c:v>7982.115942028985</c:v>
                </c:pt>
                <c:pt idx="73">
                  <c:v>7714.8352490421457</c:v>
                </c:pt>
                <c:pt idx="74">
                  <c:v>7469.7469387755109</c:v>
                </c:pt>
                <c:pt idx="75">
                  <c:v>7490.6512820512817</c:v>
                </c:pt>
                <c:pt idx="76">
                  <c:v>7669.8122448979584</c:v>
                </c:pt>
                <c:pt idx="77">
                  <c:v>7365.138528138531</c:v>
                </c:pt>
                <c:pt idx="78">
                  <c:v>7511.5806451612898</c:v>
                </c:pt>
                <c:pt idx="79">
                  <c:v>7708.9565217391309</c:v>
                </c:pt>
                <c:pt idx="80">
                  <c:v>7787.3448275862074</c:v>
                </c:pt>
                <c:pt idx="81">
                  <c:v>7196.1748633879788</c:v>
                </c:pt>
                <c:pt idx="82">
                  <c:v>7976.0357142857138</c:v>
                </c:pt>
                <c:pt idx="83">
                  <c:v>7848.4432989690731</c:v>
                </c:pt>
                <c:pt idx="84">
                  <c:v>7387.0190476190492</c:v>
                </c:pt>
                <c:pt idx="85">
                  <c:v>7515.8634361233499</c:v>
                </c:pt>
                <c:pt idx="86">
                  <c:v>7236.2637362637361</c:v>
                </c:pt>
                <c:pt idx="87">
                  <c:v>7323.5</c:v>
                </c:pt>
                <c:pt idx="88">
                  <c:v>7529.4117647058838</c:v>
                </c:pt>
                <c:pt idx="89">
                  <c:v>7345.6442687747067</c:v>
                </c:pt>
                <c:pt idx="90">
                  <c:v>7474.3596059113297</c:v>
                </c:pt>
                <c:pt idx="91">
                  <c:v>7320.757425742574</c:v>
                </c:pt>
                <c:pt idx="92">
                  <c:v>7306.1421319796946</c:v>
                </c:pt>
                <c:pt idx="93">
                  <c:v>7219.1568627450988</c:v>
                </c:pt>
                <c:pt idx="94">
                  <c:v>7455.3872549019616</c:v>
                </c:pt>
                <c:pt idx="95">
                  <c:v>7659.6395348837214</c:v>
                </c:pt>
                <c:pt idx="96">
                  <c:v>7027.0270270270266</c:v>
                </c:pt>
                <c:pt idx="97">
                  <c:v>7311.1860465116288</c:v>
                </c:pt>
                <c:pt idx="98">
                  <c:v>7176.3039215686276</c:v>
                </c:pt>
                <c:pt idx="99">
                  <c:v>6850.1413612565448</c:v>
                </c:pt>
                <c:pt idx="100">
                  <c:v>7045.454545454546</c:v>
                </c:pt>
                <c:pt idx="101">
                  <c:v>6789.6625000000004</c:v>
                </c:pt>
                <c:pt idx="102">
                  <c:v>6944.3749999999991</c:v>
                </c:pt>
                <c:pt idx="103">
                  <c:v>7001.4661654135343</c:v>
                </c:pt>
                <c:pt idx="104">
                  <c:v>7112.2865853658523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CD-4421-8BA4-57A78433EAD6}"/>
            </c:ext>
          </c:extLst>
        </c:ser>
        <c:ser>
          <c:idx val="1"/>
          <c:order val="1"/>
          <c:tx>
            <c:strRef>
              <c:f>'Averages Graph Data'!$AS$4</c:f>
              <c:strCache>
                <c:ptCount val="1"/>
                <c:pt idx="0">
                  <c:v>Average Mileage - 4 Week Avg (Boom Annual Up Front)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Data'!$AS$5:$AS$109</c:f>
              <c:numCache>
                <c:formatCode>#,##0</c:formatCode>
                <c:ptCount val="105"/>
                <c:pt idx="3">
                  <c:v>7570.5634959340459</c:v>
                </c:pt>
                <c:pt idx="4">
                  <c:v>7599.5570138421963</c:v>
                </c:pt>
                <c:pt idx="5">
                  <c:v>7635.9965626346857</c:v>
                </c:pt>
                <c:pt idx="6">
                  <c:v>7619.8139139553814</c:v>
                </c:pt>
                <c:pt idx="7">
                  <c:v>7450.7182971511074</c:v>
                </c:pt>
                <c:pt idx="8">
                  <c:v>7376.4165951326349</c:v>
                </c:pt>
                <c:pt idx="9">
                  <c:v>7075.8278682478558</c:v>
                </c:pt>
                <c:pt idx="10">
                  <c:v>6989.3520223890055</c:v>
                </c:pt>
                <c:pt idx="11">
                  <c:v>6893.1878056191845</c:v>
                </c:pt>
                <c:pt idx="12">
                  <c:v>6843.0462340531922</c:v>
                </c:pt>
                <c:pt idx="13">
                  <c:v>6909.2480192539006</c:v>
                </c:pt>
                <c:pt idx="14">
                  <c:v>6922.3554944796706</c:v>
                </c:pt>
                <c:pt idx="15">
                  <c:v>7026.9760325990383</c:v>
                </c:pt>
                <c:pt idx="16">
                  <c:v>6967.2753204892661</c:v>
                </c:pt>
                <c:pt idx="17">
                  <c:v>6895.6366714019805</c:v>
                </c:pt>
                <c:pt idx="18">
                  <c:v>6992.0835745948707</c:v>
                </c:pt>
                <c:pt idx="19">
                  <c:v>7037.6258339321848</c:v>
                </c:pt>
                <c:pt idx="20">
                  <c:v>7130.2471892115764</c:v>
                </c:pt>
                <c:pt idx="21">
                  <c:v>7184.4748763100306</c:v>
                </c:pt>
                <c:pt idx="22">
                  <c:v>7114.8442925057798</c:v>
                </c:pt>
                <c:pt idx="23">
                  <c:v>7083.6657401609136</c:v>
                </c:pt>
                <c:pt idx="24">
                  <c:v>7101.1122417360766</c:v>
                </c:pt>
                <c:pt idx="25">
                  <c:v>7110.4614463558191</c:v>
                </c:pt>
                <c:pt idx="26">
                  <c:v>7127.5095760316308</c:v>
                </c:pt>
                <c:pt idx="27">
                  <c:v>7089.0561652954684</c:v>
                </c:pt>
                <c:pt idx="28">
                  <c:v>7116.8942569121118</c:v>
                </c:pt>
                <c:pt idx="29">
                  <c:v>7206.2239567212746</c:v>
                </c:pt>
                <c:pt idx="30">
                  <c:v>7189.1668429001384</c:v>
                </c:pt>
                <c:pt idx="31">
                  <c:v>7217.8006837107114</c:v>
                </c:pt>
                <c:pt idx="32">
                  <c:v>7273.9335435227367</c:v>
                </c:pt>
                <c:pt idx="33">
                  <c:v>7256.9852237682735</c:v>
                </c:pt>
                <c:pt idx="34">
                  <c:v>7271.254676645206</c:v>
                </c:pt>
                <c:pt idx="35">
                  <c:v>7269.3146656836479</c:v>
                </c:pt>
                <c:pt idx="36">
                  <c:v>7207.9228436758913</c:v>
                </c:pt>
                <c:pt idx="37">
                  <c:v>7171.8515094225613</c:v>
                </c:pt>
                <c:pt idx="38">
                  <c:v>7192.346424831052</c:v>
                </c:pt>
                <c:pt idx="39">
                  <c:v>7227.4751750979749</c:v>
                </c:pt>
                <c:pt idx="40">
                  <c:v>7253.9944983111318</c:v>
                </c:pt>
                <c:pt idx="41">
                  <c:v>7320.7533926863998</c:v>
                </c:pt>
                <c:pt idx="42">
                  <c:v>7406.8245230202128</c:v>
                </c:pt>
                <c:pt idx="43">
                  <c:v>7511.2928605014331</c:v>
                </c:pt>
                <c:pt idx="44">
                  <c:v>7566.7191210056344</c:v>
                </c:pt>
                <c:pt idx="45">
                  <c:v>7594.5870408692308</c:v>
                </c:pt>
                <c:pt idx="46">
                  <c:v>7615.6255479630236</c:v>
                </c:pt>
                <c:pt idx="47">
                  <c:v>7612.7037755604533</c:v>
                </c:pt>
                <c:pt idx="48">
                  <c:v>7605.5767873424829</c:v>
                </c:pt>
                <c:pt idx="49">
                  <c:v>7722.3448011543678</c:v>
                </c:pt>
                <c:pt idx="50">
                  <c:v>7760.0297960549278</c:v>
                </c:pt>
                <c:pt idx="51">
                  <c:v>7850.3035087382868</c:v>
                </c:pt>
                <c:pt idx="52">
                  <c:v>7808.7501257526546</c:v>
                </c:pt>
                <c:pt idx="53">
                  <c:v>7646.4964612765179</c:v>
                </c:pt>
                <c:pt idx="54">
                  <c:v>7783.4331161507325</c:v>
                </c:pt>
                <c:pt idx="55">
                  <c:v>7796.4098032064903</c:v>
                </c:pt>
                <c:pt idx="56">
                  <c:v>7874.4541253029483</c:v>
                </c:pt>
                <c:pt idx="57">
                  <c:v>7977.7825795653998</c:v>
                </c:pt>
                <c:pt idx="58">
                  <c:v>7842.5410378987326</c:v>
                </c:pt>
                <c:pt idx="59">
                  <c:v>7766.9474633550835</c:v>
                </c:pt>
                <c:pt idx="60">
                  <c:v>7662.8239424206167</c:v>
                </c:pt>
                <c:pt idx="61">
                  <c:v>7487.6203145470536</c:v>
                </c:pt>
                <c:pt idx="62">
                  <c:v>7468.1420858781112</c:v>
                </c:pt>
                <c:pt idx="63">
                  <c:v>7434.6574759033501</c:v>
                </c:pt>
                <c:pt idx="64">
                  <c:v>7542.6535471556135</c:v>
                </c:pt>
                <c:pt idx="65">
                  <c:v>7627.6701510712774</c:v>
                </c:pt>
                <c:pt idx="66">
                  <c:v>7664.195454884728</c:v>
                </c:pt>
                <c:pt idx="67">
                  <c:v>7630.5026278665318</c:v>
                </c:pt>
                <c:pt idx="68">
                  <c:v>7543.8212903002841</c:v>
                </c:pt>
                <c:pt idx="69">
                  <c:v>7560.4326469109383</c:v>
                </c:pt>
                <c:pt idx="70">
                  <c:v>7520.9916183614114</c:v>
                </c:pt>
                <c:pt idx="71">
                  <c:v>7555.4769566408659</c:v>
                </c:pt>
                <c:pt idx="72">
                  <c:v>7698.068635646564</c:v>
                </c:pt>
                <c:pt idx="73">
                  <c:v>7727.1088623807827</c:v>
                </c:pt>
                <c:pt idx="74">
                  <c:v>7678.1925504796782</c:v>
                </c:pt>
                <c:pt idx="75">
                  <c:v>7664.3373529744804</c:v>
                </c:pt>
                <c:pt idx="76">
                  <c:v>7586.2614286917242</c:v>
                </c:pt>
                <c:pt idx="77">
                  <c:v>7498.8372484658203</c:v>
                </c:pt>
                <c:pt idx="78">
                  <c:v>7509.2956750622652</c:v>
                </c:pt>
                <c:pt idx="79">
                  <c:v>7563.8719849842282</c:v>
                </c:pt>
                <c:pt idx="80">
                  <c:v>7593.25513065629</c:v>
                </c:pt>
                <c:pt idx="81">
                  <c:v>7551.0142144686515</c:v>
                </c:pt>
                <c:pt idx="82">
                  <c:v>7667.127981749758</c:v>
                </c:pt>
                <c:pt idx="83">
                  <c:v>7701.9996760572431</c:v>
                </c:pt>
                <c:pt idx="84">
                  <c:v>7601.9182310654542</c:v>
                </c:pt>
                <c:pt idx="85">
                  <c:v>7681.8403742492956</c:v>
                </c:pt>
                <c:pt idx="86">
                  <c:v>7496.897379743802</c:v>
                </c:pt>
                <c:pt idx="87">
                  <c:v>7365.661555001534</c:v>
                </c:pt>
                <c:pt idx="88">
                  <c:v>7401.2597342732424</c:v>
                </c:pt>
                <c:pt idx="89">
                  <c:v>7358.7049424360821</c:v>
                </c:pt>
                <c:pt idx="90">
                  <c:v>7418.2289098479805</c:v>
                </c:pt>
                <c:pt idx="91">
                  <c:v>7417.5432662836229</c:v>
                </c:pt>
                <c:pt idx="92">
                  <c:v>7361.725858102076</c:v>
                </c:pt>
                <c:pt idx="93">
                  <c:v>7330.1040065946736</c:v>
                </c:pt>
                <c:pt idx="94">
                  <c:v>7325.3609188423325</c:v>
                </c:pt>
                <c:pt idx="95">
                  <c:v>7410.0814461276195</c:v>
                </c:pt>
                <c:pt idx="96">
                  <c:v>7340.3026698894519</c:v>
                </c:pt>
                <c:pt idx="97">
                  <c:v>7363.3099658310848</c:v>
                </c:pt>
                <c:pt idx="98">
                  <c:v>7293.5391324977518</c:v>
                </c:pt>
                <c:pt idx="99">
                  <c:v>7091.1645890909567</c:v>
                </c:pt>
                <c:pt idx="100">
                  <c:v>7095.7714686978361</c:v>
                </c:pt>
                <c:pt idx="101">
                  <c:v>6965.3905820699292</c:v>
                </c:pt>
                <c:pt idx="102">
                  <c:v>6907.4083516777728</c:v>
                </c:pt>
                <c:pt idx="103">
                  <c:v>6945.2395527170202</c:v>
                </c:pt>
                <c:pt idx="104">
                  <c:v>6961.9475626948461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CD-4421-8BA4-57A78433E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</a:t>
            </a:r>
            <a:r>
              <a:rPr lang="en-GB" b="1" baseline="0"/>
              <a:t> Finance</a:t>
            </a:r>
            <a:r>
              <a:rPr lang="en-GB" b="1"/>
              <a:t>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Data'!$AT$4</c:f>
              <c:strCache>
                <c:ptCount val="1"/>
                <c:pt idx="0">
                  <c:v>Average Mileage (Boom Annual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Data'!$AT$5:$AT$109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7090.5882352941171</c:v>
                </c:pt>
                <c:pt idx="24">
                  <c:v>6704.1234866828081</c:v>
                </c:pt>
                <c:pt idx="25">
                  <c:v>6605.8204419889489</c:v>
                </c:pt>
                <c:pt idx="26">
                  <c:v>6483.3600000000024</c:v>
                </c:pt>
                <c:pt idx="27">
                  <c:v>6862.1619365609413</c:v>
                </c:pt>
                <c:pt idx="28">
                  <c:v>6912.5789037660497</c:v>
                </c:pt>
                <c:pt idx="29">
                  <c:v>7015.2880299251947</c:v>
                </c:pt>
                <c:pt idx="30">
                  <c:v>6876.2063914780329</c:v>
                </c:pt>
                <c:pt idx="31">
                  <c:v>7002.7662037037053</c:v>
                </c:pt>
                <c:pt idx="32">
                  <c:v>7012.7126436781473</c:v>
                </c:pt>
                <c:pt idx="33">
                  <c:v>7055.080726538843</c:v>
                </c:pt>
                <c:pt idx="34">
                  <c:v>6938.655251141553</c:v>
                </c:pt>
                <c:pt idx="35">
                  <c:v>7185.5495495495552</c:v>
                </c:pt>
                <c:pt idx="36">
                  <c:v>7191.935574229683</c:v>
                </c:pt>
                <c:pt idx="37">
                  <c:v>7275.584053794415</c:v>
                </c:pt>
                <c:pt idx="38">
                  <c:v>7156.1882352941202</c:v>
                </c:pt>
                <c:pt idx="39">
                  <c:v>7145.7977243994974</c:v>
                </c:pt>
                <c:pt idx="40">
                  <c:v>7286.6576879910108</c:v>
                </c:pt>
                <c:pt idx="41">
                  <c:v>7305.0528052805275</c:v>
                </c:pt>
                <c:pt idx="42">
                  <c:v>7427.8783943329281</c:v>
                </c:pt>
                <c:pt idx="43">
                  <c:v>7350.2395833333348</c:v>
                </c:pt>
                <c:pt idx="44">
                  <c:v>7386.9646258503426</c:v>
                </c:pt>
                <c:pt idx="45">
                  <c:v>7487.3698795180744</c:v>
                </c:pt>
                <c:pt idx="46">
                  <c:v>7492.1619897959145</c:v>
                </c:pt>
                <c:pt idx="47">
                  <c:v>7311.0348484848564</c:v>
                </c:pt>
                <c:pt idx="48">
                  <c:v>7750.1210191082873</c:v>
                </c:pt>
                <c:pt idx="49">
                  <c:v>7199.3140243902544</c:v>
                </c:pt>
                <c:pt idx="50">
                  <c:v>7735.4136490250712</c:v>
                </c:pt>
                <c:pt idx="51">
                  <c:v>7521.2771285475874</c:v>
                </c:pt>
                <c:pt idx="52">
                  <c:v>7506.3924050632986</c:v>
                </c:pt>
                <c:pt idx="53">
                  <c:v>7511.8139534883785</c:v>
                </c:pt>
                <c:pt idx="54">
                  <c:v>7362.7971014492832</c:v>
                </c:pt>
                <c:pt idx="55">
                  <c:v>7451.9890965732147</c:v>
                </c:pt>
                <c:pt idx="56">
                  <c:v>7534.3774319066242</c:v>
                </c:pt>
                <c:pt idx="57">
                  <c:v>7262.2226277372347</c:v>
                </c:pt>
                <c:pt idx="58">
                  <c:v>7352.0143769968108</c:v>
                </c:pt>
                <c:pt idx="59">
                  <c:v>7492.3211805555611</c:v>
                </c:pt>
                <c:pt idx="60">
                  <c:v>7459.4644351464522</c:v>
                </c:pt>
                <c:pt idx="61">
                  <c:v>7464.637342908447</c:v>
                </c:pt>
                <c:pt idx="62">
                  <c:v>7493.5570469798731</c:v>
                </c:pt>
                <c:pt idx="63">
                  <c:v>7566.0527903469147</c:v>
                </c:pt>
                <c:pt idx="64">
                  <c:v>7430.0236363636441</c:v>
                </c:pt>
                <c:pt idx="65">
                  <c:v>7559.1523297491131</c:v>
                </c:pt>
                <c:pt idx="66">
                  <c:v>7291.7596439169183</c:v>
                </c:pt>
                <c:pt idx="67">
                  <c:v>7331.4829396325422</c:v>
                </c:pt>
                <c:pt idx="68">
                  <c:v>7265.2898734177224</c:v>
                </c:pt>
                <c:pt idx="69">
                  <c:v>7165.1147058823581</c:v>
                </c:pt>
                <c:pt idx="70">
                  <c:v>7366.1451378809925</c:v>
                </c:pt>
                <c:pt idx="71">
                  <c:v>7227.6029684601162</c:v>
                </c:pt>
                <c:pt idx="72">
                  <c:v>7258.3064024390296</c:v>
                </c:pt>
                <c:pt idx="73">
                  <c:v>7399.0312075983747</c:v>
                </c:pt>
                <c:pt idx="74">
                  <c:v>7191.9103260869597</c:v>
                </c:pt>
                <c:pt idx="75">
                  <c:v>7397.2511144130804</c:v>
                </c:pt>
                <c:pt idx="76">
                  <c:v>7570.8535714285726</c:v>
                </c:pt>
                <c:pt idx="77">
                  <c:v>7579.1830985915512</c:v>
                </c:pt>
                <c:pt idx="78">
                  <c:v>7342.2336448598217</c:v>
                </c:pt>
                <c:pt idx="79">
                  <c:v>7479.5595238095339</c:v>
                </c:pt>
                <c:pt idx="80">
                  <c:v>7632.3730569948084</c:v>
                </c:pt>
                <c:pt idx="81">
                  <c:v>7546.2359693877452</c:v>
                </c:pt>
                <c:pt idx="82">
                  <c:v>7674.0133511348495</c:v>
                </c:pt>
                <c:pt idx="83">
                  <c:v>7386.7841907151842</c:v>
                </c:pt>
                <c:pt idx="84">
                  <c:v>7565.9019165727086</c:v>
                </c:pt>
                <c:pt idx="85">
                  <c:v>7395.1995299774098</c:v>
                </c:pt>
                <c:pt idx="86">
                  <c:v>7163.6482843137273</c:v>
                </c:pt>
                <c:pt idx="87">
                  <c:v>7208.9610705596115</c:v>
                </c:pt>
                <c:pt idx="88">
                  <c:v>7191.1464052287611</c:v>
                </c:pt>
                <c:pt idx="89">
                  <c:v>7543.5228690228605</c:v>
                </c:pt>
                <c:pt idx="90">
                  <c:v>7288.3581081081102</c:v>
                </c:pt>
                <c:pt idx="91">
                  <c:v>7094.646586345385</c:v>
                </c:pt>
                <c:pt idx="92">
                  <c:v>7207.5637681159469</c:v>
                </c:pt>
                <c:pt idx="93">
                  <c:v>7239.7308673469452</c:v>
                </c:pt>
                <c:pt idx="94">
                  <c:v>7416.7772087067906</c:v>
                </c:pt>
                <c:pt idx="95">
                  <c:v>7066.4637268847837</c:v>
                </c:pt>
                <c:pt idx="96">
                  <c:v>7242.9552715655018</c:v>
                </c:pt>
                <c:pt idx="97">
                  <c:v>6815.9379615952776</c:v>
                </c:pt>
                <c:pt idx="98">
                  <c:v>6811.4431673052286</c:v>
                </c:pt>
                <c:pt idx="99">
                  <c:v>6689.4008810572714</c:v>
                </c:pt>
                <c:pt idx="100">
                  <c:v>6807.2146507666166</c:v>
                </c:pt>
                <c:pt idx="101">
                  <c:v>6742.068541300534</c:v>
                </c:pt>
                <c:pt idx="102">
                  <c:v>6701.6775147929047</c:v>
                </c:pt>
                <c:pt idx="103">
                  <c:v>6722.0185567010403</c:v>
                </c:pt>
                <c:pt idx="104">
                  <c:v>6953.2210708117527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66-49A9-B75C-FC83E2D51CBA}"/>
            </c:ext>
          </c:extLst>
        </c:ser>
        <c:ser>
          <c:idx val="1"/>
          <c:order val="1"/>
          <c:tx>
            <c:strRef>
              <c:f>'Averages Graph Data'!$AU$4</c:f>
              <c:strCache>
                <c:ptCount val="1"/>
                <c:pt idx="0">
                  <c:v>Average Mileage - 4 Week Avg (Boom Annual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Data'!$AU$5:$AU$109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6720.9730409914682</c:v>
                </c:pt>
                <c:pt idx="27">
                  <c:v>6663.8664663081754</c:v>
                </c:pt>
                <c:pt idx="28">
                  <c:v>6715.9803205789858</c:v>
                </c:pt>
                <c:pt idx="29">
                  <c:v>6818.3472175630477</c:v>
                </c:pt>
                <c:pt idx="30">
                  <c:v>6916.5588154325551</c:v>
                </c:pt>
                <c:pt idx="31">
                  <c:v>6951.7098822182452</c:v>
                </c:pt>
                <c:pt idx="32">
                  <c:v>6976.7433171962703</c:v>
                </c:pt>
                <c:pt idx="33">
                  <c:v>6986.6914913496821</c:v>
                </c:pt>
                <c:pt idx="34">
                  <c:v>7002.3037062655621</c:v>
                </c:pt>
                <c:pt idx="35">
                  <c:v>7047.9995427270251</c:v>
                </c:pt>
                <c:pt idx="36">
                  <c:v>7092.805275364909</c:v>
                </c:pt>
                <c:pt idx="37">
                  <c:v>7147.9311071788015</c:v>
                </c:pt>
                <c:pt idx="38">
                  <c:v>7202.3143532169443</c:v>
                </c:pt>
                <c:pt idx="39">
                  <c:v>7192.3763969294287</c:v>
                </c:pt>
                <c:pt idx="40">
                  <c:v>7216.0569253697604</c:v>
                </c:pt>
                <c:pt idx="41">
                  <c:v>7223.424113241289</c:v>
                </c:pt>
                <c:pt idx="42">
                  <c:v>7291.346653000991</c:v>
                </c:pt>
                <c:pt idx="43">
                  <c:v>7342.4571177344505</c:v>
                </c:pt>
                <c:pt idx="44">
                  <c:v>7367.5338521992835</c:v>
                </c:pt>
                <c:pt idx="45">
                  <c:v>7413.1131207586704</c:v>
                </c:pt>
                <c:pt idx="46">
                  <c:v>7429.1840196244166</c:v>
                </c:pt>
                <c:pt idx="47">
                  <c:v>7419.3828359122963</c:v>
                </c:pt>
                <c:pt idx="48">
                  <c:v>7510.1719342267825</c:v>
                </c:pt>
                <c:pt idx="49">
                  <c:v>7438.1579704448286</c:v>
                </c:pt>
                <c:pt idx="50">
                  <c:v>7498.9708852521171</c:v>
                </c:pt>
                <c:pt idx="51">
                  <c:v>7551.5314552678001</c:v>
                </c:pt>
                <c:pt idx="52">
                  <c:v>7490.5993017565534</c:v>
                </c:pt>
                <c:pt idx="53">
                  <c:v>7568.7242840310837</c:v>
                </c:pt>
                <c:pt idx="54">
                  <c:v>7475.5701471371367</c:v>
                </c:pt>
                <c:pt idx="55">
                  <c:v>7458.248139143544</c:v>
                </c:pt>
                <c:pt idx="56">
                  <c:v>7465.2443958543754</c:v>
                </c:pt>
                <c:pt idx="57">
                  <c:v>7402.8465644165899</c:v>
                </c:pt>
                <c:pt idx="58">
                  <c:v>7400.1508833034713</c:v>
                </c:pt>
                <c:pt idx="59">
                  <c:v>7410.2339042990579</c:v>
                </c:pt>
                <c:pt idx="60">
                  <c:v>7391.5056551090147</c:v>
                </c:pt>
                <c:pt idx="61">
                  <c:v>7442.1093339018171</c:v>
                </c:pt>
                <c:pt idx="62">
                  <c:v>7477.495001397584</c:v>
                </c:pt>
                <c:pt idx="63">
                  <c:v>7495.9279038454215</c:v>
                </c:pt>
                <c:pt idx="64">
                  <c:v>7488.5677041497192</c:v>
                </c:pt>
                <c:pt idx="65">
                  <c:v>7512.1964508598867</c:v>
                </c:pt>
                <c:pt idx="66">
                  <c:v>7461.7471000941468</c:v>
                </c:pt>
                <c:pt idx="67">
                  <c:v>7403.104637415554</c:v>
                </c:pt>
                <c:pt idx="68">
                  <c:v>7361.9211966790735</c:v>
                </c:pt>
                <c:pt idx="69">
                  <c:v>7263.4117907123855</c:v>
                </c:pt>
                <c:pt idx="70">
                  <c:v>7282.0081642034038</c:v>
                </c:pt>
                <c:pt idx="71">
                  <c:v>7256.0381714102969</c:v>
                </c:pt>
                <c:pt idx="72">
                  <c:v>7254.2923036656239</c:v>
                </c:pt>
                <c:pt idx="73">
                  <c:v>7312.7714290946278</c:v>
                </c:pt>
                <c:pt idx="74">
                  <c:v>7269.2127261461201</c:v>
                </c:pt>
                <c:pt idx="75">
                  <c:v>7311.6247626343611</c:v>
                </c:pt>
                <c:pt idx="76">
                  <c:v>7389.7615548817466</c:v>
                </c:pt>
                <c:pt idx="77">
                  <c:v>7434.7995276300408</c:v>
                </c:pt>
                <c:pt idx="78">
                  <c:v>7472.3803573232562</c:v>
                </c:pt>
                <c:pt idx="79">
                  <c:v>7492.9574596723696</c:v>
                </c:pt>
                <c:pt idx="80">
                  <c:v>7508.337331063929</c:v>
                </c:pt>
                <c:pt idx="81">
                  <c:v>7500.1005487629773</c:v>
                </c:pt>
                <c:pt idx="82">
                  <c:v>7583.0454753317345</c:v>
                </c:pt>
                <c:pt idx="83">
                  <c:v>7559.8516420581473</c:v>
                </c:pt>
                <c:pt idx="84">
                  <c:v>7543.2338569526219</c:v>
                </c:pt>
                <c:pt idx="85">
                  <c:v>7505.4747471000383</c:v>
                </c:pt>
                <c:pt idx="86">
                  <c:v>7377.8834803947575</c:v>
                </c:pt>
                <c:pt idx="87">
                  <c:v>7333.4277003558636</c:v>
                </c:pt>
                <c:pt idx="88">
                  <c:v>7239.7388225198774</c:v>
                </c:pt>
                <c:pt idx="89">
                  <c:v>7276.8196572812403</c:v>
                </c:pt>
                <c:pt idx="90">
                  <c:v>7307.997113229836</c:v>
                </c:pt>
                <c:pt idx="91">
                  <c:v>7279.418492176279</c:v>
                </c:pt>
                <c:pt idx="92">
                  <c:v>7283.5228328980756</c:v>
                </c:pt>
                <c:pt idx="93">
                  <c:v>7207.5748324790966</c:v>
                </c:pt>
                <c:pt idx="94">
                  <c:v>7239.6796076287665</c:v>
                </c:pt>
                <c:pt idx="95">
                  <c:v>7232.6338927636161</c:v>
                </c:pt>
                <c:pt idx="96">
                  <c:v>7241.4817686260049</c:v>
                </c:pt>
                <c:pt idx="97">
                  <c:v>7135.5335421880882</c:v>
                </c:pt>
                <c:pt idx="98">
                  <c:v>6984.2000318376977</c:v>
                </c:pt>
                <c:pt idx="99">
                  <c:v>6889.9343203808194</c:v>
                </c:pt>
                <c:pt idx="100">
                  <c:v>6780.9991651810979</c:v>
                </c:pt>
                <c:pt idx="101">
                  <c:v>6762.5318101074126</c:v>
                </c:pt>
                <c:pt idx="102">
                  <c:v>6735.0903969793317</c:v>
                </c:pt>
                <c:pt idx="103">
                  <c:v>6743.2448158902744</c:v>
                </c:pt>
                <c:pt idx="104">
                  <c:v>6779.7464209015579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66-49A9-B75C-FC83E2D51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Data'!$AP$4</c:f>
              <c:strCache>
                <c:ptCount val="1"/>
                <c:pt idx="0">
                  <c:v>Average Mileage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Data'!$AP$5:$AP$109</c:f>
              <c:numCache>
                <c:formatCode>#,##0</c:formatCode>
                <c:ptCount val="105"/>
                <c:pt idx="0">
                  <c:v>7387.7601626016285</c:v>
                </c:pt>
                <c:pt idx="1">
                  <c:v>7961.8949579831951</c:v>
                </c:pt>
                <c:pt idx="2">
                  <c:v>7280.9462809917368</c:v>
                </c:pt>
                <c:pt idx="3">
                  <c:v>7651.6525821596215</c:v>
                </c:pt>
                <c:pt idx="4">
                  <c:v>7503.7342342342308</c:v>
                </c:pt>
                <c:pt idx="5">
                  <c:v>8107.6531531531555</c:v>
                </c:pt>
                <c:pt idx="6">
                  <c:v>7216.2156862745169</c:v>
                </c:pt>
                <c:pt idx="7">
                  <c:v>6975.2701149425275</c:v>
                </c:pt>
                <c:pt idx="8">
                  <c:v>7206.5274261603399</c:v>
                </c:pt>
                <c:pt idx="9">
                  <c:v>6905.2982456140362</c:v>
                </c:pt>
                <c:pt idx="10">
                  <c:v>6870.3123028391155</c:v>
                </c:pt>
                <c:pt idx="11">
                  <c:v>6590.6132478632471</c:v>
                </c:pt>
                <c:pt idx="12">
                  <c:v>7005.9611398963734</c:v>
                </c:pt>
                <c:pt idx="13">
                  <c:v>7170.1053864168625</c:v>
                </c:pt>
                <c:pt idx="14">
                  <c:v>6922.742203742202</c:v>
                </c:pt>
                <c:pt idx="15">
                  <c:v>7009.0954003407132</c:v>
                </c:pt>
                <c:pt idx="16">
                  <c:v>6767.1582914572855</c:v>
                </c:pt>
                <c:pt idx="17">
                  <c:v>6883.5507900677212</c:v>
                </c:pt>
                <c:pt idx="18">
                  <c:v>7308.529816513761</c:v>
                </c:pt>
                <c:pt idx="19">
                  <c:v>7191.2644376899698</c:v>
                </c:pt>
                <c:pt idx="20">
                  <c:v>7137.6437125748516</c:v>
                </c:pt>
                <c:pt idx="21">
                  <c:v>7100.4615384615399</c:v>
                </c:pt>
                <c:pt idx="22">
                  <c:v>7030.0074812967587</c:v>
                </c:pt>
                <c:pt idx="23">
                  <c:v>7072.2456445993057</c:v>
                </c:pt>
                <c:pt idx="24">
                  <c:v>6979.2568605927572</c:v>
                </c:pt>
                <c:pt idx="25">
                  <c:v>6868.4909090909096</c:v>
                </c:pt>
                <c:pt idx="26">
                  <c:v>6782.8974358974383</c:v>
                </c:pt>
                <c:pt idx="27">
                  <c:v>6882.7125867195291</c:v>
                </c:pt>
                <c:pt idx="28">
                  <c:v>7049.7973519315883</c:v>
                </c:pt>
                <c:pt idx="29">
                  <c:v>7182.5280259951342</c:v>
                </c:pt>
                <c:pt idx="30">
                  <c:v>6937.0691874497243</c:v>
                </c:pt>
                <c:pt idx="31">
                  <c:v>7011.3643876784427</c:v>
                </c:pt>
                <c:pt idx="32">
                  <c:v>7181.7291122715342</c:v>
                </c:pt>
                <c:pt idx="33">
                  <c:v>7183.3677248677232</c:v>
                </c:pt>
                <c:pt idx="34">
                  <c:v>6990.18405365127</c:v>
                </c:pt>
                <c:pt idx="35">
                  <c:v>7132.2347094801298</c:v>
                </c:pt>
                <c:pt idx="36">
                  <c:v>7223.9680989583303</c:v>
                </c:pt>
                <c:pt idx="37">
                  <c:v>7278.1755821271181</c:v>
                </c:pt>
                <c:pt idx="38">
                  <c:v>7160.6201848998498</c:v>
                </c:pt>
                <c:pt idx="39">
                  <c:v>7150.9280517380812</c:v>
                </c:pt>
                <c:pt idx="40">
                  <c:v>7327.4557425018256</c:v>
                </c:pt>
                <c:pt idx="41">
                  <c:v>7383.1334332833603</c:v>
                </c:pt>
                <c:pt idx="42">
                  <c:v>7456.2444794952626</c:v>
                </c:pt>
                <c:pt idx="43">
                  <c:v>7427.0431406384851</c:v>
                </c:pt>
                <c:pt idx="44">
                  <c:v>7473.7151515151563</c:v>
                </c:pt>
                <c:pt idx="45">
                  <c:v>7538.5285106382998</c:v>
                </c:pt>
                <c:pt idx="46">
                  <c:v>7525.9254766031199</c:v>
                </c:pt>
                <c:pt idx="47">
                  <c:v>7394.1828396322835</c:v>
                </c:pt>
                <c:pt idx="48">
                  <c:v>7701.6420021762833</c:v>
                </c:pt>
                <c:pt idx="49">
                  <c:v>7489.6184486373231</c:v>
                </c:pt>
                <c:pt idx="50">
                  <c:v>7739.3407335907359</c:v>
                </c:pt>
                <c:pt idx="51">
                  <c:v>7636.3839712918725</c:v>
                </c:pt>
                <c:pt idx="52">
                  <c:v>7482.6022304832777</c:v>
                </c:pt>
                <c:pt idx="53">
                  <c:v>7500.8819362455779</c:v>
                </c:pt>
                <c:pt idx="54">
                  <c:v>7645.5719696969754</c:v>
                </c:pt>
                <c:pt idx="55">
                  <c:v>7619.1308510638337</c:v>
                </c:pt>
                <c:pt idx="56">
                  <c:v>7603.7324675324762</c:v>
                </c:pt>
                <c:pt idx="57">
                  <c:v>7465.7169344870281</c:v>
                </c:pt>
                <c:pt idx="58">
                  <c:v>7467.0182648401878</c:v>
                </c:pt>
                <c:pt idx="59">
                  <c:v>7549.249699879957</c:v>
                </c:pt>
                <c:pt idx="60">
                  <c:v>7419.4166666666724</c:v>
                </c:pt>
                <c:pt idx="61">
                  <c:v>7382.5872020075349</c:v>
                </c:pt>
                <c:pt idx="62">
                  <c:v>7554.0416197975319</c:v>
                </c:pt>
                <c:pt idx="63">
                  <c:v>7558.9071949947929</c:v>
                </c:pt>
                <c:pt idx="64">
                  <c:v>7528.6424936386829</c:v>
                </c:pt>
                <c:pt idx="65">
                  <c:v>7550.8451053283834</c:v>
                </c:pt>
                <c:pt idx="66">
                  <c:v>7472.0245098039259</c:v>
                </c:pt>
                <c:pt idx="67">
                  <c:v>7353.4438202247165</c:v>
                </c:pt>
                <c:pt idx="68">
                  <c:v>7307.7933513027865</c:v>
                </c:pt>
                <c:pt idx="69">
                  <c:v>7299.059959349599</c:v>
                </c:pt>
                <c:pt idx="70">
                  <c:v>7452.4008264462864</c:v>
                </c:pt>
                <c:pt idx="71">
                  <c:v>7320.5072273324613</c:v>
                </c:pt>
                <c:pt idx="72">
                  <c:v>7431.9200463499465</c:v>
                </c:pt>
                <c:pt idx="73">
                  <c:v>7481.6212424849718</c:v>
                </c:pt>
                <c:pt idx="74">
                  <c:v>7261.2986748216126</c:v>
                </c:pt>
                <c:pt idx="75">
                  <c:v>7418.2338709677451</c:v>
                </c:pt>
                <c:pt idx="76">
                  <c:v>7593.1990783410138</c:v>
                </c:pt>
                <c:pt idx="77">
                  <c:v>7530.3250988142318</c:v>
                </c:pt>
                <c:pt idx="78">
                  <c:v>7380.2753623188473</c:v>
                </c:pt>
                <c:pt idx="79">
                  <c:v>7534.2344559585572</c:v>
                </c:pt>
                <c:pt idx="80">
                  <c:v>7664.6389743589662</c:v>
                </c:pt>
                <c:pt idx="81">
                  <c:v>7479.9886246121941</c:v>
                </c:pt>
                <c:pt idx="82">
                  <c:v>7736.6550264550287</c:v>
                </c:pt>
                <c:pt idx="83">
                  <c:v>7477.1594349142297</c:v>
                </c:pt>
                <c:pt idx="84">
                  <c:v>7531.6581586143966</c:v>
                </c:pt>
                <c:pt idx="85">
                  <c:v>7419.0556622983595</c:v>
                </c:pt>
                <c:pt idx="86">
                  <c:v>7176.8907815631273</c:v>
                </c:pt>
                <c:pt idx="87">
                  <c:v>7231.3757338551868</c:v>
                </c:pt>
                <c:pt idx="88">
                  <c:v>7262.3601651186818</c:v>
                </c:pt>
                <c:pt idx="89">
                  <c:v>7502.3185185185121</c:v>
                </c:pt>
                <c:pt idx="90">
                  <c:v>7328.3987274655374</c:v>
                </c:pt>
                <c:pt idx="91">
                  <c:v>7142.7755532139117</c:v>
                </c:pt>
                <c:pt idx="92">
                  <c:v>7229.4577226606571</c:v>
                </c:pt>
                <c:pt idx="93">
                  <c:v>7235.4827935222729</c:v>
                </c:pt>
                <c:pt idx="94">
                  <c:v>7424.7736040609179</c:v>
                </c:pt>
                <c:pt idx="95">
                  <c:v>7183.0651428571455</c:v>
                </c:pt>
                <c:pt idx="96">
                  <c:v>7193.6991368680692</c:v>
                </c:pt>
                <c:pt idx="97">
                  <c:v>6916.2709069493558</c:v>
                </c:pt>
                <c:pt idx="98">
                  <c:v>6886.8551165146846</c:v>
                </c:pt>
                <c:pt idx="99">
                  <c:v>6724.6089449541305</c:v>
                </c:pt>
                <c:pt idx="100">
                  <c:v>6856.7273954116126</c:v>
                </c:pt>
                <c:pt idx="101">
                  <c:v>6752.5144032921862</c:v>
                </c:pt>
                <c:pt idx="102">
                  <c:v>6748.1267942583772</c:v>
                </c:pt>
                <c:pt idx="103">
                  <c:v>6782.1585760517883</c:v>
                </c:pt>
                <c:pt idx="104">
                  <c:v>6988.3310901749728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02-4127-8E7C-BBB2839B3BDE}"/>
            </c:ext>
          </c:extLst>
        </c:ser>
        <c:ser>
          <c:idx val="1"/>
          <c:order val="1"/>
          <c:tx>
            <c:strRef>
              <c:f>'Averages Graph Data'!$AQ$4</c:f>
              <c:strCache>
                <c:ptCount val="1"/>
                <c:pt idx="0">
                  <c:v>Average Mileage - 4 Week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Data'!$AQ$5:$AQ$109</c:f>
              <c:numCache>
                <c:formatCode>#,##0</c:formatCode>
                <c:ptCount val="105"/>
                <c:pt idx="3">
                  <c:v>7570.5634959340459</c:v>
                </c:pt>
                <c:pt idx="4">
                  <c:v>7599.5570138421963</c:v>
                </c:pt>
                <c:pt idx="5">
                  <c:v>7635.9965626346857</c:v>
                </c:pt>
                <c:pt idx="6">
                  <c:v>7619.8139139553814</c:v>
                </c:pt>
                <c:pt idx="7">
                  <c:v>7450.7182971511074</c:v>
                </c:pt>
                <c:pt idx="8">
                  <c:v>7376.4165951326349</c:v>
                </c:pt>
                <c:pt idx="9">
                  <c:v>7075.8278682478558</c:v>
                </c:pt>
                <c:pt idx="10">
                  <c:v>6989.3520223890055</c:v>
                </c:pt>
                <c:pt idx="11">
                  <c:v>6893.1878056191845</c:v>
                </c:pt>
                <c:pt idx="12">
                  <c:v>6843.0462340531922</c:v>
                </c:pt>
                <c:pt idx="13">
                  <c:v>6909.2480192539006</c:v>
                </c:pt>
                <c:pt idx="14">
                  <c:v>6922.3554944796706</c:v>
                </c:pt>
                <c:pt idx="15">
                  <c:v>7026.9760325990383</c:v>
                </c:pt>
                <c:pt idx="16">
                  <c:v>6967.2753204892661</c:v>
                </c:pt>
                <c:pt idx="17">
                  <c:v>6895.6366714019805</c:v>
                </c:pt>
                <c:pt idx="18">
                  <c:v>6992.0835745948707</c:v>
                </c:pt>
                <c:pt idx="19">
                  <c:v>7037.6258339321848</c:v>
                </c:pt>
                <c:pt idx="20">
                  <c:v>7130.2471892115764</c:v>
                </c:pt>
                <c:pt idx="21">
                  <c:v>7184.4748763100306</c:v>
                </c:pt>
                <c:pt idx="22">
                  <c:v>7114.8442925057798</c:v>
                </c:pt>
                <c:pt idx="23">
                  <c:v>7085.0895942331135</c:v>
                </c:pt>
                <c:pt idx="24">
                  <c:v>7045.4928812375911</c:v>
                </c:pt>
                <c:pt idx="25">
                  <c:v>6987.5002238949328</c:v>
                </c:pt>
                <c:pt idx="26">
                  <c:v>6925.7227125451027</c:v>
                </c:pt>
                <c:pt idx="27">
                  <c:v>6878.3394480751585</c:v>
                </c:pt>
                <c:pt idx="28">
                  <c:v>6895.9745709098661</c:v>
                </c:pt>
                <c:pt idx="29">
                  <c:v>6974.4838501359227</c:v>
                </c:pt>
                <c:pt idx="30">
                  <c:v>7013.0267880239944</c:v>
                </c:pt>
                <c:pt idx="31">
                  <c:v>7045.1897382637217</c:v>
                </c:pt>
                <c:pt idx="32">
                  <c:v>7078.1726783487084</c:v>
                </c:pt>
                <c:pt idx="33">
                  <c:v>7078.3826030668561</c:v>
                </c:pt>
                <c:pt idx="34">
                  <c:v>7091.661319617242</c:v>
                </c:pt>
                <c:pt idx="35">
                  <c:v>7121.8789000676643</c:v>
                </c:pt>
                <c:pt idx="36">
                  <c:v>7132.4386467393633</c:v>
                </c:pt>
                <c:pt idx="37">
                  <c:v>7156.1406110542121</c:v>
                </c:pt>
                <c:pt idx="38">
                  <c:v>7198.7496438663575</c:v>
                </c:pt>
                <c:pt idx="39">
                  <c:v>7203.4229794308449</c:v>
                </c:pt>
                <c:pt idx="40">
                  <c:v>7229.2948903167189</c:v>
                </c:pt>
                <c:pt idx="41">
                  <c:v>7255.5343531057797</c:v>
                </c:pt>
                <c:pt idx="42">
                  <c:v>7329.4404267546324</c:v>
                </c:pt>
                <c:pt idx="43">
                  <c:v>7398.4691989797329</c:v>
                </c:pt>
                <c:pt idx="44">
                  <c:v>7435.0340512330658</c:v>
                </c:pt>
                <c:pt idx="45">
                  <c:v>7473.8828205718019</c:v>
                </c:pt>
                <c:pt idx="46">
                  <c:v>7491.3030698487646</c:v>
                </c:pt>
                <c:pt idx="47">
                  <c:v>7483.0879945972156</c:v>
                </c:pt>
                <c:pt idx="48">
                  <c:v>7540.0697072624971</c:v>
                </c:pt>
                <c:pt idx="49">
                  <c:v>7527.8421917622527</c:v>
                </c:pt>
                <c:pt idx="50">
                  <c:v>7581.1960060091569</c:v>
                </c:pt>
                <c:pt idx="51">
                  <c:v>7641.7462889240542</c:v>
                </c:pt>
                <c:pt idx="52">
                  <c:v>7586.9863460008028</c:v>
                </c:pt>
                <c:pt idx="53">
                  <c:v>7589.8022179028667</c:v>
                </c:pt>
                <c:pt idx="54">
                  <c:v>7566.3600269294257</c:v>
                </c:pt>
                <c:pt idx="55">
                  <c:v>7562.0467468724164</c:v>
                </c:pt>
                <c:pt idx="56">
                  <c:v>7592.3293061347158</c:v>
                </c:pt>
                <c:pt idx="57">
                  <c:v>7583.5380556950786</c:v>
                </c:pt>
                <c:pt idx="58">
                  <c:v>7538.8996294808821</c:v>
                </c:pt>
                <c:pt idx="59">
                  <c:v>7521.4293416849132</c:v>
                </c:pt>
                <c:pt idx="60">
                  <c:v>7475.3503914684616</c:v>
                </c:pt>
                <c:pt idx="61">
                  <c:v>7454.5679583485871</c:v>
                </c:pt>
                <c:pt idx="62">
                  <c:v>7476.3237970879245</c:v>
                </c:pt>
                <c:pt idx="63">
                  <c:v>7478.7381708666335</c:v>
                </c:pt>
                <c:pt idx="64">
                  <c:v>7506.0446276096354</c:v>
                </c:pt>
                <c:pt idx="65">
                  <c:v>7548.1091034398478</c:v>
                </c:pt>
                <c:pt idx="66">
                  <c:v>7527.6048259414465</c:v>
                </c:pt>
                <c:pt idx="67">
                  <c:v>7476.2389822489276</c:v>
                </c:pt>
                <c:pt idx="68">
                  <c:v>7421.0266966649533</c:v>
                </c:pt>
                <c:pt idx="69">
                  <c:v>7358.0804101702561</c:v>
                </c:pt>
                <c:pt idx="70">
                  <c:v>7353.1744893308469</c:v>
                </c:pt>
                <c:pt idx="71">
                  <c:v>7344.9403411077838</c:v>
                </c:pt>
                <c:pt idx="72">
                  <c:v>7375.9720148695733</c:v>
                </c:pt>
                <c:pt idx="73">
                  <c:v>7421.6123356534172</c:v>
                </c:pt>
                <c:pt idx="74">
                  <c:v>7373.8367977472481</c:v>
                </c:pt>
                <c:pt idx="75">
                  <c:v>7398.268458656069</c:v>
                </c:pt>
                <c:pt idx="76">
                  <c:v>7438.5882166538358</c:v>
                </c:pt>
                <c:pt idx="77">
                  <c:v>7450.7641807361506</c:v>
                </c:pt>
                <c:pt idx="78">
                  <c:v>7480.508352610459</c:v>
                </c:pt>
                <c:pt idx="79">
                  <c:v>7509.508498858163</c:v>
                </c:pt>
                <c:pt idx="80">
                  <c:v>7527.3684728626504</c:v>
                </c:pt>
                <c:pt idx="81">
                  <c:v>7514.7843543121407</c:v>
                </c:pt>
                <c:pt idx="82">
                  <c:v>7603.8792703461859</c:v>
                </c:pt>
                <c:pt idx="83">
                  <c:v>7589.6105150851045</c:v>
                </c:pt>
                <c:pt idx="84">
                  <c:v>7556.3653111489621</c:v>
                </c:pt>
                <c:pt idx="85">
                  <c:v>7541.1320705705039</c:v>
                </c:pt>
                <c:pt idx="86">
                  <c:v>7401.191009347529</c:v>
                </c:pt>
                <c:pt idx="87">
                  <c:v>7339.7450840827678</c:v>
                </c:pt>
                <c:pt idx="88">
                  <c:v>7272.4205857088382</c:v>
                </c:pt>
                <c:pt idx="89">
                  <c:v>7293.2362997638775</c:v>
                </c:pt>
                <c:pt idx="90">
                  <c:v>7331.1132862394788</c:v>
                </c:pt>
                <c:pt idx="91">
                  <c:v>7308.963241079161</c:v>
                </c:pt>
                <c:pt idx="92">
                  <c:v>7300.7376304646541</c:v>
                </c:pt>
                <c:pt idx="93">
                  <c:v>7234.0286992155943</c:v>
                </c:pt>
                <c:pt idx="94">
                  <c:v>7258.122418364439</c:v>
                </c:pt>
                <c:pt idx="95">
                  <c:v>7268.1948157752486</c:v>
                </c:pt>
                <c:pt idx="96">
                  <c:v>7259.2551693271016</c:v>
                </c:pt>
                <c:pt idx="97">
                  <c:v>7179.4521976838714</c:v>
                </c:pt>
                <c:pt idx="98">
                  <c:v>7044.9725757973138</c:v>
                </c:pt>
                <c:pt idx="99">
                  <c:v>6930.3585263215609</c:v>
                </c:pt>
                <c:pt idx="100">
                  <c:v>6846.1155909574454</c:v>
                </c:pt>
                <c:pt idx="101">
                  <c:v>6805.1764650431533</c:v>
                </c:pt>
                <c:pt idx="102">
                  <c:v>6770.494384479076</c:v>
                </c:pt>
                <c:pt idx="103">
                  <c:v>6784.8817922534909</c:v>
                </c:pt>
                <c:pt idx="104">
                  <c:v>6817.7827159443314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02-4127-8E7C-BBB2839B3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Data'!$BX$4</c:f>
              <c:strCache>
                <c:ptCount val="1"/>
                <c:pt idx="0">
                  <c:v>Average Vehicle Value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Data'!$BX$5:$BX$109</c:f>
              <c:numCache>
                <c:formatCode>#,##0</c:formatCode>
                <c:ptCount val="105"/>
                <c:pt idx="0">
                  <c:v>9741.528880710659</c:v>
                </c:pt>
                <c:pt idx="1">
                  <c:v>9479.5138413149234</c:v>
                </c:pt>
                <c:pt idx="2">
                  <c:v>9752.2460022479208</c:v>
                </c:pt>
                <c:pt idx="3">
                  <c:v>10217.097549369011</c:v>
                </c:pt>
                <c:pt idx="4">
                  <c:v>9761.0685539666156</c:v>
                </c:pt>
                <c:pt idx="5">
                  <c:v>9949.4249066834436</c:v>
                </c:pt>
                <c:pt idx="6">
                  <c:v>9648.19604564367</c:v>
                </c:pt>
                <c:pt idx="7">
                  <c:v>8909.7504878521286</c:v>
                </c:pt>
                <c:pt idx="8">
                  <c:v>9040.1411660437989</c:v>
                </c:pt>
                <c:pt idx="9">
                  <c:v>9065.0562851221584</c:v>
                </c:pt>
                <c:pt idx="10">
                  <c:v>9277.9464312600976</c:v>
                </c:pt>
                <c:pt idx="11">
                  <c:v>9702.4182189946423</c:v>
                </c:pt>
                <c:pt idx="12">
                  <c:v>9266.7487953303535</c:v>
                </c:pt>
                <c:pt idx="13">
                  <c:v>9090.5729009479928</c:v>
                </c:pt>
                <c:pt idx="14">
                  <c:v>9823.4956706411886</c:v>
                </c:pt>
                <c:pt idx="15">
                  <c:v>9195.1303662857936</c:v>
                </c:pt>
                <c:pt idx="16">
                  <c:v>9369.9398104815427</c:v>
                </c:pt>
                <c:pt idx="17">
                  <c:v>9319.9007229656709</c:v>
                </c:pt>
                <c:pt idx="18">
                  <c:v>8907.2203437101634</c:v>
                </c:pt>
                <c:pt idx="19">
                  <c:v>9204.3483578881387</c:v>
                </c:pt>
                <c:pt idx="20">
                  <c:v>8414.2656191649839</c:v>
                </c:pt>
                <c:pt idx="21">
                  <c:v>8656.0207869262649</c:v>
                </c:pt>
                <c:pt idx="22">
                  <c:v>8325.4303160743857</c:v>
                </c:pt>
                <c:pt idx="23">
                  <c:v>8365.8367264336612</c:v>
                </c:pt>
                <c:pt idx="24">
                  <c:v>8300.8678235303669</c:v>
                </c:pt>
                <c:pt idx="25">
                  <c:v>7698.6165491845259</c:v>
                </c:pt>
                <c:pt idx="26">
                  <c:v>7769.959640387272</c:v>
                </c:pt>
                <c:pt idx="27">
                  <c:v>8032.4877669402122</c:v>
                </c:pt>
                <c:pt idx="28">
                  <c:v>7424.6321998655931</c:v>
                </c:pt>
                <c:pt idx="29">
                  <c:v>7605.3220167144464</c:v>
                </c:pt>
                <c:pt idx="30">
                  <c:v>8210.1149851967803</c:v>
                </c:pt>
                <c:pt idx="31">
                  <c:v>7577.3805155747496</c:v>
                </c:pt>
                <c:pt idx="32">
                  <c:v>7453.3409217047383</c:v>
                </c:pt>
                <c:pt idx="33">
                  <c:v>7379.4972306008995</c:v>
                </c:pt>
                <c:pt idx="34">
                  <c:v>7184.6363642650558</c:v>
                </c:pt>
                <c:pt idx="35">
                  <c:v>6818.2731293667075</c:v>
                </c:pt>
                <c:pt idx="36">
                  <c:v>6984.273949429049</c:v>
                </c:pt>
                <c:pt idx="37">
                  <c:v>6673.5889857299226</c:v>
                </c:pt>
                <c:pt idx="38">
                  <c:v>6643.8556008151891</c:v>
                </c:pt>
                <c:pt idx="39">
                  <c:v>7056.8381626716236</c:v>
                </c:pt>
                <c:pt idx="40">
                  <c:v>6876.8179407176376</c:v>
                </c:pt>
                <c:pt idx="41">
                  <c:v>7017.4394231052529</c:v>
                </c:pt>
                <c:pt idx="42">
                  <c:v>6693.6323950939905</c:v>
                </c:pt>
                <c:pt idx="43">
                  <c:v>6854.8489557070989</c:v>
                </c:pt>
                <c:pt idx="44">
                  <c:v>6959.5724319710471</c:v>
                </c:pt>
                <c:pt idx="45">
                  <c:v>6883.1510766846577</c:v>
                </c:pt>
                <c:pt idx="46">
                  <c:v>6790.1467101991866</c:v>
                </c:pt>
                <c:pt idx="47">
                  <c:v>6923.8633603417229</c:v>
                </c:pt>
                <c:pt idx="48">
                  <c:v>6624.6487978294772</c:v>
                </c:pt>
                <c:pt idx="49">
                  <c:v>6503.5290167833446</c:v>
                </c:pt>
                <c:pt idx="50">
                  <c:v>6518.3245061406451</c:v>
                </c:pt>
                <c:pt idx="51">
                  <c:v>6458.2787422413048</c:v>
                </c:pt>
                <c:pt idx="52">
                  <c:v>6346.3047079485877</c:v>
                </c:pt>
                <c:pt idx="53">
                  <c:v>6695.0399194895081</c:v>
                </c:pt>
                <c:pt idx="54">
                  <c:v>6649.73825482951</c:v>
                </c:pt>
                <c:pt idx="55">
                  <c:v>6309.0186360006446</c:v>
                </c:pt>
                <c:pt idx="56">
                  <c:v>6253.6081660026421</c:v>
                </c:pt>
                <c:pt idx="57">
                  <c:v>6639.4045219184381</c:v>
                </c:pt>
                <c:pt idx="58">
                  <c:v>6394.04620316413</c:v>
                </c:pt>
                <c:pt idx="59">
                  <c:v>6267.709394661465</c:v>
                </c:pt>
                <c:pt idx="60">
                  <c:v>6851.8328964229731</c:v>
                </c:pt>
                <c:pt idx="61">
                  <c:v>6113.6998679899079</c:v>
                </c:pt>
                <c:pt idx="62">
                  <c:v>6575.9666848095321</c:v>
                </c:pt>
                <c:pt idx="63">
                  <c:v>6773.6578116480941</c:v>
                </c:pt>
                <c:pt idx="64">
                  <c:v>6612.5952280809724</c:v>
                </c:pt>
                <c:pt idx="65">
                  <c:v>6576.1824072089967</c:v>
                </c:pt>
                <c:pt idx="66">
                  <c:v>6944.0232681768393</c:v>
                </c:pt>
                <c:pt idx="67">
                  <c:v>6549.8231864216577</c:v>
                </c:pt>
                <c:pt idx="68">
                  <c:v>6988.5226810097665</c:v>
                </c:pt>
                <c:pt idx="69">
                  <c:v>6511.6963719605255</c:v>
                </c:pt>
                <c:pt idx="70">
                  <c:v>6824.0082806188957</c:v>
                </c:pt>
                <c:pt idx="71">
                  <c:v>6998.1468592886358</c:v>
                </c:pt>
                <c:pt idx="72">
                  <c:v>6488.0838170227298</c:v>
                </c:pt>
                <c:pt idx="73">
                  <c:v>5964.7037658390964</c:v>
                </c:pt>
                <c:pt idx="74">
                  <c:v>6134.4771140407938</c:v>
                </c:pt>
                <c:pt idx="75">
                  <c:v>6143.1963584872028</c:v>
                </c:pt>
                <c:pt idx="76">
                  <c:v>6036.9024027137766</c:v>
                </c:pt>
                <c:pt idx="77">
                  <c:v>5689.443675889328</c:v>
                </c:pt>
                <c:pt idx="78">
                  <c:v>6649.0893719806809</c:v>
                </c:pt>
                <c:pt idx="79">
                  <c:v>6055.9015544041522</c:v>
                </c:pt>
                <c:pt idx="80">
                  <c:v>5795.4717948717907</c:v>
                </c:pt>
                <c:pt idx="81">
                  <c:v>5914.1313340227434</c:v>
                </c:pt>
                <c:pt idx="82">
                  <c:v>6214.6285714285741</c:v>
                </c:pt>
                <c:pt idx="83">
                  <c:v>5979.7759838546926</c:v>
                </c:pt>
                <c:pt idx="84">
                  <c:v>6015.961713764812</c:v>
                </c:pt>
                <c:pt idx="85">
                  <c:v>6370.0875981915206</c:v>
                </c:pt>
                <c:pt idx="86">
                  <c:v>5711.258517034069</c:v>
                </c:pt>
                <c:pt idx="87">
                  <c:v>5679.8884540117424</c:v>
                </c:pt>
                <c:pt idx="88">
                  <c:v>5648.4881320949444</c:v>
                </c:pt>
                <c:pt idx="89">
                  <c:v>5594.4041152263326</c:v>
                </c:pt>
                <c:pt idx="90">
                  <c:v>5745.0689289501597</c:v>
                </c:pt>
                <c:pt idx="91">
                  <c:v>5618.7671232876728</c:v>
                </c:pt>
                <c:pt idx="92">
                  <c:v>6097.9864712514127</c:v>
                </c:pt>
                <c:pt idx="93">
                  <c:v>5888.027327935225</c:v>
                </c:pt>
                <c:pt idx="94">
                  <c:v>5604.1228426395937</c:v>
                </c:pt>
                <c:pt idx="95">
                  <c:v>5741.7862857142864</c:v>
                </c:pt>
                <c:pt idx="96">
                  <c:v>6158.9013563501894</c:v>
                </c:pt>
                <c:pt idx="97">
                  <c:v>6334.1484098939964</c:v>
                </c:pt>
                <c:pt idx="98">
                  <c:v>6083.0445795339356</c:v>
                </c:pt>
                <c:pt idx="99">
                  <c:v>6078.5825688073401</c:v>
                </c:pt>
                <c:pt idx="100">
                  <c:v>6287.0715249662662</c:v>
                </c:pt>
                <c:pt idx="101">
                  <c:v>6198.7777777777837</c:v>
                </c:pt>
                <c:pt idx="102">
                  <c:v>5473.8289473684235</c:v>
                </c:pt>
                <c:pt idx="103">
                  <c:v>6057.6682847896518</c:v>
                </c:pt>
                <c:pt idx="104">
                  <c:v>5622.694481830421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9-44D1-B3FB-384051148A0A}"/>
            </c:ext>
          </c:extLst>
        </c:ser>
        <c:ser>
          <c:idx val="1"/>
          <c:order val="1"/>
          <c:tx>
            <c:strRef>
              <c:f>'Averages Graph Data'!$BY$4</c:f>
              <c:strCache>
                <c:ptCount val="1"/>
                <c:pt idx="0">
                  <c:v>Average Vehicle Value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Data'!$BY$5:$BY$109</c:f>
              <c:numCache>
                <c:formatCode>#,##0</c:formatCode>
                <c:ptCount val="105"/>
                <c:pt idx="3">
                  <c:v>9797.5965684106286</c:v>
                </c:pt>
                <c:pt idx="4">
                  <c:v>9802.4814867246187</c:v>
                </c:pt>
                <c:pt idx="5">
                  <c:v>9919.9592530667487</c:v>
                </c:pt>
                <c:pt idx="6">
                  <c:v>9893.9467639156865</c:v>
                </c:pt>
                <c:pt idx="7">
                  <c:v>9567.1099985364654</c:v>
                </c:pt>
                <c:pt idx="8">
                  <c:v>9386.8781515557603</c:v>
                </c:pt>
                <c:pt idx="9">
                  <c:v>9165.7859961654394</c:v>
                </c:pt>
                <c:pt idx="10">
                  <c:v>9073.2235925695459</c:v>
                </c:pt>
                <c:pt idx="11">
                  <c:v>9271.3905253551748</c:v>
                </c:pt>
                <c:pt idx="12">
                  <c:v>9328.0424326768116</c:v>
                </c:pt>
                <c:pt idx="13">
                  <c:v>9334.4215866332725</c:v>
                </c:pt>
                <c:pt idx="14">
                  <c:v>9470.8088964785438</c:v>
                </c:pt>
                <c:pt idx="15">
                  <c:v>9343.9869333013339</c:v>
                </c:pt>
                <c:pt idx="16">
                  <c:v>9369.7846870891299</c:v>
                </c:pt>
                <c:pt idx="17">
                  <c:v>9427.116642593548</c:v>
                </c:pt>
                <c:pt idx="18">
                  <c:v>9198.0478108607931</c:v>
                </c:pt>
                <c:pt idx="19">
                  <c:v>9200.3523087613794</c:v>
                </c:pt>
                <c:pt idx="20">
                  <c:v>8961.4337609322392</c:v>
                </c:pt>
                <c:pt idx="21">
                  <c:v>8795.4637769223882</c:v>
                </c:pt>
                <c:pt idx="22">
                  <c:v>8650.0162700134442</c:v>
                </c:pt>
                <c:pt idx="23">
                  <c:v>8440.3883621498244</c:v>
                </c:pt>
                <c:pt idx="24">
                  <c:v>8412.0389132411692</c:v>
                </c:pt>
                <c:pt idx="25">
                  <c:v>8172.6878538057354</c:v>
                </c:pt>
                <c:pt idx="26">
                  <c:v>8033.8201848839562</c:v>
                </c:pt>
                <c:pt idx="27">
                  <c:v>7950.4829450105944</c:v>
                </c:pt>
                <c:pt idx="28">
                  <c:v>7731.4240390944015</c:v>
                </c:pt>
                <c:pt idx="29">
                  <c:v>7708.1004059768802</c:v>
                </c:pt>
                <c:pt idx="30">
                  <c:v>7818.1392421792571</c:v>
                </c:pt>
                <c:pt idx="31">
                  <c:v>7704.3624293378925</c:v>
                </c:pt>
                <c:pt idx="32">
                  <c:v>7711.5396097976782</c:v>
                </c:pt>
                <c:pt idx="33">
                  <c:v>7655.0834132692917</c:v>
                </c:pt>
                <c:pt idx="34">
                  <c:v>7398.7137580363615</c:v>
                </c:pt>
                <c:pt idx="35">
                  <c:v>7208.9369114843503</c:v>
                </c:pt>
                <c:pt idx="36">
                  <c:v>7091.6701684154286</c:v>
                </c:pt>
                <c:pt idx="37">
                  <c:v>6915.1931071976842</c:v>
                </c:pt>
                <c:pt idx="38">
                  <c:v>6779.9979163352173</c:v>
                </c:pt>
                <c:pt idx="39">
                  <c:v>6839.6391746614463</c:v>
                </c:pt>
                <c:pt idx="40">
                  <c:v>6812.7751724835925</c:v>
                </c:pt>
                <c:pt idx="41">
                  <c:v>6898.7377818274263</c:v>
                </c:pt>
                <c:pt idx="42">
                  <c:v>6911.1819803971266</c:v>
                </c:pt>
                <c:pt idx="43">
                  <c:v>6860.6846786559945</c:v>
                </c:pt>
                <c:pt idx="44">
                  <c:v>6881.3733014693471</c:v>
                </c:pt>
                <c:pt idx="45">
                  <c:v>6847.8012148641983</c:v>
                </c:pt>
                <c:pt idx="46">
                  <c:v>6871.9297936404982</c:v>
                </c:pt>
                <c:pt idx="47">
                  <c:v>6889.1833947991536</c:v>
                </c:pt>
                <c:pt idx="48">
                  <c:v>6805.4524862637609</c:v>
                </c:pt>
                <c:pt idx="49">
                  <c:v>6710.5469712884333</c:v>
                </c:pt>
                <c:pt idx="50">
                  <c:v>6642.5914202737977</c:v>
                </c:pt>
                <c:pt idx="51">
                  <c:v>6526.1952657486936</c:v>
                </c:pt>
                <c:pt idx="52">
                  <c:v>6456.6092432784708</c:v>
                </c:pt>
                <c:pt idx="53">
                  <c:v>6504.4869689550114</c:v>
                </c:pt>
                <c:pt idx="54">
                  <c:v>6537.3404061272277</c:v>
                </c:pt>
                <c:pt idx="55">
                  <c:v>6500.0253795670624</c:v>
                </c:pt>
                <c:pt idx="56">
                  <c:v>6476.8512440805762</c:v>
                </c:pt>
                <c:pt idx="57">
                  <c:v>6462.9423946878087</c:v>
                </c:pt>
                <c:pt idx="58">
                  <c:v>6399.0193817714635</c:v>
                </c:pt>
                <c:pt idx="59">
                  <c:v>6388.6920714366688</c:v>
                </c:pt>
                <c:pt idx="60">
                  <c:v>6538.2482540417514</c:v>
                </c:pt>
                <c:pt idx="61">
                  <c:v>6406.822090559619</c:v>
                </c:pt>
                <c:pt idx="62">
                  <c:v>6452.30221097097</c:v>
                </c:pt>
                <c:pt idx="63">
                  <c:v>6578.7893152176275</c:v>
                </c:pt>
                <c:pt idx="64">
                  <c:v>6518.9798981321273</c:v>
                </c:pt>
                <c:pt idx="65">
                  <c:v>6634.6005329368982</c:v>
                </c:pt>
                <c:pt idx="66">
                  <c:v>6726.6146787787256</c:v>
                </c:pt>
                <c:pt idx="67">
                  <c:v>6670.6560224721161</c:v>
                </c:pt>
                <c:pt idx="68">
                  <c:v>6764.6378857043146</c:v>
                </c:pt>
                <c:pt idx="69">
                  <c:v>6748.5163768921975</c:v>
                </c:pt>
                <c:pt idx="70">
                  <c:v>6718.5126300027114</c:v>
                </c:pt>
                <c:pt idx="71">
                  <c:v>6830.5935482194564</c:v>
                </c:pt>
                <c:pt idx="72">
                  <c:v>6705.4838322226969</c:v>
                </c:pt>
                <c:pt idx="73">
                  <c:v>6568.7356806923399</c:v>
                </c:pt>
                <c:pt idx="74">
                  <c:v>6396.3528890478146</c:v>
                </c:pt>
                <c:pt idx="75">
                  <c:v>6182.6152638474559</c:v>
                </c:pt>
                <c:pt idx="76">
                  <c:v>6069.8199102702183</c:v>
                </c:pt>
                <c:pt idx="77">
                  <c:v>6001.0048877827758</c:v>
                </c:pt>
                <c:pt idx="78">
                  <c:v>6129.6579522677466</c:v>
                </c:pt>
                <c:pt idx="79">
                  <c:v>6107.8342512469844</c:v>
                </c:pt>
                <c:pt idx="80">
                  <c:v>6047.4765992864877</c:v>
                </c:pt>
                <c:pt idx="81">
                  <c:v>6103.6485138198414</c:v>
                </c:pt>
                <c:pt idx="82">
                  <c:v>5995.0333136818144</c:v>
                </c:pt>
                <c:pt idx="83">
                  <c:v>5976.0019210444498</c:v>
                </c:pt>
                <c:pt idx="84">
                  <c:v>6031.124400767706</c:v>
                </c:pt>
                <c:pt idx="85">
                  <c:v>6145.1134668098994</c:v>
                </c:pt>
                <c:pt idx="86">
                  <c:v>6019.2709532112731</c:v>
                </c:pt>
                <c:pt idx="87">
                  <c:v>5944.299070750536</c:v>
                </c:pt>
                <c:pt idx="88">
                  <c:v>5852.4306753330693</c:v>
                </c:pt>
                <c:pt idx="89">
                  <c:v>5658.5098045917712</c:v>
                </c:pt>
                <c:pt idx="90">
                  <c:v>5666.9624075707943</c:v>
                </c:pt>
                <c:pt idx="91">
                  <c:v>5651.6820748897771</c:v>
                </c:pt>
                <c:pt idx="92">
                  <c:v>5764.0566596788949</c:v>
                </c:pt>
                <c:pt idx="93">
                  <c:v>5837.4624628561178</c:v>
                </c:pt>
                <c:pt idx="94">
                  <c:v>5802.2259412784761</c:v>
                </c:pt>
                <c:pt idx="95">
                  <c:v>5832.9807318851299</c:v>
                </c:pt>
                <c:pt idx="96">
                  <c:v>5848.2094531598241</c:v>
                </c:pt>
                <c:pt idx="97">
                  <c:v>5959.7397236495162</c:v>
                </c:pt>
                <c:pt idx="98">
                  <c:v>6079.4701578731028</c:v>
                </c:pt>
                <c:pt idx="99">
                  <c:v>6163.6692286463658</c:v>
                </c:pt>
                <c:pt idx="100">
                  <c:v>6195.7117708003843</c:v>
                </c:pt>
                <c:pt idx="101">
                  <c:v>6161.8691127713309</c:v>
                </c:pt>
                <c:pt idx="102">
                  <c:v>6009.5652047299536</c:v>
                </c:pt>
                <c:pt idx="103">
                  <c:v>6004.3366337255311</c:v>
                </c:pt>
                <c:pt idx="104">
                  <c:v>5838.2423729415705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9-44D1-B3FB-384051148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Data'!$CF$4</c:f>
              <c:strCache>
                <c:ptCount val="1"/>
                <c:pt idx="0">
                  <c:v>Average Vehicle Value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Data'!$CF$5:$CF$109</c:f>
              <c:numCache>
                <c:formatCode>#,##0</c:formatCode>
                <c:ptCount val="105"/>
                <c:pt idx="0">
                  <c:v>9561.2392913801996</c:v>
                </c:pt>
                <c:pt idx="1">
                  <c:v>9607.3889442230829</c:v>
                </c:pt>
                <c:pt idx="2">
                  <c:v>9630.6452895009734</c:v>
                </c:pt>
                <c:pt idx="3">
                  <c:v>9571.5825994128609</c:v>
                </c:pt>
                <c:pt idx="4">
                  <c:v>9045.8813064259175</c:v>
                </c:pt>
                <c:pt idx="5">
                  <c:v>9145.0169927909355</c:v>
                </c:pt>
                <c:pt idx="6">
                  <c:v>9173.1065838509294</c:v>
                </c:pt>
                <c:pt idx="7">
                  <c:v>8623.9521694189389</c:v>
                </c:pt>
                <c:pt idx="8">
                  <c:v>8391.0115100026997</c:v>
                </c:pt>
                <c:pt idx="9">
                  <c:v>8490.1710462286701</c:v>
                </c:pt>
                <c:pt idx="10">
                  <c:v>8391.3819179389029</c:v>
                </c:pt>
                <c:pt idx="11">
                  <c:v>8091.6657777386135</c:v>
                </c:pt>
                <c:pt idx="12">
                  <c:v>7884.7357380404201</c:v>
                </c:pt>
                <c:pt idx="13">
                  <c:v>7905.3219806763309</c:v>
                </c:pt>
                <c:pt idx="14">
                  <c:v>8039.8511638843138</c:v>
                </c:pt>
                <c:pt idx="15">
                  <c:v>7738.0080698461952</c:v>
                </c:pt>
                <c:pt idx="16">
                  <c:v>7748.4702570379086</c:v>
                </c:pt>
                <c:pt idx="17">
                  <c:v>7540.7683318056488</c:v>
                </c:pt>
                <c:pt idx="18">
                  <c:v>7850.3086723289734</c:v>
                </c:pt>
                <c:pt idx="19">
                  <c:v>7733.0750326228481</c:v>
                </c:pt>
                <c:pt idx="20">
                  <c:v>7468.7436661698648</c:v>
                </c:pt>
                <c:pt idx="21">
                  <c:v>7570.6269841269568</c:v>
                </c:pt>
                <c:pt idx="22">
                  <c:v>7656.5363636363327</c:v>
                </c:pt>
                <c:pt idx="23">
                  <c:v>7925.2276368491084</c:v>
                </c:pt>
                <c:pt idx="24">
                  <c:v>7757.1453729096993</c:v>
                </c:pt>
                <c:pt idx="25">
                  <c:v>7634.4755544354521</c:v>
                </c:pt>
                <c:pt idx="26">
                  <c:v>7596.4648938651617</c:v>
                </c:pt>
                <c:pt idx="27">
                  <c:v>7884.2862249761411</c:v>
                </c:pt>
                <c:pt idx="28">
                  <c:v>7849.6521510112198</c:v>
                </c:pt>
                <c:pt idx="29">
                  <c:v>7715.2415445321367</c:v>
                </c:pt>
                <c:pt idx="30">
                  <c:v>7726.8704690831582</c:v>
                </c:pt>
                <c:pt idx="31">
                  <c:v>7863.0622034791741</c:v>
                </c:pt>
                <c:pt idx="32">
                  <c:v>8059.151828077047</c:v>
                </c:pt>
                <c:pt idx="33">
                  <c:v>7690.0505198869223</c:v>
                </c:pt>
                <c:pt idx="34">
                  <c:v>7748.037267080701</c:v>
                </c:pt>
                <c:pt idx="35">
                  <c:v>7814.8269575612148</c:v>
                </c:pt>
                <c:pt idx="36">
                  <c:v>8116.8202706955763</c:v>
                </c:pt>
                <c:pt idx="37">
                  <c:v>7976.5064012626544</c:v>
                </c:pt>
                <c:pt idx="38">
                  <c:v>7829.2557813595258</c:v>
                </c:pt>
                <c:pt idx="39">
                  <c:v>7750.4037931034827</c:v>
                </c:pt>
                <c:pt idx="40">
                  <c:v>8177.8377992140304</c:v>
                </c:pt>
                <c:pt idx="41">
                  <c:v>8322.5053435114769</c:v>
                </c:pt>
                <c:pt idx="42">
                  <c:v>7893.0457930006914</c:v>
                </c:pt>
                <c:pt idx="43">
                  <c:v>7649.6131528045898</c:v>
                </c:pt>
                <c:pt idx="44">
                  <c:v>8001.5285211692453</c:v>
                </c:pt>
                <c:pt idx="45">
                  <c:v>8366.1313258050395</c:v>
                </c:pt>
                <c:pt idx="46">
                  <c:v>7937.4482357624593</c:v>
                </c:pt>
                <c:pt idx="47">
                  <c:v>7857.6672527472801</c:v>
                </c:pt>
                <c:pt idx="48">
                  <c:v>7821.9431769264293</c:v>
                </c:pt>
                <c:pt idx="49">
                  <c:v>8394.7519776640638</c:v>
                </c:pt>
                <c:pt idx="50">
                  <c:v>8118.1386363636539</c:v>
                </c:pt>
                <c:pt idx="51">
                  <c:v>7822.9735029147041</c:v>
                </c:pt>
                <c:pt idx="52">
                  <c:v>7764.1591562799913</c:v>
                </c:pt>
                <c:pt idx="53">
                  <c:v>8223.7643149284431</c:v>
                </c:pt>
                <c:pt idx="54">
                  <c:v>8485.1894679696088</c:v>
                </c:pt>
                <c:pt idx="55">
                  <c:v>7966.8539691916758</c:v>
                </c:pt>
                <c:pt idx="56">
                  <c:v>7609.3846597462098</c:v>
                </c:pt>
                <c:pt idx="57">
                  <c:v>7859.4917452829814</c:v>
                </c:pt>
                <c:pt idx="58">
                  <c:v>8504.963235294068</c:v>
                </c:pt>
                <c:pt idx="59">
                  <c:v>8057.4419480809511</c:v>
                </c:pt>
                <c:pt idx="60">
                  <c:v>7867.3580158159612</c:v>
                </c:pt>
                <c:pt idx="61">
                  <c:v>7785.9494047619028</c:v>
                </c:pt>
                <c:pt idx="62">
                  <c:v>8724.5714285714203</c:v>
                </c:pt>
                <c:pt idx="63">
                  <c:v>8146.8659554734286</c:v>
                </c:pt>
                <c:pt idx="64">
                  <c:v>7542.0114810562545</c:v>
                </c:pt>
                <c:pt idx="65">
                  <c:v>7838.0668151447671</c:v>
                </c:pt>
                <c:pt idx="66">
                  <c:v>7670.1693057247194</c:v>
                </c:pt>
                <c:pt idx="67">
                  <c:v>8533.413913043476</c:v>
                </c:pt>
                <c:pt idx="68">
                  <c:v>7489.8105140374419</c:v>
                </c:pt>
                <c:pt idx="69">
                  <c:v>7254.3945312500055</c:v>
                </c:pt>
                <c:pt idx="70">
                  <c:v>7130.8403360985403</c:v>
                </c:pt>
                <c:pt idx="71">
                  <c:v>8467.2524271844668</c:v>
                </c:pt>
                <c:pt idx="72">
                  <c:v>8418.889447236179</c:v>
                </c:pt>
                <c:pt idx="73">
                  <c:v>7987.8062015503874</c:v>
                </c:pt>
                <c:pt idx="74">
                  <c:v>8586.9</c:v>
                </c:pt>
                <c:pt idx="75">
                  <c:v>8966.2941176470576</c:v>
                </c:pt>
                <c:pt idx="76">
                  <c:v>21945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CC-450C-95FD-9AA4C1832316}"/>
            </c:ext>
          </c:extLst>
        </c:ser>
        <c:ser>
          <c:idx val="1"/>
          <c:order val="1"/>
          <c:tx>
            <c:strRef>
              <c:f>'Averages Graph Data'!$CG$4</c:f>
              <c:strCache>
                <c:ptCount val="1"/>
                <c:pt idx="0">
                  <c:v>Average Vehicle Value - 4 Week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Data'!$CG$5:$CG$109</c:f>
              <c:numCache>
                <c:formatCode>#,##0</c:formatCode>
                <c:ptCount val="105"/>
                <c:pt idx="6">
                  <c:v>9390.6944296549864</c:v>
                </c:pt>
                <c:pt idx="7">
                  <c:v>9256.7962693748068</c:v>
                </c:pt>
                <c:pt idx="8">
                  <c:v>9083.0280644861796</c:v>
                </c:pt>
                <c:pt idx="9">
                  <c:v>8920.1031725901375</c:v>
                </c:pt>
                <c:pt idx="10">
                  <c:v>8751.5030752367129</c:v>
                </c:pt>
                <c:pt idx="11">
                  <c:v>8615.1865711385271</c:v>
                </c:pt>
                <c:pt idx="12">
                  <c:v>8435.1463918884529</c:v>
                </c:pt>
                <c:pt idx="13">
                  <c:v>8254.0343057206537</c:v>
                </c:pt>
                <c:pt idx="14">
                  <c:v>8170.5913049299925</c:v>
                </c:pt>
                <c:pt idx="15">
                  <c:v>8077.3050991933496</c:v>
                </c:pt>
                <c:pt idx="16">
                  <c:v>7971.347843594669</c:v>
                </c:pt>
                <c:pt idx="17">
                  <c:v>7849.8316170042044</c:v>
                </c:pt>
                <c:pt idx="18">
                  <c:v>7815.3520305171132</c:v>
                </c:pt>
                <c:pt idx="19">
                  <c:v>7793.686215457461</c:v>
                </c:pt>
                <c:pt idx="20">
                  <c:v>7731.3178848136795</c:v>
                </c:pt>
                <c:pt idx="21">
                  <c:v>7664.2858591340564</c:v>
                </c:pt>
                <c:pt idx="22">
                  <c:v>7652.6470439612185</c:v>
                </c:pt>
                <c:pt idx="23">
                  <c:v>7677.8980982199628</c:v>
                </c:pt>
                <c:pt idx="24">
                  <c:v>7708.8091040919689</c:v>
                </c:pt>
                <c:pt idx="25">
                  <c:v>7677.9758015357511</c:v>
                </c:pt>
                <c:pt idx="26">
                  <c:v>7658.4600674275107</c:v>
                </c:pt>
                <c:pt idx="27">
                  <c:v>7717.8232901141218</c:v>
                </c:pt>
                <c:pt idx="28">
                  <c:v>7757.6840282404446</c:v>
                </c:pt>
                <c:pt idx="29">
                  <c:v>7766.0704826541323</c:v>
                </c:pt>
                <c:pt idx="30">
                  <c:v>7737.7337444018531</c:v>
                </c:pt>
                <c:pt idx="31">
                  <c:v>7752.8647201974918</c:v>
                </c:pt>
                <c:pt idx="32">
                  <c:v>7813.5327592891481</c:v>
                </c:pt>
                <c:pt idx="33">
                  <c:v>7826.902134435114</c:v>
                </c:pt>
                <c:pt idx="34">
                  <c:v>7807.4379975929087</c:v>
                </c:pt>
                <c:pt idx="35">
                  <c:v>7802.4629699571933</c:v>
                </c:pt>
                <c:pt idx="36">
                  <c:v>7859.8313594091132</c:v>
                </c:pt>
                <c:pt idx="37">
                  <c:v>7895.4936354347565</c:v>
                </c:pt>
                <c:pt idx="38">
                  <c:v>7890.6641465605198</c:v>
                </c:pt>
                <c:pt idx="39">
                  <c:v>7846.5572844214394</c:v>
                </c:pt>
                <c:pt idx="40">
                  <c:v>7916.2411814681691</c:v>
                </c:pt>
                <c:pt idx="41">
                  <c:v>7998.308049529709</c:v>
                </c:pt>
                <c:pt idx="42">
                  <c:v>8009.4821688782049</c:v>
                </c:pt>
                <c:pt idx="43">
                  <c:v>7942.7382948937784</c:v>
                </c:pt>
                <c:pt idx="44">
                  <c:v>7946.3128834518629</c:v>
                </c:pt>
                <c:pt idx="45">
                  <c:v>8023.0093898012228</c:v>
                </c:pt>
                <c:pt idx="46">
                  <c:v>8049.7300244667913</c:v>
                </c:pt>
                <c:pt idx="47">
                  <c:v>8003.9913749715406</c:v>
                </c:pt>
                <c:pt idx="48">
                  <c:v>7932.4824940308181</c:v>
                </c:pt>
                <c:pt idx="49">
                  <c:v>8004.1548061255862</c:v>
                </c:pt>
                <c:pt idx="50">
                  <c:v>8071.0870180625952</c:v>
                </c:pt>
                <c:pt idx="51">
                  <c:v>8045.579158311948</c:v>
                </c:pt>
                <c:pt idx="52">
                  <c:v>7959.5831340940831</c:v>
                </c:pt>
                <c:pt idx="53">
                  <c:v>8000.485431117796</c:v>
                </c:pt>
                <c:pt idx="54">
                  <c:v>8090.1314618638426</c:v>
                </c:pt>
                <c:pt idx="55">
                  <c:v>8110.8330036160196</c:v>
                </c:pt>
                <c:pt idx="56">
                  <c:v>7998.6376724848969</c:v>
                </c:pt>
                <c:pt idx="57">
                  <c:v>7961.688116616232</c:v>
                </c:pt>
                <c:pt idx="58">
                  <c:v>8059.1152212418538</c:v>
                </c:pt>
                <c:pt idx="59">
                  <c:v>8101.0127629277058</c:v>
                </c:pt>
                <c:pt idx="60">
                  <c:v>8050.0975773402088</c:v>
                </c:pt>
                <c:pt idx="61">
                  <c:v>7950.2061397391071</c:v>
                </c:pt>
                <c:pt idx="62">
                  <c:v>8058.4514910790704</c:v>
                </c:pt>
                <c:pt idx="63">
                  <c:v>8135.2345333258154</c:v>
                </c:pt>
                <c:pt idx="64">
                  <c:v>8089.8802098648539</c:v>
                </c:pt>
                <c:pt idx="65">
                  <c:v>7994.6092927006684</c:v>
                </c:pt>
                <c:pt idx="66">
                  <c:v>7939.2846295069221</c:v>
                </c:pt>
                <c:pt idx="67">
                  <c:v>8034.4354719679959</c:v>
                </c:pt>
                <c:pt idx="68">
                  <c:v>7992.1299161502156</c:v>
                </c:pt>
                <c:pt idx="69">
                  <c:v>7782.1046451042994</c:v>
                </c:pt>
                <c:pt idx="70">
                  <c:v>7636.9581280507427</c:v>
                </c:pt>
                <c:pt idx="71">
                  <c:v>7769.1354060690592</c:v>
                </c:pt>
                <c:pt idx="72">
                  <c:v>7852.1100677964041</c:v>
                </c:pt>
                <c:pt idx="73">
                  <c:v>7897.486767200071</c:v>
                </c:pt>
                <c:pt idx="74">
                  <c:v>7905.127636765289</c:v>
                </c:pt>
                <c:pt idx="75">
                  <c:v>8116.0538658523774</c:v>
                </c:pt>
                <c:pt idx="76">
                  <c:v>10214.711789959518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CC-450C-95FD-9AA4C1832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Data'!$CB$4</c:f>
              <c:strCache>
                <c:ptCount val="1"/>
                <c:pt idx="0">
                  <c:v>Average Vehicle Value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Data'!$CB$5:$CB$109</c:f>
              <c:numCache>
                <c:formatCode>#,##0</c:formatCode>
                <c:ptCount val="105"/>
                <c:pt idx="0">
                  <c:v>9969.3455284552856</c:v>
                </c:pt>
                <c:pt idx="1">
                  <c:v>9302.1638655462193</c:v>
                </c:pt>
                <c:pt idx="2">
                  <c:v>9931.5330578512403</c:v>
                </c:pt>
                <c:pt idx="3">
                  <c:v>11119.323943661968</c:v>
                </c:pt>
                <c:pt idx="4">
                  <c:v>10725.01351351351</c:v>
                </c:pt>
                <c:pt idx="5">
                  <c:v>11067.594594594593</c:v>
                </c:pt>
                <c:pt idx="6">
                  <c:v>10392.955882352939</c:v>
                </c:pt>
                <c:pt idx="7">
                  <c:v>9500.3103448275851</c:v>
                </c:pt>
                <c:pt idx="8">
                  <c:v>9861.5991561181418</c:v>
                </c:pt>
                <c:pt idx="9">
                  <c:v>9746.4631578947374</c:v>
                </c:pt>
                <c:pt idx="10">
                  <c:v>10241.555205047322</c:v>
                </c:pt>
                <c:pt idx="11">
                  <c:v>10922.33547008546</c:v>
                </c:pt>
                <c:pt idx="12">
                  <c:v>10378.725388601039</c:v>
                </c:pt>
                <c:pt idx="13">
                  <c:v>10003.608899297422</c:v>
                </c:pt>
                <c:pt idx="14">
                  <c:v>11076.532224532217</c:v>
                </c:pt>
                <c:pt idx="15">
                  <c:v>10274.701873935261</c:v>
                </c:pt>
                <c:pt idx="16">
                  <c:v>10737.814070351758</c:v>
                </c:pt>
                <c:pt idx="17">
                  <c:v>10760.415349887133</c:v>
                </c:pt>
                <c:pt idx="18">
                  <c:v>9798.6284403669688</c:v>
                </c:pt>
                <c:pt idx="19">
                  <c:v>10894.379939209728</c:v>
                </c:pt>
                <c:pt idx="20">
                  <c:v>9507.1497005988003</c:v>
                </c:pt>
                <c:pt idx="21">
                  <c:v>9573.0792540792554</c:v>
                </c:pt>
                <c:pt idx="22">
                  <c:v>8958.8379052369055</c:v>
                </c:pt>
                <c:pt idx="23">
                  <c:v>9100.3447488584479</c:v>
                </c:pt>
                <c:pt idx="24">
                  <c:v>9566.8935742971862</c:v>
                </c:pt>
                <c:pt idx="25">
                  <c:v>8436.218130311614</c:v>
                </c:pt>
                <c:pt idx="26">
                  <c:v>8943.5026315789473</c:v>
                </c:pt>
                <c:pt idx="27">
                  <c:v>9024.6024390243911</c:v>
                </c:pt>
                <c:pt idx="28">
                  <c:v>9236.4906723997283</c:v>
                </c:pt>
                <c:pt idx="29">
                  <c:v>9453.4731934732044</c:v>
                </c:pt>
                <c:pt idx="30">
                  <c:v>9617.2581300813144</c:v>
                </c:pt>
                <c:pt idx="31">
                  <c:v>9011.6702355460493</c:v>
                </c:pt>
                <c:pt idx="32">
                  <c:v>9231.1577868852582</c:v>
                </c:pt>
                <c:pt idx="33">
                  <c:v>8938.7562380038489</c:v>
                </c:pt>
                <c:pt idx="34">
                  <c:v>8501.8476394849913</c:v>
                </c:pt>
                <c:pt idx="35">
                  <c:v>7357.3714285714386</c:v>
                </c:pt>
                <c:pt idx="36">
                  <c:v>8198.5118279569997</c:v>
                </c:pt>
                <c:pt idx="37">
                  <c:v>7888.7481751824853</c:v>
                </c:pt>
                <c:pt idx="38">
                  <c:v>7363.5558035714366</c:v>
                </c:pt>
                <c:pt idx="39">
                  <c:v>8073.1704035874545</c:v>
                </c:pt>
                <c:pt idx="40">
                  <c:v>7512.6092436974905</c:v>
                </c:pt>
                <c:pt idx="41">
                  <c:v>8229.2117647058913</c:v>
                </c:pt>
                <c:pt idx="42">
                  <c:v>7431.304038004756</c:v>
                </c:pt>
                <c:pt idx="43">
                  <c:v>7702.1381074168867</c:v>
                </c:pt>
                <c:pt idx="44">
                  <c:v>7758.0952380952494</c:v>
                </c:pt>
                <c:pt idx="45">
                  <c:v>8175.9623188405849</c:v>
                </c:pt>
                <c:pt idx="46">
                  <c:v>7781.8621621621687</c:v>
                </c:pt>
                <c:pt idx="47">
                  <c:v>7858.9937304075256</c:v>
                </c:pt>
                <c:pt idx="48">
                  <c:v>7400.9484536082464</c:v>
                </c:pt>
                <c:pt idx="49">
                  <c:v>7111.8187919463107</c:v>
                </c:pt>
                <c:pt idx="50">
                  <c:v>6854.924528301889</c:v>
                </c:pt>
                <c:pt idx="51">
                  <c:v>7218.0337552742612</c:v>
                </c:pt>
                <c:pt idx="52">
                  <c:v>7165.8346456692907</c:v>
                </c:pt>
                <c:pt idx="53">
                  <c:v>6570.3055555555584</c:v>
                </c:pt>
                <c:pt idx="54">
                  <c:v>7535.0666666666666</c:v>
                </c:pt>
                <c:pt idx="55">
                  <c:v>7061.8489932885914</c:v>
                </c:pt>
                <c:pt idx="56">
                  <c:v>6620.5234375000027</c:v>
                </c:pt>
                <c:pt idx="57">
                  <c:v>7994.0842911877398</c:v>
                </c:pt>
                <c:pt idx="58">
                  <c:v>7659.7119999999995</c:v>
                </c:pt>
                <c:pt idx="59">
                  <c:v>7303.9377431906651</c:v>
                </c:pt>
                <c:pt idx="60">
                  <c:v>8834.5</c:v>
                </c:pt>
                <c:pt idx="61">
                  <c:v>6580.0124999999989</c:v>
                </c:pt>
                <c:pt idx="62">
                  <c:v>7656.8361774744053</c:v>
                </c:pt>
                <c:pt idx="63">
                  <c:v>7950.4527027027061</c:v>
                </c:pt>
                <c:pt idx="64">
                  <c:v>8191.4830508474579</c:v>
                </c:pt>
                <c:pt idx="65">
                  <c:v>8000.1967871485986</c:v>
                </c:pt>
                <c:pt idx="66">
                  <c:v>9572.4421965317961</c:v>
                </c:pt>
                <c:pt idx="67">
                  <c:v>8960.5980392156889</c:v>
                </c:pt>
                <c:pt idx="68">
                  <c:v>9508.0247678018568</c:v>
                </c:pt>
                <c:pt idx="69">
                  <c:v>8680.4703947368489</c:v>
                </c:pt>
                <c:pt idx="70">
                  <c:v>8849.8566308243735</c:v>
                </c:pt>
                <c:pt idx="71">
                  <c:v>9116.3648648648632</c:v>
                </c:pt>
                <c:pt idx="72">
                  <c:v>8399.5120772946866</c:v>
                </c:pt>
                <c:pt idx="73">
                  <c:v>7510.64367816092</c:v>
                </c:pt>
                <c:pt idx="74">
                  <c:v>8403.8897959183669</c:v>
                </c:pt>
                <c:pt idx="75">
                  <c:v>7883.0000000000009</c:v>
                </c:pt>
                <c:pt idx="76">
                  <c:v>8925.608163265304</c:v>
                </c:pt>
                <c:pt idx="77">
                  <c:v>7400.190476190478</c:v>
                </c:pt>
                <c:pt idx="78">
                  <c:v>8929.0376344085998</c:v>
                </c:pt>
                <c:pt idx="79">
                  <c:v>8714.9782608695659</c:v>
                </c:pt>
                <c:pt idx="80">
                  <c:v>8395.3743842364529</c:v>
                </c:pt>
                <c:pt idx="81">
                  <c:v>8538.4371584699456</c:v>
                </c:pt>
                <c:pt idx="82">
                  <c:v>8561.3775510204086</c:v>
                </c:pt>
                <c:pt idx="83">
                  <c:v>8428.8453608247419</c:v>
                </c:pt>
                <c:pt idx="84">
                  <c:v>7781.7142857142853</c:v>
                </c:pt>
                <c:pt idx="85">
                  <c:v>8488.1541850220274</c:v>
                </c:pt>
                <c:pt idx="86">
                  <c:v>7843.3461538461534</c:v>
                </c:pt>
                <c:pt idx="87">
                  <c:v>7001.329999999999</c:v>
                </c:pt>
                <c:pt idx="88">
                  <c:v>7511.8725490196084</c:v>
                </c:pt>
                <c:pt idx="89">
                  <c:v>7528.5059288537577</c:v>
                </c:pt>
                <c:pt idx="90">
                  <c:v>8038.532019704433</c:v>
                </c:pt>
                <c:pt idx="91">
                  <c:v>8069.3267326732675</c:v>
                </c:pt>
                <c:pt idx="92">
                  <c:v>7929.1878172588804</c:v>
                </c:pt>
                <c:pt idx="93">
                  <c:v>8397.75980392157</c:v>
                </c:pt>
                <c:pt idx="94">
                  <c:v>7502.1764705882342</c:v>
                </c:pt>
                <c:pt idx="95">
                  <c:v>6942.2267441860467</c:v>
                </c:pt>
                <c:pt idx="96">
                  <c:v>8079.9297297297289</c:v>
                </c:pt>
                <c:pt idx="97">
                  <c:v>8908.7383720930247</c:v>
                </c:pt>
                <c:pt idx="98">
                  <c:v>8998.5294117647045</c:v>
                </c:pt>
                <c:pt idx="99">
                  <c:v>8004.4869109947658</c:v>
                </c:pt>
                <c:pt idx="100">
                  <c:v>9556.136363636364</c:v>
                </c:pt>
                <c:pt idx="101">
                  <c:v>8284.6312500000004</c:v>
                </c:pt>
                <c:pt idx="102">
                  <c:v>6824.7874999999985</c:v>
                </c:pt>
                <c:pt idx="103">
                  <c:v>7566.1654135338349</c:v>
                </c:pt>
                <c:pt idx="104">
                  <c:v>6915.2317073170743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3-4AF6-B301-CBFF8FD82B48}"/>
            </c:ext>
          </c:extLst>
        </c:ser>
        <c:ser>
          <c:idx val="1"/>
          <c:order val="1"/>
          <c:tx>
            <c:strRef>
              <c:f>'Averages Graph Data'!$CC$4</c:f>
              <c:strCache>
                <c:ptCount val="1"/>
                <c:pt idx="0">
                  <c:v>Average Vehicle Value - 4 Week Avg (Boom Annual Up Front)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Data'!$CC$5:$CC$109</c:f>
              <c:numCache>
                <c:formatCode>#,##0</c:formatCode>
                <c:ptCount val="105"/>
                <c:pt idx="3">
                  <c:v>10080.591598878678</c:v>
                </c:pt>
                <c:pt idx="4">
                  <c:v>10269.508595143234</c:v>
                </c:pt>
                <c:pt idx="5">
                  <c:v>10710.866277405326</c:v>
                </c:pt>
                <c:pt idx="6">
                  <c:v>10826.221983530751</c:v>
                </c:pt>
                <c:pt idx="7">
                  <c:v>10421.468583822158</c:v>
                </c:pt>
                <c:pt idx="8">
                  <c:v>10205.614994473315</c:v>
                </c:pt>
                <c:pt idx="9">
                  <c:v>9875.3321352983512</c:v>
                </c:pt>
                <c:pt idx="10">
                  <c:v>9837.4819659719469</c:v>
                </c:pt>
                <c:pt idx="11">
                  <c:v>10192.988247286416</c:v>
                </c:pt>
                <c:pt idx="12">
                  <c:v>10322.269805407139</c:v>
                </c:pt>
                <c:pt idx="13">
                  <c:v>10386.556240757811</c:v>
                </c:pt>
                <c:pt idx="14">
                  <c:v>10595.300495629035</c:v>
                </c:pt>
                <c:pt idx="15">
                  <c:v>10433.392096591484</c:v>
                </c:pt>
                <c:pt idx="16">
                  <c:v>10523.164267029164</c:v>
                </c:pt>
                <c:pt idx="17">
                  <c:v>10712.365879676592</c:v>
                </c:pt>
                <c:pt idx="18">
                  <c:v>10392.889933635281</c:v>
                </c:pt>
                <c:pt idx="19">
                  <c:v>10547.809449953897</c:v>
                </c:pt>
                <c:pt idx="20">
                  <c:v>10240.143357515657</c:v>
                </c:pt>
                <c:pt idx="21">
                  <c:v>9943.3093335636877</c:v>
                </c:pt>
                <c:pt idx="22">
                  <c:v>9733.3616997811714</c:v>
                </c:pt>
                <c:pt idx="23">
                  <c:v>9284.8529021933518</c:v>
                </c:pt>
                <c:pt idx="24">
                  <c:v>9299.7888706179492</c:v>
                </c:pt>
                <c:pt idx="25">
                  <c:v>9015.5735896760398</c:v>
                </c:pt>
                <c:pt idx="26">
                  <c:v>9011.7397712615493</c:v>
                </c:pt>
                <c:pt idx="27">
                  <c:v>8992.8041938030347</c:v>
                </c:pt>
                <c:pt idx="28">
                  <c:v>8910.2034683286693</c:v>
                </c:pt>
                <c:pt idx="29">
                  <c:v>9164.5172341190682</c:v>
                </c:pt>
                <c:pt idx="30">
                  <c:v>9332.95610874466</c:v>
                </c:pt>
                <c:pt idx="31">
                  <c:v>9329.7230578750732</c:v>
                </c:pt>
                <c:pt idx="32">
                  <c:v>9328.3898364964552</c:v>
                </c:pt>
                <c:pt idx="33">
                  <c:v>9199.7105976291168</c:v>
                </c:pt>
                <c:pt idx="34">
                  <c:v>8920.8579749800374</c:v>
                </c:pt>
                <c:pt idx="35">
                  <c:v>8507.283273236384</c:v>
                </c:pt>
                <c:pt idx="36">
                  <c:v>8249.121783504319</c:v>
                </c:pt>
                <c:pt idx="37">
                  <c:v>7986.6197677989794</c:v>
                </c:pt>
                <c:pt idx="38">
                  <c:v>7702.0468088205907</c:v>
                </c:pt>
                <c:pt idx="39">
                  <c:v>7880.9965525745938</c:v>
                </c:pt>
                <c:pt idx="40">
                  <c:v>7709.520906509717</c:v>
                </c:pt>
                <c:pt idx="41">
                  <c:v>7794.6368038905684</c:v>
                </c:pt>
                <c:pt idx="42">
                  <c:v>7811.5738624988981</c:v>
                </c:pt>
                <c:pt idx="43">
                  <c:v>7718.8157884562561</c:v>
                </c:pt>
                <c:pt idx="44">
                  <c:v>7780.1872870556963</c:v>
                </c:pt>
                <c:pt idx="45">
                  <c:v>7766.8749255893699</c:v>
                </c:pt>
                <c:pt idx="46">
                  <c:v>7854.5144566287227</c:v>
                </c:pt>
                <c:pt idx="47">
                  <c:v>7893.7283623763815</c:v>
                </c:pt>
                <c:pt idx="48">
                  <c:v>7804.4416662546309</c:v>
                </c:pt>
                <c:pt idx="49">
                  <c:v>7538.4057845310635</c:v>
                </c:pt>
                <c:pt idx="50">
                  <c:v>7306.6713760659932</c:v>
                </c:pt>
                <c:pt idx="51">
                  <c:v>7146.4313822826771</c:v>
                </c:pt>
                <c:pt idx="52">
                  <c:v>7087.6529302979379</c:v>
                </c:pt>
                <c:pt idx="53">
                  <c:v>6952.2746212002503</c:v>
                </c:pt>
                <c:pt idx="54">
                  <c:v>7122.3101557914442</c:v>
                </c:pt>
                <c:pt idx="55">
                  <c:v>7083.2639652950274</c:v>
                </c:pt>
                <c:pt idx="56">
                  <c:v>6946.9361632527043</c:v>
                </c:pt>
                <c:pt idx="57">
                  <c:v>7302.8808471607508</c:v>
                </c:pt>
                <c:pt idx="58">
                  <c:v>7334.0421804940834</c:v>
                </c:pt>
                <c:pt idx="59">
                  <c:v>7394.5643679696013</c:v>
                </c:pt>
                <c:pt idx="60">
                  <c:v>7948.0585085946013</c:v>
                </c:pt>
                <c:pt idx="61">
                  <c:v>7594.5405607976663</c:v>
                </c:pt>
                <c:pt idx="62">
                  <c:v>7593.8216051662675</c:v>
                </c:pt>
                <c:pt idx="63">
                  <c:v>7755.450345044278</c:v>
                </c:pt>
                <c:pt idx="64">
                  <c:v>7594.6961077561427</c:v>
                </c:pt>
                <c:pt idx="65">
                  <c:v>7949.742179543292</c:v>
                </c:pt>
                <c:pt idx="66">
                  <c:v>8428.6436843076408</c:v>
                </c:pt>
                <c:pt idx="67">
                  <c:v>8681.1800184358854</c:v>
                </c:pt>
                <c:pt idx="68">
                  <c:v>9010.3154476744858</c:v>
                </c:pt>
                <c:pt idx="69">
                  <c:v>9180.3838495715481</c:v>
                </c:pt>
                <c:pt idx="70">
                  <c:v>8999.7374581446929</c:v>
                </c:pt>
                <c:pt idx="71">
                  <c:v>9038.6791645569865</c:v>
                </c:pt>
                <c:pt idx="72">
                  <c:v>8761.550991930193</c:v>
                </c:pt>
                <c:pt idx="73">
                  <c:v>8469.0943127862101</c:v>
                </c:pt>
                <c:pt idx="74">
                  <c:v>8357.6026040597098</c:v>
                </c:pt>
                <c:pt idx="75">
                  <c:v>8049.2613878434931</c:v>
                </c:pt>
                <c:pt idx="76">
                  <c:v>8180.7854093361475</c:v>
                </c:pt>
                <c:pt idx="77">
                  <c:v>8153.172108843537</c:v>
                </c:pt>
                <c:pt idx="78">
                  <c:v>8284.4590684660943</c:v>
                </c:pt>
                <c:pt idx="79">
                  <c:v>8492.4536336834863</c:v>
                </c:pt>
                <c:pt idx="80">
                  <c:v>8359.8951889262753</c:v>
                </c:pt>
                <c:pt idx="81">
                  <c:v>8644.4568594961402</c:v>
                </c:pt>
                <c:pt idx="82">
                  <c:v>8552.5418386490928</c:v>
                </c:pt>
                <c:pt idx="83">
                  <c:v>8481.0086136378868</c:v>
                </c:pt>
                <c:pt idx="84">
                  <c:v>8327.5935890073451</c:v>
                </c:pt>
                <c:pt idx="85">
                  <c:v>8315.022845645366</c:v>
                </c:pt>
                <c:pt idx="86">
                  <c:v>8135.5149963518015</c:v>
                </c:pt>
                <c:pt idx="87">
                  <c:v>7778.636156145616</c:v>
                </c:pt>
                <c:pt idx="88">
                  <c:v>7711.1757219719466</c:v>
                </c:pt>
                <c:pt idx="89">
                  <c:v>7471.2636579298796</c:v>
                </c:pt>
                <c:pt idx="90">
                  <c:v>7520.0601243944493</c:v>
                </c:pt>
                <c:pt idx="91">
                  <c:v>7787.0593075627667</c:v>
                </c:pt>
                <c:pt idx="92">
                  <c:v>7891.3881246225847</c:v>
                </c:pt>
                <c:pt idx="93">
                  <c:v>8108.7015933895373</c:v>
                </c:pt>
                <c:pt idx="94">
                  <c:v>7974.612706110488</c:v>
                </c:pt>
                <c:pt idx="95">
                  <c:v>7692.8377089886826</c:v>
                </c:pt>
                <c:pt idx="96">
                  <c:v>7730.5231871063952</c:v>
                </c:pt>
                <c:pt idx="97">
                  <c:v>7858.2678291492575</c:v>
                </c:pt>
                <c:pt idx="98">
                  <c:v>8232.3560644433765</c:v>
                </c:pt>
                <c:pt idx="99">
                  <c:v>8497.9211061455571</c:v>
                </c:pt>
                <c:pt idx="100">
                  <c:v>8866.9727646222145</c:v>
                </c:pt>
                <c:pt idx="101">
                  <c:v>8710.9459840989584</c:v>
                </c:pt>
                <c:pt idx="102">
                  <c:v>8167.5105061577815</c:v>
                </c:pt>
                <c:pt idx="103">
                  <c:v>8057.9301317925501</c:v>
                </c:pt>
                <c:pt idx="104">
                  <c:v>7397.7039677127268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C3-4AF6-B301-CBFF8FD82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 Finance: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Data'!$CD$4</c:f>
              <c:strCache>
                <c:ptCount val="1"/>
                <c:pt idx="0">
                  <c:v>Average Vehicle Value (Boom Annual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Data'!$CD$5:$CD$109</c:f>
              <c:numCache>
                <c:formatCode>#,##0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7196.9632352941144</c:v>
                </c:pt>
                <c:pt idx="24">
                  <c:v>7275.4697336561721</c:v>
                </c:pt>
                <c:pt idx="25">
                  <c:v>7033.2872928176776</c:v>
                </c:pt>
                <c:pt idx="26">
                  <c:v>6797.7350000000024</c:v>
                </c:pt>
                <c:pt idx="27">
                  <c:v>7433.0500834724462</c:v>
                </c:pt>
                <c:pt idx="28">
                  <c:v>6301.6831118812433</c:v>
                </c:pt>
                <c:pt idx="29">
                  <c:v>6576.64463840399</c:v>
                </c:pt>
                <c:pt idx="30">
                  <c:v>7487.2383488681789</c:v>
                </c:pt>
                <c:pt idx="31">
                  <c:v>6698.7418981481487</c:v>
                </c:pt>
                <c:pt idx="32">
                  <c:v>6450.9731800766194</c:v>
                </c:pt>
                <c:pt idx="33">
                  <c:v>6470.7396569122029</c:v>
                </c:pt>
                <c:pt idx="34">
                  <c:v>6318.9349315068475</c:v>
                </c:pt>
                <c:pt idx="35">
                  <c:v>6264.1295045045081</c:v>
                </c:pt>
                <c:pt idx="36">
                  <c:v>6189.4257703081203</c:v>
                </c:pt>
                <c:pt idx="37">
                  <c:v>5650.1104707012455</c:v>
                </c:pt>
                <c:pt idx="38">
                  <c:v>5936.4964705882358</c:v>
                </c:pt>
                <c:pt idx="39">
                  <c:v>6274.2161820480442</c:v>
                </c:pt>
                <c:pt idx="40">
                  <c:v>6200.3142536475789</c:v>
                </c:pt>
                <c:pt idx="41">
                  <c:v>6140.8591859185881</c:v>
                </c:pt>
                <c:pt idx="42">
                  <c:v>6023.942148760324</c:v>
                </c:pt>
                <c:pt idx="43">
                  <c:v>6210.3567708333348</c:v>
                </c:pt>
                <c:pt idx="44">
                  <c:v>6204.3646258503431</c:v>
                </c:pt>
                <c:pt idx="45">
                  <c:v>6005.4216867469941</c:v>
                </c:pt>
                <c:pt idx="46">
                  <c:v>5993.9795918367363</c:v>
                </c:pt>
                <c:pt idx="47">
                  <c:v>6206.5984848484904</c:v>
                </c:pt>
                <c:pt idx="48">
                  <c:v>5899.9156050955462</c:v>
                </c:pt>
                <c:pt idx="49">
                  <c:v>5716.5853658536644</c:v>
                </c:pt>
                <c:pt idx="50">
                  <c:v>5965.2395543175517</c:v>
                </c:pt>
                <c:pt idx="51">
                  <c:v>5803.3505843071853</c:v>
                </c:pt>
                <c:pt idx="52">
                  <c:v>5529.084990958414</c:v>
                </c:pt>
                <c:pt idx="53">
                  <c:v>6318.4382826475894</c:v>
                </c:pt>
                <c:pt idx="54">
                  <c:v>5760.0199275362384</c:v>
                </c:pt>
                <c:pt idx="55">
                  <c:v>5613.7305295950191</c:v>
                </c:pt>
                <c:pt idx="56">
                  <c:v>5706.4708171206303</c:v>
                </c:pt>
                <c:pt idx="57">
                  <c:v>5693.363138686138</c:v>
                </c:pt>
                <c:pt idx="58">
                  <c:v>5486.6821086262025</c:v>
                </c:pt>
                <c:pt idx="59">
                  <c:v>5360.850694444448</c:v>
                </c:pt>
                <c:pt idx="60">
                  <c:v>5753.8158995815966</c:v>
                </c:pt>
                <c:pt idx="61">
                  <c:v>5580.2190305206532</c:v>
                </c:pt>
                <c:pt idx="62">
                  <c:v>5695.1879194630928</c:v>
                </c:pt>
                <c:pt idx="63">
                  <c:v>6071.1719457013623</c:v>
                </c:pt>
                <c:pt idx="64">
                  <c:v>5817.8454545454597</c:v>
                </c:pt>
                <c:pt idx="65">
                  <c:v>5778.9426523297561</c:v>
                </c:pt>
                <c:pt idx="66">
                  <c:v>5524.2462908011912</c:v>
                </c:pt>
                <c:pt idx="67">
                  <c:v>5462.4658792650935</c:v>
                </c:pt>
                <c:pt idx="68">
                  <c:v>5927.2924050632964</c:v>
                </c:pt>
                <c:pt idx="69">
                  <c:v>5496.0382352941215</c:v>
                </c:pt>
                <c:pt idx="70">
                  <c:v>5986.7837445573341</c:v>
                </c:pt>
                <c:pt idx="71">
                  <c:v>6056.294990723567</c:v>
                </c:pt>
                <c:pt idx="72">
                  <c:v>5836.6615853658586</c:v>
                </c:pt>
                <c:pt idx="73">
                  <c:v>5388.0420624151993</c:v>
                </c:pt>
                <c:pt idx="74">
                  <c:v>5354.3179347826108</c:v>
                </c:pt>
                <c:pt idx="75">
                  <c:v>5633.2154531946553</c:v>
                </c:pt>
                <c:pt idx="76">
                  <c:v>5192.802380952382</c:v>
                </c:pt>
                <c:pt idx="77">
                  <c:v>5183.4481434058889</c:v>
                </c:pt>
                <c:pt idx="78">
                  <c:v>5988.5436137071702</c:v>
                </c:pt>
                <c:pt idx="79">
                  <c:v>5223.8095238095293</c:v>
                </c:pt>
                <c:pt idx="80">
                  <c:v>5111.8186528497372</c:v>
                </c:pt>
                <c:pt idx="81">
                  <c:v>5301.570153061215</c:v>
                </c:pt>
                <c:pt idx="82">
                  <c:v>5600.5260347129524</c:v>
                </c:pt>
                <c:pt idx="83">
                  <c:v>5383.641154328734</c:v>
                </c:pt>
                <c:pt idx="84">
                  <c:v>5597.9143179255907</c:v>
                </c:pt>
                <c:pt idx="85">
                  <c:v>5848.136986545831</c:v>
                </c:pt>
                <c:pt idx="86">
                  <c:v>5235.7193627450988</c:v>
                </c:pt>
                <c:pt idx="87">
                  <c:v>5358.3698296836992</c:v>
                </c:pt>
                <c:pt idx="88">
                  <c:v>5151.5856209150343</c:v>
                </c:pt>
                <c:pt idx="89">
                  <c:v>5085.7474012473931</c:v>
                </c:pt>
                <c:pt idx="90">
                  <c:v>5115.9162162162165</c:v>
                </c:pt>
                <c:pt idx="91">
                  <c:v>4956.0990629183434</c:v>
                </c:pt>
                <c:pt idx="92">
                  <c:v>5575.165217391308</c:v>
                </c:pt>
                <c:pt idx="93">
                  <c:v>5234.9846938775527</c:v>
                </c:pt>
                <c:pt idx="94">
                  <c:v>5108.3444302176713</c:v>
                </c:pt>
                <c:pt idx="95">
                  <c:v>5448.0796586059778</c:v>
                </c:pt>
                <c:pt idx="96">
                  <c:v>5591.1853035143813</c:v>
                </c:pt>
                <c:pt idx="97">
                  <c:v>5680.0428360413634</c:v>
                </c:pt>
                <c:pt idx="98">
                  <c:v>5323.4546615581057</c:v>
                </c:pt>
                <c:pt idx="99">
                  <c:v>5538.4243759177698</c:v>
                </c:pt>
                <c:pt idx="100">
                  <c:v>5429.4293015332241</c:v>
                </c:pt>
                <c:pt idx="101">
                  <c:v>5612.2460456942063</c:v>
                </c:pt>
                <c:pt idx="102">
                  <c:v>5154.0754437869837</c:v>
                </c:pt>
                <c:pt idx="103">
                  <c:v>5643.9979381443381</c:v>
                </c:pt>
                <c:pt idx="104">
                  <c:v>5256.5872193437017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55-4FA8-82B9-6D600C2C6636}"/>
            </c:ext>
          </c:extLst>
        </c:ser>
        <c:ser>
          <c:idx val="1"/>
          <c:order val="1"/>
          <c:tx>
            <c:strRef>
              <c:f>'Averages Graph Data'!$CE$4</c:f>
              <c:strCache>
                <c:ptCount val="1"/>
                <c:pt idx="0">
                  <c:v>Average Vehicle Value - 4 Week Avg (Boom Annual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Data'!$CE$5:$CE$109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7075.8638154419914</c:v>
                </c:pt>
                <c:pt idx="27">
                  <c:v>7134.8855274865746</c:v>
                </c:pt>
                <c:pt idx="28">
                  <c:v>6891.4388720428424</c:v>
                </c:pt>
                <c:pt idx="29">
                  <c:v>6777.2782084394203</c:v>
                </c:pt>
                <c:pt idx="30">
                  <c:v>6949.6540456564653</c:v>
                </c:pt>
                <c:pt idx="31">
                  <c:v>6766.0769993253898</c:v>
                </c:pt>
                <c:pt idx="32">
                  <c:v>6803.3995163742347</c:v>
                </c:pt>
                <c:pt idx="33">
                  <c:v>6776.9232710012875</c:v>
                </c:pt>
                <c:pt idx="34">
                  <c:v>6484.847416660954</c:v>
                </c:pt>
                <c:pt idx="35">
                  <c:v>6376.1943182500445</c:v>
                </c:pt>
                <c:pt idx="36">
                  <c:v>6310.8074658079195</c:v>
                </c:pt>
                <c:pt idx="37">
                  <c:v>6105.6501692551801</c:v>
                </c:pt>
                <c:pt idx="38">
                  <c:v>6010.0405540255269</c:v>
                </c:pt>
                <c:pt idx="39">
                  <c:v>6012.5622234114117</c:v>
                </c:pt>
                <c:pt idx="40">
                  <c:v>6015.2843442462763</c:v>
                </c:pt>
                <c:pt idx="41">
                  <c:v>6137.9715230506117</c:v>
                </c:pt>
                <c:pt idx="42">
                  <c:v>6159.8329425936336</c:v>
                </c:pt>
                <c:pt idx="43">
                  <c:v>6143.8680897899567</c:v>
                </c:pt>
                <c:pt idx="44">
                  <c:v>6144.8806828406478</c:v>
                </c:pt>
                <c:pt idx="45">
                  <c:v>6111.0213080477497</c:v>
                </c:pt>
                <c:pt idx="46">
                  <c:v>6103.530668816853</c:v>
                </c:pt>
                <c:pt idx="47">
                  <c:v>6102.5910973206419</c:v>
                </c:pt>
                <c:pt idx="48">
                  <c:v>6026.4788421319417</c:v>
                </c:pt>
                <c:pt idx="49">
                  <c:v>5954.2697619086093</c:v>
                </c:pt>
                <c:pt idx="50">
                  <c:v>5947.0847525288136</c:v>
                </c:pt>
                <c:pt idx="51">
                  <c:v>5846.2727773934876</c:v>
                </c:pt>
                <c:pt idx="52">
                  <c:v>5753.5651238592036</c:v>
                </c:pt>
                <c:pt idx="53">
                  <c:v>5904.0283530576844</c:v>
                </c:pt>
                <c:pt idx="54">
                  <c:v>5852.7234463623572</c:v>
                </c:pt>
                <c:pt idx="55">
                  <c:v>5805.3184326843148</c:v>
                </c:pt>
                <c:pt idx="56">
                  <c:v>5849.6648892248686</c:v>
                </c:pt>
                <c:pt idx="57">
                  <c:v>5693.396103234506</c:v>
                </c:pt>
                <c:pt idx="58">
                  <c:v>5625.0616485069977</c:v>
                </c:pt>
                <c:pt idx="59">
                  <c:v>5561.8416897193547</c:v>
                </c:pt>
                <c:pt idx="60">
                  <c:v>5573.6779603345967</c:v>
                </c:pt>
                <c:pt idx="61">
                  <c:v>5545.3919332932255</c:v>
                </c:pt>
                <c:pt idx="62">
                  <c:v>5597.5183860024472</c:v>
                </c:pt>
                <c:pt idx="63">
                  <c:v>5775.0986988166769</c:v>
                </c:pt>
                <c:pt idx="64">
                  <c:v>5791.1060875576422</c:v>
                </c:pt>
                <c:pt idx="65">
                  <c:v>5840.7869930099178</c:v>
                </c:pt>
                <c:pt idx="66">
                  <c:v>5798.0515858444423</c:v>
                </c:pt>
                <c:pt idx="67">
                  <c:v>5645.8750692353751</c:v>
                </c:pt>
                <c:pt idx="68">
                  <c:v>5673.2368068648348</c:v>
                </c:pt>
                <c:pt idx="69">
                  <c:v>5602.510702605925</c:v>
                </c:pt>
                <c:pt idx="70">
                  <c:v>5718.1450660449618</c:v>
                </c:pt>
                <c:pt idx="71">
                  <c:v>5866.6023439095798</c:v>
                </c:pt>
                <c:pt idx="72">
                  <c:v>5843.9446389852201</c:v>
                </c:pt>
                <c:pt idx="73">
                  <c:v>5816.94559576549</c:v>
                </c:pt>
                <c:pt idx="74">
                  <c:v>5658.8291433218092</c:v>
                </c:pt>
                <c:pt idx="75">
                  <c:v>5553.059258939581</c:v>
                </c:pt>
                <c:pt idx="76">
                  <c:v>5392.0944578362123</c:v>
                </c:pt>
                <c:pt idx="77">
                  <c:v>5340.9459780838843</c:v>
                </c:pt>
                <c:pt idx="78">
                  <c:v>5499.5023978150239</c:v>
                </c:pt>
                <c:pt idx="79">
                  <c:v>5397.1509154687428</c:v>
                </c:pt>
                <c:pt idx="80">
                  <c:v>5376.9049834430807</c:v>
                </c:pt>
                <c:pt idx="81">
                  <c:v>5406.4354858569131</c:v>
                </c:pt>
                <c:pt idx="82">
                  <c:v>5309.4310911083585</c:v>
                </c:pt>
                <c:pt idx="83">
                  <c:v>5349.388998738159</c:v>
                </c:pt>
                <c:pt idx="84">
                  <c:v>5470.912915007123</c:v>
                </c:pt>
                <c:pt idx="85">
                  <c:v>5607.554623378277</c:v>
                </c:pt>
                <c:pt idx="86">
                  <c:v>5516.3529553863136</c:v>
                </c:pt>
                <c:pt idx="87">
                  <c:v>5510.0351242250545</c:v>
                </c:pt>
                <c:pt idx="88">
                  <c:v>5398.4529499724158</c:v>
                </c:pt>
                <c:pt idx="89">
                  <c:v>5207.8555536478061</c:v>
                </c:pt>
                <c:pt idx="90">
                  <c:v>5177.904767015586</c:v>
                </c:pt>
                <c:pt idx="91">
                  <c:v>5077.3370753242471</c:v>
                </c:pt>
                <c:pt idx="92">
                  <c:v>5183.2319744433153</c:v>
                </c:pt>
                <c:pt idx="93">
                  <c:v>5220.5412976008556</c:v>
                </c:pt>
                <c:pt idx="94">
                  <c:v>5218.6483511012193</c:v>
                </c:pt>
                <c:pt idx="95">
                  <c:v>5341.6435000231277</c:v>
                </c:pt>
                <c:pt idx="96">
                  <c:v>5345.648521553896</c:v>
                </c:pt>
                <c:pt idx="97">
                  <c:v>5456.9130570948482</c:v>
                </c:pt>
                <c:pt idx="98">
                  <c:v>5510.6906149299575</c:v>
                </c:pt>
                <c:pt idx="99">
                  <c:v>5533.2767942579048</c:v>
                </c:pt>
                <c:pt idx="100">
                  <c:v>5492.8377937626155</c:v>
                </c:pt>
                <c:pt idx="101">
                  <c:v>5475.888596175826</c:v>
                </c:pt>
                <c:pt idx="102">
                  <c:v>5433.5437917330455</c:v>
                </c:pt>
                <c:pt idx="103">
                  <c:v>5459.9371822896883</c:v>
                </c:pt>
                <c:pt idx="104">
                  <c:v>5416.7266617423074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55-4FA8-82B9-6D600C2C6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Data'!$BZ$4</c:f>
              <c:strCache>
                <c:ptCount val="1"/>
                <c:pt idx="0">
                  <c:v>Average Vehicle Value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Data'!$BZ$5:$BZ$109</c:f>
              <c:numCache>
                <c:formatCode>#,##0</c:formatCode>
                <c:ptCount val="105"/>
                <c:pt idx="0">
                  <c:v>9969.3455284552856</c:v>
                </c:pt>
                <c:pt idx="1">
                  <c:v>9302.1638655462193</c:v>
                </c:pt>
                <c:pt idx="2">
                  <c:v>9931.5330578512403</c:v>
                </c:pt>
                <c:pt idx="3">
                  <c:v>11119.323943661968</c:v>
                </c:pt>
                <c:pt idx="4">
                  <c:v>10725.01351351351</c:v>
                </c:pt>
                <c:pt idx="5">
                  <c:v>11067.594594594593</c:v>
                </c:pt>
                <c:pt idx="6">
                  <c:v>10392.955882352939</c:v>
                </c:pt>
                <c:pt idx="7">
                  <c:v>9500.3103448275851</c:v>
                </c:pt>
                <c:pt idx="8">
                  <c:v>9861.5991561181418</c:v>
                </c:pt>
                <c:pt idx="9">
                  <c:v>9746.4631578947374</c:v>
                </c:pt>
                <c:pt idx="10">
                  <c:v>10241.555205047322</c:v>
                </c:pt>
                <c:pt idx="11">
                  <c:v>10922.33547008546</c:v>
                </c:pt>
                <c:pt idx="12">
                  <c:v>10378.725388601039</c:v>
                </c:pt>
                <c:pt idx="13">
                  <c:v>10003.608899297422</c:v>
                </c:pt>
                <c:pt idx="14">
                  <c:v>11076.532224532217</c:v>
                </c:pt>
                <c:pt idx="15">
                  <c:v>10274.701873935261</c:v>
                </c:pt>
                <c:pt idx="16">
                  <c:v>10737.814070351758</c:v>
                </c:pt>
                <c:pt idx="17">
                  <c:v>10760.415349887133</c:v>
                </c:pt>
                <c:pt idx="18">
                  <c:v>9798.6284403669688</c:v>
                </c:pt>
                <c:pt idx="19">
                  <c:v>10894.379939209728</c:v>
                </c:pt>
                <c:pt idx="20">
                  <c:v>9507.1497005988003</c:v>
                </c:pt>
                <c:pt idx="21">
                  <c:v>9573.0792540792554</c:v>
                </c:pt>
                <c:pt idx="22">
                  <c:v>8958.8379052369055</c:v>
                </c:pt>
                <c:pt idx="23">
                  <c:v>8649.3693379790948</c:v>
                </c:pt>
                <c:pt idx="24">
                  <c:v>8528.0812294182197</c:v>
                </c:pt>
                <c:pt idx="25">
                  <c:v>7725.9230769230762</c:v>
                </c:pt>
                <c:pt idx="26">
                  <c:v>7843.1089743589755</c:v>
                </c:pt>
                <c:pt idx="27">
                  <c:v>8079.7661050545048</c:v>
                </c:pt>
                <c:pt idx="28">
                  <c:v>7293.0828777727011</c:v>
                </c:pt>
                <c:pt idx="29">
                  <c:v>7579.2112103980535</c:v>
                </c:pt>
                <c:pt idx="30">
                  <c:v>8330.3354786806176</c:v>
                </c:pt>
                <c:pt idx="31">
                  <c:v>7510.2652141247218</c:v>
                </c:pt>
                <c:pt idx="32">
                  <c:v>7336.5672323759754</c:v>
                </c:pt>
                <c:pt idx="33">
                  <c:v>7321.1607142857119</c:v>
                </c:pt>
                <c:pt idx="34">
                  <c:v>7076.9359165424767</c:v>
                </c:pt>
                <c:pt idx="35">
                  <c:v>6615.1704892966418</c:v>
                </c:pt>
                <c:pt idx="36">
                  <c:v>6797.6451822916661</c:v>
                </c:pt>
                <c:pt idx="37">
                  <c:v>6422.1516677155432</c:v>
                </c:pt>
                <c:pt idx="38">
                  <c:v>6429.0408320493088</c:v>
                </c:pt>
                <c:pt idx="39">
                  <c:v>6922.8286176232878</c:v>
                </c:pt>
                <c:pt idx="40">
                  <c:v>6657.2655449890244</c:v>
                </c:pt>
                <c:pt idx="41">
                  <c:v>6806.1889055472257</c:v>
                </c:pt>
                <c:pt idx="42">
                  <c:v>6491.21293375394</c:v>
                </c:pt>
                <c:pt idx="43">
                  <c:v>6713.6238136324455</c:v>
                </c:pt>
                <c:pt idx="44">
                  <c:v>6769.3575757575809</c:v>
                </c:pt>
                <c:pt idx="45">
                  <c:v>6642.7293617021342</c:v>
                </c:pt>
                <c:pt idx="46">
                  <c:v>6567.2175043327588</c:v>
                </c:pt>
                <c:pt idx="47">
                  <c:v>6745.0194075587378</c:v>
                </c:pt>
                <c:pt idx="48">
                  <c:v>6375.2154515778047</c:v>
                </c:pt>
                <c:pt idx="49">
                  <c:v>6152.4129979035688</c:v>
                </c:pt>
                <c:pt idx="50">
                  <c:v>6238.3281853281887</c:v>
                </c:pt>
                <c:pt idx="51">
                  <c:v>6204.4031100478524</c:v>
                </c:pt>
                <c:pt idx="52">
                  <c:v>6044.2453531598567</c:v>
                </c:pt>
                <c:pt idx="53">
                  <c:v>6404.0791027154692</c:v>
                </c:pt>
                <c:pt idx="54">
                  <c:v>6297.9128787878844</c:v>
                </c:pt>
                <c:pt idx="55">
                  <c:v>6072.8148936170246</c:v>
                </c:pt>
                <c:pt idx="56">
                  <c:v>6010.3636363636433</c:v>
                </c:pt>
                <c:pt idx="57">
                  <c:v>6435.622991347348</c:v>
                </c:pt>
                <c:pt idx="58">
                  <c:v>6106.8390410958937</c:v>
                </c:pt>
                <c:pt idx="59">
                  <c:v>5960.3385354141692</c:v>
                </c:pt>
                <c:pt idx="60">
                  <c:v>6681.6242690058525</c:v>
                </c:pt>
                <c:pt idx="61">
                  <c:v>5881.2860727729039</c:v>
                </c:pt>
                <c:pt idx="62">
                  <c:v>6341.7154105736836</c:v>
                </c:pt>
                <c:pt idx="63">
                  <c:v>6651.2210636079299</c:v>
                </c:pt>
                <c:pt idx="64">
                  <c:v>6530.5407124681979</c:v>
                </c:pt>
                <c:pt idx="65">
                  <c:v>6464.3110285006251</c:v>
                </c:pt>
                <c:pt idx="66">
                  <c:v>6897.4578431372593</c:v>
                </c:pt>
                <c:pt idx="67">
                  <c:v>6464.7397003745336</c:v>
                </c:pt>
                <c:pt idx="68">
                  <c:v>6966.4447439353144</c:v>
                </c:pt>
                <c:pt idx="69">
                  <c:v>6479.8465447154513</c:v>
                </c:pt>
                <c:pt idx="70">
                  <c:v>6811.9876033057899</c:v>
                </c:pt>
                <c:pt idx="71">
                  <c:v>6948.9829172141963</c:v>
                </c:pt>
                <c:pt idx="72">
                  <c:v>6451.38933951333</c:v>
                </c:pt>
                <c:pt idx="73">
                  <c:v>5943.1513026052125</c:v>
                </c:pt>
                <c:pt idx="74">
                  <c:v>6115.9337410805319</c:v>
                </c:pt>
                <c:pt idx="75">
                  <c:v>6138.6394009216629</c:v>
                </c:pt>
                <c:pt idx="76">
                  <c:v>6035.6940092165896</c:v>
                </c:pt>
                <c:pt idx="77">
                  <c:v>5689.4436758893271</c:v>
                </c:pt>
                <c:pt idx="78">
                  <c:v>6649.08937198068</c:v>
                </c:pt>
                <c:pt idx="79">
                  <c:v>6055.9015544041504</c:v>
                </c:pt>
                <c:pt idx="80">
                  <c:v>5795.4717948717907</c:v>
                </c:pt>
                <c:pt idx="81">
                  <c:v>5914.1313340227416</c:v>
                </c:pt>
                <c:pt idx="82">
                  <c:v>6214.6285714285732</c:v>
                </c:pt>
                <c:pt idx="83">
                  <c:v>5979.7759838546926</c:v>
                </c:pt>
                <c:pt idx="84">
                  <c:v>6015.961713764812</c:v>
                </c:pt>
                <c:pt idx="85">
                  <c:v>6370.0875981915206</c:v>
                </c:pt>
                <c:pt idx="86">
                  <c:v>5711.258517034069</c:v>
                </c:pt>
                <c:pt idx="87">
                  <c:v>5679.8884540117415</c:v>
                </c:pt>
                <c:pt idx="88">
                  <c:v>5648.4881320949444</c:v>
                </c:pt>
                <c:pt idx="89">
                  <c:v>5594.4041152263317</c:v>
                </c:pt>
                <c:pt idx="90">
                  <c:v>5745.0689289501588</c:v>
                </c:pt>
                <c:pt idx="91">
                  <c:v>5618.7671232876746</c:v>
                </c:pt>
                <c:pt idx="92">
                  <c:v>6097.9864712514109</c:v>
                </c:pt>
                <c:pt idx="93">
                  <c:v>5888.027327935225</c:v>
                </c:pt>
                <c:pt idx="94">
                  <c:v>5604.1228426395946</c:v>
                </c:pt>
                <c:pt idx="95">
                  <c:v>5741.7862857142882</c:v>
                </c:pt>
                <c:pt idx="96">
                  <c:v>6158.9013563501894</c:v>
                </c:pt>
                <c:pt idx="97">
                  <c:v>6334.1484098939973</c:v>
                </c:pt>
                <c:pt idx="98">
                  <c:v>6083.0445795339365</c:v>
                </c:pt>
                <c:pt idx="99">
                  <c:v>6078.582568807341</c:v>
                </c:pt>
                <c:pt idx="100">
                  <c:v>6287.0715249662662</c:v>
                </c:pt>
                <c:pt idx="101">
                  <c:v>6198.7777777777828</c:v>
                </c:pt>
                <c:pt idx="102">
                  <c:v>5473.8289473684226</c:v>
                </c:pt>
                <c:pt idx="103">
                  <c:v>6057.6682847896518</c:v>
                </c:pt>
                <c:pt idx="104">
                  <c:v>5622.6944818304219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4D-4F3B-89CA-E101C4EDBAC7}"/>
            </c:ext>
          </c:extLst>
        </c:ser>
        <c:ser>
          <c:idx val="1"/>
          <c:order val="1"/>
          <c:tx>
            <c:strRef>
              <c:f>'Averages Graph Data'!$CA$4</c:f>
              <c:strCache>
                <c:ptCount val="1"/>
                <c:pt idx="0">
                  <c:v>Average Vehicle Value - 4 Week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Data'!$CA$5:$CA$109</c:f>
              <c:numCache>
                <c:formatCode>#,##0</c:formatCode>
                <c:ptCount val="105"/>
                <c:pt idx="3">
                  <c:v>10080.591598878678</c:v>
                </c:pt>
                <c:pt idx="4">
                  <c:v>10269.508595143234</c:v>
                </c:pt>
                <c:pt idx="5">
                  <c:v>10710.866277405326</c:v>
                </c:pt>
                <c:pt idx="6">
                  <c:v>10826.221983530751</c:v>
                </c:pt>
                <c:pt idx="7">
                  <c:v>10421.468583822158</c:v>
                </c:pt>
                <c:pt idx="8">
                  <c:v>10205.614994473315</c:v>
                </c:pt>
                <c:pt idx="9">
                  <c:v>9875.3321352983512</c:v>
                </c:pt>
                <c:pt idx="10">
                  <c:v>9837.4819659719469</c:v>
                </c:pt>
                <c:pt idx="11">
                  <c:v>10192.988247286416</c:v>
                </c:pt>
                <c:pt idx="12">
                  <c:v>10322.269805407139</c:v>
                </c:pt>
                <c:pt idx="13">
                  <c:v>10386.556240757811</c:v>
                </c:pt>
                <c:pt idx="14">
                  <c:v>10595.300495629035</c:v>
                </c:pt>
                <c:pt idx="15">
                  <c:v>10433.392096591484</c:v>
                </c:pt>
                <c:pt idx="16">
                  <c:v>10523.164267029164</c:v>
                </c:pt>
                <c:pt idx="17">
                  <c:v>10712.365879676592</c:v>
                </c:pt>
                <c:pt idx="18">
                  <c:v>10392.889933635281</c:v>
                </c:pt>
                <c:pt idx="19">
                  <c:v>10547.809449953897</c:v>
                </c:pt>
                <c:pt idx="20">
                  <c:v>10240.143357515657</c:v>
                </c:pt>
                <c:pt idx="21">
                  <c:v>9943.3093335636877</c:v>
                </c:pt>
                <c:pt idx="22">
                  <c:v>9733.3616997811714</c:v>
                </c:pt>
                <c:pt idx="23">
                  <c:v>9172.1090494735145</c:v>
                </c:pt>
                <c:pt idx="24">
                  <c:v>8927.3419316783675</c:v>
                </c:pt>
                <c:pt idx="25">
                  <c:v>8465.5528873893236</c:v>
                </c:pt>
                <c:pt idx="26">
                  <c:v>8186.6206546698413</c:v>
                </c:pt>
                <c:pt idx="27">
                  <c:v>8044.2198464386947</c:v>
                </c:pt>
                <c:pt idx="28">
                  <c:v>7735.4702585273135</c:v>
                </c:pt>
                <c:pt idx="29">
                  <c:v>7698.7922918960585</c:v>
                </c:pt>
                <c:pt idx="30">
                  <c:v>7820.5989179764692</c:v>
                </c:pt>
                <c:pt idx="31">
                  <c:v>7678.2236952440235</c:v>
                </c:pt>
                <c:pt idx="32">
                  <c:v>7689.0947838948423</c:v>
                </c:pt>
                <c:pt idx="33">
                  <c:v>7624.5821598667571</c:v>
                </c:pt>
                <c:pt idx="34">
                  <c:v>7311.2322693322212</c:v>
                </c:pt>
                <c:pt idx="35">
                  <c:v>7087.4585881252015</c:v>
                </c:pt>
                <c:pt idx="36">
                  <c:v>6952.7280756041237</c:v>
                </c:pt>
                <c:pt idx="37">
                  <c:v>6727.9758139615824</c:v>
                </c:pt>
                <c:pt idx="38">
                  <c:v>6566.0020428382904</c:v>
                </c:pt>
                <c:pt idx="39">
                  <c:v>6642.916574919951</c:v>
                </c:pt>
                <c:pt idx="40">
                  <c:v>6607.8216655942906</c:v>
                </c:pt>
                <c:pt idx="41">
                  <c:v>6703.8309750522112</c:v>
                </c:pt>
                <c:pt idx="42">
                  <c:v>6719.3740004783695</c:v>
                </c:pt>
                <c:pt idx="43">
                  <c:v>6667.0727994806593</c:v>
                </c:pt>
                <c:pt idx="44">
                  <c:v>6695.0958071727982</c:v>
                </c:pt>
                <c:pt idx="45">
                  <c:v>6654.2309212115251</c:v>
                </c:pt>
                <c:pt idx="46">
                  <c:v>6673.2320638562296</c:v>
                </c:pt>
                <c:pt idx="47">
                  <c:v>6681.0809623378036</c:v>
                </c:pt>
                <c:pt idx="48">
                  <c:v>6582.5454312928596</c:v>
                </c:pt>
                <c:pt idx="49">
                  <c:v>6459.9663403432178</c:v>
                </c:pt>
                <c:pt idx="50">
                  <c:v>6377.744010592075</c:v>
                </c:pt>
                <c:pt idx="51">
                  <c:v>6242.5899362143537</c:v>
                </c:pt>
                <c:pt idx="52">
                  <c:v>6159.847411609866</c:v>
                </c:pt>
                <c:pt idx="53">
                  <c:v>6222.7639378128424</c:v>
                </c:pt>
                <c:pt idx="54">
                  <c:v>6237.6601111777654</c:v>
                </c:pt>
                <c:pt idx="55">
                  <c:v>6204.7630570700585</c:v>
                </c:pt>
                <c:pt idx="56">
                  <c:v>6196.2926278710056</c:v>
                </c:pt>
                <c:pt idx="57">
                  <c:v>6204.1786000289749</c:v>
                </c:pt>
                <c:pt idx="58">
                  <c:v>6156.4101406059772</c:v>
                </c:pt>
                <c:pt idx="59">
                  <c:v>6128.2910510552629</c:v>
                </c:pt>
                <c:pt idx="60">
                  <c:v>6296.1062092158163</c:v>
                </c:pt>
                <c:pt idx="61">
                  <c:v>6157.5219795722041</c:v>
                </c:pt>
                <c:pt idx="62">
                  <c:v>6216.241071941653</c:v>
                </c:pt>
                <c:pt idx="63">
                  <c:v>6388.9617039900922</c:v>
                </c:pt>
                <c:pt idx="64">
                  <c:v>6351.1908148556786</c:v>
                </c:pt>
                <c:pt idx="65">
                  <c:v>6496.9470537876095</c:v>
                </c:pt>
                <c:pt idx="66">
                  <c:v>6635.8826619285028</c:v>
                </c:pt>
                <c:pt idx="67">
                  <c:v>6589.2623211201535</c:v>
                </c:pt>
                <c:pt idx="68">
                  <c:v>6698.2383289869331</c:v>
                </c:pt>
                <c:pt idx="69">
                  <c:v>6702.1222080406396</c:v>
                </c:pt>
                <c:pt idx="70">
                  <c:v>6680.7546480827732</c:v>
                </c:pt>
                <c:pt idx="71">
                  <c:v>6801.8154522926889</c:v>
                </c:pt>
                <c:pt idx="72">
                  <c:v>6673.0516011871923</c:v>
                </c:pt>
                <c:pt idx="73">
                  <c:v>6538.8777906596324</c:v>
                </c:pt>
                <c:pt idx="74">
                  <c:v>6364.8643251033172</c:v>
                </c:pt>
                <c:pt idx="75">
                  <c:v>6162.2784460301846</c:v>
                </c:pt>
                <c:pt idx="76">
                  <c:v>6058.3546134559992</c:v>
                </c:pt>
                <c:pt idx="77">
                  <c:v>5994.9277067770281</c:v>
                </c:pt>
                <c:pt idx="78">
                  <c:v>6128.2166145020656</c:v>
                </c:pt>
                <c:pt idx="79">
                  <c:v>6107.5321528726872</c:v>
                </c:pt>
                <c:pt idx="80">
                  <c:v>6047.4765992864877</c:v>
                </c:pt>
                <c:pt idx="81">
                  <c:v>6103.6485138198414</c:v>
                </c:pt>
                <c:pt idx="82">
                  <c:v>5995.0333136818144</c:v>
                </c:pt>
                <c:pt idx="83">
                  <c:v>5976.0019210444498</c:v>
                </c:pt>
                <c:pt idx="84">
                  <c:v>6031.1244007677051</c:v>
                </c:pt>
                <c:pt idx="85">
                  <c:v>6145.1134668098994</c:v>
                </c:pt>
                <c:pt idx="86">
                  <c:v>6019.2709532112731</c:v>
                </c:pt>
                <c:pt idx="87">
                  <c:v>5944.299070750536</c:v>
                </c:pt>
                <c:pt idx="88">
                  <c:v>5852.4306753330693</c:v>
                </c:pt>
                <c:pt idx="89">
                  <c:v>5658.5098045917712</c:v>
                </c:pt>
                <c:pt idx="90">
                  <c:v>5666.9624075707943</c:v>
                </c:pt>
                <c:pt idx="91">
                  <c:v>5651.6820748897771</c:v>
                </c:pt>
                <c:pt idx="92">
                  <c:v>5764.056659678894</c:v>
                </c:pt>
                <c:pt idx="93">
                  <c:v>5837.4624628561178</c:v>
                </c:pt>
                <c:pt idx="94">
                  <c:v>5802.2259412784761</c:v>
                </c:pt>
                <c:pt idx="95">
                  <c:v>5832.980731885129</c:v>
                </c:pt>
                <c:pt idx="96">
                  <c:v>5848.2094531598241</c:v>
                </c:pt>
                <c:pt idx="97">
                  <c:v>5959.7397236495181</c:v>
                </c:pt>
                <c:pt idx="98">
                  <c:v>6079.4701578731028</c:v>
                </c:pt>
                <c:pt idx="99">
                  <c:v>6163.6692286463667</c:v>
                </c:pt>
                <c:pt idx="100">
                  <c:v>6195.7117708003861</c:v>
                </c:pt>
                <c:pt idx="101">
                  <c:v>6161.8691127713319</c:v>
                </c:pt>
                <c:pt idx="102">
                  <c:v>6009.5652047299527</c:v>
                </c:pt>
                <c:pt idx="103">
                  <c:v>6004.3366337255311</c:v>
                </c:pt>
                <c:pt idx="104">
                  <c:v>5838.2423729415696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4D-4F3B-89CA-E101C4EDB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Data'!$CJ$4</c:f>
              <c:strCache>
                <c:ptCount val="1"/>
                <c:pt idx="0">
                  <c:v>Average Proportion Over £25k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Data'!$CJ$5:$CJ$109</c:f>
              <c:numCache>
                <c:formatCode>0.0%</c:formatCode>
                <c:ptCount val="105"/>
                <c:pt idx="0">
                  <c:v>9.9827798278545377E-2</c:v>
                </c:pt>
                <c:pt idx="1">
                  <c:v>9.4068000963256765E-2</c:v>
                </c:pt>
                <c:pt idx="2">
                  <c:v>0.1074701573453939</c:v>
                </c:pt>
                <c:pt idx="3">
                  <c:v>0.10604695077348539</c:v>
                </c:pt>
                <c:pt idx="4">
                  <c:v>9.8053026637480098E-2</c:v>
                </c:pt>
                <c:pt idx="5">
                  <c:v>0.10141170881666153</c:v>
                </c:pt>
                <c:pt idx="6">
                  <c:v>9.4306561706890002E-2</c:v>
                </c:pt>
                <c:pt idx="7">
                  <c:v>8.2477508935128216E-2</c:v>
                </c:pt>
                <c:pt idx="8">
                  <c:v>7.671896925661334E-2</c:v>
                </c:pt>
                <c:pt idx="9">
                  <c:v>7.5728582426536253E-2</c:v>
                </c:pt>
                <c:pt idx="10">
                  <c:v>6.6738450706433583E-2</c:v>
                </c:pt>
                <c:pt idx="11">
                  <c:v>7.0897958639865172E-2</c:v>
                </c:pt>
                <c:pt idx="12">
                  <c:v>5.7407837137725667E-2</c:v>
                </c:pt>
                <c:pt idx="13">
                  <c:v>5.8358552452397086E-2</c:v>
                </c:pt>
                <c:pt idx="14">
                  <c:v>7.0310670385996088E-2</c:v>
                </c:pt>
                <c:pt idx="15">
                  <c:v>5.8027587501047702E-2</c:v>
                </c:pt>
                <c:pt idx="16">
                  <c:v>6.7676051080286445E-2</c:v>
                </c:pt>
                <c:pt idx="17">
                  <c:v>6.8520069034759865E-2</c:v>
                </c:pt>
                <c:pt idx="18">
                  <c:v>5.4318925552578369E-2</c:v>
                </c:pt>
                <c:pt idx="19">
                  <c:v>6.5168103867613E-2</c:v>
                </c:pt>
                <c:pt idx="20">
                  <c:v>5.7529868352406276E-2</c:v>
                </c:pt>
                <c:pt idx="21">
                  <c:v>5.2771864237281925E-2</c:v>
                </c:pt>
                <c:pt idx="22">
                  <c:v>3.9408348393160639E-2</c:v>
                </c:pt>
                <c:pt idx="23">
                  <c:v>4.0353730432056034E-2</c:v>
                </c:pt>
                <c:pt idx="24">
                  <c:v>3.9421551408860896E-2</c:v>
                </c:pt>
                <c:pt idx="25">
                  <c:v>3.7844113748894258E-2</c:v>
                </c:pt>
                <c:pt idx="26">
                  <c:v>3.5344026722282061E-2</c:v>
                </c:pt>
                <c:pt idx="27">
                  <c:v>3.9213789155572408E-2</c:v>
                </c:pt>
                <c:pt idx="28">
                  <c:v>3.094878775463062E-2</c:v>
                </c:pt>
                <c:pt idx="29">
                  <c:v>3.1353016279742595E-2</c:v>
                </c:pt>
                <c:pt idx="30">
                  <c:v>4.467869708970737E-2</c:v>
                </c:pt>
                <c:pt idx="31">
                  <c:v>2.8400278118625309E-2</c:v>
                </c:pt>
                <c:pt idx="32">
                  <c:v>3.1560367922787658E-2</c:v>
                </c:pt>
                <c:pt idx="33">
                  <c:v>3.1678630920160808E-2</c:v>
                </c:pt>
                <c:pt idx="34">
                  <c:v>3.7431169956104487E-2</c:v>
                </c:pt>
                <c:pt idx="35">
                  <c:v>2.7839328897090003E-2</c:v>
                </c:pt>
                <c:pt idx="36">
                  <c:v>3.7999990786842339E-2</c:v>
                </c:pt>
                <c:pt idx="37">
                  <c:v>3.2293500865704899E-2</c:v>
                </c:pt>
                <c:pt idx="38">
                  <c:v>2.6723192591195162E-2</c:v>
                </c:pt>
                <c:pt idx="39">
                  <c:v>3.6175614404579844E-2</c:v>
                </c:pt>
                <c:pt idx="40">
                  <c:v>3.465862390275485E-2</c:v>
                </c:pt>
                <c:pt idx="41">
                  <c:v>3.7934970646963141E-2</c:v>
                </c:pt>
                <c:pt idx="42">
                  <c:v>3.0742650793675386E-2</c:v>
                </c:pt>
                <c:pt idx="43">
                  <c:v>3.5407705885787531E-2</c:v>
                </c:pt>
                <c:pt idx="44">
                  <c:v>3.0227085302872918E-2</c:v>
                </c:pt>
                <c:pt idx="45">
                  <c:v>3.5355374528062165E-2</c:v>
                </c:pt>
                <c:pt idx="46">
                  <c:v>3.0557571021708984E-2</c:v>
                </c:pt>
                <c:pt idx="47">
                  <c:v>3.9005572224556542E-2</c:v>
                </c:pt>
                <c:pt idx="48">
                  <c:v>2.9648248664954333E-2</c:v>
                </c:pt>
                <c:pt idx="49">
                  <c:v>3.165697575462869E-2</c:v>
                </c:pt>
                <c:pt idx="50">
                  <c:v>3.1829999277344499E-2</c:v>
                </c:pt>
                <c:pt idx="51">
                  <c:v>2.5823326332117764E-2</c:v>
                </c:pt>
                <c:pt idx="52">
                  <c:v>2.8535506611576781E-2</c:v>
                </c:pt>
                <c:pt idx="53">
                  <c:v>3.4300849073485296E-2</c:v>
                </c:pt>
                <c:pt idx="54">
                  <c:v>3.629187187762227E-2</c:v>
                </c:pt>
                <c:pt idx="55">
                  <c:v>2.6261799391096283E-2</c:v>
                </c:pt>
                <c:pt idx="56">
                  <c:v>3.0726087982414552E-2</c:v>
                </c:pt>
                <c:pt idx="57">
                  <c:v>3.4889134609798651E-2</c:v>
                </c:pt>
                <c:pt idx="58">
                  <c:v>3.2734480245647464E-2</c:v>
                </c:pt>
                <c:pt idx="59">
                  <c:v>2.9556469998904683E-2</c:v>
                </c:pt>
                <c:pt idx="60">
                  <c:v>4.5757569503836241E-2</c:v>
                </c:pt>
                <c:pt idx="61">
                  <c:v>2.5391310663668461E-2</c:v>
                </c:pt>
                <c:pt idx="62">
                  <c:v>2.8260457650477171E-2</c:v>
                </c:pt>
                <c:pt idx="63">
                  <c:v>3.6254602840619349E-2</c:v>
                </c:pt>
                <c:pt idx="64">
                  <c:v>3.1368531264134816E-2</c:v>
                </c:pt>
                <c:pt idx="65">
                  <c:v>3.3956659057478321E-2</c:v>
                </c:pt>
                <c:pt idx="66">
                  <c:v>3.9461994639153959E-2</c:v>
                </c:pt>
                <c:pt idx="67">
                  <c:v>3.2242549213561449E-2</c:v>
                </c:pt>
                <c:pt idx="68">
                  <c:v>3.840652520843215E-2</c:v>
                </c:pt>
                <c:pt idx="69">
                  <c:v>2.9062794483110249E-2</c:v>
                </c:pt>
                <c:pt idx="70">
                  <c:v>2.8654453293200287E-2</c:v>
                </c:pt>
                <c:pt idx="71">
                  <c:v>3.1878549920608262E-2</c:v>
                </c:pt>
                <c:pt idx="72">
                  <c:v>3.5719864293314661E-2</c:v>
                </c:pt>
                <c:pt idx="73">
                  <c:v>2.1065418829764801E-2</c:v>
                </c:pt>
                <c:pt idx="74">
                  <c:v>2.3603050719274481E-2</c:v>
                </c:pt>
                <c:pt idx="75">
                  <c:v>2.0798705689764645E-2</c:v>
                </c:pt>
                <c:pt idx="76">
                  <c:v>1.7510190647391337E-2</c:v>
                </c:pt>
                <c:pt idx="77">
                  <c:v>1.2845849802371538E-2</c:v>
                </c:pt>
                <c:pt idx="78">
                  <c:v>3.0193236714975865E-2</c:v>
                </c:pt>
                <c:pt idx="79">
                  <c:v>2.4611398963730595E-2</c:v>
                </c:pt>
                <c:pt idx="80">
                  <c:v>2.1538461538461524E-2</c:v>
                </c:pt>
                <c:pt idx="81">
                  <c:v>2.3784901758014464E-2</c:v>
                </c:pt>
                <c:pt idx="82">
                  <c:v>2.7513227513227524E-2</c:v>
                </c:pt>
                <c:pt idx="83">
                  <c:v>1.9172552976791119E-2</c:v>
                </c:pt>
                <c:pt idx="84">
                  <c:v>2.2789425706472174E-2</c:v>
                </c:pt>
                <c:pt idx="85">
                  <c:v>3.1495629661337891E-2</c:v>
                </c:pt>
                <c:pt idx="86">
                  <c:v>2.4048096192384776E-2</c:v>
                </c:pt>
                <c:pt idx="87">
                  <c:v>1.9569471624266147E-2</c:v>
                </c:pt>
                <c:pt idx="88">
                  <c:v>2.2703818369453045E-2</c:v>
                </c:pt>
                <c:pt idx="89">
                  <c:v>1.6460905349794226E-2</c:v>
                </c:pt>
                <c:pt idx="90">
                  <c:v>2.4390243902439029E-2</c:v>
                </c:pt>
                <c:pt idx="91">
                  <c:v>1.4752370916754484E-2</c:v>
                </c:pt>
                <c:pt idx="92">
                  <c:v>3.38218714768884E-2</c:v>
                </c:pt>
                <c:pt idx="93">
                  <c:v>2.9352226720647776E-2</c:v>
                </c:pt>
                <c:pt idx="94">
                  <c:v>2.5380710659898473E-2</c:v>
                </c:pt>
                <c:pt idx="95">
                  <c:v>2.8571428571428574E-2</c:v>
                </c:pt>
                <c:pt idx="96">
                  <c:v>2.9593094944512965E-2</c:v>
                </c:pt>
                <c:pt idx="97">
                  <c:v>2.7090694935217915E-2</c:v>
                </c:pt>
                <c:pt idx="98">
                  <c:v>3.3434650455927015E-2</c:v>
                </c:pt>
                <c:pt idx="99">
                  <c:v>3.3256880733944963E-2</c:v>
                </c:pt>
                <c:pt idx="100">
                  <c:v>4.3184885290148481E-2</c:v>
                </c:pt>
                <c:pt idx="101">
                  <c:v>3.8408779149519928E-2</c:v>
                </c:pt>
                <c:pt idx="102">
                  <c:v>2.8708133971291887E-2</c:v>
                </c:pt>
                <c:pt idx="103">
                  <c:v>3.7216828478964445E-2</c:v>
                </c:pt>
                <c:pt idx="104">
                  <c:v>3.0955585464333798E-2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7-4565-A722-F88471375B12}"/>
            </c:ext>
          </c:extLst>
        </c:ser>
        <c:ser>
          <c:idx val="1"/>
          <c:order val="1"/>
          <c:tx>
            <c:strRef>
              <c:f>'Averages Graph Data'!$CK$4</c:f>
              <c:strCache>
                <c:ptCount val="1"/>
                <c:pt idx="0">
                  <c:v>Average Proportion Over £25k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Data'!$CK$5:$CK$109</c:f>
              <c:numCache>
                <c:formatCode>#,##0</c:formatCode>
                <c:ptCount val="105"/>
                <c:pt idx="3">
                  <c:v>0.10185322684017037</c:v>
                </c:pt>
                <c:pt idx="4">
                  <c:v>0.10140953392990405</c:v>
                </c:pt>
                <c:pt idx="5">
                  <c:v>0.10324546089325523</c:v>
                </c:pt>
                <c:pt idx="6">
                  <c:v>9.9954561983629259E-2</c:v>
                </c:pt>
                <c:pt idx="7">
                  <c:v>9.4062201524039962E-2</c:v>
                </c:pt>
                <c:pt idx="8">
                  <c:v>8.8728687178823262E-2</c:v>
                </c:pt>
                <c:pt idx="9">
                  <c:v>8.2307905581291946E-2</c:v>
                </c:pt>
                <c:pt idx="10">
                  <c:v>7.5415877831177841E-2</c:v>
                </c:pt>
                <c:pt idx="11">
                  <c:v>7.2520990257362083E-2</c:v>
                </c:pt>
                <c:pt idx="12">
                  <c:v>6.7693207227640162E-2</c:v>
                </c:pt>
                <c:pt idx="13">
                  <c:v>6.335069973410537E-2</c:v>
                </c:pt>
                <c:pt idx="14">
                  <c:v>6.4243754653995996E-2</c:v>
                </c:pt>
                <c:pt idx="15">
                  <c:v>6.1026161869291634E-2</c:v>
                </c:pt>
                <c:pt idx="16">
                  <c:v>6.3593215354931829E-2</c:v>
                </c:pt>
                <c:pt idx="17">
                  <c:v>6.613359450052253E-2</c:v>
                </c:pt>
                <c:pt idx="18">
                  <c:v>6.2135658292168099E-2</c:v>
                </c:pt>
                <c:pt idx="19">
                  <c:v>6.3920787383809421E-2</c:v>
                </c:pt>
                <c:pt idx="20">
                  <c:v>6.1384241701839377E-2</c:v>
                </c:pt>
                <c:pt idx="21">
                  <c:v>5.7447190502469894E-2</c:v>
                </c:pt>
                <c:pt idx="22">
                  <c:v>5.371954621261546E-2</c:v>
                </c:pt>
                <c:pt idx="23">
                  <c:v>4.7515952853726215E-2</c:v>
                </c:pt>
                <c:pt idx="24">
                  <c:v>4.2988873617839873E-2</c:v>
                </c:pt>
                <c:pt idx="25">
                  <c:v>3.925693599574296E-2</c:v>
                </c:pt>
                <c:pt idx="26">
                  <c:v>3.8240855578023314E-2</c:v>
                </c:pt>
                <c:pt idx="27">
                  <c:v>3.7955870258902409E-2</c:v>
                </c:pt>
                <c:pt idx="28">
                  <c:v>3.5837679345344833E-2</c:v>
                </c:pt>
                <c:pt idx="29">
                  <c:v>3.4214904978056924E-2</c:v>
                </c:pt>
                <c:pt idx="30">
                  <c:v>3.654857256991325E-2</c:v>
                </c:pt>
                <c:pt idx="31">
                  <c:v>3.3845194810676472E-2</c:v>
                </c:pt>
                <c:pt idx="32">
                  <c:v>3.3998089852715734E-2</c:v>
                </c:pt>
                <c:pt idx="33">
                  <c:v>3.4079493512820289E-2</c:v>
                </c:pt>
                <c:pt idx="34">
                  <c:v>3.2267611729419568E-2</c:v>
                </c:pt>
                <c:pt idx="35">
                  <c:v>3.2127374424035737E-2</c:v>
                </c:pt>
                <c:pt idx="36">
                  <c:v>3.3737280140049411E-2</c:v>
                </c:pt>
                <c:pt idx="37">
                  <c:v>3.3890997626435437E-2</c:v>
                </c:pt>
                <c:pt idx="38">
                  <c:v>3.1214003285208097E-2</c:v>
                </c:pt>
                <c:pt idx="39">
                  <c:v>3.3298074662080561E-2</c:v>
                </c:pt>
                <c:pt idx="40">
                  <c:v>3.246273294105869E-2</c:v>
                </c:pt>
                <c:pt idx="41">
                  <c:v>3.3873100386373249E-2</c:v>
                </c:pt>
                <c:pt idx="42">
                  <c:v>3.4877964936993307E-2</c:v>
                </c:pt>
                <c:pt idx="43">
                  <c:v>3.4685987807295225E-2</c:v>
                </c:pt>
                <c:pt idx="44">
                  <c:v>3.3578103157324742E-2</c:v>
                </c:pt>
                <c:pt idx="45">
                  <c:v>3.2933204127599501E-2</c:v>
                </c:pt>
                <c:pt idx="46">
                  <c:v>3.2886934184607898E-2</c:v>
                </c:pt>
                <c:pt idx="47">
                  <c:v>3.3786400769300153E-2</c:v>
                </c:pt>
                <c:pt idx="48">
                  <c:v>3.3641691609820508E-2</c:v>
                </c:pt>
                <c:pt idx="49">
                  <c:v>3.2717091916462139E-2</c:v>
                </c:pt>
                <c:pt idx="50">
                  <c:v>3.3035198980371015E-2</c:v>
                </c:pt>
                <c:pt idx="51">
                  <c:v>2.9739637507261323E-2</c:v>
                </c:pt>
                <c:pt idx="52">
                  <c:v>2.9461451993916934E-2</c:v>
                </c:pt>
                <c:pt idx="53">
                  <c:v>3.0122420323631084E-2</c:v>
                </c:pt>
                <c:pt idx="54">
                  <c:v>3.1237888473700529E-2</c:v>
                </c:pt>
                <c:pt idx="55">
                  <c:v>3.1347506738445156E-2</c:v>
                </c:pt>
                <c:pt idx="56">
                  <c:v>3.18951520811546E-2</c:v>
                </c:pt>
                <c:pt idx="57">
                  <c:v>3.2042223465232937E-2</c:v>
                </c:pt>
                <c:pt idx="58">
                  <c:v>3.1152875557239237E-2</c:v>
                </c:pt>
                <c:pt idx="59">
                  <c:v>3.1976543209191334E-2</c:v>
                </c:pt>
                <c:pt idx="60">
                  <c:v>3.5734413589546758E-2</c:v>
                </c:pt>
                <c:pt idx="61">
                  <c:v>3.3359957603014211E-2</c:v>
                </c:pt>
                <c:pt idx="62">
                  <c:v>3.2241451954221637E-2</c:v>
                </c:pt>
                <c:pt idx="63">
                  <c:v>3.3915985164650303E-2</c:v>
                </c:pt>
                <c:pt idx="64">
                  <c:v>3.0318725604724948E-2</c:v>
                </c:pt>
                <c:pt idx="65">
                  <c:v>3.2460062703177417E-2</c:v>
                </c:pt>
                <c:pt idx="66">
                  <c:v>3.5260446950346608E-2</c:v>
                </c:pt>
                <c:pt idx="67">
                  <c:v>3.4257433543582134E-2</c:v>
                </c:pt>
                <c:pt idx="68">
                  <c:v>3.6016932029656473E-2</c:v>
                </c:pt>
                <c:pt idx="69">
                  <c:v>3.4793465886064454E-2</c:v>
                </c:pt>
                <c:pt idx="70">
                  <c:v>3.2091580549576032E-2</c:v>
                </c:pt>
                <c:pt idx="71">
                  <c:v>3.2000580726337741E-2</c:v>
                </c:pt>
                <c:pt idx="72">
                  <c:v>3.1328915497558368E-2</c:v>
                </c:pt>
                <c:pt idx="73">
                  <c:v>2.9329571584222003E-2</c:v>
                </c:pt>
                <c:pt idx="74">
                  <c:v>2.8066720940740551E-2</c:v>
                </c:pt>
                <c:pt idx="75">
                  <c:v>2.5296759883029648E-2</c:v>
                </c:pt>
                <c:pt idx="76">
                  <c:v>2.0744341471548813E-2</c:v>
                </c:pt>
                <c:pt idx="77">
                  <c:v>1.8689449214700501E-2</c:v>
                </c:pt>
                <c:pt idx="78">
                  <c:v>2.0336995713625846E-2</c:v>
                </c:pt>
                <c:pt idx="79">
                  <c:v>2.1290169032117334E-2</c:v>
                </c:pt>
                <c:pt idx="80">
                  <c:v>2.2297236754884878E-2</c:v>
                </c:pt>
                <c:pt idx="81">
                  <c:v>2.5031999743795611E-2</c:v>
                </c:pt>
                <c:pt idx="82">
                  <c:v>2.4361997443358527E-2</c:v>
                </c:pt>
                <c:pt idx="83">
                  <c:v>2.3002285946623655E-2</c:v>
                </c:pt>
                <c:pt idx="84">
                  <c:v>2.3315026988626319E-2</c:v>
                </c:pt>
                <c:pt idx="85">
                  <c:v>2.5242708964457176E-2</c:v>
                </c:pt>
                <c:pt idx="86">
                  <c:v>2.4376426134246492E-2</c:v>
                </c:pt>
                <c:pt idx="87">
                  <c:v>2.4475655796115246E-2</c:v>
                </c:pt>
                <c:pt idx="88">
                  <c:v>2.4454253961860462E-2</c:v>
                </c:pt>
                <c:pt idx="89">
                  <c:v>2.0695572883974549E-2</c:v>
                </c:pt>
                <c:pt idx="90">
                  <c:v>2.0781109811488112E-2</c:v>
                </c:pt>
                <c:pt idx="91">
                  <c:v>1.9576834634610196E-2</c:v>
                </c:pt>
                <c:pt idx="92">
                  <c:v>2.2356347911469034E-2</c:v>
                </c:pt>
                <c:pt idx="93">
                  <c:v>2.5579178254182419E-2</c:v>
                </c:pt>
                <c:pt idx="94">
                  <c:v>2.5826794943547282E-2</c:v>
                </c:pt>
                <c:pt idx="95">
                  <c:v>2.9281559357215804E-2</c:v>
                </c:pt>
                <c:pt idx="96">
                  <c:v>2.8224365224121948E-2</c:v>
                </c:pt>
                <c:pt idx="97">
                  <c:v>2.7658982277764484E-2</c:v>
                </c:pt>
                <c:pt idx="98">
                  <c:v>2.9672467226771616E-2</c:v>
                </c:pt>
                <c:pt idx="99">
                  <c:v>3.0843830267400715E-2</c:v>
                </c:pt>
                <c:pt idx="100">
                  <c:v>3.4241777853809593E-2</c:v>
                </c:pt>
                <c:pt idx="101">
                  <c:v>3.70712989073851E-2</c:v>
                </c:pt>
                <c:pt idx="102">
                  <c:v>3.5889669786226312E-2</c:v>
                </c:pt>
                <c:pt idx="103">
                  <c:v>3.6879656722481183E-2</c:v>
                </c:pt>
                <c:pt idx="104">
                  <c:v>3.3822331766027516E-2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D7-4565-A722-F88471375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Data'!$CN$4</c:f>
              <c:strCache>
                <c:ptCount val="1"/>
                <c:pt idx="0">
                  <c:v>Average Proportion Over £25k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Data'!$CN$5:$CN$109</c:f>
              <c:numCache>
                <c:formatCode>0.0%</c:formatCode>
                <c:ptCount val="105"/>
                <c:pt idx="0">
                  <c:v>0.10569105691056911</c:v>
                </c:pt>
                <c:pt idx="1">
                  <c:v>7.9831932773109238E-2</c:v>
                </c:pt>
                <c:pt idx="2">
                  <c:v>0.11983471074380163</c:v>
                </c:pt>
                <c:pt idx="3">
                  <c:v>0.11737089201877933</c:v>
                </c:pt>
                <c:pt idx="4">
                  <c:v>0.11711711711711711</c:v>
                </c:pt>
                <c:pt idx="5">
                  <c:v>0.11711711711711711</c:v>
                </c:pt>
                <c:pt idx="6">
                  <c:v>9.8039215686274536E-2</c:v>
                </c:pt>
                <c:pt idx="7">
                  <c:v>9.195402298850576E-2</c:v>
                </c:pt>
                <c:pt idx="8">
                  <c:v>8.0168776371308009E-2</c:v>
                </c:pt>
                <c:pt idx="9">
                  <c:v>8.0701754385964913E-2</c:v>
                </c:pt>
                <c:pt idx="10">
                  <c:v>5.9936908517350146E-2</c:v>
                </c:pt>
                <c:pt idx="11">
                  <c:v>7.6923076923076886E-2</c:v>
                </c:pt>
                <c:pt idx="12">
                  <c:v>5.4404145077720213E-2</c:v>
                </c:pt>
                <c:pt idx="13">
                  <c:v>6.0889929742388736E-2</c:v>
                </c:pt>
                <c:pt idx="14">
                  <c:v>7.6923076923076872E-2</c:v>
                </c:pt>
                <c:pt idx="15">
                  <c:v>6.3032367972742712E-2</c:v>
                </c:pt>
                <c:pt idx="16">
                  <c:v>7.7889447236180895E-2</c:v>
                </c:pt>
                <c:pt idx="17">
                  <c:v>8.5778781038374705E-2</c:v>
                </c:pt>
                <c:pt idx="18">
                  <c:v>5.7339449541284372E-2</c:v>
                </c:pt>
                <c:pt idx="19">
                  <c:v>8.2066869300911824E-2</c:v>
                </c:pt>
                <c:pt idx="20">
                  <c:v>7.1856287425149712E-2</c:v>
                </c:pt>
                <c:pt idx="21">
                  <c:v>5.8275058275058265E-2</c:v>
                </c:pt>
                <c:pt idx="22">
                  <c:v>3.4912718204488769E-2</c:v>
                </c:pt>
                <c:pt idx="23">
                  <c:v>3.1963470319634701E-2</c:v>
                </c:pt>
                <c:pt idx="24">
                  <c:v>3.614457831325301E-2</c:v>
                </c:pt>
                <c:pt idx="25">
                  <c:v>3.3994334277620393E-2</c:v>
                </c:pt>
                <c:pt idx="26">
                  <c:v>3.1578947368421047E-2</c:v>
                </c:pt>
                <c:pt idx="27">
                  <c:v>4.3902439024390234E-2</c:v>
                </c:pt>
                <c:pt idx="28">
                  <c:v>4.3670761475083815E-2</c:v>
                </c:pt>
                <c:pt idx="29">
                  <c:v>4.428904428904433E-2</c:v>
                </c:pt>
                <c:pt idx="30">
                  <c:v>5.8943089430894394E-2</c:v>
                </c:pt>
                <c:pt idx="31">
                  <c:v>3.4261241970021464E-2</c:v>
                </c:pt>
                <c:pt idx="32">
                  <c:v>4.9180327868852527E-2</c:v>
                </c:pt>
                <c:pt idx="33">
                  <c:v>3.8387715930902157E-2</c:v>
                </c:pt>
                <c:pt idx="34">
                  <c:v>5.5793991416309086E-2</c:v>
                </c:pt>
                <c:pt idx="35">
                  <c:v>2.3809523809523846E-2</c:v>
                </c:pt>
                <c:pt idx="36">
                  <c:v>5.1612903225806521E-2</c:v>
                </c:pt>
                <c:pt idx="37">
                  <c:v>5.8394160583941673E-2</c:v>
                </c:pt>
                <c:pt idx="38">
                  <c:v>3.5714285714285754E-2</c:v>
                </c:pt>
                <c:pt idx="39">
                  <c:v>5.6053811659192904E-2</c:v>
                </c:pt>
                <c:pt idx="40">
                  <c:v>3.5714285714285768E-2</c:v>
                </c:pt>
                <c:pt idx="41">
                  <c:v>5.6470588235294182E-2</c:v>
                </c:pt>
                <c:pt idx="42">
                  <c:v>4.2755344418052288E-2</c:v>
                </c:pt>
                <c:pt idx="43">
                  <c:v>4.0920716112532014E-2</c:v>
                </c:pt>
                <c:pt idx="44">
                  <c:v>3.0952380952380999E-2</c:v>
                </c:pt>
                <c:pt idx="45">
                  <c:v>5.5072463768115976E-2</c:v>
                </c:pt>
                <c:pt idx="46">
                  <c:v>5.1351351351351396E-2</c:v>
                </c:pt>
                <c:pt idx="47">
                  <c:v>4.3887147335423204E-2</c:v>
                </c:pt>
                <c:pt idx="48">
                  <c:v>4.4673539518900338E-2</c:v>
                </c:pt>
                <c:pt idx="49">
                  <c:v>4.362416107382551E-2</c:v>
                </c:pt>
                <c:pt idx="50">
                  <c:v>3.7735849056603786E-2</c:v>
                </c:pt>
                <c:pt idx="51">
                  <c:v>2.9535864978902957E-2</c:v>
                </c:pt>
                <c:pt idx="52">
                  <c:v>3.9370078740157473E-2</c:v>
                </c:pt>
                <c:pt idx="53">
                  <c:v>3.4722222222222231E-2</c:v>
                </c:pt>
                <c:pt idx="54">
                  <c:v>5.8333333333333341E-2</c:v>
                </c:pt>
                <c:pt idx="55">
                  <c:v>4.0268456375838937E-2</c:v>
                </c:pt>
                <c:pt idx="56">
                  <c:v>4.6875000000000028E-2</c:v>
                </c:pt>
                <c:pt idx="57">
                  <c:v>6.8965517241379323E-2</c:v>
                </c:pt>
                <c:pt idx="58">
                  <c:v>5.2000000000000005E-2</c:v>
                </c:pt>
                <c:pt idx="59">
                  <c:v>5.058365758754866E-2</c:v>
                </c:pt>
                <c:pt idx="60">
                  <c:v>9.2233009708737865E-2</c:v>
                </c:pt>
                <c:pt idx="61">
                  <c:v>3.3333333333333333E-2</c:v>
                </c:pt>
                <c:pt idx="62">
                  <c:v>5.119453924914677E-2</c:v>
                </c:pt>
                <c:pt idx="63">
                  <c:v>5.7432432432432449E-2</c:v>
                </c:pt>
                <c:pt idx="64">
                  <c:v>5.0847457627118647E-2</c:v>
                </c:pt>
                <c:pt idx="65">
                  <c:v>4.4176706827309252E-2</c:v>
                </c:pt>
                <c:pt idx="66">
                  <c:v>7.8034682080924886E-2</c:v>
                </c:pt>
                <c:pt idx="67">
                  <c:v>5.5555555555555566E-2</c:v>
                </c:pt>
                <c:pt idx="68">
                  <c:v>6.8111455108359142E-2</c:v>
                </c:pt>
                <c:pt idx="69">
                  <c:v>5.5921052631578989E-2</c:v>
                </c:pt>
                <c:pt idx="70">
                  <c:v>5.7347670250896071E-2</c:v>
                </c:pt>
                <c:pt idx="71">
                  <c:v>5.4054054054054043E-2</c:v>
                </c:pt>
                <c:pt idx="72">
                  <c:v>5.3140096618357488E-2</c:v>
                </c:pt>
                <c:pt idx="73">
                  <c:v>4.5977011494252873E-2</c:v>
                </c:pt>
                <c:pt idx="74">
                  <c:v>4.0816326530612249E-2</c:v>
                </c:pt>
                <c:pt idx="75">
                  <c:v>3.5897435897435895E-2</c:v>
                </c:pt>
                <c:pt idx="76">
                  <c:v>3.6734693877551024E-2</c:v>
                </c:pt>
                <c:pt idx="77">
                  <c:v>3.4632034632034639E-2</c:v>
                </c:pt>
                <c:pt idx="78">
                  <c:v>4.301075268817204E-2</c:v>
                </c:pt>
                <c:pt idx="79">
                  <c:v>6.5217391304347824E-2</c:v>
                </c:pt>
                <c:pt idx="80">
                  <c:v>5.4187192118226597E-2</c:v>
                </c:pt>
                <c:pt idx="81">
                  <c:v>6.0109289617486336E-2</c:v>
                </c:pt>
                <c:pt idx="82">
                  <c:v>5.612244897959183E-2</c:v>
                </c:pt>
                <c:pt idx="83">
                  <c:v>3.608247422680412E-2</c:v>
                </c:pt>
                <c:pt idx="84">
                  <c:v>3.8095238095238092E-2</c:v>
                </c:pt>
                <c:pt idx="85">
                  <c:v>5.7268722466960353E-2</c:v>
                </c:pt>
                <c:pt idx="86">
                  <c:v>3.8461538461538457E-2</c:v>
                </c:pt>
                <c:pt idx="87">
                  <c:v>4.4999999999999998E-2</c:v>
                </c:pt>
                <c:pt idx="88">
                  <c:v>4.4117647058823532E-2</c:v>
                </c:pt>
                <c:pt idx="89">
                  <c:v>4.3478260869565237E-2</c:v>
                </c:pt>
                <c:pt idx="90">
                  <c:v>6.4039408866995065E-2</c:v>
                </c:pt>
                <c:pt idx="91">
                  <c:v>3.4653465346534656E-2</c:v>
                </c:pt>
                <c:pt idx="92">
                  <c:v>5.076142131979694E-2</c:v>
                </c:pt>
                <c:pt idx="93">
                  <c:v>6.3725490196078441E-2</c:v>
                </c:pt>
                <c:pt idx="94">
                  <c:v>4.9019607843137261E-2</c:v>
                </c:pt>
                <c:pt idx="95">
                  <c:v>4.0697674418604654E-2</c:v>
                </c:pt>
                <c:pt idx="96">
                  <c:v>4.8648648648648637E-2</c:v>
                </c:pt>
                <c:pt idx="97">
                  <c:v>5.8139534883720929E-2</c:v>
                </c:pt>
                <c:pt idx="98">
                  <c:v>8.3333333333333315E-2</c:v>
                </c:pt>
                <c:pt idx="99">
                  <c:v>6.2827225130890063E-2</c:v>
                </c:pt>
                <c:pt idx="100">
                  <c:v>0.11688311688311687</c:v>
                </c:pt>
                <c:pt idx="101">
                  <c:v>6.8750000000000006E-2</c:v>
                </c:pt>
                <c:pt idx="102">
                  <c:v>3.1249999999999993E-2</c:v>
                </c:pt>
                <c:pt idx="103">
                  <c:v>3.7593984962406013E-2</c:v>
                </c:pt>
                <c:pt idx="104">
                  <c:v>4.2682926829268289E-2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0A-49BB-8957-10B15187319D}"/>
            </c:ext>
          </c:extLst>
        </c:ser>
        <c:ser>
          <c:idx val="1"/>
          <c:order val="1"/>
          <c:tx>
            <c:strRef>
              <c:f>'Averages Graph Data'!$CO$4</c:f>
              <c:strCache>
                <c:ptCount val="1"/>
                <c:pt idx="0">
                  <c:v>Average Proportion Over £25k - 4 Week Avg (Boom Annual Up Front)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Data'!$CO$5:$CO$109</c:f>
              <c:numCache>
                <c:formatCode>0.0%</c:formatCode>
                <c:ptCount val="105"/>
                <c:pt idx="3">
                  <c:v>0.10568214811156483</c:v>
                </c:pt>
                <c:pt idx="4">
                  <c:v>0.10853866316320182</c:v>
                </c:pt>
                <c:pt idx="5">
                  <c:v>0.11785995924920381</c:v>
                </c:pt>
                <c:pt idx="6">
                  <c:v>0.11241108548482202</c:v>
                </c:pt>
                <c:pt idx="7">
                  <c:v>0.10605686822725363</c:v>
                </c:pt>
                <c:pt idx="8">
                  <c:v>9.6819783040801355E-2</c:v>
                </c:pt>
                <c:pt idx="9">
                  <c:v>8.7715942358013305E-2</c:v>
                </c:pt>
                <c:pt idx="10">
                  <c:v>7.8190365565782211E-2</c:v>
                </c:pt>
                <c:pt idx="11">
                  <c:v>7.4432629049424992E-2</c:v>
                </c:pt>
                <c:pt idx="12">
                  <c:v>6.7991471226028041E-2</c:v>
                </c:pt>
                <c:pt idx="13">
                  <c:v>6.3038515065133999E-2</c:v>
                </c:pt>
                <c:pt idx="14">
                  <c:v>6.7285057166565687E-2</c:v>
                </c:pt>
                <c:pt idx="15">
                  <c:v>6.381237992898213E-2</c:v>
                </c:pt>
                <c:pt idx="16">
                  <c:v>6.9683705468597312E-2</c:v>
                </c:pt>
                <c:pt idx="17">
                  <c:v>7.5905918292593799E-2</c:v>
                </c:pt>
                <c:pt idx="18">
                  <c:v>7.1010011447145679E-2</c:v>
                </c:pt>
                <c:pt idx="19">
                  <c:v>7.5768636779187951E-2</c:v>
                </c:pt>
                <c:pt idx="20">
                  <c:v>7.4260346826430151E-2</c:v>
                </c:pt>
                <c:pt idx="21">
                  <c:v>6.7384416135601047E-2</c:v>
                </c:pt>
                <c:pt idx="22">
                  <c:v>6.1777733301402148E-2</c:v>
                </c:pt>
                <c:pt idx="23">
                  <c:v>4.9251883556082864E-2</c:v>
                </c:pt>
                <c:pt idx="24">
                  <c:v>4.032395627810869E-2</c:v>
                </c:pt>
                <c:pt idx="25">
                  <c:v>3.4253775278749218E-2</c:v>
                </c:pt>
                <c:pt idx="26">
                  <c:v>3.3420332569732286E-2</c:v>
                </c:pt>
                <c:pt idx="27">
                  <c:v>3.6405074745921168E-2</c:v>
                </c:pt>
                <c:pt idx="28">
                  <c:v>3.8286620536378872E-2</c:v>
                </c:pt>
                <c:pt idx="29">
                  <c:v>4.0860298039234855E-2</c:v>
                </c:pt>
                <c:pt idx="30">
                  <c:v>4.770133355485319E-2</c:v>
                </c:pt>
                <c:pt idx="31">
                  <c:v>4.5291034291260995E-2</c:v>
                </c:pt>
                <c:pt idx="32">
                  <c:v>4.6668425889703172E-2</c:v>
                </c:pt>
                <c:pt idx="33">
                  <c:v>4.5193093800167637E-2</c:v>
                </c:pt>
                <c:pt idx="34">
                  <c:v>4.4405819296521307E-2</c:v>
                </c:pt>
                <c:pt idx="35">
                  <c:v>4.1792889756396903E-2</c:v>
                </c:pt>
                <c:pt idx="36">
                  <c:v>4.24010335956354E-2</c:v>
                </c:pt>
                <c:pt idx="37">
                  <c:v>4.7402644758895281E-2</c:v>
                </c:pt>
                <c:pt idx="38">
                  <c:v>4.2382718333389448E-2</c:v>
                </c:pt>
                <c:pt idx="39">
                  <c:v>5.0443790295806715E-2</c:v>
                </c:pt>
                <c:pt idx="40">
                  <c:v>4.6469135917926521E-2</c:v>
                </c:pt>
                <c:pt idx="41">
                  <c:v>4.5988242830764657E-2</c:v>
                </c:pt>
                <c:pt idx="42">
                  <c:v>4.7748507506706284E-2</c:v>
                </c:pt>
                <c:pt idx="43">
                  <c:v>4.396523362004106E-2</c:v>
                </c:pt>
                <c:pt idx="44">
                  <c:v>4.2774757429564873E-2</c:v>
                </c:pt>
                <c:pt idx="45">
                  <c:v>4.242522631277032E-2</c:v>
                </c:pt>
                <c:pt idx="46">
                  <c:v>4.4574228046095093E-2</c:v>
                </c:pt>
                <c:pt idx="47">
                  <c:v>4.5315835851817893E-2</c:v>
                </c:pt>
                <c:pt idx="48">
                  <c:v>4.8746125493447728E-2</c:v>
                </c:pt>
                <c:pt idx="49">
                  <c:v>4.5884049819875108E-2</c:v>
                </c:pt>
                <c:pt idx="50">
                  <c:v>4.2480174246188211E-2</c:v>
                </c:pt>
                <c:pt idx="51">
                  <c:v>3.8892353657058149E-2</c:v>
                </c:pt>
                <c:pt idx="52">
                  <c:v>3.7566488462372427E-2</c:v>
                </c:pt>
                <c:pt idx="53">
                  <c:v>3.5341003749471613E-2</c:v>
                </c:pt>
                <c:pt idx="54">
                  <c:v>4.0490374818654001E-2</c:v>
                </c:pt>
                <c:pt idx="55">
                  <c:v>4.3173522667888001E-2</c:v>
                </c:pt>
                <c:pt idx="56">
                  <c:v>4.5049752982848634E-2</c:v>
                </c:pt>
                <c:pt idx="57">
                  <c:v>5.3610576737637902E-2</c:v>
                </c:pt>
                <c:pt idx="58">
                  <c:v>5.2027243404304577E-2</c:v>
                </c:pt>
                <c:pt idx="59">
                  <c:v>5.4606043707232002E-2</c:v>
                </c:pt>
                <c:pt idx="60">
                  <c:v>6.5945546134416458E-2</c:v>
                </c:pt>
                <c:pt idx="61">
                  <c:v>5.7037500157404969E-2</c:v>
                </c:pt>
                <c:pt idx="62">
                  <c:v>5.6836134969691657E-2</c:v>
                </c:pt>
                <c:pt idx="63">
                  <c:v>5.8548328680912608E-2</c:v>
                </c:pt>
                <c:pt idx="64">
                  <c:v>4.82019406605078E-2</c:v>
                </c:pt>
                <c:pt idx="65">
                  <c:v>5.0912784034001783E-2</c:v>
                </c:pt>
                <c:pt idx="66">
                  <c:v>5.7622819741946316E-2</c:v>
                </c:pt>
                <c:pt idx="67">
                  <c:v>5.7153600522727097E-2</c:v>
                </c:pt>
                <c:pt idx="68">
                  <c:v>6.1469599893037213E-2</c:v>
                </c:pt>
                <c:pt idx="69">
                  <c:v>6.4405686344104651E-2</c:v>
                </c:pt>
                <c:pt idx="70">
                  <c:v>5.9233933386597444E-2</c:v>
                </c:pt>
                <c:pt idx="71">
                  <c:v>5.8858558011222056E-2</c:v>
                </c:pt>
                <c:pt idx="72">
                  <c:v>5.5115718388721646E-2</c:v>
                </c:pt>
                <c:pt idx="73">
                  <c:v>5.2629708104390119E-2</c:v>
                </c:pt>
                <c:pt idx="74">
                  <c:v>4.8496872174319167E-2</c:v>
                </c:pt>
                <c:pt idx="75">
                  <c:v>4.3957717635164623E-2</c:v>
                </c:pt>
                <c:pt idx="76">
                  <c:v>3.9856366949963008E-2</c:v>
                </c:pt>
                <c:pt idx="77">
                  <c:v>3.7020122734408453E-2</c:v>
                </c:pt>
                <c:pt idx="78">
                  <c:v>3.7568729273798403E-2</c:v>
                </c:pt>
                <c:pt idx="79">
                  <c:v>4.4898718125526385E-2</c:v>
                </c:pt>
                <c:pt idx="80">
                  <c:v>4.9261842685695278E-2</c:v>
                </c:pt>
                <c:pt idx="81">
                  <c:v>5.5631156432058196E-2</c:v>
                </c:pt>
                <c:pt idx="82">
                  <c:v>5.8909080504913156E-2</c:v>
                </c:pt>
                <c:pt idx="83">
                  <c:v>5.1625351235527223E-2</c:v>
                </c:pt>
                <c:pt idx="84">
                  <c:v>4.76023627297801E-2</c:v>
                </c:pt>
                <c:pt idx="85">
                  <c:v>4.6892220942148601E-2</c:v>
                </c:pt>
                <c:pt idx="86">
                  <c:v>4.2476993312635256E-2</c:v>
                </c:pt>
                <c:pt idx="87">
                  <c:v>4.4706374755934225E-2</c:v>
                </c:pt>
                <c:pt idx="88">
                  <c:v>4.6211976996830592E-2</c:v>
                </c:pt>
                <c:pt idx="89">
                  <c:v>4.2764361597481808E-2</c:v>
                </c:pt>
                <c:pt idx="90">
                  <c:v>4.9158829198845955E-2</c:v>
                </c:pt>
                <c:pt idx="91">
                  <c:v>4.6572195535479623E-2</c:v>
                </c:pt>
                <c:pt idx="92">
                  <c:v>4.8233139100722973E-2</c:v>
                </c:pt>
                <c:pt idx="93">
                  <c:v>5.3294946432351276E-2</c:v>
                </c:pt>
                <c:pt idx="94">
                  <c:v>4.9539996176386825E-2</c:v>
                </c:pt>
                <c:pt idx="95">
                  <c:v>5.1051048444404321E-2</c:v>
                </c:pt>
                <c:pt idx="96">
                  <c:v>5.0522855276617248E-2</c:v>
                </c:pt>
                <c:pt idx="97">
                  <c:v>4.9126366448527872E-2</c:v>
                </c:pt>
                <c:pt idx="98">
                  <c:v>5.7704797821076882E-2</c:v>
                </c:pt>
                <c:pt idx="99">
                  <c:v>6.3237185499148238E-2</c:v>
                </c:pt>
                <c:pt idx="100">
                  <c:v>8.0295802557765292E-2</c:v>
                </c:pt>
                <c:pt idx="101">
                  <c:v>8.2948418836835069E-2</c:v>
                </c:pt>
                <c:pt idx="102">
                  <c:v>6.9927585503501727E-2</c:v>
                </c:pt>
                <c:pt idx="103">
                  <c:v>6.3619275461380714E-2</c:v>
                </c:pt>
                <c:pt idx="104">
                  <c:v>4.506922794791858E-2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0A-49BB-8957-10B151873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Data'!$CR$4</c:f>
              <c:strCache>
                <c:ptCount val="1"/>
                <c:pt idx="0">
                  <c:v>Average Proportion Over £25k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Data'!$CR$5:$CR$109</c:f>
              <c:numCache>
                <c:formatCode>0.0%</c:formatCode>
                <c:ptCount val="105"/>
                <c:pt idx="0">
                  <c:v>9.518773135906905E-2</c:v>
                </c:pt>
                <c:pt idx="1">
                  <c:v>0.1043326693227089</c:v>
                </c:pt>
                <c:pt idx="2">
                  <c:v>9.9083949534771371E-2</c:v>
                </c:pt>
                <c:pt idx="3">
                  <c:v>9.7945022684814517E-2</c:v>
                </c:pt>
                <c:pt idx="4">
                  <c:v>8.3908656399362722E-2</c:v>
                </c:pt>
                <c:pt idx="5">
                  <c:v>9.0113285272914498E-2</c:v>
                </c:pt>
                <c:pt idx="6">
                  <c:v>9.1925465838509302E-2</c:v>
                </c:pt>
                <c:pt idx="7">
                  <c:v>7.7891400094383959E-2</c:v>
                </c:pt>
                <c:pt idx="8">
                  <c:v>7.3992874760207938E-2</c:v>
                </c:pt>
                <c:pt idx="9">
                  <c:v>7.1532846715328169E-2</c:v>
                </c:pt>
                <c:pt idx="10">
                  <c:v>7.2996183206106582E-2</c:v>
                </c:pt>
                <c:pt idx="11">
                  <c:v>6.2942522338868739E-2</c:v>
                </c:pt>
                <c:pt idx="12">
                  <c:v>6.1140956766436425E-2</c:v>
                </c:pt>
                <c:pt idx="13">
                  <c:v>5.5072463768115934E-2</c:v>
                </c:pt>
                <c:pt idx="14">
                  <c:v>6.0898189513284726E-2</c:v>
                </c:pt>
                <c:pt idx="15">
                  <c:v>5.1272521104408275E-2</c:v>
                </c:pt>
                <c:pt idx="16">
                  <c:v>5.5569155446756217E-2</c:v>
                </c:pt>
                <c:pt idx="17">
                  <c:v>4.7204399633363675E-2</c:v>
                </c:pt>
                <c:pt idx="18">
                  <c:v>5.0737594993294347E-2</c:v>
                </c:pt>
                <c:pt idx="19">
                  <c:v>5.0456720313179437E-2</c:v>
                </c:pt>
                <c:pt idx="20">
                  <c:v>4.513519267617612E-2</c:v>
                </c:pt>
                <c:pt idx="21">
                  <c:v>4.6258503401360382E-2</c:v>
                </c:pt>
                <c:pt idx="22">
                  <c:v>4.415584415584399E-2</c:v>
                </c:pt>
                <c:pt idx="23">
                  <c:v>5.162438807298602E-2</c:v>
                </c:pt>
                <c:pt idx="24">
                  <c:v>4.7073470885454584E-2</c:v>
                </c:pt>
                <c:pt idx="25">
                  <c:v>4.4606854838709457E-2</c:v>
                </c:pt>
                <c:pt idx="26">
                  <c:v>4.3153720550501408E-2</c:v>
                </c:pt>
                <c:pt idx="27">
                  <c:v>4.7187797902764353E-2</c:v>
                </c:pt>
                <c:pt idx="28">
                  <c:v>4.7538688093344397E-2</c:v>
                </c:pt>
                <c:pt idx="29">
                  <c:v>4.7068771138669759E-2</c:v>
                </c:pt>
                <c:pt idx="30">
                  <c:v>4.3176972281449906E-2</c:v>
                </c:pt>
                <c:pt idx="31">
                  <c:v>4.3753294675803911E-2</c:v>
                </c:pt>
                <c:pt idx="32">
                  <c:v>4.9679039910689504E-2</c:v>
                </c:pt>
                <c:pt idx="33">
                  <c:v>4.188228466408548E-2</c:v>
                </c:pt>
                <c:pt idx="34">
                  <c:v>4.2236024844720221E-2</c:v>
                </c:pt>
                <c:pt idx="35">
                  <c:v>4.0645546921697265E-2</c:v>
                </c:pt>
                <c:pt idx="36">
                  <c:v>5.1306263770852685E-2</c:v>
                </c:pt>
                <c:pt idx="37">
                  <c:v>4.6363074386991977E-2</c:v>
                </c:pt>
                <c:pt idx="38">
                  <c:v>4.2396636299930103E-2</c:v>
                </c:pt>
                <c:pt idx="39">
                  <c:v>3.9310344827586371E-2</c:v>
                </c:pt>
                <c:pt idx="40">
                  <c:v>4.9303322615219913E-2</c:v>
                </c:pt>
                <c:pt idx="41">
                  <c:v>5.0000000000000183E-2</c:v>
                </c:pt>
                <c:pt idx="42">
                  <c:v>4.4676098287415901E-2</c:v>
                </c:pt>
                <c:pt idx="43">
                  <c:v>3.5589941972920452E-2</c:v>
                </c:pt>
                <c:pt idx="44">
                  <c:v>3.9296416938118223E-2</c:v>
                </c:pt>
                <c:pt idx="45">
                  <c:v>5.3952321204516568E-2</c:v>
                </c:pt>
                <c:pt idx="46">
                  <c:v>4.0651801029611037E-2</c:v>
                </c:pt>
                <c:pt idx="47">
                  <c:v>4.0000000000000174E-2</c:v>
                </c:pt>
                <c:pt idx="48">
                  <c:v>3.6160137752905892E-2</c:v>
                </c:pt>
                <c:pt idx="49">
                  <c:v>5.537459283387644E-2</c:v>
                </c:pt>
                <c:pt idx="50">
                  <c:v>4.2727272727272836E-2</c:v>
                </c:pt>
                <c:pt idx="51">
                  <c:v>3.6036036036036112E-2</c:v>
                </c:pt>
                <c:pt idx="52">
                  <c:v>3.4515819750719205E-2</c:v>
                </c:pt>
                <c:pt idx="53">
                  <c:v>4.7034764826175988E-2</c:v>
                </c:pt>
                <c:pt idx="54">
                  <c:v>4.7774158523344282E-2</c:v>
                </c:pt>
                <c:pt idx="55">
                  <c:v>3.8851282050594529E-2</c:v>
                </c:pt>
                <c:pt idx="56">
                  <c:v>2.8258362168396601E-2</c:v>
                </c:pt>
                <c:pt idx="57">
                  <c:v>3.6556603773584717E-2</c:v>
                </c:pt>
                <c:pt idx="58">
                  <c:v>4.6791443850267095E-2</c:v>
                </c:pt>
                <c:pt idx="59">
                  <c:v>3.3894073819210432E-2</c:v>
                </c:pt>
                <c:pt idx="60">
                  <c:v>3.0913012221423435E-2</c:v>
                </c:pt>
                <c:pt idx="61">
                  <c:v>2.7529761904761908E-2</c:v>
                </c:pt>
                <c:pt idx="62">
                  <c:v>5.0170068027210891E-2</c:v>
                </c:pt>
                <c:pt idx="63">
                  <c:v>3.354324636886688E-2</c:v>
                </c:pt>
                <c:pt idx="64">
                  <c:v>2.6406429391504005E-2</c:v>
                </c:pt>
                <c:pt idx="65">
                  <c:v>2.561247216035634E-2</c:v>
                </c:pt>
                <c:pt idx="66">
                  <c:v>2.8014616321559049E-2</c:v>
                </c:pt>
                <c:pt idx="67">
                  <c:v>4.1739130434782598E-2</c:v>
                </c:pt>
                <c:pt idx="68">
                  <c:v>3.3234321583665627E-2</c:v>
                </c:pt>
                <c:pt idx="69">
                  <c:v>1.9531250000000014E-2</c:v>
                </c:pt>
                <c:pt idx="70">
                  <c:v>2.1732831063291314E-2</c:v>
                </c:pt>
                <c:pt idx="71">
                  <c:v>4.2071197411003243E-2</c:v>
                </c:pt>
                <c:pt idx="72">
                  <c:v>2.5125628140703515E-2</c:v>
                </c:pt>
                <c:pt idx="73">
                  <c:v>2.3255813953488372E-2</c:v>
                </c:pt>
                <c:pt idx="74">
                  <c:v>4.4444444444444446E-2</c:v>
                </c:pt>
                <c:pt idx="75">
                  <c:v>5.8823529411764698E-2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7-4CFF-985B-A398D0D95A26}"/>
            </c:ext>
          </c:extLst>
        </c:ser>
        <c:ser>
          <c:idx val="1"/>
          <c:order val="1"/>
          <c:tx>
            <c:strRef>
              <c:f>'Averages Graph Data'!$CS$4</c:f>
              <c:strCache>
                <c:ptCount val="1"/>
                <c:pt idx="0">
                  <c:v>Average Proportion Over £25k - 4 Week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Data'!$CS$5:$CS$109</c:f>
              <c:numCache>
                <c:formatCode>0.0%</c:formatCode>
                <c:ptCount val="105"/>
                <c:pt idx="6">
                  <c:v>9.464239720173577E-2</c:v>
                </c:pt>
                <c:pt idx="7">
                  <c:v>9.217149273535219E-2</c:v>
                </c:pt>
                <c:pt idx="8">
                  <c:v>8.7837236369280633E-2</c:v>
                </c:pt>
                <c:pt idx="9">
                  <c:v>8.3901364537931594E-2</c:v>
                </c:pt>
                <c:pt idx="10">
                  <c:v>8.0337244612401881E-2</c:v>
                </c:pt>
                <c:pt idx="11">
                  <c:v>7.7342082603759882E-2</c:v>
                </c:pt>
                <c:pt idx="12">
                  <c:v>7.3203178531405871E-2</c:v>
                </c:pt>
                <c:pt idx="13">
                  <c:v>6.7938463949921105E-2</c:v>
                </c:pt>
                <c:pt idx="14">
                  <c:v>6.551086243833551E-2</c:v>
                </c:pt>
                <c:pt idx="15">
                  <c:v>6.226509763036412E-2</c:v>
                </c:pt>
                <c:pt idx="16">
                  <c:v>5.9984570306282417E-2</c:v>
                </c:pt>
                <c:pt idx="17">
                  <c:v>5.6300029795890563E-2</c:v>
                </c:pt>
                <c:pt idx="18">
                  <c:v>5.4556468746522806E-2</c:v>
                </c:pt>
                <c:pt idx="19">
                  <c:v>5.3030149253200369E-2</c:v>
                </c:pt>
                <c:pt idx="20">
                  <c:v>5.1610539097208967E-2</c:v>
                </c:pt>
                <c:pt idx="21">
                  <c:v>4.9519155366934069E-2</c:v>
                </c:pt>
                <c:pt idx="22">
                  <c:v>4.8502487231424883E-2</c:v>
                </c:pt>
                <c:pt idx="23">
                  <c:v>4.7938949035171999E-2</c:v>
                </c:pt>
                <c:pt idx="24">
                  <c:v>4.7920244928327846E-2</c:v>
                </c:pt>
                <c:pt idx="25">
                  <c:v>4.7044424906244289E-2</c:v>
                </c:pt>
                <c:pt idx="26">
                  <c:v>4.6001139225861708E-2</c:v>
                </c:pt>
                <c:pt idx="27">
                  <c:v>4.6294368543945745E-2</c:v>
                </c:pt>
                <c:pt idx="28">
                  <c:v>4.647725207137203E-2</c:v>
                </c:pt>
                <c:pt idx="29">
                  <c:v>4.689338449748999E-2</c:v>
                </c:pt>
                <c:pt idx="30">
                  <c:v>4.5686610812984828E-2</c:v>
                </c:pt>
                <c:pt idx="31">
                  <c:v>4.5212299925891881E-2</c:v>
                </c:pt>
                <c:pt idx="32">
                  <c:v>4.5936897793317603E-2</c:v>
                </c:pt>
                <c:pt idx="33">
                  <c:v>4.5755264095258194E-2</c:v>
                </c:pt>
                <c:pt idx="34">
                  <c:v>4.5047867944109025E-2</c:v>
                </c:pt>
                <c:pt idx="35">
                  <c:v>4.4063133491016579E-2</c:v>
                </c:pt>
                <c:pt idx="36">
                  <c:v>4.4668489581328422E-2</c:v>
                </c:pt>
                <c:pt idx="37">
                  <c:v>4.5123647024977294E-2</c:v>
                </c:pt>
                <c:pt idx="38">
                  <c:v>4.4929838685566756E-2</c:v>
                </c:pt>
                <c:pt idx="39">
                  <c:v>4.3448596530837727E-2</c:v>
                </c:pt>
                <c:pt idx="40">
                  <c:v>4.4508744809571218E-2</c:v>
                </c:pt>
                <c:pt idx="41">
                  <c:v>4.5617884117468352E-2</c:v>
                </c:pt>
                <c:pt idx="42">
                  <c:v>4.6193677169713884E-2</c:v>
                </c:pt>
                <c:pt idx="43">
                  <c:v>4.3948488341437844E-2</c:v>
                </c:pt>
                <c:pt idx="44">
                  <c:v>4.2938965848741587E-2</c:v>
                </c:pt>
                <c:pt idx="45">
                  <c:v>4.4589777977968224E-2</c:v>
                </c:pt>
                <c:pt idx="46">
                  <c:v>4.4781414578257468E-2</c:v>
                </c:pt>
                <c:pt idx="47">
                  <c:v>4.3452368490368931E-2</c:v>
                </c:pt>
                <c:pt idx="48">
                  <c:v>4.1475245312212604E-2</c:v>
                </c:pt>
                <c:pt idx="49">
                  <c:v>4.3003601675992688E-2</c:v>
                </c:pt>
                <c:pt idx="50">
                  <c:v>4.4023220355185876E-2</c:v>
                </c:pt>
                <c:pt idx="51">
                  <c:v>4.3557451654888432E-2</c:v>
                </c:pt>
                <c:pt idx="52">
                  <c:v>4.0780808590060239E-2</c:v>
                </c:pt>
                <c:pt idx="53">
                  <c:v>4.1692660560998088E-2</c:v>
                </c:pt>
                <c:pt idx="54">
                  <c:v>4.2803254635761533E-2</c:v>
                </c:pt>
                <c:pt idx="55">
                  <c:v>4.3187703821145625E-2</c:v>
                </c:pt>
                <c:pt idx="56">
                  <c:v>3.9313956583219942E-2</c:v>
                </c:pt>
                <c:pt idx="57">
                  <c:v>3.8432432446978783E-2</c:v>
                </c:pt>
                <c:pt idx="58">
                  <c:v>3.9968919277583205E-2</c:v>
                </c:pt>
                <c:pt idx="59">
                  <c:v>3.988009843022481E-2</c:v>
                </c:pt>
                <c:pt idx="60">
                  <c:v>3.7576990915260157E-2</c:v>
                </c:pt>
                <c:pt idx="61">
                  <c:v>3.4684934255462672E-2</c:v>
                </c:pt>
                <c:pt idx="62">
                  <c:v>3.6301903680693581E-2</c:v>
                </c:pt>
                <c:pt idx="63">
                  <c:v>3.7056887137903623E-2</c:v>
                </c:pt>
                <c:pt idx="64">
                  <c:v>3.5606862226177809E-2</c:v>
                </c:pt>
                <c:pt idx="65">
                  <c:v>3.2581294841904841E-2</c:v>
                </c:pt>
                <c:pt idx="66">
                  <c:v>3.1741372342240358E-2</c:v>
                </c:pt>
                <c:pt idx="67">
                  <c:v>3.3287960658434528E-2</c:v>
                </c:pt>
                <c:pt idx="68">
                  <c:v>3.4102897755420768E-2</c:v>
                </c:pt>
                <c:pt idx="69">
                  <c:v>2.9725923751533496E-2</c:v>
                </c:pt>
                <c:pt idx="70">
                  <c:v>2.8038721565022708E-2</c:v>
                </c:pt>
                <c:pt idx="71">
                  <c:v>3.0276545567808313E-2</c:v>
                </c:pt>
                <c:pt idx="72">
                  <c:v>3.0206996422143622E-2</c:v>
                </c:pt>
                <c:pt idx="73">
                  <c:v>2.9527167512419239E-2</c:v>
                </c:pt>
                <c:pt idx="74">
                  <c:v>2.991364094237093E-2</c:v>
                </c:pt>
                <c:pt idx="75">
                  <c:v>3.3569242060670794E-2</c:v>
                </c:pt>
                <c:pt idx="76">
                  <c:v>3.0779063489242225E-2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7-4CFF-985B-A398D0D95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 Finance: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Data'!$CP$4</c:f>
              <c:strCache>
                <c:ptCount val="1"/>
                <c:pt idx="0">
                  <c:v>Average Proportion Over £25k (Boom Annual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Data'!$CP$5:$CP$109</c:f>
              <c:numCache>
                <c:formatCode>0.0%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3.6764705882352935E-2</c:v>
                </c:pt>
                <c:pt idx="24">
                  <c:v>3.6319612590799022E-2</c:v>
                </c:pt>
                <c:pt idx="25">
                  <c:v>3.5911602209944743E-2</c:v>
                </c:pt>
                <c:pt idx="26">
                  <c:v>3.2500000000000001E-2</c:v>
                </c:pt>
                <c:pt idx="27">
                  <c:v>3.1719532554257079E-2</c:v>
                </c:pt>
                <c:pt idx="28">
                  <c:v>1.6704635904003892E-2</c:v>
                </c:pt>
                <c:pt idx="29">
                  <c:v>1.870324189526185E-2</c:v>
                </c:pt>
                <c:pt idx="30">
                  <c:v>3.5952063914780313E-2</c:v>
                </c:pt>
                <c:pt idx="31">
                  <c:v>1.967592592592593E-2</c:v>
                </c:pt>
                <c:pt idx="32">
                  <c:v>1.8199233716475065E-2</c:v>
                </c:pt>
                <c:pt idx="33">
                  <c:v>2.5227043390514611E-2</c:v>
                </c:pt>
                <c:pt idx="34">
                  <c:v>2.625570776255708E-2</c:v>
                </c:pt>
                <c:pt idx="35">
                  <c:v>2.5900900900900907E-2</c:v>
                </c:pt>
                <c:pt idx="36">
                  <c:v>2.8944911297852448E-2</c:v>
                </c:pt>
                <c:pt idx="37">
                  <c:v>1.440922190201728E-2</c:v>
                </c:pt>
                <c:pt idx="38">
                  <c:v>1.7647058823529412E-2</c:v>
                </c:pt>
                <c:pt idx="39">
                  <c:v>2.4020227560050574E-2</c:v>
                </c:pt>
                <c:pt idx="40">
                  <c:v>3.0303030303030273E-2</c:v>
                </c:pt>
                <c:pt idx="41">
                  <c:v>2.6402640264026406E-2</c:v>
                </c:pt>
                <c:pt idx="42">
                  <c:v>2.1251475796930319E-2</c:v>
                </c:pt>
                <c:pt idx="43">
                  <c:v>3.2552083333333343E-2</c:v>
                </c:pt>
                <c:pt idx="44">
                  <c:v>2.7210884353741503E-2</c:v>
                </c:pt>
                <c:pt idx="45">
                  <c:v>2.2891566265060247E-2</c:v>
                </c:pt>
                <c:pt idx="46">
                  <c:v>1.7857142857142863E-2</c:v>
                </c:pt>
                <c:pt idx="47">
                  <c:v>3.636363636363639E-2</c:v>
                </c:pt>
                <c:pt idx="48">
                  <c:v>2.0700636942675179E-2</c:v>
                </c:pt>
                <c:pt idx="49">
                  <c:v>1.9817073170731728E-2</c:v>
                </c:pt>
                <c:pt idx="50">
                  <c:v>2.6462395543175501E-2</c:v>
                </c:pt>
                <c:pt idx="51">
                  <c:v>2.1702838063439089E-2</c:v>
                </c:pt>
                <c:pt idx="52">
                  <c:v>2.169981916817362E-2</c:v>
                </c:pt>
                <c:pt idx="53">
                  <c:v>3.0411449016100201E-2</c:v>
                </c:pt>
                <c:pt idx="54">
                  <c:v>2.3550724637681184E-2</c:v>
                </c:pt>
                <c:pt idx="55">
                  <c:v>1.7133956386292844E-2</c:v>
                </c:pt>
                <c:pt idx="56">
                  <c:v>2.3346303501945557E-2</c:v>
                </c:pt>
                <c:pt idx="57">
                  <c:v>1.8248175182481775E-2</c:v>
                </c:pt>
                <c:pt idx="58">
                  <c:v>2.2364217252396186E-2</c:v>
                </c:pt>
                <c:pt idx="59">
                  <c:v>1.9097222222222234E-2</c:v>
                </c:pt>
                <c:pt idx="60">
                  <c:v>2.9288702928870324E-2</c:v>
                </c:pt>
                <c:pt idx="61">
                  <c:v>2.1543985637342937E-2</c:v>
                </c:pt>
                <c:pt idx="62">
                  <c:v>1.3422818791946322E-2</c:v>
                </c:pt>
                <c:pt idx="63">
                  <c:v>2.7149321266968347E-2</c:v>
                </c:pt>
                <c:pt idx="64">
                  <c:v>2.363636363636366E-2</c:v>
                </c:pt>
                <c:pt idx="65">
                  <c:v>3.0465949820788568E-2</c:v>
                </c:pt>
                <c:pt idx="66">
                  <c:v>2.0771513353115743E-2</c:v>
                </c:pt>
                <c:pt idx="67">
                  <c:v>2.2309711286089242E-2</c:v>
                </c:pt>
                <c:pt idx="68">
                  <c:v>2.6582278481012672E-2</c:v>
                </c:pt>
                <c:pt idx="69">
                  <c:v>1.7647058823529422E-2</c:v>
                </c:pt>
                <c:pt idx="70">
                  <c:v>1.7416545718432524E-2</c:v>
                </c:pt>
                <c:pt idx="71">
                  <c:v>2.2263450834879423E-2</c:v>
                </c:pt>
                <c:pt idx="72">
                  <c:v>3.0487804878048804E-2</c:v>
                </c:pt>
                <c:pt idx="73">
                  <c:v>1.2211668928086845E-2</c:v>
                </c:pt>
                <c:pt idx="74">
                  <c:v>1.7663043478260879E-2</c:v>
                </c:pt>
                <c:pt idx="75">
                  <c:v>1.6344725111441319E-2</c:v>
                </c:pt>
                <c:pt idx="76">
                  <c:v>1.1904761904761906E-2</c:v>
                </c:pt>
                <c:pt idx="77">
                  <c:v>6.4020486555697786E-3</c:v>
                </c:pt>
                <c:pt idx="78">
                  <c:v>2.6479750778816227E-2</c:v>
                </c:pt>
                <c:pt idx="79">
                  <c:v>1.1904761904761918E-2</c:v>
                </c:pt>
                <c:pt idx="80">
                  <c:v>1.2953367875647659E-2</c:v>
                </c:pt>
                <c:pt idx="81">
                  <c:v>1.5306122448979579E-2</c:v>
                </c:pt>
                <c:pt idx="82">
                  <c:v>2.0026702269692932E-2</c:v>
                </c:pt>
                <c:pt idx="83">
                  <c:v>1.5056461731493102E-2</c:v>
                </c:pt>
                <c:pt idx="84">
                  <c:v>1.9165727170236738E-2</c:v>
                </c:pt>
                <c:pt idx="85">
                  <c:v>2.514442161266843E-2</c:v>
                </c:pt>
                <c:pt idx="86">
                  <c:v>2.0833333333333336E-2</c:v>
                </c:pt>
                <c:pt idx="87">
                  <c:v>1.3381995133819954E-2</c:v>
                </c:pt>
                <c:pt idx="88">
                  <c:v>1.6993464052287587E-2</c:v>
                </c:pt>
                <c:pt idx="89">
                  <c:v>9.3555093555093474E-3</c:v>
                </c:pt>
                <c:pt idx="90">
                  <c:v>1.3513513513513514E-2</c:v>
                </c:pt>
                <c:pt idx="91">
                  <c:v>9.3708165997322661E-3</c:v>
                </c:pt>
                <c:pt idx="92">
                  <c:v>2.8985507246376829E-2</c:v>
                </c:pt>
                <c:pt idx="93">
                  <c:v>2.0408163265306128E-2</c:v>
                </c:pt>
                <c:pt idx="94">
                  <c:v>1.9206145966709356E-2</c:v>
                </c:pt>
                <c:pt idx="95">
                  <c:v>2.560455192034141E-2</c:v>
                </c:pt>
                <c:pt idx="96">
                  <c:v>2.3961661341853051E-2</c:v>
                </c:pt>
                <c:pt idx="97">
                  <c:v>1.9202363367799131E-2</c:v>
                </c:pt>
                <c:pt idx="98">
                  <c:v>2.0434227330779039E-2</c:v>
                </c:pt>
                <c:pt idx="99">
                  <c:v>2.4963289280469907E-2</c:v>
                </c:pt>
                <c:pt idx="100">
                  <c:v>2.3850085178875661E-2</c:v>
                </c:pt>
                <c:pt idx="101">
                  <c:v>2.9876977152899855E-2</c:v>
                </c:pt>
                <c:pt idx="102">
                  <c:v>2.8106508875739671E-2</c:v>
                </c:pt>
                <c:pt idx="103">
                  <c:v>3.7113402061855726E-2</c:v>
                </c:pt>
                <c:pt idx="104">
                  <c:v>2.7633851468048386E-2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45-4A4F-A062-495A040D65B0}"/>
            </c:ext>
          </c:extLst>
        </c:ser>
        <c:ser>
          <c:idx val="1"/>
          <c:order val="1"/>
          <c:tx>
            <c:strRef>
              <c:f>'Averages Graph Data'!$CQ$4</c:f>
              <c:strCache>
                <c:ptCount val="1"/>
                <c:pt idx="0">
                  <c:v>Average Proportion Over £25k - 4 Week Avg (Boom Annual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Data'!$CQ$5:$CQ$109</c:f>
              <c:numCache>
                <c:formatCode>0.0%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3.5373980170774172E-2</c:v>
                </c:pt>
                <c:pt idx="27">
                  <c:v>3.4112686838750211E-2</c:v>
                </c:pt>
                <c:pt idx="28">
                  <c:v>2.920894266705143E-2</c:v>
                </c:pt>
                <c:pt idx="29">
                  <c:v>2.4906852588380705E-2</c:v>
                </c:pt>
                <c:pt idx="30">
                  <c:v>2.5769868567075783E-2</c:v>
                </c:pt>
                <c:pt idx="31">
                  <c:v>2.2758966909992996E-2</c:v>
                </c:pt>
                <c:pt idx="32">
                  <c:v>2.313261636311079E-2</c:v>
                </c:pt>
                <c:pt idx="33">
                  <c:v>2.4763566736923981E-2</c:v>
                </c:pt>
                <c:pt idx="34">
                  <c:v>2.2339477698868172E-2</c:v>
                </c:pt>
                <c:pt idx="35">
                  <c:v>2.3895721442611914E-2</c:v>
                </c:pt>
                <c:pt idx="36">
                  <c:v>2.6582140837956264E-2</c:v>
                </c:pt>
                <c:pt idx="37">
                  <c:v>2.3877685465831928E-2</c:v>
                </c:pt>
                <c:pt idx="38">
                  <c:v>2.172552323107501E-2</c:v>
                </c:pt>
                <c:pt idx="39">
                  <c:v>2.125535489586243E-2</c:v>
                </c:pt>
                <c:pt idx="40">
                  <c:v>2.1594884647156885E-2</c:v>
                </c:pt>
                <c:pt idx="41">
                  <c:v>2.4593239237659166E-2</c:v>
                </c:pt>
                <c:pt idx="42">
                  <c:v>2.5494343481009391E-2</c:v>
                </c:pt>
                <c:pt idx="43">
                  <c:v>2.7627307424330085E-2</c:v>
                </c:pt>
                <c:pt idx="44">
                  <c:v>2.6854270937007891E-2</c:v>
                </c:pt>
                <c:pt idx="45">
                  <c:v>2.5976502437266354E-2</c:v>
                </c:pt>
                <c:pt idx="46">
                  <c:v>2.512791920231949E-2</c:v>
                </c:pt>
                <c:pt idx="47">
                  <c:v>2.6080807459895251E-2</c:v>
                </c:pt>
                <c:pt idx="48">
                  <c:v>2.4453245607128672E-2</c:v>
                </c:pt>
                <c:pt idx="49">
                  <c:v>2.368462233354654E-2</c:v>
                </c:pt>
                <c:pt idx="50">
                  <c:v>2.58359355050547E-2</c:v>
                </c:pt>
                <c:pt idx="51">
                  <c:v>2.2170735930005375E-2</c:v>
                </c:pt>
                <c:pt idx="52">
                  <c:v>2.2420531486379985E-2</c:v>
                </c:pt>
                <c:pt idx="53">
                  <c:v>2.5069125447722104E-2</c:v>
                </c:pt>
                <c:pt idx="54">
                  <c:v>2.4341207721348523E-2</c:v>
                </c:pt>
                <c:pt idx="55">
                  <c:v>2.3198987302061963E-2</c:v>
                </c:pt>
                <c:pt idx="56">
                  <c:v>2.3610608385504946E-2</c:v>
                </c:pt>
                <c:pt idx="57">
                  <c:v>2.0569789927100339E-2</c:v>
                </c:pt>
                <c:pt idx="58">
                  <c:v>2.0273163080779089E-2</c:v>
                </c:pt>
                <c:pt idx="59">
                  <c:v>2.0763979539761439E-2</c:v>
                </c:pt>
                <c:pt idx="60">
                  <c:v>2.2249579396492632E-2</c:v>
                </c:pt>
                <c:pt idx="61">
                  <c:v>2.3073532010207919E-2</c:v>
                </c:pt>
                <c:pt idx="62">
                  <c:v>2.0838182395095453E-2</c:v>
                </c:pt>
                <c:pt idx="63">
                  <c:v>2.2851207156281979E-2</c:v>
                </c:pt>
                <c:pt idx="64">
                  <c:v>2.1438122333155316E-2</c:v>
                </c:pt>
                <c:pt idx="65">
                  <c:v>2.3668613379016726E-2</c:v>
                </c:pt>
                <c:pt idx="66">
                  <c:v>2.5505787019309077E-2</c:v>
                </c:pt>
                <c:pt idx="67">
                  <c:v>2.4295884524089303E-2</c:v>
                </c:pt>
                <c:pt idx="68">
                  <c:v>2.5032363235251556E-2</c:v>
                </c:pt>
                <c:pt idx="69">
                  <c:v>2.1827640485936769E-2</c:v>
                </c:pt>
                <c:pt idx="70">
                  <c:v>2.0988898577265967E-2</c:v>
                </c:pt>
                <c:pt idx="71">
                  <c:v>2.097733346446351E-2</c:v>
                </c:pt>
                <c:pt idx="72">
                  <c:v>2.1953715063722543E-2</c:v>
                </c:pt>
                <c:pt idx="73">
                  <c:v>2.0594867589861898E-2</c:v>
                </c:pt>
                <c:pt idx="74">
                  <c:v>2.065649202981899E-2</c:v>
                </c:pt>
                <c:pt idx="75">
                  <c:v>1.9176810598959461E-2</c:v>
                </c:pt>
                <c:pt idx="76">
                  <c:v>1.4531049855637737E-2</c:v>
                </c:pt>
                <c:pt idx="77">
                  <c:v>1.307864478750847E-2</c:v>
                </c:pt>
                <c:pt idx="78">
                  <c:v>1.5282821612647306E-2</c:v>
                </c:pt>
                <c:pt idx="79">
                  <c:v>1.4172830810977456E-2</c:v>
                </c:pt>
                <c:pt idx="80">
                  <c:v>1.4434982303698895E-2</c:v>
                </c:pt>
                <c:pt idx="81">
                  <c:v>1.6661000752051347E-2</c:v>
                </c:pt>
                <c:pt idx="82">
                  <c:v>1.5047738624770522E-2</c:v>
                </c:pt>
                <c:pt idx="83">
                  <c:v>1.5835663581453316E-2</c:v>
                </c:pt>
                <c:pt idx="84">
                  <c:v>1.7388753405100588E-2</c:v>
                </c:pt>
                <c:pt idx="85">
                  <c:v>1.9848328196022801E-2</c:v>
                </c:pt>
                <c:pt idx="86">
                  <c:v>2.0049985961932901E-2</c:v>
                </c:pt>
                <c:pt idx="87">
                  <c:v>1.9631369312514611E-2</c:v>
                </c:pt>
                <c:pt idx="88">
                  <c:v>1.9088303533027328E-2</c:v>
                </c:pt>
                <c:pt idx="89">
                  <c:v>1.5141075468737558E-2</c:v>
                </c:pt>
                <c:pt idx="90">
                  <c:v>1.3311120513782601E-2</c:v>
                </c:pt>
                <c:pt idx="91">
                  <c:v>1.2308325880260679E-2</c:v>
                </c:pt>
                <c:pt idx="92">
                  <c:v>1.530633667878299E-2</c:v>
                </c:pt>
                <c:pt idx="93">
                  <c:v>1.8069500156232186E-2</c:v>
                </c:pt>
                <c:pt idx="94">
                  <c:v>1.9492658269531147E-2</c:v>
                </c:pt>
                <c:pt idx="95">
                  <c:v>2.3551092099683431E-2</c:v>
                </c:pt>
                <c:pt idx="96">
                  <c:v>2.2295130623552487E-2</c:v>
                </c:pt>
                <c:pt idx="97">
                  <c:v>2.1993680649175736E-2</c:v>
                </c:pt>
                <c:pt idx="98">
                  <c:v>2.2300700990193156E-2</c:v>
                </c:pt>
                <c:pt idx="99">
                  <c:v>2.2140385330225283E-2</c:v>
                </c:pt>
                <c:pt idx="100">
                  <c:v>2.2112491289480934E-2</c:v>
                </c:pt>
                <c:pt idx="101">
                  <c:v>2.4781144735756117E-2</c:v>
                </c:pt>
                <c:pt idx="102">
                  <c:v>2.6699215121996273E-2</c:v>
                </c:pt>
                <c:pt idx="103">
                  <c:v>2.9736743317342731E-2</c:v>
                </c:pt>
                <c:pt idx="104">
                  <c:v>3.0682684889635908E-2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45-4A4F-A062-495A040D6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Data'!$CL$4</c:f>
              <c:strCache>
                <c:ptCount val="1"/>
                <c:pt idx="0">
                  <c:v>Average Proportion Over £25k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Data'!$CL$5:$CL$109</c:f>
              <c:numCache>
                <c:formatCode>0.0%</c:formatCode>
                <c:ptCount val="105"/>
                <c:pt idx="0">
                  <c:v>0.10569105691056911</c:v>
                </c:pt>
                <c:pt idx="1">
                  <c:v>7.9831932773109238E-2</c:v>
                </c:pt>
                <c:pt idx="2">
                  <c:v>0.11983471074380163</c:v>
                </c:pt>
                <c:pt idx="3">
                  <c:v>0.11737089201877933</c:v>
                </c:pt>
                <c:pt idx="4">
                  <c:v>0.11711711711711711</c:v>
                </c:pt>
                <c:pt idx="5">
                  <c:v>0.11711711711711711</c:v>
                </c:pt>
                <c:pt idx="6">
                  <c:v>9.8039215686274536E-2</c:v>
                </c:pt>
                <c:pt idx="7">
                  <c:v>9.195402298850576E-2</c:v>
                </c:pt>
                <c:pt idx="8">
                  <c:v>8.0168776371308009E-2</c:v>
                </c:pt>
                <c:pt idx="9">
                  <c:v>8.0701754385964913E-2</c:v>
                </c:pt>
                <c:pt idx="10">
                  <c:v>5.9936908517350146E-2</c:v>
                </c:pt>
                <c:pt idx="11">
                  <c:v>7.6923076923076886E-2</c:v>
                </c:pt>
                <c:pt idx="12">
                  <c:v>5.4404145077720213E-2</c:v>
                </c:pt>
                <c:pt idx="13">
                  <c:v>6.0889929742388736E-2</c:v>
                </c:pt>
                <c:pt idx="14">
                  <c:v>7.6923076923076872E-2</c:v>
                </c:pt>
                <c:pt idx="15">
                  <c:v>6.3032367972742712E-2</c:v>
                </c:pt>
                <c:pt idx="16">
                  <c:v>7.7889447236180895E-2</c:v>
                </c:pt>
                <c:pt idx="17">
                  <c:v>8.5778781038374705E-2</c:v>
                </c:pt>
                <c:pt idx="18">
                  <c:v>5.7339449541284372E-2</c:v>
                </c:pt>
                <c:pt idx="19">
                  <c:v>8.2066869300911824E-2</c:v>
                </c:pt>
                <c:pt idx="20">
                  <c:v>7.1856287425149712E-2</c:v>
                </c:pt>
                <c:pt idx="21">
                  <c:v>5.8275058275058265E-2</c:v>
                </c:pt>
                <c:pt idx="22">
                  <c:v>3.4912718204488769E-2</c:v>
                </c:pt>
                <c:pt idx="23">
                  <c:v>3.3101045296167253E-2</c:v>
                </c:pt>
                <c:pt idx="24">
                  <c:v>3.6223929747530186E-2</c:v>
                </c:pt>
                <c:pt idx="25">
                  <c:v>3.4965034965034961E-2</c:v>
                </c:pt>
                <c:pt idx="26">
                  <c:v>3.2051282051282048E-2</c:v>
                </c:pt>
                <c:pt idx="27">
                  <c:v>3.666997026759166E-2</c:v>
                </c:pt>
                <c:pt idx="28">
                  <c:v>2.5813993170837844E-2</c:v>
                </c:pt>
                <c:pt idx="29">
                  <c:v>2.7619821283509351E-2</c:v>
                </c:pt>
                <c:pt idx="30">
                  <c:v>4.5052292839903502E-2</c:v>
                </c:pt>
                <c:pt idx="31">
                  <c:v>2.4793388429752081E-2</c:v>
                </c:pt>
                <c:pt idx="32">
                  <c:v>2.806788511749345E-2</c:v>
                </c:pt>
                <c:pt idx="33">
                  <c:v>2.9761904761904757E-2</c:v>
                </c:pt>
                <c:pt idx="34">
                  <c:v>3.6512667660208664E-2</c:v>
                </c:pt>
                <c:pt idx="35">
                  <c:v>2.5229357798165153E-2</c:v>
                </c:pt>
                <c:pt idx="36">
                  <c:v>3.5807291666666657E-2</c:v>
                </c:pt>
                <c:pt idx="37">
                  <c:v>2.9578351164254245E-2</c:v>
                </c:pt>
                <c:pt idx="38">
                  <c:v>2.3882896764252707E-2</c:v>
                </c:pt>
                <c:pt idx="39">
                  <c:v>3.5569927243330662E-2</c:v>
                </c:pt>
                <c:pt idx="40">
                  <c:v>3.2187271397220184E-2</c:v>
                </c:pt>
                <c:pt idx="41">
                  <c:v>3.598200899550226E-2</c:v>
                </c:pt>
                <c:pt idx="42">
                  <c:v>2.8391167192429012E-2</c:v>
                </c:pt>
                <c:pt idx="43">
                  <c:v>3.5375323554788632E-2</c:v>
                </c:pt>
                <c:pt idx="44">
                  <c:v>2.8571428571428591E-2</c:v>
                </c:pt>
                <c:pt idx="45">
                  <c:v>3.2340425531914907E-2</c:v>
                </c:pt>
                <c:pt idx="46">
                  <c:v>2.859618717504334E-2</c:v>
                </c:pt>
                <c:pt idx="47">
                  <c:v>3.8815117466802884E-2</c:v>
                </c:pt>
                <c:pt idx="48">
                  <c:v>2.8291621327529944E-2</c:v>
                </c:pt>
                <c:pt idx="49">
                  <c:v>2.7253668763102746E-2</c:v>
                </c:pt>
                <c:pt idx="50">
                  <c:v>2.9922779922779939E-2</c:v>
                </c:pt>
                <c:pt idx="51">
                  <c:v>2.3923444976076576E-2</c:v>
                </c:pt>
                <c:pt idx="52">
                  <c:v>2.7261462205700141E-2</c:v>
                </c:pt>
                <c:pt idx="53">
                  <c:v>3.1877213695395534E-2</c:v>
                </c:pt>
                <c:pt idx="54">
                  <c:v>3.4090909090909123E-2</c:v>
                </c:pt>
                <c:pt idx="55">
                  <c:v>2.446808510638299E-2</c:v>
                </c:pt>
                <c:pt idx="56">
                  <c:v>3.1168831168831203E-2</c:v>
                </c:pt>
                <c:pt idx="57">
                  <c:v>3.4610630407911035E-2</c:v>
                </c:pt>
                <c:pt idx="58">
                  <c:v>3.0821917808219201E-2</c:v>
                </c:pt>
                <c:pt idx="59">
                  <c:v>2.8811524609843955E-2</c:v>
                </c:pt>
                <c:pt idx="60">
                  <c:v>4.8245614035087758E-2</c:v>
                </c:pt>
                <c:pt idx="61">
                  <c:v>2.5094102885821853E-2</c:v>
                </c:pt>
                <c:pt idx="62">
                  <c:v>2.5871766029246363E-2</c:v>
                </c:pt>
                <c:pt idx="63">
                  <c:v>3.6496350364963528E-2</c:v>
                </c:pt>
                <c:pt idx="64">
                  <c:v>3.1806615776081446E-2</c:v>
                </c:pt>
                <c:pt idx="65">
                  <c:v>3.4696406443618377E-2</c:v>
                </c:pt>
                <c:pt idx="66">
                  <c:v>4.0196078431372566E-2</c:v>
                </c:pt>
                <c:pt idx="67">
                  <c:v>3.1835205992509365E-2</c:v>
                </c:pt>
                <c:pt idx="68">
                  <c:v>3.8634321653189592E-2</c:v>
                </c:pt>
                <c:pt idx="69">
                  <c:v>2.9471544715447173E-2</c:v>
                </c:pt>
                <c:pt idx="70">
                  <c:v>2.8925619834710765E-2</c:v>
                </c:pt>
                <c:pt idx="71">
                  <c:v>3.1537450722733264E-2</c:v>
                </c:pt>
                <c:pt idx="72">
                  <c:v>3.5921205098493648E-2</c:v>
                </c:pt>
                <c:pt idx="73">
                  <c:v>2.104208416833668E-2</c:v>
                </c:pt>
                <c:pt idx="74">
                  <c:v>2.3445463812436295E-2</c:v>
                </c:pt>
                <c:pt idx="75">
                  <c:v>2.07373271889401E-2</c:v>
                </c:pt>
                <c:pt idx="76">
                  <c:v>1.7511520737327188E-2</c:v>
                </c:pt>
                <c:pt idx="77">
                  <c:v>1.2845849802371535E-2</c:v>
                </c:pt>
                <c:pt idx="78">
                  <c:v>3.0193236714975865E-2</c:v>
                </c:pt>
                <c:pt idx="79">
                  <c:v>2.4611398963730595E-2</c:v>
                </c:pt>
                <c:pt idx="80">
                  <c:v>2.1538461538461524E-2</c:v>
                </c:pt>
                <c:pt idx="81">
                  <c:v>2.3784901758014461E-2</c:v>
                </c:pt>
                <c:pt idx="82">
                  <c:v>2.7513227513227521E-2</c:v>
                </c:pt>
                <c:pt idx="83">
                  <c:v>1.9172552976791123E-2</c:v>
                </c:pt>
                <c:pt idx="84">
                  <c:v>2.2789425706472178E-2</c:v>
                </c:pt>
                <c:pt idx="85">
                  <c:v>3.1495629661337898E-2</c:v>
                </c:pt>
                <c:pt idx="86">
                  <c:v>2.4048096192384773E-2</c:v>
                </c:pt>
                <c:pt idx="87">
                  <c:v>1.9569471624266147E-2</c:v>
                </c:pt>
                <c:pt idx="88">
                  <c:v>2.2703818369453049E-2</c:v>
                </c:pt>
                <c:pt idx="89">
                  <c:v>1.6460905349794226E-2</c:v>
                </c:pt>
                <c:pt idx="90">
                  <c:v>2.4390243902439025E-2</c:v>
                </c:pt>
                <c:pt idx="91">
                  <c:v>1.4752370916754486E-2</c:v>
                </c:pt>
                <c:pt idx="92">
                  <c:v>3.38218714768884E-2</c:v>
                </c:pt>
                <c:pt idx="93">
                  <c:v>2.935222672064778E-2</c:v>
                </c:pt>
                <c:pt idx="94">
                  <c:v>2.5380710659898491E-2</c:v>
                </c:pt>
                <c:pt idx="95">
                  <c:v>2.8571428571428584E-2</c:v>
                </c:pt>
                <c:pt idx="96">
                  <c:v>2.9593094944512965E-2</c:v>
                </c:pt>
                <c:pt idx="97">
                  <c:v>2.7090694935217922E-2</c:v>
                </c:pt>
                <c:pt idx="98">
                  <c:v>3.3434650455927029E-2</c:v>
                </c:pt>
                <c:pt idx="99">
                  <c:v>3.3256880733944963E-2</c:v>
                </c:pt>
                <c:pt idx="100">
                  <c:v>4.3184885290148481E-2</c:v>
                </c:pt>
                <c:pt idx="101">
                  <c:v>3.8408779149519921E-2</c:v>
                </c:pt>
                <c:pt idx="102">
                  <c:v>2.8708133971291887E-2</c:v>
                </c:pt>
                <c:pt idx="103">
                  <c:v>3.7216828478964445E-2</c:v>
                </c:pt>
                <c:pt idx="104">
                  <c:v>3.0955585464333805E-2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E9-47A0-AC74-8A5338A12318}"/>
            </c:ext>
          </c:extLst>
        </c:ser>
        <c:ser>
          <c:idx val="1"/>
          <c:order val="1"/>
          <c:tx>
            <c:strRef>
              <c:f>'Averages Graph Data'!$CM$4</c:f>
              <c:strCache>
                <c:ptCount val="1"/>
                <c:pt idx="0">
                  <c:v>Average Proportion Over £25k - 4 Week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Data'!$CM$5:$CM$109</c:f>
              <c:numCache>
                <c:formatCode>0.0%</c:formatCode>
                <c:ptCount val="105"/>
                <c:pt idx="3">
                  <c:v>0.10568214811156483</c:v>
                </c:pt>
                <c:pt idx="4">
                  <c:v>0.10853866316320182</c:v>
                </c:pt>
                <c:pt idx="5">
                  <c:v>0.11785995924920381</c:v>
                </c:pt>
                <c:pt idx="6">
                  <c:v>0.11241108548482202</c:v>
                </c:pt>
                <c:pt idx="7">
                  <c:v>0.10605686822725363</c:v>
                </c:pt>
                <c:pt idx="8">
                  <c:v>9.6819783040801355E-2</c:v>
                </c:pt>
                <c:pt idx="9">
                  <c:v>8.7715942358013305E-2</c:v>
                </c:pt>
                <c:pt idx="10">
                  <c:v>7.8190365565782211E-2</c:v>
                </c:pt>
                <c:pt idx="11">
                  <c:v>7.4432629049424992E-2</c:v>
                </c:pt>
                <c:pt idx="12">
                  <c:v>6.7991471226028041E-2</c:v>
                </c:pt>
                <c:pt idx="13">
                  <c:v>6.3038515065133999E-2</c:v>
                </c:pt>
                <c:pt idx="14">
                  <c:v>6.7285057166565687E-2</c:v>
                </c:pt>
                <c:pt idx="15">
                  <c:v>6.381237992898213E-2</c:v>
                </c:pt>
                <c:pt idx="16">
                  <c:v>6.9683705468597312E-2</c:v>
                </c:pt>
                <c:pt idx="17">
                  <c:v>7.5905918292593799E-2</c:v>
                </c:pt>
                <c:pt idx="18">
                  <c:v>7.1010011447145679E-2</c:v>
                </c:pt>
                <c:pt idx="19">
                  <c:v>7.5768636779187951E-2</c:v>
                </c:pt>
                <c:pt idx="20">
                  <c:v>7.4260346826430151E-2</c:v>
                </c:pt>
                <c:pt idx="21">
                  <c:v>6.7384416135601047E-2</c:v>
                </c:pt>
                <c:pt idx="22">
                  <c:v>6.1777733301402148E-2</c:v>
                </c:pt>
                <c:pt idx="23">
                  <c:v>4.9536277300216001E-2</c:v>
                </c:pt>
                <c:pt idx="24">
                  <c:v>4.0628187880811122E-2</c:v>
                </c:pt>
                <c:pt idx="25">
                  <c:v>3.480068205330529E-2</c:v>
                </c:pt>
                <c:pt idx="26">
                  <c:v>3.408532301500361E-2</c:v>
                </c:pt>
                <c:pt idx="27">
                  <c:v>3.4977554257859714E-2</c:v>
                </c:pt>
                <c:pt idx="28">
                  <c:v>3.2375070113686628E-2</c:v>
                </c:pt>
                <c:pt idx="29">
                  <c:v>3.0538766693305228E-2</c:v>
                </c:pt>
                <c:pt idx="30">
                  <c:v>3.3789019390460591E-2</c:v>
                </c:pt>
                <c:pt idx="31">
                  <c:v>3.0819873931000694E-2</c:v>
                </c:pt>
                <c:pt idx="32">
                  <c:v>3.1383346917664597E-2</c:v>
                </c:pt>
                <c:pt idx="33">
                  <c:v>3.1918867787263445E-2</c:v>
                </c:pt>
                <c:pt idx="34">
                  <c:v>2.9783961492339736E-2</c:v>
                </c:pt>
                <c:pt idx="35">
                  <c:v>2.9892953834443008E-2</c:v>
                </c:pt>
                <c:pt idx="36">
                  <c:v>3.1827805471736303E-2</c:v>
                </c:pt>
                <c:pt idx="37">
                  <c:v>3.1781917072323682E-2</c:v>
                </c:pt>
                <c:pt idx="38">
                  <c:v>2.8624474348334691E-2</c:v>
                </c:pt>
                <c:pt idx="39">
                  <c:v>3.1209616709626069E-2</c:v>
                </c:pt>
                <c:pt idx="40">
                  <c:v>3.0304611642264452E-2</c:v>
                </c:pt>
                <c:pt idx="41">
                  <c:v>3.1905526100076451E-2</c:v>
                </c:pt>
                <c:pt idx="42">
                  <c:v>3.3032593707120528E-2</c:v>
                </c:pt>
                <c:pt idx="43">
                  <c:v>3.2983942784985024E-2</c:v>
                </c:pt>
                <c:pt idx="44">
                  <c:v>3.2079982078537121E-2</c:v>
                </c:pt>
                <c:pt idx="45">
                  <c:v>3.1169586212640286E-2</c:v>
                </c:pt>
                <c:pt idx="46">
                  <c:v>3.1220841208293867E-2</c:v>
                </c:pt>
                <c:pt idx="47">
                  <c:v>3.2080789686297434E-2</c:v>
                </c:pt>
                <c:pt idx="48">
                  <c:v>3.2010837875322766E-2</c:v>
                </c:pt>
                <c:pt idx="49">
                  <c:v>3.0739148683119725E-2</c:v>
                </c:pt>
                <c:pt idx="50">
                  <c:v>3.1070796870053874E-2</c:v>
                </c:pt>
                <c:pt idx="51">
                  <c:v>2.7347878747372302E-2</c:v>
                </c:pt>
                <c:pt idx="52">
                  <c:v>2.7090338966914852E-2</c:v>
                </c:pt>
                <c:pt idx="53">
                  <c:v>2.8246225199988047E-2</c:v>
                </c:pt>
                <c:pt idx="54">
                  <c:v>2.9288257492020346E-2</c:v>
                </c:pt>
                <c:pt idx="55">
                  <c:v>2.9424417524596944E-2</c:v>
                </c:pt>
                <c:pt idx="56">
                  <c:v>3.0401259765379711E-2</c:v>
                </c:pt>
                <c:pt idx="57">
                  <c:v>3.1084613943508588E-2</c:v>
                </c:pt>
                <c:pt idx="58">
                  <c:v>3.026736612283611E-2</c:v>
                </c:pt>
                <c:pt idx="59">
                  <c:v>3.1353225998701349E-2</c:v>
                </c:pt>
                <c:pt idx="60">
                  <c:v>3.5622421715265487E-2</c:v>
                </c:pt>
                <c:pt idx="61">
                  <c:v>3.3243289834743187E-2</c:v>
                </c:pt>
                <c:pt idx="62">
                  <c:v>3.2005751889999982E-2</c:v>
                </c:pt>
                <c:pt idx="63">
                  <c:v>3.3926958328779871E-2</c:v>
                </c:pt>
                <c:pt idx="64">
                  <c:v>2.9817208764028297E-2</c:v>
                </c:pt>
                <c:pt idx="65">
                  <c:v>3.2217784653477424E-2</c:v>
                </c:pt>
                <c:pt idx="66">
                  <c:v>3.5798862754008981E-2</c:v>
                </c:pt>
                <c:pt idx="67">
                  <c:v>3.4633576660895435E-2</c:v>
                </c:pt>
                <c:pt idx="68">
                  <c:v>3.6340503130172473E-2</c:v>
                </c:pt>
                <c:pt idx="69">
                  <c:v>3.5034287698129669E-2</c:v>
                </c:pt>
                <c:pt idx="70">
                  <c:v>3.2216673048964223E-2</c:v>
                </c:pt>
                <c:pt idx="71">
                  <c:v>3.2142234231520198E-2</c:v>
                </c:pt>
                <c:pt idx="72">
                  <c:v>3.1463955092846212E-2</c:v>
                </c:pt>
                <c:pt idx="73">
                  <c:v>2.9356589956068591E-2</c:v>
                </c:pt>
                <c:pt idx="74">
                  <c:v>2.7986550950499973E-2</c:v>
                </c:pt>
                <c:pt idx="75">
                  <c:v>2.528652006705168E-2</c:v>
                </c:pt>
                <c:pt idx="76">
                  <c:v>2.0684098976760067E-2</c:v>
                </c:pt>
                <c:pt idx="77">
                  <c:v>1.8635040385268781E-2</c:v>
                </c:pt>
                <c:pt idx="78">
                  <c:v>2.0321983610903673E-2</c:v>
                </c:pt>
                <c:pt idx="79">
                  <c:v>2.1290501554601299E-2</c:v>
                </c:pt>
                <c:pt idx="80">
                  <c:v>2.2297236754884878E-2</c:v>
                </c:pt>
                <c:pt idx="81">
                  <c:v>2.5031999743795608E-2</c:v>
                </c:pt>
                <c:pt idx="82">
                  <c:v>2.4361997443358527E-2</c:v>
                </c:pt>
                <c:pt idx="83">
                  <c:v>2.3002285946623659E-2</c:v>
                </c:pt>
                <c:pt idx="84">
                  <c:v>2.3315026988626319E-2</c:v>
                </c:pt>
                <c:pt idx="85">
                  <c:v>2.524270896445718E-2</c:v>
                </c:pt>
                <c:pt idx="86">
                  <c:v>2.4376426134246496E-2</c:v>
                </c:pt>
                <c:pt idx="87">
                  <c:v>2.4475655796115249E-2</c:v>
                </c:pt>
                <c:pt idx="88">
                  <c:v>2.4454253961860468E-2</c:v>
                </c:pt>
                <c:pt idx="89">
                  <c:v>2.0695572883974549E-2</c:v>
                </c:pt>
                <c:pt idx="90">
                  <c:v>2.0781109811488112E-2</c:v>
                </c:pt>
                <c:pt idx="91">
                  <c:v>1.9576834634610199E-2</c:v>
                </c:pt>
                <c:pt idx="92">
                  <c:v>2.2356347911469034E-2</c:v>
                </c:pt>
                <c:pt idx="93">
                  <c:v>2.5579178254182419E-2</c:v>
                </c:pt>
                <c:pt idx="94">
                  <c:v>2.5826794943547289E-2</c:v>
                </c:pt>
                <c:pt idx="95">
                  <c:v>2.9281559357215811E-2</c:v>
                </c:pt>
                <c:pt idx="96">
                  <c:v>2.8224365224121955E-2</c:v>
                </c:pt>
                <c:pt idx="97">
                  <c:v>2.7658982277764491E-2</c:v>
                </c:pt>
                <c:pt idx="98">
                  <c:v>2.9672467226771623E-2</c:v>
                </c:pt>
                <c:pt idx="99">
                  <c:v>3.0843830267400719E-2</c:v>
                </c:pt>
                <c:pt idx="100">
                  <c:v>3.4241777853809593E-2</c:v>
                </c:pt>
                <c:pt idx="101">
                  <c:v>3.70712989073851E-2</c:v>
                </c:pt>
                <c:pt idx="102">
                  <c:v>3.5889669786226312E-2</c:v>
                </c:pt>
                <c:pt idx="103">
                  <c:v>3.6879656722481183E-2</c:v>
                </c:pt>
                <c:pt idx="104">
                  <c:v>3.3822331766027516E-2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E9-47A0-AC74-8A5338A12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Data'!$AZ$4</c:f>
              <c:strCache>
                <c:ptCount val="1"/>
                <c:pt idx="0">
                  <c:v>Average NCD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Data'!$AZ$5:$AZ$109</c:f>
              <c:numCache>
                <c:formatCode>#,##0.0</c:formatCode>
                <c:ptCount val="105"/>
                <c:pt idx="0">
                  <c:v>5.1498154981874187</c:v>
                </c:pt>
                <c:pt idx="1">
                  <c:v>4.4876054979522122</c:v>
                </c:pt>
                <c:pt idx="2">
                  <c:v>5.0626501283667951</c:v>
                </c:pt>
                <c:pt idx="3">
                  <c:v>5.1512649671323629</c:v>
                </c:pt>
                <c:pt idx="4">
                  <c:v>4.8843537772404941</c:v>
                </c:pt>
                <c:pt idx="5">
                  <c:v>5.0629434180139885</c:v>
                </c:pt>
                <c:pt idx="6">
                  <c:v>5.1100400135232036</c:v>
                </c:pt>
                <c:pt idx="7">
                  <c:v>4.9315871092433685</c:v>
                </c:pt>
                <c:pt idx="8">
                  <c:v>5.1139686184826321</c:v>
                </c:pt>
                <c:pt idx="9">
                  <c:v>5.2322665787370557</c:v>
                </c:pt>
                <c:pt idx="10">
                  <c:v>5.1216532417233136</c:v>
                </c:pt>
                <c:pt idx="11">
                  <c:v>5.70203070035633</c:v>
                </c:pt>
                <c:pt idx="12">
                  <c:v>5.8892590391760731</c:v>
                </c:pt>
                <c:pt idx="13">
                  <c:v>6.052139245668628</c:v>
                </c:pt>
                <c:pt idx="14">
                  <c:v>5.8897297440735681</c:v>
                </c:pt>
                <c:pt idx="15">
                  <c:v>6.1677073418249435</c:v>
                </c:pt>
                <c:pt idx="16">
                  <c:v>6.3217459489172159</c:v>
                </c:pt>
                <c:pt idx="17">
                  <c:v>6.149223382390824</c:v>
                </c:pt>
                <c:pt idx="18">
                  <c:v>5.9851718026770531</c:v>
                </c:pt>
                <c:pt idx="19">
                  <c:v>5.7704486000640323</c:v>
                </c:pt>
                <c:pt idx="20">
                  <c:v>5.536945438040271</c:v>
                </c:pt>
                <c:pt idx="21">
                  <c:v>5.8162417572053862</c:v>
                </c:pt>
                <c:pt idx="22">
                  <c:v>5.8295404699894986</c:v>
                </c:pt>
                <c:pt idx="23">
                  <c:v>5.6496239073742558</c:v>
                </c:pt>
                <c:pt idx="24">
                  <c:v>5.3992847871582148</c:v>
                </c:pt>
                <c:pt idx="25">
                  <c:v>5.3769683320830728</c:v>
                </c:pt>
                <c:pt idx="26">
                  <c:v>5.0930878400315365</c:v>
                </c:pt>
                <c:pt idx="27">
                  <c:v>5.1175981374489581</c:v>
                </c:pt>
                <c:pt idx="28">
                  <c:v>5.1201571000999966</c:v>
                </c:pt>
                <c:pt idx="29">
                  <c:v>4.9858401079219217</c:v>
                </c:pt>
                <c:pt idx="30">
                  <c:v>5.3276284397857268</c:v>
                </c:pt>
                <c:pt idx="31">
                  <c:v>5.1593838584003562</c:v>
                </c:pt>
                <c:pt idx="32">
                  <c:v>5.2614675451046029</c:v>
                </c:pt>
                <c:pt idx="33">
                  <c:v>5.2272922648218252</c:v>
                </c:pt>
                <c:pt idx="34">
                  <c:v>5.1410440168532041</c:v>
                </c:pt>
                <c:pt idx="35">
                  <c:v>5.1225324786321966</c:v>
                </c:pt>
                <c:pt idx="36">
                  <c:v>4.8376167201798248</c:v>
                </c:pt>
                <c:pt idx="37">
                  <c:v>5.1996637754356403</c:v>
                </c:pt>
                <c:pt idx="38">
                  <c:v>4.8990704041712041</c:v>
                </c:pt>
                <c:pt idx="39">
                  <c:v>5.147922452130099</c:v>
                </c:pt>
                <c:pt idx="40">
                  <c:v>4.9476131357615927</c:v>
                </c:pt>
                <c:pt idx="41">
                  <c:v>5.050696945644499</c:v>
                </c:pt>
                <c:pt idx="42">
                  <c:v>5.206573039745181</c:v>
                </c:pt>
                <c:pt idx="43">
                  <c:v>5.0345321742752889</c:v>
                </c:pt>
                <c:pt idx="44">
                  <c:v>4.9979685017175042</c:v>
                </c:pt>
                <c:pt idx="45">
                  <c:v>4.9324781355183447</c:v>
                </c:pt>
                <c:pt idx="46">
                  <c:v>4.8063192179812422</c:v>
                </c:pt>
                <c:pt idx="47">
                  <c:v>5.0446767120681768</c:v>
                </c:pt>
                <c:pt idx="48">
                  <c:v>4.8384388158572831</c:v>
                </c:pt>
                <c:pt idx="49">
                  <c:v>5.0614923517157067</c:v>
                </c:pt>
                <c:pt idx="50">
                  <c:v>4.7363643749466835</c:v>
                </c:pt>
                <c:pt idx="51">
                  <c:v>5.0284444493702818</c:v>
                </c:pt>
                <c:pt idx="52">
                  <c:v>4.7222671246695924</c:v>
                </c:pt>
                <c:pt idx="53">
                  <c:v>4.7786685123185686</c:v>
                </c:pt>
                <c:pt idx="54">
                  <c:v>4.813475846159915</c:v>
                </c:pt>
                <c:pt idx="55">
                  <c:v>5.1029623186912554</c:v>
                </c:pt>
                <c:pt idx="56">
                  <c:v>4.9409709407496747</c:v>
                </c:pt>
                <c:pt idx="57">
                  <c:v>5.0880608741177609</c:v>
                </c:pt>
                <c:pt idx="58">
                  <c:v>4.5511969700342441</c:v>
                </c:pt>
                <c:pt idx="59">
                  <c:v>4.471738261560823</c:v>
                </c:pt>
                <c:pt idx="60">
                  <c:v>4.805163980091927</c:v>
                </c:pt>
                <c:pt idx="61">
                  <c:v>4.6581585095601588</c:v>
                </c:pt>
                <c:pt idx="62">
                  <c:v>4.7023651623263563</c:v>
                </c:pt>
                <c:pt idx="63">
                  <c:v>4.8910520778509703</c:v>
                </c:pt>
                <c:pt idx="64">
                  <c:v>4.7655726595659091</c:v>
                </c:pt>
                <c:pt idx="65">
                  <c:v>4.9103661778038896</c:v>
                </c:pt>
                <c:pt idx="66">
                  <c:v>4.8880606648119587</c:v>
                </c:pt>
                <c:pt idx="67">
                  <c:v>4.6803567596643738</c:v>
                </c:pt>
                <c:pt idx="68">
                  <c:v>4.8093717122723385</c:v>
                </c:pt>
                <c:pt idx="69">
                  <c:v>4.8113541934354505</c:v>
                </c:pt>
                <c:pt idx="70">
                  <c:v>4.5251695998403854</c:v>
                </c:pt>
                <c:pt idx="71">
                  <c:v>4.8648637319468095</c:v>
                </c:pt>
                <c:pt idx="72">
                  <c:v>4.3409663169837014</c:v>
                </c:pt>
                <c:pt idx="73">
                  <c:v>4.4678244384962946</c:v>
                </c:pt>
                <c:pt idx="74">
                  <c:v>4.5670013118955053</c:v>
                </c:pt>
                <c:pt idx="75">
                  <c:v>4.2980452629371113</c:v>
                </c:pt>
                <c:pt idx="76">
                  <c:v>4.3700888675087768</c:v>
                </c:pt>
                <c:pt idx="77">
                  <c:v>4.6245059288537531</c:v>
                </c:pt>
                <c:pt idx="78">
                  <c:v>4.6231884057971042</c:v>
                </c:pt>
                <c:pt idx="79">
                  <c:v>4.8471502590673623</c:v>
                </c:pt>
                <c:pt idx="80">
                  <c:v>4.6594871794871766</c:v>
                </c:pt>
                <c:pt idx="81">
                  <c:v>4.5449844881075459</c:v>
                </c:pt>
                <c:pt idx="82">
                  <c:v>4.665608465608468</c:v>
                </c:pt>
                <c:pt idx="83">
                  <c:v>4.7305751765893049</c:v>
                </c:pt>
                <c:pt idx="84">
                  <c:v>4.5250683682771156</c:v>
                </c:pt>
                <c:pt idx="85">
                  <c:v>4.524598558135164</c:v>
                </c:pt>
                <c:pt idx="86">
                  <c:v>4.2575150300601203</c:v>
                </c:pt>
                <c:pt idx="87">
                  <c:v>4.3767123287671224</c:v>
                </c:pt>
                <c:pt idx="88">
                  <c:v>4.6140350877192997</c:v>
                </c:pt>
                <c:pt idx="89">
                  <c:v>4.3868312757201622</c:v>
                </c:pt>
                <c:pt idx="90">
                  <c:v>4.4718981972428447</c:v>
                </c:pt>
                <c:pt idx="91">
                  <c:v>4.4299262381454172</c:v>
                </c:pt>
                <c:pt idx="92">
                  <c:v>4.4532130777903074</c:v>
                </c:pt>
                <c:pt idx="93">
                  <c:v>4.1771255060728745</c:v>
                </c:pt>
                <c:pt idx="94">
                  <c:v>4.3197969543147208</c:v>
                </c:pt>
                <c:pt idx="95">
                  <c:v>4.1702857142857148</c:v>
                </c:pt>
                <c:pt idx="96">
                  <c:v>4.2971639950678204</c:v>
                </c:pt>
                <c:pt idx="97">
                  <c:v>3.7455830388692601</c:v>
                </c:pt>
                <c:pt idx="98">
                  <c:v>3.5612968591691971</c:v>
                </c:pt>
                <c:pt idx="99">
                  <c:v>3.9472477064220195</c:v>
                </c:pt>
                <c:pt idx="100">
                  <c:v>3.8286099865047269</c:v>
                </c:pt>
                <c:pt idx="101">
                  <c:v>3.6666666666666701</c:v>
                </c:pt>
                <c:pt idx="102">
                  <c:v>3.5406698564593326</c:v>
                </c:pt>
                <c:pt idx="103">
                  <c:v>3.4951456310679654</c:v>
                </c:pt>
                <c:pt idx="104">
                  <c:v>3.5679676985195172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9F-4F6C-BC68-2DE49FBA9758}"/>
            </c:ext>
          </c:extLst>
        </c:ser>
        <c:ser>
          <c:idx val="1"/>
          <c:order val="1"/>
          <c:tx>
            <c:strRef>
              <c:f>'Averages Graph Data'!$BA$4</c:f>
              <c:strCache>
                <c:ptCount val="1"/>
                <c:pt idx="0">
                  <c:v>Average NCD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Data'!$BA$5:$BA$109</c:f>
              <c:numCache>
                <c:formatCode>#,##0</c:formatCode>
                <c:ptCount val="105"/>
                <c:pt idx="3">
                  <c:v>4.9628340229096972</c:v>
                </c:pt>
                <c:pt idx="4">
                  <c:v>4.8964685926729663</c:v>
                </c:pt>
                <c:pt idx="5">
                  <c:v>5.0403030726884097</c:v>
                </c:pt>
                <c:pt idx="6">
                  <c:v>5.052150543977513</c:v>
                </c:pt>
                <c:pt idx="7">
                  <c:v>4.9972310795052639</c:v>
                </c:pt>
                <c:pt idx="8">
                  <c:v>5.0546347898157986</c:v>
                </c:pt>
                <c:pt idx="9">
                  <c:v>5.0969655799965654</c:v>
                </c:pt>
                <c:pt idx="10">
                  <c:v>5.0998688870465925</c:v>
                </c:pt>
                <c:pt idx="11">
                  <c:v>5.2924797848248328</c:v>
                </c:pt>
                <c:pt idx="12">
                  <c:v>5.486302389998194</c:v>
                </c:pt>
                <c:pt idx="13">
                  <c:v>5.6912705567310855</c:v>
                </c:pt>
                <c:pt idx="14">
                  <c:v>5.8832896823186491</c:v>
                </c:pt>
                <c:pt idx="15">
                  <c:v>5.9997088426858038</c:v>
                </c:pt>
                <c:pt idx="16">
                  <c:v>6.1078305701210889</c:v>
                </c:pt>
                <c:pt idx="17">
                  <c:v>6.1321016043016385</c:v>
                </c:pt>
                <c:pt idx="18">
                  <c:v>6.1559621189525089</c:v>
                </c:pt>
                <c:pt idx="19">
                  <c:v>6.0566474335122811</c:v>
                </c:pt>
                <c:pt idx="20">
                  <c:v>5.8604473057930448</c:v>
                </c:pt>
                <c:pt idx="21">
                  <c:v>5.7772018994966858</c:v>
                </c:pt>
                <c:pt idx="22">
                  <c:v>5.738294066324797</c:v>
                </c:pt>
                <c:pt idx="23">
                  <c:v>5.7080878931523529</c:v>
                </c:pt>
                <c:pt idx="24">
                  <c:v>5.6736727304318393</c:v>
                </c:pt>
                <c:pt idx="25">
                  <c:v>5.5638543741512612</c:v>
                </c:pt>
                <c:pt idx="26">
                  <c:v>5.3797412166617704</c:v>
                </c:pt>
                <c:pt idx="27">
                  <c:v>5.246734774180446</c:v>
                </c:pt>
                <c:pt idx="28">
                  <c:v>5.1769528524158908</c:v>
                </c:pt>
                <c:pt idx="29">
                  <c:v>5.0791707963756032</c:v>
                </c:pt>
                <c:pt idx="30">
                  <c:v>5.1378059463141508</c:v>
                </c:pt>
                <c:pt idx="31">
                  <c:v>5.1482523765520005</c:v>
                </c:pt>
                <c:pt idx="32">
                  <c:v>5.1835799878031512</c:v>
                </c:pt>
                <c:pt idx="33">
                  <c:v>5.243943027028128</c:v>
                </c:pt>
                <c:pt idx="34">
                  <c:v>5.1972969212949973</c:v>
                </c:pt>
                <c:pt idx="35">
                  <c:v>5.1880840763529577</c:v>
                </c:pt>
                <c:pt idx="36">
                  <c:v>5.0821213701217625</c:v>
                </c:pt>
                <c:pt idx="37">
                  <c:v>5.0752142477752162</c:v>
                </c:pt>
                <c:pt idx="38">
                  <c:v>5.0147208446047165</c:v>
                </c:pt>
                <c:pt idx="39">
                  <c:v>5.0210683379791927</c:v>
                </c:pt>
                <c:pt idx="40">
                  <c:v>5.048567441874634</c:v>
                </c:pt>
                <c:pt idx="41">
                  <c:v>5.0113257344268485</c:v>
                </c:pt>
                <c:pt idx="42">
                  <c:v>5.0882013933203432</c:v>
                </c:pt>
                <c:pt idx="43">
                  <c:v>5.0598538238566402</c:v>
                </c:pt>
                <c:pt idx="44">
                  <c:v>5.0724426653456183</c:v>
                </c:pt>
                <c:pt idx="45">
                  <c:v>5.0428879628140795</c:v>
                </c:pt>
                <c:pt idx="46">
                  <c:v>4.9428245073730945</c:v>
                </c:pt>
                <c:pt idx="47">
                  <c:v>4.945360641821317</c:v>
                </c:pt>
                <c:pt idx="48">
                  <c:v>4.9054782203562617</c:v>
                </c:pt>
                <c:pt idx="49">
                  <c:v>4.9377317744056022</c:v>
                </c:pt>
                <c:pt idx="50">
                  <c:v>4.9202430636469625</c:v>
                </c:pt>
                <c:pt idx="51">
                  <c:v>4.916184997972489</c:v>
                </c:pt>
                <c:pt idx="52">
                  <c:v>4.8871420751755661</c:v>
                </c:pt>
                <c:pt idx="53">
                  <c:v>4.8164361153262814</c:v>
                </c:pt>
                <c:pt idx="54">
                  <c:v>4.8357139831295894</c:v>
                </c:pt>
                <c:pt idx="55">
                  <c:v>4.8543434504598322</c:v>
                </c:pt>
                <c:pt idx="56">
                  <c:v>4.9090194044798539</c:v>
                </c:pt>
                <c:pt idx="57">
                  <c:v>4.9863674949296515</c:v>
                </c:pt>
                <c:pt idx="58">
                  <c:v>4.920797775898234</c:v>
                </c:pt>
                <c:pt idx="59">
                  <c:v>4.7629917616156252</c:v>
                </c:pt>
                <c:pt idx="60">
                  <c:v>4.7290400214511887</c:v>
                </c:pt>
                <c:pt idx="61">
                  <c:v>4.6215644303117882</c:v>
                </c:pt>
                <c:pt idx="62">
                  <c:v>4.659356478384816</c:v>
                </c:pt>
                <c:pt idx="63">
                  <c:v>4.7641849324573524</c:v>
                </c:pt>
                <c:pt idx="64">
                  <c:v>4.7542871023258488</c:v>
                </c:pt>
                <c:pt idx="65">
                  <c:v>4.8173390193867816</c:v>
                </c:pt>
                <c:pt idx="66">
                  <c:v>4.8637628950081826</c:v>
                </c:pt>
                <c:pt idx="67">
                  <c:v>4.811089065461533</c:v>
                </c:pt>
                <c:pt idx="68">
                  <c:v>4.8220388286381404</c:v>
                </c:pt>
                <c:pt idx="69">
                  <c:v>4.7972858325460308</c:v>
                </c:pt>
                <c:pt idx="70">
                  <c:v>4.7065630663031364</c:v>
                </c:pt>
                <c:pt idx="71">
                  <c:v>4.752689809373746</c:v>
                </c:pt>
                <c:pt idx="72">
                  <c:v>4.6355884605515865</c:v>
                </c:pt>
                <c:pt idx="73">
                  <c:v>4.5497060218167977</c:v>
                </c:pt>
                <c:pt idx="74">
                  <c:v>4.5601639498305779</c:v>
                </c:pt>
                <c:pt idx="75">
                  <c:v>4.4184593325781538</c:v>
                </c:pt>
                <c:pt idx="76">
                  <c:v>4.4257399702094222</c:v>
                </c:pt>
                <c:pt idx="77">
                  <c:v>4.4649103427987864</c:v>
                </c:pt>
                <c:pt idx="78">
                  <c:v>4.478957116274187</c:v>
                </c:pt>
                <c:pt idx="79">
                  <c:v>4.6162333653067495</c:v>
                </c:pt>
                <c:pt idx="80">
                  <c:v>4.6885829433013493</c:v>
                </c:pt>
                <c:pt idx="81">
                  <c:v>4.668702583114797</c:v>
                </c:pt>
                <c:pt idx="82">
                  <c:v>4.6793075980676377</c:v>
                </c:pt>
                <c:pt idx="83">
                  <c:v>4.6501638274481234</c:v>
                </c:pt>
                <c:pt idx="84">
                  <c:v>4.6165591246456081</c:v>
                </c:pt>
                <c:pt idx="85">
                  <c:v>4.6114626421525129</c:v>
                </c:pt>
                <c:pt idx="86">
                  <c:v>4.5094392832654258</c:v>
                </c:pt>
                <c:pt idx="87">
                  <c:v>4.4209735713098803</c:v>
                </c:pt>
                <c:pt idx="88">
                  <c:v>4.443215251170427</c:v>
                </c:pt>
                <c:pt idx="89">
                  <c:v>4.4087734305666757</c:v>
                </c:pt>
                <c:pt idx="90">
                  <c:v>4.4623692223623568</c:v>
                </c:pt>
                <c:pt idx="91">
                  <c:v>4.4756726997069309</c:v>
                </c:pt>
                <c:pt idx="92">
                  <c:v>4.435467197224682</c:v>
                </c:pt>
                <c:pt idx="93">
                  <c:v>4.3830407548128605</c:v>
                </c:pt>
                <c:pt idx="94">
                  <c:v>4.34501544408083</c:v>
                </c:pt>
                <c:pt idx="95">
                  <c:v>4.2801053131159046</c:v>
                </c:pt>
                <c:pt idx="96">
                  <c:v>4.2410930424352822</c:v>
                </c:pt>
                <c:pt idx="97">
                  <c:v>4.1332074256343789</c:v>
                </c:pt>
                <c:pt idx="98">
                  <c:v>3.9435824018479977</c:v>
                </c:pt>
                <c:pt idx="99">
                  <c:v>3.8878228998820745</c:v>
                </c:pt>
                <c:pt idx="100">
                  <c:v>3.7706843977413009</c:v>
                </c:pt>
                <c:pt idx="101">
                  <c:v>3.7509553046906534</c:v>
                </c:pt>
                <c:pt idx="102">
                  <c:v>3.7457985540131875</c:v>
                </c:pt>
                <c:pt idx="103">
                  <c:v>3.6327730351746736</c:v>
                </c:pt>
                <c:pt idx="104">
                  <c:v>3.5676124631783712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9F-4F6C-BC68-2DE49FBA9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Data'!$BD$4</c:f>
              <c:strCache>
                <c:ptCount val="1"/>
                <c:pt idx="0">
                  <c:v>Average NCD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Data'!$BD$5:$BD$109</c:f>
              <c:numCache>
                <c:formatCode>#,##0.0</c:formatCode>
                <c:ptCount val="105"/>
                <c:pt idx="0">
                  <c:v>5.4878048780487809</c:v>
                </c:pt>
                <c:pt idx="1">
                  <c:v>4.5084033613445387</c:v>
                </c:pt>
                <c:pt idx="2">
                  <c:v>5.830578512396694</c:v>
                </c:pt>
                <c:pt idx="3">
                  <c:v>5.5070422535211261</c:v>
                </c:pt>
                <c:pt idx="4">
                  <c:v>5.0180180180180169</c:v>
                </c:pt>
                <c:pt idx="5">
                  <c:v>5.4099099099099091</c:v>
                </c:pt>
                <c:pt idx="6">
                  <c:v>5.9068627450980404</c:v>
                </c:pt>
                <c:pt idx="7">
                  <c:v>5.5172413793103452</c:v>
                </c:pt>
                <c:pt idx="8">
                  <c:v>5.4936708860759493</c:v>
                </c:pt>
                <c:pt idx="9">
                  <c:v>5.7368421052631584</c:v>
                </c:pt>
                <c:pt idx="10">
                  <c:v>5.6277602523659302</c:v>
                </c:pt>
                <c:pt idx="11">
                  <c:v>6.5170940170940135</c:v>
                </c:pt>
                <c:pt idx="12">
                  <c:v>6.7694300518134725</c:v>
                </c:pt>
                <c:pt idx="13">
                  <c:v>6.871194379391099</c:v>
                </c:pt>
                <c:pt idx="14">
                  <c:v>6.7463617463617434</c:v>
                </c:pt>
                <c:pt idx="15">
                  <c:v>7.3134582623509319</c:v>
                </c:pt>
                <c:pt idx="16">
                  <c:v>7.557788944723618</c:v>
                </c:pt>
                <c:pt idx="17">
                  <c:v>7.2392776523702027</c:v>
                </c:pt>
                <c:pt idx="18">
                  <c:v>6.9495412844036668</c:v>
                </c:pt>
                <c:pt idx="19">
                  <c:v>6.9787234042553177</c:v>
                </c:pt>
                <c:pt idx="20">
                  <c:v>6.5089820359281445</c:v>
                </c:pt>
                <c:pt idx="21">
                  <c:v>6.706293706293704</c:v>
                </c:pt>
                <c:pt idx="22">
                  <c:v>6.7905236907730666</c:v>
                </c:pt>
                <c:pt idx="23">
                  <c:v>6.9634703196347019</c:v>
                </c:pt>
                <c:pt idx="24">
                  <c:v>6.6686746987951802</c:v>
                </c:pt>
                <c:pt idx="25">
                  <c:v>6.4220963172804524</c:v>
                </c:pt>
                <c:pt idx="26">
                  <c:v>6.2210526315789458</c:v>
                </c:pt>
                <c:pt idx="27">
                  <c:v>6.4585365853658532</c:v>
                </c:pt>
                <c:pt idx="28">
                  <c:v>7.3559292869805324</c:v>
                </c:pt>
                <c:pt idx="29">
                  <c:v>6.599067599067606</c:v>
                </c:pt>
                <c:pt idx="30">
                  <c:v>6.7296747967479771</c:v>
                </c:pt>
                <c:pt idx="31">
                  <c:v>6.8522483940042926</c:v>
                </c:pt>
                <c:pt idx="32">
                  <c:v>7.075819672131157</c:v>
                </c:pt>
                <c:pt idx="33">
                  <c:v>6.6833013435700659</c:v>
                </c:pt>
                <c:pt idx="34">
                  <c:v>6.6459227467811255</c:v>
                </c:pt>
                <c:pt idx="35">
                  <c:v>6.6309523809523903</c:v>
                </c:pt>
                <c:pt idx="36">
                  <c:v>6.5526881720430197</c:v>
                </c:pt>
                <c:pt idx="37">
                  <c:v>6.6970802919708108</c:v>
                </c:pt>
                <c:pt idx="38">
                  <c:v>5.9620535714285783</c:v>
                </c:pt>
                <c:pt idx="39">
                  <c:v>6.6076233183856585</c:v>
                </c:pt>
                <c:pt idx="40">
                  <c:v>6.4831932773109342</c:v>
                </c:pt>
                <c:pt idx="41">
                  <c:v>6.5011764705882431</c:v>
                </c:pt>
                <c:pt idx="42">
                  <c:v>6.3657957244655625</c:v>
                </c:pt>
                <c:pt idx="43">
                  <c:v>6.0537084398977052</c:v>
                </c:pt>
                <c:pt idx="44">
                  <c:v>5.9428571428571519</c:v>
                </c:pt>
                <c:pt idx="45">
                  <c:v>6.5710144927536271</c:v>
                </c:pt>
                <c:pt idx="46">
                  <c:v>5.4594594594594641</c:v>
                </c:pt>
                <c:pt idx="47">
                  <c:v>5.877742946708465</c:v>
                </c:pt>
                <c:pt idx="48">
                  <c:v>6.0721649484536071</c:v>
                </c:pt>
                <c:pt idx="49">
                  <c:v>6.0939597315436238</c:v>
                </c:pt>
                <c:pt idx="50">
                  <c:v>5.6006289308176118</c:v>
                </c:pt>
                <c:pt idx="51">
                  <c:v>6.2067510548523215</c:v>
                </c:pt>
                <c:pt idx="52">
                  <c:v>5.8779527559055111</c:v>
                </c:pt>
                <c:pt idx="53">
                  <c:v>5.0138888888888902</c:v>
                </c:pt>
                <c:pt idx="54">
                  <c:v>5.9375</c:v>
                </c:pt>
                <c:pt idx="55">
                  <c:v>6.0335570469798672</c:v>
                </c:pt>
                <c:pt idx="56">
                  <c:v>6.2265625000000027</c:v>
                </c:pt>
                <c:pt idx="57">
                  <c:v>6.0651340996168592</c:v>
                </c:pt>
                <c:pt idx="58">
                  <c:v>6.024</c:v>
                </c:pt>
                <c:pt idx="59">
                  <c:v>5.533073929961092</c:v>
                </c:pt>
                <c:pt idx="60">
                  <c:v>5.4271844660194164</c:v>
                </c:pt>
                <c:pt idx="61">
                  <c:v>5.604166666666667</c:v>
                </c:pt>
                <c:pt idx="62">
                  <c:v>6.2218430034129719</c:v>
                </c:pt>
                <c:pt idx="63">
                  <c:v>5.7533783783783807</c:v>
                </c:pt>
                <c:pt idx="64">
                  <c:v>5.8686440677966107</c:v>
                </c:pt>
                <c:pt idx="65">
                  <c:v>6.4979919678714886</c:v>
                </c:pt>
                <c:pt idx="66">
                  <c:v>6.0317919075144522</c:v>
                </c:pt>
                <c:pt idx="67">
                  <c:v>6.3627450980392162</c:v>
                </c:pt>
                <c:pt idx="68">
                  <c:v>6.6532507739938094</c:v>
                </c:pt>
                <c:pt idx="69">
                  <c:v>6.4013157894736894</c:v>
                </c:pt>
                <c:pt idx="70">
                  <c:v>6.2508960573476715</c:v>
                </c:pt>
                <c:pt idx="71">
                  <c:v>6.9774774774774757</c:v>
                </c:pt>
                <c:pt idx="72">
                  <c:v>5.7681159420289854</c:v>
                </c:pt>
                <c:pt idx="73">
                  <c:v>5.7701149425287355</c:v>
                </c:pt>
                <c:pt idx="74">
                  <c:v>6.3142857142857132</c:v>
                </c:pt>
                <c:pt idx="75">
                  <c:v>5.7025641025641018</c:v>
                </c:pt>
                <c:pt idx="76">
                  <c:v>5.7632653061224479</c:v>
                </c:pt>
                <c:pt idx="77">
                  <c:v>6.2380952380952399</c:v>
                </c:pt>
                <c:pt idx="78">
                  <c:v>5.6344086021505371</c:v>
                </c:pt>
                <c:pt idx="79">
                  <c:v>6.0108695652173898</c:v>
                </c:pt>
                <c:pt idx="80">
                  <c:v>6.6305418719211833</c:v>
                </c:pt>
                <c:pt idx="81">
                  <c:v>6.5136612021857925</c:v>
                </c:pt>
                <c:pt idx="82">
                  <c:v>6.4132653061224492</c:v>
                </c:pt>
                <c:pt idx="83">
                  <c:v>6.3092783505154646</c:v>
                </c:pt>
                <c:pt idx="84">
                  <c:v>6.1809523809523812</c:v>
                </c:pt>
                <c:pt idx="85">
                  <c:v>6.4229074889867839</c:v>
                </c:pt>
                <c:pt idx="86">
                  <c:v>4.6098901098901095</c:v>
                </c:pt>
                <c:pt idx="87">
                  <c:v>6.1849999999999987</c:v>
                </c:pt>
                <c:pt idx="88">
                  <c:v>6.7990196078431371</c:v>
                </c:pt>
                <c:pt idx="89">
                  <c:v>5.7865612648221365</c:v>
                </c:pt>
                <c:pt idx="90">
                  <c:v>5.6995073891625605</c:v>
                </c:pt>
                <c:pt idx="91">
                  <c:v>5.5693069306930703</c:v>
                </c:pt>
                <c:pt idx="92">
                  <c:v>6.0406091370558368</c:v>
                </c:pt>
                <c:pt idx="93">
                  <c:v>5.2696078431372557</c:v>
                </c:pt>
                <c:pt idx="94">
                  <c:v>5.7843137254901968</c:v>
                </c:pt>
                <c:pt idx="95">
                  <c:v>5.395348837209303</c:v>
                </c:pt>
                <c:pt idx="96">
                  <c:v>5.6594594594594589</c:v>
                </c:pt>
                <c:pt idx="97">
                  <c:v>5.0290697674418601</c:v>
                </c:pt>
                <c:pt idx="98">
                  <c:v>4.4999999999999991</c:v>
                </c:pt>
                <c:pt idx="99">
                  <c:v>5.1989528795811522</c:v>
                </c:pt>
                <c:pt idx="100">
                  <c:v>4.8311688311688323</c:v>
                </c:pt>
                <c:pt idx="101">
                  <c:v>4.3875000000000002</c:v>
                </c:pt>
                <c:pt idx="102">
                  <c:v>4.8687499999999995</c:v>
                </c:pt>
                <c:pt idx="103">
                  <c:v>4.7669172932330834</c:v>
                </c:pt>
                <c:pt idx="104">
                  <c:v>4.1768292682926829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4-449B-A4E8-A4793577B508}"/>
            </c:ext>
          </c:extLst>
        </c:ser>
        <c:ser>
          <c:idx val="1"/>
          <c:order val="1"/>
          <c:tx>
            <c:strRef>
              <c:f>'Averages Graph Data'!$BE$4</c:f>
              <c:strCache>
                <c:ptCount val="1"/>
                <c:pt idx="0">
                  <c:v>Average NCD - 4 Week Avg (Boom Annual Up Front)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Data'!$BE$5:$BE$109</c:f>
              <c:numCache>
                <c:formatCode>#,##0.0</c:formatCode>
                <c:ptCount val="105"/>
                <c:pt idx="3">
                  <c:v>5.3334572513277845</c:v>
                </c:pt>
                <c:pt idx="4">
                  <c:v>5.2160105363200939</c:v>
                </c:pt>
                <c:pt idx="5">
                  <c:v>5.441387173461437</c:v>
                </c:pt>
                <c:pt idx="6">
                  <c:v>5.4604582316367729</c:v>
                </c:pt>
                <c:pt idx="7">
                  <c:v>5.4630080130840772</c:v>
                </c:pt>
                <c:pt idx="8">
                  <c:v>5.581921230098561</c:v>
                </c:pt>
                <c:pt idx="9">
                  <c:v>5.6636542789368729</c:v>
                </c:pt>
                <c:pt idx="10">
                  <c:v>5.593878655753846</c:v>
                </c:pt>
                <c:pt idx="11">
                  <c:v>5.8438418151997631</c:v>
                </c:pt>
                <c:pt idx="12">
                  <c:v>6.1627816066341436</c:v>
                </c:pt>
                <c:pt idx="13">
                  <c:v>6.446369675166129</c:v>
                </c:pt>
                <c:pt idx="14">
                  <c:v>6.7260200486650819</c:v>
                </c:pt>
                <c:pt idx="15">
                  <c:v>6.9251111099793112</c:v>
                </c:pt>
                <c:pt idx="16">
                  <c:v>7.1222008332068478</c:v>
                </c:pt>
                <c:pt idx="17">
                  <c:v>7.2142216514516235</c:v>
                </c:pt>
                <c:pt idx="18">
                  <c:v>7.2650165359621042</c:v>
                </c:pt>
                <c:pt idx="19">
                  <c:v>7.1813328214382022</c:v>
                </c:pt>
                <c:pt idx="20">
                  <c:v>6.9191310942393338</c:v>
                </c:pt>
                <c:pt idx="21">
                  <c:v>6.7858851077202083</c:v>
                </c:pt>
                <c:pt idx="22">
                  <c:v>6.746130709312558</c:v>
                </c:pt>
                <c:pt idx="23">
                  <c:v>6.7423174381574045</c:v>
                </c:pt>
                <c:pt idx="24">
                  <c:v>6.7822406038741629</c:v>
                </c:pt>
                <c:pt idx="25">
                  <c:v>6.7111912566208503</c:v>
                </c:pt>
                <c:pt idx="26">
                  <c:v>6.5688234918223198</c:v>
                </c:pt>
                <c:pt idx="27">
                  <c:v>6.4425900582551074</c:v>
                </c:pt>
                <c:pt idx="28">
                  <c:v>6.6144037053014459</c:v>
                </c:pt>
                <c:pt idx="29">
                  <c:v>6.6586465257482343</c:v>
                </c:pt>
                <c:pt idx="30">
                  <c:v>6.7858020670404926</c:v>
                </c:pt>
                <c:pt idx="31">
                  <c:v>6.8842300192001016</c:v>
                </c:pt>
                <c:pt idx="32">
                  <c:v>6.8142026154877584</c:v>
                </c:pt>
                <c:pt idx="33">
                  <c:v>6.8352610516133732</c:v>
                </c:pt>
                <c:pt idx="34">
                  <c:v>6.8143230391216596</c:v>
                </c:pt>
                <c:pt idx="35">
                  <c:v>6.7589990358586842</c:v>
                </c:pt>
                <c:pt idx="36">
                  <c:v>6.6282161608366508</c:v>
                </c:pt>
                <c:pt idx="37">
                  <c:v>6.6316608979368361</c:v>
                </c:pt>
                <c:pt idx="38">
                  <c:v>6.4606936040986991</c:v>
                </c:pt>
                <c:pt idx="39">
                  <c:v>6.4548613384570173</c:v>
                </c:pt>
                <c:pt idx="40">
                  <c:v>6.4374876147739961</c:v>
                </c:pt>
                <c:pt idx="41">
                  <c:v>6.3885116594283531</c:v>
                </c:pt>
                <c:pt idx="42">
                  <c:v>6.4894471976875998</c:v>
                </c:pt>
                <c:pt idx="43">
                  <c:v>6.350968478065611</c:v>
                </c:pt>
                <c:pt idx="44">
                  <c:v>6.2158844444521648</c:v>
                </c:pt>
                <c:pt idx="45">
                  <c:v>6.233343949993511</c:v>
                </c:pt>
                <c:pt idx="46">
                  <c:v>6.0067598837419869</c:v>
                </c:pt>
                <c:pt idx="47">
                  <c:v>5.9627685104446773</c:v>
                </c:pt>
                <c:pt idx="48">
                  <c:v>5.9950954618437908</c:v>
                </c:pt>
                <c:pt idx="49">
                  <c:v>5.8758317715412902</c:v>
                </c:pt>
                <c:pt idx="50">
                  <c:v>5.9111241393808278</c:v>
                </c:pt>
                <c:pt idx="51">
                  <c:v>5.9933761664167919</c:v>
                </c:pt>
                <c:pt idx="52">
                  <c:v>5.9448231182797668</c:v>
                </c:pt>
                <c:pt idx="53">
                  <c:v>5.6748054076160832</c:v>
                </c:pt>
                <c:pt idx="54">
                  <c:v>5.7590231749116807</c:v>
                </c:pt>
                <c:pt idx="55">
                  <c:v>5.7157246729435673</c:v>
                </c:pt>
                <c:pt idx="56">
                  <c:v>5.8028771089671904</c:v>
                </c:pt>
                <c:pt idx="57">
                  <c:v>6.065688411649182</c:v>
                </c:pt>
                <c:pt idx="58">
                  <c:v>6.0873134116491823</c:v>
                </c:pt>
                <c:pt idx="59">
                  <c:v>5.9621926323944887</c:v>
                </c:pt>
                <c:pt idx="60">
                  <c:v>5.7623481238993417</c:v>
                </c:pt>
                <c:pt idx="61">
                  <c:v>5.6471062656617939</c:v>
                </c:pt>
                <c:pt idx="62">
                  <c:v>5.6965670165150364</c:v>
                </c:pt>
                <c:pt idx="63">
                  <c:v>5.7516431286193583</c:v>
                </c:pt>
                <c:pt idx="64">
                  <c:v>5.8620080290636576</c:v>
                </c:pt>
                <c:pt idx="65">
                  <c:v>6.0854643543648637</c:v>
                </c:pt>
                <c:pt idx="66">
                  <c:v>6.0379515803902333</c:v>
                </c:pt>
                <c:pt idx="67">
                  <c:v>6.1902932603054417</c:v>
                </c:pt>
                <c:pt idx="68">
                  <c:v>6.3864449368547422</c:v>
                </c:pt>
                <c:pt idx="69">
                  <c:v>6.3622758922552913</c:v>
                </c:pt>
                <c:pt idx="70">
                  <c:v>6.4170519297135966</c:v>
                </c:pt>
                <c:pt idx="71">
                  <c:v>6.5707350245731613</c:v>
                </c:pt>
                <c:pt idx="72">
                  <c:v>6.3494513165819555</c:v>
                </c:pt>
                <c:pt idx="73">
                  <c:v>6.1916511048457172</c:v>
                </c:pt>
                <c:pt idx="74">
                  <c:v>6.2074985190802279</c:v>
                </c:pt>
                <c:pt idx="75">
                  <c:v>5.8887701753518833</c:v>
                </c:pt>
                <c:pt idx="76">
                  <c:v>5.8875575163752494</c:v>
                </c:pt>
                <c:pt idx="77">
                  <c:v>6.0045525902668757</c:v>
                </c:pt>
                <c:pt idx="78">
                  <c:v>5.8345833122330815</c:v>
                </c:pt>
                <c:pt idx="79">
                  <c:v>5.9116596778964041</c:v>
                </c:pt>
                <c:pt idx="80">
                  <c:v>6.1284788193460873</c:v>
                </c:pt>
                <c:pt idx="81">
                  <c:v>6.1973703103687257</c:v>
                </c:pt>
                <c:pt idx="82">
                  <c:v>6.3920844863617035</c:v>
                </c:pt>
                <c:pt idx="83">
                  <c:v>6.4666866826862215</c:v>
                </c:pt>
                <c:pt idx="84">
                  <c:v>6.3542893099440212</c:v>
                </c:pt>
                <c:pt idx="85">
                  <c:v>6.3316008816442695</c:v>
                </c:pt>
                <c:pt idx="86">
                  <c:v>5.880757082586185</c:v>
                </c:pt>
                <c:pt idx="87">
                  <c:v>5.8496874949573181</c:v>
                </c:pt>
                <c:pt idx="88">
                  <c:v>6.0042043016800069</c:v>
                </c:pt>
                <c:pt idx="89">
                  <c:v>5.8451177456388459</c:v>
                </c:pt>
                <c:pt idx="90">
                  <c:v>6.1175220654569582</c:v>
                </c:pt>
                <c:pt idx="91">
                  <c:v>5.9635987981302261</c:v>
                </c:pt>
                <c:pt idx="92">
                  <c:v>5.7739961804334019</c:v>
                </c:pt>
                <c:pt idx="93">
                  <c:v>5.6447578250121806</c:v>
                </c:pt>
                <c:pt idx="94">
                  <c:v>5.6659594090940901</c:v>
                </c:pt>
                <c:pt idx="95">
                  <c:v>5.6224698857231488</c:v>
                </c:pt>
                <c:pt idx="96">
                  <c:v>5.5271824663240539</c:v>
                </c:pt>
                <c:pt idx="97">
                  <c:v>5.4670479474002054</c:v>
                </c:pt>
                <c:pt idx="98">
                  <c:v>5.1459695160276553</c:v>
                </c:pt>
                <c:pt idx="99">
                  <c:v>5.0968705266206182</c:v>
                </c:pt>
                <c:pt idx="100">
                  <c:v>4.8897978695479605</c:v>
                </c:pt>
                <c:pt idx="101">
                  <c:v>4.7294054276874959</c:v>
                </c:pt>
                <c:pt idx="102">
                  <c:v>4.8215929276874956</c:v>
                </c:pt>
                <c:pt idx="103">
                  <c:v>4.7135840311004795</c:v>
                </c:pt>
                <c:pt idx="104">
                  <c:v>4.5499991403814413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34-449B-A4E8-A4793577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Data'!$BH$4</c:f>
              <c:strCache>
                <c:ptCount val="1"/>
                <c:pt idx="0">
                  <c:v>Average NCD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Data'!$BH$5:$BH$109</c:f>
              <c:numCache>
                <c:formatCode>#,##0.0</c:formatCode>
                <c:ptCount val="105"/>
                <c:pt idx="0">
                  <c:v>4.88233738762559</c:v>
                </c:pt>
                <c:pt idx="1">
                  <c:v>4.4726095617529769</c:v>
                </c:pt>
                <c:pt idx="2">
                  <c:v>4.5418058402925006</c:v>
                </c:pt>
                <c:pt idx="3">
                  <c:v>4.8967173738991203</c:v>
                </c:pt>
                <c:pt idx="4">
                  <c:v>4.7851832182687151</c:v>
                </c:pt>
                <c:pt idx="5">
                  <c:v>4.8133367662203863</c:v>
                </c:pt>
                <c:pt idx="6">
                  <c:v>4.6017391304347752</c:v>
                </c:pt>
                <c:pt idx="7">
                  <c:v>4.6481628236415844</c:v>
                </c:pt>
                <c:pt idx="8">
                  <c:v>4.8139216223622707</c:v>
                </c:pt>
                <c:pt idx="9">
                  <c:v>4.8065693430656751</c:v>
                </c:pt>
                <c:pt idx="10">
                  <c:v>4.6560114503816621</c:v>
                </c:pt>
                <c:pt idx="11">
                  <c:v>4.6258386668068932</c:v>
                </c:pt>
                <c:pt idx="12">
                  <c:v>4.7953440777692453</c:v>
                </c:pt>
                <c:pt idx="13">
                  <c:v>4.9888888888888774</c:v>
                </c:pt>
                <c:pt idx="14">
                  <c:v>4.6703503409358049</c:v>
                </c:pt>
                <c:pt idx="15">
                  <c:v>4.6212611818113389</c:v>
                </c:pt>
                <c:pt idx="16">
                  <c:v>4.8565483476132059</c:v>
                </c:pt>
                <c:pt idx="17">
                  <c:v>4.8029330889092456</c:v>
                </c:pt>
                <c:pt idx="18">
                  <c:v>4.8417523468931494</c:v>
                </c:pt>
                <c:pt idx="19">
                  <c:v>4.7185732927359654</c:v>
                </c:pt>
                <c:pt idx="20">
                  <c:v>4.6959761549925432</c:v>
                </c:pt>
                <c:pt idx="21">
                  <c:v>4.7628117913832186</c:v>
                </c:pt>
                <c:pt idx="22">
                  <c:v>4.8147186147186121</c:v>
                </c:pt>
                <c:pt idx="23">
                  <c:v>4.7558967512238519</c:v>
                </c:pt>
                <c:pt idx="24">
                  <c:v>4.6421092023983945</c:v>
                </c:pt>
                <c:pt idx="25">
                  <c:v>4.84979838709675</c:v>
                </c:pt>
                <c:pt idx="26">
                  <c:v>4.7543736878936205</c:v>
                </c:pt>
                <c:pt idx="27">
                  <c:v>4.7716873212583222</c:v>
                </c:pt>
                <c:pt idx="28">
                  <c:v>4.6377955457521001</c:v>
                </c:pt>
                <c:pt idx="29">
                  <c:v>4.8167981961668671</c:v>
                </c:pt>
                <c:pt idx="30">
                  <c:v>4.7172174840085335</c:v>
                </c:pt>
                <c:pt idx="31">
                  <c:v>4.6705324196099145</c:v>
                </c:pt>
                <c:pt idx="32">
                  <c:v>4.7622104381803121</c:v>
                </c:pt>
                <c:pt idx="33">
                  <c:v>4.585326691502698</c:v>
                </c:pt>
                <c:pt idx="34">
                  <c:v>4.7133540372670497</c:v>
                </c:pt>
                <c:pt idx="35">
                  <c:v>4.658398087268349</c:v>
                </c:pt>
                <c:pt idx="36">
                  <c:v>4.7727415801069899</c:v>
                </c:pt>
                <c:pt idx="37">
                  <c:v>4.6004891640378425</c:v>
                </c:pt>
                <c:pt idx="38">
                  <c:v>4.7119831814996749</c:v>
                </c:pt>
                <c:pt idx="39">
                  <c:v>4.7168965517241617</c:v>
                </c:pt>
                <c:pt idx="40">
                  <c:v>4.6545194712397473</c:v>
                </c:pt>
                <c:pt idx="41">
                  <c:v>4.7942748091603233</c:v>
                </c:pt>
                <c:pt idx="42">
                  <c:v>4.7062546537601984</c:v>
                </c:pt>
                <c:pt idx="43">
                  <c:v>4.7481624758220171</c:v>
                </c:pt>
                <c:pt idx="44">
                  <c:v>4.63588273615684</c:v>
                </c:pt>
                <c:pt idx="45">
                  <c:v>4.8992053534085818</c:v>
                </c:pt>
                <c:pt idx="46">
                  <c:v>4.8441925998593387</c:v>
                </c:pt>
                <c:pt idx="47">
                  <c:v>4.8246153846154058</c:v>
                </c:pt>
                <c:pt idx="48">
                  <c:v>4.7210503659061773</c:v>
                </c:pt>
                <c:pt idx="49">
                  <c:v>4.9297347603536723</c:v>
                </c:pt>
                <c:pt idx="50">
                  <c:v>4.9231818181818321</c:v>
                </c:pt>
                <c:pt idx="51">
                  <c:v>5.0270270270270396</c:v>
                </c:pt>
                <c:pt idx="52">
                  <c:v>4.7622243528283974</c:v>
                </c:pt>
                <c:pt idx="53">
                  <c:v>4.8502044989775186</c:v>
                </c:pt>
                <c:pt idx="54">
                  <c:v>5.0260586319218357</c:v>
                </c:pt>
                <c:pt idx="55">
                  <c:v>5.0042871794800554</c:v>
                </c:pt>
                <c:pt idx="56">
                  <c:v>4.8725490196078143</c:v>
                </c:pt>
                <c:pt idx="57">
                  <c:v>4.7494103773584708</c:v>
                </c:pt>
                <c:pt idx="58">
                  <c:v>5.0868983957219012</c:v>
                </c:pt>
                <c:pt idx="59">
                  <c:v>4.9607481660783037</c:v>
                </c:pt>
                <c:pt idx="60">
                  <c:v>5.0819554277498238</c:v>
                </c:pt>
                <c:pt idx="61">
                  <c:v>4.9159226190476231</c:v>
                </c:pt>
                <c:pt idx="62">
                  <c:v>5.1811224489795951</c:v>
                </c:pt>
                <c:pt idx="63">
                  <c:v>4.9906824315522123</c:v>
                </c:pt>
                <c:pt idx="64">
                  <c:v>5.165327210103329</c:v>
                </c:pt>
                <c:pt idx="65">
                  <c:v>4.8218262806236059</c:v>
                </c:pt>
                <c:pt idx="66">
                  <c:v>4.7783191230207018</c:v>
                </c:pt>
                <c:pt idx="67">
                  <c:v>5.3269565217391293</c:v>
                </c:pt>
                <c:pt idx="68">
                  <c:v>5.0507201703351265</c:v>
                </c:pt>
                <c:pt idx="69">
                  <c:v>5.0097656250000027</c:v>
                </c:pt>
                <c:pt idx="70">
                  <c:v>4.6666183714658453</c:v>
                </c:pt>
                <c:pt idx="71">
                  <c:v>5.1067961165048539</c:v>
                </c:pt>
                <c:pt idx="72">
                  <c:v>4.8442211055276383</c:v>
                </c:pt>
                <c:pt idx="73">
                  <c:v>5.8682170542635648</c:v>
                </c:pt>
                <c:pt idx="74">
                  <c:v>5.8111111111111109</c:v>
                </c:pt>
                <c:pt idx="75">
                  <c:v>6.9411764705882346</c:v>
                </c:pt>
                <c:pt idx="76">
                  <c:v>11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F7-8F22-9A3B2A9541FB}"/>
            </c:ext>
          </c:extLst>
        </c:ser>
        <c:ser>
          <c:idx val="1"/>
          <c:order val="1"/>
          <c:tx>
            <c:strRef>
              <c:f>'Averages Graph Data'!$BI$4</c:f>
              <c:strCache>
                <c:ptCount val="1"/>
                <c:pt idx="0">
                  <c:v>Average NCD - 4 Week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Data'!$BI$5:$BI$109</c:f>
              <c:numCache>
                <c:formatCode>#,##0.0</c:formatCode>
                <c:ptCount val="105"/>
                <c:pt idx="6">
                  <c:v>4.7133898969277235</c:v>
                </c:pt>
                <c:pt idx="7">
                  <c:v>4.6799363877871514</c:v>
                </c:pt>
                <c:pt idx="8">
                  <c:v>4.7286952535884783</c:v>
                </c:pt>
                <c:pt idx="9">
                  <c:v>4.7665186111275037</c:v>
                </c:pt>
                <c:pt idx="10">
                  <c:v>4.73213205062501</c:v>
                </c:pt>
                <c:pt idx="11">
                  <c:v>4.709368543273321</c:v>
                </c:pt>
                <c:pt idx="12">
                  <c:v>4.7067981592088719</c:v>
                </c:pt>
                <c:pt idx="13">
                  <c:v>4.7621052675594582</c:v>
                </c:pt>
                <c:pt idx="14">
                  <c:v>4.765274912887203</c:v>
                </c:pt>
                <c:pt idx="15">
                  <c:v>4.7377519928084988</c:v>
                </c:pt>
                <c:pt idx="16">
                  <c:v>4.7448918506010029</c:v>
                </c:pt>
                <c:pt idx="17">
                  <c:v>4.7658806561049447</c:v>
                </c:pt>
                <c:pt idx="18">
                  <c:v>4.7967254675458388</c:v>
                </c:pt>
                <c:pt idx="19">
                  <c:v>4.7857582125410838</c:v>
                </c:pt>
                <c:pt idx="20">
                  <c:v>4.7439135362701785</c:v>
                </c:pt>
                <c:pt idx="21">
                  <c:v>4.7571223149055237</c:v>
                </c:pt>
                <c:pt idx="22">
                  <c:v>4.7847590910351343</c:v>
                </c:pt>
                <c:pt idx="23">
                  <c:v>4.770380291550941</c:v>
                </c:pt>
                <c:pt idx="24">
                  <c:v>4.7474054506208194</c:v>
                </c:pt>
                <c:pt idx="25">
                  <c:v>4.7485548849356194</c:v>
                </c:pt>
                <c:pt idx="26">
                  <c:v>4.7536692271009988</c:v>
                </c:pt>
                <c:pt idx="27">
                  <c:v>4.7644851079961095</c:v>
                </c:pt>
                <c:pt idx="28">
                  <c:v>4.7466256443345216</c:v>
                </c:pt>
                <c:pt idx="29">
                  <c:v>4.7469227273985579</c:v>
                </c:pt>
                <c:pt idx="30">
                  <c:v>4.7413971177963692</c:v>
                </c:pt>
                <c:pt idx="31">
                  <c:v>4.7454575773980148</c:v>
                </c:pt>
                <c:pt idx="32">
                  <c:v>4.7329450132670958</c:v>
                </c:pt>
                <c:pt idx="33">
                  <c:v>4.7087954423541074</c:v>
                </c:pt>
                <c:pt idx="34">
                  <c:v>4.7004621160696383</c:v>
                </c:pt>
                <c:pt idx="35">
                  <c:v>4.703405336286246</c:v>
                </c:pt>
                <c:pt idx="36">
                  <c:v>4.6971115339919782</c:v>
                </c:pt>
                <c:pt idx="37">
                  <c:v>4.6804360597104511</c:v>
                </c:pt>
                <c:pt idx="38">
                  <c:v>4.6863575971232736</c:v>
                </c:pt>
                <c:pt idx="39">
                  <c:v>4.6798841847723951</c:v>
                </c:pt>
                <c:pt idx="40">
                  <c:v>4.6897688675919733</c:v>
                </c:pt>
                <c:pt idx="41">
                  <c:v>4.701328977862441</c:v>
                </c:pt>
                <c:pt idx="42">
                  <c:v>4.7081656302184198</c:v>
                </c:pt>
                <c:pt idx="43">
                  <c:v>4.7046543296062806</c:v>
                </c:pt>
                <c:pt idx="44">
                  <c:v>4.7097105541947091</c:v>
                </c:pt>
                <c:pt idx="45">
                  <c:v>4.736456578753125</c:v>
                </c:pt>
                <c:pt idx="46">
                  <c:v>4.754641728486722</c:v>
                </c:pt>
                <c:pt idx="47">
                  <c:v>4.7789411446832437</c:v>
                </c:pt>
                <c:pt idx="48">
                  <c:v>4.7684805099326519</c:v>
                </c:pt>
                <c:pt idx="49">
                  <c:v>4.800406239446005</c:v>
                </c:pt>
                <c:pt idx="50">
                  <c:v>4.8254090026402636</c:v>
                </c:pt>
                <c:pt idx="51">
                  <c:v>4.881286758478864</c:v>
                </c:pt>
                <c:pt idx="52">
                  <c:v>4.8617180441102663</c:v>
                </c:pt>
                <c:pt idx="53">
                  <c:v>4.8625768868414339</c:v>
                </c:pt>
                <c:pt idx="54">
                  <c:v>4.8913544935994961</c:v>
                </c:pt>
                <c:pt idx="55">
                  <c:v>4.9318168955386215</c:v>
                </c:pt>
                <c:pt idx="56">
                  <c:v>4.9236475040034984</c:v>
                </c:pt>
                <c:pt idx="57">
                  <c:v>4.8988230124573047</c:v>
                </c:pt>
                <c:pt idx="58">
                  <c:v>4.9073760651279992</c:v>
                </c:pt>
                <c:pt idx="59">
                  <c:v>4.9357366098779858</c:v>
                </c:pt>
                <c:pt idx="60">
                  <c:v>4.968843885416887</c:v>
                </c:pt>
                <c:pt idx="61">
                  <c:v>4.9531101692919979</c:v>
                </c:pt>
                <c:pt idx="62">
                  <c:v>4.9783723506490762</c:v>
                </c:pt>
                <c:pt idx="63">
                  <c:v>4.9952485523554184</c:v>
                </c:pt>
                <c:pt idx="64">
                  <c:v>5.0546652427475411</c:v>
                </c:pt>
                <c:pt idx="65">
                  <c:v>5.0167977977334983</c:v>
                </c:pt>
                <c:pt idx="66">
                  <c:v>4.990736505868127</c:v>
                </c:pt>
                <c:pt idx="67">
                  <c:v>5.0257366621523127</c:v>
                </c:pt>
                <c:pt idx="68">
                  <c:v>5.044993455193385</c:v>
                </c:pt>
                <c:pt idx="69">
                  <c:v>5.0205139089105861</c:v>
                </c:pt>
                <c:pt idx="70">
                  <c:v>4.9742190431839637</c:v>
                </c:pt>
                <c:pt idx="71">
                  <c:v>4.965857458384181</c:v>
                </c:pt>
                <c:pt idx="72">
                  <c:v>4.9690567190847563</c:v>
                </c:pt>
                <c:pt idx="73">
                  <c:v>5.124756423548023</c:v>
                </c:pt>
                <c:pt idx="74">
                  <c:v>5.1939213648868767</c:v>
                </c:pt>
                <c:pt idx="75">
                  <c:v>5.4639865506373209</c:v>
                </c:pt>
                <c:pt idx="76">
                  <c:v>6.3197343184944632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FB-48F7-8F22-9A3B2A95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.0999999999999996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 Finance: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Data'!$BF$4</c:f>
              <c:strCache>
                <c:ptCount val="1"/>
                <c:pt idx="0">
                  <c:v>Average NCD (Boom Annual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Data'!$BF$5:$BF$109</c:f>
              <c:numCache>
                <c:formatCode>#,##0.0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3.8455882352941178</c:v>
                </c:pt>
                <c:pt idx="24">
                  <c:v>4.5665859564164633</c:v>
                </c:pt>
                <c:pt idx="25">
                  <c:v>4.8011049723756898</c:v>
                </c:pt>
                <c:pt idx="26">
                  <c:v>4.3</c:v>
                </c:pt>
                <c:pt idx="27">
                  <c:v>4.3856427378964922</c:v>
                </c:pt>
                <c:pt idx="28">
                  <c:v>4.2050711603911601</c:v>
                </c:pt>
                <c:pt idx="29">
                  <c:v>4.1845386533665847</c:v>
                </c:pt>
                <c:pt idx="30">
                  <c:v>4.6604527296937439</c:v>
                </c:pt>
                <c:pt idx="31">
                  <c:v>4.4212962962962976</c:v>
                </c:pt>
                <c:pt idx="32">
                  <c:v>4.5545977011494179</c:v>
                </c:pt>
                <c:pt idx="33">
                  <c:v>4.6458123107971705</c:v>
                </c:pt>
                <c:pt idx="34">
                  <c:v>4.4657534246575352</c:v>
                </c:pt>
                <c:pt idx="35">
                  <c:v>4.5484234234234249</c:v>
                </c:pt>
                <c:pt idx="36">
                  <c:v>4.1083099906629288</c:v>
                </c:pt>
                <c:pt idx="37">
                  <c:v>4.5878962536023007</c:v>
                </c:pt>
                <c:pt idx="38">
                  <c:v>4.3905882352941177</c:v>
                </c:pt>
                <c:pt idx="39">
                  <c:v>4.4551201011378021</c:v>
                </c:pt>
                <c:pt idx="40">
                  <c:v>4.2031425364758661</c:v>
                </c:pt>
                <c:pt idx="41">
                  <c:v>4.4334433443344343</c:v>
                </c:pt>
                <c:pt idx="42">
                  <c:v>4.7567886658795695</c:v>
                </c:pt>
                <c:pt idx="43">
                  <c:v>4.5924479166666687</c:v>
                </c:pt>
                <c:pt idx="44">
                  <c:v>4.5619047619047635</c:v>
                </c:pt>
                <c:pt idx="45">
                  <c:v>4.2590361445783138</c:v>
                </c:pt>
                <c:pt idx="46">
                  <c:v>4.4872448979591848</c:v>
                </c:pt>
                <c:pt idx="47">
                  <c:v>4.7045454545454586</c:v>
                </c:pt>
                <c:pt idx="48">
                  <c:v>4.3025477707006416</c:v>
                </c:pt>
                <c:pt idx="49">
                  <c:v>4.6280487804878092</c:v>
                </c:pt>
                <c:pt idx="50">
                  <c:v>4.3064066852367704</c:v>
                </c:pt>
                <c:pt idx="51">
                  <c:v>4.562604340567618</c:v>
                </c:pt>
                <c:pt idx="52">
                  <c:v>4.1790235081374369</c:v>
                </c:pt>
                <c:pt idx="53">
                  <c:v>4.6368515205724545</c:v>
                </c:pt>
                <c:pt idx="54">
                  <c:v>4.2663043478260922</c:v>
                </c:pt>
                <c:pt idx="55">
                  <c:v>4.6915887850467328</c:v>
                </c:pt>
                <c:pt idx="56">
                  <c:v>4.3190661478599282</c:v>
                </c:pt>
                <c:pt idx="57">
                  <c:v>4.706204379562049</c:v>
                </c:pt>
                <c:pt idx="58">
                  <c:v>3.8610223642172556</c:v>
                </c:pt>
                <c:pt idx="59">
                  <c:v>3.8767361111111143</c:v>
                </c:pt>
                <c:pt idx="60">
                  <c:v>4.4707112970711353</c:v>
                </c:pt>
                <c:pt idx="61">
                  <c:v>4.1992818671454275</c:v>
                </c:pt>
                <c:pt idx="62">
                  <c:v>3.8775167785234941</c:v>
                </c:pt>
                <c:pt idx="63">
                  <c:v>4.4932126696832624</c:v>
                </c:pt>
                <c:pt idx="64">
                  <c:v>4.2418181818181857</c:v>
                </c:pt>
                <c:pt idx="65">
                  <c:v>4.213261648745525</c:v>
                </c:pt>
                <c:pt idx="66">
                  <c:v>4.3115727002967388</c:v>
                </c:pt>
                <c:pt idx="67">
                  <c:v>3.9658792650918642</c:v>
                </c:pt>
                <c:pt idx="68">
                  <c:v>4.040506329113926</c:v>
                </c:pt>
                <c:pt idx="69">
                  <c:v>4.0882352941176503</c:v>
                </c:pt>
                <c:pt idx="70">
                  <c:v>3.8185776487663312</c:v>
                </c:pt>
                <c:pt idx="71">
                  <c:v>3.9833024118738432</c:v>
                </c:pt>
                <c:pt idx="72">
                  <c:v>3.8780487804878079</c:v>
                </c:pt>
                <c:pt idx="73">
                  <c:v>3.986431478968794</c:v>
                </c:pt>
                <c:pt idx="74">
                  <c:v>3.9728260869565233</c:v>
                </c:pt>
                <c:pt idx="75">
                  <c:v>3.8855869242199135</c:v>
                </c:pt>
                <c:pt idx="76">
                  <c:v>3.9630952380952387</c:v>
                </c:pt>
                <c:pt idx="77">
                  <c:v>4.1472471190781022</c:v>
                </c:pt>
                <c:pt idx="78">
                  <c:v>4.3302180685358307</c:v>
                </c:pt>
                <c:pt idx="79">
                  <c:v>4.4829931972789172</c:v>
                </c:pt>
                <c:pt idx="80">
                  <c:v>4.1411917098445565</c:v>
                </c:pt>
                <c:pt idx="81">
                  <c:v>4.0854591836734659</c:v>
                </c:pt>
                <c:pt idx="82">
                  <c:v>4.208277703604808</c:v>
                </c:pt>
                <c:pt idx="83">
                  <c:v>4.3462986198243421</c:v>
                </c:pt>
                <c:pt idx="84">
                  <c:v>4.1330326944757561</c:v>
                </c:pt>
                <c:pt idx="85">
                  <c:v>4.0568023548849368</c:v>
                </c:pt>
                <c:pt idx="86">
                  <c:v>4.1789215686274517</c:v>
                </c:pt>
                <c:pt idx="87">
                  <c:v>3.9367396593673973</c:v>
                </c:pt>
                <c:pt idx="88">
                  <c:v>4.0313725490196095</c:v>
                </c:pt>
                <c:pt idx="89">
                  <c:v>4.0187110187110147</c:v>
                </c:pt>
                <c:pt idx="90">
                  <c:v>4.1351351351351369</c:v>
                </c:pt>
                <c:pt idx="91">
                  <c:v>4.1218206157965218</c:v>
                </c:pt>
                <c:pt idx="92">
                  <c:v>4.0000000000000027</c:v>
                </c:pt>
                <c:pt idx="93">
                  <c:v>3.8928571428571432</c:v>
                </c:pt>
                <c:pt idx="94">
                  <c:v>3.9372599231754171</c:v>
                </c:pt>
                <c:pt idx="95">
                  <c:v>3.8705547652916095</c:v>
                </c:pt>
                <c:pt idx="96">
                  <c:v>3.8945686900958489</c:v>
                </c:pt>
                <c:pt idx="97">
                  <c:v>3.4194977843426915</c:v>
                </c:pt>
                <c:pt idx="98">
                  <c:v>3.3167305236270739</c:v>
                </c:pt>
                <c:pt idx="99">
                  <c:v>3.5961820851688713</c:v>
                </c:pt>
                <c:pt idx="100">
                  <c:v>3.5655877342419111</c:v>
                </c:pt>
                <c:pt idx="101">
                  <c:v>3.4639718804920951</c:v>
                </c:pt>
                <c:pt idx="102">
                  <c:v>3.2263313609467485</c:v>
                </c:pt>
                <c:pt idx="103">
                  <c:v>3.146391752577324</c:v>
                </c:pt>
                <c:pt idx="104">
                  <c:v>3.3955094991364461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C9-4A03-B0BA-0CD0391DFB7F}"/>
            </c:ext>
          </c:extLst>
        </c:ser>
        <c:ser>
          <c:idx val="1"/>
          <c:order val="1"/>
          <c:tx>
            <c:strRef>
              <c:f>'Averages Graph Data'!$BG$4</c:f>
              <c:strCache>
                <c:ptCount val="1"/>
                <c:pt idx="0">
                  <c:v>Average NCD - 4 Week Avg (Boom Annual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Data'!$BG$5:$BG$109</c:f>
              <c:numCache>
                <c:formatCode>#,##0.0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4.3783197910215677</c:v>
                </c:pt>
                <c:pt idx="27">
                  <c:v>4.5133334166721619</c:v>
                </c:pt>
                <c:pt idx="28">
                  <c:v>4.4229547176658359</c:v>
                </c:pt>
                <c:pt idx="29">
                  <c:v>4.2688131379135594</c:v>
                </c:pt>
                <c:pt idx="30">
                  <c:v>4.3589263203369955</c:v>
                </c:pt>
                <c:pt idx="31">
                  <c:v>4.3678397099369466</c:v>
                </c:pt>
                <c:pt idx="32">
                  <c:v>4.4552213451265112</c:v>
                </c:pt>
                <c:pt idx="33">
                  <c:v>4.5705397594841575</c:v>
                </c:pt>
                <c:pt idx="34">
                  <c:v>4.5218649332251051</c:v>
                </c:pt>
                <c:pt idx="35">
                  <c:v>4.5536467150068871</c:v>
                </c:pt>
                <c:pt idx="36">
                  <c:v>4.4420747873852644</c:v>
                </c:pt>
                <c:pt idx="37">
                  <c:v>4.4275957730865478</c:v>
                </c:pt>
                <c:pt idx="38">
                  <c:v>4.4088044757456935</c:v>
                </c:pt>
                <c:pt idx="39">
                  <c:v>4.3854786451742873</c:v>
                </c:pt>
                <c:pt idx="40">
                  <c:v>4.4091867816275219</c:v>
                </c:pt>
                <c:pt idx="41">
                  <c:v>4.3705735543105551</c:v>
                </c:pt>
                <c:pt idx="42">
                  <c:v>4.4621236619569178</c:v>
                </c:pt>
                <c:pt idx="43">
                  <c:v>4.4964556158391344</c:v>
                </c:pt>
                <c:pt idx="44">
                  <c:v>4.5861461721963588</c:v>
                </c:pt>
                <c:pt idx="45">
                  <c:v>4.5425443722573284</c:v>
                </c:pt>
                <c:pt idx="46">
                  <c:v>4.4751584302772329</c:v>
                </c:pt>
                <c:pt idx="47">
                  <c:v>4.5031828147469302</c:v>
                </c:pt>
                <c:pt idx="48">
                  <c:v>4.4383435669458997</c:v>
                </c:pt>
                <c:pt idx="49">
                  <c:v>4.5305967259232736</c:v>
                </c:pt>
                <c:pt idx="50">
                  <c:v>4.4853871727426702</c:v>
                </c:pt>
                <c:pt idx="51">
                  <c:v>4.4499018942482094</c:v>
                </c:pt>
                <c:pt idx="52">
                  <c:v>4.4190208286074082</c:v>
                </c:pt>
                <c:pt idx="53">
                  <c:v>4.42122151362857</c:v>
                </c:pt>
                <c:pt idx="54">
                  <c:v>4.4111959292759</c:v>
                </c:pt>
                <c:pt idx="55">
                  <c:v>4.4434420403956789</c:v>
                </c:pt>
                <c:pt idx="56">
                  <c:v>4.4784527003263017</c:v>
                </c:pt>
                <c:pt idx="57">
                  <c:v>4.4957909150737008</c:v>
                </c:pt>
                <c:pt idx="58">
                  <c:v>4.3944704191714914</c:v>
                </c:pt>
                <c:pt idx="59">
                  <c:v>4.1907572506875868</c:v>
                </c:pt>
                <c:pt idx="60">
                  <c:v>4.228668537990389</c:v>
                </c:pt>
                <c:pt idx="61">
                  <c:v>4.1019379098862334</c:v>
                </c:pt>
                <c:pt idx="62">
                  <c:v>4.1060615134627927</c:v>
                </c:pt>
                <c:pt idx="63">
                  <c:v>4.2601806531058299</c:v>
                </c:pt>
                <c:pt idx="64">
                  <c:v>4.2029573742925921</c:v>
                </c:pt>
                <c:pt idx="65">
                  <c:v>4.2064523196926169</c:v>
                </c:pt>
                <c:pt idx="66">
                  <c:v>4.3149663001359286</c:v>
                </c:pt>
                <c:pt idx="67">
                  <c:v>4.1831329489880789</c:v>
                </c:pt>
                <c:pt idx="68">
                  <c:v>4.1328049858120135</c:v>
                </c:pt>
                <c:pt idx="69">
                  <c:v>4.101548397155045</c:v>
                </c:pt>
                <c:pt idx="70">
                  <c:v>3.9782996342724428</c:v>
                </c:pt>
                <c:pt idx="71">
                  <c:v>3.9826554209679377</c:v>
                </c:pt>
                <c:pt idx="72">
                  <c:v>3.942041033811408</c:v>
                </c:pt>
                <c:pt idx="73">
                  <c:v>3.9165900800241937</c:v>
                </c:pt>
                <c:pt idx="74">
                  <c:v>3.9551521895717423</c:v>
                </c:pt>
                <c:pt idx="75">
                  <c:v>3.9307233176582597</c:v>
                </c:pt>
                <c:pt idx="76">
                  <c:v>3.9519849320601175</c:v>
                </c:pt>
                <c:pt idx="77">
                  <c:v>3.9921888420874443</c:v>
                </c:pt>
                <c:pt idx="78">
                  <c:v>4.0815368374822709</c:v>
                </c:pt>
                <c:pt idx="79">
                  <c:v>4.230888405747022</c:v>
                </c:pt>
                <c:pt idx="80">
                  <c:v>4.2754125236843521</c:v>
                </c:pt>
                <c:pt idx="81">
                  <c:v>4.2599655398331926</c:v>
                </c:pt>
                <c:pt idx="82">
                  <c:v>4.2294804486004374</c:v>
                </c:pt>
                <c:pt idx="83">
                  <c:v>4.1953068042367931</c:v>
                </c:pt>
                <c:pt idx="84">
                  <c:v>4.193267050394593</c:v>
                </c:pt>
                <c:pt idx="85">
                  <c:v>4.1861028431974603</c:v>
                </c:pt>
                <c:pt idx="86">
                  <c:v>4.1787638094531214</c:v>
                </c:pt>
                <c:pt idx="87">
                  <c:v>4.0763740693388852</c:v>
                </c:pt>
                <c:pt idx="88">
                  <c:v>4.0509590329748484</c:v>
                </c:pt>
                <c:pt idx="89">
                  <c:v>4.0414361989313683</c:v>
                </c:pt>
                <c:pt idx="90">
                  <c:v>4.0304895905582896</c:v>
                </c:pt>
                <c:pt idx="91">
                  <c:v>4.0767598296655709</c:v>
                </c:pt>
                <c:pt idx="92">
                  <c:v>4.068916692410669</c:v>
                </c:pt>
                <c:pt idx="93">
                  <c:v>4.0374532234472014</c:v>
                </c:pt>
                <c:pt idx="94">
                  <c:v>3.9879844204572716</c:v>
                </c:pt>
                <c:pt idx="95">
                  <c:v>3.9251679578310434</c:v>
                </c:pt>
                <c:pt idx="96">
                  <c:v>3.8988101303550047</c:v>
                </c:pt>
                <c:pt idx="97">
                  <c:v>3.7804702907263916</c:v>
                </c:pt>
                <c:pt idx="98">
                  <c:v>3.6253379408393061</c:v>
                </c:pt>
                <c:pt idx="99">
                  <c:v>3.5567447708086215</c:v>
                </c:pt>
                <c:pt idx="100">
                  <c:v>3.474499531845137</c:v>
                </c:pt>
                <c:pt idx="101">
                  <c:v>3.4856180558824876</c:v>
                </c:pt>
                <c:pt idx="102">
                  <c:v>3.4630182652124066</c:v>
                </c:pt>
                <c:pt idx="103">
                  <c:v>3.3505706820645198</c:v>
                </c:pt>
                <c:pt idx="104">
                  <c:v>3.3080511232881538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C9-4A03-B0BA-0CD0391DF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Data'!$BB$4</c:f>
              <c:strCache>
                <c:ptCount val="1"/>
                <c:pt idx="0">
                  <c:v>Average NCD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Data'!$BB$5:$BB$109</c:f>
              <c:numCache>
                <c:formatCode>#,##0.0</c:formatCode>
                <c:ptCount val="105"/>
                <c:pt idx="0">
                  <c:v>5.4878048780487809</c:v>
                </c:pt>
                <c:pt idx="1">
                  <c:v>4.5084033613445387</c:v>
                </c:pt>
                <c:pt idx="2">
                  <c:v>5.830578512396694</c:v>
                </c:pt>
                <c:pt idx="3">
                  <c:v>5.5070422535211261</c:v>
                </c:pt>
                <c:pt idx="4">
                  <c:v>5.0180180180180169</c:v>
                </c:pt>
                <c:pt idx="5">
                  <c:v>5.4099099099099091</c:v>
                </c:pt>
                <c:pt idx="6">
                  <c:v>5.9068627450980404</c:v>
                </c:pt>
                <c:pt idx="7">
                  <c:v>5.5172413793103452</c:v>
                </c:pt>
                <c:pt idx="8">
                  <c:v>5.4936708860759493</c:v>
                </c:pt>
                <c:pt idx="9">
                  <c:v>5.7368421052631584</c:v>
                </c:pt>
                <c:pt idx="10">
                  <c:v>5.6277602523659302</c:v>
                </c:pt>
                <c:pt idx="11">
                  <c:v>6.5170940170940135</c:v>
                </c:pt>
                <c:pt idx="12">
                  <c:v>6.7694300518134725</c:v>
                </c:pt>
                <c:pt idx="13">
                  <c:v>6.871194379391099</c:v>
                </c:pt>
                <c:pt idx="14">
                  <c:v>6.7463617463617434</c:v>
                </c:pt>
                <c:pt idx="15">
                  <c:v>7.3134582623509319</c:v>
                </c:pt>
                <c:pt idx="16">
                  <c:v>7.557788944723618</c:v>
                </c:pt>
                <c:pt idx="17">
                  <c:v>7.2392776523702027</c:v>
                </c:pt>
                <c:pt idx="18">
                  <c:v>6.9495412844036668</c:v>
                </c:pt>
                <c:pt idx="19">
                  <c:v>6.9787234042553177</c:v>
                </c:pt>
                <c:pt idx="20">
                  <c:v>6.5089820359281445</c:v>
                </c:pt>
                <c:pt idx="21">
                  <c:v>6.706293706293704</c:v>
                </c:pt>
                <c:pt idx="22">
                  <c:v>6.7905236907730666</c:v>
                </c:pt>
                <c:pt idx="23">
                  <c:v>6.2247386759581875</c:v>
                </c:pt>
                <c:pt idx="24">
                  <c:v>5.7156970362239292</c:v>
                </c:pt>
                <c:pt idx="25">
                  <c:v>5.6013986013985999</c:v>
                </c:pt>
                <c:pt idx="26">
                  <c:v>5.2358974358974351</c:v>
                </c:pt>
                <c:pt idx="27">
                  <c:v>5.2279484638255687</c:v>
                </c:pt>
                <c:pt idx="28">
                  <c:v>5.2694544102782617</c:v>
                </c:pt>
                <c:pt idx="29">
                  <c:v>5.0259951259138944</c:v>
                </c:pt>
                <c:pt idx="30">
                  <c:v>5.4794851166532634</c:v>
                </c:pt>
                <c:pt idx="31">
                  <c:v>5.2742299023290791</c:v>
                </c:pt>
                <c:pt idx="32">
                  <c:v>5.3577023498694487</c:v>
                </c:pt>
                <c:pt idx="33">
                  <c:v>5.3478835978835964</c:v>
                </c:pt>
                <c:pt idx="34">
                  <c:v>5.2228017883755626</c:v>
                </c:pt>
                <c:pt idx="35">
                  <c:v>5.2171253822630002</c:v>
                </c:pt>
                <c:pt idx="36">
                  <c:v>4.8483072916666661</c:v>
                </c:pt>
                <c:pt idx="37">
                  <c:v>5.3152926368785378</c:v>
                </c:pt>
                <c:pt idx="38">
                  <c:v>4.9329738058551635</c:v>
                </c:pt>
                <c:pt idx="39">
                  <c:v>5.231204527081653</c:v>
                </c:pt>
                <c:pt idx="40">
                  <c:v>4.9970738844184339</c:v>
                </c:pt>
                <c:pt idx="41">
                  <c:v>5.0922038980509763</c:v>
                </c:pt>
                <c:pt idx="42">
                  <c:v>5.2910094637223946</c:v>
                </c:pt>
                <c:pt idx="43">
                  <c:v>5.0854184641932738</c:v>
                </c:pt>
                <c:pt idx="44">
                  <c:v>5.0640692640692668</c:v>
                </c:pt>
                <c:pt idx="45">
                  <c:v>4.9378723404255336</c:v>
                </c:pt>
                <c:pt idx="46">
                  <c:v>4.7989601386481828</c:v>
                </c:pt>
                <c:pt idx="47">
                  <c:v>5.086823289070483</c:v>
                </c:pt>
                <c:pt idx="48">
                  <c:v>4.8628944504896658</c:v>
                </c:pt>
                <c:pt idx="49">
                  <c:v>5.0859538784067118</c:v>
                </c:pt>
                <c:pt idx="50">
                  <c:v>4.7036679536679555</c:v>
                </c:pt>
                <c:pt idx="51">
                  <c:v>5.0287081339712962</c:v>
                </c:pt>
                <c:pt idx="52">
                  <c:v>4.7137546468401528</c:v>
                </c:pt>
                <c:pt idx="53">
                  <c:v>4.7650531286894955</c:v>
                </c:pt>
                <c:pt idx="54">
                  <c:v>4.772727272727276</c:v>
                </c:pt>
                <c:pt idx="55">
                  <c:v>5.1170212765957475</c:v>
                </c:pt>
                <c:pt idx="56">
                  <c:v>4.9532467532467583</c:v>
                </c:pt>
                <c:pt idx="57">
                  <c:v>5.1446229913473474</c:v>
                </c:pt>
                <c:pt idx="58">
                  <c:v>4.478310502283108</c:v>
                </c:pt>
                <c:pt idx="59">
                  <c:v>4.3877551020408196</c:v>
                </c:pt>
                <c:pt idx="60">
                  <c:v>4.7587719298245652</c:v>
                </c:pt>
                <c:pt idx="61">
                  <c:v>4.6223337515683856</c:v>
                </c:pt>
                <c:pt idx="62">
                  <c:v>4.6501687289088904</c:v>
                </c:pt>
                <c:pt idx="63">
                  <c:v>4.8821689259645504</c:v>
                </c:pt>
                <c:pt idx="64">
                  <c:v>4.730279898218833</c:v>
                </c:pt>
                <c:pt idx="65">
                  <c:v>4.9182156133829045</c:v>
                </c:pt>
                <c:pt idx="66">
                  <c:v>4.8950980392156884</c:v>
                </c:pt>
                <c:pt idx="67">
                  <c:v>4.6526217228464422</c:v>
                </c:pt>
                <c:pt idx="68">
                  <c:v>4.7987421383647817</c:v>
                </c:pt>
                <c:pt idx="69">
                  <c:v>4.802845528455288</c:v>
                </c:pt>
                <c:pt idx="70">
                  <c:v>4.5196280991735565</c:v>
                </c:pt>
                <c:pt idx="71">
                  <c:v>4.8567674113009218</c:v>
                </c:pt>
                <c:pt idx="72">
                  <c:v>4.3314020857473956</c:v>
                </c:pt>
                <c:pt idx="73">
                  <c:v>4.4529058116232472</c:v>
                </c:pt>
                <c:pt idx="74">
                  <c:v>4.557594291539246</c:v>
                </c:pt>
                <c:pt idx="75">
                  <c:v>4.2937788018433203</c:v>
                </c:pt>
                <c:pt idx="76">
                  <c:v>4.3695852534562212</c:v>
                </c:pt>
                <c:pt idx="77">
                  <c:v>4.6245059288537531</c:v>
                </c:pt>
                <c:pt idx="78">
                  <c:v>4.6231884057971051</c:v>
                </c:pt>
                <c:pt idx="79">
                  <c:v>4.8471502590673623</c:v>
                </c:pt>
                <c:pt idx="80">
                  <c:v>4.6594871794871757</c:v>
                </c:pt>
                <c:pt idx="81">
                  <c:v>4.544984488107545</c:v>
                </c:pt>
                <c:pt idx="82">
                  <c:v>4.665608465608468</c:v>
                </c:pt>
                <c:pt idx="83">
                  <c:v>4.7305751765893049</c:v>
                </c:pt>
                <c:pt idx="84">
                  <c:v>4.5250683682771156</c:v>
                </c:pt>
                <c:pt idx="85">
                  <c:v>4.524598558135164</c:v>
                </c:pt>
                <c:pt idx="86">
                  <c:v>4.2575150300601203</c:v>
                </c:pt>
                <c:pt idx="87">
                  <c:v>4.3767123287671232</c:v>
                </c:pt>
                <c:pt idx="88">
                  <c:v>4.6140350877192997</c:v>
                </c:pt>
                <c:pt idx="89">
                  <c:v>4.3868312757201622</c:v>
                </c:pt>
                <c:pt idx="90">
                  <c:v>4.4718981972428429</c:v>
                </c:pt>
                <c:pt idx="91">
                  <c:v>4.4299262381454181</c:v>
                </c:pt>
                <c:pt idx="92">
                  <c:v>4.4532130777903065</c:v>
                </c:pt>
                <c:pt idx="93">
                  <c:v>4.1771255060728754</c:v>
                </c:pt>
                <c:pt idx="94">
                  <c:v>4.3197969543147217</c:v>
                </c:pt>
                <c:pt idx="95">
                  <c:v>4.1702857142857157</c:v>
                </c:pt>
                <c:pt idx="96">
                  <c:v>4.2971639950678195</c:v>
                </c:pt>
                <c:pt idx="97">
                  <c:v>3.7455830388692606</c:v>
                </c:pt>
                <c:pt idx="98">
                  <c:v>3.5612968591691976</c:v>
                </c:pt>
                <c:pt idx="99">
                  <c:v>3.9472477064220195</c:v>
                </c:pt>
                <c:pt idx="100">
                  <c:v>3.8286099865047265</c:v>
                </c:pt>
                <c:pt idx="101">
                  <c:v>3.6666666666666692</c:v>
                </c:pt>
                <c:pt idx="102">
                  <c:v>3.5406698564593326</c:v>
                </c:pt>
                <c:pt idx="103">
                  <c:v>3.4951456310679654</c:v>
                </c:pt>
                <c:pt idx="104">
                  <c:v>3.5679676985195181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B3-4D65-9351-A04B3FC6214F}"/>
            </c:ext>
          </c:extLst>
        </c:ser>
        <c:ser>
          <c:idx val="1"/>
          <c:order val="1"/>
          <c:tx>
            <c:strRef>
              <c:f>'Averages Graph Data'!$BC$4</c:f>
              <c:strCache>
                <c:ptCount val="1"/>
                <c:pt idx="0">
                  <c:v>Average NCD - 4 Week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Data'!$BC$5:$BC$109</c:f>
              <c:numCache>
                <c:formatCode>#,##0.0</c:formatCode>
                <c:ptCount val="105"/>
                <c:pt idx="3">
                  <c:v>5.3334572513277845</c:v>
                </c:pt>
                <c:pt idx="4">
                  <c:v>5.2160105363200939</c:v>
                </c:pt>
                <c:pt idx="5">
                  <c:v>5.441387173461437</c:v>
                </c:pt>
                <c:pt idx="6">
                  <c:v>5.4604582316367729</c:v>
                </c:pt>
                <c:pt idx="7">
                  <c:v>5.4630080130840772</c:v>
                </c:pt>
                <c:pt idx="8">
                  <c:v>5.581921230098561</c:v>
                </c:pt>
                <c:pt idx="9">
                  <c:v>5.6636542789368729</c:v>
                </c:pt>
                <c:pt idx="10">
                  <c:v>5.593878655753846</c:v>
                </c:pt>
                <c:pt idx="11">
                  <c:v>5.8438418151997631</c:v>
                </c:pt>
                <c:pt idx="12">
                  <c:v>6.1627816066341436</c:v>
                </c:pt>
                <c:pt idx="13">
                  <c:v>6.446369675166129</c:v>
                </c:pt>
                <c:pt idx="14">
                  <c:v>6.7260200486650819</c:v>
                </c:pt>
                <c:pt idx="15">
                  <c:v>6.9251111099793112</c:v>
                </c:pt>
                <c:pt idx="16">
                  <c:v>7.1222008332068478</c:v>
                </c:pt>
                <c:pt idx="17">
                  <c:v>7.2142216514516235</c:v>
                </c:pt>
                <c:pt idx="18">
                  <c:v>7.2650165359621042</c:v>
                </c:pt>
                <c:pt idx="19">
                  <c:v>7.1813328214382022</c:v>
                </c:pt>
                <c:pt idx="20">
                  <c:v>6.9191310942393338</c:v>
                </c:pt>
                <c:pt idx="21">
                  <c:v>6.7858851077202083</c:v>
                </c:pt>
                <c:pt idx="22">
                  <c:v>6.746130709312558</c:v>
                </c:pt>
                <c:pt idx="23">
                  <c:v>6.5576345272382763</c:v>
                </c:pt>
                <c:pt idx="24">
                  <c:v>6.3593132773122214</c:v>
                </c:pt>
                <c:pt idx="25">
                  <c:v>6.0830895010884456</c:v>
                </c:pt>
                <c:pt idx="26">
                  <c:v>5.6944329373695375</c:v>
                </c:pt>
                <c:pt idx="27">
                  <c:v>5.4452353843363834</c:v>
                </c:pt>
                <c:pt idx="28">
                  <c:v>5.3336747278499663</c:v>
                </c:pt>
                <c:pt idx="29">
                  <c:v>5.1898238589787899</c:v>
                </c:pt>
                <c:pt idx="30">
                  <c:v>5.2507207791677466</c:v>
                </c:pt>
                <c:pt idx="31">
                  <c:v>5.2622911387936249</c:v>
                </c:pt>
                <c:pt idx="32">
                  <c:v>5.284353123691421</c:v>
                </c:pt>
                <c:pt idx="33">
                  <c:v>5.364825241683846</c:v>
                </c:pt>
                <c:pt idx="34">
                  <c:v>5.3006544096144221</c:v>
                </c:pt>
                <c:pt idx="35">
                  <c:v>5.2863782795979022</c:v>
                </c:pt>
                <c:pt idx="36">
                  <c:v>5.159029515047207</c:v>
                </c:pt>
                <c:pt idx="37">
                  <c:v>5.1508817747959412</c:v>
                </c:pt>
                <c:pt idx="38">
                  <c:v>5.0784247791658421</c:v>
                </c:pt>
                <c:pt idx="39">
                  <c:v>5.0819445653705042</c:v>
                </c:pt>
                <c:pt idx="40">
                  <c:v>5.1191362135584466</c:v>
                </c:pt>
                <c:pt idx="41">
                  <c:v>5.0633640288515567</c:v>
                </c:pt>
                <c:pt idx="42">
                  <c:v>5.1528729433183642</c:v>
                </c:pt>
                <c:pt idx="43">
                  <c:v>5.1164264275962692</c:v>
                </c:pt>
                <c:pt idx="44">
                  <c:v>5.1331752725089785</c:v>
                </c:pt>
                <c:pt idx="45">
                  <c:v>5.0945923831026168</c:v>
                </c:pt>
                <c:pt idx="46">
                  <c:v>4.9715800518340645</c:v>
                </c:pt>
                <c:pt idx="47">
                  <c:v>4.9719312580533668</c:v>
                </c:pt>
                <c:pt idx="48">
                  <c:v>4.9216375546584663</c:v>
                </c:pt>
                <c:pt idx="49">
                  <c:v>4.9586579391537606</c:v>
                </c:pt>
                <c:pt idx="50">
                  <c:v>4.9348348929087047</c:v>
                </c:pt>
                <c:pt idx="51">
                  <c:v>4.9203061041339078</c:v>
                </c:pt>
                <c:pt idx="52">
                  <c:v>4.8830211532215291</c:v>
                </c:pt>
                <c:pt idx="53">
                  <c:v>4.8027959657922255</c:v>
                </c:pt>
                <c:pt idx="54">
                  <c:v>4.8200607955570556</c:v>
                </c:pt>
                <c:pt idx="55">
                  <c:v>4.8421390812131682</c:v>
                </c:pt>
                <c:pt idx="56">
                  <c:v>4.9020121078148193</c:v>
                </c:pt>
                <c:pt idx="57">
                  <c:v>4.9969045734792825</c:v>
                </c:pt>
                <c:pt idx="58">
                  <c:v>4.9233003808682403</c:v>
                </c:pt>
                <c:pt idx="59">
                  <c:v>4.7409838372295088</c:v>
                </c:pt>
                <c:pt idx="60">
                  <c:v>4.6923651313739603</c:v>
                </c:pt>
                <c:pt idx="61">
                  <c:v>4.5617928214292203</c:v>
                </c:pt>
                <c:pt idx="62">
                  <c:v>4.6047573780856652</c:v>
                </c:pt>
                <c:pt idx="63">
                  <c:v>4.7283608340665975</c:v>
                </c:pt>
                <c:pt idx="64">
                  <c:v>4.7212378261651642</c:v>
                </c:pt>
                <c:pt idx="65">
                  <c:v>4.7952082916187946</c:v>
                </c:pt>
                <c:pt idx="66">
                  <c:v>4.8564406191954941</c:v>
                </c:pt>
                <c:pt idx="67">
                  <c:v>4.7990538184159668</c:v>
                </c:pt>
                <c:pt idx="68">
                  <c:v>4.8161693784524537</c:v>
                </c:pt>
                <c:pt idx="69">
                  <c:v>4.7873268572205498</c:v>
                </c:pt>
                <c:pt idx="70">
                  <c:v>4.6934593722100173</c:v>
                </c:pt>
                <c:pt idx="71">
                  <c:v>4.7444957943236368</c:v>
                </c:pt>
                <c:pt idx="72">
                  <c:v>4.6276607811692907</c:v>
                </c:pt>
                <c:pt idx="73">
                  <c:v>4.5401758519612798</c:v>
                </c:pt>
                <c:pt idx="74">
                  <c:v>4.5496674000527024</c:v>
                </c:pt>
                <c:pt idx="75">
                  <c:v>4.408920247688302</c:v>
                </c:pt>
                <c:pt idx="76">
                  <c:v>4.4184660396155087</c:v>
                </c:pt>
                <c:pt idx="77">
                  <c:v>4.4613660689231356</c:v>
                </c:pt>
                <c:pt idx="78">
                  <c:v>4.4777645974876004</c:v>
                </c:pt>
                <c:pt idx="79">
                  <c:v>4.6161074617936109</c:v>
                </c:pt>
                <c:pt idx="80">
                  <c:v>4.6885829433013493</c:v>
                </c:pt>
                <c:pt idx="81">
                  <c:v>4.668702583114797</c:v>
                </c:pt>
                <c:pt idx="82">
                  <c:v>4.6793075980676377</c:v>
                </c:pt>
                <c:pt idx="83">
                  <c:v>4.6501638274481234</c:v>
                </c:pt>
                <c:pt idx="84">
                  <c:v>4.6165591246456081</c:v>
                </c:pt>
                <c:pt idx="85">
                  <c:v>4.6114626421525129</c:v>
                </c:pt>
                <c:pt idx="86">
                  <c:v>4.5094392832654258</c:v>
                </c:pt>
                <c:pt idx="87">
                  <c:v>4.4209735713098803</c:v>
                </c:pt>
                <c:pt idx="88">
                  <c:v>4.443215251170427</c:v>
                </c:pt>
                <c:pt idx="89">
                  <c:v>4.4087734305666757</c:v>
                </c:pt>
                <c:pt idx="90">
                  <c:v>4.4623692223623568</c:v>
                </c:pt>
                <c:pt idx="91">
                  <c:v>4.47567269970693</c:v>
                </c:pt>
                <c:pt idx="92">
                  <c:v>4.4354671972246829</c:v>
                </c:pt>
                <c:pt idx="93">
                  <c:v>4.3830407548128605</c:v>
                </c:pt>
                <c:pt idx="94">
                  <c:v>4.3450154440808308</c:v>
                </c:pt>
                <c:pt idx="95">
                  <c:v>4.2801053131159046</c:v>
                </c:pt>
                <c:pt idx="96">
                  <c:v>4.2410930424352831</c:v>
                </c:pt>
                <c:pt idx="97">
                  <c:v>4.1332074256343789</c:v>
                </c:pt>
                <c:pt idx="98">
                  <c:v>3.9435824018479977</c:v>
                </c:pt>
                <c:pt idx="99">
                  <c:v>3.8878228998820736</c:v>
                </c:pt>
                <c:pt idx="100">
                  <c:v>3.7706843977413014</c:v>
                </c:pt>
                <c:pt idx="101">
                  <c:v>3.7509553046906534</c:v>
                </c:pt>
                <c:pt idx="102">
                  <c:v>3.7457985540131871</c:v>
                </c:pt>
                <c:pt idx="103">
                  <c:v>3.6327730351746732</c:v>
                </c:pt>
                <c:pt idx="104">
                  <c:v>3.5676124631783717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B3-4D65-9351-A04B3FC6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Data'!$BL$4</c:f>
              <c:strCache>
                <c:ptCount val="1"/>
                <c:pt idx="0">
                  <c:v>Average Monthly Payment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Data'!$BL$5:$BL$109</c:f>
              <c:numCache>
                <c:formatCode>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0.144164028705668</c:v>
                </c:pt>
                <c:pt idx="24">
                  <c:v>0.3197353797354428</c:v>
                </c:pt>
                <c:pt idx="25">
                  <c:v>0.35511275837207795</c:v>
                </c:pt>
                <c:pt idx="26">
                  <c:v>0.36072896906749263</c:v>
                </c:pt>
                <c:pt idx="27">
                  <c:v>0.45007647611110591</c:v>
                </c:pt>
                <c:pt idx="28">
                  <c:v>0.5056783982865598</c:v>
                </c:pt>
                <c:pt idx="29">
                  <c:v>0.52644790850618239</c:v>
                </c:pt>
                <c:pt idx="30">
                  <c:v>0.48381981270489582</c:v>
                </c:pt>
                <c:pt idx="31">
                  <c:v>0.52564582556292128</c:v>
                </c:pt>
                <c:pt idx="32">
                  <c:v>0.57133406904742245</c:v>
                </c:pt>
                <c:pt idx="33">
                  <c:v>0.5517741410022251</c:v>
                </c:pt>
                <c:pt idx="34">
                  <c:v>0.54800057744690622</c:v>
                </c:pt>
                <c:pt idx="35">
                  <c:v>0.56396101516494768</c:v>
                </c:pt>
                <c:pt idx="36">
                  <c:v>0.59862077860703788</c:v>
                </c:pt>
                <c:pt idx="37">
                  <c:v>0.54915327928515201</c:v>
                </c:pt>
                <c:pt idx="38">
                  <c:v>0.55438888214481163</c:v>
                </c:pt>
                <c:pt idx="39">
                  <c:v>0.53590386923046618</c:v>
                </c:pt>
                <c:pt idx="40">
                  <c:v>0.55768126311352362</c:v>
                </c:pt>
                <c:pt idx="41">
                  <c:v>0.5864765605299751</c:v>
                </c:pt>
                <c:pt idx="42">
                  <c:v>0.57152708519138651</c:v>
                </c:pt>
                <c:pt idx="43">
                  <c:v>0.5626588787927117</c:v>
                </c:pt>
                <c:pt idx="44">
                  <c:v>0.53812579197919075</c:v>
                </c:pt>
                <c:pt idx="45">
                  <c:v>0.60783962626323262</c:v>
                </c:pt>
                <c:pt idx="46">
                  <c:v>0.56884523080325156</c:v>
                </c:pt>
                <c:pt idx="47">
                  <c:v>0.56579511361440593</c:v>
                </c:pt>
                <c:pt idx="48">
                  <c:v>0.56553341615807973</c:v>
                </c:pt>
                <c:pt idx="49">
                  <c:v>0.57995851612722515</c:v>
                </c:pt>
                <c:pt idx="50">
                  <c:v>0.58982089985974029</c:v>
                </c:pt>
                <c:pt idx="51">
                  <c:v>0.60412175756567854</c:v>
                </c:pt>
                <c:pt idx="52">
                  <c:v>0.56490649067824705</c:v>
                </c:pt>
                <c:pt idx="53">
                  <c:v>0.55444864684831618</c:v>
                </c:pt>
                <c:pt idx="54">
                  <c:v>0.58486150409697157</c:v>
                </c:pt>
                <c:pt idx="55">
                  <c:v>0.59780512138259279</c:v>
                </c:pt>
                <c:pt idx="56">
                  <c:v>0.56598682259766209</c:v>
                </c:pt>
                <c:pt idx="57">
                  <c:v>0.58043415002856091</c:v>
                </c:pt>
                <c:pt idx="58">
                  <c:v>0.62902762747859875</c:v>
                </c:pt>
                <c:pt idx="59">
                  <c:v>0.59012739033955608</c:v>
                </c:pt>
                <c:pt idx="60">
                  <c:v>0.59851533854597549</c:v>
                </c:pt>
                <c:pt idx="61">
                  <c:v>0.61359206849079651</c:v>
                </c:pt>
                <c:pt idx="62">
                  <c:v>0.60450963565764526</c:v>
                </c:pt>
                <c:pt idx="63">
                  <c:v>0.63475013152134296</c:v>
                </c:pt>
                <c:pt idx="64">
                  <c:v>0.64297941630613165</c:v>
                </c:pt>
                <c:pt idx="65">
                  <c:v>0.63514181181185658</c:v>
                </c:pt>
                <c:pt idx="66">
                  <c:v>0.62096388408532377</c:v>
                </c:pt>
                <c:pt idx="67">
                  <c:v>0.68413795825025636</c:v>
                </c:pt>
                <c:pt idx="68">
                  <c:v>0.67985105503287202</c:v>
                </c:pt>
                <c:pt idx="69">
                  <c:v>0.66264028099833427</c:v>
                </c:pt>
                <c:pt idx="70">
                  <c:v>0.68593714155363195</c:v>
                </c:pt>
                <c:pt idx="71">
                  <c:v>0.68534341226191908</c:v>
                </c:pt>
                <c:pt idx="72">
                  <c:v>0.74596222454501959</c:v>
                </c:pt>
                <c:pt idx="73">
                  <c:v>0.73069275648340892</c:v>
                </c:pt>
                <c:pt idx="74">
                  <c:v>0.74462455251092696</c:v>
                </c:pt>
                <c:pt idx="75">
                  <c:v>0.77409610000605455</c:v>
                </c:pt>
                <c:pt idx="76">
                  <c:v>0.77413474441098529</c:v>
                </c:pt>
                <c:pt idx="77">
                  <c:v>0.77173913043478282</c:v>
                </c:pt>
                <c:pt idx="78">
                  <c:v>0.77536231884057938</c:v>
                </c:pt>
                <c:pt idx="79">
                  <c:v>0.76165803108808272</c:v>
                </c:pt>
                <c:pt idx="80">
                  <c:v>0.79179487179487185</c:v>
                </c:pt>
                <c:pt idx="81">
                  <c:v>0.8107549120992763</c:v>
                </c:pt>
                <c:pt idx="82">
                  <c:v>0.79259259259259252</c:v>
                </c:pt>
                <c:pt idx="83">
                  <c:v>0.80423814328960641</c:v>
                </c:pt>
                <c:pt idx="84">
                  <c:v>0.80856882406563368</c:v>
                </c:pt>
                <c:pt idx="85">
                  <c:v>0.80229272296144227</c:v>
                </c:pt>
                <c:pt idx="86">
                  <c:v>0.8176352705410822</c:v>
                </c:pt>
                <c:pt idx="87">
                  <c:v>0.80430528375733834</c:v>
                </c:pt>
                <c:pt idx="88">
                  <c:v>0.78947368421052622</c:v>
                </c:pt>
                <c:pt idx="89">
                  <c:v>0.79176954732510318</c:v>
                </c:pt>
                <c:pt idx="90">
                  <c:v>0.78472958642629909</c:v>
                </c:pt>
                <c:pt idx="91">
                  <c:v>0.78714436248682806</c:v>
                </c:pt>
                <c:pt idx="92">
                  <c:v>0.77790304396843279</c:v>
                </c:pt>
                <c:pt idx="93">
                  <c:v>0.79352226720647767</c:v>
                </c:pt>
                <c:pt idx="94">
                  <c:v>0.79289340101522821</c:v>
                </c:pt>
                <c:pt idx="95">
                  <c:v>0.80342857142857105</c:v>
                </c:pt>
                <c:pt idx="96">
                  <c:v>0.77188655980271259</c:v>
                </c:pt>
                <c:pt idx="97">
                  <c:v>0.79740871613663111</c:v>
                </c:pt>
                <c:pt idx="98">
                  <c:v>0.79331306990881456</c:v>
                </c:pt>
                <c:pt idx="99">
                  <c:v>0.78096330275229353</c:v>
                </c:pt>
                <c:pt idx="100">
                  <c:v>0.79217273954116052</c:v>
                </c:pt>
                <c:pt idx="101">
                  <c:v>0.78052126200274341</c:v>
                </c:pt>
                <c:pt idx="102">
                  <c:v>0.80861244019138745</c:v>
                </c:pt>
                <c:pt idx="103">
                  <c:v>0.78478964401294482</c:v>
                </c:pt>
                <c:pt idx="104">
                  <c:v>0.77927321668909788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C-42F3-AEDB-440823703EC9}"/>
            </c:ext>
          </c:extLst>
        </c:ser>
        <c:ser>
          <c:idx val="1"/>
          <c:order val="1"/>
          <c:tx>
            <c:strRef>
              <c:f>'Averages Graph Data'!$BM$4</c:f>
              <c:strCache>
                <c:ptCount val="1"/>
                <c:pt idx="0">
                  <c:v>Average Monthly Payment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Data'!$BM$5:$BM$109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3.6041007176416999E-2</c:v>
                </c:pt>
                <c:pt idx="24">
                  <c:v>0.11597485211027769</c:v>
                </c:pt>
                <c:pt idx="25">
                  <c:v>0.20475304170329717</c:v>
                </c:pt>
                <c:pt idx="26">
                  <c:v>0.29493528397017033</c:v>
                </c:pt>
                <c:pt idx="27">
                  <c:v>0.37141339582152977</c:v>
                </c:pt>
                <c:pt idx="28">
                  <c:v>0.41789915045930903</c:v>
                </c:pt>
                <c:pt idx="29">
                  <c:v>0.46073293799283521</c:v>
                </c:pt>
                <c:pt idx="30">
                  <c:v>0.49150564890218595</c:v>
                </c:pt>
                <c:pt idx="31">
                  <c:v>0.51039798626513977</c:v>
                </c:pt>
                <c:pt idx="32">
                  <c:v>0.52681190395535549</c:v>
                </c:pt>
                <c:pt idx="33">
                  <c:v>0.53314346207936614</c:v>
                </c:pt>
                <c:pt idx="34">
                  <c:v>0.54918865326486876</c:v>
                </c:pt>
                <c:pt idx="35">
                  <c:v>0.55876745066537548</c:v>
                </c:pt>
                <c:pt idx="36">
                  <c:v>0.56558912805527917</c:v>
                </c:pt>
                <c:pt idx="37">
                  <c:v>0.56493391262601089</c:v>
                </c:pt>
                <c:pt idx="38">
                  <c:v>0.56653098880048736</c:v>
                </c:pt>
                <c:pt idx="39">
                  <c:v>0.5595167023168669</c:v>
                </c:pt>
                <c:pt idx="40">
                  <c:v>0.5492818234434883</c:v>
                </c:pt>
                <c:pt idx="41">
                  <c:v>0.5586126437546941</c:v>
                </c:pt>
                <c:pt idx="42">
                  <c:v>0.56289719451633791</c:v>
                </c:pt>
                <c:pt idx="43">
                  <c:v>0.56958594690689923</c:v>
                </c:pt>
                <c:pt idx="44">
                  <c:v>0.56469707912331601</c:v>
                </c:pt>
                <c:pt idx="45">
                  <c:v>0.5700378455566304</c:v>
                </c:pt>
                <c:pt idx="46">
                  <c:v>0.56936738195959669</c:v>
                </c:pt>
                <c:pt idx="47">
                  <c:v>0.57015144066502021</c:v>
                </c:pt>
                <c:pt idx="48">
                  <c:v>0.57700334670974252</c:v>
                </c:pt>
                <c:pt idx="49">
                  <c:v>0.5700330691757407</c:v>
                </c:pt>
                <c:pt idx="50">
                  <c:v>0.5752769864398628</c:v>
                </c:pt>
                <c:pt idx="51">
                  <c:v>0.5848586474276809</c:v>
                </c:pt>
                <c:pt idx="52">
                  <c:v>0.5847019160577227</c:v>
                </c:pt>
                <c:pt idx="53">
                  <c:v>0.57832444873799549</c:v>
                </c:pt>
                <c:pt idx="54">
                  <c:v>0.57708459979730331</c:v>
                </c:pt>
                <c:pt idx="55">
                  <c:v>0.57550544075153187</c:v>
                </c:pt>
                <c:pt idx="56">
                  <c:v>0.57577552373138574</c:v>
                </c:pt>
                <c:pt idx="57">
                  <c:v>0.58227189952644687</c:v>
                </c:pt>
                <c:pt idx="58">
                  <c:v>0.59331343037185358</c:v>
                </c:pt>
                <c:pt idx="59">
                  <c:v>0.59139399761109446</c:v>
                </c:pt>
                <c:pt idx="60">
                  <c:v>0.59952612659817284</c:v>
                </c:pt>
                <c:pt idx="61">
                  <c:v>0.60781560621373165</c:v>
                </c:pt>
                <c:pt idx="62">
                  <c:v>0.60168610825849334</c:v>
                </c:pt>
                <c:pt idx="63">
                  <c:v>0.61284179355394008</c:v>
                </c:pt>
                <c:pt idx="64">
                  <c:v>0.62395781299397912</c:v>
                </c:pt>
                <c:pt idx="65">
                  <c:v>0.62934524882424414</c:v>
                </c:pt>
                <c:pt idx="66">
                  <c:v>0.63345881093116374</c:v>
                </c:pt>
                <c:pt idx="67">
                  <c:v>0.64580576761339203</c:v>
                </c:pt>
                <c:pt idx="68">
                  <c:v>0.65502367729507727</c:v>
                </c:pt>
                <c:pt idx="69">
                  <c:v>0.66189829459169658</c:v>
                </c:pt>
                <c:pt idx="70">
                  <c:v>0.67814160895877373</c:v>
                </c:pt>
                <c:pt idx="71">
                  <c:v>0.67844297246168939</c:v>
                </c:pt>
                <c:pt idx="72">
                  <c:v>0.6949707648397262</c:v>
                </c:pt>
                <c:pt idx="73">
                  <c:v>0.71198388371099486</c:v>
                </c:pt>
                <c:pt idx="74">
                  <c:v>0.72665573645031856</c:v>
                </c:pt>
                <c:pt idx="75">
                  <c:v>0.74884390838635262</c:v>
                </c:pt>
                <c:pt idx="76">
                  <c:v>0.75588703835284399</c:v>
                </c:pt>
                <c:pt idx="77">
                  <c:v>0.76614863184068738</c:v>
                </c:pt>
                <c:pt idx="78">
                  <c:v>0.77383307342310048</c:v>
                </c:pt>
                <c:pt idx="79">
                  <c:v>0.77072355619360766</c:v>
                </c:pt>
                <c:pt idx="80">
                  <c:v>0.77513858803957925</c:v>
                </c:pt>
                <c:pt idx="81">
                  <c:v>0.78489253345570253</c:v>
                </c:pt>
                <c:pt idx="82">
                  <c:v>0.78920010189370582</c:v>
                </c:pt>
                <c:pt idx="83">
                  <c:v>0.79984512994408674</c:v>
                </c:pt>
                <c:pt idx="84">
                  <c:v>0.80403861801177723</c:v>
                </c:pt>
                <c:pt idx="85">
                  <c:v>0.80192307072731872</c:v>
                </c:pt>
                <c:pt idx="86">
                  <c:v>0.80818374021444117</c:v>
                </c:pt>
                <c:pt idx="87">
                  <c:v>0.8082005253313741</c:v>
                </c:pt>
                <c:pt idx="88">
                  <c:v>0.8034267403675972</c:v>
                </c:pt>
                <c:pt idx="89">
                  <c:v>0.80079594645851238</c:v>
                </c:pt>
                <c:pt idx="90">
                  <c:v>0.79256952542981662</c:v>
                </c:pt>
                <c:pt idx="91">
                  <c:v>0.78827929511218919</c:v>
                </c:pt>
                <c:pt idx="92">
                  <c:v>0.78538663505166573</c:v>
                </c:pt>
                <c:pt idx="93">
                  <c:v>0.7858248150220094</c:v>
                </c:pt>
                <c:pt idx="94">
                  <c:v>0.78786576866924163</c:v>
                </c:pt>
                <c:pt idx="95">
                  <c:v>0.79193682090467743</c:v>
                </c:pt>
                <c:pt idx="96">
                  <c:v>0.79043269986324738</c:v>
                </c:pt>
                <c:pt idx="97">
                  <c:v>0.79140431209578577</c:v>
                </c:pt>
                <c:pt idx="98">
                  <c:v>0.79150922931918233</c:v>
                </c:pt>
                <c:pt idx="99">
                  <c:v>0.78589291215011303</c:v>
                </c:pt>
                <c:pt idx="100">
                  <c:v>0.79096445708472496</c:v>
                </c:pt>
                <c:pt idx="101">
                  <c:v>0.78674259355125298</c:v>
                </c:pt>
                <c:pt idx="102">
                  <c:v>0.79056743612189617</c:v>
                </c:pt>
                <c:pt idx="103">
                  <c:v>0.79152402143705902</c:v>
                </c:pt>
                <c:pt idx="104">
                  <c:v>0.78829914072404339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9C-42F3-AEDB-440823703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Data'!$BP$4</c:f>
              <c:strCache>
                <c:ptCount val="1"/>
                <c:pt idx="0">
                  <c:v>Average Monthly Payment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Data'!$BP$5:$BP$109</c:f>
              <c:numCache>
                <c:formatCode>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61-44E6-88E9-21479D70F1B4}"/>
            </c:ext>
          </c:extLst>
        </c:ser>
        <c:ser>
          <c:idx val="1"/>
          <c:order val="1"/>
          <c:tx>
            <c:strRef>
              <c:f>'Averages Graph Data'!$BQ$4</c:f>
              <c:strCache>
                <c:ptCount val="1"/>
                <c:pt idx="0">
                  <c:v>Average Monthly Payment - 4 Week Avg (Boom Annual Up Front)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Data'!$BQ$5:$BQ$109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61-44E6-88E9-21479D70F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Data'!$BT$4</c:f>
              <c:strCache>
                <c:ptCount val="1"/>
                <c:pt idx="0">
                  <c:v>Average Monthly Payment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Data'!$BT$5:$BT$109</c:f>
              <c:numCache>
                <c:formatCode>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2.6369168364549667E-2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6C-4DFE-88DF-F2B861A82E57}"/>
            </c:ext>
          </c:extLst>
        </c:ser>
        <c:ser>
          <c:idx val="1"/>
          <c:order val="1"/>
          <c:tx>
            <c:strRef>
              <c:f>'Averages Graph Data'!$BU$4</c:f>
              <c:strCache>
                <c:ptCount val="1"/>
                <c:pt idx="0">
                  <c:v>Average Monthly Payment - 4 Week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Data'!$BU$5:$BU$109</c:f>
              <c:numCache>
                <c:formatCode>0%</c:formatCode>
                <c:ptCount val="105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3.7670240520785237E-3</c:v>
                </c:pt>
                <c:pt idx="71">
                  <c:v>3.7670240520785237E-3</c:v>
                </c:pt>
                <c:pt idx="72">
                  <c:v>3.7670240520785237E-3</c:v>
                </c:pt>
                <c:pt idx="73">
                  <c:v>3.7670240520785237E-3</c:v>
                </c:pt>
                <c:pt idx="74">
                  <c:v>3.7670240520785237E-3</c:v>
                </c:pt>
                <c:pt idx="75">
                  <c:v>3.7670240520785237E-3</c:v>
                </c:pt>
                <c:pt idx="76">
                  <c:v>3.7670240520785237E-3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6C-4DFE-88DF-F2B861A82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Data'!$CV$4</c:f>
              <c:strCache>
                <c:ptCount val="1"/>
                <c:pt idx="0">
                  <c:v>Average Area Rating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Data'!$CV$5:$CV$109</c:f>
              <c:numCache>
                <c:formatCode>#,##0.0</c:formatCode>
                <c:ptCount val="105"/>
                <c:pt idx="0">
                  <c:v>47.713776138284672</c:v>
                </c:pt>
                <c:pt idx="1">
                  <c:v>46.817964794290447</c:v>
                </c:pt>
                <c:pt idx="2">
                  <c:v>45.615955125327908</c:v>
                </c:pt>
                <c:pt idx="3">
                  <c:v>47.617940216685831</c:v>
                </c:pt>
                <c:pt idx="4">
                  <c:v>47.972887449229496</c:v>
                </c:pt>
                <c:pt idx="5">
                  <c:v>46.015258227792998</c:v>
                </c:pt>
                <c:pt idx="6">
                  <c:v>45.63238224715397</c:v>
                </c:pt>
                <c:pt idx="7">
                  <c:v>46.985057306143787</c:v>
                </c:pt>
                <c:pt idx="8">
                  <c:v>47.91146829992644</c:v>
                </c:pt>
                <c:pt idx="9">
                  <c:v>47.968811173830083</c:v>
                </c:pt>
                <c:pt idx="10">
                  <c:v>48.298552585704499</c:v>
                </c:pt>
                <c:pt idx="11">
                  <c:v>50.00496015888821</c:v>
                </c:pt>
                <c:pt idx="12">
                  <c:v>49.593972097995575</c:v>
                </c:pt>
                <c:pt idx="13">
                  <c:v>49.447688599309274</c:v>
                </c:pt>
                <c:pt idx="14">
                  <c:v>50.991963920761833</c:v>
                </c:pt>
                <c:pt idx="15">
                  <c:v>48.763921768128483</c:v>
                </c:pt>
                <c:pt idx="16">
                  <c:v>49.744772608808375</c:v>
                </c:pt>
                <c:pt idx="17">
                  <c:v>47.490542180193366</c:v>
                </c:pt>
                <c:pt idx="18">
                  <c:v>49.988188574129786</c:v>
                </c:pt>
                <c:pt idx="19">
                  <c:v>48.479624067785338</c:v>
                </c:pt>
                <c:pt idx="20">
                  <c:v>48.301822540411841</c:v>
                </c:pt>
                <c:pt idx="21">
                  <c:v>48.943039618108671</c:v>
                </c:pt>
                <c:pt idx="22">
                  <c:v>47.791097152494856</c:v>
                </c:pt>
                <c:pt idx="23">
                  <c:v>47.202494699935826</c:v>
                </c:pt>
                <c:pt idx="24">
                  <c:v>46.53293118518701</c:v>
                </c:pt>
                <c:pt idx="25">
                  <c:v>47.777665495895391</c:v>
                </c:pt>
                <c:pt idx="26">
                  <c:v>47.152516702421956</c:v>
                </c:pt>
                <c:pt idx="27">
                  <c:v>45.907936422873505</c:v>
                </c:pt>
                <c:pt idx="28">
                  <c:v>44.455527676088842</c:v>
                </c:pt>
                <c:pt idx="29">
                  <c:v>45.630955558166427</c:v>
                </c:pt>
                <c:pt idx="30">
                  <c:v>47.311756210520102</c:v>
                </c:pt>
                <c:pt idx="31">
                  <c:v>45.85400732732009</c:v>
                </c:pt>
                <c:pt idx="32">
                  <c:v>45.636752072458229</c:v>
                </c:pt>
                <c:pt idx="33">
                  <c:v>45.835804959981026</c:v>
                </c:pt>
                <c:pt idx="34">
                  <c:v>45.93776939100529</c:v>
                </c:pt>
                <c:pt idx="35">
                  <c:v>46.728386833373129</c:v>
                </c:pt>
                <c:pt idx="36">
                  <c:v>46.51363482112265</c:v>
                </c:pt>
                <c:pt idx="37">
                  <c:v>46.205870886832955</c:v>
                </c:pt>
                <c:pt idx="38">
                  <c:v>46.866624140764998</c:v>
                </c:pt>
                <c:pt idx="39">
                  <c:v>46.822144627947353</c:v>
                </c:pt>
                <c:pt idx="40">
                  <c:v>45.642212814391712</c:v>
                </c:pt>
                <c:pt idx="41">
                  <c:v>45.54398981865252</c:v>
                </c:pt>
                <c:pt idx="42">
                  <c:v>44.463012053137184</c:v>
                </c:pt>
                <c:pt idx="43">
                  <c:v>45.205421855298944</c:v>
                </c:pt>
                <c:pt idx="44">
                  <c:v>44.187728543588143</c:v>
                </c:pt>
                <c:pt idx="45">
                  <c:v>44.237393846389331</c:v>
                </c:pt>
                <c:pt idx="46">
                  <c:v>43.525562314935755</c:v>
                </c:pt>
                <c:pt idx="47">
                  <c:v>44.289341177285493</c:v>
                </c:pt>
                <c:pt idx="48">
                  <c:v>45.350024492287368</c:v>
                </c:pt>
                <c:pt idx="49">
                  <c:v>44.119555237953712</c:v>
                </c:pt>
                <c:pt idx="50">
                  <c:v>44.146547988517113</c:v>
                </c:pt>
                <c:pt idx="51">
                  <c:v>43.927799974274357</c:v>
                </c:pt>
                <c:pt idx="52">
                  <c:v>43.834787049936331</c:v>
                </c:pt>
                <c:pt idx="53">
                  <c:v>43.599518240098739</c:v>
                </c:pt>
                <c:pt idx="54">
                  <c:v>42.73415650767236</c:v>
                </c:pt>
                <c:pt idx="55">
                  <c:v>43.375485405860765</c:v>
                </c:pt>
                <c:pt idx="56">
                  <c:v>42.798457796657459</c:v>
                </c:pt>
                <c:pt idx="57">
                  <c:v>42.23025082934295</c:v>
                </c:pt>
                <c:pt idx="58">
                  <c:v>41.749837128193604</c:v>
                </c:pt>
                <c:pt idx="59">
                  <c:v>41.839681270740712</c:v>
                </c:pt>
                <c:pt idx="60">
                  <c:v>40.53809690859849</c:v>
                </c:pt>
                <c:pt idx="61">
                  <c:v>39.524332078075545</c:v>
                </c:pt>
                <c:pt idx="62">
                  <c:v>41.431536240717733</c:v>
                </c:pt>
                <c:pt idx="63">
                  <c:v>41.973064176627013</c:v>
                </c:pt>
                <c:pt idx="64">
                  <c:v>42.904638637235486</c:v>
                </c:pt>
                <c:pt idx="65">
                  <c:v>42.68162856876377</c:v>
                </c:pt>
                <c:pt idx="66">
                  <c:v>43.759788300874163</c:v>
                </c:pt>
                <c:pt idx="67">
                  <c:v>43.936486716482115</c:v>
                </c:pt>
                <c:pt idx="68">
                  <c:v>44.195500916093067</c:v>
                </c:pt>
                <c:pt idx="69">
                  <c:v>45.714303306761778</c:v>
                </c:pt>
                <c:pt idx="70">
                  <c:v>44.219960890960628</c:v>
                </c:pt>
                <c:pt idx="71">
                  <c:v>44.715761822571352</c:v>
                </c:pt>
                <c:pt idx="72">
                  <c:v>43.51109333897211</c:v>
                </c:pt>
                <c:pt idx="73">
                  <c:v>44.448867195786974</c:v>
                </c:pt>
                <c:pt idx="74">
                  <c:v>43.466001823293276</c:v>
                </c:pt>
                <c:pt idx="75">
                  <c:v>44.493291453630476</c:v>
                </c:pt>
                <c:pt idx="76">
                  <c:v>42.974782894902702</c:v>
                </c:pt>
                <c:pt idx="77">
                  <c:v>44.16996047430829</c:v>
                </c:pt>
                <c:pt idx="78">
                  <c:v>43.684782608695677</c:v>
                </c:pt>
                <c:pt idx="79">
                  <c:v>43.323834196891241</c:v>
                </c:pt>
                <c:pt idx="80">
                  <c:v>42.731282051282015</c:v>
                </c:pt>
                <c:pt idx="81">
                  <c:v>42.813857290589425</c:v>
                </c:pt>
                <c:pt idx="82">
                  <c:v>43.2804232804233</c:v>
                </c:pt>
                <c:pt idx="83">
                  <c:v>43.847628657921298</c:v>
                </c:pt>
                <c:pt idx="84">
                  <c:v>43.48587055606194</c:v>
                </c:pt>
                <c:pt idx="85">
                  <c:v>41.993125659498546</c:v>
                </c:pt>
                <c:pt idx="86">
                  <c:v>42.27555110220441</c:v>
                </c:pt>
                <c:pt idx="87">
                  <c:v>43.67612524461839</c:v>
                </c:pt>
                <c:pt idx="88">
                  <c:v>43.736842105263165</c:v>
                </c:pt>
                <c:pt idx="89">
                  <c:v>44.072427983539072</c:v>
                </c:pt>
                <c:pt idx="90">
                  <c:v>44.032873806998936</c:v>
                </c:pt>
                <c:pt idx="91">
                  <c:v>44.350895679662813</c:v>
                </c:pt>
                <c:pt idx="92">
                  <c:v>45.269447576099232</c:v>
                </c:pt>
                <c:pt idx="93">
                  <c:v>42.028340080971667</c:v>
                </c:pt>
                <c:pt idx="94">
                  <c:v>42.36954314720812</c:v>
                </c:pt>
                <c:pt idx="95">
                  <c:v>43.164571428571435</c:v>
                </c:pt>
                <c:pt idx="96">
                  <c:v>43.68310727496921</c:v>
                </c:pt>
                <c:pt idx="97">
                  <c:v>41.820965842167276</c:v>
                </c:pt>
                <c:pt idx="98">
                  <c:v>42.234042553191458</c:v>
                </c:pt>
                <c:pt idx="99">
                  <c:v>42.003440366972484</c:v>
                </c:pt>
                <c:pt idx="100">
                  <c:v>44.290148448043219</c:v>
                </c:pt>
                <c:pt idx="101">
                  <c:v>42.267489711934196</c:v>
                </c:pt>
                <c:pt idx="102">
                  <c:v>41.113636363636388</c:v>
                </c:pt>
                <c:pt idx="103">
                  <c:v>43.59870550161817</c:v>
                </c:pt>
                <c:pt idx="104">
                  <c:v>43.745625841184413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F7-4772-A402-342762B6A5FC}"/>
            </c:ext>
          </c:extLst>
        </c:ser>
        <c:ser>
          <c:idx val="1"/>
          <c:order val="1"/>
          <c:tx>
            <c:strRef>
              <c:f>'Averages Graph Data'!$CW$4</c:f>
              <c:strCache>
                <c:ptCount val="1"/>
                <c:pt idx="0">
                  <c:v>Average Area Rating - 4 Week Avg (PC Annual Direct)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Data'!$CW$5:$CW$109</c:f>
              <c:numCache>
                <c:formatCode>#,##0</c:formatCode>
                <c:ptCount val="105"/>
                <c:pt idx="3">
                  <c:v>46.941409068647218</c:v>
                </c:pt>
                <c:pt idx="4">
                  <c:v>47.006186896383419</c:v>
                </c:pt>
                <c:pt idx="5">
                  <c:v>46.805510254759056</c:v>
                </c:pt>
                <c:pt idx="6">
                  <c:v>46.809617035215574</c:v>
                </c:pt>
                <c:pt idx="7">
                  <c:v>46.651396307580058</c:v>
                </c:pt>
                <c:pt idx="8">
                  <c:v>46.636041520254302</c:v>
                </c:pt>
                <c:pt idx="9">
                  <c:v>47.124429756763575</c:v>
                </c:pt>
                <c:pt idx="10">
                  <c:v>47.790972341401201</c:v>
                </c:pt>
                <c:pt idx="11">
                  <c:v>48.545948054587313</c:v>
                </c:pt>
                <c:pt idx="12">
                  <c:v>48.966574004104586</c:v>
                </c:pt>
                <c:pt idx="13">
                  <c:v>49.336293360474386</c:v>
                </c:pt>
                <c:pt idx="14">
                  <c:v>50.009646194238719</c:v>
                </c:pt>
                <c:pt idx="15">
                  <c:v>49.699386596548791</c:v>
                </c:pt>
                <c:pt idx="16">
                  <c:v>49.737086724251995</c:v>
                </c:pt>
                <c:pt idx="17">
                  <c:v>49.247800119473013</c:v>
                </c:pt>
                <c:pt idx="18">
                  <c:v>48.996856282815003</c:v>
                </c:pt>
                <c:pt idx="19">
                  <c:v>48.92578185772922</c:v>
                </c:pt>
                <c:pt idx="20">
                  <c:v>48.565044340630088</c:v>
                </c:pt>
                <c:pt idx="21">
                  <c:v>48.928168700108913</c:v>
                </c:pt>
                <c:pt idx="22">
                  <c:v>48.378895844700168</c:v>
                </c:pt>
                <c:pt idx="23">
                  <c:v>48.05961350273779</c:v>
                </c:pt>
                <c:pt idx="24">
                  <c:v>47.617390663931587</c:v>
                </c:pt>
                <c:pt idx="25">
                  <c:v>47.326047133378268</c:v>
                </c:pt>
                <c:pt idx="26">
                  <c:v>47.166402020860048</c:v>
                </c:pt>
                <c:pt idx="27">
                  <c:v>46.842762451594467</c:v>
                </c:pt>
                <c:pt idx="28">
                  <c:v>46.323411574319927</c:v>
                </c:pt>
                <c:pt idx="29">
                  <c:v>45.78673408988768</c:v>
                </c:pt>
                <c:pt idx="30">
                  <c:v>45.826543966912212</c:v>
                </c:pt>
                <c:pt idx="31">
                  <c:v>45.813061693023862</c:v>
                </c:pt>
                <c:pt idx="32">
                  <c:v>46.108367792116212</c:v>
                </c:pt>
                <c:pt idx="33">
                  <c:v>46.159580142569865</c:v>
                </c:pt>
                <c:pt idx="34">
                  <c:v>45.816083437691162</c:v>
                </c:pt>
                <c:pt idx="35">
                  <c:v>46.034678314204413</c:v>
                </c:pt>
                <c:pt idx="36">
                  <c:v>46.25389900137052</c:v>
                </c:pt>
                <c:pt idx="37">
                  <c:v>46.346415483083504</c:v>
                </c:pt>
                <c:pt idx="38">
                  <c:v>46.578629170523428</c:v>
                </c:pt>
                <c:pt idx="39">
                  <c:v>46.602068619166985</c:v>
                </c:pt>
                <c:pt idx="40">
                  <c:v>46.384213117484251</c:v>
                </c:pt>
                <c:pt idx="41">
                  <c:v>46.218742850439142</c:v>
                </c:pt>
                <c:pt idx="42">
                  <c:v>45.61783982853219</c:v>
                </c:pt>
                <c:pt idx="43">
                  <c:v>45.213659135370087</c:v>
                </c:pt>
                <c:pt idx="44">
                  <c:v>44.850038067669196</c:v>
                </c:pt>
                <c:pt idx="45">
                  <c:v>44.523389074603401</c:v>
                </c:pt>
                <c:pt idx="46">
                  <c:v>44.289026640053038</c:v>
                </c:pt>
                <c:pt idx="47">
                  <c:v>44.060006470549681</c:v>
                </c:pt>
                <c:pt idx="48">
                  <c:v>44.350580457724483</c:v>
                </c:pt>
                <c:pt idx="49">
                  <c:v>44.321120805615578</c:v>
                </c:pt>
                <c:pt idx="50">
                  <c:v>44.476367224010922</c:v>
                </c:pt>
                <c:pt idx="51">
                  <c:v>44.385981923258143</c:v>
                </c:pt>
                <c:pt idx="52">
                  <c:v>44.007172562670377</c:v>
                </c:pt>
                <c:pt idx="53">
                  <c:v>43.877163313206637</c:v>
                </c:pt>
                <c:pt idx="54">
                  <c:v>43.52406544299545</c:v>
                </c:pt>
                <c:pt idx="55">
                  <c:v>43.385986800892049</c:v>
                </c:pt>
                <c:pt idx="56">
                  <c:v>43.126904487572332</c:v>
                </c:pt>
                <c:pt idx="57">
                  <c:v>42.78458763488338</c:v>
                </c:pt>
                <c:pt idx="58">
                  <c:v>42.538507790013689</c:v>
                </c:pt>
                <c:pt idx="59">
                  <c:v>42.154556756233681</c:v>
                </c:pt>
                <c:pt idx="60">
                  <c:v>41.589466534218943</c:v>
                </c:pt>
                <c:pt idx="61">
                  <c:v>40.912986846402092</c:v>
                </c:pt>
                <c:pt idx="62">
                  <c:v>40.83341162453312</c:v>
                </c:pt>
                <c:pt idx="63">
                  <c:v>40.866757351004694</c:v>
                </c:pt>
                <c:pt idx="64">
                  <c:v>41.458392783163944</c:v>
                </c:pt>
                <c:pt idx="65">
                  <c:v>42.247716905836</c:v>
                </c:pt>
                <c:pt idx="66">
                  <c:v>42.829779920875112</c:v>
                </c:pt>
                <c:pt idx="67">
                  <c:v>43.320635555838884</c:v>
                </c:pt>
                <c:pt idx="68">
                  <c:v>43.643351125553281</c:v>
                </c:pt>
                <c:pt idx="69">
                  <c:v>44.401519810052775</c:v>
                </c:pt>
                <c:pt idx="70">
                  <c:v>44.516562957574394</c:v>
                </c:pt>
                <c:pt idx="71">
                  <c:v>44.711381734096705</c:v>
                </c:pt>
                <c:pt idx="72">
                  <c:v>44.540279839816463</c:v>
                </c:pt>
                <c:pt idx="73">
                  <c:v>44.223920812072762</c:v>
                </c:pt>
                <c:pt idx="74">
                  <c:v>44.035431045155924</c:v>
                </c:pt>
                <c:pt idx="75">
                  <c:v>43.979813452920709</c:v>
                </c:pt>
                <c:pt idx="76">
                  <c:v>43.845735841903362</c:v>
                </c:pt>
                <c:pt idx="77">
                  <c:v>43.776009161533686</c:v>
                </c:pt>
                <c:pt idx="78">
                  <c:v>43.830704357884287</c:v>
                </c:pt>
                <c:pt idx="79">
                  <c:v>43.538340043699478</c:v>
                </c:pt>
                <c:pt idx="80">
                  <c:v>43.477464832794304</c:v>
                </c:pt>
                <c:pt idx="81">
                  <c:v>43.13843903686459</c:v>
                </c:pt>
                <c:pt idx="82">
                  <c:v>43.037349204796492</c:v>
                </c:pt>
                <c:pt idx="83">
                  <c:v>43.168297820054008</c:v>
                </c:pt>
                <c:pt idx="84">
                  <c:v>43.356944946248987</c:v>
                </c:pt>
                <c:pt idx="85">
                  <c:v>43.151762038476278</c:v>
                </c:pt>
                <c:pt idx="86">
                  <c:v>42.900543993921545</c:v>
                </c:pt>
                <c:pt idx="87">
                  <c:v>42.85766814059582</c:v>
                </c:pt>
                <c:pt idx="88">
                  <c:v>42.920411027896122</c:v>
                </c:pt>
                <c:pt idx="89">
                  <c:v>43.440236608906261</c:v>
                </c:pt>
                <c:pt idx="90">
                  <c:v>43.879567285104891</c:v>
                </c:pt>
                <c:pt idx="91">
                  <c:v>44.048259893865996</c:v>
                </c:pt>
                <c:pt idx="92">
                  <c:v>44.431411261575015</c:v>
                </c:pt>
                <c:pt idx="93">
                  <c:v>43.920389285933162</c:v>
                </c:pt>
                <c:pt idx="94">
                  <c:v>43.504556620985454</c:v>
                </c:pt>
                <c:pt idx="95">
                  <c:v>43.20797555821261</c:v>
                </c:pt>
                <c:pt idx="96">
                  <c:v>42.811390482930108</c:v>
                </c:pt>
                <c:pt idx="97">
                  <c:v>42.75954692322901</c:v>
                </c:pt>
                <c:pt idx="98">
                  <c:v>42.725671774724844</c:v>
                </c:pt>
                <c:pt idx="99">
                  <c:v>42.435389009325107</c:v>
                </c:pt>
                <c:pt idx="100">
                  <c:v>42.587149302593609</c:v>
                </c:pt>
                <c:pt idx="101">
                  <c:v>42.698780270035336</c:v>
                </c:pt>
                <c:pt idx="102">
                  <c:v>42.418678722646575</c:v>
                </c:pt>
                <c:pt idx="103">
                  <c:v>42.817495006307993</c:v>
                </c:pt>
                <c:pt idx="104">
                  <c:v>42.681364354593292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F7-4772-A402-342762B6A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Up Front: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Data'!$CZ$4</c:f>
              <c:strCache>
                <c:ptCount val="1"/>
                <c:pt idx="0">
                  <c:v>Average Area Rating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Data'!$CZ$5:$CZ$109</c:f>
              <c:numCache>
                <c:formatCode>#,##0.0</c:formatCode>
                <c:ptCount val="105"/>
                <c:pt idx="0">
                  <c:v>53.166666666666671</c:v>
                </c:pt>
                <c:pt idx="1">
                  <c:v>51.911764705882348</c:v>
                </c:pt>
                <c:pt idx="2">
                  <c:v>50.103305785123965</c:v>
                </c:pt>
                <c:pt idx="3">
                  <c:v>52.230046948356808</c:v>
                </c:pt>
                <c:pt idx="4">
                  <c:v>53.441441441441441</c:v>
                </c:pt>
                <c:pt idx="5">
                  <c:v>48.842342342342327</c:v>
                </c:pt>
                <c:pt idx="6">
                  <c:v>49.892156862745111</c:v>
                </c:pt>
                <c:pt idx="7">
                  <c:v>52.59195402298851</c:v>
                </c:pt>
                <c:pt idx="8">
                  <c:v>52.067510548523209</c:v>
                </c:pt>
                <c:pt idx="9">
                  <c:v>51.992982456140339</c:v>
                </c:pt>
                <c:pt idx="10">
                  <c:v>52.561514195583591</c:v>
                </c:pt>
                <c:pt idx="11">
                  <c:v>53.876068376068353</c:v>
                </c:pt>
                <c:pt idx="12">
                  <c:v>52.847150259067355</c:v>
                </c:pt>
                <c:pt idx="13">
                  <c:v>52.625292740046831</c:v>
                </c:pt>
                <c:pt idx="14">
                  <c:v>54.621621621621593</c:v>
                </c:pt>
                <c:pt idx="15">
                  <c:v>51.696763202725691</c:v>
                </c:pt>
                <c:pt idx="16">
                  <c:v>52.630653266331663</c:v>
                </c:pt>
                <c:pt idx="17">
                  <c:v>49.121896162528216</c:v>
                </c:pt>
                <c:pt idx="18">
                  <c:v>53.075688073394474</c:v>
                </c:pt>
                <c:pt idx="19">
                  <c:v>51.942249240121569</c:v>
                </c:pt>
                <c:pt idx="20">
                  <c:v>50.985029940119759</c:v>
                </c:pt>
                <c:pt idx="21">
                  <c:v>51.216783216783206</c:v>
                </c:pt>
                <c:pt idx="22">
                  <c:v>49.700748129675809</c:v>
                </c:pt>
                <c:pt idx="23">
                  <c:v>49.43150684931507</c:v>
                </c:pt>
                <c:pt idx="24">
                  <c:v>50.092369477911632</c:v>
                </c:pt>
                <c:pt idx="25">
                  <c:v>50.994334277620396</c:v>
                </c:pt>
                <c:pt idx="26">
                  <c:v>50.363157894736837</c:v>
                </c:pt>
                <c:pt idx="27">
                  <c:v>47.968292682926823</c:v>
                </c:pt>
                <c:pt idx="28">
                  <c:v>46.933167160829605</c:v>
                </c:pt>
                <c:pt idx="29">
                  <c:v>48.296037296037355</c:v>
                </c:pt>
                <c:pt idx="30">
                  <c:v>50.095528455284629</c:v>
                </c:pt>
                <c:pt idx="31">
                  <c:v>50.443254817987224</c:v>
                </c:pt>
                <c:pt idx="32">
                  <c:v>47.659836065573842</c:v>
                </c:pt>
                <c:pt idx="33">
                  <c:v>48.142034548944395</c:v>
                </c:pt>
                <c:pt idx="34">
                  <c:v>49.298283261802645</c:v>
                </c:pt>
                <c:pt idx="35">
                  <c:v>52.007142857142931</c:v>
                </c:pt>
                <c:pt idx="36">
                  <c:v>51.860215053763511</c:v>
                </c:pt>
                <c:pt idx="37">
                  <c:v>50.863138686131443</c:v>
                </c:pt>
                <c:pt idx="38">
                  <c:v>51.752232142857203</c:v>
                </c:pt>
                <c:pt idx="39">
                  <c:v>52.307174887892444</c:v>
                </c:pt>
                <c:pt idx="40">
                  <c:v>49.03991596638663</c:v>
                </c:pt>
                <c:pt idx="41">
                  <c:v>49.247058823529471</c:v>
                </c:pt>
                <c:pt idx="42">
                  <c:v>47.135391923990532</c:v>
                </c:pt>
                <c:pt idx="43">
                  <c:v>47.468030690537134</c:v>
                </c:pt>
                <c:pt idx="44">
                  <c:v>47.90000000000007</c:v>
                </c:pt>
                <c:pt idx="45">
                  <c:v>48.971014492753646</c:v>
                </c:pt>
                <c:pt idx="46">
                  <c:v>48.681081081081125</c:v>
                </c:pt>
                <c:pt idx="47">
                  <c:v>48.25705329153606</c:v>
                </c:pt>
                <c:pt idx="48">
                  <c:v>51.103092783505147</c:v>
                </c:pt>
                <c:pt idx="49">
                  <c:v>49.577181208053702</c:v>
                </c:pt>
                <c:pt idx="50">
                  <c:v>48.264150943396238</c:v>
                </c:pt>
                <c:pt idx="51">
                  <c:v>47.084388185654021</c:v>
                </c:pt>
                <c:pt idx="52">
                  <c:v>48.275590551181097</c:v>
                </c:pt>
                <c:pt idx="53">
                  <c:v>47.031250000000021</c:v>
                </c:pt>
                <c:pt idx="54">
                  <c:v>48.075000000000003</c:v>
                </c:pt>
                <c:pt idx="55">
                  <c:v>45.979865771812086</c:v>
                </c:pt>
                <c:pt idx="56">
                  <c:v>49.250000000000021</c:v>
                </c:pt>
                <c:pt idx="57">
                  <c:v>47.252873563218394</c:v>
                </c:pt>
                <c:pt idx="58">
                  <c:v>45.304000000000009</c:v>
                </c:pt>
                <c:pt idx="59">
                  <c:v>43.315175097276281</c:v>
                </c:pt>
                <c:pt idx="60">
                  <c:v>44.786407766990294</c:v>
                </c:pt>
                <c:pt idx="61">
                  <c:v>42.862499999999997</c:v>
                </c:pt>
                <c:pt idx="62">
                  <c:v>46.21843003412971</c:v>
                </c:pt>
                <c:pt idx="63">
                  <c:v>48.706081081081095</c:v>
                </c:pt>
                <c:pt idx="64">
                  <c:v>46.478813559322035</c:v>
                </c:pt>
                <c:pt idx="65">
                  <c:v>47.317269076305244</c:v>
                </c:pt>
                <c:pt idx="66">
                  <c:v>45.300578034682097</c:v>
                </c:pt>
                <c:pt idx="67">
                  <c:v>49.539215686274524</c:v>
                </c:pt>
                <c:pt idx="68">
                  <c:v>49.281733746130044</c:v>
                </c:pt>
                <c:pt idx="69">
                  <c:v>49.513157894736878</c:v>
                </c:pt>
                <c:pt idx="70">
                  <c:v>49.913978494623663</c:v>
                </c:pt>
                <c:pt idx="71">
                  <c:v>48.265765765765757</c:v>
                </c:pt>
                <c:pt idx="72">
                  <c:v>48.164251207729471</c:v>
                </c:pt>
                <c:pt idx="73">
                  <c:v>48.494252873563219</c:v>
                </c:pt>
                <c:pt idx="74">
                  <c:v>46.885714285714279</c:v>
                </c:pt>
                <c:pt idx="75">
                  <c:v>52.143589743589743</c:v>
                </c:pt>
                <c:pt idx="76">
                  <c:v>48.089795918367344</c:v>
                </c:pt>
                <c:pt idx="77">
                  <c:v>47.883116883116905</c:v>
                </c:pt>
                <c:pt idx="78">
                  <c:v>46.827956989247319</c:v>
                </c:pt>
                <c:pt idx="79">
                  <c:v>47.108695652173907</c:v>
                </c:pt>
                <c:pt idx="80">
                  <c:v>46.640394088669957</c:v>
                </c:pt>
                <c:pt idx="81">
                  <c:v>48.021857923497265</c:v>
                </c:pt>
                <c:pt idx="82">
                  <c:v>47.974489795918373</c:v>
                </c:pt>
                <c:pt idx="83">
                  <c:v>47.175257731958766</c:v>
                </c:pt>
                <c:pt idx="84">
                  <c:v>48.280952380952385</c:v>
                </c:pt>
                <c:pt idx="85">
                  <c:v>48.766519823788556</c:v>
                </c:pt>
                <c:pt idx="86">
                  <c:v>46.890109890109883</c:v>
                </c:pt>
                <c:pt idx="87">
                  <c:v>50.144999999999996</c:v>
                </c:pt>
                <c:pt idx="88">
                  <c:v>50.245098039215691</c:v>
                </c:pt>
                <c:pt idx="89">
                  <c:v>47.007905138339943</c:v>
                </c:pt>
                <c:pt idx="90">
                  <c:v>48.394088669950733</c:v>
                </c:pt>
                <c:pt idx="91">
                  <c:v>49.049504950495056</c:v>
                </c:pt>
                <c:pt idx="92">
                  <c:v>48.639593908629429</c:v>
                </c:pt>
                <c:pt idx="93">
                  <c:v>45.916666666666664</c:v>
                </c:pt>
                <c:pt idx="94">
                  <c:v>47.044117647058812</c:v>
                </c:pt>
                <c:pt idx="95">
                  <c:v>46.749999999999993</c:v>
                </c:pt>
                <c:pt idx="96">
                  <c:v>50.205405405405408</c:v>
                </c:pt>
                <c:pt idx="97">
                  <c:v>46.3139534883721</c:v>
                </c:pt>
                <c:pt idx="98">
                  <c:v>46.318627450980387</c:v>
                </c:pt>
                <c:pt idx="99">
                  <c:v>43.774869109947652</c:v>
                </c:pt>
                <c:pt idx="100">
                  <c:v>48.694805194805191</c:v>
                </c:pt>
                <c:pt idx="101">
                  <c:v>47.537500000000001</c:v>
                </c:pt>
                <c:pt idx="102">
                  <c:v>43.018749999999997</c:v>
                </c:pt>
                <c:pt idx="103">
                  <c:v>47.541353383458656</c:v>
                </c:pt>
                <c:pt idx="104">
                  <c:v>49.865853658536572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2-48FF-9C03-180EF0178B2D}"/>
            </c:ext>
          </c:extLst>
        </c:ser>
        <c:ser>
          <c:idx val="1"/>
          <c:order val="1"/>
          <c:tx>
            <c:strRef>
              <c:f>'Averages Graph Data'!$DA$4</c:f>
              <c:strCache>
                <c:ptCount val="1"/>
                <c:pt idx="0">
                  <c:v>Average Area Rating - 4 Week Avg (Boom Annual Up Front)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Data'!$DA$5:$DA$109</c:f>
              <c:numCache>
                <c:formatCode>#,##0.0</c:formatCode>
                <c:ptCount val="105"/>
                <c:pt idx="3">
                  <c:v>51.852946026507446</c:v>
                </c:pt>
                <c:pt idx="4">
                  <c:v>51.921639720201142</c:v>
                </c:pt>
                <c:pt idx="5">
                  <c:v>51.154284129316139</c:v>
                </c:pt>
                <c:pt idx="6">
                  <c:v>51.101496898721422</c:v>
                </c:pt>
                <c:pt idx="7">
                  <c:v>51.191973667379351</c:v>
                </c:pt>
                <c:pt idx="8">
                  <c:v>50.848490944149795</c:v>
                </c:pt>
                <c:pt idx="9">
                  <c:v>51.636150972599296</c:v>
                </c:pt>
                <c:pt idx="10">
                  <c:v>52.303490305808907</c:v>
                </c:pt>
                <c:pt idx="11">
                  <c:v>52.624518894078875</c:v>
                </c:pt>
                <c:pt idx="12">
                  <c:v>52.819428821714908</c:v>
                </c:pt>
                <c:pt idx="13">
                  <c:v>52.977506392691531</c:v>
                </c:pt>
                <c:pt idx="14">
                  <c:v>53.492533249201031</c:v>
                </c:pt>
                <c:pt idx="15">
                  <c:v>52.947706955865364</c:v>
                </c:pt>
                <c:pt idx="16">
                  <c:v>52.893582707681446</c:v>
                </c:pt>
                <c:pt idx="17">
                  <c:v>52.017733563301789</c:v>
                </c:pt>
                <c:pt idx="18">
                  <c:v>51.631250176245011</c:v>
                </c:pt>
                <c:pt idx="19">
                  <c:v>51.692621685593977</c:v>
                </c:pt>
                <c:pt idx="20">
                  <c:v>51.281215854041008</c:v>
                </c:pt>
                <c:pt idx="21">
                  <c:v>51.80493761760475</c:v>
                </c:pt>
                <c:pt idx="22">
                  <c:v>50.961202631675086</c:v>
                </c:pt>
                <c:pt idx="23">
                  <c:v>50.333517033973465</c:v>
                </c:pt>
                <c:pt idx="24">
                  <c:v>50.110351918421429</c:v>
                </c:pt>
                <c:pt idx="25">
                  <c:v>50.054739683630729</c:v>
                </c:pt>
                <c:pt idx="26">
                  <c:v>50.220342124895986</c:v>
                </c:pt>
                <c:pt idx="27">
                  <c:v>49.854538583298925</c:v>
                </c:pt>
                <c:pt idx="28">
                  <c:v>49.06473800402842</c:v>
                </c:pt>
                <c:pt idx="29">
                  <c:v>48.390163758632653</c:v>
                </c:pt>
                <c:pt idx="30">
                  <c:v>48.323256398769601</c:v>
                </c:pt>
                <c:pt idx="31">
                  <c:v>48.941996932534707</c:v>
                </c:pt>
                <c:pt idx="32">
                  <c:v>49.123664158720764</c:v>
                </c:pt>
                <c:pt idx="33">
                  <c:v>49.085163471947524</c:v>
                </c:pt>
                <c:pt idx="34">
                  <c:v>48.885852173577028</c:v>
                </c:pt>
                <c:pt idx="35">
                  <c:v>49.276824183365953</c:v>
                </c:pt>
                <c:pt idx="36">
                  <c:v>50.32691893041337</c:v>
                </c:pt>
                <c:pt idx="37">
                  <c:v>51.007194964710131</c:v>
                </c:pt>
                <c:pt idx="38">
                  <c:v>51.620682184973766</c:v>
                </c:pt>
                <c:pt idx="39">
                  <c:v>51.695690192661147</c:v>
                </c:pt>
                <c:pt idx="40">
                  <c:v>50.990615420816923</c:v>
                </c:pt>
                <c:pt idx="41">
                  <c:v>50.586595455166432</c:v>
                </c:pt>
                <c:pt idx="42">
                  <c:v>49.432385400449775</c:v>
                </c:pt>
                <c:pt idx="43">
                  <c:v>48.222599351110944</c:v>
                </c:pt>
                <c:pt idx="44">
                  <c:v>47.937620359514305</c:v>
                </c:pt>
                <c:pt idx="45">
                  <c:v>47.868609276820344</c:v>
                </c:pt>
                <c:pt idx="46">
                  <c:v>48.255031566092995</c:v>
                </c:pt>
                <c:pt idx="47">
                  <c:v>48.452287216342725</c:v>
                </c:pt>
                <c:pt idx="48">
                  <c:v>49.253060412219</c:v>
                </c:pt>
                <c:pt idx="49">
                  <c:v>49.404602091044005</c:v>
                </c:pt>
                <c:pt idx="50">
                  <c:v>49.300369556622783</c:v>
                </c:pt>
                <c:pt idx="51">
                  <c:v>49.007203280152282</c:v>
                </c:pt>
                <c:pt idx="52">
                  <c:v>48.300327722071259</c:v>
                </c:pt>
                <c:pt idx="53">
                  <c:v>47.663844920057848</c:v>
                </c:pt>
                <c:pt idx="54">
                  <c:v>47.616557184208787</c:v>
                </c:pt>
                <c:pt idx="55">
                  <c:v>47.340426580748307</c:v>
                </c:pt>
                <c:pt idx="56">
                  <c:v>47.584028942953033</c:v>
                </c:pt>
                <c:pt idx="57">
                  <c:v>47.639434833757626</c:v>
                </c:pt>
                <c:pt idx="58">
                  <c:v>46.946684833757629</c:v>
                </c:pt>
                <c:pt idx="59">
                  <c:v>46.280512165123682</c:v>
                </c:pt>
                <c:pt idx="60">
                  <c:v>45.164614106871241</c:v>
                </c:pt>
                <c:pt idx="61">
                  <c:v>44.067020716066651</c:v>
                </c:pt>
                <c:pt idx="62">
                  <c:v>44.295628224599071</c:v>
                </c:pt>
                <c:pt idx="63">
                  <c:v>45.643354720550278</c:v>
                </c:pt>
                <c:pt idx="64">
                  <c:v>46.066456168633209</c:v>
                </c:pt>
                <c:pt idx="65">
                  <c:v>47.180148437709519</c:v>
                </c:pt>
                <c:pt idx="66">
                  <c:v>46.950685437847618</c:v>
                </c:pt>
                <c:pt idx="67">
                  <c:v>47.158969089145977</c:v>
                </c:pt>
                <c:pt idx="68">
                  <c:v>47.859699135847976</c:v>
                </c:pt>
                <c:pt idx="69">
                  <c:v>48.408671340455882</c:v>
                </c:pt>
                <c:pt idx="70">
                  <c:v>49.562021455441283</c:v>
                </c:pt>
                <c:pt idx="71">
                  <c:v>49.243658975314091</c:v>
                </c:pt>
                <c:pt idx="72">
                  <c:v>48.964288340713942</c:v>
                </c:pt>
                <c:pt idx="73">
                  <c:v>48.709562085420529</c:v>
                </c:pt>
                <c:pt idx="74">
                  <c:v>47.952496033193178</c:v>
                </c:pt>
                <c:pt idx="75">
                  <c:v>48.921952027649183</c:v>
                </c:pt>
                <c:pt idx="76">
                  <c:v>48.90333820530865</c:v>
                </c:pt>
                <c:pt idx="77">
                  <c:v>48.750554207697071</c:v>
                </c:pt>
                <c:pt idx="78">
                  <c:v>48.736114883580328</c:v>
                </c:pt>
                <c:pt idx="79">
                  <c:v>47.477391360726372</c:v>
                </c:pt>
                <c:pt idx="80">
                  <c:v>47.115040903302017</c:v>
                </c:pt>
                <c:pt idx="81">
                  <c:v>47.149726163397112</c:v>
                </c:pt>
                <c:pt idx="82">
                  <c:v>47.436359365064874</c:v>
                </c:pt>
                <c:pt idx="83">
                  <c:v>47.452999885011089</c:v>
                </c:pt>
                <c:pt idx="84">
                  <c:v>47.863139458081697</c:v>
                </c:pt>
                <c:pt idx="85">
                  <c:v>48.049304933154517</c:v>
                </c:pt>
                <c:pt idx="86">
                  <c:v>47.778209956702398</c:v>
                </c:pt>
                <c:pt idx="87">
                  <c:v>48.520645523712702</c:v>
                </c:pt>
                <c:pt idx="88">
                  <c:v>49.011681938278528</c:v>
                </c:pt>
                <c:pt idx="89">
                  <c:v>48.572028266916377</c:v>
                </c:pt>
                <c:pt idx="90">
                  <c:v>48.948022961876589</c:v>
                </c:pt>
                <c:pt idx="91">
                  <c:v>48.674149199500356</c:v>
                </c:pt>
                <c:pt idx="92">
                  <c:v>48.272773166853788</c:v>
                </c:pt>
                <c:pt idx="93">
                  <c:v>47.999963548935469</c:v>
                </c:pt>
                <c:pt idx="94">
                  <c:v>47.662470793212492</c:v>
                </c:pt>
                <c:pt idx="95">
                  <c:v>47.087594555588723</c:v>
                </c:pt>
                <c:pt idx="96">
                  <c:v>47.479047429782717</c:v>
                </c:pt>
                <c:pt idx="97">
                  <c:v>47.57836913520908</c:v>
                </c:pt>
                <c:pt idx="98">
                  <c:v>47.396996586189474</c:v>
                </c:pt>
                <c:pt idx="99">
                  <c:v>46.653213863676385</c:v>
                </c:pt>
                <c:pt idx="100">
                  <c:v>46.275563811026331</c:v>
                </c:pt>
                <c:pt idx="101">
                  <c:v>46.581450438933302</c:v>
                </c:pt>
                <c:pt idx="102">
                  <c:v>45.756481076188209</c:v>
                </c:pt>
                <c:pt idx="103">
                  <c:v>46.698102144565965</c:v>
                </c:pt>
                <c:pt idx="104">
                  <c:v>46.990864260498803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72-48FF-9C03-180EF0178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Data'!$DD$4</c:f>
              <c:strCache>
                <c:ptCount val="1"/>
                <c:pt idx="0">
                  <c:v>Average Area Rating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Data'!$DD$5:$DD$109</c:f>
              <c:numCache>
                <c:formatCode>#,##0.0</c:formatCode>
                <c:ptCount val="105"/>
                <c:pt idx="0">
                  <c:v>43.398466419883555</c:v>
                </c:pt>
                <c:pt idx="1">
                  <c:v>43.145169322709059</c:v>
                </c:pt>
                <c:pt idx="2">
                  <c:v>42.572427879367694</c:v>
                </c:pt>
                <c:pt idx="3">
                  <c:v>44.318121163597546</c:v>
                </c:pt>
                <c:pt idx="4">
                  <c:v>43.91556027615507</c:v>
                </c:pt>
                <c:pt idx="5">
                  <c:v>43.98146240988671</c:v>
                </c:pt>
                <c:pt idx="6">
                  <c:v>42.915031055900606</c:v>
                </c:pt>
                <c:pt idx="7">
                  <c:v>44.271629303248872</c:v>
                </c:pt>
                <c:pt idx="8">
                  <c:v>44.627295149355795</c:v>
                </c:pt>
                <c:pt idx="9">
                  <c:v>44.573722627737041</c:v>
                </c:pt>
                <c:pt idx="10">
                  <c:v>44.37643129770975</c:v>
                </c:pt>
                <c:pt idx="11">
                  <c:v>44.893632316271258</c:v>
                </c:pt>
                <c:pt idx="12">
                  <c:v>45.550780250703504</c:v>
                </c:pt>
                <c:pt idx="13">
                  <c:v>45.32270531400966</c:v>
                </c:pt>
                <c:pt idx="14">
                  <c:v>45.825299788384669</c:v>
                </c:pt>
                <c:pt idx="15">
                  <c:v>44.805398765258438</c:v>
                </c:pt>
                <c:pt idx="16">
                  <c:v>46.323867809057354</c:v>
                </c:pt>
                <c:pt idx="17">
                  <c:v>45.475710357470007</c:v>
                </c:pt>
                <c:pt idx="18">
                  <c:v>46.327447474295703</c:v>
                </c:pt>
                <c:pt idx="19">
                  <c:v>45.465202261852802</c:v>
                </c:pt>
                <c:pt idx="20">
                  <c:v>45.980413029593187</c:v>
                </c:pt>
                <c:pt idx="21">
                  <c:v>46.251927437641548</c:v>
                </c:pt>
                <c:pt idx="22">
                  <c:v>45.774458874458695</c:v>
                </c:pt>
                <c:pt idx="23">
                  <c:v>46.214953271027873</c:v>
                </c:pt>
                <c:pt idx="24">
                  <c:v>45.803998474216797</c:v>
                </c:pt>
                <c:pt idx="25">
                  <c:v>47.025453629032015</c:v>
                </c:pt>
                <c:pt idx="26">
                  <c:v>46.100303242360511</c:v>
                </c:pt>
                <c:pt idx="27">
                  <c:v>46.681839847473597</c:v>
                </c:pt>
                <c:pt idx="28">
                  <c:v>45.940937287837684</c:v>
                </c:pt>
                <c:pt idx="29">
                  <c:v>47.654453213077865</c:v>
                </c:pt>
                <c:pt idx="30">
                  <c:v>46.757196162046917</c:v>
                </c:pt>
                <c:pt idx="31">
                  <c:v>46.901950448075922</c:v>
                </c:pt>
                <c:pt idx="32">
                  <c:v>46.562936087078</c:v>
                </c:pt>
                <c:pt idx="33">
                  <c:v>47.348832035688723</c:v>
                </c:pt>
                <c:pt idx="34">
                  <c:v>47.354658385092868</c:v>
                </c:pt>
                <c:pt idx="35">
                  <c:v>46.851165570830531</c:v>
                </c:pt>
                <c:pt idx="36">
                  <c:v>47.422096317280158</c:v>
                </c:pt>
                <c:pt idx="37">
                  <c:v>47.24331878971568</c:v>
                </c:pt>
                <c:pt idx="38">
                  <c:v>48.145760336370216</c:v>
                </c:pt>
                <c:pt idx="39">
                  <c:v>48.073103448276072</c:v>
                </c:pt>
                <c:pt idx="40">
                  <c:v>49.205073240443213</c:v>
                </c:pt>
                <c:pt idx="41">
                  <c:v>48.654580152671947</c:v>
                </c:pt>
                <c:pt idx="42">
                  <c:v>49.62248696947097</c:v>
                </c:pt>
                <c:pt idx="43">
                  <c:v>47.968665377175689</c:v>
                </c:pt>
                <c:pt idx="44">
                  <c:v>49.218879478824135</c:v>
                </c:pt>
                <c:pt idx="45">
                  <c:v>49.63362609786666</c:v>
                </c:pt>
                <c:pt idx="46">
                  <c:v>49.267409948456326</c:v>
                </c:pt>
                <c:pt idx="47">
                  <c:v>48.15208791208812</c:v>
                </c:pt>
                <c:pt idx="48">
                  <c:v>48.790357296599453</c:v>
                </c:pt>
                <c:pt idx="49">
                  <c:v>49.302931596091405</c:v>
                </c:pt>
                <c:pt idx="50">
                  <c:v>49.098181818181956</c:v>
                </c:pt>
                <c:pt idx="51">
                  <c:v>49.018018018018118</c:v>
                </c:pt>
                <c:pt idx="52">
                  <c:v>47.654362416107553</c:v>
                </c:pt>
                <c:pt idx="53">
                  <c:v>49.547034764826307</c:v>
                </c:pt>
                <c:pt idx="54">
                  <c:v>49.021172638436589</c:v>
                </c:pt>
                <c:pt idx="55">
                  <c:v>48.571958974403017</c:v>
                </c:pt>
                <c:pt idx="56">
                  <c:v>47.531141868511824</c:v>
                </c:pt>
                <c:pt idx="57">
                  <c:v>48.108490566037489</c:v>
                </c:pt>
                <c:pt idx="58">
                  <c:v>49.459224598930184</c:v>
                </c:pt>
                <c:pt idx="59">
                  <c:v>48.490398279438459</c:v>
                </c:pt>
                <c:pt idx="60">
                  <c:v>47.787203450754866</c:v>
                </c:pt>
                <c:pt idx="61">
                  <c:v>48.433779761904766</c:v>
                </c:pt>
                <c:pt idx="62">
                  <c:v>48.773809523809533</c:v>
                </c:pt>
                <c:pt idx="63">
                  <c:v>48.66466392494933</c:v>
                </c:pt>
                <c:pt idx="64">
                  <c:v>48.19402985074624</c:v>
                </c:pt>
                <c:pt idx="65">
                  <c:v>47.267260579064569</c:v>
                </c:pt>
                <c:pt idx="66">
                  <c:v>47.872107186358058</c:v>
                </c:pt>
                <c:pt idx="67">
                  <c:v>48.546086956521734</c:v>
                </c:pt>
                <c:pt idx="68">
                  <c:v>48.14481869636014</c:v>
                </c:pt>
                <c:pt idx="69">
                  <c:v>46.919921875000036</c:v>
                </c:pt>
                <c:pt idx="70">
                  <c:v>46.986670530389794</c:v>
                </c:pt>
                <c:pt idx="71">
                  <c:v>46.627831715210363</c:v>
                </c:pt>
                <c:pt idx="72">
                  <c:v>48.271356783919579</c:v>
                </c:pt>
                <c:pt idx="73">
                  <c:v>48.302325581395351</c:v>
                </c:pt>
                <c:pt idx="74">
                  <c:v>53.866666666666674</c:v>
                </c:pt>
                <c:pt idx="75">
                  <c:v>52.470588235294109</c:v>
                </c:pt>
                <c:pt idx="76">
                  <c:v>75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F-46D1-BB01-3B40C15360B1}"/>
            </c:ext>
          </c:extLst>
        </c:ser>
        <c:ser>
          <c:idx val="1"/>
          <c:order val="1"/>
          <c:tx>
            <c:strRef>
              <c:f>'Averages Graph Data'!$DE$4</c:f>
              <c:strCache>
                <c:ptCount val="1"/>
                <c:pt idx="0">
                  <c:v>Average Area Rating - 4 Week Avg (Boom Subscription)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Data'!$DE$5:$DE$109</c:f>
              <c:numCache>
                <c:formatCode>#,##0.0</c:formatCode>
                <c:ptCount val="105"/>
                <c:pt idx="6">
                  <c:v>43.46374836107146</c:v>
                </c:pt>
                <c:pt idx="7">
                  <c:v>43.588485915837929</c:v>
                </c:pt>
                <c:pt idx="8">
                  <c:v>43.800218176787475</c:v>
                </c:pt>
                <c:pt idx="9">
                  <c:v>44.086117426554516</c:v>
                </c:pt>
                <c:pt idx="10">
                  <c:v>44.094447445713406</c:v>
                </c:pt>
                <c:pt idx="11">
                  <c:v>44.234172022872862</c:v>
                </c:pt>
                <c:pt idx="12">
                  <c:v>44.458360285846688</c:v>
                </c:pt>
                <c:pt idx="13">
                  <c:v>44.802313751290846</c:v>
                </c:pt>
                <c:pt idx="14">
                  <c:v>45.024266677738808</c:v>
                </c:pt>
                <c:pt idx="15">
                  <c:v>45.049710051439185</c:v>
                </c:pt>
                <c:pt idx="16">
                  <c:v>45.299730791627795</c:v>
                </c:pt>
                <c:pt idx="17">
                  <c:v>45.456770657307842</c:v>
                </c:pt>
                <c:pt idx="18">
                  <c:v>45.661601394168478</c:v>
                </c:pt>
                <c:pt idx="19">
                  <c:v>45.649375967189812</c:v>
                </c:pt>
                <c:pt idx="20">
                  <c:v>45.743334212273169</c:v>
                </c:pt>
                <c:pt idx="21">
                  <c:v>45.804281019309862</c:v>
                </c:pt>
                <c:pt idx="22">
                  <c:v>45.942718177767041</c:v>
                </c:pt>
                <c:pt idx="23">
                  <c:v>45.927158958048544</c:v>
                </c:pt>
                <c:pt idx="24">
                  <c:v>45.974057260440937</c:v>
                </c:pt>
                <c:pt idx="25">
                  <c:v>46.07377242540327</c:v>
                </c:pt>
                <c:pt idx="26">
                  <c:v>46.164501136904377</c:v>
                </c:pt>
                <c:pt idx="27">
                  <c:v>46.264704968030152</c:v>
                </c:pt>
                <c:pt idx="28">
                  <c:v>46.220277803772454</c:v>
                </c:pt>
                <c:pt idx="29">
                  <c:v>46.488848423575192</c:v>
                </c:pt>
                <c:pt idx="30">
                  <c:v>46.56631169372077</c:v>
                </c:pt>
                <c:pt idx="31">
                  <c:v>46.723161975700648</c:v>
                </c:pt>
                <c:pt idx="32">
                  <c:v>46.657088041135793</c:v>
                </c:pt>
                <c:pt idx="33">
                  <c:v>46.835449297325525</c:v>
                </c:pt>
                <c:pt idx="34">
                  <c:v>46.931566231271134</c:v>
                </c:pt>
                <c:pt idx="35">
                  <c:v>47.061598843127264</c:v>
                </c:pt>
                <c:pt idx="36">
                  <c:v>47.02840500087045</c:v>
                </c:pt>
                <c:pt idx="37">
                  <c:v>47.097851090537404</c:v>
                </c:pt>
                <c:pt idx="38">
                  <c:v>47.275538217436598</c:v>
                </c:pt>
                <c:pt idx="39">
                  <c:v>47.491276411893466</c:v>
                </c:pt>
                <c:pt idx="40">
                  <c:v>47.756453726858389</c:v>
                </c:pt>
                <c:pt idx="41">
                  <c:v>47.942156836512545</c:v>
                </c:pt>
                <c:pt idx="42">
                  <c:v>48.338059893461171</c:v>
                </c:pt>
                <c:pt idx="43">
                  <c:v>48.416141187731967</c:v>
                </c:pt>
                <c:pt idx="44">
                  <c:v>48.698364143318891</c:v>
                </c:pt>
                <c:pt idx="45">
                  <c:v>48.910916394961241</c:v>
                </c:pt>
                <c:pt idx="46">
                  <c:v>49.081531609272702</c:v>
                </c:pt>
                <c:pt idx="47">
                  <c:v>48.931105133793402</c:v>
                </c:pt>
                <c:pt idx="48">
                  <c:v>48.950501868640188</c:v>
                </c:pt>
                <c:pt idx="49">
                  <c:v>48.904851101014536</c:v>
                </c:pt>
                <c:pt idx="50">
                  <c:v>49.066210592586863</c:v>
                </c:pt>
                <c:pt idx="51">
                  <c:v>49.037516098186003</c:v>
                </c:pt>
                <c:pt idx="52">
                  <c:v>48.754764143648991</c:v>
                </c:pt>
                <c:pt idx="53">
                  <c:v>48.794710545987563</c:v>
                </c:pt>
                <c:pt idx="54">
                  <c:v>48.918865506894484</c:v>
                </c:pt>
                <c:pt idx="55">
                  <c:v>48.887665746580709</c:v>
                </c:pt>
                <c:pt idx="56">
                  <c:v>48.634552928355056</c:v>
                </c:pt>
                <c:pt idx="57">
                  <c:v>48.493168463762991</c:v>
                </c:pt>
                <c:pt idx="58">
                  <c:v>48.556197975321844</c:v>
                </c:pt>
                <c:pt idx="59">
                  <c:v>48.675631670083419</c:v>
                </c:pt>
                <c:pt idx="60">
                  <c:v>48.42422719664463</c:v>
                </c:pt>
                <c:pt idx="61">
                  <c:v>48.340313928568655</c:v>
                </c:pt>
                <c:pt idx="62">
                  <c:v>48.369149721341024</c:v>
                </c:pt>
                <c:pt idx="63">
                  <c:v>48.531081443689231</c:v>
                </c:pt>
                <c:pt idx="64">
                  <c:v>48.543301341504765</c:v>
                </c:pt>
                <c:pt idx="65">
                  <c:v>48.230163624381113</c:v>
                </c:pt>
                <c:pt idx="66">
                  <c:v>48.141836325369624</c:v>
                </c:pt>
                <c:pt idx="67">
                  <c:v>48.250248254764884</c:v>
                </c:pt>
                <c:pt idx="68">
                  <c:v>48.208968102544226</c:v>
                </c:pt>
                <c:pt idx="69">
                  <c:v>47.944127009857155</c:v>
                </c:pt>
                <c:pt idx="70">
                  <c:v>47.704413667777224</c:v>
                </c:pt>
                <c:pt idx="71">
                  <c:v>47.480671076986383</c:v>
                </c:pt>
                <c:pt idx="72">
                  <c:v>47.624113391965679</c:v>
                </c:pt>
                <c:pt idx="73">
                  <c:v>47.68557316268528</c:v>
                </c:pt>
                <c:pt idx="74">
                  <c:v>48.445655978420277</c:v>
                </c:pt>
                <c:pt idx="75">
                  <c:v>49.063623055410844</c:v>
                </c:pt>
                <c:pt idx="76">
                  <c:v>53.075062787553691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F-46D1-BB01-3B40C1536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 Premium Finance: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Data'!$DB$4</c:f>
              <c:strCache>
                <c:ptCount val="1"/>
                <c:pt idx="0">
                  <c:v>Average Area Rating (Boom Annual Premium Finance)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Data'!$DB$5:$DB$109</c:f>
              <c:numCache>
                <c:formatCode>#,##0.0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42.705882352941167</c:v>
                </c:pt>
                <c:pt idx="24">
                  <c:v>42.912832929782077</c:v>
                </c:pt>
                <c:pt idx="25">
                  <c:v>45.273480662983417</c:v>
                </c:pt>
                <c:pt idx="26">
                  <c:v>44.967500000000008</c:v>
                </c:pt>
                <c:pt idx="27">
                  <c:v>44.081803005008325</c:v>
                </c:pt>
                <c:pt idx="28">
                  <c:v>42.497307294224456</c:v>
                </c:pt>
                <c:pt idx="29">
                  <c:v>43.467581047381557</c:v>
                </c:pt>
                <c:pt idx="30">
                  <c:v>45.716378162450091</c:v>
                </c:pt>
                <c:pt idx="31">
                  <c:v>42.994212962962976</c:v>
                </c:pt>
                <c:pt idx="32">
                  <c:v>44.429118773946279</c:v>
                </c:pt>
                <c:pt idx="33">
                  <c:v>44.189707366296631</c:v>
                </c:pt>
                <c:pt idx="34">
                  <c:v>43.735159817351601</c:v>
                </c:pt>
                <c:pt idx="35">
                  <c:v>44.194819819819827</c:v>
                </c:pt>
                <c:pt idx="36">
                  <c:v>43.977591036414537</c:v>
                </c:pt>
                <c:pt idx="37">
                  <c:v>43.448607108549439</c:v>
                </c:pt>
                <c:pt idx="38">
                  <c:v>43.937647058823536</c:v>
                </c:pt>
                <c:pt idx="39">
                  <c:v>43.351453855878653</c:v>
                </c:pt>
                <c:pt idx="40">
                  <c:v>42.904601571268195</c:v>
                </c:pt>
                <c:pt idx="41">
                  <c:v>43.073707370737075</c:v>
                </c:pt>
                <c:pt idx="42">
                  <c:v>41.831168831168796</c:v>
                </c:pt>
                <c:pt idx="43">
                  <c:v>43.312500000000007</c:v>
                </c:pt>
                <c:pt idx="44">
                  <c:v>40.623129251700689</c:v>
                </c:pt>
                <c:pt idx="45">
                  <c:v>41.031325301204831</c:v>
                </c:pt>
                <c:pt idx="46">
                  <c:v>39.450255102040835</c:v>
                </c:pt>
                <c:pt idx="47">
                  <c:v>41.274242424242466</c:v>
                </c:pt>
                <c:pt idx="48">
                  <c:v>41.635350318471374</c:v>
                </c:pt>
                <c:pt idx="49">
                  <c:v>40.240853658536622</c:v>
                </c:pt>
                <c:pt idx="50">
                  <c:v>41.072423398328709</c:v>
                </c:pt>
                <c:pt idx="51">
                  <c:v>41.357262103505896</c:v>
                </c:pt>
                <c:pt idx="52">
                  <c:v>40.6075949367089</c:v>
                </c:pt>
                <c:pt idx="53">
                  <c:v>40.116279069767472</c:v>
                </c:pt>
                <c:pt idx="54">
                  <c:v>38.682971014492793</c:v>
                </c:pt>
                <c:pt idx="55">
                  <c:v>41.082554517133978</c:v>
                </c:pt>
                <c:pt idx="56">
                  <c:v>38.313229571984493</c:v>
                </c:pt>
                <c:pt idx="57">
                  <c:v>38.388686131386905</c:v>
                </c:pt>
                <c:pt idx="58">
                  <c:v>38.862619808306746</c:v>
                </c:pt>
                <c:pt idx="59">
                  <c:v>39.529513888888914</c:v>
                </c:pt>
                <c:pt idx="60">
                  <c:v>36.968619246861969</c:v>
                </c:pt>
                <c:pt idx="61">
                  <c:v>36.314183123877967</c:v>
                </c:pt>
                <c:pt idx="62">
                  <c:v>37.884228187919504</c:v>
                </c:pt>
                <c:pt idx="63">
                  <c:v>38.104072398190077</c:v>
                </c:pt>
                <c:pt idx="64">
                  <c:v>40.703636363636406</c:v>
                </c:pt>
                <c:pt idx="65">
                  <c:v>40.025089605734813</c:v>
                </c:pt>
                <c:pt idx="66">
                  <c:v>42.569732937685487</c:v>
                </c:pt>
                <c:pt idx="67">
                  <c:v>41.409448818897651</c:v>
                </c:pt>
                <c:pt idx="68">
                  <c:v>41.870886075949393</c:v>
                </c:pt>
                <c:pt idx="69">
                  <c:v>43.941176470588267</c:v>
                </c:pt>
                <c:pt idx="70">
                  <c:v>41.761973875181454</c:v>
                </c:pt>
                <c:pt idx="71">
                  <c:v>43.16326530612249</c:v>
                </c:pt>
                <c:pt idx="72">
                  <c:v>41.923780487804912</c:v>
                </c:pt>
                <c:pt idx="73">
                  <c:v>42.960651289009526</c:v>
                </c:pt>
                <c:pt idx="74">
                  <c:v>42.222826086956537</c:v>
                </c:pt>
                <c:pt idx="75">
                  <c:v>42.260029717682052</c:v>
                </c:pt>
                <c:pt idx="76">
                  <c:v>41.479761904761908</c:v>
                </c:pt>
                <c:pt idx="77">
                  <c:v>43.071702944942352</c:v>
                </c:pt>
                <c:pt idx="78">
                  <c:v>42.774143302180725</c:v>
                </c:pt>
                <c:pt idx="79">
                  <c:v>42.139455782312979</c:v>
                </c:pt>
                <c:pt idx="80">
                  <c:v>41.703367875647636</c:v>
                </c:pt>
                <c:pt idx="81">
                  <c:v>41.598214285714249</c:v>
                </c:pt>
                <c:pt idx="82">
                  <c:v>42.052069425901216</c:v>
                </c:pt>
                <c:pt idx="83">
                  <c:v>43.037641154328739</c:v>
                </c:pt>
                <c:pt idx="84">
                  <c:v>42.350620067643689</c:v>
                </c:pt>
                <c:pt idx="85">
                  <c:v>40.323972645636566</c:v>
                </c:pt>
                <c:pt idx="86">
                  <c:v>41.246323529411775</c:v>
                </c:pt>
                <c:pt idx="87">
                  <c:v>42.102189781021906</c:v>
                </c:pt>
                <c:pt idx="88">
                  <c:v>42.001307189542509</c:v>
                </c:pt>
                <c:pt idx="89">
                  <c:v>43.300415800415763</c:v>
                </c:pt>
                <c:pt idx="90">
                  <c:v>42.8364864864865</c:v>
                </c:pt>
                <c:pt idx="91">
                  <c:v>43.080321285140592</c:v>
                </c:pt>
                <c:pt idx="92">
                  <c:v>44.307246376811626</c:v>
                </c:pt>
                <c:pt idx="93">
                  <c:v>41.016581632653072</c:v>
                </c:pt>
                <c:pt idx="94">
                  <c:v>41.14852752880924</c:v>
                </c:pt>
                <c:pt idx="95">
                  <c:v>42.287339971550523</c:v>
                </c:pt>
                <c:pt idx="96">
                  <c:v>41.755591054313136</c:v>
                </c:pt>
                <c:pt idx="97">
                  <c:v>40.679468242245228</c:v>
                </c:pt>
                <c:pt idx="98">
                  <c:v>41.169859514687069</c:v>
                </c:pt>
                <c:pt idx="99">
                  <c:v>41.50660792951544</c:v>
                </c:pt>
                <c:pt idx="100">
                  <c:v>43.134582623509409</c:v>
                </c:pt>
                <c:pt idx="101">
                  <c:v>40.78558875219688</c:v>
                </c:pt>
                <c:pt idx="102">
                  <c:v>40.66272189349116</c:v>
                </c:pt>
                <c:pt idx="103">
                  <c:v>42.517525773195928</c:v>
                </c:pt>
                <c:pt idx="104">
                  <c:v>42.012089810017322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EF-4064-8FF9-BE8648711B48}"/>
            </c:ext>
          </c:extLst>
        </c:ser>
        <c:ser>
          <c:idx val="1"/>
          <c:order val="1"/>
          <c:tx>
            <c:strRef>
              <c:f>'Averages Graph Data'!$DC$4</c:f>
              <c:strCache>
                <c:ptCount val="1"/>
                <c:pt idx="0">
                  <c:v>Average Area Rating - 4 Week Avg (Boom Annual Premium Finance)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Data'!$DC$5:$DC$109</c:f>
              <c:numCache>
                <c:formatCode>#,##0.0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43.964923986426662</c:v>
                </c:pt>
                <c:pt idx="27">
                  <c:v>44.30890414944345</c:v>
                </c:pt>
                <c:pt idx="28">
                  <c:v>44.205022740554057</c:v>
                </c:pt>
                <c:pt idx="29">
                  <c:v>43.753547836653581</c:v>
                </c:pt>
                <c:pt idx="30">
                  <c:v>43.940767377266113</c:v>
                </c:pt>
                <c:pt idx="31">
                  <c:v>43.668869866754775</c:v>
                </c:pt>
                <c:pt idx="32">
                  <c:v>44.151822736685226</c:v>
                </c:pt>
                <c:pt idx="33">
                  <c:v>44.332354316413991</c:v>
                </c:pt>
                <c:pt idx="34">
                  <c:v>43.83704973013937</c:v>
                </c:pt>
                <c:pt idx="35">
                  <c:v>44.137201444353579</c:v>
                </c:pt>
                <c:pt idx="36">
                  <c:v>44.024319509970653</c:v>
                </c:pt>
                <c:pt idx="37">
                  <c:v>43.839044445533844</c:v>
                </c:pt>
                <c:pt idx="38">
                  <c:v>43.88966625590183</c:v>
                </c:pt>
                <c:pt idx="39">
                  <c:v>43.678824764916541</c:v>
                </c:pt>
                <c:pt idx="40">
                  <c:v>43.410577398629954</c:v>
                </c:pt>
                <c:pt idx="41">
                  <c:v>43.316852464176868</c:v>
                </c:pt>
                <c:pt idx="42">
                  <c:v>42.790232907263174</c:v>
                </c:pt>
                <c:pt idx="43">
                  <c:v>42.78049444329352</c:v>
                </c:pt>
                <c:pt idx="44">
                  <c:v>42.210126363401642</c:v>
                </c:pt>
                <c:pt idx="45">
                  <c:v>41.699530846018583</c:v>
                </c:pt>
                <c:pt idx="46">
                  <c:v>41.10430241373659</c:v>
                </c:pt>
                <c:pt idx="47">
                  <c:v>40.594738019797205</c:v>
                </c:pt>
                <c:pt idx="48">
                  <c:v>40.847793286489875</c:v>
                </c:pt>
                <c:pt idx="49">
                  <c:v>40.650175375822826</c:v>
                </c:pt>
                <c:pt idx="50">
                  <c:v>41.055717449894793</c:v>
                </c:pt>
                <c:pt idx="51">
                  <c:v>41.07647236971065</c:v>
                </c:pt>
                <c:pt idx="52">
                  <c:v>40.819533524270028</c:v>
                </c:pt>
                <c:pt idx="53">
                  <c:v>40.788389877077741</c:v>
                </c:pt>
                <c:pt idx="54">
                  <c:v>40.191026781118765</c:v>
                </c:pt>
                <c:pt idx="55">
                  <c:v>40.122349884525782</c:v>
                </c:pt>
                <c:pt idx="56">
                  <c:v>39.548758543344682</c:v>
                </c:pt>
                <c:pt idx="57">
                  <c:v>39.116860308749537</c:v>
                </c:pt>
                <c:pt idx="58">
                  <c:v>39.161772507203032</c:v>
                </c:pt>
                <c:pt idx="59">
                  <c:v>38.773512350141765</c:v>
                </c:pt>
                <c:pt idx="60">
                  <c:v>38.437359768861135</c:v>
                </c:pt>
                <c:pt idx="61">
                  <c:v>37.918734016983898</c:v>
                </c:pt>
                <c:pt idx="62">
                  <c:v>37.674136111887094</c:v>
                </c:pt>
                <c:pt idx="63">
                  <c:v>37.317775739212379</c:v>
                </c:pt>
                <c:pt idx="64">
                  <c:v>38.251530018405987</c:v>
                </c:pt>
                <c:pt idx="65">
                  <c:v>39.1792566388702</c:v>
                </c:pt>
                <c:pt idx="66">
                  <c:v>40.350632826311696</c:v>
                </c:pt>
                <c:pt idx="67">
                  <c:v>41.176976931488589</c:v>
                </c:pt>
                <c:pt idx="68">
                  <c:v>41.468789359566834</c:v>
                </c:pt>
                <c:pt idx="69">
                  <c:v>42.447811075780194</c:v>
                </c:pt>
                <c:pt idx="70">
                  <c:v>42.245871310154186</c:v>
                </c:pt>
                <c:pt idx="71">
                  <c:v>42.684325431960403</c:v>
                </c:pt>
                <c:pt idx="72">
                  <c:v>42.697549034924286</c:v>
                </c:pt>
                <c:pt idx="73">
                  <c:v>42.452417739529594</c:v>
                </c:pt>
                <c:pt idx="74">
                  <c:v>42.567630792473366</c:v>
                </c:pt>
                <c:pt idx="75">
                  <c:v>42.341821895363253</c:v>
                </c:pt>
                <c:pt idx="76">
                  <c:v>42.230817249602509</c:v>
                </c:pt>
                <c:pt idx="77">
                  <c:v>42.258580163585712</c:v>
                </c:pt>
                <c:pt idx="78">
                  <c:v>42.396409467391763</c:v>
                </c:pt>
                <c:pt idx="79">
                  <c:v>42.366265983549489</c:v>
                </c:pt>
                <c:pt idx="80">
                  <c:v>42.422167476270921</c:v>
                </c:pt>
                <c:pt idx="81">
                  <c:v>42.053795311463901</c:v>
                </c:pt>
                <c:pt idx="82">
                  <c:v>41.87327684239402</c:v>
                </c:pt>
                <c:pt idx="83">
                  <c:v>42.097823185397957</c:v>
                </c:pt>
                <c:pt idx="84">
                  <c:v>42.259636233396975</c:v>
                </c:pt>
                <c:pt idx="85">
                  <c:v>41.941075823377552</c:v>
                </c:pt>
                <c:pt idx="86">
                  <c:v>41.739639349255192</c:v>
                </c:pt>
                <c:pt idx="87">
                  <c:v>41.50577650592848</c:v>
                </c:pt>
                <c:pt idx="88">
                  <c:v>41.418448286403191</c:v>
                </c:pt>
                <c:pt idx="89">
                  <c:v>42.162559075097988</c:v>
                </c:pt>
                <c:pt idx="90">
                  <c:v>42.560099814366666</c:v>
                </c:pt>
                <c:pt idx="91">
                  <c:v>42.804632690396346</c:v>
                </c:pt>
                <c:pt idx="92">
                  <c:v>43.381117487213622</c:v>
                </c:pt>
                <c:pt idx="93">
                  <c:v>42.810158945272946</c:v>
                </c:pt>
                <c:pt idx="94">
                  <c:v>42.388169205853636</c:v>
                </c:pt>
                <c:pt idx="95">
                  <c:v>42.189923877456117</c:v>
                </c:pt>
                <c:pt idx="96">
                  <c:v>41.552010046831491</c:v>
                </c:pt>
                <c:pt idx="97">
                  <c:v>41.467731699229532</c:v>
                </c:pt>
                <c:pt idx="98">
                  <c:v>41.473064695698987</c:v>
                </c:pt>
                <c:pt idx="99">
                  <c:v>41.277881685190216</c:v>
                </c:pt>
                <c:pt idx="100">
                  <c:v>41.622629577489285</c:v>
                </c:pt>
                <c:pt idx="101">
                  <c:v>41.649159704977194</c:v>
                </c:pt>
                <c:pt idx="102">
                  <c:v>41.522375299678217</c:v>
                </c:pt>
                <c:pt idx="103">
                  <c:v>41.775104760598346</c:v>
                </c:pt>
                <c:pt idx="104">
                  <c:v>41.494481557225321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EF-4064-8FF9-BE8648711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Data'!$CX$4</c:f>
              <c:strCache>
                <c:ptCount val="1"/>
                <c:pt idx="0">
                  <c:v>Average Area Rating (Boom Annual)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Data'!$CX$5:$CX$109</c:f>
              <c:numCache>
                <c:formatCode>#,##0.0</c:formatCode>
                <c:ptCount val="105"/>
                <c:pt idx="0">
                  <c:v>53.166666666666671</c:v>
                </c:pt>
                <c:pt idx="1">
                  <c:v>51.911764705882348</c:v>
                </c:pt>
                <c:pt idx="2">
                  <c:v>50.103305785123965</c:v>
                </c:pt>
                <c:pt idx="3">
                  <c:v>52.230046948356808</c:v>
                </c:pt>
                <c:pt idx="4">
                  <c:v>53.441441441441441</c:v>
                </c:pt>
                <c:pt idx="5">
                  <c:v>48.842342342342327</c:v>
                </c:pt>
                <c:pt idx="6">
                  <c:v>49.892156862745111</c:v>
                </c:pt>
                <c:pt idx="7">
                  <c:v>52.59195402298851</c:v>
                </c:pt>
                <c:pt idx="8">
                  <c:v>52.067510548523209</c:v>
                </c:pt>
                <c:pt idx="9">
                  <c:v>51.992982456140339</c:v>
                </c:pt>
                <c:pt idx="10">
                  <c:v>52.561514195583591</c:v>
                </c:pt>
                <c:pt idx="11">
                  <c:v>53.876068376068353</c:v>
                </c:pt>
                <c:pt idx="12">
                  <c:v>52.847150259067355</c:v>
                </c:pt>
                <c:pt idx="13">
                  <c:v>52.625292740046831</c:v>
                </c:pt>
                <c:pt idx="14">
                  <c:v>54.621621621621593</c:v>
                </c:pt>
                <c:pt idx="15">
                  <c:v>51.696763202725691</c:v>
                </c:pt>
                <c:pt idx="16">
                  <c:v>52.630653266331663</c:v>
                </c:pt>
                <c:pt idx="17">
                  <c:v>49.121896162528216</c:v>
                </c:pt>
                <c:pt idx="18">
                  <c:v>53.075688073394474</c:v>
                </c:pt>
                <c:pt idx="19">
                  <c:v>51.942249240121569</c:v>
                </c:pt>
                <c:pt idx="20">
                  <c:v>50.985029940119759</c:v>
                </c:pt>
                <c:pt idx="21">
                  <c:v>51.216783216783206</c:v>
                </c:pt>
                <c:pt idx="22">
                  <c:v>49.700748129675809</c:v>
                </c:pt>
                <c:pt idx="23">
                  <c:v>47.837979094076658</c:v>
                </c:pt>
                <c:pt idx="24">
                  <c:v>46.837541163556523</c:v>
                </c:pt>
                <c:pt idx="25">
                  <c:v>48.097902097902093</c:v>
                </c:pt>
                <c:pt idx="26">
                  <c:v>47.596153846153847</c:v>
                </c:pt>
                <c:pt idx="27">
                  <c:v>45.661050545094135</c:v>
                </c:pt>
                <c:pt idx="28">
                  <c:v>43.995773664708636</c:v>
                </c:pt>
                <c:pt idx="29">
                  <c:v>45.150284321689703</c:v>
                </c:pt>
                <c:pt idx="30">
                  <c:v>47.449718423169791</c:v>
                </c:pt>
                <c:pt idx="31">
                  <c:v>45.607813673929407</c:v>
                </c:pt>
                <c:pt idx="32">
                  <c:v>45.458224543080902</c:v>
                </c:pt>
                <c:pt idx="33">
                  <c:v>45.55158730158729</c:v>
                </c:pt>
                <c:pt idx="34">
                  <c:v>45.666915052160981</c:v>
                </c:pt>
                <c:pt idx="35">
                  <c:v>46.703363914373114</c:v>
                </c:pt>
                <c:pt idx="36">
                  <c:v>46.363932291666664</c:v>
                </c:pt>
                <c:pt idx="37">
                  <c:v>46.005663939584643</c:v>
                </c:pt>
                <c:pt idx="38">
                  <c:v>46.634822804314346</c:v>
                </c:pt>
                <c:pt idx="39">
                  <c:v>46.580436540016201</c:v>
                </c:pt>
                <c:pt idx="40">
                  <c:v>45.040965618141911</c:v>
                </c:pt>
                <c:pt idx="41">
                  <c:v>45.04047976011995</c:v>
                </c:pt>
                <c:pt idx="42">
                  <c:v>43.592271293375376</c:v>
                </c:pt>
                <c:pt idx="43">
                  <c:v>44.714408973252823</c:v>
                </c:pt>
                <c:pt idx="44">
                  <c:v>43.269264069264096</c:v>
                </c:pt>
                <c:pt idx="45">
                  <c:v>43.362553191489376</c:v>
                </c:pt>
                <c:pt idx="46">
                  <c:v>42.409878682842312</c:v>
                </c:pt>
                <c:pt idx="47">
                  <c:v>43.549540347293188</c:v>
                </c:pt>
                <c:pt idx="48">
                  <c:v>44.633297062023956</c:v>
                </c:pt>
                <c:pt idx="49">
                  <c:v>43.157232704402546</c:v>
                </c:pt>
                <c:pt idx="50">
                  <c:v>43.279922779922806</c:v>
                </c:pt>
                <c:pt idx="51">
                  <c:v>42.980861244019181</c:v>
                </c:pt>
                <c:pt idx="52">
                  <c:v>43.0210656753408</c:v>
                </c:pt>
                <c:pt idx="53">
                  <c:v>42.467532467532493</c:v>
                </c:pt>
                <c:pt idx="54">
                  <c:v>41.529040404040437</c:v>
                </c:pt>
                <c:pt idx="55">
                  <c:v>42.635106382978741</c:v>
                </c:pt>
                <c:pt idx="56">
                  <c:v>41.949350649350698</c:v>
                </c:pt>
                <c:pt idx="57">
                  <c:v>41.24845488257111</c:v>
                </c:pt>
                <c:pt idx="58">
                  <c:v>40.700913242009157</c:v>
                </c:pt>
                <c:pt idx="59">
                  <c:v>40.697478991596654</c:v>
                </c:pt>
                <c:pt idx="60">
                  <c:v>39.323099415204709</c:v>
                </c:pt>
                <c:pt idx="61">
                  <c:v>38.286072772898407</c:v>
                </c:pt>
                <c:pt idx="62">
                  <c:v>40.63104611923513</c:v>
                </c:pt>
                <c:pt idx="63">
                  <c:v>41.376433785192944</c:v>
                </c:pt>
                <c:pt idx="64">
                  <c:v>42.437659033078916</c:v>
                </c:pt>
                <c:pt idx="65">
                  <c:v>42.275092936803013</c:v>
                </c:pt>
                <c:pt idx="66">
                  <c:v>43.496078431372567</c:v>
                </c:pt>
                <c:pt idx="67">
                  <c:v>43.738764044943828</c:v>
                </c:pt>
                <c:pt idx="68">
                  <c:v>44.021563342318082</c:v>
                </c:pt>
                <c:pt idx="69">
                  <c:v>45.66260162601629</c:v>
                </c:pt>
                <c:pt idx="70">
                  <c:v>44.111570247933919</c:v>
                </c:pt>
                <c:pt idx="71">
                  <c:v>44.651773981603178</c:v>
                </c:pt>
                <c:pt idx="72">
                  <c:v>43.420625724217878</c:v>
                </c:pt>
                <c:pt idx="73">
                  <c:v>44.407815631262537</c:v>
                </c:pt>
                <c:pt idx="74">
                  <c:v>43.387359836901126</c:v>
                </c:pt>
                <c:pt idx="75">
                  <c:v>44.480414746543794</c:v>
                </c:pt>
                <c:pt idx="76">
                  <c:v>42.972350230414747</c:v>
                </c:pt>
                <c:pt idx="77">
                  <c:v>44.169960474308276</c:v>
                </c:pt>
                <c:pt idx="78">
                  <c:v>43.684782608695684</c:v>
                </c:pt>
                <c:pt idx="79">
                  <c:v>43.323834196891234</c:v>
                </c:pt>
                <c:pt idx="80">
                  <c:v>42.731282051282022</c:v>
                </c:pt>
                <c:pt idx="81">
                  <c:v>42.813857290589418</c:v>
                </c:pt>
                <c:pt idx="82">
                  <c:v>43.2804232804233</c:v>
                </c:pt>
                <c:pt idx="83">
                  <c:v>43.847628657921291</c:v>
                </c:pt>
                <c:pt idx="84">
                  <c:v>43.48587055606194</c:v>
                </c:pt>
                <c:pt idx="85">
                  <c:v>41.993125659498553</c:v>
                </c:pt>
                <c:pt idx="86">
                  <c:v>42.275551102204417</c:v>
                </c:pt>
                <c:pt idx="87">
                  <c:v>43.676125244618405</c:v>
                </c:pt>
                <c:pt idx="88">
                  <c:v>43.736842105263179</c:v>
                </c:pt>
                <c:pt idx="89">
                  <c:v>44.072427983539072</c:v>
                </c:pt>
                <c:pt idx="90">
                  <c:v>44.03287380699895</c:v>
                </c:pt>
                <c:pt idx="91">
                  <c:v>44.350895679662827</c:v>
                </c:pt>
                <c:pt idx="92">
                  <c:v>45.269447576099232</c:v>
                </c:pt>
                <c:pt idx="93">
                  <c:v>42.028340080971667</c:v>
                </c:pt>
                <c:pt idx="94">
                  <c:v>42.369543147208134</c:v>
                </c:pt>
                <c:pt idx="95">
                  <c:v>43.164571428571442</c:v>
                </c:pt>
                <c:pt idx="96">
                  <c:v>43.68310727496921</c:v>
                </c:pt>
                <c:pt idx="97">
                  <c:v>41.820965842167276</c:v>
                </c:pt>
                <c:pt idx="98">
                  <c:v>42.234042553191458</c:v>
                </c:pt>
                <c:pt idx="99">
                  <c:v>42.003440366972498</c:v>
                </c:pt>
                <c:pt idx="100">
                  <c:v>44.290148448043219</c:v>
                </c:pt>
                <c:pt idx="101">
                  <c:v>42.267489711934189</c:v>
                </c:pt>
                <c:pt idx="102">
                  <c:v>41.113636363636395</c:v>
                </c:pt>
                <c:pt idx="103">
                  <c:v>43.59870550161817</c:v>
                </c:pt>
                <c:pt idx="104">
                  <c:v>43.745625841184427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02-4AE1-B924-ADF17F702A5D}"/>
            </c:ext>
          </c:extLst>
        </c:ser>
        <c:ser>
          <c:idx val="1"/>
          <c:order val="1"/>
          <c:tx>
            <c:strRef>
              <c:f>'Averages Graph Data'!$CY$4</c:f>
              <c:strCache>
                <c:ptCount val="1"/>
                <c:pt idx="0">
                  <c:v>Average Area Rating - 4 Week Avg (Boom Annual)</c:v>
                </c:pt>
              </c:strCache>
            </c:strRef>
          </c:tx>
          <c:spPr>
            <a:ln w="28575" cap="rnd">
              <a:solidFill>
                <a:srgbClr val="0043CE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Data'!$CY$5:$CY$109</c:f>
              <c:numCache>
                <c:formatCode>#,##0.0</c:formatCode>
                <c:ptCount val="105"/>
                <c:pt idx="3">
                  <c:v>51.852946026507446</c:v>
                </c:pt>
                <c:pt idx="4">
                  <c:v>51.921639720201142</c:v>
                </c:pt>
                <c:pt idx="5">
                  <c:v>51.154284129316139</c:v>
                </c:pt>
                <c:pt idx="6">
                  <c:v>51.101496898721422</c:v>
                </c:pt>
                <c:pt idx="7">
                  <c:v>51.191973667379351</c:v>
                </c:pt>
                <c:pt idx="8">
                  <c:v>50.848490944149795</c:v>
                </c:pt>
                <c:pt idx="9">
                  <c:v>51.636150972599296</c:v>
                </c:pt>
                <c:pt idx="10">
                  <c:v>52.303490305808907</c:v>
                </c:pt>
                <c:pt idx="11">
                  <c:v>52.624518894078875</c:v>
                </c:pt>
                <c:pt idx="12">
                  <c:v>52.819428821714908</c:v>
                </c:pt>
                <c:pt idx="13">
                  <c:v>52.977506392691531</c:v>
                </c:pt>
                <c:pt idx="14">
                  <c:v>53.492533249201031</c:v>
                </c:pt>
                <c:pt idx="15">
                  <c:v>52.947706955865364</c:v>
                </c:pt>
                <c:pt idx="16">
                  <c:v>52.893582707681446</c:v>
                </c:pt>
                <c:pt idx="17">
                  <c:v>52.017733563301789</c:v>
                </c:pt>
                <c:pt idx="18">
                  <c:v>51.631250176245011</c:v>
                </c:pt>
                <c:pt idx="19">
                  <c:v>51.692621685593977</c:v>
                </c:pt>
                <c:pt idx="20">
                  <c:v>51.281215854041008</c:v>
                </c:pt>
                <c:pt idx="21">
                  <c:v>51.80493761760475</c:v>
                </c:pt>
                <c:pt idx="22">
                  <c:v>50.961202631675086</c:v>
                </c:pt>
                <c:pt idx="23">
                  <c:v>49.935135095163858</c:v>
                </c:pt>
                <c:pt idx="24">
                  <c:v>48.898262901023045</c:v>
                </c:pt>
                <c:pt idx="25">
                  <c:v>48.118542621302765</c:v>
                </c:pt>
                <c:pt idx="26">
                  <c:v>47.592394050422278</c:v>
                </c:pt>
                <c:pt idx="27">
                  <c:v>47.048161913176649</c:v>
                </c:pt>
                <c:pt idx="28">
                  <c:v>46.337720038464681</c:v>
                </c:pt>
                <c:pt idx="29">
                  <c:v>45.600815594411579</c:v>
                </c:pt>
                <c:pt idx="30">
                  <c:v>45.564206738665568</c:v>
                </c:pt>
                <c:pt idx="31">
                  <c:v>45.550897520874386</c:v>
                </c:pt>
                <c:pt idx="32">
                  <c:v>45.916510240467446</c:v>
                </c:pt>
                <c:pt idx="33">
                  <c:v>46.016835985441844</c:v>
                </c:pt>
                <c:pt idx="34">
                  <c:v>45.571135142689648</c:v>
                </c:pt>
                <c:pt idx="35">
                  <c:v>45.84502270280057</c:v>
                </c:pt>
                <c:pt idx="36">
                  <c:v>46.071449639947012</c:v>
                </c:pt>
                <c:pt idx="37">
                  <c:v>46.184968799446352</c:v>
                </c:pt>
                <c:pt idx="38">
                  <c:v>46.426945737484694</c:v>
                </c:pt>
                <c:pt idx="39">
                  <c:v>46.396213893895464</c:v>
                </c:pt>
                <c:pt idx="40">
                  <c:v>46.065472225514277</c:v>
                </c:pt>
                <c:pt idx="41">
                  <c:v>45.824176180648102</c:v>
                </c:pt>
                <c:pt idx="42">
                  <c:v>45.063538302913358</c:v>
                </c:pt>
                <c:pt idx="43">
                  <c:v>44.597031411222517</c:v>
                </c:pt>
                <c:pt idx="44">
                  <c:v>44.154106024003063</c:v>
                </c:pt>
                <c:pt idx="45">
                  <c:v>43.734624381845421</c:v>
                </c:pt>
                <c:pt idx="46">
                  <c:v>43.439026229212153</c:v>
                </c:pt>
                <c:pt idx="47">
                  <c:v>43.147809072722239</c:v>
                </c:pt>
                <c:pt idx="48">
                  <c:v>43.488817320912212</c:v>
                </c:pt>
                <c:pt idx="49">
                  <c:v>43.437487199140506</c:v>
                </c:pt>
                <c:pt idx="50">
                  <c:v>43.654998223410622</c:v>
                </c:pt>
                <c:pt idx="51">
                  <c:v>43.512828447592128</c:v>
                </c:pt>
                <c:pt idx="52">
                  <c:v>43.10977060092133</c:v>
                </c:pt>
                <c:pt idx="53">
                  <c:v>42.93734554170382</c:v>
                </c:pt>
                <c:pt idx="54">
                  <c:v>42.499624947733231</c:v>
                </c:pt>
                <c:pt idx="55">
                  <c:v>42.413186232473116</c:v>
                </c:pt>
                <c:pt idx="56">
                  <c:v>42.14525747597559</c:v>
                </c:pt>
                <c:pt idx="57">
                  <c:v>41.840488079735245</c:v>
                </c:pt>
                <c:pt idx="58">
                  <c:v>41.633456289227425</c:v>
                </c:pt>
                <c:pt idx="59">
                  <c:v>41.149049441381905</c:v>
                </c:pt>
                <c:pt idx="60">
                  <c:v>40.492486632845413</c:v>
                </c:pt>
                <c:pt idx="61">
                  <c:v>39.751891105427234</c:v>
                </c:pt>
                <c:pt idx="62">
                  <c:v>39.734424324733723</c:v>
                </c:pt>
                <c:pt idx="63">
                  <c:v>39.904163023132796</c:v>
                </c:pt>
                <c:pt idx="64">
                  <c:v>40.682802927601351</c:v>
                </c:pt>
                <c:pt idx="65">
                  <c:v>41.680057968577501</c:v>
                </c:pt>
                <c:pt idx="66">
                  <c:v>42.396316046611858</c:v>
                </c:pt>
                <c:pt idx="67">
                  <c:v>42.986898611549577</c:v>
                </c:pt>
                <c:pt idx="68">
                  <c:v>43.382874688859367</c:v>
                </c:pt>
                <c:pt idx="69">
                  <c:v>44.22975186116269</c:v>
                </c:pt>
                <c:pt idx="70">
                  <c:v>44.38362481530303</c:v>
                </c:pt>
                <c:pt idx="71">
                  <c:v>44.611877299467871</c:v>
                </c:pt>
                <c:pt idx="72">
                  <c:v>44.461642894942813</c:v>
                </c:pt>
                <c:pt idx="73">
                  <c:v>44.147946396254376</c:v>
                </c:pt>
                <c:pt idx="74">
                  <c:v>43.966893793496183</c:v>
                </c:pt>
                <c:pt idx="75">
                  <c:v>43.924053984731337</c:v>
                </c:pt>
                <c:pt idx="76">
                  <c:v>43.811985111280549</c:v>
                </c:pt>
                <c:pt idx="77">
                  <c:v>43.752521322041986</c:v>
                </c:pt>
                <c:pt idx="78">
                  <c:v>43.826877014990629</c:v>
                </c:pt>
                <c:pt idx="79">
                  <c:v>43.537731877577485</c:v>
                </c:pt>
                <c:pt idx="80">
                  <c:v>43.477464832794304</c:v>
                </c:pt>
                <c:pt idx="81">
                  <c:v>43.13843903686459</c:v>
                </c:pt>
                <c:pt idx="82">
                  <c:v>43.037349204796492</c:v>
                </c:pt>
                <c:pt idx="83">
                  <c:v>43.168297820054008</c:v>
                </c:pt>
                <c:pt idx="84">
                  <c:v>43.356944946248987</c:v>
                </c:pt>
                <c:pt idx="85">
                  <c:v>43.151762038476271</c:v>
                </c:pt>
                <c:pt idx="86">
                  <c:v>42.900543993921552</c:v>
                </c:pt>
                <c:pt idx="87">
                  <c:v>42.857668140595834</c:v>
                </c:pt>
                <c:pt idx="88">
                  <c:v>42.920411027896137</c:v>
                </c:pt>
                <c:pt idx="89">
                  <c:v>43.440236608906261</c:v>
                </c:pt>
                <c:pt idx="90">
                  <c:v>43.879567285104898</c:v>
                </c:pt>
                <c:pt idx="91">
                  <c:v>44.048259893866003</c:v>
                </c:pt>
                <c:pt idx="92">
                  <c:v>44.431411261575015</c:v>
                </c:pt>
                <c:pt idx="93">
                  <c:v>43.920389285933169</c:v>
                </c:pt>
                <c:pt idx="94">
                  <c:v>43.504556620985468</c:v>
                </c:pt>
                <c:pt idx="95">
                  <c:v>43.207975558212617</c:v>
                </c:pt>
                <c:pt idx="96">
                  <c:v>42.811390482930115</c:v>
                </c:pt>
                <c:pt idx="97">
                  <c:v>42.759546923229017</c:v>
                </c:pt>
                <c:pt idx="98">
                  <c:v>42.725671774724844</c:v>
                </c:pt>
                <c:pt idx="99">
                  <c:v>42.435389009325107</c:v>
                </c:pt>
                <c:pt idx="100">
                  <c:v>42.587149302593609</c:v>
                </c:pt>
                <c:pt idx="101">
                  <c:v>42.698780270035343</c:v>
                </c:pt>
                <c:pt idx="102">
                  <c:v>42.418678722646575</c:v>
                </c:pt>
                <c:pt idx="103">
                  <c:v>42.817495006307993</c:v>
                </c:pt>
                <c:pt idx="104">
                  <c:v>42.681364354593299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02-4AE1-B924-ADF17F702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'Dev Patterns'!$C$5</c:f>
              <c:strCache>
                <c:ptCount val="1"/>
                <c:pt idx="0">
                  <c:v>NWP Cumulative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'Dev Patterns'!$C$6:$C$22</c:f>
              <c:numCache>
                <c:formatCode>#,##0.00</c:formatCode>
                <c:ptCount val="17"/>
                <c:pt idx="0">
                  <c:v>1.0618362022670345</c:v>
                </c:pt>
                <c:pt idx="1">
                  <c:v>1.0098648321577892</c:v>
                </c:pt>
                <c:pt idx="2">
                  <c:v>1.0021085090164656</c:v>
                </c:pt>
                <c:pt idx="3">
                  <c:v>1.0011284552174564</c:v>
                </c:pt>
                <c:pt idx="4">
                  <c:v>1.0003326164485524</c:v>
                </c:pt>
                <c:pt idx="5">
                  <c:v>1.0001067850019076</c:v>
                </c:pt>
                <c:pt idx="6">
                  <c:v>1.000253482803809</c:v>
                </c:pt>
                <c:pt idx="7">
                  <c:v>1.0001512062539542</c:v>
                </c:pt>
                <c:pt idx="8">
                  <c:v>1.0001523896836717</c:v>
                </c:pt>
                <c:pt idx="9">
                  <c:v>1.0001459984491659</c:v>
                </c:pt>
                <c:pt idx="10">
                  <c:v>1.0000416966715913</c:v>
                </c:pt>
                <c:pt idx="11">
                  <c:v>1.0000257471419727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A-4C5D-AD9C-EF776CC7D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2548688"/>
        <c:axId val="1513215328"/>
      </c:lineChart>
      <c:catAx>
        <c:axId val="125254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15328"/>
        <c:crosses val="autoZero"/>
        <c:auto val="1"/>
        <c:lblAlgn val="ctr"/>
        <c:lblOffset val="100"/>
        <c:noMultiLvlLbl val="0"/>
      </c:catAx>
      <c:valAx>
        <c:axId val="15132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54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Essentials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PolCount!$AN$4</c:f>
              <c:strCache>
                <c:ptCount val="1"/>
                <c:pt idx="0">
                  <c:v>Policy Count (Essentials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PolCount!$AN$5:$AN$109</c:f>
              <c:numCache>
                <c:formatCode>#,##0</c:formatCode>
                <c:ptCount val="105"/>
                <c:pt idx="0">
                  <c:v>66</c:v>
                </c:pt>
                <c:pt idx="1">
                  <c:v>64</c:v>
                </c:pt>
                <c:pt idx="2">
                  <c:v>85</c:v>
                </c:pt>
                <c:pt idx="3">
                  <c:v>103</c:v>
                </c:pt>
                <c:pt idx="4">
                  <c:v>109</c:v>
                </c:pt>
                <c:pt idx="5">
                  <c:v>136</c:v>
                </c:pt>
                <c:pt idx="6">
                  <c:v>114</c:v>
                </c:pt>
                <c:pt idx="7">
                  <c:v>115</c:v>
                </c:pt>
                <c:pt idx="8">
                  <c:v>148</c:v>
                </c:pt>
                <c:pt idx="9">
                  <c:v>207</c:v>
                </c:pt>
                <c:pt idx="10">
                  <c:v>248</c:v>
                </c:pt>
                <c:pt idx="11">
                  <c:v>278</c:v>
                </c:pt>
                <c:pt idx="12">
                  <c:v>239</c:v>
                </c:pt>
                <c:pt idx="13">
                  <c:v>223</c:v>
                </c:pt>
                <c:pt idx="14">
                  <c:v>186</c:v>
                </c:pt>
                <c:pt idx="15">
                  <c:v>249</c:v>
                </c:pt>
                <c:pt idx="16">
                  <c:v>203</c:v>
                </c:pt>
                <c:pt idx="17">
                  <c:v>212</c:v>
                </c:pt>
                <c:pt idx="18">
                  <c:v>170</c:v>
                </c:pt>
                <c:pt idx="19">
                  <c:v>136</c:v>
                </c:pt>
                <c:pt idx="20">
                  <c:v>163</c:v>
                </c:pt>
                <c:pt idx="21">
                  <c:v>168</c:v>
                </c:pt>
                <c:pt idx="22">
                  <c:v>206</c:v>
                </c:pt>
                <c:pt idx="23">
                  <c:v>144</c:v>
                </c:pt>
                <c:pt idx="24">
                  <c:v>62</c:v>
                </c:pt>
                <c:pt idx="25">
                  <c:v>29</c:v>
                </c:pt>
                <c:pt idx="26">
                  <c:v>30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0-4513-9A0E-B69C6D1C7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PolCount!$AO$4</c:f>
              <c:strCache>
                <c:ptCount val="1"/>
                <c:pt idx="0">
                  <c:v>4 Week Avg (Essentials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PolCount!$AO$5:$AO$109</c:f>
              <c:numCache>
                <c:formatCode>#,##0</c:formatCode>
                <c:ptCount val="105"/>
                <c:pt idx="6">
                  <c:v>96.714285714285708</c:v>
                </c:pt>
                <c:pt idx="7">
                  <c:v>103.71428571428571</c:v>
                </c:pt>
                <c:pt idx="8">
                  <c:v>115.71428571428571</c:v>
                </c:pt>
                <c:pt idx="9">
                  <c:v>133.14285714285714</c:v>
                </c:pt>
                <c:pt idx="10">
                  <c:v>153.85714285714286</c:v>
                </c:pt>
                <c:pt idx="11">
                  <c:v>178</c:v>
                </c:pt>
                <c:pt idx="12">
                  <c:v>192.71428571428572</c:v>
                </c:pt>
                <c:pt idx="13">
                  <c:v>208.28571428571428</c:v>
                </c:pt>
                <c:pt idx="14">
                  <c:v>218.42857142857142</c:v>
                </c:pt>
                <c:pt idx="15">
                  <c:v>232.85714285714286</c:v>
                </c:pt>
                <c:pt idx="16">
                  <c:v>232.28571428571428</c:v>
                </c:pt>
                <c:pt idx="17">
                  <c:v>227.14285714285714</c:v>
                </c:pt>
                <c:pt idx="18">
                  <c:v>211.71428571428572</c:v>
                </c:pt>
                <c:pt idx="19">
                  <c:v>197</c:v>
                </c:pt>
                <c:pt idx="20">
                  <c:v>188.42857142857142</c:v>
                </c:pt>
                <c:pt idx="21">
                  <c:v>185.85714285714286</c:v>
                </c:pt>
                <c:pt idx="22">
                  <c:v>179.71428571428572</c:v>
                </c:pt>
                <c:pt idx="23">
                  <c:v>171.28571428571428</c:v>
                </c:pt>
                <c:pt idx="24">
                  <c:v>149.85714285714286</c:v>
                </c:pt>
                <c:pt idx="25">
                  <c:v>129.71428571428572</c:v>
                </c:pt>
                <c:pt idx="26">
                  <c:v>114.57142857142857</c:v>
                </c:pt>
                <c:pt idx="27">
                  <c:v>92</c:v>
                </c:pt>
                <c:pt idx="28">
                  <c:v>68</c:v>
                </c:pt>
                <c:pt idx="29">
                  <c:v>38.571428571428569</c:v>
                </c:pt>
                <c:pt idx="30">
                  <c:v>18</c:v>
                </c:pt>
                <c:pt idx="31">
                  <c:v>9.1428571428571423</c:v>
                </c:pt>
                <c:pt idx="32">
                  <c:v>5</c:v>
                </c:pt>
                <c:pt idx="33">
                  <c:v>0.7142857142857143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0.14285714285714285</c:v>
                </c:pt>
                <c:pt idx="71">
                  <c:v>0.14285714285714285</c:v>
                </c:pt>
                <c:pt idx="72">
                  <c:v>0.14285714285714285</c:v>
                </c:pt>
                <c:pt idx="73">
                  <c:v>0.14285714285714285</c:v>
                </c:pt>
                <c:pt idx="74">
                  <c:v>0.14285714285714285</c:v>
                </c:pt>
                <c:pt idx="75">
                  <c:v>0.14285714285714285</c:v>
                </c:pt>
                <c:pt idx="76">
                  <c:v>0.14285714285714285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00-4513-9A0E-B69C6D1C7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Premium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PolCount!$AP$4</c:f>
              <c:strCache>
                <c:ptCount val="1"/>
                <c:pt idx="0">
                  <c:v>Policy Count (Premium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PolCount!$AP$5:$AP$109</c:f>
              <c:numCache>
                <c:formatCode>#,##0</c:formatCode>
                <c:ptCount val="105"/>
                <c:pt idx="0">
                  <c:v>43</c:v>
                </c:pt>
                <c:pt idx="1">
                  <c:v>53</c:v>
                </c:pt>
                <c:pt idx="2">
                  <c:v>44</c:v>
                </c:pt>
                <c:pt idx="3">
                  <c:v>44</c:v>
                </c:pt>
                <c:pt idx="4">
                  <c:v>35</c:v>
                </c:pt>
                <c:pt idx="5">
                  <c:v>47</c:v>
                </c:pt>
                <c:pt idx="6">
                  <c:v>44</c:v>
                </c:pt>
                <c:pt idx="7">
                  <c:v>40</c:v>
                </c:pt>
                <c:pt idx="8">
                  <c:v>45</c:v>
                </c:pt>
                <c:pt idx="9">
                  <c:v>60</c:v>
                </c:pt>
                <c:pt idx="10">
                  <c:v>67</c:v>
                </c:pt>
                <c:pt idx="11">
                  <c:v>94</c:v>
                </c:pt>
                <c:pt idx="12">
                  <c:v>78</c:v>
                </c:pt>
                <c:pt idx="13">
                  <c:v>75</c:v>
                </c:pt>
                <c:pt idx="14">
                  <c:v>70</c:v>
                </c:pt>
                <c:pt idx="15">
                  <c:v>98</c:v>
                </c:pt>
                <c:pt idx="16">
                  <c:v>80</c:v>
                </c:pt>
                <c:pt idx="17">
                  <c:v>54</c:v>
                </c:pt>
                <c:pt idx="18">
                  <c:v>76</c:v>
                </c:pt>
                <c:pt idx="19">
                  <c:v>65</c:v>
                </c:pt>
                <c:pt idx="20">
                  <c:v>65</c:v>
                </c:pt>
                <c:pt idx="21">
                  <c:v>74</c:v>
                </c:pt>
                <c:pt idx="22">
                  <c:v>65</c:v>
                </c:pt>
                <c:pt idx="23">
                  <c:v>68</c:v>
                </c:pt>
                <c:pt idx="24">
                  <c:v>52</c:v>
                </c:pt>
                <c:pt idx="25">
                  <c:v>14</c:v>
                </c:pt>
                <c:pt idx="26">
                  <c:v>10</c:v>
                </c:pt>
                <c:pt idx="27">
                  <c:v>6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8-4B8E-A32C-FD4F6412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PolCount!$AQ$4</c:f>
              <c:strCache>
                <c:ptCount val="1"/>
                <c:pt idx="0">
                  <c:v>4 Week Avg (Premium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PolCount!$AQ$5:$AQ$109</c:f>
              <c:numCache>
                <c:formatCode>#,##0</c:formatCode>
                <c:ptCount val="105"/>
                <c:pt idx="6">
                  <c:v>44.285714285714285</c:v>
                </c:pt>
                <c:pt idx="7">
                  <c:v>43.857142857142854</c:v>
                </c:pt>
                <c:pt idx="8">
                  <c:v>42.714285714285715</c:v>
                </c:pt>
                <c:pt idx="9">
                  <c:v>45</c:v>
                </c:pt>
                <c:pt idx="10">
                  <c:v>48.285714285714285</c:v>
                </c:pt>
                <c:pt idx="11">
                  <c:v>56.714285714285715</c:v>
                </c:pt>
                <c:pt idx="12">
                  <c:v>61.142857142857146</c:v>
                </c:pt>
                <c:pt idx="13">
                  <c:v>65.571428571428569</c:v>
                </c:pt>
                <c:pt idx="14">
                  <c:v>69.857142857142861</c:v>
                </c:pt>
                <c:pt idx="15">
                  <c:v>77.428571428571431</c:v>
                </c:pt>
                <c:pt idx="16">
                  <c:v>80.285714285714292</c:v>
                </c:pt>
                <c:pt idx="17">
                  <c:v>78.428571428571431</c:v>
                </c:pt>
                <c:pt idx="18">
                  <c:v>75.857142857142861</c:v>
                </c:pt>
                <c:pt idx="19">
                  <c:v>74</c:v>
                </c:pt>
                <c:pt idx="20">
                  <c:v>72.571428571428569</c:v>
                </c:pt>
                <c:pt idx="21">
                  <c:v>73.142857142857139</c:v>
                </c:pt>
                <c:pt idx="22">
                  <c:v>68.428571428571431</c:v>
                </c:pt>
                <c:pt idx="23">
                  <c:v>66.714285714285708</c:v>
                </c:pt>
                <c:pt idx="24">
                  <c:v>66.428571428571431</c:v>
                </c:pt>
                <c:pt idx="25">
                  <c:v>57.571428571428569</c:v>
                </c:pt>
                <c:pt idx="26">
                  <c:v>49.714285714285715</c:v>
                </c:pt>
                <c:pt idx="27">
                  <c:v>41.285714285714285</c:v>
                </c:pt>
                <c:pt idx="28">
                  <c:v>30.857142857142858</c:v>
                </c:pt>
                <c:pt idx="29">
                  <c:v>21.571428571428573</c:v>
                </c:pt>
                <c:pt idx="30">
                  <c:v>11.857142857142858</c:v>
                </c:pt>
                <c:pt idx="31">
                  <c:v>4.4285714285714288</c:v>
                </c:pt>
                <c:pt idx="32">
                  <c:v>2.4285714285714284</c:v>
                </c:pt>
                <c:pt idx="33">
                  <c:v>1</c:v>
                </c:pt>
                <c:pt idx="34">
                  <c:v>0.14285714285714285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18-4B8E-A32C-FD4F64127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Premium -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PolCount!$AX$4</c:f>
              <c:strCache>
                <c:ptCount val="1"/>
                <c:pt idx="0">
                  <c:v>Policy Count (Premium -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PolCount!$AX$5:$AX$109</c:f>
              <c:numCache>
                <c:formatCode>#,##0</c:formatCode>
                <c:ptCount val="105"/>
                <c:pt idx="0">
                  <c:v>26</c:v>
                </c:pt>
                <c:pt idx="1">
                  <c:v>29</c:v>
                </c:pt>
                <c:pt idx="2">
                  <c:v>20</c:v>
                </c:pt>
                <c:pt idx="3">
                  <c:v>20</c:v>
                </c:pt>
                <c:pt idx="4">
                  <c:v>28</c:v>
                </c:pt>
                <c:pt idx="5">
                  <c:v>29</c:v>
                </c:pt>
                <c:pt idx="6">
                  <c:v>27</c:v>
                </c:pt>
                <c:pt idx="7">
                  <c:v>19</c:v>
                </c:pt>
                <c:pt idx="8">
                  <c:v>26</c:v>
                </c:pt>
                <c:pt idx="9">
                  <c:v>26</c:v>
                </c:pt>
                <c:pt idx="10">
                  <c:v>42</c:v>
                </c:pt>
                <c:pt idx="11">
                  <c:v>47</c:v>
                </c:pt>
                <c:pt idx="12">
                  <c:v>49</c:v>
                </c:pt>
                <c:pt idx="13">
                  <c:v>46</c:v>
                </c:pt>
                <c:pt idx="14">
                  <c:v>47</c:v>
                </c:pt>
                <c:pt idx="15">
                  <c:v>62</c:v>
                </c:pt>
                <c:pt idx="16">
                  <c:v>40</c:v>
                </c:pt>
                <c:pt idx="17">
                  <c:v>52</c:v>
                </c:pt>
                <c:pt idx="18">
                  <c:v>47</c:v>
                </c:pt>
                <c:pt idx="19">
                  <c:v>43</c:v>
                </c:pt>
                <c:pt idx="20">
                  <c:v>49</c:v>
                </c:pt>
                <c:pt idx="21">
                  <c:v>39</c:v>
                </c:pt>
                <c:pt idx="22">
                  <c:v>37</c:v>
                </c:pt>
                <c:pt idx="23">
                  <c:v>56</c:v>
                </c:pt>
                <c:pt idx="24">
                  <c:v>63</c:v>
                </c:pt>
                <c:pt idx="25">
                  <c:v>40</c:v>
                </c:pt>
                <c:pt idx="26">
                  <c:v>37</c:v>
                </c:pt>
                <c:pt idx="27">
                  <c:v>51</c:v>
                </c:pt>
                <c:pt idx="28">
                  <c:v>39</c:v>
                </c:pt>
                <c:pt idx="29">
                  <c:v>46</c:v>
                </c:pt>
                <c:pt idx="30">
                  <c:v>48</c:v>
                </c:pt>
                <c:pt idx="31">
                  <c:v>52</c:v>
                </c:pt>
                <c:pt idx="32">
                  <c:v>54</c:v>
                </c:pt>
                <c:pt idx="33">
                  <c:v>50</c:v>
                </c:pt>
                <c:pt idx="34">
                  <c:v>62</c:v>
                </c:pt>
                <c:pt idx="35">
                  <c:v>57</c:v>
                </c:pt>
                <c:pt idx="36">
                  <c:v>45</c:v>
                </c:pt>
                <c:pt idx="37">
                  <c:v>57</c:v>
                </c:pt>
                <c:pt idx="38">
                  <c:v>61</c:v>
                </c:pt>
                <c:pt idx="39">
                  <c:v>59</c:v>
                </c:pt>
                <c:pt idx="40">
                  <c:v>62</c:v>
                </c:pt>
                <c:pt idx="41">
                  <c:v>57</c:v>
                </c:pt>
                <c:pt idx="42">
                  <c:v>56</c:v>
                </c:pt>
                <c:pt idx="43">
                  <c:v>56</c:v>
                </c:pt>
                <c:pt idx="44">
                  <c:v>47</c:v>
                </c:pt>
                <c:pt idx="45">
                  <c:v>51</c:v>
                </c:pt>
                <c:pt idx="46">
                  <c:v>50</c:v>
                </c:pt>
                <c:pt idx="47">
                  <c:v>45</c:v>
                </c:pt>
                <c:pt idx="48">
                  <c:v>45</c:v>
                </c:pt>
                <c:pt idx="49">
                  <c:v>38</c:v>
                </c:pt>
                <c:pt idx="50">
                  <c:v>50</c:v>
                </c:pt>
                <c:pt idx="51">
                  <c:v>34</c:v>
                </c:pt>
                <c:pt idx="52">
                  <c:v>32</c:v>
                </c:pt>
                <c:pt idx="53">
                  <c:v>47</c:v>
                </c:pt>
                <c:pt idx="54">
                  <c:v>29</c:v>
                </c:pt>
                <c:pt idx="55">
                  <c:v>41</c:v>
                </c:pt>
                <c:pt idx="56">
                  <c:v>30</c:v>
                </c:pt>
                <c:pt idx="57">
                  <c:v>34</c:v>
                </c:pt>
                <c:pt idx="58">
                  <c:v>38</c:v>
                </c:pt>
                <c:pt idx="59">
                  <c:v>24</c:v>
                </c:pt>
                <c:pt idx="60">
                  <c:v>25</c:v>
                </c:pt>
                <c:pt idx="61">
                  <c:v>33</c:v>
                </c:pt>
                <c:pt idx="62">
                  <c:v>26</c:v>
                </c:pt>
                <c:pt idx="63">
                  <c:v>39</c:v>
                </c:pt>
                <c:pt idx="64">
                  <c:v>26</c:v>
                </c:pt>
                <c:pt idx="65">
                  <c:v>23</c:v>
                </c:pt>
                <c:pt idx="66">
                  <c:v>33</c:v>
                </c:pt>
                <c:pt idx="67">
                  <c:v>31</c:v>
                </c:pt>
                <c:pt idx="68">
                  <c:v>37</c:v>
                </c:pt>
                <c:pt idx="69">
                  <c:v>33</c:v>
                </c:pt>
                <c:pt idx="70">
                  <c:v>41</c:v>
                </c:pt>
                <c:pt idx="71">
                  <c:v>20</c:v>
                </c:pt>
                <c:pt idx="72">
                  <c:v>27</c:v>
                </c:pt>
                <c:pt idx="73">
                  <c:v>40</c:v>
                </c:pt>
                <c:pt idx="74">
                  <c:v>23</c:v>
                </c:pt>
                <c:pt idx="75">
                  <c:v>24</c:v>
                </c:pt>
                <c:pt idx="76">
                  <c:v>30</c:v>
                </c:pt>
                <c:pt idx="77">
                  <c:v>29</c:v>
                </c:pt>
                <c:pt idx="78">
                  <c:v>17</c:v>
                </c:pt>
                <c:pt idx="79">
                  <c:v>14</c:v>
                </c:pt>
                <c:pt idx="80">
                  <c:v>21</c:v>
                </c:pt>
                <c:pt idx="81">
                  <c:v>16</c:v>
                </c:pt>
                <c:pt idx="82">
                  <c:v>16</c:v>
                </c:pt>
                <c:pt idx="83">
                  <c:v>19</c:v>
                </c:pt>
                <c:pt idx="84">
                  <c:v>29</c:v>
                </c:pt>
                <c:pt idx="85">
                  <c:v>17</c:v>
                </c:pt>
                <c:pt idx="86">
                  <c:v>22</c:v>
                </c:pt>
                <c:pt idx="87">
                  <c:v>19</c:v>
                </c:pt>
                <c:pt idx="88">
                  <c:v>24</c:v>
                </c:pt>
                <c:pt idx="89">
                  <c:v>30</c:v>
                </c:pt>
                <c:pt idx="90">
                  <c:v>25</c:v>
                </c:pt>
                <c:pt idx="91">
                  <c:v>23</c:v>
                </c:pt>
                <c:pt idx="92">
                  <c:v>24</c:v>
                </c:pt>
                <c:pt idx="93">
                  <c:v>32</c:v>
                </c:pt>
                <c:pt idx="94">
                  <c:v>22</c:v>
                </c:pt>
                <c:pt idx="95">
                  <c:v>26</c:v>
                </c:pt>
                <c:pt idx="96">
                  <c:v>24</c:v>
                </c:pt>
                <c:pt idx="97">
                  <c:v>25</c:v>
                </c:pt>
                <c:pt idx="98">
                  <c:v>26</c:v>
                </c:pt>
                <c:pt idx="99">
                  <c:v>19</c:v>
                </c:pt>
                <c:pt idx="100">
                  <c:v>21</c:v>
                </c:pt>
                <c:pt idx="101">
                  <c:v>14</c:v>
                </c:pt>
                <c:pt idx="102">
                  <c:v>20</c:v>
                </c:pt>
                <c:pt idx="103">
                  <c:v>20</c:v>
                </c:pt>
                <c:pt idx="10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6-484A-BAEE-4CFD1B329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PolCount!$AY$4</c:f>
              <c:strCache>
                <c:ptCount val="1"/>
                <c:pt idx="0">
                  <c:v>4 Week Avg (Premium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PolCount!$A$5:$A$109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PolCount!$AY$5:$AY$109</c:f>
              <c:numCache>
                <c:formatCode>#,##0</c:formatCode>
                <c:ptCount val="105"/>
                <c:pt idx="6">
                  <c:v>25.571428571428573</c:v>
                </c:pt>
                <c:pt idx="7">
                  <c:v>24.571428571428573</c:v>
                </c:pt>
                <c:pt idx="8">
                  <c:v>24.142857142857142</c:v>
                </c:pt>
                <c:pt idx="9">
                  <c:v>25</c:v>
                </c:pt>
                <c:pt idx="10">
                  <c:v>28.142857142857142</c:v>
                </c:pt>
                <c:pt idx="11">
                  <c:v>30.857142857142858</c:v>
                </c:pt>
                <c:pt idx="12">
                  <c:v>33.714285714285715</c:v>
                </c:pt>
                <c:pt idx="13">
                  <c:v>36.428571428571431</c:v>
                </c:pt>
                <c:pt idx="14">
                  <c:v>40.428571428571431</c:v>
                </c:pt>
                <c:pt idx="15">
                  <c:v>45.571428571428569</c:v>
                </c:pt>
                <c:pt idx="16">
                  <c:v>47.571428571428569</c:v>
                </c:pt>
                <c:pt idx="17">
                  <c:v>49</c:v>
                </c:pt>
                <c:pt idx="18">
                  <c:v>49</c:v>
                </c:pt>
                <c:pt idx="19">
                  <c:v>48.142857142857146</c:v>
                </c:pt>
                <c:pt idx="20">
                  <c:v>48.571428571428569</c:v>
                </c:pt>
                <c:pt idx="21">
                  <c:v>47.428571428571431</c:v>
                </c:pt>
                <c:pt idx="22">
                  <c:v>43.857142857142854</c:v>
                </c:pt>
                <c:pt idx="23">
                  <c:v>46.142857142857146</c:v>
                </c:pt>
                <c:pt idx="24">
                  <c:v>47.714285714285715</c:v>
                </c:pt>
                <c:pt idx="25">
                  <c:v>46.714285714285715</c:v>
                </c:pt>
                <c:pt idx="26">
                  <c:v>45.857142857142854</c:v>
                </c:pt>
                <c:pt idx="27">
                  <c:v>46.142857142857146</c:v>
                </c:pt>
                <c:pt idx="28">
                  <c:v>46.142857142857146</c:v>
                </c:pt>
                <c:pt idx="29">
                  <c:v>47.428571428571431</c:v>
                </c:pt>
                <c:pt idx="30">
                  <c:v>46.285714285714285</c:v>
                </c:pt>
                <c:pt idx="31">
                  <c:v>44.714285714285715</c:v>
                </c:pt>
                <c:pt idx="32">
                  <c:v>46.714285714285715</c:v>
                </c:pt>
                <c:pt idx="33">
                  <c:v>48.571428571428569</c:v>
                </c:pt>
                <c:pt idx="34">
                  <c:v>50.142857142857146</c:v>
                </c:pt>
                <c:pt idx="35">
                  <c:v>52.714285714285715</c:v>
                </c:pt>
                <c:pt idx="36">
                  <c:v>52.571428571428569</c:v>
                </c:pt>
                <c:pt idx="37">
                  <c:v>53.857142857142854</c:v>
                </c:pt>
                <c:pt idx="38">
                  <c:v>55.142857142857146</c:v>
                </c:pt>
                <c:pt idx="39">
                  <c:v>55.857142857142854</c:v>
                </c:pt>
                <c:pt idx="40">
                  <c:v>57.571428571428569</c:v>
                </c:pt>
                <c:pt idx="41">
                  <c:v>56.857142857142854</c:v>
                </c:pt>
                <c:pt idx="42">
                  <c:v>56.714285714285715</c:v>
                </c:pt>
                <c:pt idx="43">
                  <c:v>58.285714285714285</c:v>
                </c:pt>
                <c:pt idx="44">
                  <c:v>56.857142857142854</c:v>
                </c:pt>
                <c:pt idx="45">
                  <c:v>55.428571428571431</c:v>
                </c:pt>
                <c:pt idx="46">
                  <c:v>54.142857142857146</c:v>
                </c:pt>
                <c:pt idx="47">
                  <c:v>51.714285714285715</c:v>
                </c:pt>
                <c:pt idx="48">
                  <c:v>50</c:v>
                </c:pt>
                <c:pt idx="49">
                  <c:v>47.428571428571431</c:v>
                </c:pt>
                <c:pt idx="50">
                  <c:v>46.571428571428569</c:v>
                </c:pt>
                <c:pt idx="51">
                  <c:v>44.714285714285715</c:v>
                </c:pt>
                <c:pt idx="52">
                  <c:v>42</c:v>
                </c:pt>
                <c:pt idx="53">
                  <c:v>41.571428571428569</c:v>
                </c:pt>
                <c:pt idx="54">
                  <c:v>39.285714285714285</c:v>
                </c:pt>
                <c:pt idx="55">
                  <c:v>38.714285714285715</c:v>
                </c:pt>
                <c:pt idx="56">
                  <c:v>37.571428571428569</c:v>
                </c:pt>
                <c:pt idx="57">
                  <c:v>35.285714285714285</c:v>
                </c:pt>
                <c:pt idx="58">
                  <c:v>35.857142857142854</c:v>
                </c:pt>
                <c:pt idx="59">
                  <c:v>34.714285714285715</c:v>
                </c:pt>
                <c:pt idx="60">
                  <c:v>31.571428571428573</c:v>
                </c:pt>
                <c:pt idx="61">
                  <c:v>32.142857142857146</c:v>
                </c:pt>
                <c:pt idx="62">
                  <c:v>30</c:v>
                </c:pt>
                <c:pt idx="63">
                  <c:v>31.285714285714285</c:v>
                </c:pt>
                <c:pt idx="64">
                  <c:v>30.142857142857142</c:v>
                </c:pt>
                <c:pt idx="65">
                  <c:v>28</c:v>
                </c:pt>
                <c:pt idx="66">
                  <c:v>29.285714285714285</c:v>
                </c:pt>
                <c:pt idx="67">
                  <c:v>30.142857142857142</c:v>
                </c:pt>
                <c:pt idx="68">
                  <c:v>30.714285714285715</c:v>
                </c:pt>
                <c:pt idx="69">
                  <c:v>31.714285714285715</c:v>
                </c:pt>
                <c:pt idx="70">
                  <c:v>32</c:v>
                </c:pt>
                <c:pt idx="71">
                  <c:v>31.142857142857142</c:v>
                </c:pt>
                <c:pt idx="72">
                  <c:v>31.714285714285715</c:v>
                </c:pt>
                <c:pt idx="73">
                  <c:v>32.714285714285715</c:v>
                </c:pt>
                <c:pt idx="74">
                  <c:v>31.571428571428573</c:v>
                </c:pt>
                <c:pt idx="75">
                  <c:v>29.714285714285715</c:v>
                </c:pt>
                <c:pt idx="76">
                  <c:v>29.285714285714285</c:v>
                </c:pt>
                <c:pt idx="77">
                  <c:v>27.571428571428573</c:v>
                </c:pt>
                <c:pt idx="78">
                  <c:v>27.142857142857142</c:v>
                </c:pt>
                <c:pt idx="79">
                  <c:v>25.285714285714285</c:v>
                </c:pt>
                <c:pt idx="80">
                  <c:v>22.571428571428573</c:v>
                </c:pt>
                <c:pt idx="81">
                  <c:v>21.571428571428573</c:v>
                </c:pt>
                <c:pt idx="82">
                  <c:v>20.428571428571427</c:v>
                </c:pt>
                <c:pt idx="83">
                  <c:v>18.857142857142858</c:v>
                </c:pt>
                <c:pt idx="84">
                  <c:v>18.857142857142858</c:v>
                </c:pt>
                <c:pt idx="85">
                  <c:v>18.857142857142858</c:v>
                </c:pt>
                <c:pt idx="86">
                  <c:v>20</c:v>
                </c:pt>
                <c:pt idx="87">
                  <c:v>19.714285714285715</c:v>
                </c:pt>
                <c:pt idx="88">
                  <c:v>20.857142857142858</c:v>
                </c:pt>
                <c:pt idx="89">
                  <c:v>22.857142857142858</c:v>
                </c:pt>
                <c:pt idx="90">
                  <c:v>23.714285714285715</c:v>
                </c:pt>
                <c:pt idx="91">
                  <c:v>22.857142857142858</c:v>
                </c:pt>
                <c:pt idx="92">
                  <c:v>23.857142857142858</c:v>
                </c:pt>
                <c:pt idx="93">
                  <c:v>25.285714285714285</c:v>
                </c:pt>
                <c:pt idx="94">
                  <c:v>25.714285714285715</c:v>
                </c:pt>
                <c:pt idx="95">
                  <c:v>26</c:v>
                </c:pt>
                <c:pt idx="96">
                  <c:v>25.142857142857142</c:v>
                </c:pt>
                <c:pt idx="97">
                  <c:v>25.142857142857142</c:v>
                </c:pt>
                <c:pt idx="98">
                  <c:v>25.571428571428573</c:v>
                </c:pt>
                <c:pt idx="99">
                  <c:v>24.857142857142858</c:v>
                </c:pt>
                <c:pt idx="100">
                  <c:v>23.285714285714285</c:v>
                </c:pt>
                <c:pt idx="101">
                  <c:v>22.142857142857142</c:v>
                </c:pt>
                <c:pt idx="102">
                  <c:v>21.285714285714285</c:v>
                </c:pt>
                <c:pt idx="103">
                  <c:v>20.714285714285715</c:v>
                </c:pt>
                <c:pt idx="104">
                  <c:v>19.142857142857142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6-484A-BAEE-4CFD1B329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Essentials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'PolCount NBREN'!$BF$5</c:f>
              <c:strCache>
                <c:ptCount val="1"/>
                <c:pt idx="0">
                  <c:v>Policy Count (Essentials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NBREN'!$BF$6:$BF$110</c:f>
              <c:numCache>
                <c:formatCode>#,##0</c:formatCode>
                <c:ptCount val="105"/>
                <c:pt idx="0">
                  <c:v>66</c:v>
                </c:pt>
                <c:pt idx="1">
                  <c:v>64</c:v>
                </c:pt>
                <c:pt idx="2">
                  <c:v>85</c:v>
                </c:pt>
                <c:pt idx="3">
                  <c:v>103</c:v>
                </c:pt>
                <c:pt idx="4">
                  <c:v>109</c:v>
                </c:pt>
                <c:pt idx="5">
                  <c:v>136</c:v>
                </c:pt>
                <c:pt idx="6">
                  <c:v>114</c:v>
                </c:pt>
                <c:pt idx="7">
                  <c:v>115</c:v>
                </c:pt>
                <c:pt idx="8">
                  <c:v>148</c:v>
                </c:pt>
                <c:pt idx="9">
                  <c:v>207</c:v>
                </c:pt>
                <c:pt idx="10">
                  <c:v>248</c:v>
                </c:pt>
                <c:pt idx="11">
                  <c:v>278</c:v>
                </c:pt>
                <c:pt idx="12">
                  <c:v>239</c:v>
                </c:pt>
                <c:pt idx="13">
                  <c:v>223</c:v>
                </c:pt>
                <c:pt idx="14">
                  <c:v>186</c:v>
                </c:pt>
                <c:pt idx="15">
                  <c:v>249</c:v>
                </c:pt>
                <c:pt idx="16">
                  <c:v>203</c:v>
                </c:pt>
                <c:pt idx="17">
                  <c:v>212</c:v>
                </c:pt>
                <c:pt idx="18">
                  <c:v>170</c:v>
                </c:pt>
                <c:pt idx="19">
                  <c:v>136</c:v>
                </c:pt>
                <c:pt idx="20">
                  <c:v>163</c:v>
                </c:pt>
                <c:pt idx="21">
                  <c:v>168</c:v>
                </c:pt>
                <c:pt idx="22">
                  <c:v>206</c:v>
                </c:pt>
                <c:pt idx="23">
                  <c:v>144</c:v>
                </c:pt>
                <c:pt idx="24">
                  <c:v>62</c:v>
                </c:pt>
                <c:pt idx="25">
                  <c:v>29</c:v>
                </c:pt>
                <c:pt idx="26">
                  <c:v>30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E-4728-99EC-CFE1BB138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NBREN'!$BG$5</c:f>
              <c:strCache>
                <c:ptCount val="1"/>
                <c:pt idx="0">
                  <c:v>4 Week Avg (Essentials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NBREN'!$BG$6:$BG$110</c:f>
              <c:numCache>
                <c:formatCode>#,##0</c:formatCode>
                <c:ptCount val="105"/>
                <c:pt idx="6">
                  <c:v>96.714285714285708</c:v>
                </c:pt>
                <c:pt idx="7">
                  <c:v>103.71428571428571</c:v>
                </c:pt>
                <c:pt idx="8">
                  <c:v>115.71428571428571</c:v>
                </c:pt>
                <c:pt idx="9">
                  <c:v>133.14285714285714</c:v>
                </c:pt>
                <c:pt idx="10">
                  <c:v>153.85714285714286</c:v>
                </c:pt>
                <c:pt idx="11">
                  <c:v>178</c:v>
                </c:pt>
                <c:pt idx="12">
                  <c:v>192.71428571428572</c:v>
                </c:pt>
                <c:pt idx="13">
                  <c:v>208.28571428571428</c:v>
                </c:pt>
                <c:pt idx="14">
                  <c:v>218.42857142857142</c:v>
                </c:pt>
                <c:pt idx="15">
                  <c:v>232.85714285714286</c:v>
                </c:pt>
                <c:pt idx="16">
                  <c:v>232.28571428571428</c:v>
                </c:pt>
                <c:pt idx="17">
                  <c:v>227.14285714285714</c:v>
                </c:pt>
                <c:pt idx="18">
                  <c:v>211.71428571428572</c:v>
                </c:pt>
                <c:pt idx="19">
                  <c:v>197</c:v>
                </c:pt>
                <c:pt idx="20">
                  <c:v>188.42857142857142</c:v>
                </c:pt>
                <c:pt idx="21">
                  <c:v>185.85714285714286</c:v>
                </c:pt>
                <c:pt idx="22">
                  <c:v>179.71428571428572</c:v>
                </c:pt>
                <c:pt idx="23">
                  <c:v>171.28571428571428</c:v>
                </c:pt>
                <c:pt idx="24">
                  <c:v>149.85714285714286</c:v>
                </c:pt>
                <c:pt idx="25">
                  <c:v>129.71428571428572</c:v>
                </c:pt>
                <c:pt idx="26">
                  <c:v>114.57142857142857</c:v>
                </c:pt>
                <c:pt idx="27">
                  <c:v>92</c:v>
                </c:pt>
                <c:pt idx="28">
                  <c:v>68</c:v>
                </c:pt>
                <c:pt idx="29">
                  <c:v>38.571428571428569</c:v>
                </c:pt>
                <c:pt idx="30">
                  <c:v>18</c:v>
                </c:pt>
                <c:pt idx="31">
                  <c:v>9.1428571428571423</c:v>
                </c:pt>
                <c:pt idx="32">
                  <c:v>5</c:v>
                </c:pt>
                <c:pt idx="33">
                  <c:v>0.7142857142857143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0.14285714285714285</c:v>
                </c:pt>
                <c:pt idx="71">
                  <c:v>0.14285714285714285</c:v>
                </c:pt>
                <c:pt idx="72">
                  <c:v>0.14285714285714285</c:v>
                </c:pt>
                <c:pt idx="73">
                  <c:v>0.14285714285714285</c:v>
                </c:pt>
                <c:pt idx="74">
                  <c:v>0.14285714285714285</c:v>
                </c:pt>
                <c:pt idx="75">
                  <c:v>0.14285714285714285</c:v>
                </c:pt>
                <c:pt idx="76">
                  <c:v>0.14285714285714285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DE-4728-99EC-CFE1BB138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50"/>
              <a:t>Boom Premium -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Subscription</a:t>
            </a:r>
            <a:r>
              <a:rPr lang="en-GB" sz="1250"/>
              <a:t> </a:t>
            </a:r>
            <a:r>
              <a:rPr lang="en-GB" sz="12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(New Business): </a:t>
            </a:r>
            <a:r>
              <a:rPr lang="en-GB" sz="1250"/>
              <a:t>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'PolCount NBREN'!$BH$5</c:f>
              <c:strCache>
                <c:ptCount val="1"/>
                <c:pt idx="0">
                  <c:v>Policy Count (Premium - Subscription)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NBREN'!$BH$6:$BH$110</c:f>
              <c:numCache>
                <c:formatCode>#,##0</c:formatCode>
                <c:ptCount val="105"/>
                <c:pt idx="0">
                  <c:v>43</c:v>
                </c:pt>
                <c:pt idx="1">
                  <c:v>53</c:v>
                </c:pt>
                <c:pt idx="2">
                  <c:v>44</c:v>
                </c:pt>
                <c:pt idx="3">
                  <c:v>44</c:v>
                </c:pt>
                <c:pt idx="4">
                  <c:v>35</c:v>
                </c:pt>
                <c:pt idx="5">
                  <c:v>47</c:v>
                </c:pt>
                <c:pt idx="6">
                  <c:v>44</c:v>
                </c:pt>
                <c:pt idx="7">
                  <c:v>40</c:v>
                </c:pt>
                <c:pt idx="8">
                  <c:v>45</c:v>
                </c:pt>
                <c:pt idx="9">
                  <c:v>60</c:v>
                </c:pt>
                <c:pt idx="10">
                  <c:v>67</c:v>
                </c:pt>
                <c:pt idx="11">
                  <c:v>94</c:v>
                </c:pt>
                <c:pt idx="12">
                  <c:v>78</c:v>
                </c:pt>
                <c:pt idx="13">
                  <c:v>75</c:v>
                </c:pt>
                <c:pt idx="14">
                  <c:v>70</c:v>
                </c:pt>
                <c:pt idx="15">
                  <c:v>98</c:v>
                </c:pt>
                <c:pt idx="16">
                  <c:v>80</c:v>
                </c:pt>
                <c:pt idx="17">
                  <c:v>54</c:v>
                </c:pt>
                <c:pt idx="18">
                  <c:v>76</c:v>
                </c:pt>
                <c:pt idx="19">
                  <c:v>65</c:v>
                </c:pt>
                <c:pt idx="20">
                  <c:v>65</c:v>
                </c:pt>
                <c:pt idx="21">
                  <c:v>74</c:v>
                </c:pt>
                <c:pt idx="22">
                  <c:v>65</c:v>
                </c:pt>
                <c:pt idx="23">
                  <c:v>68</c:v>
                </c:pt>
                <c:pt idx="24">
                  <c:v>52</c:v>
                </c:pt>
                <c:pt idx="25">
                  <c:v>14</c:v>
                </c:pt>
                <c:pt idx="26">
                  <c:v>10</c:v>
                </c:pt>
                <c:pt idx="27">
                  <c:v>6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9-4629-91C9-AFDFCABD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NBREN'!$BI$5</c:f>
              <c:strCache>
                <c:ptCount val="1"/>
                <c:pt idx="0">
                  <c:v>4 Week Avg (Premium -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NBREN'!$BI$6:$BI$110</c:f>
              <c:numCache>
                <c:formatCode>#,##0</c:formatCode>
                <c:ptCount val="105"/>
                <c:pt idx="6">
                  <c:v>44.285714285714285</c:v>
                </c:pt>
                <c:pt idx="7">
                  <c:v>43.857142857142854</c:v>
                </c:pt>
                <c:pt idx="8">
                  <c:v>42.714285714285715</c:v>
                </c:pt>
                <c:pt idx="9">
                  <c:v>45</c:v>
                </c:pt>
                <c:pt idx="10">
                  <c:v>48.285714285714285</c:v>
                </c:pt>
                <c:pt idx="11">
                  <c:v>56.714285714285715</c:v>
                </c:pt>
                <c:pt idx="12">
                  <c:v>61.142857142857146</c:v>
                </c:pt>
                <c:pt idx="13">
                  <c:v>65.571428571428569</c:v>
                </c:pt>
                <c:pt idx="14">
                  <c:v>69.857142857142861</c:v>
                </c:pt>
                <c:pt idx="15">
                  <c:v>77.428571428571431</c:v>
                </c:pt>
                <c:pt idx="16">
                  <c:v>80.285714285714292</c:v>
                </c:pt>
                <c:pt idx="17">
                  <c:v>78.428571428571431</c:v>
                </c:pt>
                <c:pt idx="18">
                  <c:v>75.857142857142861</c:v>
                </c:pt>
                <c:pt idx="19">
                  <c:v>74</c:v>
                </c:pt>
                <c:pt idx="20">
                  <c:v>72.571428571428569</c:v>
                </c:pt>
                <c:pt idx="21">
                  <c:v>73.142857142857139</c:v>
                </c:pt>
                <c:pt idx="22">
                  <c:v>68.428571428571431</c:v>
                </c:pt>
                <c:pt idx="23">
                  <c:v>66.714285714285708</c:v>
                </c:pt>
                <c:pt idx="24">
                  <c:v>66.428571428571431</c:v>
                </c:pt>
                <c:pt idx="25">
                  <c:v>57.571428571428569</c:v>
                </c:pt>
                <c:pt idx="26">
                  <c:v>49.714285714285715</c:v>
                </c:pt>
                <c:pt idx="27">
                  <c:v>41.285714285714285</c:v>
                </c:pt>
                <c:pt idx="28">
                  <c:v>30.857142857142858</c:v>
                </c:pt>
                <c:pt idx="29">
                  <c:v>21.571428571428573</c:v>
                </c:pt>
                <c:pt idx="30">
                  <c:v>11.857142857142858</c:v>
                </c:pt>
                <c:pt idx="31">
                  <c:v>4.4285714285714288</c:v>
                </c:pt>
                <c:pt idx="32">
                  <c:v>2.4285714285714284</c:v>
                </c:pt>
                <c:pt idx="33">
                  <c:v>1</c:v>
                </c:pt>
                <c:pt idx="34">
                  <c:v>0.14285714285714285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9-4629-91C9-AFDFCABD2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Boom Premium - Annual: Policy Count with 7 Day Rolling Average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'PolCount NBREN'!$BP$5</c:f>
              <c:strCache>
                <c:ptCount val="1"/>
                <c:pt idx="0">
                  <c:v>Policy Count (Premium - Annual)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NBREN'!$BP$6:$BP$110</c:f>
              <c:numCache>
                <c:formatCode>#,##0</c:formatCode>
                <c:ptCount val="105"/>
                <c:pt idx="0">
                  <c:v>26</c:v>
                </c:pt>
                <c:pt idx="1">
                  <c:v>29</c:v>
                </c:pt>
                <c:pt idx="2">
                  <c:v>20</c:v>
                </c:pt>
                <c:pt idx="3">
                  <c:v>20</c:v>
                </c:pt>
                <c:pt idx="4">
                  <c:v>28</c:v>
                </c:pt>
                <c:pt idx="5">
                  <c:v>29</c:v>
                </c:pt>
                <c:pt idx="6">
                  <c:v>27</c:v>
                </c:pt>
                <c:pt idx="7">
                  <c:v>19</c:v>
                </c:pt>
                <c:pt idx="8">
                  <c:v>26</c:v>
                </c:pt>
                <c:pt idx="9">
                  <c:v>26</c:v>
                </c:pt>
                <c:pt idx="10">
                  <c:v>42</c:v>
                </c:pt>
                <c:pt idx="11">
                  <c:v>47</c:v>
                </c:pt>
                <c:pt idx="12">
                  <c:v>49</c:v>
                </c:pt>
                <c:pt idx="13">
                  <c:v>46</c:v>
                </c:pt>
                <c:pt idx="14">
                  <c:v>47</c:v>
                </c:pt>
                <c:pt idx="15">
                  <c:v>62</c:v>
                </c:pt>
                <c:pt idx="16">
                  <c:v>40</c:v>
                </c:pt>
                <c:pt idx="17">
                  <c:v>52</c:v>
                </c:pt>
                <c:pt idx="18">
                  <c:v>47</c:v>
                </c:pt>
                <c:pt idx="19">
                  <c:v>43</c:v>
                </c:pt>
                <c:pt idx="20">
                  <c:v>49</c:v>
                </c:pt>
                <c:pt idx="21">
                  <c:v>39</c:v>
                </c:pt>
                <c:pt idx="22">
                  <c:v>37</c:v>
                </c:pt>
                <c:pt idx="23">
                  <c:v>56</c:v>
                </c:pt>
                <c:pt idx="24">
                  <c:v>63</c:v>
                </c:pt>
                <c:pt idx="25">
                  <c:v>40</c:v>
                </c:pt>
                <c:pt idx="26">
                  <c:v>37</c:v>
                </c:pt>
                <c:pt idx="27">
                  <c:v>51</c:v>
                </c:pt>
                <c:pt idx="28">
                  <c:v>39</c:v>
                </c:pt>
                <c:pt idx="29">
                  <c:v>46</c:v>
                </c:pt>
                <c:pt idx="30">
                  <c:v>48</c:v>
                </c:pt>
                <c:pt idx="31">
                  <c:v>52</c:v>
                </c:pt>
                <c:pt idx="32">
                  <c:v>54</c:v>
                </c:pt>
                <c:pt idx="33">
                  <c:v>50</c:v>
                </c:pt>
                <c:pt idx="34">
                  <c:v>62</c:v>
                </c:pt>
                <c:pt idx="35">
                  <c:v>56</c:v>
                </c:pt>
                <c:pt idx="36">
                  <c:v>43</c:v>
                </c:pt>
                <c:pt idx="37">
                  <c:v>55</c:v>
                </c:pt>
                <c:pt idx="38">
                  <c:v>58</c:v>
                </c:pt>
                <c:pt idx="39">
                  <c:v>55</c:v>
                </c:pt>
                <c:pt idx="40">
                  <c:v>57</c:v>
                </c:pt>
                <c:pt idx="41">
                  <c:v>53</c:v>
                </c:pt>
                <c:pt idx="42">
                  <c:v>50</c:v>
                </c:pt>
                <c:pt idx="43">
                  <c:v>53</c:v>
                </c:pt>
                <c:pt idx="44">
                  <c:v>43</c:v>
                </c:pt>
                <c:pt idx="45">
                  <c:v>48</c:v>
                </c:pt>
                <c:pt idx="46">
                  <c:v>41</c:v>
                </c:pt>
                <c:pt idx="47">
                  <c:v>42</c:v>
                </c:pt>
                <c:pt idx="48">
                  <c:v>41</c:v>
                </c:pt>
                <c:pt idx="49">
                  <c:v>34</c:v>
                </c:pt>
                <c:pt idx="50">
                  <c:v>47</c:v>
                </c:pt>
                <c:pt idx="51">
                  <c:v>27</c:v>
                </c:pt>
                <c:pt idx="52">
                  <c:v>27</c:v>
                </c:pt>
                <c:pt idx="53">
                  <c:v>38</c:v>
                </c:pt>
                <c:pt idx="54">
                  <c:v>23</c:v>
                </c:pt>
                <c:pt idx="55">
                  <c:v>35</c:v>
                </c:pt>
                <c:pt idx="56">
                  <c:v>24</c:v>
                </c:pt>
                <c:pt idx="57">
                  <c:v>32</c:v>
                </c:pt>
                <c:pt idx="58">
                  <c:v>30</c:v>
                </c:pt>
                <c:pt idx="59">
                  <c:v>19</c:v>
                </c:pt>
                <c:pt idx="60">
                  <c:v>19</c:v>
                </c:pt>
                <c:pt idx="61">
                  <c:v>27</c:v>
                </c:pt>
                <c:pt idx="62">
                  <c:v>17</c:v>
                </c:pt>
                <c:pt idx="63">
                  <c:v>29</c:v>
                </c:pt>
                <c:pt idx="64">
                  <c:v>20</c:v>
                </c:pt>
                <c:pt idx="65">
                  <c:v>15</c:v>
                </c:pt>
                <c:pt idx="66">
                  <c:v>23</c:v>
                </c:pt>
                <c:pt idx="67">
                  <c:v>21</c:v>
                </c:pt>
                <c:pt idx="68">
                  <c:v>24</c:v>
                </c:pt>
                <c:pt idx="69">
                  <c:v>23</c:v>
                </c:pt>
                <c:pt idx="70">
                  <c:v>33</c:v>
                </c:pt>
                <c:pt idx="71">
                  <c:v>14</c:v>
                </c:pt>
                <c:pt idx="72">
                  <c:v>18</c:v>
                </c:pt>
                <c:pt idx="73">
                  <c:v>21</c:v>
                </c:pt>
                <c:pt idx="74">
                  <c:v>17</c:v>
                </c:pt>
                <c:pt idx="75">
                  <c:v>18</c:v>
                </c:pt>
                <c:pt idx="76">
                  <c:v>21</c:v>
                </c:pt>
                <c:pt idx="77">
                  <c:v>22</c:v>
                </c:pt>
                <c:pt idx="78">
                  <c:v>11</c:v>
                </c:pt>
                <c:pt idx="79">
                  <c:v>8</c:v>
                </c:pt>
                <c:pt idx="80">
                  <c:v>16</c:v>
                </c:pt>
                <c:pt idx="81">
                  <c:v>11</c:v>
                </c:pt>
                <c:pt idx="82">
                  <c:v>11</c:v>
                </c:pt>
                <c:pt idx="83">
                  <c:v>13</c:v>
                </c:pt>
                <c:pt idx="84">
                  <c:v>19</c:v>
                </c:pt>
                <c:pt idx="85">
                  <c:v>8</c:v>
                </c:pt>
                <c:pt idx="86">
                  <c:v>13</c:v>
                </c:pt>
                <c:pt idx="87">
                  <c:v>10</c:v>
                </c:pt>
                <c:pt idx="88">
                  <c:v>16</c:v>
                </c:pt>
                <c:pt idx="89">
                  <c:v>20</c:v>
                </c:pt>
                <c:pt idx="90">
                  <c:v>15</c:v>
                </c:pt>
                <c:pt idx="91">
                  <c:v>14</c:v>
                </c:pt>
                <c:pt idx="92">
                  <c:v>13</c:v>
                </c:pt>
                <c:pt idx="93">
                  <c:v>17</c:v>
                </c:pt>
                <c:pt idx="94">
                  <c:v>11</c:v>
                </c:pt>
                <c:pt idx="95">
                  <c:v>14</c:v>
                </c:pt>
                <c:pt idx="96">
                  <c:v>13</c:v>
                </c:pt>
                <c:pt idx="97">
                  <c:v>13</c:v>
                </c:pt>
                <c:pt idx="98">
                  <c:v>15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15</c:v>
                </c:pt>
                <c:pt idx="103">
                  <c:v>17</c:v>
                </c:pt>
                <c:pt idx="10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8-44E2-BBD0-09B16400A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5"/>
        <c:axId val="595840992"/>
        <c:axId val="595839328"/>
      </c:barChart>
      <c:lineChart>
        <c:grouping val="standard"/>
        <c:varyColors val="0"/>
        <c:ser>
          <c:idx val="1"/>
          <c:order val="1"/>
          <c:tx>
            <c:strRef>
              <c:f>'PolCount NBREN'!$BQ$5</c:f>
              <c:strCache>
                <c:ptCount val="1"/>
                <c:pt idx="0">
                  <c:v>4 Week Avg (Premium - Annual)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'PolCount NBREN'!$A$6:$A$110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'PolCount NBREN'!$BQ$6:$BQ$110</c:f>
              <c:numCache>
                <c:formatCode>#,##0</c:formatCode>
                <c:ptCount val="105"/>
                <c:pt idx="6">
                  <c:v>25.571428571428573</c:v>
                </c:pt>
                <c:pt idx="7">
                  <c:v>24.571428571428573</c:v>
                </c:pt>
                <c:pt idx="8">
                  <c:v>24.142857142857142</c:v>
                </c:pt>
                <c:pt idx="9">
                  <c:v>25</c:v>
                </c:pt>
                <c:pt idx="10">
                  <c:v>28.142857142857142</c:v>
                </c:pt>
                <c:pt idx="11">
                  <c:v>30.857142857142858</c:v>
                </c:pt>
                <c:pt idx="12">
                  <c:v>33.714285714285715</c:v>
                </c:pt>
                <c:pt idx="13">
                  <c:v>36.428571428571431</c:v>
                </c:pt>
                <c:pt idx="14">
                  <c:v>40.428571428571431</c:v>
                </c:pt>
                <c:pt idx="15">
                  <c:v>45.571428571428569</c:v>
                </c:pt>
                <c:pt idx="16">
                  <c:v>47.571428571428569</c:v>
                </c:pt>
                <c:pt idx="17">
                  <c:v>49</c:v>
                </c:pt>
                <c:pt idx="18">
                  <c:v>49</c:v>
                </c:pt>
                <c:pt idx="19">
                  <c:v>48.142857142857146</c:v>
                </c:pt>
                <c:pt idx="20">
                  <c:v>48.571428571428569</c:v>
                </c:pt>
                <c:pt idx="21">
                  <c:v>47.428571428571431</c:v>
                </c:pt>
                <c:pt idx="22">
                  <c:v>43.857142857142854</c:v>
                </c:pt>
                <c:pt idx="23">
                  <c:v>46.142857142857146</c:v>
                </c:pt>
                <c:pt idx="24">
                  <c:v>47.714285714285715</c:v>
                </c:pt>
                <c:pt idx="25">
                  <c:v>46.714285714285715</c:v>
                </c:pt>
                <c:pt idx="26">
                  <c:v>45.857142857142854</c:v>
                </c:pt>
                <c:pt idx="27">
                  <c:v>46.142857142857146</c:v>
                </c:pt>
                <c:pt idx="28">
                  <c:v>46.142857142857146</c:v>
                </c:pt>
                <c:pt idx="29">
                  <c:v>47.428571428571431</c:v>
                </c:pt>
                <c:pt idx="30">
                  <c:v>46.285714285714285</c:v>
                </c:pt>
                <c:pt idx="31">
                  <c:v>44.714285714285715</c:v>
                </c:pt>
                <c:pt idx="32">
                  <c:v>46.714285714285715</c:v>
                </c:pt>
                <c:pt idx="33">
                  <c:v>48.571428571428569</c:v>
                </c:pt>
                <c:pt idx="34">
                  <c:v>50.142857142857146</c:v>
                </c:pt>
                <c:pt idx="35">
                  <c:v>52.571428571428569</c:v>
                </c:pt>
                <c:pt idx="36">
                  <c:v>52.142857142857146</c:v>
                </c:pt>
                <c:pt idx="37">
                  <c:v>53.142857142857146</c:v>
                </c:pt>
                <c:pt idx="38">
                  <c:v>54</c:v>
                </c:pt>
                <c:pt idx="39">
                  <c:v>54.142857142857146</c:v>
                </c:pt>
                <c:pt idx="40">
                  <c:v>55.142857142857146</c:v>
                </c:pt>
                <c:pt idx="41">
                  <c:v>53.857142857142854</c:v>
                </c:pt>
                <c:pt idx="42">
                  <c:v>53</c:v>
                </c:pt>
                <c:pt idx="43">
                  <c:v>54.428571428571431</c:v>
                </c:pt>
                <c:pt idx="44">
                  <c:v>52.714285714285715</c:v>
                </c:pt>
                <c:pt idx="45">
                  <c:v>51.285714285714285</c:v>
                </c:pt>
                <c:pt idx="46">
                  <c:v>49.285714285714285</c:v>
                </c:pt>
                <c:pt idx="47">
                  <c:v>47.142857142857146</c:v>
                </c:pt>
                <c:pt idx="48">
                  <c:v>45.428571428571431</c:v>
                </c:pt>
                <c:pt idx="49">
                  <c:v>43.142857142857146</c:v>
                </c:pt>
                <c:pt idx="50">
                  <c:v>42.285714285714285</c:v>
                </c:pt>
                <c:pt idx="51">
                  <c:v>40</c:v>
                </c:pt>
                <c:pt idx="52">
                  <c:v>37</c:v>
                </c:pt>
                <c:pt idx="53">
                  <c:v>36.571428571428569</c:v>
                </c:pt>
                <c:pt idx="54">
                  <c:v>33.857142857142854</c:v>
                </c:pt>
                <c:pt idx="55">
                  <c:v>33</c:v>
                </c:pt>
                <c:pt idx="56">
                  <c:v>31.571428571428573</c:v>
                </c:pt>
                <c:pt idx="57">
                  <c:v>29.428571428571427</c:v>
                </c:pt>
                <c:pt idx="58">
                  <c:v>29.857142857142858</c:v>
                </c:pt>
                <c:pt idx="59">
                  <c:v>28.714285714285715</c:v>
                </c:pt>
                <c:pt idx="60">
                  <c:v>26</c:v>
                </c:pt>
                <c:pt idx="61">
                  <c:v>26.571428571428573</c:v>
                </c:pt>
                <c:pt idx="62">
                  <c:v>24</c:v>
                </c:pt>
                <c:pt idx="63">
                  <c:v>24.714285714285715</c:v>
                </c:pt>
                <c:pt idx="64">
                  <c:v>23</c:v>
                </c:pt>
                <c:pt idx="65">
                  <c:v>20.857142857142858</c:v>
                </c:pt>
                <c:pt idx="66">
                  <c:v>21.428571428571427</c:v>
                </c:pt>
                <c:pt idx="67">
                  <c:v>21.714285714285715</c:v>
                </c:pt>
                <c:pt idx="68">
                  <c:v>21.285714285714285</c:v>
                </c:pt>
                <c:pt idx="69">
                  <c:v>22.142857142857142</c:v>
                </c:pt>
                <c:pt idx="70">
                  <c:v>22.714285714285715</c:v>
                </c:pt>
                <c:pt idx="71">
                  <c:v>21.857142857142858</c:v>
                </c:pt>
                <c:pt idx="72">
                  <c:v>22.285714285714285</c:v>
                </c:pt>
                <c:pt idx="73">
                  <c:v>22</c:v>
                </c:pt>
                <c:pt idx="74">
                  <c:v>21.428571428571427</c:v>
                </c:pt>
                <c:pt idx="75">
                  <c:v>20.571428571428573</c:v>
                </c:pt>
                <c:pt idx="76">
                  <c:v>20.285714285714285</c:v>
                </c:pt>
                <c:pt idx="77">
                  <c:v>18.714285714285715</c:v>
                </c:pt>
                <c:pt idx="78">
                  <c:v>18.285714285714285</c:v>
                </c:pt>
                <c:pt idx="79">
                  <c:v>16.857142857142858</c:v>
                </c:pt>
                <c:pt idx="80">
                  <c:v>16.142857142857142</c:v>
                </c:pt>
                <c:pt idx="81">
                  <c:v>15.285714285714286</c:v>
                </c:pt>
                <c:pt idx="82">
                  <c:v>14.285714285714286</c:v>
                </c:pt>
                <c:pt idx="83">
                  <c:v>13.142857142857142</c:v>
                </c:pt>
                <c:pt idx="84">
                  <c:v>12.714285714285714</c:v>
                </c:pt>
                <c:pt idx="85">
                  <c:v>12.285714285714286</c:v>
                </c:pt>
                <c:pt idx="86">
                  <c:v>13</c:v>
                </c:pt>
                <c:pt idx="87">
                  <c:v>12.142857142857142</c:v>
                </c:pt>
                <c:pt idx="88">
                  <c:v>12.857142857142858</c:v>
                </c:pt>
                <c:pt idx="89">
                  <c:v>14.142857142857142</c:v>
                </c:pt>
                <c:pt idx="90">
                  <c:v>14.428571428571429</c:v>
                </c:pt>
                <c:pt idx="91">
                  <c:v>13.714285714285714</c:v>
                </c:pt>
                <c:pt idx="92">
                  <c:v>14.428571428571429</c:v>
                </c:pt>
                <c:pt idx="93">
                  <c:v>15</c:v>
                </c:pt>
                <c:pt idx="94">
                  <c:v>15.142857142857142</c:v>
                </c:pt>
                <c:pt idx="95">
                  <c:v>14.857142857142858</c:v>
                </c:pt>
                <c:pt idx="96">
                  <c:v>13.857142857142858</c:v>
                </c:pt>
                <c:pt idx="97">
                  <c:v>13.571428571428571</c:v>
                </c:pt>
                <c:pt idx="98">
                  <c:v>13.714285714285714</c:v>
                </c:pt>
                <c:pt idx="99">
                  <c:v>13.571428571428571</c:v>
                </c:pt>
                <c:pt idx="100">
                  <c:v>12.857142857142858</c:v>
                </c:pt>
                <c:pt idx="101">
                  <c:v>13</c:v>
                </c:pt>
                <c:pt idx="102">
                  <c:v>13.142857142857142</c:v>
                </c:pt>
                <c:pt idx="103">
                  <c:v>13.714285714285714</c:v>
                </c:pt>
                <c:pt idx="104">
                  <c:v>13.428571428571429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8-44E2-BBD0-09B16400A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840992"/>
        <c:axId val="595839328"/>
      </c:lineChart>
      <c:dateAx>
        <c:axId val="59584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39328"/>
        <c:crosses val="autoZero"/>
        <c:auto val="1"/>
        <c:lblOffset val="100"/>
        <c:baseTimeUnit val="days"/>
      </c:dateAx>
      <c:valAx>
        <c:axId val="595839328"/>
        <c:scaling>
          <c:orientation val="minMax"/>
          <c:max val="1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Policy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84099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accent3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Data'!$D$4</c:f>
              <c:strCache>
                <c:ptCount val="1"/>
                <c:pt idx="0">
                  <c:v>Average Proposer 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Data'!$D$5:$D$109</c:f>
              <c:numCache>
                <c:formatCode>#,##0</c:formatCode>
                <c:ptCount val="105"/>
                <c:pt idx="0">
                  <c:v>41.641968019872124</c:v>
                </c:pt>
                <c:pt idx="1">
                  <c:v>40.701229804810779</c:v>
                </c:pt>
                <c:pt idx="2">
                  <c:v>41.916966732866534</c:v>
                </c:pt>
                <c:pt idx="3">
                  <c:v>41.722334878045309</c:v>
                </c:pt>
                <c:pt idx="4">
                  <c:v>41.65477492039669</c:v>
                </c:pt>
                <c:pt idx="5">
                  <c:v>41.855643220565433</c:v>
                </c:pt>
                <c:pt idx="6">
                  <c:v>42.370970525519184</c:v>
                </c:pt>
                <c:pt idx="7">
                  <c:v>41.634751263337904</c:v>
                </c:pt>
                <c:pt idx="8">
                  <c:v>41.312769486046513</c:v>
                </c:pt>
                <c:pt idx="9">
                  <c:v>41.522291873073975</c:v>
                </c:pt>
                <c:pt idx="10">
                  <c:v>41.41442859229852</c:v>
                </c:pt>
                <c:pt idx="11">
                  <c:v>41.999496988627115</c:v>
                </c:pt>
                <c:pt idx="12">
                  <c:v>42.170842985616275</c:v>
                </c:pt>
                <c:pt idx="13">
                  <c:v>42.447568997452436</c:v>
                </c:pt>
                <c:pt idx="14">
                  <c:v>42.33378164056387</c:v>
                </c:pt>
                <c:pt idx="15">
                  <c:v>43.169868228537617</c:v>
                </c:pt>
                <c:pt idx="16">
                  <c:v>42.285172877522179</c:v>
                </c:pt>
                <c:pt idx="17">
                  <c:v>42.713394733937712</c:v>
                </c:pt>
                <c:pt idx="18">
                  <c:v>42.339429370285046</c:v>
                </c:pt>
                <c:pt idx="19">
                  <c:v>41.423195426983362</c:v>
                </c:pt>
                <c:pt idx="20">
                  <c:v>41.809375238009132</c:v>
                </c:pt>
                <c:pt idx="21">
                  <c:v>42.073437527241062</c:v>
                </c:pt>
                <c:pt idx="22">
                  <c:v>41.625059217961486</c:v>
                </c:pt>
                <c:pt idx="23">
                  <c:v>41.099294281735666</c:v>
                </c:pt>
                <c:pt idx="24">
                  <c:v>40.772938990595762</c:v>
                </c:pt>
                <c:pt idx="25">
                  <c:v>40.881210710729583</c:v>
                </c:pt>
                <c:pt idx="26">
                  <c:v>41.48936590785457</c:v>
                </c:pt>
                <c:pt idx="27">
                  <c:v>40.834146813507644</c:v>
                </c:pt>
                <c:pt idx="28">
                  <c:v>40.71192398071824</c:v>
                </c:pt>
                <c:pt idx="29">
                  <c:v>40.257117816357692</c:v>
                </c:pt>
                <c:pt idx="30">
                  <c:v>41.019256228231079</c:v>
                </c:pt>
                <c:pt idx="31">
                  <c:v>40.555155907385242</c:v>
                </c:pt>
                <c:pt idx="32">
                  <c:v>40.719270286800402</c:v>
                </c:pt>
                <c:pt idx="33">
                  <c:v>41.09667106692585</c:v>
                </c:pt>
                <c:pt idx="34">
                  <c:v>41.03072690025467</c:v>
                </c:pt>
                <c:pt idx="35">
                  <c:v>40.829484982879563</c:v>
                </c:pt>
                <c:pt idx="36">
                  <c:v>40.778048544535729</c:v>
                </c:pt>
                <c:pt idx="37">
                  <c:v>41.122361108095028</c:v>
                </c:pt>
                <c:pt idx="38">
                  <c:v>40.961934591450223</c:v>
                </c:pt>
                <c:pt idx="39">
                  <c:v>41.341565103498283</c:v>
                </c:pt>
                <c:pt idx="40">
                  <c:v>40.775303581084195</c:v>
                </c:pt>
                <c:pt idx="41">
                  <c:v>41.082814582731359</c:v>
                </c:pt>
                <c:pt idx="42">
                  <c:v>41.208552848660652</c:v>
                </c:pt>
                <c:pt idx="43">
                  <c:v>40.511578150757096</c:v>
                </c:pt>
                <c:pt idx="44">
                  <c:v>40.992145543774058</c:v>
                </c:pt>
                <c:pt idx="45">
                  <c:v>40.670448395396789</c:v>
                </c:pt>
                <c:pt idx="46">
                  <c:v>41.137692454889375</c:v>
                </c:pt>
                <c:pt idx="47">
                  <c:v>40.642666377775427</c:v>
                </c:pt>
                <c:pt idx="48">
                  <c:v>40.890110488232096</c:v>
                </c:pt>
                <c:pt idx="49">
                  <c:v>41.207599228647823</c:v>
                </c:pt>
                <c:pt idx="50">
                  <c:v>40.595508052281154</c:v>
                </c:pt>
                <c:pt idx="51">
                  <c:v>40.965049845675047</c:v>
                </c:pt>
                <c:pt idx="52">
                  <c:v>40.966143553152293</c:v>
                </c:pt>
                <c:pt idx="53">
                  <c:v>41.110684818061763</c:v>
                </c:pt>
                <c:pt idx="54">
                  <c:v>40.82405369848</c:v>
                </c:pt>
                <c:pt idx="55">
                  <c:v>41.567324959715428</c:v>
                </c:pt>
                <c:pt idx="56">
                  <c:v>41.577161595559787</c:v>
                </c:pt>
                <c:pt idx="57">
                  <c:v>41.270019786992393</c:v>
                </c:pt>
                <c:pt idx="58">
                  <c:v>41.227109604468566</c:v>
                </c:pt>
                <c:pt idx="59">
                  <c:v>41.021700826938407</c:v>
                </c:pt>
                <c:pt idx="60">
                  <c:v>41.167832793296533</c:v>
                </c:pt>
                <c:pt idx="61">
                  <c:v>40.369992857743014</c:v>
                </c:pt>
                <c:pt idx="62">
                  <c:v>41.501086726358814</c:v>
                </c:pt>
                <c:pt idx="63">
                  <c:v>41.337254076810709</c:v>
                </c:pt>
                <c:pt idx="64">
                  <c:v>41.370381194939611</c:v>
                </c:pt>
                <c:pt idx="65">
                  <c:v>40.721420307074574</c:v>
                </c:pt>
                <c:pt idx="66">
                  <c:v>40.555178706568945</c:v>
                </c:pt>
                <c:pt idx="67">
                  <c:v>40.390896511580081</c:v>
                </c:pt>
                <c:pt idx="68">
                  <c:v>40.182110053776455</c:v>
                </c:pt>
                <c:pt idx="69">
                  <c:v>40.266726634117397</c:v>
                </c:pt>
                <c:pt idx="70">
                  <c:v>39.503239056570678</c:v>
                </c:pt>
                <c:pt idx="71">
                  <c:v>40.044859120972227</c:v>
                </c:pt>
                <c:pt idx="72">
                  <c:v>39.41437416822567</c:v>
                </c:pt>
                <c:pt idx="73">
                  <c:v>39.014348671621732</c:v>
                </c:pt>
                <c:pt idx="74">
                  <c:v>38.998549129472764</c:v>
                </c:pt>
                <c:pt idx="75">
                  <c:v>39.542946704500551</c:v>
                </c:pt>
                <c:pt idx="76">
                  <c:v>38.583051877357612</c:v>
                </c:pt>
                <c:pt idx="77">
                  <c:v>39.198616600790501</c:v>
                </c:pt>
                <c:pt idx="78">
                  <c:v>39.507246376811615</c:v>
                </c:pt>
                <c:pt idx="79">
                  <c:v>39.638601036269463</c:v>
                </c:pt>
                <c:pt idx="80">
                  <c:v>39.429743589743559</c:v>
                </c:pt>
                <c:pt idx="81">
                  <c:v>39.644260599793142</c:v>
                </c:pt>
                <c:pt idx="82">
                  <c:v>39.858201058201061</c:v>
                </c:pt>
                <c:pt idx="83">
                  <c:v>39.739656912209895</c:v>
                </c:pt>
                <c:pt idx="84">
                  <c:v>39.839562443026395</c:v>
                </c:pt>
                <c:pt idx="85">
                  <c:v>39.937903625239692</c:v>
                </c:pt>
                <c:pt idx="86">
                  <c:v>39.590180360721455</c:v>
                </c:pt>
                <c:pt idx="87">
                  <c:v>40.104696673189828</c:v>
                </c:pt>
                <c:pt idx="88">
                  <c:v>40.58101135190919</c:v>
                </c:pt>
                <c:pt idx="89">
                  <c:v>40.188477366255121</c:v>
                </c:pt>
                <c:pt idx="90">
                  <c:v>40.566277836691427</c:v>
                </c:pt>
                <c:pt idx="91">
                  <c:v>39.532139093782938</c:v>
                </c:pt>
                <c:pt idx="92">
                  <c:v>39.244644870349518</c:v>
                </c:pt>
                <c:pt idx="93">
                  <c:v>39.886639676113369</c:v>
                </c:pt>
                <c:pt idx="94">
                  <c:v>39.853807106598985</c:v>
                </c:pt>
                <c:pt idx="95">
                  <c:v>39.492571428571438</c:v>
                </c:pt>
                <c:pt idx="96">
                  <c:v>39.477188655980306</c:v>
                </c:pt>
                <c:pt idx="97">
                  <c:v>38.776207302709089</c:v>
                </c:pt>
                <c:pt idx="98">
                  <c:v>38.771023302938168</c:v>
                </c:pt>
                <c:pt idx="99">
                  <c:v>38.292431192660572</c:v>
                </c:pt>
                <c:pt idx="100">
                  <c:v>39.448043184885314</c:v>
                </c:pt>
                <c:pt idx="101">
                  <c:v>38.861454046639267</c:v>
                </c:pt>
                <c:pt idx="102">
                  <c:v>38.374401913875623</c:v>
                </c:pt>
                <c:pt idx="103">
                  <c:v>37.580906148867356</c:v>
                </c:pt>
                <c:pt idx="104">
                  <c:v>38.142664872139989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3-464F-B463-49BE0BA57278}"/>
            </c:ext>
          </c:extLst>
        </c:ser>
        <c:ser>
          <c:idx val="2"/>
          <c:order val="1"/>
          <c:tx>
            <c:strRef>
              <c:f>'Averages Graph Data'!$E$4</c:f>
              <c:strCache>
                <c:ptCount val="1"/>
                <c:pt idx="0">
                  <c:v>Average Proposer Age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Data'!$E$5:$E$109</c:f>
              <c:numCache>
                <c:formatCode>#,##0</c:formatCode>
                <c:ptCount val="105"/>
                <c:pt idx="3">
                  <c:v>41.495624858898687</c:v>
                </c:pt>
                <c:pt idx="4">
                  <c:v>41.498826584029828</c:v>
                </c:pt>
                <c:pt idx="5">
                  <c:v>41.78742993796849</c:v>
                </c:pt>
                <c:pt idx="6">
                  <c:v>41.900930886131661</c:v>
                </c:pt>
                <c:pt idx="7">
                  <c:v>41.879034982454797</c:v>
                </c:pt>
                <c:pt idx="8">
                  <c:v>41.793533623867255</c:v>
                </c:pt>
                <c:pt idx="9">
                  <c:v>41.710195786994397</c:v>
                </c:pt>
                <c:pt idx="10">
                  <c:v>41.471060303689228</c:v>
                </c:pt>
                <c:pt idx="11">
                  <c:v>41.562246735011527</c:v>
                </c:pt>
                <c:pt idx="12">
                  <c:v>41.776765109903977</c:v>
                </c:pt>
                <c:pt idx="13">
                  <c:v>42.00808439099859</c:v>
                </c:pt>
                <c:pt idx="14">
                  <c:v>42.237922653064928</c:v>
                </c:pt>
                <c:pt idx="15">
                  <c:v>42.530515463042548</c:v>
                </c:pt>
                <c:pt idx="16">
                  <c:v>42.559097936019022</c:v>
                </c:pt>
                <c:pt idx="17">
                  <c:v>42.625554370140343</c:v>
                </c:pt>
                <c:pt idx="18">
                  <c:v>42.626966302570636</c:v>
                </c:pt>
                <c:pt idx="19">
                  <c:v>42.190298102182076</c:v>
                </c:pt>
                <c:pt idx="20">
                  <c:v>42.071348692303815</c:v>
                </c:pt>
                <c:pt idx="21">
                  <c:v>41.911359390629649</c:v>
                </c:pt>
                <c:pt idx="22">
                  <c:v>41.732766852548757</c:v>
                </c:pt>
                <c:pt idx="23">
                  <c:v>41.651791566236838</c:v>
                </c:pt>
                <c:pt idx="24">
                  <c:v>41.392682504383494</c:v>
                </c:pt>
                <c:pt idx="25">
                  <c:v>41.094625800255621</c:v>
                </c:pt>
                <c:pt idx="26">
                  <c:v>41.060702472728892</c:v>
                </c:pt>
                <c:pt idx="27">
                  <c:v>40.99441560567189</c:v>
                </c:pt>
                <c:pt idx="28">
                  <c:v>40.979161853202513</c:v>
                </c:pt>
                <c:pt idx="29">
                  <c:v>40.823138629609538</c:v>
                </c:pt>
                <c:pt idx="30">
                  <c:v>40.705611209703662</c:v>
                </c:pt>
                <c:pt idx="31">
                  <c:v>40.635863483173068</c:v>
                </c:pt>
                <c:pt idx="32">
                  <c:v>40.637700059693607</c:v>
                </c:pt>
                <c:pt idx="33">
                  <c:v>40.847588372335636</c:v>
                </c:pt>
                <c:pt idx="34">
                  <c:v>40.850456040341541</c:v>
                </c:pt>
                <c:pt idx="35">
                  <c:v>40.919038309215125</c:v>
                </c:pt>
                <c:pt idx="36">
                  <c:v>40.93373287364895</c:v>
                </c:pt>
                <c:pt idx="37">
                  <c:v>40.940155383941246</c:v>
                </c:pt>
                <c:pt idx="38">
                  <c:v>40.92295730674013</c:v>
                </c:pt>
                <c:pt idx="39">
                  <c:v>41.050977336894817</c:v>
                </c:pt>
                <c:pt idx="40">
                  <c:v>41.050291096031934</c:v>
                </c:pt>
                <c:pt idx="41">
                  <c:v>41.040404464691008</c:v>
                </c:pt>
                <c:pt idx="42">
                  <c:v>41.102059028993622</c:v>
                </c:pt>
                <c:pt idx="43">
                  <c:v>40.894562290808324</c:v>
                </c:pt>
                <c:pt idx="44">
                  <c:v>40.948772781480791</c:v>
                </c:pt>
                <c:pt idx="45">
                  <c:v>40.845681234647145</c:v>
                </c:pt>
                <c:pt idx="46">
                  <c:v>40.827966136204324</c:v>
                </c:pt>
                <c:pt idx="47">
                  <c:v>40.860738192958912</c:v>
                </c:pt>
                <c:pt idx="48">
                  <c:v>40.835229429073422</c:v>
                </c:pt>
                <c:pt idx="49">
                  <c:v>40.969517137386177</c:v>
                </c:pt>
                <c:pt idx="50">
                  <c:v>40.833971036734127</c:v>
                </c:pt>
                <c:pt idx="51">
                  <c:v>40.91456690370903</c:v>
                </c:pt>
                <c:pt idx="52">
                  <c:v>40.933575169939076</c:v>
                </c:pt>
                <c:pt idx="53">
                  <c:v>40.909346567292566</c:v>
                </c:pt>
                <c:pt idx="54">
                  <c:v>40.966482978842279</c:v>
                </c:pt>
                <c:pt idx="55">
                  <c:v>41.117051757352371</c:v>
                </c:pt>
                <c:pt idx="56">
                  <c:v>41.269806267954237</c:v>
                </c:pt>
                <c:pt idx="57">
                  <c:v>41.309640010186904</c:v>
                </c:pt>
                <c:pt idx="58">
                  <c:v>41.410403986684045</c:v>
                </c:pt>
                <c:pt idx="59">
                  <c:v>41.27399795348979</c:v>
                </c:pt>
                <c:pt idx="60">
                  <c:v>41.171665752923971</c:v>
                </c:pt>
                <c:pt idx="61">
                  <c:v>40.946659020611634</c:v>
                </c:pt>
                <c:pt idx="62">
                  <c:v>41.01515330108419</c:v>
                </c:pt>
                <c:pt idx="63">
                  <c:v>41.094041613552264</c:v>
                </c:pt>
                <c:pt idx="64">
                  <c:v>41.144678713963039</c:v>
                </c:pt>
                <c:pt idx="65">
                  <c:v>41.23253557629593</c:v>
                </c:pt>
                <c:pt idx="66">
                  <c:v>40.996058571348456</c:v>
                </c:pt>
                <c:pt idx="67">
                  <c:v>40.759469180040803</c:v>
                </c:pt>
                <c:pt idx="68">
                  <c:v>40.462401394750017</c:v>
                </c:pt>
                <c:pt idx="69">
                  <c:v>40.348727976510716</c:v>
                </c:pt>
                <c:pt idx="70">
                  <c:v>40.085743064011155</c:v>
                </c:pt>
                <c:pt idx="71">
                  <c:v>39.999233716359186</c:v>
                </c:pt>
                <c:pt idx="72">
                  <c:v>39.807299744971495</c:v>
                </c:pt>
                <c:pt idx="73">
                  <c:v>39.494205254347577</c:v>
                </c:pt>
                <c:pt idx="74">
                  <c:v>39.368032772573102</c:v>
                </c:pt>
                <c:pt idx="75">
                  <c:v>39.242554668455185</c:v>
                </c:pt>
                <c:pt idx="76">
                  <c:v>39.034724095738163</c:v>
                </c:pt>
                <c:pt idx="77">
                  <c:v>39.080791078030359</c:v>
                </c:pt>
                <c:pt idx="78">
                  <c:v>39.207965389865073</c:v>
                </c:pt>
                <c:pt idx="79">
                  <c:v>39.231878972807294</c:v>
                </c:pt>
                <c:pt idx="80">
                  <c:v>39.443551900903785</c:v>
                </c:pt>
                <c:pt idx="81">
                  <c:v>39.554962900654445</c:v>
                </c:pt>
                <c:pt idx="82">
                  <c:v>39.642701571001808</c:v>
                </c:pt>
                <c:pt idx="83">
                  <c:v>39.667965539986916</c:v>
                </c:pt>
                <c:pt idx="84">
                  <c:v>39.77042025330762</c:v>
                </c:pt>
                <c:pt idx="85">
                  <c:v>39.843831009669259</c:v>
                </c:pt>
                <c:pt idx="86">
                  <c:v>39.776825835299363</c:v>
                </c:pt>
                <c:pt idx="87">
                  <c:v>39.868085775544344</c:v>
                </c:pt>
                <c:pt idx="88">
                  <c:v>40.053448002765037</c:v>
                </c:pt>
                <c:pt idx="89">
                  <c:v>40.116091438018898</c:v>
                </c:pt>
                <c:pt idx="90">
                  <c:v>40.36011580701139</c:v>
                </c:pt>
                <c:pt idx="91">
                  <c:v>40.216976412159667</c:v>
                </c:pt>
                <c:pt idx="92">
                  <c:v>39.882884791769754</c:v>
                </c:pt>
                <c:pt idx="93">
                  <c:v>39.807425369234316</c:v>
                </c:pt>
                <c:pt idx="94">
                  <c:v>39.629307686711201</c:v>
                </c:pt>
                <c:pt idx="95">
                  <c:v>39.619415770408331</c:v>
                </c:pt>
                <c:pt idx="96">
                  <c:v>39.677551716816026</c:v>
                </c:pt>
                <c:pt idx="97">
                  <c:v>39.399943623464956</c:v>
                </c:pt>
                <c:pt idx="98">
                  <c:v>39.129247672549752</c:v>
                </c:pt>
                <c:pt idx="99">
                  <c:v>38.829212613572039</c:v>
                </c:pt>
                <c:pt idx="100">
                  <c:v>38.821926245798288</c:v>
                </c:pt>
                <c:pt idx="101">
                  <c:v>38.843237931780827</c:v>
                </c:pt>
                <c:pt idx="102">
                  <c:v>38.744082584515198</c:v>
                </c:pt>
                <c:pt idx="103">
                  <c:v>38.566201323566887</c:v>
                </c:pt>
                <c:pt idx="104">
                  <c:v>38.239856745380564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3-464F-B463-49BE0BA57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Data'!$H$4</c:f>
              <c:strCache>
                <c:ptCount val="1"/>
                <c:pt idx="0">
                  <c:v>Average Proposer Age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Data'!$H$5:$H$109</c:f>
              <c:numCache>
                <c:formatCode>#,##0</c:formatCode>
                <c:ptCount val="105"/>
                <c:pt idx="0">
                  <c:v>43.642276422764226</c:v>
                </c:pt>
                <c:pt idx="1">
                  <c:v>42.159663865546214</c:v>
                </c:pt>
                <c:pt idx="2">
                  <c:v>44.789256198347104</c:v>
                </c:pt>
                <c:pt idx="3">
                  <c:v>44.516431924882625</c:v>
                </c:pt>
                <c:pt idx="4">
                  <c:v>43.869369369369373</c:v>
                </c:pt>
                <c:pt idx="5">
                  <c:v>44.166666666666664</c:v>
                </c:pt>
                <c:pt idx="6">
                  <c:v>46.671568627450995</c:v>
                </c:pt>
                <c:pt idx="7">
                  <c:v>45.03448275862069</c:v>
                </c:pt>
                <c:pt idx="8">
                  <c:v>42.801687763713083</c:v>
                </c:pt>
                <c:pt idx="9">
                  <c:v>43.582456140350878</c:v>
                </c:pt>
                <c:pt idx="10">
                  <c:v>42.981072555205046</c:v>
                </c:pt>
                <c:pt idx="11">
                  <c:v>43.619658119658105</c:v>
                </c:pt>
                <c:pt idx="12">
                  <c:v>44.023316062176171</c:v>
                </c:pt>
                <c:pt idx="13">
                  <c:v>44.222482435597172</c:v>
                </c:pt>
                <c:pt idx="14">
                  <c:v>44.008316008315987</c:v>
                </c:pt>
                <c:pt idx="15">
                  <c:v>45.582623509369647</c:v>
                </c:pt>
                <c:pt idx="16">
                  <c:v>44.123115577889443</c:v>
                </c:pt>
                <c:pt idx="17">
                  <c:v>44.740406320541759</c:v>
                </c:pt>
                <c:pt idx="18">
                  <c:v>44.2729357798165</c:v>
                </c:pt>
                <c:pt idx="19">
                  <c:v>43.240121580547097</c:v>
                </c:pt>
                <c:pt idx="20">
                  <c:v>43.832335329341326</c:v>
                </c:pt>
                <c:pt idx="21">
                  <c:v>43.750582750582744</c:v>
                </c:pt>
                <c:pt idx="22">
                  <c:v>43.084788029925178</c:v>
                </c:pt>
                <c:pt idx="23">
                  <c:v>42.43607305936073</c:v>
                </c:pt>
                <c:pt idx="24">
                  <c:v>43.174698795180717</c:v>
                </c:pt>
                <c:pt idx="25">
                  <c:v>43.38243626062323</c:v>
                </c:pt>
                <c:pt idx="26">
                  <c:v>43.542105263157886</c:v>
                </c:pt>
                <c:pt idx="27">
                  <c:v>43.8390243902439</c:v>
                </c:pt>
                <c:pt idx="28">
                  <c:v>45.26382058880138</c:v>
                </c:pt>
                <c:pt idx="29">
                  <c:v>43.668997668997712</c:v>
                </c:pt>
                <c:pt idx="30">
                  <c:v>44.030487804878113</c:v>
                </c:pt>
                <c:pt idx="31">
                  <c:v>43.753747323340534</c:v>
                </c:pt>
                <c:pt idx="32">
                  <c:v>44.48975409836072</c:v>
                </c:pt>
                <c:pt idx="33">
                  <c:v>44.385796545105613</c:v>
                </c:pt>
                <c:pt idx="34">
                  <c:v>43.869098712446416</c:v>
                </c:pt>
                <c:pt idx="35">
                  <c:v>42.764285714285784</c:v>
                </c:pt>
                <c:pt idx="36">
                  <c:v>43.208602150537693</c:v>
                </c:pt>
                <c:pt idx="37">
                  <c:v>43.175182481751875</c:v>
                </c:pt>
                <c:pt idx="38">
                  <c:v>43.14062500000005</c:v>
                </c:pt>
                <c:pt idx="39">
                  <c:v>44.109865470852078</c:v>
                </c:pt>
                <c:pt idx="40">
                  <c:v>43.298319327731157</c:v>
                </c:pt>
                <c:pt idx="41">
                  <c:v>43.327058823529455</c:v>
                </c:pt>
                <c:pt idx="42">
                  <c:v>44.477434679334948</c:v>
                </c:pt>
                <c:pt idx="43">
                  <c:v>42.618925831202098</c:v>
                </c:pt>
                <c:pt idx="44">
                  <c:v>42.102380952381012</c:v>
                </c:pt>
                <c:pt idx="45">
                  <c:v>43.51304347826089</c:v>
                </c:pt>
                <c:pt idx="46">
                  <c:v>42.367567567567598</c:v>
                </c:pt>
                <c:pt idx="47">
                  <c:v>42.836990595611297</c:v>
                </c:pt>
                <c:pt idx="48">
                  <c:v>42.835051546391753</c:v>
                </c:pt>
                <c:pt idx="49">
                  <c:v>43.375838926174502</c:v>
                </c:pt>
                <c:pt idx="50">
                  <c:v>43.176100628930826</c:v>
                </c:pt>
                <c:pt idx="51">
                  <c:v>43.367088607594944</c:v>
                </c:pt>
                <c:pt idx="52">
                  <c:v>43.287401574803141</c:v>
                </c:pt>
                <c:pt idx="53">
                  <c:v>43.902777777777793</c:v>
                </c:pt>
                <c:pt idx="54">
                  <c:v>44.045833333333341</c:v>
                </c:pt>
                <c:pt idx="55">
                  <c:v>43.449664429530209</c:v>
                </c:pt>
                <c:pt idx="56">
                  <c:v>43.789062500000014</c:v>
                </c:pt>
                <c:pt idx="57">
                  <c:v>43.97318007662836</c:v>
                </c:pt>
                <c:pt idx="58">
                  <c:v>43.080000000000005</c:v>
                </c:pt>
                <c:pt idx="59">
                  <c:v>44.95330739299613</c:v>
                </c:pt>
                <c:pt idx="60">
                  <c:v>44.694174757281552</c:v>
                </c:pt>
                <c:pt idx="61">
                  <c:v>43.225000000000001</c:v>
                </c:pt>
                <c:pt idx="62">
                  <c:v>43.638225255972721</c:v>
                </c:pt>
                <c:pt idx="63">
                  <c:v>43.020270270270288</c:v>
                </c:pt>
                <c:pt idx="64">
                  <c:v>44.470338983050851</c:v>
                </c:pt>
                <c:pt idx="65">
                  <c:v>43.903614457831353</c:v>
                </c:pt>
                <c:pt idx="66">
                  <c:v>41.956647398843955</c:v>
                </c:pt>
                <c:pt idx="67">
                  <c:v>43.571895424836612</c:v>
                </c:pt>
                <c:pt idx="68">
                  <c:v>42.606811145510846</c:v>
                </c:pt>
                <c:pt idx="69">
                  <c:v>43.032894736842138</c:v>
                </c:pt>
                <c:pt idx="70">
                  <c:v>40.87455197132617</c:v>
                </c:pt>
                <c:pt idx="71">
                  <c:v>43.202702702702702</c:v>
                </c:pt>
                <c:pt idx="72">
                  <c:v>41.439613526570042</c:v>
                </c:pt>
                <c:pt idx="73">
                  <c:v>40.559386973180075</c:v>
                </c:pt>
                <c:pt idx="74">
                  <c:v>40.74285714285714</c:v>
                </c:pt>
                <c:pt idx="75">
                  <c:v>41.774358974358975</c:v>
                </c:pt>
                <c:pt idx="76">
                  <c:v>39.934693877551027</c:v>
                </c:pt>
                <c:pt idx="77">
                  <c:v>41.705627705627727</c:v>
                </c:pt>
                <c:pt idx="78">
                  <c:v>40.956989247311824</c:v>
                </c:pt>
                <c:pt idx="79">
                  <c:v>41.173913043478265</c:v>
                </c:pt>
                <c:pt idx="80">
                  <c:v>42.054187192118235</c:v>
                </c:pt>
                <c:pt idx="81">
                  <c:v>42.497267759562838</c:v>
                </c:pt>
                <c:pt idx="82">
                  <c:v>42.173469387755091</c:v>
                </c:pt>
                <c:pt idx="83">
                  <c:v>41.876288659793815</c:v>
                </c:pt>
                <c:pt idx="84">
                  <c:v>42.990476190476187</c:v>
                </c:pt>
                <c:pt idx="85">
                  <c:v>45.066079295154189</c:v>
                </c:pt>
                <c:pt idx="86">
                  <c:v>42.208791208791212</c:v>
                </c:pt>
                <c:pt idx="87">
                  <c:v>43.269999999999996</c:v>
                </c:pt>
                <c:pt idx="88">
                  <c:v>44.818627450980401</c:v>
                </c:pt>
                <c:pt idx="89">
                  <c:v>42.711462450592904</c:v>
                </c:pt>
                <c:pt idx="90">
                  <c:v>42.945812807881772</c:v>
                </c:pt>
                <c:pt idx="91">
                  <c:v>42.678217821782184</c:v>
                </c:pt>
                <c:pt idx="92">
                  <c:v>42.182741116751259</c:v>
                </c:pt>
                <c:pt idx="93">
                  <c:v>43.078431372549019</c:v>
                </c:pt>
                <c:pt idx="94">
                  <c:v>42.88725490196078</c:v>
                </c:pt>
                <c:pt idx="95">
                  <c:v>41.691860465116278</c:v>
                </c:pt>
                <c:pt idx="96">
                  <c:v>43.037837837837834</c:v>
                </c:pt>
                <c:pt idx="97">
                  <c:v>41.639534883720934</c:v>
                </c:pt>
                <c:pt idx="98">
                  <c:v>40.828431372549012</c:v>
                </c:pt>
                <c:pt idx="99">
                  <c:v>41.780104712041883</c:v>
                </c:pt>
                <c:pt idx="100">
                  <c:v>41.545454545454547</c:v>
                </c:pt>
                <c:pt idx="101">
                  <c:v>41.050000000000004</c:v>
                </c:pt>
                <c:pt idx="102">
                  <c:v>40.799999999999997</c:v>
                </c:pt>
                <c:pt idx="103">
                  <c:v>40.015037593984964</c:v>
                </c:pt>
                <c:pt idx="104">
                  <c:v>40.487804878048777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5-48CE-B06B-6584DD9C383C}"/>
            </c:ext>
          </c:extLst>
        </c:ser>
        <c:ser>
          <c:idx val="2"/>
          <c:order val="1"/>
          <c:tx>
            <c:strRef>
              <c:f>'Averages Graph Data'!$I$4</c:f>
              <c:strCache>
                <c:ptCount val="1"/>
                <c:pt idx="0">
                  <c:v>Average Proposer Age - 4 Week Avg (Boom Annual Up Front)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Data'!$I$5:$I$109</c:f>
              <c:numCache>
                <c:formatCode>#,##0</c:formatCode>
                <c:ptCount val="105"/>
                <c:pt idx="3">
                  <c:v>43.776907102885048</c:v>
                </c:pt>
                <c:pt idx="4">
                  <c:v>43.833680339536329</c:v>
                </c:pt>
                <c:pt idx="5">
                  <c:v>44.335431039816442</c:v>
                </c:pt>
                <c:pt idx="6">
                  <c:v>44.806009147092411</c:v>
                </c:pt>
                <c:pt idx="7">
                  <c:v>44.935521855526929</c:v>
                </c:pt>
                <c:pt idx="8">
                  <c:v>44.66860145411286</c:v>
                </c:pt>
                <c:pt idx="9">
                  <c:v>44.522548822533913</c:v>
                </c:pt>
                <c:pt idx="10">
                  <c:v>43.599924804472423</c:v>
                </c:pt>
                <c:pt idx="11">
                  <c:v>43.246218644731776</c:v>
                </c:pt>
                <c:pt idx="12">
                  <c:v>43.551625719347555</c:v>
                </c:pt>
                <c:pt idx="13">
                  <c:v>43.711632293159127</c:v>
                </c:pt>
                <c:pt idx="14">
                  <c:v>43.968443156436862</c:v>
                </c:pt>
                <c:pt idx="15">
                  <c:v>44.459184503864741</c:v>
                </c:pt>
                <c:pt idx="16">
                  <c:v>44.484134382793066</c:v>
                </c:pt>
                <c:pt idx="17">
                  <c:v>44.613615354029207</c:v>
                </c:pt>
                <c:pt idx="18">
                  <c:v>44.679770296904337</c:v>
                </c:pt>
                <c:pt idx="19">
                  <c:v>44.094144814698694</c:v>
                </c:pt>
                <c:pt idx="20">
                  <c:v>44.021449752561672</c:v>
                </c:pt>
                <c:pt idx="21">
                  <c:v>43.773993860071919</c:v>
                </c:pt>
                <c:pt idx="22">
                  <c:v>43.476956922599086</c:v>
                </c:pt>
                <c:pt idx="23">
                  <c:v>43.275944792302489</c:v>
                </c:pt>
                <c:pt idx="24">
                  <c:v>43.111535658762342</c:v>
                </c:pt>
                <c:pt idx="25">
                  <c:v>43.019499036272464</c:v>
                </c:pt>
                <c:pt idx="26">
                  <c:v>43.133828344580635</c:v>
                </c:pt>
                <c:pt idx="27">
                  <c:v>43.484566177301431</c:v>
                </c:pt>
                <c:pt idx="28">
                  <c:v>44.006846625706601</c:v>
                </c:pt>
                <c:pt idx="29">
                  <c:v>44.078486977800218</c:v>
                </c:pt>
                <c:pt idx="30">
                  <c:v>44.200582613230274</c:v>
                </c:pt>
                <c:pt idx="31">
                  <c:v>44.179263346504428</c:v>
                </c:pt>
                <c:pt idx="32">
                  <c:v>43.985746723894266</c:v>
                </c:pt>
                <c:pt idx="33">
                  <c:v>44.164946442921249</c:v>
                </c:pt>
                <c:pt idx="34">
                  <c:v>44.124599169813322</c:v>
                </c:pt>
                <c:pt idx="35">
                  <c:v>43.87723376754964</c:v>
                </c:pt>
                <c:pt idx="36">
                  <c:v>43.556945780593878</c:v>
                </c:pt>
                <c:pt idx="37">
                  <c:v>43.254292264755442</c:v>
                </c:pt>
                <c:pt idx="38">
                  <c:v>43.072173836643856</c:v>
                </c:pt>
                <c:pt idx="39">
                  <c:v>43.408568775785426</c:v>
                </c:pt>
                <c:pt idx="40">
                  <c:v>43.430998070083788</c:v>
                </c:pt>
                <c:pt idx="41">
                  <c:v>43.468967155528183</c:v>
                </c:pt>
                <c:pt idx="42">
                  <c:v>43.803169575361913</c:v>
                </c:pt>
                <c:pt idx="43">
                  <c:v>43.430434665449411</c:v>
                </c:pt>
                <c:pt idx="44">
                  <c:v>43.13145007161188</c:v>
                </c:pt>
                <c:pt idx="45">
                  <c:v>43.177946235294741</c:v>
                </c:pt>
                <c:pt idx="46">
                  <c:v>42.650479457352901</c:v>
                </c:pt>
                <c:pt idx="47">
                  <c:v>42.704995648455196</c:v>
                </c:pt>
                <c:pt idx="48">
                  <c:v>42.888163296957885</c:v>
                </c:pt>
                <c:pt idx="49">
                  <c:v>42.853862158936288</c:v>
                </c:pt>
                <c:pt idx="50">
                  <c:v>43.0559954242771</c:v>
                </c:pt>
                <c:pt idx="51">
                  <c:v>43.188519927273006</c:v>
                </c:pt>
                <c:pt idx="52">
                  <c:v>43.301607434375853</c:v>
                </c:pt>
                <c:pt idx="53">
                  <c:v>43.433342147276676</c:v>
                </c:pt>
                <c:pt idx="54">
                  <c:v>43.65077532337731</c:v>
                </c:pt>
                <c:pt idx="55">
                  <c:v>43.671419278861123</c:v>
                </c:pt>
                <c:pt idx="56">
                  <c:v>43.796834510160338</c:v>
                </c:pt>
                <c:pt idx="57">
                  <c:v>43.814435084872983</c:v>
                </c:pt>
                <c:pt idx="58">
                  <c:v>43.572976751539649</c:v>
                </c:pt>
                <c:pt idx="59">
                  <c:v>43.948887492406129</c:v>
                </c:pt>
                <c:pt idx="60">
                  <c:v>44.175165556726512</c:v>
                </c:pt>
                <c:pt idx="61">
                  <c:v>43.988120537569422</c:v>
                </c:pt>
                <c:pt idx="62">
                  <c:v>44.127676851562597</c:v>
                </c:pt>
                <c:pt idx="63">
                  <c:v>43.644417570881139</c:v>
                </c:pt>
                <c:pt idx="64">
                  <c:v>43.588458627323462</c:v>
                </c:pt>
                <c:pt idx="65">
                  <c:v>43.758112241781305</c:v>
                </c:pt>
                <c:pt idx="66">
                  <c:v>43.337717777499115</c:v>
                </c:pt>
                <c:pt idx="67">
                  <c:v>43.475624066140696</c:v>
                </c:pt>
                <c:pt idx="68">
                  <c:v>43.009742106755695</c:v>
                </c:pt>
                <c:pt idx="69">
                  <c:v>42.792062176508388</c:v>
                </c:pt>
                <c:pt idx="70">
                  <c:v>42.521538319628945</c:v>
                </c:pt>
                <c:pt idx="71">
                  <c:v>42.429240139095462</c:v>
                </c:pt>
                <c:pt idx="72">
                  <c:v>42.137440734360261</c:v>
                </c:pt>
                <c:pt idx="73">
                  <c:v>41.519063793444744</c:v>
                </c:pt>
                <c:pt idx="74">
                  <c:v>41.486140086327488</c:v>
                </c:pt>
                <c:pt idx="75">
                  <c:v>41.129054154241558</c:v>
                </c:pt>
                <c:pt idx="76">
                  <c:v>40.752824241986801</c:v>
                </c:pt>
                <c:pt idx="77">
                  <c:v>41.039384425098717</c:v>
                </c:pt>
                <c:pt idx="78">
                  <c:v>41.092917451212386</c:v>
                </c:pt>
                <c:pt idx="79">
                  <c:v>40.942805968492209</c:v>
                </c:pt>
                <c:pt idx="80">
                  <c:v>41.472679297134007</c:v>
                </c:pt>
                <c:pt idx="81">
                  <c:v>41.670589310617792</c:v>
                </c:pt>
                <c:pt idx="82">
                  <c:v>41.974709345728606</c:v>
                </c:pt>
                <c:pt idx="83">
                  <c:v>42.150303249807493</c:v>
                </c:pt>
                <c:pt idx="84">
                  <c:v>42.384375499396981</c:v>
                </c:pt>
                <c:pt idx="85">
                  <c:v>43.026578383294819</c:v>
                </c:pt>
                <c:pt idx="86">
                  <c:v>43.035408838553849</c:v>
                </c:pt>
                <c:pt idx="87">
                  <c:v>43.383836673605401</c:v>
                </c:pt>
                <c:pt idx="88">
                  <c:v>43.840874488731444</c:v>
                </c:pt>
                <c:pt idx="89">
                  <c:v>43.252220277591128</c:v>
                </c:pt>
                <c:pt idx="90">
                  <c:v>43.436475677363767</c:v>
                </c:pt>
                <c:pt idx="91">
                  <c:v>43.288530132809313</c:v>
                </c:pt>
                <c:pt idx="92">
                  <c:v>42.629558549252032</c:v>
                </c:pt>
                <c:pt idx="93">
                  <c:v>42.721300779741057</c:v>
                </c:pt>
                <c:pt idx="94">
                  <c:v>42.706661303260809</c:v>
                </c:pt>
                <c:pt idx="95">
                  <c:v>42.46007196409434</c:v>
                </c:pt>
                <c:pt idx="96">
                  <c:v>42.673846144365982</c:v>
                </c:pt>
                <c:pt idx="97">
                  <c:v>42.314122022158955</c:v>
                </c:pt>
                <c:pt idx="98">
                  <c:v>41.799416139806013</c:v>
                </c:pt>
                <c:pt idx="99">
                  <c:v>41.821477201537419</c:v>
                </c:pt>
                <c:pt idx="100">
                  <c:v>41.448381378441596</c:v>
                </c:pt>
                <c:pt idx="101">
                  <c:v>41.30099765751136</c:v>
                </c:pt>
                <c:pt idx="102">
                  <c:v>41.293889814374111</c:v>
                </c:pt>
                <c:pt idx="103">
                  <c:v>40.852623034859874</c:v>
                </c:pt>
                <c:pt idx="104">
                  <c:v>40.588210618008432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5-48CE-B06B-6584DD9C3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Proposer 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'Averages Graph Data'!$L$4</c:f>
              <c:strCache>
                <c:ptCount val="1"/>
                <c:pt idx="0">
                  <c:v>Average Proposer Age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Data'!$L$5:$L$109</c:f>
              <c:numCache>
                <c:formatCode>#,##0</c:formatCode>
                <c:ptCount val="105"/>
                <c:pt idx="0">
                  <c:v>40.058963511369548</c:v>
                </c:pt>
                <c:pt idx="1">
                  <c:v>39.649651394422214</c:v>
                </c:pt>
                <c:pt idx="2">
                  <c:v>39.968848141467689</c:v>
                </c:pt>
                <c:pt idx="3">
                  <c:v>39.723245262876965</c:v>
                </c:pt>
                <c:pt idx="4">
                  <c:v>40.01168348380245</c:v>
                </c:pt>
                <c:pt idx="5">
                  <c:v>40.193099897013383</c:v>
                </c:pt>
                <c:pt idx="6">
                  <c:v>39.627577639751543</c:v>
                </c:pt>
                <c:pt idx="7">
                  <c:v>39.989469192435884</c:v>
                </c:pt>
                <c:pt idx="8">
                  <c:v>40.136201699095466</c:v>
                </c:pt>
                <c:pt idx="9">
                  <c:v>39.784184914841696</c:v>
                </c:pt>
                <c:pt idx="10">
                  <c:v>39.973043893129613</c:v>
                </c:pt>
                <c:pt idx="11">
                  <c:v>39.860271156134949</c:v>
                </c:pt>
                <c:pt idx="12">
                  <c:v>39.868508569966743</c:v>
                </c:pt>
                <c:pt idx="13">
                  <c:v>40.143478260869578</c:v>
                </c:pt>
                <c:pt idx="14">
                  <c:v>39.950152833294155</c:v>
                </c:pt>
                <c:pt idx="15">
                  <c:v>39.91331737420159</c:v>
                </c:pt>
                <c:pt idx="16">
                  <c:v>40.106487148102673</c:v>
                </c:pt>
                <c:pt idx="17">
                  <c:v>40.209899175068578</c:v>
                </c:pt>
                <c:pt idx="18">
                  <c:v>40.046937863209457</c:v>
                </c:pt>
                <c:pt idx="19">
                  <c:v>39.841452805567485</c:v>
                </c:pt>
                <c:pt idx="20">
                  <c:v>40.059186714924294</c:v>
                </c:pt>
                <c:pt idx="21">
                  <c:v>40.088435374149512</c:v>
                </c:pt>
                <c:pt idx="22">
                  <c:v>40.083549783549621</c:v>
                </c:pt>
                <c:pt idx="23">
                  <c:v>40.073208722741299</c:v>
                </c:pt>
                <c:pt idx="24">
                  <c:v>40.048332889455359</c:v>
                </c:pt>
                <c:pt idx="25">
                  <c:v>40.283518145161089</c:v>
                </c:pt>
                <c:pt idx="26">
                  <c:v>40.290412876137054</c:v>
                </c:pt>
                <c:pt idx="27">
                  <c:v>40.26143946615808</c:v>
                </c:pt>
                <c:pt idx="28">
                  <c:v>40.064734465989353</c:v>
                </c:pt>
                <c:pt idx="29">
                  <c:v>40.323844419391278</c:v>
                </c:pt>
                <c:pt idx="30">
                  <c:v>40.255863539445649</c:v>
                </c:pt>
                <c:pt idx="31">
                  <c:v>40.190300474433322</c:v>
                </c:pt>
                <c:pt idx="32">
                  <c:v>40.028188668713476</c:v>
                </c:pt>
                <c:pt idx="33">
                  <c:v>40.17128210099694</c:v>
                </c:pt>
                <c:pt idx="34">
                  <c:v>40.361180124223338</c:v>
                </c:pt>
                <c:pt idx="35">
                  <c:v>40.210400478182628</c:v>
                </c:pt>
                <c:pt idx="36">
                  <c:v>40.213408876298139</c:v>
                </c:pt>
                <c:pt idx="37">
                  <c:v>40.129135720544447</c:v>
                </c:pt>
                <c:pt idx="38">
                  <c:v>40.501051156272069</c:v>
                </c:pt>
                <c:pt idx="39">
                  <c:v>40.314482758620862</c:v>
                </c:pt>
                <c:pt idx="40">
                  <c:v>40.445158985352073</c:v>
                </c:pt>
                <c:pt idx="41">
                  <c:v>39.91335877862609</c:v>
                </c:pt>
                <c:pt idx="42">
                  <c:v>40.780714817572296</c:v>
                </c:pt>
                <c:pt idx="43">
                  <c:v>40.613152804641878</c:v>
                </c:pt>
                <c:pt idx="44">
                  <c:v>40.408456026058445</c:v>
                </c:pt>
                <c:pt idx="45">
                  <c:v>40.543287327477763</c:v>
                </c:pt>
                <c:pt idx="46">
                  <c:v>40.597610879576671</c:v>
                </c:pt>
                <c:pt idx="47">
                  <c:v>40.55824175824192</c:v>
                </c:pt>
                <c:pt idx="48">
                  <c:v>40.582006026689804</c:v>
                </c:pt>
                <c:pt idx="49">
                  <c:v>40.456956724057861</c:v>
                </c:pt>
                <c:pt idx="50">
                  <c:v>40.700000000000102</c:v>
                </c:pt>
                <c:pt idx="51">
                  <c:v>40.847906730259744</c:v>
                </c:pt>
                <c:pt idx="52">
                  <c:v>40.551294343240791</c:v>
                </c:pt>
                <c:pt idx="53">
                  <c:v>40.482617586912177</c:v>
                </c:pt>
                <c:pt idx="54">
                  <c:v>40.49239956568956</c:v>
                </c:pt>
                <c:pt idx="55">
                  <c:v>41.009456410311003</c:v>
                </c:pt>
                <c:pt idx="56">
                  <c:v>40.53056516724314</c:v>
                </c:pt>
                <c:pt idx="57">
                  <c:v>40.192806603773377</c:v>
                </c:pt>
                <c:pt idx="58">
                  <c:v>40.966577540106726</c:v>
                </c:pt>
                <c:pt idx="59">
                  <c:v>40.50497369120815</c:v>
                </c:pt>
                <c:pt idx="60">
                  <c:v>40.511861969805885</c:v>
                </c:pt>
                <c:pt idx="61">
                  <c:v>40.51339285714284</c:v>
                </c:pt>
                <c:pt idx="62">
                  <c:v>40.659863945578238</c:v>
                </c:pt>
                <c:pt idx="63">
                  <c:v>41.213597224089632</c:v>
                </c:pt>
                <c:pt idx="64">
                  <c:v>41.343283582089533</c:v>
                </c:pt>
                <c:pt idx="65">
                  <c:v>40.136971046770583</c:v>
                </c:pt>
                <c:pt idx="66">
                  <c:v>40.161997563946372</c:v>
                </c:pt>
                <c:pt idx="67">
                  <c:v>40.925217391304336</c:v>
                </c:pt>
                <c:pt idx="68">
                  <c:v>40.624558650324488</c:v>
                </c:pt>
                <c:pt idx="69">
                  <c:v>39.898437500000028</c:v>
                </c:pt>
                <c:pt idx="70">
                  <c:v>40.218777166075938</c:v>
                </c:pt>
                <c:pt idx="71">
                  <c:v>41.07119741100324</c:v>
                </c:pt>
                <c:pt idx="72">
                  <c:v>40.914572864321599</c:v>
                </c:pt>
                <c:pt idx="73">
                  <c:v>42.054263565891468</c:v>
                </c:pt>
                <c:pt idx="74">
                  <c:v>41.233333333333327</c:v>
                </c:pt>
                <c:pt idx="75">
                  <c:v>41.882352941176464</c:v>
                </c:pt>
                <c:pt idx="76">
                  <c:v>46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CF-44A6-B440-312C722221DB}"/>
            </c:ext>
          </c:extLst>
        </c:ser>
        <c:ser>
          <c:idx val="2"/>
          <c:order val="1"/>
          <c:tx>
            <c:strRef>
              <c:f>'Averages Graph Data'!$M$4</c:f>
              <c:strCache>
                <c:ptCount val="1"/>
                <c:pt idx="0">
                  <c:v>Average Proposer Age - 4 Week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Data'!$M$5:$M$109</c:f>
              <c:numCache>
                <c:formatCode>#,##0</c:formatCode>
                <c:ptCount val="105"/>
                <c:pt idx="3">
                  <c:v>39.850177077534106</c:v>
                </c:pt>
                <c:pt idx="4">
                  <c:v>39.838357070642324</c:v>
                </c:pt>
                <c:pt idx="5">
                  <c:v>39.974219196290122</c:v>
                </c:pt>
                <c:pt idx="6">
                  <c:v>39.888901570861087</c:v>
                </c:pt>
                <c:pt idx="7">
                  <c:v>39.95545755325081</c:v>
                </c:pt>
                <c:pt idx="8">
                  <c:v>39.986587107074065</c:v>
                </c:pt>
                <c:pt idx="9">
                  <c:v>39.884358361531149</c:v>
                </c:pt>
                <c:pt idx="10">
                  <c:v>39.970724924875661</c:v>
                </c:pt>
                <c:pt idx="11">
                  <c:v>39.938425415800431</c:v>
                </c:pt>
                <c:pt idx="12">
                  <c:v>39.871502133518248</c:v>
                </c:pt>
                <c:pt idx="13">
                  <c:v>39.961325470025223</c:v>
                </c:pt>
                <c:pt idx="14">
                  <c:v>39.955602705066354</c:v>
                </c:pt>
                <c:pt idx="15">
                  <c:v>39.968864259583015</c:v>
                </c:pt>
                <c:pt idx="16">
                  <c:v>40.028358904116999</c:v>
                </c:pt>
                <c:pt idx="17">
                  <c:v>40.044964132666749</c:v>
                </c:pt>
                <c:pt idx="18">
                  <c:v>40.069160390145576</c:v>
                </c:pt>
                <c:pt idx="19">
                  <c:v>40.051194247987048</c:v>
                </c:pt>
                <c:pt idx="20">
                  <c:v>40.039369139692454</c:v>
                </c:pt>
                <c:pt idx="21">
                  <c:v>40.009003189462689</c:v>
                </c:pt>
                <c:pt idx="22">
                  <c:v>40.01815616954773</c:v>
                </c:pt>
                <c:pt idx="23">
                  <c:v>40.076095148841183</c:v>
                </c:pt>
                <c:pt idx="24">
                  <c:v>40.073381692473951</c:v>
                </c:pt>
                <c:pt idx="25">
                  <c:v>40.12215238522684</c:v>
                </c:pt>
                <c:pt idx="26">
                  <c:v>40.173868158373701</c:v>
                </c:pt>
                <c:pt idx="27">
                  <c:v>40.220925844227892</c:v>
                </c:pt>
                <c:pt idx="28">
                  <c:v>40.225026238361394</c:v>
                </c:pt>
                <c:pt idx="29">
                  <c:v>40.235107806918947</c:v>
                </c:pt>
                <c:pt idx="30">
                  <c:v>40.226470472746094</c:v>
                </c:pt>
                <c:pt idx="31">
                  <c:v>40.208685724814899</c:v>
                </c:pt>
                <c:pt idx="32">
                  <c:v>40.199549275495933</c:v>
                </c:pt>
                <c:pt idx="33">
                  <c:v>40.161408695897343</c:v>
                </c:pt>
                <c:pt idx="34">
                  <c:v>40.187737842091764</c:v>
                </c:pt>
                <c:pt idx="35">
                  <c:v>40.192762843029094</c:v>
                </c:pt>
                <c:pt idx="36">
                  <c:v>40.239067894925263</c:v>
                </c:pt>
                <c:pt idx="37">
                  <c:v>40.228531299812133</c:v>
                </c:pt>
                <c:pt idx="38">
                  <c:v>40.263499057824319</c:v>
                </c:pt>
                <c:pt idx="39">
                  <c:v>40.289519627933878</c:v>
                </c:pt>
                <c:pt idx="40">
                  <c:v>40.347457155197361</c:v>
                </c:pt>
                <c:pt idx="41">
                  <c:v>40.29351291971777</c:v>
                </c:pt>
                <c:pt idx="42">
                  <c:v>40.363428835042832</c:v>
                </c:pt>
                <c:pt idx="43">
                  <c:v>40.438096346548086</c:v>
                </c:pt>
                <c:pt idx="44">
                  <c:v>40.428920606724681</c:v>
                </c:pt>
                <c:pt idx="45">
                  <c:v>40.586402743937597</c:v>
                </c:pt>
                <c:pt idx="46">
                  <c:v>40.540626759438695</c:v>
                </c:pt>
                <c:pt idx="47">
                  <c:v>40.5268989978387</c:v>
                </c:pt>
                <c:pt idx="48">
                  <c:v>40.570286497996541</c:v>
                </c:pt>
                <c:pt idx="49">
                  <c:v>40.548703847141567</c:v>
                </c:pt>
                <c:pt idx="50">
                  <c:v>40.574301127247423</c:v>
                </c:pt>
                <c:pt idx="51">
                  <c:v>40.646717370251878</c:v>
                </c:pt>
                <c:pt idx="52">
                  <c:v>40.639039449389621</c:v>
                </c:pt>
                <c:pt idx="53">
                  <c:v>40.645454665103202</c:v>
                </c:pt>
                <c:pt idx="54">
                  <c:v>40.593554556525568</c:v>
                </c:pt>
                <c:pt idx="55">
                  <c:v>40.633941976538381</c:v>
                </c:pt>
                <c:pt idx="56">
                  <c:v>40.62875968253897</c:v>
                </c:pt>
                <c:pt idx="57">
                  <c:v>40.556306936754268</c:v>
                </c:pt>
                <c:pt idx="58">
                  <c:v>40.674851430358558</c:v>
                </c:pt>
                <c:pt idx="59">
                  <c:v>40.548730750582848</c:v>
                </c:pt>
                <c:pt idx="60">
                  <c:v>40.544054951223536</c:v>
                </c:pt>
                <c:pt idx="61">
                  <c:v>40.624201514565897</c:v>
                </c:pt>
                <c:pt idx="62">
                  <c:v>40.547523115933771</c:v>
                </c:pt>
                <c:pt idx="63">
                  <c:v>40.72467899915415</c:v>
                </c:pt>
                <c:pt idx="64">
                  <c:v>40.932534402225059</c:v>
                </c:pt>
                <c:pt idx="65">
                  <c:v>40.838428949631997</c:v>
                </c:pt>
                <c:pt idx="66">
                  <c:v>40.71396235422403</c:v>
                </c:pt>
                <c:pt idx="67">
                  <c:v>40.641867396027706</c:v>
                </c:pt>
                <c:pt idx="68">
                  <c:v>40.462186163086443</c:v>
                </c:pt>
                <c:pt idx="69">
                  <c:v>40.402552776393804</c:v>
                </c:pt>
                <c:pt idx="70">
                  <c:v>40.4167476769262</c:v>
                </c:pt>
                <c:pt idx="71">
                  <c:v>40.453242681850924</c:v>
                </c:pt>
                <c:pt idx="72">
                  <c:v>40.525746235350198</c:v>
                </c:pt>
                <c:pt idx="73">
                  <c:v>41.064702751823063</c:v>
                </c:pt>
                <c:pt idx="74">
                  <c:v>41.318341793637408</c:v>
                </c:pt>
                <c:pt idx="75">
                  <c:v>41.521130676180711</c:v>
                </c:pt>
                <c:pt idx="76">
                  <c:v>42.792487460100318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CF-44A6-B440-312C72222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Data'!$P$4</c:f>
              <c:strCache>
                <c:ptCount val="1"/>
                <c:pt idx="0">
                  <c:v>Average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Data'!$P$5:$P$109</c:f>
              <c:numCache>
                <c:formatCode>0.0%</c:formatCode>
                <c:ptCount val="105"/>
                <c:pt idx="0">
                  <c:v>0.16472324723070797</c:v>
                </c:pt>
                <c:pt idx="1">
                  <c:v>0.14950566674338123</c:v>
                </c:pt>
                <c:pt idx="2">
                  <c:v>0.13649153790657234</c:v>
                </c:pt>
                <c:pt idx="3">
                  <c:v>0.15011158319864881</c:v>
                </c:pt>
                <c:pt idx="4">
                  <c:v>0.16078299447199915</c:v>
                </c:pt>
                <c:pt idx="5">
                  <c:v>0.11957700371136797</c:v>
                </c:pt>
                <c:pt idx="6">
                  <c:v>0.13113999529661999</c:v>
                </c:pt>
                <c:pt idx="7">
                  <c:v>0.1351363841741916</c:v>
                </c:pt>
                <c:pt idx="8">
                  <c:v>0.1275162648271799</c:v>
                </c:pt>
                <c:pt idx="9">
                  <c:v>0.10366215770074753</c:v>
                </c:pt>
                <c:pt idx="10">
                  <c:v>0.11094775640192125</c:v>
                </c:pt>
                <c:pt idx="11">
                  <c:v>7.9995469565503741E-2</c:v>
                </c:pt>
                <c:pt idx="12">
                  <c:v>8.7653539222936436E-2</c:v>
                </c:pt>
                <c:pt idx="13">
                  <c:v>6.3881992646648983E-2</c:v>
                </c:pt>
                <c:pt idx="14">
                  <c:v>8.3181109529638975E-2</c:v>
                </c:pt>
                <c:pt idx="15">
                  <c:v>8.0140484457989714E-2</c:v>
                </c:pt>
                <c:pt idx="16">
                  <c:v>7.9437682023281664E-2</c:v>
                </c:pt>
                <c:pt idx="17">
                  <c:v>8.0737487824549495E-2</c:v>
                </c:pt>
                <c:pt idx="18">
                  <c:v>7.3731933460013888E-2</c:v>
                </c:pt>
                <c:pt idx="19">
                  <c:v>8.0806123436856697E-2</c:v>
                </c:pt>
                <c:pt idx="20">
                  <c:v>7.3244045353491369E-2</c:v>
                </c:pt>
                <c:pt idx="21">
                  <c:v>7.0200945011042265E-2</c:v>
                </c:pt>
                <c:pt idx="22">
                  <c:v>7.686908918643999E-2</c:v>
                </c:pt>
                <c:pt idx="23">
                  <c:v>7.0688002787430024E-2</c:v>
                </c:pt>
                <c:pt idx="24">
                  <c:v>6.4772158449080991E-2</c:v>
                </c:pt>
                <c:pt idx="25">
                  <c:v>7.6217684952061299E-2</c:v>
                </c:pt>
                <c:pt idx="26">
                  <c:v>5.869752134480731E-2</c:v>
                </c:pt>
                <c:pt idx="27">
                  <c:v>6.7230990606368182E-2</c:v>
                </c:pt>
                <c:pt idx="28">
                  <c:v>6.0235540317474245E-2</c:v>
                </c:pt>
                <c:pt idx="29">
                  <c:v>6.825673911240844E-2</c:v>
                </c:pt>
                <c:pt idx="30">
                  <c:v>6.7800329904066411E-2</c:v>
                </c:pt>
                <c:pt idx="31">
                  <c:v>7.3116676472462269E-2</c:v>
                </c:pt>
                <c:pt idx="32">
                  <c:v>6.4488872985306131E-2</c:v>
                </c:pt>
                <c:pt idx="33">
                  <c:v>6.9575206538092682E-2</c:v>
                </c:pt>
                <c:pt idx="34">
                  <c:v>6.9935105556660729E-2</c:v>
                </c:pt>
                <c:pt idx="35">
                  <c:v>5.7999183454204017E-2</c:v>
                </c:pt>
                <c:pt idx="36">
                  <c:v>5.8132446405916249E-2</c:v>
                </c:pt>
                <c:pt idx="37">
                  <c:v>5.3494489250191582E-2</c:v>
                </c:pt>
                <c:pt idx="38">
                  <c:v>7.1063552245436534E-2</c:v>
                </c:pt>
                <c:pt idx="39">
                  <c:v>5.7405242820487597E-2</c:v>
                </c:pt>
                <c:pt idx="40">
                  <c:v>6.3274858225755473E-2</c:v>
                </c:pt>
                <c:pt idx="41">
                  <c:v>5.6875868522562836E-2</c:v>
                </c:pt>
                <c:pt idx="42">
                  <c:v>6.1956155018340162E-2</c:v>
                </c:pt>
                <c:pt idx="43">
                  <c:v>8.4326776574297754E-2</c:v>
                </c:pt>
                <c:pt idx="44">
                  <c:v>7.0832914294844854E-2</c:v>
                </c:pt>
                <c:pt idx="45">
                  <c:v>7.5660058868525726E-2</c:v>
                </c:pt>
                <c:pt idx="46">
                  <c:v>7.7603871822234841E-2</c:v>
                </c:pt>
                <c:pt idx="47">
                  <c:v>7.5326302502182099E-2</c:v>
                </c:pt>
                <c:pt idx="48">
                  <c:v>7.2378935493946084E-2</c:v>
                </c:pt>
                <c:pt idx="49">
                  <c:v>6.6719128741309919E-2</c:v>
                </c:pt>
                <c:pt idx="50">
                  <c:v>7.4131580849093506E-2</c:v>
                </c:pt>
                <c:pt idx="51">
                  <c:v>6.2419302105156546E-2</c:v>
                </c:pt>
                <c:pt idx="52">
                  <c:v>6.1937316180602713E-2</c:v>
                </c:pt>
                <c:pt idx="53">
                  <c:v>6.6857771916939854E-2</c:v>
                </c:pt>
                <c:pt idx="54">
                  <c:v>6.2244577177518939E-2</c:v>
                </c:pt>
                <c:pt idx="55">
                  <c:v>6.7227750633063507E-2</c:v>
                </c:pt>
                <c:pt idx="56">
                  <c:v>7.858339938155276E-2</c:v>
                </c:pt>
                <c:pt idx="57">
                  <c:v>6.7584240237385795E-2</c:v>
                </c:pt>
                <c:pt idx="58">
                  <c:v>7.3408272785382686E-2</c:v>
                </c:pt>
                <c:pt idx="59">
                  <c:v>5.9512618003807145E-2</c:v>
                </c:pt>
                <c:pt idx="60">
                  <c:v>6.8343962629003427E-2</c:v>
                </c:pt>
                <c:pt idx="61">
                  <c:v>6.7306644715778505E-2</c:v>
                </c:pt>
                <c:pt idx="62">
                  <c:v>7.812726401395606E-2</c:v>
                </c:pt>
                <c:pt idx="63">
                  <c:v>8.7538137823089168E-2</c:v>
                </c:pt>
                <c:pt idx="64">
                  <c:v>6.8954885455201523E-2</c:v>
                </c:pt>
                <c:pt idx="65">
                  <c:v>6.31289283592332E-2</c:v>
                </c:pt>
                <c:pt idx="66">
                  <c:v>7.8923989278307932E-2</c:v>
                </c:pt>
                <c:pt idx="67">
                  <c:v>7.3971393123755766E-2</c:v>
                </c:pt>
                <c:pt idx="68">
                  <c:v>7.1094036290731979E-2</c:v>
                </c:pt>
                <c:pt idx="69">
                  <c:v>7.8578771524224364E-2</c:v>
                </c:pt>
                <c:pt idx="70">
                  <c:v>8.0244485956876443E-2</c:v>
                </c:pt>
                <c:pt idx="71">
                  <c:v>6.0585313371066603E-2</c:v>
                </c:pt>
                <c:pt idx="72">
                  <c:v>6.7172338817012262E-2</c:v>
                </c:pt>
                <c:pt idx="73">
                  <c:v>5.1544089207861785E-2</c:v>
                </c:pt>
                <c:pt idx="74">
                  <c:v>6.9213750472535904E-2</c:v>
                </c:pt>
                <c:pt idx="75">
                  <c:v>7.3613893611274198E-2</c:v>
                </c:pt>
                <c:pt idx="76">
                  <c:v>6.5432817682357106E-2</c:v>
                </c:pt>
                <c:pt idx="77">
                  <c:v>6.719367588932805E-2</c:v>
                </c:pt>
                <c:pt idx="78">
                  <c:v>7.0048309178744009E-2</c:v>
                </c:pt>
                <c:pt idx="79">
                  <c:v>6.7357512953367948E-2</c:v>
                </c:pt>
                <c:pt idx="80">
                  <c:v>4.8205128205128178E-2</c:v>
                </c:pt>
                <c:pt idx="81">
                  <c:v>5.8945191313340195E-2</c:v>
                </c:pt>
                <c:pt idx="82">
                  <c:v>6.6666666666666693E-2</c:v>
                </c:pt>
                <c:pt idx="83">
                  <c:v>4.9445005045408691E-2</c:v>
                </c:pt>
                <c:pt idx="84">
                  <c:v>4.5578851412944356E-2</c:v>
                </c:pt>
                <c:pt idx="85">
                  <c:v>5.3128387221815052E-2</c:v>
                </c:pt>
                <c:pt idx="86">
                  <c:v>6.1122244488977955E-2</c:v>
                </c:pt>
                <c:pt idx="87">
                  <c:v>5.1859099804305274E-2</c:v>
                </c:pt>
                <c:pt idx="88">
                  <c:v>4.1279669762641906E-2</c:v>
                </c:pt>
                <c:pt idx="89">
                  <c:v>6.0082304526748925E-2</c:v>
                </c:pt>
                <c:pt idx="90">
                  <c:v>5.7264050901378587E-2</c:v>
                </c:pt>
                <c:pt idx="91">
                  <c:v>6.7439409905163353E-2</c:v>
                </c:pt>
                <c:pt idx="92">
                  <c:v>7.3280721533258208E-2</c:v>
                </c:pt>
                <c:pt idx="93">
                  <c:v>5.0607287449392725E-2</c:v>
                </c:pt>
                <c:pt idx="94">
                  <c:v>6.192893401015228E-2</c:v>
                </c:pt>
                <c:pt idx="95">
                  <c:v>8.1142857142857155E-2</c:v>
                </c:pt>
                <c:pt idx="96">
                  <c:v>6.2885326757090063E-2</c:v>
                </c:pt>
                <c:pt idx="97">
                  <c:v>7.8916372202591317E-2</c:v>
                </c:pt>
                <c:pt idx="98">
                  <c:v>6.4842958459979685E-2</c:v>
                </c:pt>
                <c:pt idx="99">
                  <c:v>7.7981651376146807E-2</c:v>
                </c:pt>
                <c:pt idx="100">
                  <c:v>6.8825910931174142E-2</c:v>
                </c:pt>
                <c:pt idx="101">
                  <c:v>6.9958847736625571E-2</c:v>
                </c:pt>
                <c:pt idx="102">
                  <c:v>9.3301435406698635E-2</c:v>
                </c:pt>
                <c:pt idx="103">
                  <c:v>9.7087378640776822E-2</c:v>
                </c:pt>
                <c:pt idx="104">
                  <c:v>8.0753701211305567E-2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8-4223-8696-2C1E82796F08}"/>
            </c:ext>
          </c:extLst>
        </c:ser>
        <c:ser>
          <c:idx val="1"/>
          <c:order val="1"/>
          <c:tx>
            <c:strRef>
              <c:f>'Averages Graph Data'!$Q$4</c:f>
              <c:strCache>
                <c:ptCount val="1"/>
                <c:pt idx="0">
                  <c:v>Average Proportion Under 25 - 4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Data'!$Q$5:$Q$109</c:f>
              <c:numCache>
                <c:formatCode>0.0%</c:formatCode>
                <c:ptCount val="105"/>
                <c:pt idx="3">
                  <c:v>0.15020800876982759</c:v>
                </c:pt>
                <c:pt idx="4">
                  <c:v>0.1492229455801504</c:v>
                </c:pt>
                <c:pt idx="5">
                  <c:v>0.14174077982214706</c:v>
                </c:pt>
                <c:pt idx="6">
                  <c:v>0.14040289416965898</c:v>
                </c:pt>
                <c:pt idx="7">
                  <c:v>0.13665909441354468</c:v>
                </c:pt>
                <c:pt idx="8">
                  <c:v>0.12834241200233987</c:v>
                </c:pt>
                <c:pt idx="9">
                  <c:v>0.12436370049968477</c:v>
                </c:pt>
                <c:pt idx="10">
                  <c:v>0.11931564077601009</c:v>
                </c:pt>
                <c:pt idx="11">
                  <c:v>0.1055304121238381</c:v>
                </c:pt>
                <c:pt idx="12">
                  <c:v>9.5564730722777241E-2</c:v>
                </c:pt>
                <c:pt idx="13">
                  <c:v>8.5619689459252607E-2</c:v>
                </c:pt>
                <c:pt idx="14">
                  <c:v>7.8678027741182044E-2</c:v>
                </c:pt>
                <c:pt idx="15">
                  <c:v>7.8714281464303523E-2</c:v>
                </c:pt>
                <c:pt idx="16">
                  <c:v>7.6660317164389841E-2</c:v>
                </c:pt>
                <c:pt idx="17">
                  <c:v>8.0874190958864958E-2</c:v>
                </c:pt>
                <c:pt idx="18">
                  <c:v>7.8511896941458686E-2</c:v>
                </c:pt>
                <c:pt idx="19">
                  <c:v>7.8678306686175425E-2</c:v>
                </c:pt>
                <c:pt idx="20">
                  <c:v>7.7129897518727855E-2</c:v>
                </c:pt>
                <c:pt idx="21">
                  <c:v>7.4495761815351058E-2</c:v>
                </c:pt>
                <c:pt idx="22">
                  <c:v>7.528005074695758E-2</c:v>
                </c:pt>
                <c:pt idx="23">
                  <c:v>7.2750520584600908E-2</c:v>
                </c:pt>
                <c:pt idx="24">
                  <c:v>7.0632548858498317E-2</c:v>
                </c:pt>
                <c:pt idx="25">
                  <c:v>7.2136733843753076E-2</c:v>
                </c:pt>
                <c:pt idx="26">
                  <c:v>6.7593841883344899E-2</c:v>
                </c:pt>
                <c:pt idx="27">
                  <c:v>6.6729588838079446E-2</c:v>
                </c:pt>
                <c:pt idx="28">
                  <c:v>6.5595434305177752E-2</c:v>
                </c:pt>
                <c:pt idx="29">
                  <c:v>6.3605197845264541E-2</c:v>
                </c:pt>
                <c:pt idx="30">
                  <c:v>6.5880899985079316E-2</c:v>
                </c:pt>
                <c:pt idx="31">
                  <c:v>6.7352321451602845E-2</c:v>
                </c:pt>
                <c:pt idx="32">
                  <c:v>6.841565461856082E-2</c:v>
                </c:pt>
                <c:pt idx="33">
                  <c:v>6.874527147498187E-2</c:v>
                </c:pt>
                <c:pt idx="34">
                  <c:v>6.9278965388130456E-2</c:v>
                </c:pt>
                <c:pt idx="35">
                  <c:v>6.549959213356589E-2</c:v>
                </c:pt>
                <c:pt idx="36">
                  <c:v>6.3910485488718416E-2</c:v>
                </c:pt>
                <c:pt idx="37">
                  <c:v>5.9890306166743137E-2</c:v>
                </c:pt>
                <c:pt idx="38">
                  <c:v>6.0172417838937092E-2</c:v>
                </c:pt>
                <c:pt idx="39">
                  <c:v>6.0023932680507985E-2</c:v>
                </c:pt>
                <c:pt idx="40">
                  <c:v>6.1309535635467802E-2</c:v>
                </c:pt>
                <c:pt idx="41">
                  <c:v>6.2154880453560601E-2</c:v>
                </c:pt>
                <c:pt idx="42">
                  <c:v>5.9878031146786526E-2</c:v>
                </c:pt>
                <c:pt idx="43">
                  <c:v>6.6608414585239056E-2</c:v>
                </c:pt>
                <c:pt idx="44">
                  <c:v>6.8497928602511401E-2</c:v>
                </c:pt>
                <c:pt idx="45">
                  <c:v>7.3193976189002127E-2</c:v>
                </c:pt>
                <c:pt idx="46">
                  <c:v>7.710590538997579E-2</c:v>
                </c:pt>
                <c:pt idx="47">
                  <c:v>7.4855786871946869E-2</c:v>
                </c:pt>
                <c:pt idx="48">
                  <c:v>7.524229217172218E-2</c:v>
                </c:pt>
                <c:pt idx="49">
                  <c:v>7.3007059639918243E-2</c:v>
                </c:pt>
                <c:pt idx="50">
                  <c:v>7.2138986896632895E-2</c:v>
                </c:pt>
                <c:pt idx="51">
                  <c:v>6.8912236797376514E-2</c:v>
                </c:pt>
                <c:pt idx="52">
                  <c:v>6.6301831969040673E-2</c:v>
                </c:pt>
                <c:pt idx="53">
                  <c:v>6.633649276294816E-2</c:v>
                </c:pt>
                <c:pt idx="54">
                  <c:v>6.3364741845054501E-2</c:v>
                </c:pt>
                <c:pt idx="55">
                  <c:v>6.4566853977031255E-2</c:v>
                </c:pt>
                <c:pt idx="56">
                  <c:v>6.8728374777268758E-2</c:v>
                </c:pt>
                <c:pt idx="57">
                  <c:v>6.8909991857380254E-2</c:v>
                </c:pt>
                <c:pt idx="58">
                  <c:v>7.1700915759346187E-2</c:v>
                </c:pt>
                <c:pt idx="59">
                  <c:v>6.9772132602032091E-2</c:v>
                </c:pt>
                <c:pt idx="60">
                  <c:v>6.7212273413894769E-2</c:v>
                </c:pt>
                <c:pt idx="61">
                  <c:v>6.7142874533492949E-2</c:v>
                </c:pt>
                <c:pt idx="62">
                  <c:v>6.8322622340636296E-2</c:v>
                </c:pt>
                <c:pt idx="63">
                  <c:v>7.532900229545679E-2</c:v>
                </c:pt>
                <c:pt idx="64">
                  <c:v>7.5481733002006307E-2</c:v>
                </c:pt>
                <c:pt idx="65">
                  <c:v>7.4437303912869984E-2</c:v>
                </c:pt>
                <c:pt idx="66">
                  <c:v>7.4636485228957952E-2</c:v>
                </c:pt>
                <c:pt idx="67">
                  <c:v>7.1244799054124605E-2</c:v>
                </c:pt>
                <c:pt idx="68">
                  <c:v>7.1779586763007219E-2</c:v>
                </c:pt>
                <c:pt idx="69">
                  <c:v>7.5642047554255007E-2</c:v>
                </c:pt>
                <c:pt idx="70">
                  <c:v>7.5972171723897142E-2</c:v>
                </c:pt>
                <c:pt idx="71">
                  <c:v>7.2625651785724846E-2</c:v>
                </c:pt>
                <c:pt idx="72">
                  <c:v>7.1645227417294927E-2</c:v>
                </c:pt>
                <c:pt idx="73">
                  <c:v>6.4886556838204268E-2</c:v>
                </c:pt>
                <c:pt idx="74">
                  <c:v>6.2128872967119136E-2</c:v>
                </c:pt>
                <c:pt idx="75">
                  <c:v>6.5386018027171033E-2</c:v>
                </c:pt>
                <c:pt idx="76">
                  <c:v>6.4951137743507248E-2</c:v>
                </c:pt>
                <c:pt idx="77">
                  <c:v>6.8863534413873814E-2</c:v>
                </c:pt>
                <c:pt idx="78">
                  <c:v>6.9072174090425834E-2</c:v>
                </c:pt>
                <c:pt idx="79">
                  <c:v>6.7508078925949275E-2</c:v>
                </c:pt>
                <c:pt idx="80">
                  <c:v>6.3201156556642046E-2</c:v>
                </c:pt>
                <c:pt idx="81">
                  <c:v>6.1139035412645079E-2</c:v>
                </c:pt>
                <c:pt idx="82">
                  <c:v>6.0293624784625757E-2</c:v>
                </c:pt>
                <c:pt idx="83">
                  <c:v>5.5815497807635943E-2</c:v>
                </c:pt>
                <c:pt idx="84">
                  <c:v>5.5158928609589986E-2</c:v>
                </c:pt>
                <c:pt idx="85">
                  <c:v>5.3704727586708703E-2</c:v>
                </c:pt>
                <c:pt idx="86">
                  <c:v>5.2318622042286517E-2</c:v>
                </c:pt>
                <c:pt idx="87">
                  <c:v>5.2922145732010664E-2</c:v>
                </c:pt>
                <c:pt idx="88">
                  <c:v>5.1847350319435048E-2</c:v>
                </c:pt>
                <c:pt idx="89">
                  <c:v>5.3585829645668513E-2</c:v>
                </c:pt>
                <c:pt idx="90">
                  <c:v>5.2621281248768678E-2</c:v>
                </c:pt>
                <c:pt idx="91">
                  <c:v>5.65163587739832E-2</c:v>
                </c:pt>
                <c:pt idx="92">
                  <c:v>6.4516621716637274E-2</c:v>
                </c:pt>
                <c:pt idx="93">
                  <c:v>6.2147867447298215E-2</c:v>
                </c:pt>
                <c:pt idx="94">
                  <c:v>6.3314088224491638E-2</c:v>
                </c:pt>
                <c:pt idx="95">
                  <c:v>6.6739950033915085E-2</c:v>
                </c:pt>
                <c:pt idx="96">
                  <c:v>6.4141101339873052E-2</c:v>
                </c:pt>
                <c:pt idx="97">
                  <c:v>7.1218372528172702E-2</c:v>
                </c:pt>
                <c:pt idx="98">
                  <c:v>7.1946878640629555E-2</c:v>
                </c:pt>
                <c:pt idx="99">
                  <c:v>7.1156577198951965E-2</c:v>
                </c:pt>
                <c:pt idx="100">
                  <c:v>7.2641723242472991E-2</c:v>
                </c:pt>
                <c:pt idx="101">
                  <c:v>7.0402342125981551E-2</c:v>
                </c:pt>
                <c:pt idx="102">
                  <c:v>7.7516961362661285E-2</c:v>
                </c:pt>
                <c:pt idx="103">
                  <c:v>8.2293393178818786E-2</c:v>
                </c:pt>
                <c:pt idx="104">
                  <c:v>8.5275340748851652E-2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8-4223-8696-2C1E82796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Data'!$AB$4</c:f>
              <c:strCache>
                <c:ptCount val="1"/>
                <c:pt idx="0">
                  <c:v>Average Premium Proportion Under 25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Data'!$AB$5:$AB$109</c:f>
              <c:numCache>
                <c:formatCode>0.0%</c:formatCode>
                <c:ptCount val="105"/>
                <c:pt idx="0">
                  <c:v>0.23922249630838541</c:v>
                </c:pt>
                <c:pt idx="1">
                  <c:v>0.22878880167555149</c:v>
                </c:pt>
                <c:pt idx="2">
                  <c:v>0.2131796095742968</c:v>
                </c:pt>
                <c:pt idx="3">
                  <c:v>0.22626496518093828</c:v>
                </c:pt>
                <c:pt idx="4">
                  <c:v>0.22665882108685659</c:v>
                </c:pt>
                <c:pt idx="5">
                  <c:v>0.19587120789707771</c:v>
                </c:pt>
                <c:pt idx="6">
                  <c:v>0.20782856387430015</c:v>
                </c:pt>
                <c:pt idx="7">
                  <c:v>0.21177829427474537</c:v>
                </c:pt>
                <c:pt idx="8">
                  <c:v>0.1931099358498187</c:v>
                </c:pt>
                <c:pt idx="9">
                  <c:v>0.17249227327241687</c:v>
                </c:pt>
                <c:pt idx="10">
                  <c:v>0.19000539936520183</c:v>
                </c:pt>
                <c:pt idx="11">
                  <c:v>0.13125722490099828</c:v>
                </c:pt>
                <c:pt idx="12">
                  <c:v>0.14892264285776644</c:v>
                </c:pt>
                <c:pt idx="13">
                  <c:v>0.12003599911654585</c:v>
                </c:pt>
                <c:pt idx="14">
                  <c:v>0.15098766880840392</c:v>
                </c:pt>
                <c:pt idx="15">
                  <c:v>0.15058132911745509</c:v>
                </c:pt>
                <c:pt idx="16">
                  <c:v>0.14075390047902273</c:v>
                </c:pt>
                <c:pt idx="17">
                  <c:v>0.14847839672151755</c:v>
                </c:pt>
                <c:pt idx="18">
                  <c:v>0.13249784939872303</c:v>
                </c:pt>
                <c:pt idx="19">
                  <c:v>0.13690021891688459</c:v>
                </c:pt>
                <c:pt idx="20">
                  <c:v>0.134812423961398</c:v>
                </c:pt>
                <c:pt idx="21">
                  <c:v>0.12088230045563442</c:v>
                </c:pt>
                <c:pt idx="22">
                  <c:v>0.14493607250425811</c:v>
                </c:pt>
                <c:pt idx="23">
                  <c:v>0.13158730651319603</c:v>
                </c:pt>
                <c:pt idx="24">
                  <c:v>0.11247724249706709</c:v>
                </c:pt>
                <c:pt idx="25">
                  <c:v>0.14868307027902433</c:v>
                </c:pt>
                <c:pt idx="26">
                  <c:v>0.10222104934656301</c:v>
                </c:pt>
                <c:pt idx="27">
                  <c:v>0.13119074173475137</c:v>
                </c:pt>
                <c:pt idx="28">
                  <c:v>0.11523062268939654</c:v>
                </c:pt>
                <c:pt idx="29">
                  <c:v>0.12961682890260998</c:v>
                </c:pt>
                <c:pt idx="30">
                  <c:v>0.13209454347564387</c:v>
                </c:pt>
                <c:pt idx="31">
                  <c:v>0.1389001840707795</c:v>
                </c:pt>
                <c:pt idx="32">
                  <c:v>0.12543866535889892</c:v>
                </c:pt>
                <c:pt idx="33">
                  <c:v>0.13029458191039708</c:v>
                </c:pt>
                <c:pt idx="34">
                  <c:v>0.13193680069886587</c:v>
                </c:pt>
                <c:pt idx="35">
                  <c:v>0.11837711316012685</c:v>
                </c:pt>
                <c:pt idx="36">
                  <c:v>0.10267615509290963</c:v>
                </c:pt>
                <c:pt idx="37">
                  <c:v>0.10088878241551259</c:v>
                </c:pt>
                <c:pt idx="38">
                  <c:v>0.11686573368978806</c:v>
                </c:pt>
                <c:pt idx="39">
                  <c:v>0.11726829441210128</c:v>
                </c:pt>
                <c:pt idx="40">
                  <c:v>0.11898970390223909</c:v>
                </c:pt>
                <c:pt idx="41">
                  <c:v>0.11337078262161773</c:v>
                </c:pt>
                <c:pt idx="42">
                  <c:v>0.12462587778119086</c:v>
                </c:pt>
                <c:pt idx="43">
                  <c:v>0.15377481191708006</c:v>
                </c:pt>
                <c:pt idx="44">
                  <c:v>0.12621299724140139</c:v>
                </c:pt>
                <c:pt idx="45">
                  <c:v>0.14660061423762036</c:v>
                </c:pt>
                <c:pt idx="46">
                  <c:v>0.14719673281811615</c:v>
                </c:pt>
                <c:pt idx="47">
                  <c:v>0.14030673354118639</c:v>
                </c:pt>
                <c:pt idx="48">
                  <c:v>0.13673731243117357</c:v>
                </c:pt>
                <c:pt idx="49">
                  <c:v>0.12331296002548181</c:v>
                </c:pt>
                <c:pt idx="50">
                  <c:v>0.14974240950218839</c:v>
                </c:pt>
                <c:pt idx="51">
                  <c:v>0.11448120595474028</c:v>
                </c:pt>
                <c:pt idx="52">
                  <c:v>0.13743162295234723</c:v>
                </c:pt>
                <c:pt idx="53">
                  <c:v>0.12103535665630272</c:v>
                </c:pt>
                <c:pt idx="54">
                  <c:v>0.12559551666173815</c:v>
                </c:pt>
                <c:pt idx="55">
                  <c:v>0.12703362032926369</c:v>
                </c:pt>
                <c:pt idx="56">
                  <c:v>0.15828754074818946</c:v>
                </c:pt>
                <c:pt idx="57">
                  <c:v>0.1369086121217796</c:v>
                </c:pt>
                <c:pt idx="58">
                  <c:v>0.13988184339853679</c:v>
                </c:pt>
                <c:pt idx="59">
                  <c:v>0.12248723484198198</c:v>
                </c:pt>
                <c:pt idx="60">
                  <c:v>0.14435121986249239</c:v>
                </c:pt>
                <c:pt idx="61">
                  <c:v>0.15083731815734083</c:v>
                </c:pt>
                <c:pt idx="62">
                  <c:v>0.14540575756979038</c:v>
                </c:pt>
                <c:pt idx="63">
                  <c:v>0.15552493257804845</c:v>
                </c:pt>
                <c:pt idx="64">
                  <c:v>0.12397735768212138</c:v>
                </c:pt>
                <c:pt idx="65">
                  <c:v>0.11073181593466445</c:v>
                </c:pt>
                <c:pt idx="66">
                  <c:v>0.13673993097690573</c:v>
                </c:pt>
                <c:pt idx="67">
                  <c:v>0.13037385253004563</c:v>
                </c:pt>
                <c:pt idx="68">
                  <c:v>0.11487358640502443</c:v>
                </c:pt>
                <c:pt idx="69">
                  <c:v>0.12117631679100328</c:v>
                </c:pt>
                <c:pt idx="70">
                  <c:v>0.11156252642486347</c:v>
                </c:pt>
                <c:pt idx="71">
                  <c:v>8.7948631140110201E-2</c:v>
                </c:pt>
                <c:pt idx="72">
                  <c:v>0.10797683389828515</c:v>
                </c:pt>
                <c:pt idx="73">
                  <c:v>8.4949495196141547E-2</c:v>
                </c:pt>
                <c:pt idx="74">
                  <c:v>0.11029254127268151</c:v>
                </c:pt>
                <c:pt idx="75">
                  <c:v>0.12041719566248578</c:v>
                </c:pt>
                <c:pt idx="76">
                  <c:v>9.9819398911276822E-2</c:v>
                </c:pt>
                <c:pt idx="77">
                  <c:v>9.9868980743983968E-2</c:v>
                </c:pt>
                <c:pt idx="78">
                  <c:v>0.1098520862868267</c:v>
                </c:pt>
                <c:pt idx="79">
                  <c:v>0.10629542196746054</c:v>
                </c:pt>
                <c:pt idx="80">
                  <c:v>8.1137283939131694E-2</c:v>
                </c:pt>
                <c:pt idx="81">
                  <c:v>9.5626217869372879E-2</c:v>
                </c:pt>
                <c:pt idx="82">
                  <c:v>0.10758525594469806</c:v>
                </c:pt>
                <c:pt idx="83">
                  <c:v>5.9662928877926034E-2</c:v>
                </c:pt>
                <c:pt idx="84">
                  <c:v>6.3945008344681017E-2</c:v>
                </c:pt>
                <c:pt idx="85">
                  <c:v>7.9140639340173027E-2</c:v>
                </c:pt>
                <c:pt idx="86">
                  <c:v>0.1031773095913535</c:v>
                </c:pt>
                <c:pt idx="87">
                  <c:v>8.4763914561324011E-2</c:v>
                </c:pt>
                <c:pt idx="88">
                  <c:v>6.8196744594735945E-2</c:v>
                </c:pt>
                <c:pt idx="89">
                  <c:v>8.9099780012341992E-2</c:v>
                </c:pt>
                <c:pt idx="90">
                  <c:v>8.7062789010911162E-2</c:v>
                </c:pt>
                <c:pt idx="91">
                  <c:v>9.7877330385148897E-2</c:v>
                </c:pt>
                <c:pt idx="92">
                  <c:v>0.11089681504087213</c:v>
                </c:pt>
                <c:pt idx="93">
                  <c:v>8.1272990975521486E-2</c:v>
                </c:pt>
                <c:pt idx="94">
                  <c:v>9.1624053700472149E-2</c:v>
                </c:pt>
                <c:pt idx="95">
                  <c:v>0.12764043781176604</c:v>
                </c:pt>
                <c:pt idx="96">
                  <c:v>8.4010067403880617E-2</c:v>
                </c:pt>
                <c:pt idx="97">
                  <c:v>0.12245763973412842</c:v>
                </c:pt>
                <c:pt idx="98">
                  <c:v>9.8464642612267547E-2</c:v>
                </c:pt>
                <c:pt idx="99">
                  <c:v>9.6074742271719193E-2</c:v>
                </c:pt>
                <c:pt idx="100">
                  <c:v>9.9542246333478177E-2</c:v>
                </c:pt>
                <c:pt idx="101">
                  <c:v>0.10996071758685953</c:v>
                </c:pt>
                <c:pt idx="102">
                  <c:v>0.13635903018930215</c:v>
                </c:pt>
                <c:pt idx="103">
                  <c:v>0.13944009298935828</c:v>
                </c:pt>
                <c:pt idx="104">
                  <c:v>0.11664202111756633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E-4ECB-BCB4-253871D76F00}"/>
            </c:ext>
          </c:extLst>
        </c:ser>
        <c:ser>
          <c:idx val="1"/>
          <c:order val="1"/>
          <c:tx>
            <c:strRef>
              <c:f>'Averages Graph Data'!$AC$4</c:f>
              <c:strCache>
                <c:ptCount val="1"/>
                <c:pt idx="0">
                  <c:v>Average Premium Proportion Under 25 - 4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Data'!$AC$5:$AC$109</c:f>
              <c:numCache>
                <c:formatCode>#,##0</c:formatCode>
                <c:ptCount val="105"/>
                <c:pt idx="3">
                  <c:v>0.22686396818479301</c:v>
                </c:pt>
                <c:pt idx="4">
                  <c:v>0.22372304937941079</c:v>
                </c:pt>
                <c:pt idx="5">
                  <c:v>0.21549365093479234</c:v>
                </c:pt>
                <c:pt idx="6">
                  <c:v>0.21415588950979317</c:v>
                </c:pt>
                <c:pt idx="7">
                  <c:v>0.21053422178324496</c:v>
                </c:pt>
                <c:pt idx="8">
                  <c:v>0.20214700047398548</c:v>
                </c:pt>
                <c:pt idx="9">
                  <c:v>0.19630226681782029</c:v>
                </c:pt>
                <c:pt idx="10">
                  <c:v>0.19184647569054569</c:v>
                </c:pt>
                <c:pt idx="11">
                  <c:v>0.17171620834710893</c:v>
                </c:pt>
                <c:pt idx="12">
                  <c:v>0.16066938509909584</c:v>
                </c:pt>
                <c:pt idx="13">
                  <c:v>0.1475553165601281</c:v>
                </c:pt>
                <c:pt idx="14">
                  <c:v>0.1378008839209286</c:v>
                </c:pt>
                <c:pt idx="15">
                  <c:v>0.14263190997504283</c:v>
                </c:pt>
                <c:pt idx="16">
                  <c:v>0.14058972438035688</c:v>
                </c:pt>
                <c:pt idx="17">
                  <c:v>0.14770032378159981</c:v>
                </c:pt>
                <c:pt idx="18">
                  <c:v>0.14307786892917959</c:v>
                </c:pt>
                <c:pt idx="19">
                  <c:v>0.13965759137903699</c:v>
                </c:pt>
                <c:pt idx="20">
                  <c:v>0.1381722222496308</c:v>
                </c:pt>
                <c:pt idx="21">
                  <c:v>0.13127319818316002</c:v>
                </c:pt>
                <c:pt idx="22">
                  <c:v>0.13438275395954377</c:v>
                </c:pt>
                <c:pt idx="23">
                  <c:v>0.13305452585862165</c:v>
                </c:pt>
                <c:pt idx="24">
                  <c:v>0.12747073049253893</c:v>
                </c:pt>
                <c:pt idx="25">
                  <c:v>0.1344209229483864</c:v>
                </c:pt>
                <c:pt idx="26">
                  <c:v>0.12374216715896262</c:v>
                </c:pt>
                <c:pt idx="27">
                  <c:v>0.12364302596435145</c:v>
                </c:pt>
                <c:pt idx="28">
                  <c:v>0.12433137101243381</c:v>
                </c:pt>
                <c:pt idx="29">
                  <c:v>0.11956481066833022</c:v>
                </c:pt>
                <c:pt idx="30">
                  <c:v>0.12703318420060045</c:v>
                </c:pt>
                <c:pt idx="31">
                  <c:v>0.12896054478460747</c:v>
                </c:pt>
                <c:pt idx="32">
                  <c:v>0.13151255545198307</c:v>
                </c:pt>
                <c:pt idx="33">
                  <c:v>0.13168199370392986</c:v>
                </c:pt>
                <c:pt idx="34">
                  <c:v>0.13164255800973534</c:v>
                </c:pt>
                <c:pt idx="35">
                  <c:v>0.12651179028207218</c:v>
                </c:pt>
                <c:pt idx="36">
                  <c:v>0.12082116271557485</c:v>
                </c:pt>
                <c:pt idx="37">
                  <c:v>0.11346971284185373</c:v>
                </c:pt>
                <c:pt idx="38">
                  <c:v>0.10970194608958428</c:v>
                </c:pt>
                <c:pt idx="39">
                  <c:v>0.10942474140257789</c:v>
                </c:pt>
                <c:pt idx="40">
                  <c:v>0.11350312860491027</c:v>
                </c:pt>
                <c:pt idx="41">
                  <c:v>0.11662362865643652</c:v>
                </c:pt>
                <c:pt idx="42">
                  <c:v>0.11856366467928722</c:v>
                </c:pt>
                <c:pt idx="43">
                  <c:v>0.12769029405553195</c:v>
                </c:pt>
                <c:pt idx="44">
                  <c:v>0.12949611739032252</c:v>
                </c:pt>
                <c:pt idx="45">
                  <c:v>0.13780357529432316</c:v>
                </c:pt>
                <c:pt idx="46">
                  <c:v>0.1434462890535545</c:v>
                </c:pt>
                <c:pt idx="47">
                  <c:v>0.14007926945958107</c:v>
                </c:pt>
                <c:pt idx="48">
                  <c:v>0.14271034825702411</c:v>
                </c:pt>
                <c:pt idx="49">
                  <c:v>0.13688843470398948</c:v>
                </c:pt>
                <c:pt idx="50">
                  <c:v>0.13752485387500754</c:v>
                </c:pt>
                <c:pt idx="51">
                  <c:v>0.13106847197839602</c:v>
                </c:pt>
                <c:pt idx="52">
                  <c:v>0.1312420496086894</c:v>
                </c:pt>
                <c:pt idx="53">
                  <c:v>0.13067264876639467</c:v>
                </c:pt>
                <c:pt idx="54">
                  <c:v>0.12463592555628208</c:v>
                </c:pt>
                <c:pt idx="55">
                  <c:v>0.12777402914991295</c:v>
                </c:pt>
                <c:pt idx="56">
                  <c:v>0.1329880085988735</c:v>
                </c:pt>
                <c:pt idx="57">
                  <c:v>0.13695632246524272</c:v>
                </c:pt>
                <c:pt idx="58">
                  <c:v>0.14052790414944238</c:v>
                </c:pt>
                <c:pt idx="59">
                  <c:v>0.13939130777762196</c:v>
                </c:pt>
                <c:pt idx="60">
                  <c:v>0.13590722755619769</c:v>
                </c:pt>
                <c:pt idx="61">
                  <c:v>0.13938940406508801</c:v>
                </c:pt>
                <c:pt idx="62">
                  <c:v>0.1407703826079014</c:v>
                </c:pt>
                <c:pt idx="63">
                  <c:v>0.14902980704191801</c:v>
                </c:pt>
                <c:pt idx="64">
                  <c:v>0.14393634149682527</c:v>
                </c:pt>
                <c:pt idx="65">
                  <c:v>0.13390996594115614</c:v>
                </c:pt>
                <c:pt idx="66">
                  <c:v>0.13174350929293499</c:v>
                </c:pt>
                <c:pt idx="67">
                  <c:v>0.12545573928093429</c:v>
                </c:pt>
                <c:pt idx="68">
                  <c:v>0.12317979646166007</c:v>
                </c:pt>
                <c:pt idx="69">
                  <c:v>0.12579092167574477</c:v>
                </c:pt>
                <c:pt idx="70">
                  <c:v>0.1194965705377342</c:v>
                </c:pt>
                <c:pt idx="71">
                  <c:v>0.10889026519025034</c:v>
                </c:pt>
                <c:pt idx="72">
                  <c:v>0.10716607706356553</c:v>
                </c:pt>
                <c:pt idx="73">
                  <c:v>9.8109371664850092E-2</c:v>
                </c:pt>
                <c:pt idx="74">
                  <c:v>9.7791875376804602E-2</c:v>
                </c:pt>
                <c:pt idx="75">
                  <c:v>0.10590901650739849</c:v>
                </c:pt>
                <c:pt idx="76">
                  <c:v>0.10386965776064641</c:v>
                </c:pt>
                <c:pt idx="77">
                  <c:v>0.10759952914760702</c:v>
                </c:pt>
                <c:pt idx="78">
                  <c:v>0.10748941540114332</c:v>
                </c:pt>
                <c:pt idx="79">
                  <c:v>0.10395897197738702</c:v>
                </c:pt>
                <c:pt idx="80">
                  <c:v>9.9288443234350737E-2</c:v>
                </c:pt>
                <c:pt idx="81">
                  <c:v>9.8227752515697958E-2</c:v>
                </c:pt>
                <c:pt idx="82">
                  <c:v>9.766104493016578E-2</c:v>
                </c:pt>
                <c:pt idx="83">
                  <c:v>8.6002921657782172E-2</c:v>
                </c:pt>
                <c:pt idx="84">
                  <c:v>8.17048527591695E-2</c:v>
                </c:pt>
                <c:pt idx="85">
                  <c:v>7.7583458126869537E-2</c:v>
                </c:pt>
                <c:pt idx="86">
                  <c:v>7.6481471538533394E-2</c:v>
                </c:pt>
                <c:pt idx="87">
                  <c:v>8.2756717959382886E-2</c:v>
                </c:pt>
                <c:pt idx="88">
                  <c:v>8.3819652021896632E-2</c:v>
                </c:pt>
                <c:pt idx="89">
                  <c:v>8.6309437189938859E-2</c:v>
                </c:pt>
                <c:pt idx="90">
                  <c:v>8.2280807044828264E-2</c:v>
                </c:pt>
                <c:pt idx="91">
                  <c:v>8.5559161000784506E-2</c:v>
                </c:pt>
                <c:pt idx="92">
                  <c:v>9.6234178612318547E-2</c:v>
                </c:pt>
                <c:pt idx="93">
                  <c:v>9.4277481353113424E-2</c:v>
                </c:pt>
                <c:pt idx="94">
                  <c:v>9.5417797525503667E-2</c:v>
                </c:pt>
                <c:pt idx="95">
                  <c:v>0.10285857438215795</c:v>
                </c:pt>
                <c:pt idx="96">
                  <c:v>9.6136887472910076E-2</c:v>
                </c:pt>
                <c:pt idx="97">
                  <c:v>0.10643304966256181</c:v>
                </c:pt>
                <c:pt idx="98">
                  <c:v>0.10814319689051066</c:v>
                </c:pt>
                <c:pt idx="99">
                  <c:v>0.10025177300549895</c:v>
                </c:pt>
                <c:pt idx="100">
                  <c:v>0.10413481773789834</c:v>
                </c:pt>
                <c:pt idx="101">
                  <c:v>0.10101058720108112</c:v>
                </c:pt>
                <c:pt idx="102">
                  <c:v>0.11048418409533978</c:v>
                </c:pt>
                <c:pt idx="103">
                  <c:v>0.12132552177474953</c:v>
                </c:pt>
                <c:pt idx="104">
                  <c:v>0.12560046547077158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E-4ECB-BCB4-253871D76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4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Data'!$T$4</c:f>
              <c:strCache>
                <c:ptCount val="1"/>
                <c:pt idx="0">
                  <c:v>Average Proportion Under 25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Data'!$T$5:$T$109</c:f>
              <c:numCache>
                <c:formatCode>0.0%</c:formatCode>
                <c:ptCount val="105"/>
                <c:pt idx="0">
                  <c:v>0.14634146341463414</c:v>
                </c:pt>
                <c:pt idx="1">
                  <c:v>0.1092436974789916</c:v>
                </c:pt>
                <c:pt idx="2">
                  <c:v>9.5041322314049576E-2</c:v>
                </c:pt>
                <c:pt idx="3">
                  <c:v>0.10328638497652581</c:v>
                </c:pt>
                <c:pt idx="4">
                  <c:v>0.14414414414414414</c:v>
                </c:pt>
                <c:pt idx="5">
                  <c:v>8.1081081081081086E-2</c:v>
                </c:pt>
                <c:pt idx="6">
                  <c:v>8.8235294117647078E-2</c:v>
                </c:pt>
                <c:pt idx="7">
                  <c:v>0.10919540229885059</c:v>
                </c:pt>
                <c:pt idx="8">
                  <c:v>0.10126582278481013</c:v>
                </c:pt>
                <c:pt idx="9">
                  <c:v>7.3684210526315783E-2</c:v>
                </c:pt>
                <c:pt idx="10">
                  <c:v>9.4637223974763388E-2</c:v>
                </c:pt>
                <c:pt idx="11">
                  <c:v>5.3418803418803396E-2</c:v>
                </c:pt>
                <c:pt idx="12">
                  <c:v>5.9585492227979278E-2</c:v>
                </c:pt>
                <c:pt idx="13">
                  <c:v>3.512880562060889E-2</c:v>
                </c:pt>
                <c:pt idx="14">
                  <c:v>6.8607068607068569E-2</c:v>
                </c:pt>
                <c:pt idx="15">
                  <c:v>7.1550255536626875E-2</c:v>
                </c:pt>
                <c:pt idx="16">
                  <c:v>6.2814070351758788E-2</c:v>
                </c:pt>
                <c:pt idx="17">
                  <c:v>7.4492099322799085E-2</c:v>
                </c:pt>
                <c:pt idx="18">
                  <c:v>6.8807339449541247E-2</c:v>
                </c:pt>
                <c:pt idx="19">
                  <c:v>7.2948328267477172E-2</c:v>
                </c:pt>
                <c:pt idx="20">
                  <c:v>6.5868263473053884E-2</c:v>
                </c:pt>
                <c:pt idx="21">
                  <c:v>5.5944055944055937E-2</c:v>
                </c:pt>
                <c:pt idx="22">
                  <c:v>7.7306733167082281E-2</c:v>
                </c:pt>
                <c:pt idx="23">
                  <c:v>6.8493150684931503E-2</c:v>
                </c:pt>
                <c:pt idx="24">
                  <c:v>6.4257028112449779E-2</c:v>
                </c:pt>
                <c:pt idx="25">
                  <c:v>8.2152974504249271E-2</c:v>
                </c:pt>
                <c:pt idx="26">
                  <c:v>6.5789473684210509E-2</c:v>
                </c:pt>
                <c:pt idx="27">
                  <c:v>8.0487804878048769E-2</c:v>
                </c:pt>
                <c:pt idx="28">
                  <c:v>6.1111609249223556E-2</c:v>
                </c:pt>
                <c:pt idx="29">
                  <c:v>6.9930069930070005E-2</c:v>
                </c:pt>
                <c:pt idx="30">
                  <c:v>6.9105691056910667E-2</c:v>
                </c:pt>
                <c:pt idx="31">
                  <c:v>0.10920770877944339</c:v>
                </c:pt>
                <c:pt idx="32">
                  <c:v>7.9918032786885349E-2</c:v>
                </c:pt>
                <c:pt idx="33">
                  <c:v>8.8291746641074961E-2</c:v>
                </c:pt>
                <c:pt idx="34">
                  <c:v>0.1030042918454937</c:v>
                </c:pt>
                <c:pt idx="35">
                  <c:v>7.1428571428571536E-2</c:v>
                </c:pt>
                <c:pt idx="36">
                  <c:v>7.3118279569892572E-2</c:v>
                </c:pt>
                <c:pt idx="37">
                  <c:v>6.2043795620438026E-2</c:v>
                </c:pt>
                <c:pt idx="38">
                  <c:v>9.3750000000000097E-2</c:v>
                </c:pt>
                <c:pt idx="39">
                  <c:v>7.3991031390134632E-2</c:v>
                </c:pt>
                <c:pt idx="40">
                  <c:v>8.6134453781512743E-2</c:v>
                </c:pt>
                <c:pt idx="41">
                  <c:v>5.4117647058823583E-2</c:v>
                </c:pt>
                <c:pt idx="42">
                  <c:v>8.0760095011876545E-2</c:v>
                </c:pt>
                <c:pt idx="43">
                  <c:v>0.10485933503836327</c:v>
                </c:pt>
                <c:pt idx="44">
                  <c:v>0.10952380952380969</c:v>
                </c:pt>
                <c:pt idx="45">
                  <c:v>9.2753623188405854E-2</c:v>
                </c:pt>
                <c:pt idx="46">
                  <c:v>0.11081081081081089</c:v>
                </c:pt>
                <c:pt idx="47">
                  <c:v>8.150470219435739E-2</c:v>
                </c:pt>
                <c:pt idx="48">
                  <c:v>8.9347079037800675E-2</c:v>
                </c:pt>
                <c:pt idx="49">
                  <c:v>8.3892617449664433E-2</c:v>
                </c:pt>
                <c:pt idx="50">
                  <c:v>0.12264150943396231</c:v>
                </c:pt>
                <c:pt idx="51">
                  <c:v>7.1729957805907185E-2</c:v>
                </c:pt>
                <c:pt idx="52">
                  <c:v>6.6929133858267709E-2</c:v>
                </c:pt>
                <c:pt idx="53">
                  <c:v>7.6388888888888909E-2</c:v>
                </c:pt>
                <c:pt idx="54">
                  <c:v>7.4999999999999997E-2</c:v>
                </c:pt>
                <c:pt idx="55">
                  <c:v>8.0536912751677861E-2</c:v>
                </c:pt>
                <c:pt idx="56">
                  <c:v>0.11328125000000004</c:v>
                </c:pt>
                <c:pt idx="57">
                  <c:v>8.4291187739463605E-2</c:v>
                </c:pt>
                <c:pt idx="58">
                  <c:v>0.10800000000000001</c:v>
                </c:pt>
                <c:pt idx="59">
                  <c:v>9.7276264591439732E-2</c:v>
                </c:pt>
                <c:pt idx="60">
                  <c:v>6.7961165048543701E-2</c:v>
                </c:pt>
                <c:pt idx="61">
                  <c:v>7.4999999999999997E-2</c:v>
                </c:pt>
                <c:pt idx="62">
                  <c:v>9.2150170648464189E-2</c:v>
                </c:pt>
                <c:pt idx="63">
                  <c:v>9.4594594594594628E-2</c:v>
                </c:pt>
                <c:pt idx="64">
                  <c:v>8.4745762711864403E-2</c:v>
                </c:pt>
                <c:pt idx="65">
                  <c:v>7.6305220883534169E-2</c:v>
                </c:pt>
                <c:pt idx="66">
                  <c:v>9.5375722543352637E-2</c:v>
                </c:pt>
                <c:pt idx="67">
                  <c:v>8.496732026143794E-2</c:v>
                </c:pt>
                <c:pt idx="68">
                  <c:v>7.7399380804953566E-2</c:v>
                </c:pt>
                <c:pt idx="69">
                  <c:v>9.8684210526315874E-2</c:v>
                </c:pt>
                <c:pt idx="70">
                  <c:v>0.10035842293906813</c:v>
                </c:pt>
                <c:pt idx="71">
                  <c:v>5.8558558558558543E-2</c:v>
                </c:pt>
                <c:pt idx="72">
                  <c:v>7.7294685990338161E-2</c:v>
                </c:pt>
                <c:pt idx="73">
                  <c:v>6.5134099616858232E-2</c:v>
                </c:pt>
                <c:pt idx="74">
                  <c:v>8.1632653061224469E-2</c:v>
                </c:pt>
                <c:pt idx="75">
                  <c:v>0.1076923076923077</c:v>
                </c:pt>
                <c:pt idx="76">
                  <c:v>4.4897959183673466E-2</c:v>
                </c:pt>
                <c:pt idx="77">
                  <c:v>6.0606060606060629E-2</c:v>
                </c:pt>
                <c:pt idx="78">
                  <c:v>5.3763440860215048E-2</c:v>
                </c:pt>
                <c:pt idx="79">
                  <c:v>0.10326086956521736</c:v>
                </c:pt>
                <c:pt idx="80">
                  <c:v>7.389162561576354E-2</c:v>
                </c:pt>
                <c:pt idx="81">
                  <c:v>7.650273224043716E-2</c:v>
                </c:pt>
                <c:pt idx="82">
                  <c:v>7.6530612244897947E-2</c:v>
                </c:pt>
                <c:pt idx="83">
                  <c:v>6.7010309278350513E-2</c:v>
                </c:pt>
                <c:pt idx="84">
                  <c:v>3.8095238095238092E-2</c:v>
                </c:pt>
                <c:pt idx="85">
                  <c:v>6.1674008810572695E-2</c:v>
                </c:pt>
                <c:pt idx="86">
                  <c:v>9.8901098901098897E-2</c:v>
                </c:pt>
                <c:pt idx="87">
                  <c:v>4.9999999999999996E-2</c:v>
                </c:pt>
                <c:pt idx="88">
                  <c:v>3.9215686274509803E-2</c:v>
                </c:pt>
                <c:pt idx="89">
                  <c:v>6.7193675889328092E-2</c:v>
                </c:pt>
                <c:pt idx="90">
                  <c:v>6.4039408866995065E-2</c:v>
                </c:pt>
                <c:pt idx="91">
                  <c:v>7.4257425742574268E-2</c:v>
                </c:pt>
                <c:pt idx="92">
                  <c:v>7.614213197969541E-2</c:v>
                </c:pt>
                <c:pt idx="93">
                  <c:v>4.9019607843137268E-2</c:v>
                </c:pt>
                <c:pt idx="94">
                  <c:v>6.8627450980392163E-2</c:v>
                </c:pt>
                <c:pt idx="95">
                  <c:v>0.11046511627906974</c:v>
                </c:pt>
                <c:pt idx="96">
                  <c:v>9.7297297297297275E-2</c:v>
                </c:pt>
                <c:pt idx="97">
                  <c:v>6.9767441860465115E-2</c:v>
                </c:pt>
                <c:pt idx="98">
                  <c:v>0.1225490196078431</c:v>
                </c:pt>
                <c:pt idx="99">
                  <c:v>8.3769633507853408E-2</c:v>
                </c:pt>
                <c:pt idx="100">
                  <c:v>8.4415584415584402E-2</c:v>
                </c:pt>
                <c:pt idx="101">
                  <c:v>6.8750000000000019E-2</c:v>
                </c:pt>
                <c:pt idx="102">
                  <c:v>7.4999999999999997E-2</c:v>
                </c:pt>
                <c:pt idx="103">
                  <c:v>0.14285714285714288</c:v>
                </c:pt>
                <c:pt idx="104">
                  <c:v>0.1097560975609756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C6-48CE-82F8-89EF34D19903}"/>
            </c:ext>
          </c:extLst>
        </c:ser>
        <c:ser>
          <c:idx val="1"/>
          <c:order val="1"/>
          <c:tx>
            <c:strRef>
              <c:f>'Averages Graph Data'!$U$4</c:f>
              <c:strCache>
                <c:ptCount val="1"/>
                <c:pt idx="0">
                  <c:v>Average Proportion Under 25 - 4 Week Avg (Boom Annual Up Front)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Data'!$U$5:$U$109</c:f>
              <c:numCache>
                <c:formatCode>0.0%</c:formatCode>
                <c:ptCount val="105"/>
                <c:pt idx="3">
                  <c:v>0.11347821704605028</c:v>
                </c:pt>
                <c:pt idx="4">
                  <c:v>0.11292888722842778</c:v>
                </c:pt>
                <c:pt idx="5">
                  <c:v>0.10588823312895015</c:v>
                </c:pt>
                <c:pt idx="6">
                  <c:v>0.10418672607984952</c:v>
                </c:pt>
                <c:pt idx="7">
                  <c:v>0.10566398041043074</c:v>
                </c:pt>
                <c:pt idx="8">
                  <c:v>9.4944400070597221E-2</c:v>
                </c:pt>
                <c:pt idx="9">
                  <c:v>9.3095182431905898E-2</c:v>
                </c:pt>
                <c:pt idx="10">
                  <c:v>9.4695664896184972E-2</c:v>
                </c:pt>
                <c:pt idx="11">
                  <c:v>8.0751515176173169E-2</c:v>
                </c:pt>
                <c:pt idx="12">
                  <c:v>7.0331432536965457E-2</c:v>
                </c:pt>
                <c:pt idx="13">
                  <c:v>6.0692581310538729E-2</c:v>
                </c:pt>
                <c:pt idx="14">
                  <c:v>5.4185042468615038E-2</c:v>
                </c:pt>
                <c:pt idx="15">
                  <c:v>5.8717905498070905E-2</c:v>
                </c:pt>
                <c:pt idx="16">
                  <c:v>5.9525050029015786E-2</c:v>
                </c:pt>
                <c:pt idx="17">
                  <c:v>6.9365873454563326E-2</c:v>
                </c:pt>
                <c:pt idx="18">
                  <c:v>6.9415941165181502E-2</c:v>
                </c:pt>
                <c:pt idx="19">
                  <c:v>6.9765459347894077E-2</c:v>
                </c:pt>
                <c:pt idx="20">
                  <c:v>7.0529007628217844E-2</c:v>
                </c:pt>
                <c:pt idx="21">
                  <c:v>6.5891996783532053E-2</c:v>
                </c:pt>
                <c:pt idx="22">
                  <c:v>6.8016845212917315E-2</c:v>
                </c:pt>
                <c:pt idx="23">
                  <c:v>6.6903050817280901E-2</c:v>
                </c:pt>
                <c:pt idx="24">
                  <c:v>6.6500241977129879E-2</c:v>
                </c:pt>
                <c:pt idx="25">
                  <c:v>7.3052471617178205E-2</c:v>
                </c:pt>
                <c:pt idx="26">
                  <c:v>7.0173156746460269E-2</c:v>
                </c:pt>
                <c:pt idx="27">
                  <c:v>7.3171820294739592E-2</c:v>
                </c:pt>
                <c:pt idx="28">
                  <c:v>7.2385465578933023E-2</c:v>
                </c:pt>
                <c:pt idx="29">
                  <c:v>6.9329739435388213E-2</c:v>
                </c:pt>
                <c:pt idx="30">
                  <c:v>7.0158793778563253E-2</c:v>
                </c:pt>
                <c:pt idx="31">
                  <c:v>7.7338769753911907E-2</c:v>
                </c:pt>
                <c:pt idx="32">
                  <c:v>8.2040375638327348E-2</c:v>
                </c:pt>
                <c:pt idx="33">
                  <c:v>8.6630794816078591E-2</c:v>
                </c:pt>
                <c:pt idx="34">
                  <c:v>9.5105445013224349E-2</c:v>
                </c:pt>
                <c:pt idx="35">
                  <c:v>8.5660660675506373E-2</c:v>
                </c:pt>
                <c:pt idx="36">
                  <c:v>8.3960722371258206E-2</c:v>
                </c:pt>
                <c:pt idx="37">
                  <c:v>7.739873461609896E-2</c:v>
                </c:pt>
                <c:pt idx="38">
                  <c:v>7.5085161654725549E-2</c:v>
                </c:pt>
                <c:pt idx="39">
                  <c:v>7.572577664511633E-2</c:v>
                </c:pt>
                <c:pt idx="40">
                  <c:v>7.8979820198021383E-2</c:v>
                </c:pt>
                <c:pt idx="41">
                  <c:v>7.6998283057617772E-2</c:v>
                </c:pt>
                <c:pt idx="42">
                  <c:v>7.3750806810586877E-2</c:v>
                </c:pt>
                <c:pt idx="43">
                  <c:v>8.1467882722644033E-2</c:v>
                </c:pt>
                <c:pt idx="44">
                  <c:v>8.731522165821827E-2</c:v>
                </c:pt>
                <c:pt idx="45">
                  <c:v>9.6974215690613846E-2</c:v>
                </c:pt>
                <c:pt idx="46">
                  <c:v>0.10448689464034742</c:v>
                </c:pt>
                <c:pt idx="47">
                  <c:v>9.8648236429345962E-2</c:v>
                </c:pt>
                <c:pt idx="48">
                  <c:v>9.3604053807843701E-2</c:v>
                </c:pt>
                <c:pt idx="49">
                  <c:v>9.1388802373158343E-2</c:v>
                </c:pt>
                <c:pt idx="50">
                  <c:v>9.4346477028946191E-2</c:v>
                </c:pt>
                <c:pt idx="51">
                  <c:v>9.190279093183365E-2</c:v>
                </c:pt>
                <c:pt idx="52">
                  <c:v>8.6298304636950401E-2</c:v>
                </c:pt>
                <c:pt idx="53">
                  <c:v>8.442237249675652E-2</c:v>
                </c:pt>
                <c:pt idx="54">
                  <c:v>7.251199513826595E-2</c:v>
                </c:pt>
                <c:pt idx="55">
                  <c:v>7.4713733874708615E-2</c:v>
                </c:pt>
                <c:pt idx="56">
                  <c:v>8.6301762910141702E-2</c:v>
                </c:pt>
                <c:pt idx="57">
                  <c:v>8.8277337622785376E-2</c:v>
                </c:pt>
                <c:pt idx="58">
                  <c:v>9.652733762278537E-2</c:v>
                </c:pt>
                <c:pt idx="59">
                  <c:v>0.10071217558272584</c:v>
                </c:pt>
                <c:pt idx="60">
                  <c:v>8.9382154344861769E-2</c:v>
                </c:pt>
                <c:pt idx="61">
                  <c:v>8.7059357409995861E-2</c:v>
                </c:pt>
                <c:pt idx="62">
                  <c:v>8.3096900072111915E-2</c:v>
                </c:pt>
                <c:pt idx="63">
                  <c:v>8.2426482572900625E-2</c:v>
                </c:pt>
                <c:pt idx="64">
                  <c:v>8.6622631988730797E-2</c:v>
                </c:pt>
                <c:pt idx="65">
                  <c:v>8.6948937209614358E-2</c:v>
                </c:pt>
                <c:pt idx="66">
                  <c:v>8.7755325183336466E-2</c:v>
                </c:pt>
                <c:pt idx="67">
                  <c:v>8.534850660004728E-2</c:v>
                </c:pt>
                <c:pt idx="68">
                  <c:v>8.3511911123319571E-2</c:v>
                </c:pt>
                <c:pt idx="69">
                  <c:v>8.9106658534015004E-2</c:v>
                </c:pt>
                <c:pt idx="70">
                  <c:v>9.0352333632943871E-2</c:v>
                </c:pt>
                <c:pt idx="71">
                  <c:v>8.3750143207224015E-2</c:v>
                </c:pt>
                <c:pt idx="72">
                  <c:v>8.3723969503570181E-2</c:v>
                </c:pt>
                <c:pt idx="73">
                  <c:v>7.533644177620577E-2</c:v>
                </c:pt>
                <c:pt idx="74">
                  <c:v>7.0654999306744848E-2</c:v>
                </c:pt>
                <c:pt idx="75">
                  <c:v>8.2938436590182144E-2</c:v>
                </c:pt>
                <c:pt idx="76">
                  <c:v>7.4839254888515963E-2</c:v>
                </c:pt>
                <c:pt idx="77">
                  <c:v>7.3707245135816557E-2</c:v>
                </c:pt>
                <c:pt idx="78">
                  <c:v>6.6739942085564205E-2</c:v>
                </c:pt>
                <c:pt idx="79">
                  <c:v>6.5632082553791618E-2</c:v>
                </c:pt>
                <c:pt idx="80">
                  <c:v>7.2880499161814133E-2</c:v>
                </c:pt>
                <c:pt idx="81">
                  <c:v>7.6854667070408278E-2</c:v>
                </c:pt>
                <c:pt idx="82">
                  <c:v>8.254645991657901E-2</c:v>
                </c:pt>
                <c:pt idx="83">
                  <c:v>7.3483819844862283E-2</c:v>
                </c:pt>
                <c:pt idx="84">
                  <c:v>6.4534722964730923E-2</c:v>
                </c:pt>
                <c:pt idx="85">
                  <c:v>6.0827542107264813E-2</c:v>
                </c:pt>
                <c:pt idx="86">
                  <c:v>6.6420163771315044E-2</c:v>
                </c:pt>
                <c:pt idx="87">
                  <c:v>6.2167586451727416E-2</c:v>
                </c:pt>
                <c:pt idx="88">
                  <c:v>6.2447698496545349E-2</c:v>
                </c:pt>
                <c:pt idx="89">
                  <c:v>6.3827615266234206E-2</c:v>
                </c:pt>
                <c:pt idx="90">
                  <c:v>5.5112192757708234E-2</c:v>
                </c:pt>
                <c:pt idx="91">
                  <c:v>6.1176549193351804E-2</c:v>
                </c:pt>
                <c:pt idx="92">
                  <c:v>7.0408160619648219E-2</c:v>
                </c:pt>
                <c:pt idx="93">
                  <c:v>6.5864643608100501E-2</c:v>
                </c:pt>
                <c:pt idx="94">
                  <c:v>6.7011654136449772E-2</c:v>
                </c:pt>
                <c:pt idx="95">
                  <c:v>7.6063576770573654E-2</c:v>
                </c:pt>
                <c:pt idx="96">
                  <c:v>8.1352368099974121E-2</c:v>
                </c:pt>
                <c:pt idx="97">
                  <c:v>8.6539326604306077E-2</c:v>
                </c:pt>
                <c:pt idx="98">
                  <c:v>0.1000197187611688</c:v>
                </c:pt>
                <c:pt idx="99">
                  <c:v>9.3345848068364712E-2</c:v>
                </c:pt>
                <c:pt idx="100">
                  <c:v>9.0125419847936511E-2</c:v>
                </c:pt>
                <c:pt idx="101">
                  <c:v>8.9871059382820237E-2</c:v>
                </c:pt>
                <c:pt idx="102">
                  <c:v>7.7983804480859467E-2</c:v>
                </c:pt>
                <c:pt idx="103">
                  <c:v>9.2755681818181834E-2</c:v>
                </c:pt>
                <c:pt idx="104">
                  <c:v>9.9090810104529622E-2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C6-48CE-82F8-89EF34D19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Policy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Data'!$X$4</c:f>
              <c:strCache>
                <c:ptCount val="1"/>
                <c:pt idx="0">
                  <c:v>Average Proportion Under 25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Data'!$X$5:$X$109</c:f>
              <c:numCache>
                <c:formatCode>0.0%</c:formatCode>
                <c:ptCount val="105"/>
                <c:pt idx="0">
                  <c:v>0.17927022739291365</c:v>
                </c:pt>
                <c:pt idx="1">
                  <c:v>0.17853585657370502</c:v>
                </c:pt>
                <c:pt idx="2">
                  <c:v>0.16460497723215006</c:v>
                </c:pt>
                <c:pt idx="3">
                  <c:v>0.18361355751267691</c:v>
                </c:pt>
                <c:pt idx="4">
                  <c:v>0.17312798725438142</c:v>
                </c:pt>
                <c:pt idx="5">
                  <c:v>0.14727085478887747</c:v>
                </c:pt>
                <c:pt idx="6">
                  <c:v>0.15850931677018634</c:v>
                </c:pt>
                <c:pt idx="7">
                  <c:v>0.14769038511229887</c:v>
                </c:pt>
                <c:pt idx="8">
                  <c:v>0.148259797204713</c:v>
                </c:pt>
                <c:pt idx="9">
                  <c:v>0.12895377128953722</c:v>
                </c:pt>
                <c:pt idx="10">
                  <c:v>0.12595419847328199</c:v>
                </c:pt>
                <c:pt idx="11">
                  <c:v>0.11508672664705248</c:v>
                </c:pt>
                <c:pt idx="12">
                  <c:v>0.12253773343566129</c:v>
                </c:pt>
                <c:pt idx="13">
                  <c:v>0.10120772946859903</c:v>
                </c:pt>
                <c:pt idx="14">
                  <c:v>0.10392664001881025</c:v>
                </c:pt>
                <c:pt idx="15">
                  <c:v>9.1734912436263513E-2</c:v>
                </c:pt>
                <c:pt idx="16">
                  <c:v>9.9143206854344815E-2</c:v>
                </c:pt>
                <c:pt idx="17">
                  <c:v>8.845096241979794E-2</c:v>
                </c:pt>
                <c:pt idx="18">
                  <c:v>7.957085382208276E-2</c:v>
                </c:pt>
                <c:pt idx="19">
                  <c:v>8.7646802957807385E-2</c:v>
                </c:pt>
                <c:pt idx="20">
                  <c:v>7.9625292740046538E-2</c:v>
                </c:pt>
                <c:pt idx="21">
                  <c:v>8.7074829931972492E-2</c:v>
                </c:pt>
                <c:pt idx="22">
                  <c:v>7.6406926406926104E-2</c:v>
                </c:pt>
                <c:pt idx="23">
                  <c:v>7.7659101023586738E-2</c:v>
                </c:pt>
                <c:pt idx="24">
                  <c:v>7.2672054579571654E-2</c:v>
                </c:pt>
                <c:pt idx="25">
                  <c:v>8.7701612903225368E-2</c:v>
                </c:pt>
                <c:pt idx="26">
                  <c:v>7.3244693258688875E-2</c:v>
                </c:pt>
                <c:pt idx="27">
                  <c:v>6.9828408007626033E-2</c:v>
                </c:pt>
                <c:pt idx="28">
                  <c:v>7.3783681585433428E-2</c:v>
                </c:pt>
                <c:pt idx="29">
                  <c:v>8.2018038331454476E-2</c:v>
                </c:pt>
                <c:pt idx="30">
                  <c:v>7.5159914712153525E-2</c:v>
                </c:pt>
                <c:pt idx="31">
                  <c:v>6.7738534528202443E-2</c:v>
                </c:pt>
                <c:pt idx="32">
                  <c:v>7.396036840636358E-2</c:v>
                </c:pt>
                <c:pt idx="33">
                  <c:v>7.0271315953968433E-2</c:v>
                </c:pt>
                <c:pt idx="34">
                  <c:v>8.1055900621117477E-2</c:v>
                </c:pt>
                <c:pt idx="35">
                  <c:v>6.8738792588164496E-2</c:v>
                </c:pt>
                <c:pt idx="36">
                  <c:v>7.1136292099464454E-2</c:v>
                </c:pt>
                <c:pt idx="37">
                  <c:v>6.654780996167535E-2</c:v>
                </c:pt>
                <c:pt idx="38">
                  <c:v>8.0588647512263842E-2</c:v>
                </c:pt>
                <c:pt idx="39">
                  <c:v>7.0000000000000284E-2</c:v>
                </c:pt>
                <c:pt idx="40">
                  <c:v>6.1093247588424687E-2</c:v>
                </c:pt>
                <c:pt idx="41">
                  <c:v>7.4809160305343778E-2</c:v>
                </c:pt>
                <c:pt idx="42">
                  <c:v>6.9247952345494634E-2</c:v>
                </c:pt>
                <c:pt idx="43">
                  <c:v>6.8471953578336076E-2</c:v>
                </c:pt>
                <c:pt idx="44">
                  <c:v>6.0456026058643413E-2</c:v>
                </c:pt>
                <c:pt idx="45">
                  <c:v>5.9389376829777935E-2</c:v>
                </c:pt>
                <c:pt idx="46">
                  <c:v>5.7779955893125928E-2</c:v>
                </c:pt>
                <c:pt idx="47">
                  <c:v>6.3296703296703574E-2</c:v>
                </c:pt>
                <c:pt idx="48">
                  <c:v>5.9405940594059674E-2</c:v>
                </c:pt>
                <c:pt idx="49">
                  <c:v>5.9097254536994194E-2</c:v>
                </c:pt>
                <c:pt idx="50">
                  <c:v>4.5454545454545574E-2</c:v>
                </c:pt>
                <c:pt idx="51">
                  <c:v>6.3593004769475478E-2</c:v>
                </c:pt>
                <c:pt idx="52">
                  <c:v>6.184084372003857E-2</c:v>
                </c:pt>
                <c:pt idx="53">
                  <c:v>5.2147239263803803E-2</c:v>
                </c:pt>
                <c:pt idx="54">
                  <c:v>5.1031487513572303E-2</c:v>
                </c:pt>
                <c:pt idx="55">
                  <c:v>5.3743589743144679E-2</c:v>
                </c:pt>
                <c:pt idx="56">
                  <c:v>6.0553633217992724E-2</c:v>
                </c:pt>
                <c:pt idx="57">
                  <c:v>5.7783018867924224E-2</c:v>
                </c:pt>
                <c:pt idx="58">
                  <c:v>5.0802139037432852E-2</c:v>
                </c:pt>
                <c:pt idx="59">
                  <c:v>4.2554825824413597E-2</c:v>
                </c:pt>
                <c:pt idx="60">
                  <c:v>6.6139468008626884E-2</c:v>
                </c:pt>
                <c:pt idx="61">
                  <c:v>5.5059523809523815E-2</c:v>
                </c:pt>
                <c:pt idx="62">
                  <c:v>5.187074829931973E-2</c:v>
                </c:pt>
                <c:pt idx="63">
                  <c:v>4.0161932913795988E-2</c:v>
                </c:pt>
                <c:pt idx="64">
                  <c:v>5.7405281285878275E-2</c:v>
                </c:pt>
                <c:pt idx="65">
                  <c:v>6.2360801781737182E-2</c:v>
                </c:pt>
                <c:pt idx="66">
                  <c:v>5.6029232643118092E-2</c:v>
                </c:pt>
                <c:pt idx="67">
                  <c:v>5.2173913043478244E-2</c:v>
                </c:pt>
                <c:pt idx="68">
                  <c:v>5.3298212184394525E-2</c:v>
                </c:pt>
                <c:pt idx="69">
                  <c:v>6.2500000000000042E-2</c:v>
                </c:pt>
                <c:pt idx="70">
                  <c:v>7.171834250886136E-2</c:v>
                </c:pt>
                <c:pt idx="71">
                  <c:v>6.4724919093851141E-2</c:v>
                </c:pt>
                <c:pt idx="72">
                  <c:v>6.5326633165829151E-2</c:v>
                </c:pt>
                <c:pt idx="73">
                  <c:v>9.3023255813953487E-2</c:v>
                </c:pt>
                <c:pt idx="74">
                  <c:v>5.5555555555555552E-2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20-4E95-BA75-88313932FBD4}"/>
            </c:ext>
          </c:extLst>
        </c:ser>
        <c:ser>
          <c:idx val="1"/>
          <c:order val="1"/>
          <c:tx>
            <c:strRef>
              <c:f>'Averages Graph Data'!$Y$4</c:f>
              <c:strCache>
                <c:ptCount val="1"/>
                <c:pt idx="0">
                  <c:v>Average Proportion Under 25 - 4 Week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Data'!$Y$5:$Y$109</c:f>
              <c:numCache>
                <c:formatCode>0.0%</c:formatCode>
                <c:ptCount val="105"/>
                <c:pt idx="3">
                  <c:v>0.1765061546778614</c:v>
                </c:pt>
                <c:pt idx="4">
                  <c:v>0.17497059464322834</c:v>
                </c:pt>
                <c:pt idx="5">
                  <c:v>0.16715434419702146</c:v>
                </c:pt>
                <c:pt idx="6">
                  <c:v>0.16563042908153053</c:v>
                </c:pt>
                <c:pt idx="7">
                  <c:v>0.156649635981436</c:v>
                </c:pt>
                <c:pt idx="8">
                  <c:v>0.15043258846901891</c:v>
                </c:pt>
                <c:pt idx="9">
                  <c:v>0.14585331759418385</c:v>
                </c:pt>
                <c:pt idx="10">
                  <c:v>0.13771453801995776</c:v>
                </c:pt>
                <c:pt idx="11">
                  <c:v>0.12956362340364616</c:v>
                </c:pt>
                <c:pt idx="12">
                  <c:v>0.12313310746138326</c:v>
                </c:pt>
                <c:pt idx="13">
                  <c:v>0.11619659700614871</c:v>
                </c:pt>
                <c:pt idx="14">
                  <c:v>0.11068970739253076</c:v>
                </c:pt>
                <c:pt idx="15">
                  <c:v>0.10485175383983353</c:v>
                </c:pt>
                <c:pt idx="16">
                  <c:v>9.9003122194504398E-2</c:v>
                </c:pt>
                <c:pt idx="17">
                  <c:v>9.5813930432304129E-2</c:v>
                </c:pt>
                <c:pt idx="18">
                  <c:v>8.972498388312225E-2</c:v>
                </c:pt>
                <c:pt idx="19">
                  <c:v>8.8702956513508208E-2</c:v>
                </c:pt>
                <c:pt idx="20">
                  <c:v>8.3823477984933656E-2</c:v>
                </c:pt>
                <c:pt idx="21">
                  <c:v>8.3479444862977287E-2</c:v>
                </c:pt>
                <c:pt idx="22">
                  <c:v>8.2688463009188126E-2</c:v>
                </c:pt>
                <c:pt idx="23">
                  <c:v>8.0191537525632975E-2</c:v>
                </c:pt>
                <c:pt idx="24">
                  <c:v>7.8453227985514254E-2</c:v>
                </c:pt>
                <c:pt idx="25">
                  <c:v>7.8609923728327466E-2</c:v>
                </c:pt>
                <c:pt idx="26">
                  <c:v>7.7819365441268162E-2</c:v>
                </c:pt>
                <c:pt idx="27">
                  <c:v>7.5861692187277979E-2</c:v>
                </c:pt>
                <c:pt idx="28">
                  <c:v>7.6139598938743419E-2</c:v>
                </c:pt>
                <c:pt idx="29">
                  <c:v>7.47187052958007E-2</c:v>
                </c:pt>
                <c:pt idx="30">
                  <c:v>7.5197510659166855E-2</c:v>
                </c:pt>
                <c:pt idx="31">
                  <c:v>7.4675042289310961E-2</c:v>
                </c:pt>
                <c:pt idx="32">
                  <c:v>7.471921399454351E-2</c:v>
                </c:pt>
                <c:pt idx="33">
                  <c:v>7.1782533400171988E-2</c:v>
                </c:pt>
                <c:pt idx="34">
                  <c:v>7.325652987741299E-2</c:v>
                </c:pt>
                <c:pt idx="35">
                  <c:v>7.3506594392403493E-2</c:v>
                </c:pt>
                <c:pt idx="36">
                  <c:v>7.2800575315678712E-2</c:v>
                </c:pt>
                <c:pt idx="37">
                  <c:v>7.1869698817605437E-2</c:v>
                </c:pt>
                <c:pt idx="38">
                  <c:v>7.1752885540392039E-2</c:v>
                </c:pt>
                <c:pt idx="39">
                  <c:v>7.2068187393350983E-2</c:v>
                </c:pt>
                <c:pt idx="40">
                  <c:v>6.9557426265591041E-2</c:v>
                </c:pt>
                <c:pt idx="41">
                  <c:v>7.1622763851508148E-2</c:v>
                </c:pt>
                <c:pt idx="42">
                  <c:v>6.8787590059815842E-2</c:v>
                </c:pt>
                <c:pt idx="43">
                  <c:v>6.840557845439979E-2</c:v>
                </c:pt>
                <c:pt idx="44">
                  <c:v>6.824627307195448E-2</c:v>
                </c:pt>
                <c:pt idx="45">
                  <c:v>6.4391327203063009E-2</c:v>
                </c:pt>
                <c:pt idx="46">
                  <c:v>6.1524328089970839E-2</c:v>
                </c:pt>
                <c:pt idx="47">
                  <c:v>6.0230515519562711E-2</c:v>
                </c:pt>
                <c:pt idx="48">
                  <c:v>5.9967994153416776E-2</c:v>
                </c:pt>
                <c:pt idx="49">
                  <c:v>5.9894963580220839E-2</c:v>
                </c:pt>
                <c:pt idx="50">
                  <c:v>5.6813610970575752E-2</c:v>
                </c:pt>
                <c:pt idx="51">
                  <c:v>5.6887686338768728E-2</c:v>
                </c:pt>
                <c:pt idx="52">
                  <c:v>5.7496412120263449E-2</c:v>
                </c:pt>
                <c:pt idx="53">
                  <c:v>5.5758908301965851E-2</c:v>
                </c:pt>
                <c:pt idx="54">
                  <c:v>5.715314381672254E-2</c:v>
                </c:pt>
                <c:pt idx="55">
                  <c:v>5.4690790060139841E-2</c:v>
                </c:pt>
                <c:pt idx="56">
                  <c:v>5.4368987434628382E-2</c:v>
                </c:pt>
                <c:pt idx="57">
                  <c:v>5.5777932335658482E-2</c:v>
                </c:pt>
                <c:pt idx="58">
                  <c:v>5.572059521662362E-2</c:v>
                </c:pt>
                <c:pt idx="59">
                  <c:v>5.2923404236940849E-2</c:v>
                </c:pt>
                <c:pt idx="60">
                  <c:v>5.4319862934599387E-2</c:v>
                </c:pt>
                <c:pt idx="61">
                  <c:v>5.3638989169999284E-2</c:v>
                </c:pt>
                <c:pt idx="62">
                  <c:v>5.3906141485471008E-2</c:v>
                </c:pt>
                <c:pt idx="63">
                  <c:v>5.3307918257816604E-2</c:v>
                </c:pt>
                <c:pt idx="64">
                  <c:v>5.112437157712945E-2</c:v>
                </c:pt>
                <c:pt idx="65">
                  <c:v>5.2949691070182797E-2</c:v>
                </c:pt>
                <c:pt idx="66">
                  <c:v>5.3989312156132382E-2</c:v>
                </c:pt>
                <c:pt idx="67">
                  <c:v>5.699230718855295E-2</c:v>
                </c:pt>
                <c:pt idx="68">
                  <c:v>5.5965539913182011E-2</c:v>
                </c:pt>
                <c:pt idx="69">
                  <c:v>5.6000339467747726E-2</c:v>
                </c:pt>
                <c:pt idx="70">
                  <c:v>5.9922616934183541E-2</c:v>
                </c:pt>
                <c:pt idx="71">
                  <c:v>6.306036844677676E-2</c:v>
                </c:pt>
                <c:pt idx="72">
                  <c:v>6.606747369213542E-2</c:v>
                </c:pt>
                <c:pt idx="73">
                  <c:v>7.3698287645623778E-2</c:v>
                </c:pt>
                <c:pt idx="74">
                  <c:v>6.965759090729734E-2</c:v>
                </c:pt>
                <c:pt idx="75">
                  <c:v>5.3476361133834548E-2</c:v>
                </c:pt>
                <c:pt idx="76">
                  <c:v>3.714470284237726E-2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20-4E95-BA75-88313932F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Data'!$AF$4</c:f>
              <c:strCache>
                <c:ptCount val="1"/>
                <c:pt idx="0">
                  <c:v>Average Premium Proportion Under 25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Data'!$AF$5:$AF$109</c:f>
              <c:numCache>
                <c:formatCode>0.0%</c:formatCode>
                <c:ptCount val="105"/>
                <c:pt idx="0">
                  <c:v>0.22037978698530739</c:v>
                </c:pt>
                <c:pt idx="1">
                  <c:v>0.19892729121669314</c:v>
                </c:pt>
                <c:pt idx="2">
                  <c:v>0.17775413165024484</c:v>
                </c:pt>
                <c:pt idx="3">
                  <c:v>0.18165247122949307</c:v>
                </c:pt>
                <c:pt idx="4">
                  <c:v>0.20261539049620328</c:v>
                </c:pt>
                <c:pt idx="5">
                  <c:v>0.1794749126631178</c:v>
                </c:pt>
                <c:pt idx="6">
                  <c:v>0.1692577481068484</c:v>
                </c:pt>
                <c:pt idx="7">
                  <c:v>0.20768790021476</c:v>
                </c:pt>
                <c:pt idx="8">
                  <c:v>0.15913443978882041</c:v>
                </c:pt>
                <c:pt idx="9">
                  <c:v>0.1481375117855529</c:v>
                </c:pt>
                <c:pt idx="10">
                  <c:v>0.194759137898525</c:v>
                </c:pt>
                <c:pt idx="11">
                  <c:v>9.1280290812125117E-2</c:v>
                </c:pt>
                <c:pt idx="12">
                  <c:v>0.1077647225551583</c:v>
                </c:pt>
                <c:pt idx="13">
                  <c:v>8.1538184175829601E-2</c:v>
                </c:pt>
                <c:pt idx="14">
                  <c:v>0.14392862116317454</c:v>
                </c:pt>
                <c:pt idx="15">
                  <c:v>0.15401619452069076</c:v>
                </c:pt>
                <c:pt idx="16">
                  <c:v>0.12673730835580277</c:v>
                </c:pt>
                <c:pt idx="17">
                  <c:v>0.15118064625007538</c:v>
                </c:pt>
                <c:pt idx="18">
                  <c:v>0.12376549610834593</c:v>
                </c:pt>
                <c:pt idx="19">
                  <c:v>0.13162074085738895</c:v>
                </c:pt>
                <c:pt idx="20">
                  <c:v>0.13630470092006949</c:v>
                </c:pt>
                <c:pt idx="21">
                  <c:v>9.6857377245733442E-2</c:v>
                </c:pt>
                <c:pt idx="22">
                  <c:v>0.15688074074624461</c:v>
                </c:pt>
                <c:pt idx="23">
                  <c:v>0.14520886960168097</c:v>
                </c:pt>
                <c:pt idx="24">
                  <c:v>0.13499116673861927</c:v>
                </c:pt>
                <c:pt idx="25">
                  <c:v>0.17916507679940563</c:v>
                </c:pt>
                <c:pt idx="26">
                  <c:v>0.13361294914929517</c:v>
                </c:pt>
                <c:pt idx="27">
                  <c:v>0.18205816549997619</c:v>
                </c:pt>
                <c:pt idx="28">
                  <c:v>0.14148118734074108</c:v>
                </c:pt>
                <c:pt idx="29">
                  <c:v>0.15162780132480994</c:v>
                </c:pt>
                <c:pt idx="30">
                  <c:v>0.13924363414718785</c:v>
                </c:pt>
                <c:pt idx="31">
                  <c:v>0.2261396692623461</c:v>
                </c:pt>
                <c:pt idx="32">
                  <c:v>0.17418934232824981</c:v>
                </c:pt>
                <c:pt idx="33">
                  <c:v>0.18420116260242475</c:v>
                </c:pt>
                <c:pt idx="34">
                  <c:v>0.20312120274131606</c:v>
                </c:pt>
                <c:pt idx="35">
                  <c:v>0.16780248382684279</c:v>
                </c:pt>
                <c:pt idx="36">
                  <c:v>0.1365620605106192</c:v>
                </c:pt>
                <c:pt idx="37">
                  <c:v>0.11901821214219813</c:v>
                </c:pt>
                <c:pt idx="38">
                  <c:v>0.16164495541838578</c:v>
                </c:pt>
                <c:pt idx="39">
                  <c:v>0.15999157213715587</c:v>
                </c:pt>
                <c:pt idx="40">
                  <c:v>0.17272406143735444</c:v>
                </c:pt>
                <c:pt idx="41">
                  <c:v>0.12172324613087541</c:v>
                </c:pt>
                <c:pt idx="42">
                  <c:v>0.19065551598071517</c:v>
                </c:pt>
                <c:pt idx="43">
                  <c:v>0.22547239762714866</c:v>
                </c:pt>
                <c:pt idx="44">
                  <c:v>0.21756228940834313</c:v>
                </c:pt>
                <c:pt idx="45">
                  <c:v>0.19299697297377599</c:v>
                </c:pt>
                <c:pt idx="46">
                  <c:v>0.24656457095316511</c:v>
                </c:pt>
                <c:pt idx="47">
                  <c:v>0.1384619386029462</c:v>
                </c:pt>
                <c:pt idx="48">
                  <c:v>0.16727688339412597</c:v>
                </c:pt>
                <c:pt idx="49">
                  <c:v>0.17370479423736837</c:v>
                </c:pt>
                <c:pt idx="50">
                  <c:v>0.28980706941449474</c:v>
                </c:pt>
                <c:pt idx="51">
                  <c:v>0.15354171843258019</c:v>
                </c:pt>
                <c:pt idx="52">
                  <c:v>0.15140243239518184</c:v>
                </c:pt>
                <c:pt idx="53">
                  <c:v>0.13068205722566872</c:v>
                </c:pt>
                <c:pt idx="54">
                  <c:v>0.18171490501405943</c:v>
                </c:pt>
                <c:pt idx="55">
                  <c:v>0.16066517519027648</c:v>
                </c:pt>
                <c:pt idx="56">
                  <c:v>0.24111459452395601</c:v>
                </c:pt>
                <c:pt idx="57">
                  <c:v>0.19844212360541091</c:v>
                </c:pt>
                <c:pt idx="58">
                  <c:v>0.24483450466179474</c:v>
                </c:pt>
                <c:pt idx="59">
                  <c:v>0.2229715379157676</c:v>
                </c:pt>
                <c:pt idx="60">
                  <c:v>0.16482312567837815</c:v>
                </c:pt>
                <c:pt idx="61">
                  <c:v>0.15109963148636779</c:v>
                </c:pt>
                <c:pt idx="62">
                  <c:v>0.20820362832848222</c:v>
                </c:pt>
                <c:pt idx="63">
                  <c:v>0.15556234705117439</c:v>
                </c:pt>
                <c:pt idx="64">
                  <c:v>0.13870482561343553</c:v>
                </c:pt>
                <c:pt idx="65">
                  <c:v>0.15152773351017002</c:v>
                </c:pt>
                <c:pt idx="66">
                  <c:v>0.17499946890108772</c:v>
                </c:pt>
                <c:pt idx="67">
                  <c:v>0.14015647778522694</c:v>
                </c:pt>
                <c:pt idx="68">
                  <c:v>0.1162172882905136</c:v>
                </c:pt>
                <c:pt idx="69">
                  <c:v>0.16937447469926484</c:v>
                </c:pt>
                <c:pt idx="70">
                  <c:v>0.15158814130174106</c:v>
                </c:pt>
                <c:pt idx="71">
                  <c:v>8.5943476274651154E-2</c:v>
                </c:pt>
                <c:pt idx="72">
                  <c:v>0.10189301309485256</c:v>
                </c:pt>
                <c:pt idx="73">
                  <c:v>0.10509463448821146</c:v>
                </c:pt>
                <c:pt idx="74">
                  <c:v>0.12959094504176741</c:v>
                </c:pt>
                <c:pt idx="75">
                  <c:v>0.17513723139462176</c:v>
                </c:pt>
                <c:pt idx="76">
                  <c:v>7.2533448141681417E-2</c:v>
                </c:pt>
                <c:pt idx="77">
                  <c:v>7.8791332422098764E-2</c:v>
                </c:pt>
                <c:pt idx="78">
                  <c:v>8.9363404591913886E-2</c:v>
                </c:pt>
                <c:pt idx="79">
                  <c:v>0.16671027936729493</c:v>
                </c:pt>
                <c:pt idx="80">
                  <c:v>0.13978699431774111</c:v>
                </c:pt>
                <c:pt idx="81">
                  <c:v>0.16056078972976989</c:v>
                </c:pt>
                <c:pt idx="82">
                  <c:v>0.14310637535830817</c:v>
                </c:pt>
                <c:pt idx="83">
                  <c:v>7.0407073846993504E-2</c:v>
                </c:pt>
                <c:pt idx="84">
                  <c:v>5.1440935013100673E-2</c:v>
                </c:pt>
                <c:pt idx="85">
                  <c:v>9.369058700179686E-2</c:v>
                </c:pt>
                <c:pt idx="86">
                  <c:v>0.1628590989730973</c:v>
                </c:pt>
                <c:pt idx="87">
                  <c:v>8.2987000300805039E-2</c:v>
                </c:pt>
                <c:pt idx="88">
                  <c:v>7.5333336095918371E-2</c:v>
                </c:pt>
                <c:pt idx="89">
                  <c:v>0.10453831425183503</c:v>
                </c:pt>
                <c:pt idx="90">
                  <c:v>0.1018947770181375</c:v>
                </c:pt>
                <c:pt idx="91">
                  <c:v>0.10920402965014298</c:v>
                </c:pt>
                <c:pt idx="92">
                  <c:v>0.11732303276647468</c:v>
                </c:pt>
                <c:pt idx="93">
                  <c:v>8.6434012850571812E-2</c:v>
                </c:pt>
                <c:pt idx="94">
                  <c:v>0.1149318137684235</c:v>
                </c:pt>
                <c:pt idx="95">
                  <c:v>0.20807346708246041</c:v>
                </c:pt>
                <c:pt idx="96">
                  <c:v>0.13265574204466893</c:v>
                </c:pt>
                <c:pt idx="97">
                  <c:v>0.12166403727541775</c:v>
                </c:pt>
                <c:pt idx="98">
                  <c:v>0.20917474373209896</c:v>
                </c:pt>
                <c:pt idx="99">
                  <c:v>9.5789603662724834E-2</c:v>
                </c:pt>
                <c:pt idx="100">
                  <c:v>0.14158051344358377</c:v>
                </c:pt>
                <c:pt idx="101">
                  <c:v>9.6149818046968538E-2</c:v>
                </c:pt>
                <c:pt idx="102">
                  <c:v>0.13141989409695767</c:v>
                </c:pt>
                <c:pt idx="103">
                  <c:v>0.23399375414333978</c:v>
                </c:pt>
                <c:pt idx="104">
                  <c:v>0.17873841968749579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2-4150-A80F-509641F757BA}"/>
            </c:ext>
          </c:extLst>
        </c:ser>
        <c:ser>
          <c:idx val="1"/>
          <c:order val="1"/>
          <c:tx>
            <c:strRef>
              <c:f>'Averages Graph Data'!$AG$4</c:f>
              <c:strCache>
                <c:ptCount val="1"/>
                <c:pt idx="0">
                  <c:v>Average Premium Proportion Under 25 - 4 Week Avg (Boom Annual Up Front)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Data'!$AG$5:$AG$109</c:f>
              <c:numCache>
                <c:formatCode>0.0%</c:formatCode>
                <c:ptCount val="105"/>
                <c:pt idx="3">
                  <c:v>0.19467842027043464</c:v>
                </c:pt>
                <c:pt idx="4">
                  <c:v>0.19023732114815858</c:v>
                </c:pt>
                <c:pt idx="5">
                  <c:v>0.18537422650976473</c:v>
                </c:pt>
                <c:pt idx="6">
                  <c:v>0.18325013062391565</c:v>
                </c:pt>
                <c:pt idx="7">
                  <c:v>0.18975898787023238</c:v>
                </c:pt>
                <c:pt idx="8">
                  <c:v>0.17888875019338668</c:v>
                </c:pt>
                <c:pt idx="9">
                  <c:v>0.17105439997399544</c:v>
                </c:pt>
                <c:pt idx="10">
                  <c:v>0.17742974742191459</c:v>
                </c:pt>
                <c:pt idx="11">
                  <c:v>0.14832784507125585</c:v>
                </c:pt>
                <c:pt idx="12">
                  <c:v>0.13548541576284034</c:v>
                </c:pt>
                <c:pt idx="13">
                  <c:v>0.1188355838604095</c:v>
                </c:pt>
                <c:pt idx="14">
                  <c:v>0.10612795467657188</c:v>
                </c:pt>
                <c:pt idx="15">
                  <c:v>0.1218119306037133</c:v>
                </c:pt>
                <c:pt idx="16">
                  <c:v>0.12655507705387442</c:v>
                </c:pt>
                <c:pt idx="17">
                  <c:v>0.14396569257243585</c:v>
                </c:pt>
                <c:pt idx="18">
                  <c:v>0.13892491130872872</c:v>
                </c:pt>
                <c:pt idx="19">
                  <c:v>0.13332604789290325</c:v>
                </c:pt>
                <c:pt idx="20">
                  <c:v>0.13571789603396994</c:v>
                </c:pt>
                <c:pt idx="21">
                  <c:v>0.12213707878288445</c:v>
                </c:pt>
                <c:pt idx="22">
                  <c:v>0.13041588994235914</c:v>
                </c:pt>
                <c:pt idx="23">
                  <c:v>0.13381292212843213</c:v>
                </c:pt>
                <c:pt idx="24">
                  <c:v>0.13348453858306958</c:v>
                </c:pt>
                <c:pt idx="25">
                  <c:v>0.15406146347148764</c:v>
                </c:pt>
                <c:pt idx="26">
                  <c:v>0.14824451557225027</c:v>
                </c:pt>
                <c:pt idx="27">
                  <c:v>0.15745683954682407</c:v>
                </c:pt>
                <c:pt idx="28">
                  <c:v>0.15907934469735452</c:v>
                </c:pt>
                <c:pt idx="29">
                  <c:v>0.15219502582870559</c:v>
                </c:pt>
                <c:pt idx="30">
                  <c:v>0.15360269707817878</c:v>
                </c:pt>
                <c:pt idx="31">
                  <c:v>0.16462307301877124</c:v>
                </c:pt>
                <c:pt idx="32">
                  <c:v>0.17280011176564841</c:v>
                </c:pt>
                <c:pt idx="33">
                  <c:v>0.18094345208505214</c:v>
                </c:pt>
                <c:pt idx="34">
                  <c:v>0.19691284423358418</c:v>
                </c:pt>
                <c:pt idx="35">
                  <c:v>0.18232854787470837</c:v>
                </c:pt>
                <c:pt idx="36">
                  <c:v>0.17292172742030071</c:v>
                </c:pt>
                <c:pt idx="37">
                  <c:v>0.15662598980524406</c:v>
                </c:pt>
                <c:pt idx="38">
                  <c:v>0.14625692797451145</c:v>
                </c:pt>
                <c:pt idx="39">
                  <c:v>0.14430420005208974</c:v>
                </c:pt>
                <c:pt idx="40">
                  <c:v>0.15334470028377356</c:v>
                </c:pt>
                <c:pt idx="41">
                  <c:v>0.15402095878094285</c:v>
                </c:pt>
                <c:pt idx="42">
                  <c:v>0.16127359892152521</c:v>
                </c:pt>
                <c:pt idx="43">
                  <c:v>0.1776438052940234</c:v>
                </c:pt>
                <c:pt idx="44">
                  <c:v>0.18885336228677058</c:v>
                </c:pt>
                <c:pt idx="45">
                  <c:v>0.20667179399749575</c:v>
                </c:pt>
                <c:pt idx="46">
                  <c:v>0.2206490577406082</c:v>
                </c:pt>
                <c:pt idx="47">
                  <c:v>0.19889644298455761</c:v>
                </c:pt>
                <c:pt idx="48">
                  <c:v>0.18632509148100332</c:v>
                </c:pt>
                <c:pt idx="49">
                  <c:v>0.18150204679690141</c:v>
                </c:pt>
                <c:pt idx="50">
                  <c:v>0.19231267141223382</c:v>
                </c:pt>
                <c:pt idx="51">
                  <c:v>0.1960826163696423</c:v>
                </c:pt>
                <c:pt idx="52">
                  <c:v>0.1921140036199063</c:v>
                </c:pt>
                <c:pt idx="53">
                  <c:v>0.18135831936698138</c:v>
                </c:pt>
                <c:pt idx="54">
                  <c:v>0.15433527826687254</c:v>
                </c:pt>
                <c:pt idx="55">
                  <c:v>0.1561161424562966</c:v>
                </c:pt>
                <c:pt idx="56">
                  <c:v>0.17854418298849015</c:v>
                </c:pt>
                <c:pt idx="57">
                  <c:v>0.19548419958342569</c:v>
                </c:pt>
                <c:pt idx="58">
                  <c:v>0.21126409949535951</c:v>
                </c:pt>
                <c:pt idx="59">
                  <c:v>0.22684069017673233</c:v>
                </c:pt>
                <c:pt idx="60">
                  <c:v>0.20776782296533786</c:v>
                </c:pt>
                <c:pt idx="61">
                  <c:v>0.19593219993557703</c:v>
                </c:pt>
                <c:pt idx="62">
                  <c:v>0.18677448085224896</c:v>
                </c:pt>
                <c:pt idx="63">
                  <c:v>0.16992218313610064</c:v>
                </c:pt>
                <c:pt idx="64">
                  <c:v>0.163392608119865</c:v>
                </c:pt>
                <c:pt idx="65">
                  <c:v>0.16349963362581554</c:v>
                </c:pt>
                <c:pt idx="66">
                  <c:v>0.15519859376896691</c:v>
                </c:pt>
                <c:pt idx="67">
                  <c:v>0.15134712645248005</c:v>
                </c:pt>
                <c:pt idx="68">
                  <c:v>0.14572524212174959</c:v>
                </c:pt>
                <c:pt idx="69">
                  <c:v>0.15018692741902326</c:v>
                </c:pt>
                <c:pt idx="70">
                  <c:v>0.14433409551918661</c:v>
                </c:pt>
                <c:pt idx="71">
                  <c:v>0.13078084514154267</c:v>
                </c:pt>
                <c:pt idx="72">
                  <c:v>0.12719977634262741</c:v>
                </c:pt>
                <c:pt idx="73">
                  <c:v>0.11112981628986407</c:v>
                </c:pt>
                <c:pt idx="74">
                  <c:v>0.10563051722487063</c:v>
                </c:pt>
                <c:pt idx="75">
                  <c:v>0.12792895600486331</c:v>
                </c:pt>
                <c:pt idx="76">
                  <c:v>0.1205890647665705</c:v>
                </c:pt>
                <c:pt idx="77">
                  <c:v>0.11401323925004234</c:v>
                </c:pt>
                <c:pt idx="78">
                  <c:v>0.10395635413757896</c:v>
                </c:pt>
                <c:pt idx="79">
                  <c:v>0.10184961613074725</c:v>
                </c:pt>
                <c:pt idx="80">
                  <c:v>0.11866300267476218</c:v>
                </c:pt>
                <c:pt idx="81">
                  <c:v>0.13910536700167997</c:v>
                </c:pt>
                <c:pt idx="82">
                  <c:v>0.15254110969327853</c:v>
                </c:pt>
                <c:pt idx="83">
                  <c:v>0.12846530831320316</c:v>
                </c:pt>
                <c:pt idx="84">
                  <c:v>0.10637879348704306</c:v>
                </c:pt>
                <c:pt idx="85">
                  <c:v>8.9661242805049807E-2</c:v>
                </c:pt>
                <c:pt idx="86">
                  <c:v>9.4599423708747077E-2</c:v>
                </c:pt>
                <c:pt idx="87">
                  <c:v>9.7744405322199968E-2</c:v>
                </c:pt>
                <c:pt idx="88">
                  <c:v>0.10371750559290438</c:v>
                </c:pt>
                <c:pt idx="89">
                  <c:v>0.10642943740541393</c:v>
                </c:pt>
                <c:pt idx="90">
                  <c:v>9.1188356916673985E-2</c:v>
                </c:pt>
                <c:pt idx="91">
                  <c:v>9.7742614254008472E-2</c:v>
                </c:pt>
                <c:pt idx="92">
                  <c:v>0.10824003842164756</c:v>
                </c:pt>
                <c:pt idx="93">
                  <c:v>0.10371396307133174</c:v>
                </c:pt>
                <c:pt idx="94">
                  <c:v>0.10697322225890324</c:v>
                </c:pt>
                <c:pt idx="95">
                  <c:v>0.1316905816169826</c:v>
                </c:pt>
                <c:pt idx="96">
                  <c:v>0.13552375893653115</c:v>
                </c:pt>
                <c:pt idx="97">
                  <c:v>0.14433126504274266</c:v>
                </c:pt>
                <c:pt idx="98">
                  <c:v>0.16789199753366152</c:v>
                </c:pt>
                <c:pt idx="99">
                  <c:v>0.13982103167872761</c:v>
                </c:pt>
                <c:pt idx="100">
                  <c:v>0.14205222452845634</c:v>
                </c:pt>
                <c:pt idx="101">
                  <c:v>0.13567366972134404</c:v>
                </c:pt>
                <c:pt idx="102">
                  <c:v>0.1162349573125587</c:v>
                </c:pt>
                <c:pt idx="103">
                  <c:v>0.15078599493271244</c:v>
                </c:pt>
                <c:pt idx="104">
                  <c:v>0.16007547149369045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92-4150-A80F-509641F75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24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Premium Proportion Under 25 Years Old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Data'!$AJ$4</c:f>
              <c:strCache>
                <c:ptCount val="1"/>
                <c:pt idx="0">
                  <c:v>Average Premium Proportion Under 25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Data'!$AJ$5:$AJ$109</c:f>
              <c:numCache>
                <c:formatCode>0.0%</c:formatCode>
                <c:ptCount val="105"/>
                <c:pt idx="0">
                  <c:v>0.25638549380025838</c:v>
                </c:pt>
                <c:pt idx="1">
                  <c:v>0.25162540908536346</c:v>
                </c:pt>
                <c:pt idx="2">
                  <c:v>0.24071376232487868</c:v>
                </c:pt>
                <c:pt idx="3">
                  <c:v>0.26085316444748641</c:v>
                </c:pt>
                <c:pt idx="4">
                  <c:v>0.24631196675975489</c:v>
                </c:pt>
                <c:pt idx="5">
                  <c:v>0.20844706519090483</c:v>
                </c:pt>
                <c:pt idx="6">
                  <c:v>0.2337947440744341</c:v>
                </c:pt>
                <c:pt idx="7">
                  <c:v>0.21396963235250724</c:v>
                </c:pt>
                <c:pt idx="8">
                  <c:v>0.22090359723523764</c:v>
                </c:pt>
                <c:pt idx="9">
                  <c:v>0.19186598588666204</c:v>
                </c:pt>
                <c:pt idx="10">
                  <c:v>0.18546458904267241</c:v>
                </c:pt>
                <c:pt idx="11">
                  <c:v>0.17573139987525263</c:v>
                </c:pt>
                <c:pt idx="12">
                  <c:v>0.18925686851369158</c:v>
                </c:pt>
                <c:pt idx="13">
                  <c:v>0.15848540225259977</c:v>
                </c:pt>
                <c:pt idx="14">
                  <c:v>0.15898668236926866</c:v>
                </c:pt>
                <c:pt idx="15">
                  <c:v>0.14690857781980421</c:v>
                </c:pt>
                <c:pt idx="16">
                  <c:v>0.15339754911848558</c:v>
                </c:pt>
                <c:pt idx="17">
                  <c:v>0.14583964696968446</c:v>
                </c:pt>
                <c:pt idx="18">
                  <c:v>0.14025502169926829</c:v>
                </c:pt>
                <c:pt idx="19">
                  <c:v>0.14049979261355144</c:v>
                </c:pt>
                <c:pt idx="20">
                  <c:v>0.13383631441732627</c:v>
                </c:pt>
                <c:pt idx="21">
                  <c:v>0.14227250329420921</c:v>
                </c:pt>
                <c:pt idx="22">
                  <c:v>0.13536937021099532</c:v>
                </c:pt>
                <c:pt idx="23">
                  <c:v>0.1310512481130601</c:v>
                </c:pt>
                <c:pt idx="24">
                  <c:v>0.12114391120330203</c:v>
                </c:pt>
                <c:pt idx="25">
                  <c:v>0.14876935792140664</c:v>
                </c:pt>
                <c:pt idx="26">
                  <c:v>0.12896430120895061</c:v>
                </c:pt>
                <c:pt idx="27">
                  <c:v>0.12350993594407576</c:v>
                </c:pt>
                <c:pt idx="28">
                  <c:v>0.12738457276195675</c:v>
                </c:pt>
                <c:pt idx="29">
                  <c:v>0.13685659526254762</c:v>
                </c:pt>
                <c:pt idx="30">
                  <c:v>0.13203306180261346</c:v>
                </c:pt>
                <c:pt idx="31">
                  <c:v>0.12371083136915158</c:v>
                </c:pt>
                <c:pt idx="32">
                  <c:v>0.12468488786731961</c:v>
                </c:pt>
                <c:pt idx="33">
                  <c:v>0.12553812950025064</c:v>
                </c:pt>
                <c:pt idx="34">
                  <c:v>0.13964578893696306</c:v>
                </c:pt>
                <c:pt idx="35">
                  <c:v>0.12403970549869883</c:v>
                </c:pt>
                <c:pt idx="36">
                  <c:v>0.12456980030504818</c:v>
                </c:pt>
                <c:pt idx="37">
                  <c:v>0.1167188010710143</c:v>
                </c:pt>
                <c:pt idx="38">
                  <c:v>0.1381966718378364</c:v>
                </c:pt>
                <c:pt idx="39">
                  <c:v>0.12498701779134616</c:v>
                </c:pt>
                <c:pt idx="40">
                  <c:v>0.10773529543817909</c:v>
                </c:pt>
                <c:pt idx="41">
                  <c:v>0.12933081029913179</c:v>
                </c:pt>
                <c:pt idx="42">
                  <c:v>0.1217431090448428</c:v>
                </c:pt>
                <c:pt idx="43">
                  <c:v>0.12119444864065664</c:v>
                </c:pt>
                <c:pt idx="44">
                  <c:v>0.11020135719894111</c:v>
                </c:pt>
                <c:pt idx="45">
                  <c:v>0.10495277492800541</c:v>
                </c:pt>
                <c:pt idx="46">
                  <c:v>0.1074469101427227</c:v>
                </c:pt>
                <c:pt idx="47">
                  <c:v>0.11281582223537803</c:v>
                </c:pt>
                <c:pt idx="48">
                  <c:v>0.1049348909704388</c:v>
                </c:pt>
                <c:pt idx="49">
                  <c:v>0.10499652571919163</c:v>
                </c:pt>
                <c:pt idx="50">
                  <c:v>8.3447931594330255E-2</c:v>
                </c:pt>
                <c:pt idx="51">
                  <c:v>0.12029389427004324</c:v>
                </c:pt>
                <c:pt idx="52">
                  <c:v>0.10939733602397057</c:v>
                </c:pt>
                <c:pt idx="53">
                  <c:v>9.2994853253209386E-2</c:v>
                </c:pt>
                <c:pt idx="54">
                  <c:v>9.1674747337199963E-2</c:v>
                </c:pt>
                <c:pt idx="55">
                  <c:v>0.10476865733700447</c:v>
                </c:pt>
                <c:pt idx="56">
                  <c:v>0.10742278600635245</c:v>
                </c:pt>
                <c:pt idx="57">
                  <c:v>0.10546160665156007</c:v>
                </c:pt>
                <c:pt idx="58">
                  <c:v>8.8980373490793629E-2</c:v>
                </c:pt>
                <c:pt idx="59">
                  <c:v>8.4136857438717738E-2</c:v>
                </c:pt>
                <c:pt idx="60">
                  <c:v>0.12314035713866307</c:v>
                </c:pt>
                <c:pt idx="61">
                  <c:v>9.4857402039477137E-2</c:v>
                </c:pt>
                <c:pt idx="62">
                  <c:v>9.7724127020507479E-2</c:v>
                </c:pt>
                <c:pt idx="63">
                  <c:v>7.4946919728065123E-2</c:v>
                </c:pt>
                <c:pt idx="64">
                  <c:v>0.11072761113072176</c:v>
                </c:pt>
                <c:pt idx="65">
                  <c:v>0.11061832389624238</c:v>
                </c:pt>
                <c:pt idx="66">
                  <c:v>0.10749660515286169</c:v>
                </c:pt>
                <c:pt idx="67">
                  <c:v>9.7241557985109417E-2</c:v>
                </c:pt>
                <c:pt idx="68">
                  <c:v>0.11825910780320956</c:v>
                </c:pt>
                <c:pt idx="69">
                  <c:v>0.10667546464223104</c:v>
                </c:pt>
                <c:pt idx="70">
                  <c:v>0.14350870199804397</c:v>
                </c:pt>
                <c:pt idx="71">
                  <c:v>0.13998323562395346</c:v>
                </c:pt>
                <c:pt idx="72">
                  <c:v>0.13200554295302161</c:v>
                </c:pt>
                <c:pt idx="73">
                  <c:v>0.16965627635195563</c:v>
                </c:pt>
                <c:pt idx="74">
                  <c:v>7.4727240062996372E-2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1-4591-8EB5-DC42AB7929D9}"/>
            </c:ext>
          </c:extLst>
        </c:ser>
        <c:ser>
          <c:idx val="1"/>
          <c:order val="1"/>
          <c:tx>
            <c:strRef>
              <c:f>'Averages Graph Data'!$AK$4</c:f>
              <c:strCache>
                <c:ptCount val="1"/>
                <c:pt idx="0">
                  <c:v>Average Premium Proportion Under 25 - 4 Week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Data'!$AK$5:$AK$109</c:f>
              <c:numCache>
                <c:formatCode>0.0%</c:formatCode>
                <c:ptCount val="105"/>
                <c:pt idx="3">
                  <c:v>0.25239445741449673</c:v>
                </c:pt>
                <c:pt idx="4">
                  <c:v>0.24987607565437087</c:v>
                </c:pt>
                <c:pt idx="5">
                  <c:v>0.23908148968075618</c:v>
                </c:pt>
                <c:pt idx="6">
                  <c:v>0.23735173511814506</c:v>
                </c:pt>
                <c:pt idx="7">
                  <c:v>0.22563085209440026</c:v>
                </c:pt>
                <c:pt idx="8">
                  <c:v>0.21927875971327096</c:v>
                </c:pt>
                <c:pt idx="9">
                  <c:v>0.21513348988721026</c:v>
                </c:pt>
                <c:pt idx="10">
                  <c:v>0.20305095112926982</c:v>
                </c:pt>
                <c:pt idx="11">
                  <c:v>0.19349139300995619</c:v>
                </c:pt>
                <c:pt idx="12">
                  <c:v>0.18557971082956967</c:v>
                </c:pt>
                <c:pt idx="13">
                  <c:v>0.17723456492105411</c:v>
                </c:pt>
                <c:pt idx="14">
                  <c:v>0.17061508825270316</c:v>
                </c:pt>
                <c:pt idx="15">
                  <c:v>0.16340938273884109</c:v>
                </c:pt>
                <c:pt idx="16">
                  <c:v>0.15444455289003955</c:v>
                </c:pt>
                <c:pt idx="17">
                  <c:v>0.15128311406931072</c:v>
                </c:pt>
                <c:pt idx="18">
                  <c:v>0.14660019890181064</c:v>
                </c:pt>
                <c:pt idx="19">
                  <c:v>0.14499800260024742</c:v>
                </c:pt>
                <c:pt idx="20">
                  <c:v>0.14010769392495762</c:v>
                </c:pt>
                <c:pt idx="21">
                  <c:v>0.1392159080060888</c:v>
                </c:pt>
                <c:pt idx="22">
                  <c:v>0.13799449513402057</c:v>
                </c:pt>
                <c:pt idx="23">
                  <c:v>0.13563235900889772</c:v>
                </c:pt>
                <c:pt idx="24">
                  <c:v>0.13245925820539167</c:v>
                </c:pt>
                <c:pt idx="25">
                  <c:v>0.13408347186219102</c:v>
                </c:pt>
                <c:pt idx="26">
                  <c:v>0.13248220461167987</c:v>
                </c:pt>
                <c:pt idx="27">
                  <c:v>0.13059687656943378</c:v>
                </c:pt>
                <c:pt idx="28">
                  <c:v>0.13215704195909744</c:v>
                </c:pt>
                <c:pt idx="29">
                  <c:v>0.12917885129438267</c:v>
                </c:pt>
                <c:pt idx="30">
                  <c:v>0.12994604144279839</c:v>
                </c:pt>
                <c:pt idx="31">
                  <c:v>0.12999626529906735</c:v>
                </c:pt>
                <c:pt idx="32">
                  <c:v>0.12932134407540807</c:v>
                </c:pt>
                <c:pt idx="33">
                  <c:v>0.12649172763483382</c:v>
                </c:pt>
                <c:pt idx="34">
                  <c:v>0.12839490941842124</c:v>
                </c:pt>
                <c:pt idx="35">
                  <c:v>0.12847712795080804</c:v>
                </c:pt>
                <c:pt idx="36">
                  <c:v>0.12844835606024016</c:v>
                </c:pt>
                <c:pt idx="37">
                  <c:v>0.12624352395293109</c:v>
                </c:pt>
                <c:pt idx="38">
                  <c:v>0.12588124467814943</c:v>
                </c:pt>
                <c:pt idx="39">
                  <c:v>0.12611807275131126</c:v>
                </c:pt>
                <c:pt idx="40">
                  <c:v>0.12190944653459398</c:v>
                </c:pt>
                <c:pt idx="41">
                  <c:v>0.12506244884162337</c:v>
                </c:pt>
                <c:pt idx="42">
                  <c:v>0.12094905814337496</c:v>
                </c:pt>
                <c:pt idx="43">
                  <c:v>0.12000091585570258</c:v>
                </c:pt>
                <c:pt idx="44">
                  <c:v>0.12061743129589308</c:v>
                </c:pt>
                <c:pt idx="45">
                  <c:v>0.11452292245311149</c:v>
                </c:pt>
                <c:pt idx="46">
                  <c:v>0.11094887272758147</c:v>
                </c:pt>
                <c:pt idx="47">
                  <c:v>0.10885421612626181</c:v>
                </c:pt>
                <c:pt idx="48">
                  <c:v>0.10753759956913624</c:v>
                </c:pt>
                <c:pt idx="49">
                  <c:v>0.10754853726693278</c:v>
                </c:pt>
                <c:pt idx="50">
                  <c:v>0.10154879262983468</c:v>
                </c:pt>
                <c:pt idx="51">
                  <c:v>0.10341831063850099</c:v>
                </c:pt>
                <c:pt idx="52">
                  <c:v>0.10453392190188392</c:v>
                </c:pt>
                <c:pt idx="53">
                  <c:v>0.10153350378538836</c:v>
                </c:pt>
                <c:pt idx="54">
                  <c:v>0.10359020772110578</c:v>
                </c:pt>
                <c:pt idx="55">
                  <c:v>9.9708898487846087E-2</c:v>
                </c:pt>
                <c:pt idx="56">
                  <c:v>9.9215260983441578E-2</c:v>
                </c:pt>
                <c:pt idx="57">
                  <c:v>0.10233194933302923</c:v>
                </c:pt>
                <c:pt idx="58">
                  <c:v>0.10165835587142766</c:v>
                </c:pt>
                <c:pt idx="59">
                  <c:v>9.6500405896855976E-2</c:v>
                </c:pt>
                <c:pt idx="60">
                  <c:v>0.10042979867993362</c:v>
                </c:pt>
                <c:pt idx="61">
                  <c:v>9.7778747526912888E-2</c:v>
                </c:pt>
                <c:pt idx="62">
                  <c:v>9.996468590934135E-2</c:v>
                </c:pt>
                <c:pt idx="63">
                  <c:v>9.7667201481678206E-2</c:v>
                </c:pt>
                <c:pt idx="64">
                  <c:v>9.456401497969287E-2</c:v>
                </c:pt>
                <c:pt idx="65">
                  <c:v>9.8504245443884184E-2</c:v>
                </c:pt>
                <c:pt idx="66">
                  <c:v>0.10094736497697274</c:v>
                </c:pt>
                <c:pt idx="67">
                  <c:v>0.10652102454123381</c:v>
                </c:pt>
                <c:pt idx="68">
                  <c:v>0.10840389870935577</c:v>
                </c:pt>
                <c:pt idx="69">
                  <c:v>0.10741818389585293</c:v>
                </c:pt>
                <c:pt idx="70">
                  <c:v>0.11642120810714851</c:v>
                </c:pt>
                <c:pt idx="71">
                  <c:v>0.1271066275168595</c:v>
                </c:pt>
                <c:pt idx="72">
                  <c:v>0.1305432363043125</c:v>
                </c:pt>
                <c:pt idx="73">
                  <c:v>0.14628843923174367</c:v>
                </c:pt>
                <c:pt idx="74">
                  <c:v>0.12909307374798176</c:v>
                </c:pt>
                <c:pt idx="75">
                  <c:v>9.4097264841993405E-2</c:v>
                </c:pt>
                <c:pt idx="76">
                  <c:v>6.1095879103737996E-2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1-4591-8EB5-DC42AB792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Age Under 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Data'!$AN$4</c:f>
              <c:strCache>
                <c:ptCount val="1"/>
                <c:pt idx="0">
                  <c:v>Average Mileage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Data'!$AN$5:$AN$109</c:f>
              <c:numCache>
                <c:formatCode>#,##0</c:formatCode>
                <c:ptCount val="105"/>
                <c:pt idx="0">
                  <c:v>6797.7158918155437</c:v>
                </c:pt>
                <c:pt idx="1">
                  <c:v>7039.9637570166342</c:v>
                </c:pt>
                <c:pt idx="2">
                  <c:v>6808.9930729516482</c:v>
                </c:pt>
                <c:pt idx="3">
                  <c:v>7008.0699754716261</c:v>
                </c:pt>
                <c:pt idx="4">
                  <c:v>6837.7965401629017</c:v>
                </c:pt>
                <c:pt idx="5">
                  <c:v>7096.6523446546462</c:v>
                </c:pt>
                <c:pt idx="6">
                  <c:v>6777.6378585766724</c:v>
                </c:pt>
                <c:pt idx="7">
                  <c:v>6728.3530532625018</c:v>
                </c:pt>
                <c:pt idx="8">
                  <c:v>6823.0178084306881</c:v>
                </c:pt>
                <c:pt idx="9">
                  <c:v>6614.3445287873001</c:v>
                </c:pt>
                <c:pt idx="10">
                  <c:v>6624.4811256545518</c:v>
                </c:pt>
                <c:pt idx="11">
                  <c:v>6620.0192143616187</c:v>
                </c:pt>
                <c:pt idx="12">
                  <c:v>6839.0627647255087</c:v>
                </c:pt>
                <c:pt idx="13">
                  <c:v>6882.6949277458698</c:v>
                </c:pt>
                <c:pt idx="14">
                  <c:v>6719.174568892895</c:v>
                </c:pt>
                <c:pt idx="15">
                  <c:v>6829.736350339509</c:v>
                </c:pt>
                <c:pt idx="16">
                  <c:v>6698.5594615867458</c:v>
                </c:pt>
                <c:pt idx="17">
                  <c:v>6749.020231378171</c:v>
                </c:pt>
                <c:pt idx="18">
                  <c:v>6971.8784599523988</c:v>
                </c:pt>
                <c:pt idx="19">
                  <c:v>6848.8485612205441</c:v>
                </c:pt>
                <c:pt idx="20">
                  <c:v>6882.2447112349155</c:v>
                </c:pt>
                <c:pt idx="21">
                  <c:v>6919.7779739555363</c:v>
                </c:pt>
                <c:pt idx="22">
                  <c:v>6858.416665223639</c:v>
                </c:pt>
                <c:pt idx="23">
                  <c:v>6886.7858304778529</c:v>
                </c:pt>
                <c:pt idx="24">
                  <c:v>6905.0655718048702</c:v>
                </c:pt>
                <c:pt idx="25">
                  <c:v>6846.9978015506686</c:v>
                </c:pt>
                <c:pt idx="26">
                  <c:v>6794.4290401598691</c:v>
                </c:pt>
                <c:pt idx="27">
                  <c:v>6826.8011211237599</c:v>
                </c:pt>
                <c:pt idx="28">
                  <c:v>6975.3486036338127</c:v>
                </c:pt>
                <c:pt idx="29">
                  <c:v>7113.4701257458746</c:v>
                </c:pt>
                <c:pt idx="30">
                  <c:v>6920.5803381205997</c:v>
                </c:pt>
                <c:pt idx="31">
                  <c:v>6959.3365981297375</c:v>
                </c:pt>
                <c:pt idx="32">
                  <c:v>7115.5382883113789</c:v>
                </c:pt>
                <c:pt idx="33">
                  <c:v>7134.9042054122501</c:v>
                </c:pt>
                <c:pt idx="34">
                  <c:v>6972.1546381647249</c:v>
                </c:pt>
                <c:pt idx="35">
                  <c:v>7082.7413678173143</c:v>
                </c:pt>
                <c:pt idx="36">
                  <c:v>7156.981920558017</c:v>
                </c:pt>
                <c:pt idx="37">
                  <c:v>7213.3175104964575</c:v>
                </c:pt>
                <c:pt idx="38">
                  <c:v>7130.7056005177683</c:v>
                </c:pt>
                <c:pt idx="39">
                  <c:v>7123.1948897080738</c:v>
                </c:pt>
                <c:pt idx="40">
                  <c:v>7244.373850952371</c:v>
                </c:pt>
                <c:pt idx="41">
                  <c:v>7329.2037945742204</c:v>
                </c:pt>
                <c:pt idx="42">
                  <c:v>7376.7607916241313</c:v>
                </c:pt>
                <c:pt idx="43">
                  <c:v>7350.3395371933002</c:v>
                </c:pt>
                <c:pt idx="44">
                  <c:v>7367.1291429452676</c:v>
                </c:pt>
                <c:pt idx="45">
                  <c:v>7456.8103750380697</c:v>
                </c:pt>
                <c:pt idx="46">
                  <c:v>7422.089793031736</c:v>
                </c:pt>
                <c:pt idx="47">
                  <c:v>7325.270509618862</c:v>
                </c:pt>
                <c:pt idx="48">
                  <c:v>7551.7094402724279</c:v>
                </c:pt>
                <c:pt idx="49">
                  <c:v>7391.6914258754759</c:v>
                </c:pt>
                <c:pt idx="50">
                  <c:v>7606.662133527836</c:v>
                </c:pt>
                <c:pt idx="51">
                  <c:v>7519.07575768882</c:v>
                </c:pt>
                <c:pt idx="52">
                  <c:v>7391.6645618864095</c:v>
                </c:pt>
                <c:pt idx="53">
                  <c:v>7386.0277121061654</c:v>
                </c:pt>
                <c:pt idx="54">
                  <c:v>7523.6598728862909</c:v>
                </c:pt>
                <c:pt idx="55">
                  <c:v>7516.5660331026475</c:v>
                </c:pt>
                <c:pt idx="56">
                  <c:v>7512.0171493708749</c:v>
                </c:pt>
                <c:pt idx="57">
                  <c:v>7378.5798987340268</c:v>
                </c:pt>
                <c:pt idx="58">
                  <c:v>7397.5089579489177</c:v>
                </c:pt>
                <c:pt idx="59">
                  <c:v>7439.3179748288967</c:v>
                </c:pt>
                <c:pt idx="60">
                  <c:v>7370.5689046788812</c:v>
                </c:pt>
                <c:pt idx="61">
                  <c:v>7342.0799024400412</c:v>
                </c:pt>
                <c:pt idx="62">
                  <c:v>7476.8722678790073</c:v>
                </c:pt>
                <c:pt idx="63">
                  <c:v>7507.8867411985684</c:v>
                </c:pt>
                <c:pt idx="64">
                  <c:v>7484.0308707183331</c:v>
                </c:pt>
                <c:pt idx="65">
                  <c:v>7501.318765437939</c:v>
                </c:pt>
                <c:pt idx="66">
                  <c:v>7456.1642667848428</c:v>
                </c:pt>
                <c:pt idx="67">
                  <c:v>7335.8609194743203</c:v>
                </c:pt>
                <c:pt idx="68">
                  <c:v>7297.5250192111671</c:v>
                </c:pt>
                <c:pt idx="69">
                  <c:v>7298.0184774696727</c:v>
                </c:pt>
                <c:pt idx="70">
                  <c:v>7437.4970668283659</c:v>
                </c:pt>
                <c:pt idx="71">
                  <c:v>7315.04168733607</c:v>
                </c:pt>
                <c:pt idx="72">
                  <c:v>7423.4033151957437</c:v>
                </c:pt>
                <c:pt idx="73">
                  <c:v>7478.7556640218418</c:v>
                </c:pt>
                <c:pt idx="74">
                  <c:v>7262.2118159782131</c:v>
                </c:pt>
                <c:pt idx="75">
                  <c:v>7417.2754643530343</c:v>
                </c:pt>
                <c:pt idx="76">
                  <c:v>7593.2299769602687</c:v>
                </c:pt>
                <c:pt idx="77">
                  <c:v>7530.3250988142318</c:v>
                </c:pt>
                <c:pt idx="78">
                  <c:v>7380.2753623188464</c:v>
                </c:pt>
                <c:pt idx="79">
                  <c:v>7534.2344559585572</c:v>
                </c:pt>
                <c:pt idx="80">
                  <c:v>7664.6389743589662</c:v>
                </c:pt>
                <c:pt idx="81">
                  <c:v>7479.988624612196</c:v>
                </c:pt>
                <c:pt idx="82">
                  <c:v>7736.6550264550287</c:v>
                </c:pt>
                <c:pt idx="83">
                  <c:v>7477.1594349142288</c:v>
                </c:pt>
                <c:pt idx="84">
                  <c:v>7531.6581586143957</c:v>
                </c:pt>
                <c:pt idx="85">
                  <c:v>7419.0556622983595</c:v>
                </c:pt>
                <c:pt idx="86">
                  <c:v>7176.8907815631264</c:v>
                </c:pt>
                <c:pt idx="87">
                  <c:v>7231.3757338551859</c:v>
                </c:pt>
                <c:pt idx="88">
                  <c:v>7262.3601651186791</c:v>
                </c:pt>
                <c:pt idx="89">
                  <c:v>7502.3185185185121</c:v>
                </c:pt>
                <c:pt idx="90">
                  <c:v>7328.3987274655365</c:v>
                </c:pt>
                <c:pt idx="91">
                  <c:v>7142.7755532139108</c:v>
                </c:pt>
                <c:pt idx="92">
                  <c:v>7229.457722660658</c:v>
                </c:pt>
                <c:pt idx="93">
                  <c:v>7235.4827935222729</c:v>
                </c:pt>
                <c:pt idx="94">
                  <c:v>7424.7736040609152</c:v>
                </c:pt>
                <c:pt idx="95">
                  <c:v>7183.0651428571437</c:v>
                </c:pt>
                <c:pt idx="96">
                  <c:v>7193.6991368680683</c:v>
                </c:pt>
                <c:pt idx="97">
                  <c:v>6916.2709069493549</c:v>
                </c:pt>
                <c:pt idx="98">
                  <c:v>6886.8551165146837</c:v>
                </c:pt>
                <c:pt idx="99">
                  <c:v>6724.6089449541314</c:v>
                </c:pt>
                <c:pt idx="100">
                  <c:v>6856.7273954116108</c:v>
                </c:pt>
                <c:pt idx="101">
                  <c:v>6752.5144032921871</c:v>
                </c:pt>
                <c:pt idx="102">
                  <c:v>6748.1267942583781</c:v>
                </c:pt>
                <c:pt idx="103">
                  <c:v>6782.1585760517864</c:v>
                </c:pt>
                <c:pt idx="104">
                  <c:v>6988.3310901749701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1-441B-A888-2AC62943971D}"/>
            </c:ext>
          </c:extLst>
        </c:ser>
        <c:ser>
          <c:idx val="1"/>
          <c:order val="1"/>
          <c:tx>
            <c:strRef>
              <c:f>'Averages Graph Data'!$AO$4</c:f>
              <c:strCache>
                <c:ptCount val="1"/>
                <c:pt idx="0">
                  <c:v>Average Mileage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Data'!$AO$5:$AO$109</c:f>
              <c:numCache>
                <c:formatCode>#,##0</c:formatCode>
                <c:ptCount val="105"/>
                <c:pt idx="3">
                  <c:v>6913.6856743138633</c:v>
                </c:pt>
                <c:pt idx="4">
                  <c:v>6923.7058364007025</c:v>
                </c:pt>
                <c:pt idx="5">
                  <c:v>6937.8779833102053</c:v>
                </c:pt>
                <c:pt idx="6">
                  <c:v>6930.0391797164611</c:v>
                </c:pt>
                <c:pt idx="7">
                  <c:v>6860.1099491641799</c:v>
                </c:pt>
                <c:pt idx="8">
                  <c:v>6856.4152662311262</c:v>
                </c:pt>
                <c:pt idx="9">
                  <c:v>6735.8383122642908</c:v>
                </c:pt>
                <c:pt idx="10">
                  <c:v>6697.5491290337604</c:v>
                </c:pt>
                <c:pt idx="11">
                  <c:v>6670.4656693085399</c:v>
                </c:pt>
                <c:pt idx="12">
                  <c:v>6674.4769083822448</c:v>
                </c:pt>
                <c:pt idx="13">
                  <c:v>6741.5645081218872</c:v>
                </c:pt>
                <c:pt idx="14">
                  <c:v>6765.2378689314737</c:v>
                </c:pt>
                <c:pt idx="15">
                  <c:v>6817.6671529259456</c:v>
                </c:pt>
                <c:pt idx="16">
                  <c:v>6782.5413271412544</c:v>
                </c:pt>
                <c:pt idx="17">
                  <c:v>6749.1226530493295</c:v>
                </c:pt>
                <c:pt idx="18">
                  <c:v>6812.2986258142064</c:v>
                </c:pt>
                <c:pt idx="19">
                  <c:v>6817.0766785344649</c:v>
                </c:pt>
                <c:pt idx="20">
                  <c:v>6862.9979909465073</c:v>
                </c:pt>
                <c:pt idx="21">
                  <c:v>6905.6874265908491</c:v>
                </c:pt>
                <c:pt idx="22">
                  <c:v>6877.3219779086585</c:v>
                </c:pt>
                <c:pt idx="23">
                  <c:v>6886.8062952229857</c:v>
                </c:pt>
                <c:pt idx="24">
                  <c:v>6892.5115103654744</c:v>
                </c:pt>
                <c:pt idx="25">
                  <c:v>6874.316467264257</c:v>
                </c:pt>
                <c:pt idx="26">
                  <c:v>6858.319560998315</c:v>
                </c:pt>
                <c:pt idx="27">
                  <c:v>6843.3233836597919</c:v>
                </c:pt>
                <c:pt idx="28">
                  <c:v>6860.8941416170273</c:v>
                </c:pt>
                <c:pt idx="29">
                  <c:v>6927.5122226658295</c:v>
                </c:pt>
                <c:pt idx="30">
                  <c:v>6959.0500471560117</c:v>
                </c:pt>
                <c:pt idx="31">
                  <c:v>6992.1839164075063</c:v>
                </c:pt>
                <c:pt idx="32">
                  <c:v>7027.2313375768972</c:v>
                </c:pt>
                <c:pt idx="33">
                  <c:v>7032.5898574934918</c:v>
                </c:pt>
                <c:pt idx="34">
                  <c:v>7045.4834325045231</c:v>
                </c:pt>
                <c:pt idx="35">
                  <c:v>7076.3346249264168</c:v>
                </c:pt>
                <c:pt idx="36">
                  <c:v>7086.6955329880766</c:v>
                </c:pt>
                <c:pt idx="37">
                  <c:v>7106.2988592591282</c:v>
                </c:pt>
                <c:pt idx="38">
                  <c:v>7145.9365998473895</c:v>
                </c:pt>
                <c:pt idx="39">
                  <c:v>7156.0499803200792</c:v>
                </c:pt>
                <c:pt idx="40">
                  <c:v>7177.8979629186679</c:v>
                </c:pt>
                <c:pt idx="41">
                  <c:v>7206.8695339381084</c:v>
                </c:pt>
                <c:pt idx="42">
                  <c:v>7268.3833317146991</c:v>
                </c:pt>
                <c:pt idx="43">
                  <c:v>7325.169493586006</c:v>
                </c:pt>
                <c:pt idx="44">
                  <c:v>7355.8583165842301</c:v>
                </c:pt>
                <c:pt idx="45">
                  <c:v>7387.7599617001924</c:v>
                </c:pt>
                <c:pt idx="46">
                  <c:v>7399.0922120520936</c:v>
                </c:pt>
                <c:pt idx="47">
                  <c:v>7392.824955158484</c:v>
                </c:pt>
                <c:pt idx="48">
                  <c:v>7438.9700294902741</c:v>
                </c:pt>
                <c:pt idx="49">
                  <c:v>7422.6902921996261</c:v>
                </c:pt>
                <c:pt idx="50">
                  <c:v>7468.8333773236509</c:v>
                </c:pt>
                <c:pt idx="51">
                  <c:v>7517.2846893411406</c:v>
                </c:pt>
                <c:pt idx="52">
                  <c:v>7477.2734697446358</c:v>
                </c:pt>
                <c:pt idx="53">
                  <c:v>7475.8575413023082</c:v>
                </c:pt>
                <c:pt idx="54">
                  <c:v>7455.1069761419221</c:v>
                </c:pt>
                <c:pt idx="55">
                  <c:v>7454.479544995379</c:v>
                </c:pt>
                <c:pt idx="56">
                  <c:v>7484.567691866494</c:v>
                </c:pt>
                <c:pt idx="57">
                  <c:v>7482.7057385234602</c:v>
                </c:pt>
                <c:pt idx="58">
                  <c:v>7451.1680097891167</c:v>
                </c:pt>
                <c:pt idx="59">
                  <c:v>7431.8559952206788</c:v>
                </c:pt>
                <c:pt idx="60">
                  <c:v>7396.4939340476813</c:v>
                </c:pt>
                <c:pt idx="61">
                  <c:v>7387.3689349741835</c:v>
                </c:pt>
                <c:pt idx="62">
                  <c:v>7407.2097624567068</c:v>
                </c:pt>
                <c:pt idx="63">
                  <c:v>7424.3519540491252</c:v>
                </c:pt>
                <c:pt idx="64">
                  <c:v>7452.7174455589875</c:v>
                </c:pt>
                <c:pt idx="65">
                  <c:v>7492.5271613084624</c:v>
                </c:pt>
                <c:pt idx="66">
                  <c:v>7487.3501610349213</c:v>
                </c:pt>
                <c:pt idx="67">
                  <c:v>7444.3437056038583</c:v>
                </c:pt>
                <c:pt idx="68">
                  <c:v>7397.717242727068</c:v>
                </c:pt>
                <c:pt idx="69">
                  <c:v>7346.8921707350009</c:v>
                </c:pt>
                <c:pt idx="70">
                  <c:v>7342.2253707458822</c:v>
                </c:pt>
                <c:pt idx="71">
                  <c:v>7337.0205627113182</c:v>
                </c:pt>
                <c:pt idx="72">
                  <c:v>7368.4901367074635</c:v>
                </c:pt>
                <c:pt idx="73">
                  <c:v>7413.6744333455053</c:v>
                </c:pt>
                <c:pt idx="74">
                  <c:v>7369.8531206329681</c:v>
                </c:pt>
                <c:pt idx="75">
                  <c:v>7395.4115648872084</c:v>
                </c:pt>
                <c:pt idx="76">
                  <c:v>7437.8682303283395</c:v>
                </c:pt>
                <c:pt idx="77">
                  <c:v>7450.7605890264367</c:v>
                </c:pt>
                <c:pt idx="78">
                  <c:v>7480.2764756115957</c:v>
                </c:pt>
                <c:pt idx="79">
                  <c:v>7509.5162235129765</c:v>
                </c:pt>
                <c:pt idx="80">
                  <c:v>7527.3684728626504</c:v>
                </c:pt>
                <c:pt idx="81">
                  <c:v>7514.7843543121417</c:v>
                </c:pt>
                <c:pt idx="82">
                  <c:v>7603.8792703461868</c:v>
                </c:pt>
                <c:pt idx="83">
                  <c:v>7589.6105150851045</c:v>
                </c:pt>
                <c:pt idx="84">
                  <c:v>7556.3653111489621</c:v>
                </c:pt>
                <c:pt idx="85">
                  <c:v>7541.1320705705029</c:v>
                </c:pt>
                <c:pt idx="86">
                  <c:v>7401.1910093475271</c:v>
                </c:pt>
                <c:pt idx="87">
                  <c:v>7339.7450840827678</c:v>
                </c:pt>
                <c:pt idx="88">
                  <c:v>7272.4205857088373</c:v>
                </c:pt>
                <c:pt idx="89">
                  <c:v>7293.2362997638756</c:v>
                </c:pt>
                <c:pt idx="90">
                  <c:v>7331.1132862394788</c:v>
                </c:pt>
                <c:pt idx="91">
                  <c:v>7308.9632410791601</c:v>
                </c:pt>
                <c:pt idx="92">
                  <c:v>7300.7376304646532</c:v>
                </c:pt>
                <c:pt idx="93">
                  <c:v>7234.0286992155943</c:v>
                </c:pt>
                <c:pt idx="94">
                  <c:v>7258.122418364439</c:v>
                </c:pt>
                <c:pt idx="95">
                  <c:v>7268.1948157752477</c:v>
                </c:pt>
                <c:pt idx="96">
                  <c:v>7259.2551693270998</c:v>
                </c:pt>
                <c:pt idx="97">
                  <c:v>7179.4521976838705</c:v>
                </c:pt>
                <c:pt idx="98">
                  <c:v>7044.9725757973119</c:v>
                </c:pt>
                <c:pt idx="99">
                  <c:v>6930.3585263215591</c:v>
                </c:pt>
                <c:pt idx="100">
                  <c:v>6846.1155909574454</c:v>
                </c:pt>
                <c:pt idx="101">
                  <c:v>6805.1764650431523</c:v>
                </c:pt>
                <c:pt idx="102">
                  <c:v>6770.4943844790778</c:v>
                </c:pt>
                <c:pt idx="103">
                  <c:v>6784.8817922534909</c:v>
                </c:pt>
                <c:pt idx="104">
                  <c:v>6817.7827159443314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1-441B-A888-2AC629439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Data'!$AR$4</c:f>
              <c:strCache>
                <c:ptCount val="1"/>
                <c:pt idx="0">
                  <c:v>Average Mileage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Data'!$AR$5:$AR$109</c:f>
              <c:numCache>
                <c:formatCode>#,##0</c:formatCode>
                <c:ptCount val="105"/>
                <c:pt idx="0">
                  <c:v>7387.7601626016285</c:v>
                </c:pt>
                <c:pt idx="1">
                  <c:v>7961.8949579831951</c:v>
                </c:pt>
                <c:pt idx="2">
                  <c:v>7280.9462809917368</c:v>
                </c:pt>
                <c:pt idx="3">
                  <c:v>7651.6525821596215</c:v>
                </c:pt>
                <c:pt idx="4">
                  <c:v>7503.7342342342308</c:v>
                </c:pt>
                <c:pt idx="5">
                  <c:v>8107.6531531531555</c:v>
                </c:pt>
                <c:pt idx="6">
                  <c:v>7216.2156862745169</c:v>
                </c:pt>
                <c:pt idx="7">
                  <c:v>6975.2701149425275</c:v>
                </c:pt>
                <c:pt idx="8">
                  <c:v>7206.5274261603399</c:v>
                </c:pt>
                <c:pt idx="9">
                  <c:v>6905.2982456140362</c:v>
                </c:pt>
                <c:pt idx="10">
                  <c:v>6870.3123028391155</c:v>
                </c:pt>
                <c:pt idx="11">
                  <c:v>6590.6132478632471</c:v>
                </c:pt>
                <c:pt idx="12">
                  <c:v>7005.9611398963734</c:v>
                </c:pt>
                <c:pt idx="13">
                  <c:v>7170.1053864168625</c:v>
                </c:pt>
                <c:pt idx="14">
                  <c:v>6922.742203742202</c:v>
                </c:pt>
                <c:pt idx="15">
                  <c:v>7009.0954003407132</c:v>
                </c:pt>
                <c:pt idx="16">
                  <c:v>6767.1582914572855</c:v>
                </c:pt>
                <c:pt idx="17">
                  <c:v>6883.5507900677212</c:v>
                </c:pt>
                <c:pt idx="18">
                  <c:v>7308.529816513761</c:v>
                </c:pt>
                <c:pt idx="19">
                  <c:v>7191.2644376899698</c:v>
                </c:pt>
                <c:pt idx="20">
                  <c:v>7137.6437125748516</c:v>
                </c:pt>
                <c:pt idx="21">
                  <c:v>7100.4615384615399</c:v>
                </c:pt>
                <c:pt idx="22">
                  <c:v>7030.0074812967587</c:v>
                </c:pt>
                <c:pt idx="23">
                  <c:v>7066.5502283105043</c:v>
                </c:pt>
                <c:pt idx="24">
                  <c:v>7207.4297188755054</c:v>
                </c:pt>
                <c:pt idx="25">
                  <c:v>7137.85835694051</c:v>
                </c:pt>
                <c:pt idx="26">
                  <c:v>7098.2000000000035</c:v>
                </c:pt>
                <c:pt idx="27">
                  <c:v>6912.7365853658548</c:v>
                </c:pt>
                <c:pt idx="28">
                  <c:v>7318.7820853420772</c:v>
                </c:pt>
                <c:pt idx="29">
                  <c:v>7495.1771561771657</c:v>
                </c:pt>
                <c:pt idx="30">
                  <c:v>7029.9715447154567</c:v>
                </c:pt>
                <c:pt idx="31">
                  <c:v>7027.2719486081469</c:v>
                </c:pt>
                <c:pt idx="32">
                  <c:v>7543.3135245901749</c:v>
                </c:pt>
                <c:pt idx="33">
                  <c:v>7427.3838771593164</c:v>
                </c:pt>
                <c:pt idx="34">
                  <c:v>7087.049356223185</c:v>
                </c:pt>
                <c:pt idx="35">
                  <c:v>7019.5119047619155</c:v>
                </c:pt>
                <c:pt idx="36">
                  <c:v>7297.74623655915</c:v>
                </c:pt>
                <c:pt idx="37">
                  <c:v>7283.0985401459939</c:v>
                </c:pt>
                <c:pt idx="38">
                  <c:v>7169.0290178571504</c:v>
                </c:pt>
                <c:pt idx="39">
                  <c:v>7160.0269058296062</c:v>
                </c:pt>
                <c:pt idx="40">
                  <c:v>7403.8235294117758</c:v>
                </c:pt>
                <c:pt idx="41">
                  <c:v>7550.1341176470669</c:v>
                </c:pt>
                <c:pt idx="42">
                  <c:v>7513.3135391924043</c:v>
                </c:pt>
                <c:pt idx="43">
                  <c:v>7577.9002557544827</c:v>
                </c:pt>
                <c:pt idx="44">
                  <c:v>7625.5285714285828</c:v>
                </c:pt>
                <c:pt idx="45">
                  <c:v>7661.6057971014525</c:v>
                </c:pt>
                <c:pt idx="46">
                  <c:v>7597.4675675675744</c:v>
                </c:pt>
                <c:pt idx="47">
                  <c:v>7566.2131661442027</c:v>
                </c:pt>
                <c:pt idx="48">
                  <c:v>7597.0206185567004</c:v>
                </c:pt>
                <c:pt idx="49">
                  <c:v>8128.6778523489929</c:v>
                </c:pt>
                <c:pt idx="50">
                  <c:v>7748.2075471698145</c:v>
                </c:pt>
                <c:pt idx="51">
                  <c:v>7927.3080168776378</c:v>
                </c:pt>
                <c:pt idx="52">
                  <c:v>7430.8070866141725</c:v>
                </c:pt>
                <c:pt idx="53">
                  <c:v>7479.6631944444471</c:v>
                </c:pt>
                <c:pt idx="54">
                  <c:v>8295.9541666666682</c:v>
                </c:pt>
                <c:pt idx="55">
                  <c:v>7979.2147651006726</c:v>
                </c:pt>
                <c:pt idx="56">
                  <c:v>7742.9843750000036</c:v>
                </c:pt>
                <c:pt idx="57">
                  <c:v>7892.9770114942539</c:v>
                </c:pt>
                <c:pt idx="58">
                  <c:v>7754.9880000000012</c:v>
                </c:pt>
                <c:pt idx="59">
                  <c:v>7676.8404669260744</c:v>
                </c:pt>
                <c:pt idx="60">
                  <c:v>7326.4902912621355</c:v>
                </c:pt>
                <c:pt idx="61">
                  <c:v>7192.1625000000004</c:v>
                </c:pt>
                <c:pt idx="62">
                  <c:v>7677.0750853242362</c:v>
                </c:pt>
                <c:pt idx="63">
                  <c:v>7542.9020270270312</c:v>
                </c:pt>
                <c:pt idx="64">
                  <c:v>7758.4745762711873</c:v>
                </c:pt>
                <c:pt idx="65">
                  <c:v>7532.2289156626539</c:v>
                </c:pt>
                <c:pt idx="66">
                  <c:v>7823.1763005780385</c:v>
                </c:pt>
                <c:pt idx="67">
                  <c:v>7408.1307189542504</c:v>
                </c:pt>
                <c:pt idx="68">
                  <c:v>7411.7492260061936</c:v>
                </c:pt>
                <c:pt idx="69">
                  <c:v>7598.6743421052697</c:v>
                </c:pt>
                <c:pt idx="70">
                  <c:v>7665.4121863799301</c:v>
                </c:pt>
                <c:pt idx="71">
                  <c:v>7546.072072072071</c:v>
                </c:pt>
                <c:pt idx="72">
                  <c:v>7982.115942028985</c:v>
                </c:pt>
                <c:pt idx="73">
                  <c:v>7714.8352490421457</c:v>
                </c:pt>
                <c:pt idx="74">
                  <c:v>7469.7469387755109</c:v>
                </c:pt>
                <c:pt idx="75">
                  <c:v>7490.6512820512817</c:v>
                </c:pt>
                <c:pt idx="76">
                  <c:v>7669.8122448979584</c:v>
                </c:pt>
                <c:pt idx="77">
                  <c:v>7365.138528138531</c:v>
                </c:pt>
                <c:pt idx="78">
                  <c:v>7511.5806451612898</c:v>
                </c:pt>
                <c:pt idx="79">
                  <c:v>7708.9565217391309</c:v>
                </c:pt>
                <c:pt idx="80">
                  <c:v>7787.3448275862074</c:v>
                </c:pt>
                <c:pt idx="81">
                  <c:v>7196.1748633879788</c:v>
                </c:pt>
                <c:pt idx="82">
                  <c:v>7976.0357142857138</c:v>
                </c:pt>
                <c:pt idx="83">
                  <c:v>7848.4432989690731</c:v>
                </c:pt>
                <c:pt idx="84">
                  <c:v>7387.0190476190492</c:v>
                </c:pt>
                <c:pt idx="85">
                  <c:v>7515.8634361233499</c:v>
                </c:pt>
                <c:pt idx="86">
                  <c:v>7236.2637362637361</c:v>
                </c:pt>
                <c:pt idx="87">
                  <c:v>7323.5</c:v>
                </c:pt>
                <c:pt idx="88">
                  <c:v>7529.4117647058838</c:v>
                </c:pt>
                <c:pt idx="89">
                  <c:v>7345.6442687747067</c:v>
                </c:pt>
                <c:pt idx="90">
                  <c:v>7474.3596059113297</c:v>
                </c:pt>
                <c:pt idx="91">
                  <c:v>7320.757425742574</c:v>
                </c:pt>
                <c:pt idx="92">
                  <c:v>7306.1421319796946</c:v>
                </c:pt>
                <c:pt idx="93">
                  <c:v>7219.1568627450988</c:v>
                </c:pt>
                <c:pt idx="94">
                  <c:v>7455.3872549019616</c:v>
                </c:pt>
                <c:pt idx="95">
                  <c:v>7659.6395348837214</c:v>
                </c:pt>
                <c:pt idx="96">
                  <c:v>7027.0270270270266</c:v>
                </c:pt>
                <c:pt idx="97">
                  <c:v>7311.1860465116288</c:v>
                </c:pt>
                <c:pt idx="98">
                  <c:v>7176.3039215686276</c:v>
                </c:pt>
                <c:pt idx="99">
                  <c:v>6850.1413612565448</c:v>
                </c:pt>
                <c:pt idx="100">
                  <c:v>7045.454545454546</c:v>
                </c:pt>
                <c:pt idx="101">
                  <c:v>6789.6625000000004</c:v>
                </c:pt>
                <c:pt idx="102">
                  <c:v>6944.3749999999991</c:v>
                </c:pt>
                <c:pt idx="103">
                  <c:v>7001.4661654135343</c:v>
                </c:pt>
                <c:pt idx="104">
                  <c:v>7112.2865853658523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9-4D3E-ABE1-D8C18E6A6432}"/>
            </c:ext>
          </c:extLst>
        </c:ser>
        <c:ser>
          <c:idx val="1"/>
          <c:order val="1"/>
          <c:tx>
            <c:strRef>
              <c:f>'Averages Graph Data'!$AS$4</c:f>
              <c:strCache>
                <c:ptCount val="1"/>
                <c:pt idx="0">
                  <c:v>Average Mileage - 4 Week Avg (Boom Annual Up Front)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Data'!$AS$5:$AS$109</c:f>
              <c:numCache>
                <c:formatCode>#,##0</c:formatCode>
                <c:ptCount val="105"/>
                <c:pt idx="3">
                  <c:v>7570.5634959340459</c:v>
                </c:pt>
                <c:pt idx="4">
                  <c:v>7599.5570138421963</c:v>
                </c:pt>
                <c:pt idx="5">
                  <c:v>7635.9965626346857</c:v>
                </c:pt>
                <c:pt idx="6">
                  <c:v>7619.8139139553814</c:v>
                </c:pt>
                <c:pt idx="7">
                  <c:v>7450.7182971511074</c:v>
                </c:pt>
                <c:pt idx="8">
                  <c:v>7376.4165951326349</c:v>
                </c:pt>
                <c:pt idx="9">
                  <c:v>7075.8278682478558</c:v>
                </c:pt>
                <c:pt idx="10">
                  <c:v>6989.3520223890055</c:v>
                </c:pt>
                <c:pt idx="11">
                  <c:v>6893.1878056191845</c:v>
                </c:pt>
                <c:pt idx="12">
                  <c:v>6843.0462340531922</c:v>
                </c:pt>
                <c:pt idx="13">
                  <c:v>6909.2480192539006</c:v>
                </c:pt>
                <c:pt idx="14">
                  <c:v>6922.3554944796706</c:v>
                </c:pt>
                <c:pt idx="15">
                  <c:v>7026.9760325990383</c:v>
                </c:pt>
                <c:pt idx="16">
                  <c:v>6967.2753204892661</c:v>
                </c:pt>
                <c:pt idx="17">
                  <c:v>6895.6366714019805</c:v>
                </c:pt>
                <c:pt idx="18">
                  <c:v>6992.0835745948707</c:v>
                </c:pt>
                <c:pt idx="19">
                  <c:v>7037.6258339321848</c:v>
                </c:pt>
                <c:pt idx="20">
                  <c:v>7130.2471892115764</c:v>
                </c:pt>
                <c:pt idx="21">
                  <c:v>7184.4748763100306</c:v>
                </c:pt>
                <c:pt idx="22">
                  <c:v>7114.8442925057798</c:v>
                </c:pt>
                <c:pt idx="23">
                  <c:v>7083.6657401609136</c:v>
                </c:pt>
                <c:pt idx="24">
                  <c:v>7101.1122417360766</c:v>
                </c:pt>
                <c:pt idx="25">
                  <c:v>7110.4614463558191</c:v>
                </c:pt>
                <c:pt idx="26">
                  <c:v>7127.5095760316308</c:v>
                </c:pt>
                <c:pt idx="27">
                  <c:v>7089.0561652954684</c:v>
                </c:pt>
                <c:pt idx="28">
                  <c:v>7116.8942569121118</c:v>
                </c:pt>
                <c:pt idx="29">
                  <c:v>7206.2239567212746</c:v>
                </c:pt>
                <c:pt idx="30">
                  <c:v>7189.1668429001384</c:v>
                </c:pt>
                <c:pt idx="31">
                  <c:v>7217.8006837107114</c:v>
                </c:pt>
                <c:pt idx="32">
                  <c:v>7273.9335435227367</c:v>
                </c:pt>
                <c:pt idx="33">
                  <c:v>7256.9852237682735</c:v>
                </c:pt>
                <c:pt idx="34">
                  <c:v>7271.254676645206</c:v>
                </c:pt>
                <c:pt idx="35">
                  <c:v>7269.3146656836479</c:v>
                </c:pt>
                <c:pt idx="36">
                  <c:v>7207.9228436758913</c:v>
                </c:pt>
                <c:pt idx="37">
                  <c:v>7171.8515094225613</c:v>
                </c:pt>
                <c:pt idx="38">
                  <c:v>7192.346424831052</c:v>
                </c:pt>
                <c:pt idx="39">
                  <c:v>7227.4751750979749</c:v>
                </c:pt>
                <c:pt idx="40">
                  <c:v>7253.9944983111318</c:v>
                </c:pt>
                <c:pt idx="41">
                  <c:v>7320.7533926863998</c:v>
                </c:pt>
                <c:pt idx="42">
                  <c:v>7406.8245230202128</c:v>
                </c:pt>
                <c:pt idx="43">
                  <c:v>7511.2928605014331</c:v>
                </c:pt>
                <c:pt idx="44">
                  <c:v>7566.7191210056344</c:v>
                </c:pt>
                <c:pt idx="45">
                  <c:v>7594.5870408692308</c:v>
                </c:pt>
                <c:pt idx="46">
                  <c:v>7615.6255479630236</c:v>
                </c:pt>
                <c:pt idx="47">
                  <c:v>7612.7037755604533</c:v>
                </c:pt>
                <c:pt idx="48">
                  <c:v>7605.5767873424829</c:v>
                </c:pt>
                <c:pt idx="49">
                  <c:v>7722.3448011543678</c:v>
                </c:pt>
                <c:pt idx="50">
                  <c:v>7760.0297960549278</c:v>
                </c:pt>
                <c:pt idx="51">
                  <c:v>7850.3035087382868</c:v>
                </c:pt>
                <c:pt idx="52">
                  <c:v>7808.7501257526546</c:v>
                </c:pt>
                <c:pt idx="53">
                  <c:v>7646.4964612765179</c:v>
                </c:pt>
                <c:pt idx="54">
                  <c:v>7783.4331161507325</c:v>
                </c:pt>
                <c:pt idx="55">
                  <c:v>7796.4098032064903</c:v>
                </c:pt>
                <c:pt idx="56">
                  <c:v>7874.4541253029483</c:v>
                </c:pt>
                <c:pt idx="57">
                  <c:v>7977.7825795653998</c:v>
                </c:pt>
                <c:pt idx="58">
                  <c:v>7842.5410378987326</c:v>
                </c:pt>
                <c:pt idx="59">
                  <c:v>7766.9474633550835</c:v>
                </c:pt>
                <c:pt idx="60">
                  <c:v>7662.8239424206167</c:v>
                </c:pt>
                <c:pt idx="61">
                  <c:v>7487.6203145470536</c:v>
                </c:pt>
                <c:pt idx="62">
                  <c:v>7468.1420858781112</c:v>
                </c:pt>
                <c:pt idx="63">
                  <c:v>7434.6574759033501</c:v>
                </c:pt>
                <c:pt idx="64">
                  <c:v>7542.6535471556135</c:v>
                </c:pt>
                <c:pt idx="65">
                  <c:v>7627.6701510712774</c:v>
                </c:pt>
                <c:pt idx="66">
                  <c:v>7664.195454884728</c:v>
                </c:pt>
                <c:pt idx="67">
                  <c:v>7630.5026278665318</c:v>
                </c:pt>
                <c:pt idx="68">
                  <c:v>7543.8212903002841</c:v>
                </c:pt>
                <c:pt idx="69">
                  <c:v>7560.4326469109383</c:v>
                </c:pt>
                <c:pt idx="70">
                  <c:v>7520.9916183614114</c:v>
                </c:pt>
                <c:pt idx="71">
                  <c:v>7555.4769566408659</c:v>
                </c:pt>
                <c:pt idx="72">
                  <c:v>7698.068635646564</c:v>
                </c:pt>
                <c:pt idx="73">
                  <c:v>7727.1088623807827</c:v>
                </c:pt>
                <c:pt idx="74">
                  <c:v>7678.1925504796782</c:v>
                </c:pt>
                <c:pt idx="75">
                  <c:v>7664.3373529744804</c:v>
                </c:pt>
                <c:pt idx="76">
                  <c:v>7586.2614286917242</c:v>
                </c:pt>
                <c:pt idx="77">
                  <c:v>7498.8372484658203</c:v>
                </c:pt>
                <c:pt idx="78">
                  <c:v>7509.2956750622652</c:v>
                </c:pt>
                <c:pt idx="79">
                  <c:v>7563.8719849842282</c:v>
                </c:pt>
                <c:pt idx="80">
                  <c:v>7593.25513065629</c:v>
                </c:pt>
                <c:pt idx="81">
                  <c:v>7551.0142144686515</c:v>
                </c:pt>
                <c:pt idx="82">
                  <c:v>7667.127981749758</c:v>
                </c:pt>
                <c:pt idx="83">
                  <c:v>7701.9996760572431</c:v>
                </c:pt>
                <c:pt idx="84">
                  <c:v>7601.9182310654542</c:v>
                </c:pt>
                <c:pt idx="85">
                  <c:v>7681.8403742492956</c:v>
                </c:pt>
                <c:pt idx="86">
                  <c:v>7496.897379743802</c:v>
                </c:pt>
                <c:pt idx="87">
                  <c:v>7365.661555001534</c:v>
                </c:pt>
                <c:pt idx="88">
                  <c:v>7401.2597342732424</c:v>
                </c:pt>
                <c:pt idx="89">
                  <c:v>7358.7049424360821</c:v>
                </c:pt>
                <c:pt idx="90">
                  <c:v>7418.2289098479805</c:v>
                </c:pt>
                <c:pt idx="91">
                  <c:v>7417.5432662836229</c:v>
                </c:pt>
                <c:pt idx="92">
                  <c:v>7361.725858102076</c:v>
                </c:pt>
                <c:pt idx="93">
                  <c:v>7330.1040065946736</c:v>
                </c:pt>
                <c:pt idx="94">
                  <c:v>7325.3609188423325</c:v>
                </c:pt>
                <c:pt idx="95">
                  <c:v>7410.0814461276195</c:v>
                </c:pt>
                <c:pt idx="96">
                  <c:v>7340.3026698894519</c:v>
                </c:pt>
                <c:pt idx="97">
                  <c:v>7363.3099658310848</c:v>
                </c:pt>
                <c:pt idx="98">
                  <c:v>7293.5391324977518</c:v>
                </c:pt>
                <c:pt idx="99">
                  <c:v>7091.1645890909567</c:v>
                </c:pt>
                <c:pt idx="100">
                  <c:v>7095.7714686978361</c:v>
                </c:pt>
                <c:pt idx="101">
                  <c:v>6965.3905820699292</c:v>
                </c:pt>
                <c:pt idx="102">
                  <c:v>6907.4083516777728</c:v>
                </c:pt>
                <c:pt idx="103">
                  <c:v>6945.2395527170202</c:v>
                </c:pt>
                <c:pt idx="104">
                  <c:v>6961.9475626948461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9-4D3E-ABE1-D8C18E6A6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4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Mileage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Data'!$AV$4</c:f>
              <c:strCache>
                <c:ptCount val="1"/>
                <c:pt idx="0">
                  <c:v>Average Mileage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Data'!$AV$5:$AV$109</c:f>
              <c:numCache>
                <c:formatCode>#,##0</c:formatCode>
                <c:ptCount val="105"/>
                <c:pt idx="0">
                  <c:v>6330.7665256477958</c:v>
                </c:pt>
                <c:pt idx="1">
                  <c:v>6375.2213645418269</c:v>
                </c:pt>
                <c:pt idx="2">
                  <c:v>6488.8927383917389</c:v>
                </c:pt>
                <c:pt idx="3">
                  <c:v>6547.6066186282205</c:v>
                </c:pt>
                <c:pt idx="4">
                  <c:v>6343.7121614444923</c:v>
                </c:pt>
                <c:pt idx="5">
                  <c:v>6369.3414006179028</c:v>
                </c:pt>
                <c:pt idx="6">
                  <c:v>6497.8648447204796</c:v>
                </c:pt>
                <c:pt idx="7">
                  <c:v>6608.8588475743045</c:v>
                </c:pt>
                <c:pt idx="8">
                  <c:v>6519.9621814195325</c:v>
                </c:pt>
                <c:pt idx="9">
                  <c:v>6368.8744525547254</c:v>
                </c:pt>
                <c:pt idx="10">
                  <c:v>6398.3051049618116</c:v>
                </c:pt>
                <c:pt idx="11">
                  <c:v>6658.8462186378447</c:v>
                </c:pt>
                <c:pt idx="12">
                  <c:v>6631.6341775389965</c:v>
                </c:pt>
                <c:pt idx="13">
                  <c:v>6509.5951690821121</c:v>
                </c:pt>
                <c:pt idx="14">
                  <c:v>6429.4046555372497</c:v>
                </c:pt>
                <c:pt idx="15">
                  <c:v>6587.6513481204283</c:v>
                </c:pt>
                <c:pt idx="16">
                  <c:v>6617.2428396572623</c:v>
                </c:pt>
                <c:pt idx="17">
                  <c:v>6582.8659486709266</c:v>
                </c:pt>
                <c:pt idx="18">
                  <c:v>6572.7226195797712</c:v>
                </c:pt>
                <c:pt idx="19">
                  <c:v>6550.7551109177721</c:v>
                </c:pt>
                <c:pt idx="20">
                  <c:v>6661.2831594634627</c:v>
                </c:pt>
                <c:pt idx="21">
                  <c:v>6705.9281179138197</c:v>
                </c:pt>
                <c:pt idx="22">
                  <c:v>6677.2125541125361</c:v>
                </c:pt>
                <c:pt idx="23">
                  <c:v>6598.5816644414599</c:v>
                </c:pt>
                <c:pt idx="24">
                  <c:v>6727.525566201648</c:v>
                </c:pt>
                <c:pt idx="25">
                  <c:v>6796.5120967741732</c:v>
                </c:pt>
                <c:pt idx="26">
                  <c:v>6821.7795661301616</c:v>
                </c:pt>
                <c:pt idx="27">
                  <c:v>6651.5376549094271</c:v>
                </c:pt>
                <c:pt idx="28">
                  <c:v>6734.8137011275876</c:v>
                </c:pt>
                <c:pt idx="29">
                  <c:v>6822.754791431792</c:v>
                </c:pt>
                <c:pt idx="30">
                  <c:v>6854.3009061833618</c:v>
                </c:pt>
                <c:pt idx="31">
                  <c:v>6737.8761201897678</c:v>
                </c:pt>
                <c:pt idx="32">
                  <c:v>6772.1465252581702</c:v>
                </c:pt>
                <c:pt idx="33">
                  <c:v>6876.9096193804335</c:v>
                </c:pt>
                <c:pt idx="34">
                  <c:v>6877.8394409937455</c:v>
                </c:pt>
                <c:pt idx="35">
                  <c:v>6839.8947997608702</c:v>
                </c:pt>
                <c:pt idx="36">
                  <c:v>6750.4800125904549</c:v>
                </c:pt>
                <c:pt idx="37">
                  <c:v>6877.2309194812733</c:v>
                </c:pt>
                <c:pt idx="38">
                  <c:v>6965.6296426068875</c:v>
                </c:pt>
                <c:pt idx="39">
                  <c:v>6979.6620689655392</c:v>
                </c:pt>
                <c:pt idx="40">
                  <c:v>6752.0485887817213</c:v>
                </c:pt>
                <c:pt idx="41">
                  <c:v>6996.0366412213907</c:v>
                </c:pt>
                <c:pt idx="42">
                  <c:v>6905.7892777363586</c:v>
                </c:pt>
                <c:pt idx="43">
                  <c:v>6918.6793036750059</c:v>
                </c:pt>
                <c:pt idx="44">
                  <c:v>6783.2739022794503</c:v>
                </c:pt>
                <c:pt idx="45">
                  <c:v>6952.7528230865291</c:v>
                </c:pt>
                <c:pt idx="46">
                  <c:v>6887.7011394394613</c:v>
                </c:pt>
                <c:pt idx="47">
                  <c:v>6965.4562637362915</c:v>
                </c:pt>
                <c:pt idx="48">
                  <c:v>6832.0245372363624</c:v>
                </c:pt>
                <c:pt idx="49">
                  <c:v>6864.2252210330544</c:v>
                </c:pt>
                <c:pt idx="50">
                  <c:v>6848.5768181818185</c:v>
                </c:pt>
                <c:pt idx="51">
                  <c:v>6888.4917859035622</c:v>
                </c:pt>
                <c:pt idx="52">
                  <c:v>6964.8068072866936</c:v>
                </c:pt>
                <c:pt idx="53">
                  <c:v>6782.5771983640198</c:v>
                </c:pt>
                <c:pt idx="54">
                  <c:v>6887.6520086862101</c:v>
                </c:pt>
                <c:pt idx="55">
                  <c:v>6796.6977641138983</c:v>
                </c:pt>
                <c:pt idx="56">
                  <c:v>7000.8217993079161</c:v>
                </c:pt>
                <c:pt idx="57">
                  <c:v>6856.8702830188276</c:v>
                </c:pt>
                <c:pt idx="58">
                  <c:v>6886.6290106951383</c:v>
                </c:pt>
                <c:pt idx="59">
                  <c:v>6799.2169988962887</c:v>
                </c:pt>
                <c:pt idx="60">
                  <c:v>7079.1258087706565</c:v>
                </c:pt>
                <c:pt idx="61">
                  <c:v>7050.6242559523716</c:v>
                </c:pt>
                <c:pt idx="62">
                  <c:v>6769.0578231292329</c:v>
                </c:pt>
                <c:pt idx="63">
                  <c:v>6935.6590091156022</c:v>
                </c:pt>
                <c:pt idx="64">
                  <c:v>6978.7233065441987</c:v>
                </c:pt>
                <c:pt idx="65">
                  <c:v>6942.6726057906435</c:v>
                </c:pt>
                <c:pt idx="66">
                  <c:v>7208.8380024360467</c:v>
                </c:pt>
                <c:pt idx="67">
                  <c:v>6925.9426086956501</c:v>
                </c:pt>
                <c:pt idx="68">
                  <c:v>7064.3786919227196</c:v>
                </c:pt>
                <c:pt idx="69">
                  <c:v>7273.7324218750027</c:v>
                </c:pt>
                <c:pt idx="70">
                  <c:v>7057.0733120907707</c:v>
                </c:pt>
                <c:pt idx="71">
                  <c:v>7151.7216828478977</c:v>
                </c:pt>
                <c:pt idx="72">
                  <c:v>6975.2663316582903</c:v>
                </c:pt>
                <c:pt idx="73">
                  <c:v>7209.7674418604638</c:v>
                </c:pt>
                <c:pt idx="74">
                  <c:v>7382.9777777777781</c:v>
                </c:pt>
                <c:pt idx="75">
                  <c:v>6823.5294117647054</c:v>
                </c:pt>
                <c:pt idx="76">
                  <c:v>8000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A-41B8-9303-49BA72F29BCE}"/>
            </c:ext>
          </c:extLst>
        </c:ser>
        <c:ser>
          <c:idx val="1"/>
          <c:order val="1"/>
          <c:tx>
            <c:strRef>
              <c:f>'Averages Graph Data'!$AW$4</c:f>
              <c:strCache>
                <c:ptCount val="1"/>
                <c:pt idx="0">
                  <c:v>Average Mileage - 4 Week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Data'!$AW$5:$AW$109</c:f>
              <c:numCache>
                <c:formatCode>#,##0</c:formatCode>
                <c:ptCount val="105"/>
                <c:pt idx="6">
                  <c:v>6421.915093427493</c:v>
                </c:pt>
                <c:pt idx="7">
                  <c:v>6461.6425679884223</c:v>
                </c:pt>
                <c:pt idx="8">
                  <c:v>6482.3198275423811</c:v>
                </c:pt>
                <c:pt idx="9">
                  <c:v>6465.1743581370947</c:v>
                </c:pt>
                <c:pt idx="10">
                  <c:v>6443.8455704704638</c:v>
                </c:pt>
                <c:pt idx="11">
                  <c:v>6488.8647214980865</c:v>
                </c:pt>
                <c:pt idx="12">
                  <c:v>6526.3351182011002</c:v>
                </c:pt>
                <c:pt idx="13">
                  <c:v>6528.0108788241896</c:v>
                </c:pt>
                <c:pt idx="14">
                  <c:v>6502.3745656760384</c:v>
                </c:pt>
                <c:pt idx="15">
                  <c:v>6512.0444466333111</c:v>
                </c:pt>
                <c:pt idx="16">
                  <c:v>6547.5256447908159</c:v>
                </c:pt>
                <c:pt idx="17">
                  <c:v>6573.8914796064046</c:v>
                </c:pt>
                <c:pt idx="18">
                  <c:v>6561.5881083123923</c:v>
                </c:pt>
                <c:pt idx="19">
                  <c:v>6550.0339559379308</c:v>
                </c:pt>
                <c:pt idx="20">
                  <c:v>6571.7036688495527</c:v>
                </c:pt>
                <c:pt idx="21">
                  <c:v>6611.207020617635</c:v>
                </c:pt>
                <c:pt idx="22">
                  <c:v>6624.0014786165066</c:v>
                </c:pt>
                <c:pt idx="23">
                  <c:v>6621.3355964428201</c:v>
                </c:pt>
                <c:pt idx="24">
                  <c:v>6642.0012560900668</c:v>
                </c:pt>
                <c:pt idx="25">
                  <c:v>6673.9711814035536</c:v>
                </c:pt>
                <c:pt idx="26">
                  <c:v>6712.688960719609</c:v>
                </c:pt>
                <c:pt idx="27">
                  <c:v>6711.2967457833192</c:v>
                </c:pt>
                <c:pt idx="28">
                  <c:v>6715.4232576710001</c:v>
                </c:pt>
                <c:pt idx="29">
                  <c:v>6736.2150058594643</c:v>
                </c:pt>
                <c:pt idx="30">
                  <c:v>6772.7463261083076</c:v>
                </c:pt>
                <c:pt idx="31">
                  <c:v>6774.2249766780387</c:v>
                </c:pt>
                <c:pt idx="32">
                  <c:v>6770.7441807471796</c:v>
                </c:pt>
                <c:pt idx="33">
                  <c:v>6778.6199026400773</c:v>
                </c:pt>
                <c:pt idx="34">
                  <c:v>6810.9487292235517</c:v>
                </c:pt>
                <c:pt idx="35">
                  <c:v>6825.9603147425923</c:v>
                </c:pt>
                <c:pt idx="36">
                  <c:v>6815.635346336685</c:v>
                </c:pt>
                <c:pt idx="37">
                  <c:v>6818.911062522101</c:v>
                </c:pt>
                <c:pt idx="38">
                  <c:v>6851.4472800102621</c:v>
                </c:pt>
                <c:pt idx="39">
                  <c:v>6881.0923576827436</c:v>
                </c:pt>
                <c:pt idx="40">
                  <c:v>6863.2550675972134</c:v>
                </c:pt>
                <c:pt idx="41">
                  <c:v>6880.1403819154484</c:v>
                </c:pt>
                <c:pt idx="42">
                  <c:v>6889.5538787690894</c:v>
                </c:pt>
                <c:pt idx="43">
                  <c:v>6913.5823489240265</c:v>
                </c:pt>
                <c:pt idx="44">
                  <c:v>6900.1599178951928</c:v>
                </c:pt>
                <c:pt idx="45">
                  <c:v>6898.3203722494272</c:v>
                </c:pt>
                <c:pt idx="46">
                  <c:v>6885.1830966028456</c:v>
                </c:pt>
                <c:pt idx="47">
                  <c:v>6915.6699073106402</c:v>
                </c:pt>
                <c:pt idx="48">
                  <c:v>6892.239606741352</c:v>
                </c:pt>
                <c:pt idx="49">
                  <c:v>6886.3018843551663</c:v>
                </c:pt>
                <c:pt idx="50">
                  <c:v>6876.2872435704248</c:v>
                </c:pt>
                <c:pt idx="51">
                  <c:v>6891.3183698024395</c:v>
                </c:pt>
                <c:pt idx="52">
                  <c:v>6893.0403675453208</c:v>
                </c:pt>
                <c:pt idx="53">
                  <c:v>6878.0226616774016</c:v>
                </c:pt>
                <c:pt idx="54">
                  <c:v>6866.9077680988175</c:v>
                </c:pt>
                <c:pt idx="55">
                  <c:v>6861.8610862241785</c:v>
                </c:pt>
                <c:pt idx="56">
                  <c:v>6881.3748831205885</c:v>
                </c:pt>
                <c:pt idx="57">
                  <c:v>6882.5596638115894</c:v>
                </c:pt>
                <c:pt idx="58">
                  <c:v>6882.2935530675295</c:v>
                </c:pt>
                <c:pt idx="59">
                  <c:v>6858.6378661546141</c:v>
                </c:pt>
                <c:pt idx="60">
                  <c:v>6901.0019533555615</c:v>
                </c:pt>
                <c:pt idx="61">
                  <c:v>6924.2837029650154</c:v>
                </c:pt>
                <c:pt idx="62">
                  <c:v>6920.3351399672047</c:v>
                </c:pt>
                <c:pt idx="63">
                  <c:v>6911.0261699397306</c:v>
                </c:pt>
                <c:pt idx="64">
                  <c:v>6928.4337447290691</c:v>
                </c:pt>
                <c:pt idx="65">
                  <c:v>6936.4399725998564</c:v>
                </c:pt>
                <c:pt idx="66">
                  <c:v>6994.9572588198216</c:v>
                </c:pt>
                <c:pt idx="67">
                  <c:v>6973.0739445233921</c:v>
                </c:pt>
                <c:pt idx="68">
                  <c:v>6975.0388639477269</c:v>
                </c:pt>
                <c:pt idx="69">
                  <c:v>7047.1352351971227</c:v>
                </c:pt>
                <c:pt idx="70">
                  <c:v>7064.4801356221478</c:v>
                </c:pt>
                <c:pt idx="71">
                  <c:v>7089.1941893798185</c:v>
                </c:pt>
                <c:pt idx="72">
                  <c:v>7093.8504359323406</c:v>
                </c:pt>
                <c:pt idx="73">
                  <c:v>7093.9832129929709</c:v>
                </c:pt>
                <c:pt idx="74">
                  <c:v>7159.2739514332743</c:v>
                </c:pt>
                <c:pt idx="75">
                  <c:v>7124.8669114107015</c:v>
                </c:pt>
                <c:pt idx="76">
                  <c:v>7228.6194225714153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7A-41B8-9303-49BA72F29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7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Mileage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Data'!$BX$4</c:f>
              <c:strCache>
                <c:ptCount val="1"/>
                <c:pt idx="0">
                  <c:v>Average Vehicle Value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Data'!$BX$5:$BX$109</c:f>
              <c:numCache>
                <c:formatCode>#,##0</c:formatCode>
                <c:ptCount val="105"/>
                <c:pt idx="0">
                  <c:v>9741.528880710659</c:v>
                </c:pt>
                <c:pt idx="1">
                  <c:v>9479.5138413149234</c:v>
                </c:pt>
                <c:pt idx="2">
                  <c:v>9752.2460022479208</c:v>
                </c:pt>
                <c:pt idx="3">
                  <c:v>10217.097549369011</c:v>
                </c:pt>
                <c:pt idx="4">
                  <c:v>9761.0685539666156</c:v>
                </c:pt>
                <c:pt idx="5">
                  <c:v>9949.4249066834436</c:v>
                </c:pt>
                <c:pt idx="6">
                  <c:v>9648.19604564367</c:v>
                </c:pt>
                <c:pt idx="7">
                  <c:v>8909.7504878521286</c:v>
                </c:pt>
                <c:pt idx="8">
                  <c:v>9040.1411660437989</c:v>
                </c:pt>
                <c:pt idx="9">
                  <c:v>9065.0562851221584</c:v>
                </c:pt>
                <c:pt idx="10">
                  <c:v>9277.9464312600976</c:v>
                </c:pt>
                <c:pt idx="11">
                  <c:v>9702.4182189946423</c:v>
                </c:pt>
                <c:pt idx="12">
                  <c:v>9266.7487953303535</c:v>
                </c:pt>
                <c:pt idx="13">
                  <c:v>9090.5729009479928</c:v>
                </c:pt>
                <c:pt idx="14">
                  <c:v>9823.4956706411886</c:v>
                </c:pt>
                <c:pt idx="15">
                  <c:v>9195.1303662857936</c:v>
                </c:pt>
                <c:pt idx="16">
                  <c:v>9369.9398104815427</c:v>
                </c:pt>
                <c:pt idx="17">
                  <c:v>9319.9007229656709</c:v>
                </c:pt>
                <c:pt idx="18">
                  <c:v>8907.2203437101634</c:v>
                </c:pt>
                <c:pt idx="19">
                  <c:v>9204.3483578881387</c:v>
                </c:pt>
                <c:pt idx="20">
                  <c:v>8414.2656191649839</c:v>
                </c:pt>
                <c:pt idx="21">
                  <c:v>8656.0207869262649</c:v>
                </c:pt>
                <c:pt idx="22">
                  <c:v>8325.4303160743857</c:v>
                </c:pt>
                <c:pt idx="23">
                  <c:v>8365.8367264336612</c:v>
                </c:pt>
                <c:pt idx="24">
                  <c:v>8300.8678235303669</c:v>
                </c:pt>
                <c:pt idx="25">
                  <c:v>7698.6165491845259</c:v>
                </c:pt>
                <c:pt idx="26">
                  <c:v>7769.959640387272</c:v>
                </c:pt>
                <c:pt idx="27">
                  <c:v>8032.4877669402122</c:v>
                </c:pt>
                <c:pt idx="28">
                  <c:v>7424.6321998655931</c:v>
                </c:pt>
                <c:pt idx="29">
                  <c:v>7605.3220167144464</c:v>
                </c:pt>
                <c:pt idx="30">
                  <c:v>8210.1149851967803</c:v>
                </c:pt>
                <c:pt idx="31">
                  <c:v>7577.3805155747496</c:v>
                </c:pt>
                <c:pt idx="32">
                  <c:v>7453.3409217047383</c:v>
                </c:pt>
                <c:pt idx="33">
                  <c:v>7379.4972306008995</c:v>
                </c:pt>
                <c:pt idx="34">
                  <c:v>7184.6363642650558</c:v>
                </c:pt>
                <c:pt idx="35">
                  <c:v>6818.2731293667075</c:v>
                </c:pt>
                <c:pt idx="36">
                  <c:v>6984.273949429049</c:v>
                </c:pt>
                <c:pt idx="37">
                  <c:v>6673.5889857299226</c:v>
                </c:pt>
                <c:pt idx="38">
                  <c:v>6643.8556008151891</c:v>
                </c:pt>
                <c:pt idx="39">
                  <c:v>7056.8381626716236</c:v>
                </c:pt>
                <c:pt idx="40">
                  <c:v>6876.8179407176376</c:v>
                </c:pt>
                <c:pt idx="41">
                  <c:v>7017.4394231052529</c:v>
                </c:pt>
                <c:pt idx="42">
                  <c:v>6693.6323950939905</c:v>
                </c:pt>
                <c:pt idx="43">
                  <c:v>6854.8489557070989</c:v>
                </c:pt>
                <c:pt idx="44">
                  <c:v>6959.5724319710471</c:v>
                </c:pt>
                <c:pt idx="45">
                  <c:v>6883.1510766846577</c:v>
                </c:pt>
                <c:pt idx="46">
                  <c:v>6790.1467101991866</c:v>
                </c:pt>
                <c:pt idx="47">
                  <c:v>6923.8633603417229</c:v>
                </c:pt>
                <c:pt idx="48">
                  <c:v>6624.6487978294772</c:v>
                </c:pt>
                <c:pt idx="49">
                  <c:v>6503.5290167833446</c:v>
                </c:pt>
                <c:pt idx="50">
                  <c:v>6518.3245061406451</c:v>
                </c:pt>
                <c:pt idx="51">
                  <c:v>6458.2787422413048</c:v>
                </c:pt>
                <c:pt idx="52">
                  <c:v>6346.3047079485877</c:v>
                </c:pt>
                <c:pt idx="53">
                  <c:v>6695.0399194895081</c:v>
                </c:pt>
                <c:pt idx="54">
                  <c:v>6649.73825482951</c:v>
                </c:pt>
                <c:pt idx="55">
                  <c:v>6309.0186360006446</c:v>
                </c:pt>
                <c:pt idx="56">
                  <c:v>6253.6081660026421</c:v>
                </c:pt>
                <c:pt idx="57">
                  <c:v>6639.4045219184381</c:v>
                </c:pt>
                <c:pt idx="58">
                  <c:v>6394.04620316413</c:v>
                </c:pt>
                <c:pt idx="59">
                  <c:v>6267.709394661465</c:v>
                </c:pt>
                <c:pt idx="60">
                  <c:v>6851.8328964229731</c:v>
                </c:pt>
                <c:pt idx="61">
                  <c:v>6113.6998679899079</c:v>
                </c:pt>
                <c:pt idx="62">
                  <c:v>6575.9666848095321</c:v>
                </c:pt>
                <c:pt idx="63">
                  <c:v>6773.6578116480941</c:v>
                </c:pt>
                <c:pt idx="64">
                  <c:v>6612.5952280809724</c:v>
                </c:pt>
                <c:pt idx="65">
                  <c:v>6576.1824072089967</c:v>
                </c:pt>
                <c:pt idx="66">
                  <c:v>6944.0232681768393</c:v>
                </c:pt>
                <c:pt idx="67">
                  <c:v>6549.8231864216577</c:v>
                </c:pt>
                <c:pt idx="68">
                  <c:v>6988.5226810097665</c:v>
                </c:pt>
                <c:pt idx="69">
                  <c:v>6511.6963719605255</c:v>
                </c:pt>
                <c:pt idx="70">
                  <c:v>6824.0082806188957</c:v>
                </c:pt>
                <c:pt idx="71">
                  <c:v>6998.1468592886358</c:v>
                </c:pt>
                <c:pt idx="72">
                  <c:v>6488.0838170227298</c:v>
                </c:pt>
                <c:pt idx="73">
                  <c:v>5964.7037658390964</c:v>
                </c:pt>
                <c:pt idx="74">
                  <c:v>6134.4771140407938</c:v>
                </c:pt>
                <c:pt idx="75">
                  <c:v>6143.1963584872028</c:v>
                </c:pt>
                <c:pt idx="76">
                  <c:v>6036.9024027137766</c:v>
                </c:pt>
                <c:pt idx="77">
                  <c:v>5689.443675889328</c:v>
                </c:pt>
                <c:pt idx="78">
                  <c:v>6649.0893719806809</c:v>
                </c:pt>
                <c:pt idx="79">
                  <c:v>6055.9015544041522</c:v>
                </c:pt>
                <c:pt idx="80">
                  <c:v>5795.4717948717907</c:v>
                </c:pt>
                <c:pt idx="81">
                  <c:v>5914.1313340227434</c:v>
                </c:pt>
                <c:pt idx="82">
                  <c:v>6214.6285714285741</c:v>
                </c:pt>
                <c:pt idx="83">
                  <c:v>5979.7759838546926</c:v>
                </c:pt>
                <c:pt idx="84">
                  <c:v>6015.961713764812</c:v>
                </c:pt>
                <c:pt idx="85">
                  <c:v>6370.0875981915206</c:v>
                </c:pt>
                <c:pt idx="86">
                  <c:v>5711.258517034069</c:v>
                </c:pt>
                <c:pt idx="87">
                  <c:v>5679.8884540117424</c:v>
                </c:pt>
                <c:pt idx="88">
                  <c:v>5648.4881320949444</c:v>
                </c:pt>
                <c:pt idx="89">
                  <c:v>5594.4041152263326</c:v>
                </c:pt>
                <c:pt idx="90">
                  <c:v>5745.0689289501597</c:v>
                </c:pt>
                <c:pt idx="91">
                  <c:v>5618.7671232876728</c:v>
                </c:pt>
                <c:pt idx="92">
                  <c:v>6097.9864712514127</c:v>
                </c:pt>
                <c:pt idx="93">
                  <c:v>5888.027327935225</c:v>
                </c:pt>
                <c:pt idx="94">
                  <c:v>5604.1228426395937</c:v>
                </c:pt>
                <c:pt idx="95">
                  <c:v>5741.7862857142864</c:v>
                </c:pt>
                <c:pt idx="96">
                  <c:v>6158.9013563501894</c:v>
                </c:pt>
                <c:pt idx="97">
                  <c:v>6334.1484098939964</c:v>
                </c:pt>
                <c:pt idx="98">
                  <c:v>6083.0445795339356</c:v>
                </c:pt>
                <c:pt idx="99">
                  <c:v>6078.5825688073401</c:v>
                </c:pt>
                <c:pt idx="100">
                  <c:v>6287.0715249662662</c:v>
                </c:pt>
                <c:pt idx="101">
                  <c:v>6198.7777777777837</c:v>
                </c:pt>
                <c:pt idx="102">
                  <c:v>5473.8289473684235</c:v>
                </c:pt>
                <c:pt idx="103">
                  <c:v>6057.6682847896518</c:v>
                </c:pt>
                <c:pt idx="104">
                  <c:v>5622.694481830421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7-46F1-8A2C-A5272EBFEC3D}"/>
            </c:ext>
          </c:extLst>
        </c:ser>
        <c:ser>
          <c:idx val="1"/>
          <c:order val="1"/>
          <c:tx>
            <c:strRef>
              <c:f>'Averages Graph Data'!$BY$4</c:f>
              <c:strCache>
                <c:ptCount val="1"/>
                <c:pt idx="0">
                  <c:v>Average Vehicle Value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Data'!$BY$5:$BY$109</c:f>
              <c:numCache>
                <c:formatCode>#,##0</c:formatCode>
                <c:ptCount val="105"/>
                <c:pt idx="3">
                  <c:v>9797.5965684106286</c:v>
                </c:pt>
                <c:pt idx="4">
                  <c:v>9802.4814867246187</c:v>
                </c:pt>
                <c:pt idx="5">
                  <c:v>9919.9592530667487</c:v>
                </c:pt>
                <c:pt idx="6">
                  <c:v>9893.9467639156865</c:v>
                </c:pt>
                <c:pt idx="7">
                  <c:v>9567.1099985364654</c:v>
                </c:pt>
                <c:pt idx="8">
                  <c:v>9386.8781515557603</c:v>
                </c:pt>
                <c:pt idx="9">
                  <c:v>9165.7859961654394</c:v>
                </c:pt>
                <c:pt idx="10">
                  <c:v>9073.2235925695459</c:v>
                </c:pt>
                <c:pt idx="11">
                  <c:v>9271.3905253551748</c:v>
                </c:pt>
                <c:pt idx="12">
                  <c:v>9328.0424326768116</c:v>
                </c:pt>
                <c:pt idx="13">
                  <c:v>9334.4215866332725</c:v>
                </c:pt>
                <c:pt idx="14">
                  <c:v>9470.8088964785438</c:v>
                </c:pt>
                <c:pt idx="15">
                  <c:v>9343.9869333013339</c:v>
                </c:pt>
                <c:pt idx="16">
                  <c:v>9369.7846870891299</c:v>
                </c:pt>
                <c:pt idx="17">
                  <c:v>9427.116642593548</c:v>
                </c:pt>
                <c:pt idx="18">
                  <c:v>9198.0478108607931</c:v>
                </c:pt>
                <c:pt idx="19">
                  <c:v>9200.3523087613794</c:v>
                </c:pt>
                <c:pt idx="20">
                  <c:v>8961.4337609322392</c:v>
                </c:pt>
                <c:pt idx="21">
                  <c:v>8795.4637769223882</c:v>
                </c:pt>
                <c:pt idx="22">
                  <c:v>8650.0162700134442</c:v>
                </c:pt>
                <c:pt idx="23">
                  <c:v>8440.3883621498244</c:v>
                </c:pt>
                <c:pt idx="24">
                  <c:v>8412.0389132411692</c:v>
                </c:pt>
                <c:pt idx="25">
                  <c:v>8172.6878538057354</c:v>
                </c:pt>
                <c:pt idx="26">
                  <c:v>8033.8201848839562</c:v>
                </c:pt>
                <c:pt idx="27">
                  <c:v>7950.4829450105944</c:v>
                </c:pt>
                <c:pt idx="28">
                  <c:v>7731.4240390944015</c:v>
                </c:pt>
                <c:pt idx="29">
                  <c:v>7708.1004059768802</c:v>
                </c:pt>
                <c:pt idx="30">
                  <c:v>7818.1392421792571</c:v>
                </c:pt>
                <c:pt idx="31">
                  <c:v>7704.3624293378925</c:v>
                </c:pt>
                <c:pt idx="32">
                  <c:v>7711.5396097976782</c:v>
                </c:pt>
                <c:pt idx="33">
                  <c:v>7655.0834132692917</c:v>
                </c:pt>
                <c:pt idx="34">
                  <c:v>7398.7137580363615</c:v>
                </c:pt>
                <c:pt idx="35">
                  <c:v>7208.9369114843503</c:v>
                </c:pt>
                <c:pt idx="36">
                  <c:v>7091.6701684154286</c:v>
                </c:pt>
                <c:pt idx="37">
                  <c:v>6915.1931071976842</c:v>
                </c:pt>
                <c:pt idx="38">
                  <c:v>6779.9979163352173</c:v>
                </c:pt>
                <c:pt idx="39">
                  <c:v>6839.6391746614463</c:v>
                </c:pt>
                <c:pt idx="40">
                  <c:v>6812.7751724835925</c:v>
                </c:pt>
                <c:pt idx="41">
                  <c:v>6898.7377818274263</c:v>
                </c:pt>
                <c:pt idx="42">
                  <c:v>6911.1819803971266</c:v>
                </c:pt>
                <c:pt idx="43">
                  <c:v>6860.6846786559945</c:v>
                </c:pt>
                <c:pt idx="44">
                  <c:v>6881.3733014693471</c:v>
                </c:pt>
                <c:pt idx="45">
                  <c:v>6847.8012148641983</c:v>
                </c:pt>
                <c:pt idx="46">
                  <c:v>6871.9297936404982</c:v>
                </c:pt>
                <c:pt idx="47">
                  <c:v>6889.1833947991536</c:v>
                </c:pt>
                <c:pt idx="48">
                  <c:v>6805.4524862637609</c:v>
                </c:pt>
                <c:pt idx="49">
                  <c:v>6710.5469712884333</c:v>
                </c:pt>
                <c:pt idx="50">
                  <c:v>6642.5914202737977</c:v>
                </c:pt>
                <c:pt idx="51">
                  <c:v>6526.1952657486936</c:v>
                </c:pt>
                <c:pt idx="52">
                  <c:v>6456.6092432784708</c:v>
                </c:pt>
                <c:pt idx="53">
                  <c:v>6504.4869689550114</c:v>
                </c:pt>
                <c:pt idx="54">
                  <c:v>6537.3404061272277</c:v>
                </c:pt>
                <c:pt idx="55">
                  <c:v>6500.0253795670624</c:v>
                </c:pt>
                <c:pt idx="56">
                  <c:v>6476.8512440805762</c:v>
                </c:pt>
                <c:pt idx="57">
                  <c:v>6462.9423946878087</c:v>
                </c:pt>
                <c:pt idx="58">
                  <c:v>6399.0193817714635</c:v>
                </c:pt>
                <c:pt idx="59">
                  <c:v>6388.6920714366688</c:v>
                </c:pt>
                <c:pt idx="60">
                  <c:v>6538.2482540417514</c:v>
                </c:pt>
                <c:pt idx="61">
                  <c:v>6406.822090559619</c:v>
                </c:pt>
                <c:pt idx="62">
                  <c:v>6452.30221097097</c:v>
                </c:pt>
                <c:pt idx="63">
                  <c:v>6578.7893152176275</c:v>
                </c:pt>
                <c:pt idx="64">
                  <c:v>6518.9798981321273</c:v>
                </c:pt>
                <c:pt idx="65">
                  <c:v>6634.6005329368982</c:v>
                </c:pt>
                <c:pt idx="66">
                  <c:v>6726.6146787787256</c:v>
                </c:pt>
                <c:pt idx="67">
                  <c:v>6670.6560224721161</c:v>
                </c:pt>
                <c:pt idx="68">
                  <c:v>6764.6378857043146</c:v>
                </c:pt>
                <c:pt idx="69">
                  <c:v>6748.5163768921975</c:v>
                </c:pt>
                <c:pt idx="70">
                  <c:v>6718.5126300027114</c:v>
                </c:pt>
                <c:pt idx="71">
                  <c:v>6830.5935482194564</c:v>
                </c:pt>
                <c:pt idx="72">
                  <c:v>6705.4838322226969</c:v>
                </c:pt>
                <c:pt idx="73">
                  <c:v>6568.7356806923399</c:v>
                </c:pt>
                <c:pt idx="74">
                  <c:v>6396.3528890478146</c:v>
                </c:pt>
                <c:pt idx="75">
                  <c:v>6182.6152638474559</c:v>
                </c:pt>
                <c:pt idx="76">
                  <c:v>6069.8199102702183</c:v>
                </c:pt>
                <c:pt idx="77">
                  <c:v>6001.0048877827758</c:v>
                </c:pt>
                <c:pt idx="78">
                  <c:v>6129.6579522677466</c:v>
                </c:pt>
                <c:pt idx="79">
                  <c:v>6107.8342512469844</c:v>
                </c:pt>
                <c:pt idx="80">
                  <c:v>6047.4765992864877</c:v>
                </c:pt>
                <c:pt idx="81">
                  <c:v>6103.6485138198414</c:v>
                </c:pt>
                <c:pt idx="82">
                  <c:v>5995.0333136818144</c:v>
                </c:pt>
                <c:pt idx="83">
                  <c:v>5976.0019210444498</c:v>
                </c:pt>
                <c:pt idx="84">
                  <c:v>6031.124400767706</c:v>
                </c:pt>
                <c:pt idx="85">
                  <c:v>6145.1134668098994</c:v>
                </c:pt>
                <c:pt idx="86">
                  <c:v>6019.2709532112731</c:v>
                </c:pt>
                <c:pt idx="87">
                  <c:v>5944.299070750536</c:v>
                </c:pt>
                <c:pt idx="88">
                  <c:v>5852.4306753330693</c:v>
                </c:pt>
                <c:pt idx="89">
                  <c:v>5658.5098045917712</c:v>
                </c:pt>
                <c:pt idx="90">
                  <c:v>5666.9624075707943</c:v>
                </c:pt>
                <c:pt idx="91">
                  <c:v>5651.6820748897771</c:v>
                </c:pt>
                <c:pt idx="92">
                  <c:v>5764.0566596788949</c:v>
                </c:pt>
                <c:pt idx="93">
                  <c:v>5837.4624628561178</c:v>
                </c:pt>
                <c:pt idx="94">
                  <c:v>5802.2259412784761</c:v>
                </c:pt>
                <c:pt idx="95">
                  <c:v>5832.9807318851299</c:v>
                </c:pt>
                <c:pt idx="96">
                  <c:v>5848.2094531598241</c:v>
                </c:pt>
                <c:pt idx="97">
                  <c:v>5959.7397236495162</c:v>
                </c:pt>
                <c:pt idx="98">
                  <c:v>6079.4701578731028</c:v>
                </c:pt>
                <c:pt idx="99">
                  <c:v>6163.6692286463658</c:v>
                </c:pt>
                <c:pt idx="100">
                  <c:v>6195.7117708003843</c:v>
                </c:pt>
                <c:pt idx="101">
                  <c:v>6161.8691127713309</c:v>
                </c:pt>
                <c:pt idx="102">
                  <c:v>6009.5652047299536</c:v>
                </c:pt>
                <c:pt idx="103">
                  <c:v>6004.3366337255311</c:v>
                </c:pt>
                <c:pt idx="104">
                  <c:v>5838.2423729415705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7-46F1-8A2C-A5272EBFE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13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Data'!$CB$4</c:f>
              <c:strCache>
                <c:ptCount val="1"/>
                <c:pt idx="0">
                  <c:v>Average Vehicle Value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Data'!$CB$5:$CB$109</c:f>
              <c:numCache>
                <c:formatCode>#,##0</c:formatCode>
                <c:ptCount val="105"/>
                <c:pt idx="0">
                  <c:v>9969.3455284552856</c:v>
                </c:pt>
                <c:pt idx="1">
                  <c:v>9302.1638655462193</c:v>
                </c:pt>
                <c:pt idx="2">
                  <c:v>9931.5330578512403</c:v>
                </c:pt>
                <c:pt idx="3">
                  <c:v>11119.323943661968</c:v>
                </c:pt>
                <c:pt idx="4">
                  <c:v>10725.01351351351</c:v>
                </c:pt>
                <c:pt idx="5">
                  <c:v>11067.594594594593</c:v>
                </c:pt>
                <c:pt idx="6">
                  <c:v>10392.955882352939</c:v>
                </c:pt>
                <c:pt idx="7">
                  <c:v>9500.3103448275851</c:v>
                </c:pt>
                <c:pt idx="8">
                  <c:v>9861.5991561181418</c:v>
                </c:pt>
                <c:pt idx="9">
                  <c:v>9746.4631578947374</c:v>
                </c:pt>
                <c:pt idx="10">
                  <c:v>10241.555205047322</c:v>
                </c:pt>
                <c:pt idx="11">
                  <c:v>10922.33547008546</c:v>
                </c:pt>
                <c:pt idx="12">
                  <c:v>10378.725388601039</c:v>
                </c:pt>
                <c:pt idx="13">
                  <c:v>10003.608899297422</c:v>
                </c:pt>
                <c:pt idx="14">
                  <c:v>11076.532224532217</c:v>
                </c:pt>
                <c:pt idx="15">
                  <c:v>10274.701873935261</c:v>
                </c:pt>
                <c:pt idx="16">
                  <c:v>10737.814070351758</c:v>
                </c:pt>
                <c:pt idx="17">
                  <c:v>10760.415349887133</c:v>
                </c:pt>
                <c:pt idx="18">
                  <c:v>9798.6284403669688</c:v>
                </c:pt>
                <c:pt idx="19">
                  <c:v>10894.379939209728</c:v>
                </c:pt>
                <c:pt idx="20">
                  <c:v>9507.1497005988003</c:v>
                </c:pt>
                <c:pt idx="21">
                  <c:v>9573.0792540792554</c:v>
                </c:pt>
                <c:pt idx="22">
                  <c:v>8958.8379052369055</c:v>
                </c:pt>
                <c:pt idx="23">
                  <c:v>9100.3447488584479</c:v>
                </c:pt>
                <c:pt idx="24">
                  <c:v>9566.8935742971862</c:v>
                </c:pt>
                <c:pt idx="25">
                  <c:v>8436.218130311614</c:v>
                </c:pt>
                <c:pt idx="26">
                  <c:v>8943.5026315789473</c:v>
                </c:pt>
                <c:pt idx="27">
                  <c:v>9024.6024390243911</c:v>
                </c:pt>
                <c:pt idx="28">
                  <c:v>9236.4906723997283</c:v>
                </c:pt>
                <c:pt idx="29">
                  <c:v>9453.4731934732044</c:v>
                </c:pt>
                <c:pt idx="30">
                  <c:v>9617.2581300813144</c:v>
                </c:pt>
                <c:pt idx="31">
                  <c:v>9011.6702355460493</c:v>
                </c:pt>
                <c:pt idx="32">
                  <c:v>9231.1577868852582</c:v>
                </c:pt>
                <c:pt idx="33">
                  <c:v>8938.7562380038489</c:v>
                </c:pt>
                <c:pt idx="34">
                  <c:v>8501.8476394849913</c:v>
                </c:pt>
                <c:pt idx="35">
                  <c:v>7357.3714285714386</c:v>
                </c:pt>
                <c:pt idx="36">
                  <c:v>8198.5118279569997</c:v>
                </c:pt>
                <c:pt idx="37">
                  <c:v>7888.7481751824853</c:v>
                </c:pt>
                <c:pt idx="38">
                  <c:v>7363.5558035714366</c:v>
                </c:pt>
                <c:pt idx="39">
                  <c:v>8073.1704035874545</c:v>
                </c:pt>
                <c:pt idx="40">
                  <c:v>7512.6092436974905</c:v>
                </c:pt>
                <c:pt idx="41">
                  <c:v>8229.2117647058913</c:v>
                </c:pt>
                <c:pt idx="42">
                  <c:v>7431.304038004756</c:v>
                </c:pt>
                <c:pt idx="43">
                  <c:v>7702.1381074168867</c:v>
                </c:pt>
                <c:pt idx="44">
                  <c:v>7758.0952380952494</c:v>
                </c:pt>
                <c:pt idx="45">
                  <c:v>8175.9623188405849</c:v>
                </c:pt>
                <c:pt idx="46">
                  <c:v>7781.8621621621687</c:v>
                </c:pt>
                <c:pt idx="47">
                  <c:v>7858.9937304075256</c:v>
                </c:pt>
                <c:pt idx="48">
                  <c:v>7400.9484536082464</c:v>
                </c:pt>
                <c:pt idx="49">
                  <c:v>7111.8187919463107</c:v>
                </c:pt>
                <c:pt idx="50">
                  <c:v>6854.924528301889</c:v>
                </c:pt>
                <c:pt idx="51">
                  <c:v>7218.0337552742612</c:v>
                </c:pt>
                <c:pt idx="52">
                  <c:v>7165.8346456692907</c:v>
                </c:pt>
                <c:pt idx="53">
                  <c:v>6570.3055555555584</c:v>
                </c:pt>
                <c:pt idx="54">
                  <c:v>7535.0666666666666</c:v>
                </c:pt>
                <c:pt idx="55">
                  <c:v>7061.8489932885914</c:v>
                </c:pt>
                <c:pt idx="56">
                  <c:v>6620.5234375000027</c:v>
                </c:pt>
                <c:pt idx="57">
                  <c:v>7994.0842911877398</c:v>
                </c:pt>
                <c:pt idx="58">
                  <c:v>7659.7119999999995</c:v>
                </c:pt>
                <c:pt idx="59">
                  <c:v>7303.9377431906651</c:v>
                </c:pt>
                <c:pt idx="60">
                  <c:v>8834.5</c:v>
                </c:pt>
                <c:pt idx="61">
                  <c:v>6580.0124999999989</c:v>
                </c:pt>
                <c:pt idx="62">
                  <c:v>7656.8361774744053</c:v>
                </c:pt>
                <c:pt idx="63">
                  <c:v>7950.4527027027061</c:v>
                </c:pt>
                <c:pt idx="64">
                  <c:v>8191.4830508474579</c:v>
                </c:pt>
                <c:pt idx="65">
                  <c:v>8000.1967871485986</c:v>
                </c:pt>
                <c:pt idx="66">
                  <c:v>9572.4421965317961</c:v>
                </c:pt>
                <c:pt idx="67">
                  <c:v>8960.5980392156889</c:v>
                </c:pt>
                <c:pt idx="68">
                  <c:v>9508.0247678018568</c:v>
                </c:pt>
                <c:pt idx="69">
                  <c:v>8680.4703947368489</c:v>
                </c:pt>
                <c:pt idx="70">
                  <c:v>8849.8566308243735</c:v>
                </c:pt>
                <c:pt idx="71">
                  <c:v>9116.3648648648632</c:v>
                </c:pt>
                <c:pt idx="72">
                  <c:v>8399.5120772946866</c:v>
                </c:pt>
                <c:pt idx="73">
                  <c:v>7510.64367816092</c:v>
                </c:pt>
                <c:pt idx="74">
                  <c:v>8403.8897959183669</c:v>
                </c:pt>
                <c:pt idx="75">
                  <c:v>7883.0000000000009</c:v>
                </c:pt>
                <c:pt idx="76">
                  <c:v>8925.608163265304</c:v>
                </c:pt>
                <c:pt idx="77">
                  <c:v>7400.190476190478</c:v>
                </c:pt>
                <c:pt idx="78">
                  <c:v>8929.0376344085998</c:v>
                </c:pt>
                <c:pt idx="79">
                  <c:v>8714.9782608695659</c:v>
                </c:pt>
                <c:pt idx="80">
                  <c:v>8395.3743842364529</c:v>
                </c:pt>
                <c:pt idx="81">
                  <c:v>8538.4371584699456</c:v>
                </c:pt>
                <c:pt idx="82">
                  <c:v>8561.3775510204086</c:v>
                </c:pt>
                <c:pt idx="83">
                  <c:v>8428.8453608247419</c:v>
                </c:pt>
                <c:pt idx="84">
                  <c:v>7781.7142857142853</c:v>
                </c:pt>
                <c:pt idx="85">
                  <c:v>8488.1541850220274</c:v>
                </c:pt>
                <c:pt idx="86">
                  <c:v>7843.3461538461534</c:v>
                </c:pt>
                <c:pt idx="87">
                  <c:v>7001.329999999999</c:v>
                </c:pt>
                <c:pt idx="88">
                  <c:v>7511.8725490196084</c:v>
                </c:pt>
                <c:pt idx="89">
                  <c:v>7528.5059288537577</c:v>
                </c:pt>
                <c:pt idx="90">
                  <c:v>8038.532019704433</c:v>
                </c:pt>
                <c:pt idx="91">
                  <c:v>8069.3267326732675</c:v>
                </c:pt>
                <c:pt idx="92">
                  <c:v>7929.1878172588804</c:v>
                </c:pt>
                <c:pt idx="93">
                  <c:v>8397.75980392157</c:v>
                </c:pt>
                <c:pt idx="94">
                  <c:v>7502.1764705882342</c:v>
                </c:pt>
                <c:pt idx="95">
                  <c:v>6942.2267441860467</c:v>
                </c:pt>
                <c:pt idx="96">
                  <c:v>8079.9297297297289</c:v>
                </c:pt>
                <c:pt idx="97">
                  <c:v>8908.7383720930247</c:v>
                </c:pt>
                <c:pt idx="98">
                  <c:v>8998.5294117647045</c:v>
                </c:pt>
                <c:pt idx="99">
                  <c:v>8004.4869109947658</c:v>
                </c:pt>
                <c:pt idx="100">
                  <c:v>9556.136363636364</c:v>
                </c:pt>
                <c:pt idx="101">
                  <c:v>8284.6312500000004</c:v>
                </c:pt>
                <c:pt idx="102">
                  <c:v>6824.7874999999985</c:v>
                </c:pt>
                <c:pt idx="103">
                  <c:v>7566.1654135338349</c:v>
                </c:pt>
                <c:pt idx="104">
                  <c:v>6915.2317073170743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C-454F-82FB-4B0E6FAA45E0}"/>
            </c:ext>
          </c:extLst>
        </c:ser>
        <c:ser>
          <c:idx val="1"/>
          <c:order val="1"/>
          <c:tx>
            <c:strRef>
              <c:f>'Averages Graph Data'!$CC$4</c:f>
              <c:strCache>
                <c:ptCount val="1"/>
                <c:pt idx="0">
                  <c:v>Average Vehicle Value - 4 Week Avg (Boom Annual Up Front)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Data'!$CC$5:$CC$109</c:f>
              <c:numCache>
                <c:formatCode>#,##0</c:formatCode>
                <c:ptCount val="105"/>
                <c:pt idx="3">
                  <c:v>10080.591598878678</c:v>
                </c:pt>
                <c:pt idx="4">
                  <c:v>10269.508595143234</c:v>
                </c:pt>
                <c:pt idx="5">
                  <c:v>10710.866277405326</c:v>
                </c:pt>
                <c:pt idx="6">
                  <c:v>10826.221983530751</c:v>
                </c:pt>
                <c:pt idx="7">
                  <c:v>10421.468583822158</c:v>
                </c:pt>
                <c:pt idx="8">
                  <c:v>10205.614994473315</c:v>
                </c:pt>
                <c:pt idx="9">
                  <c:v>9875.3321352983512</c:v>
                </c:pt>
                <c:pt idx="10">
                  <c:v>9837.4819659719469</c:v>
                </c:pt>
                <c:pt idx="11">
                  <c:v>10192.988247286416</c:v>
                </c:pt>
                <c:pt idx="12">
                  <c:v>10322.269805407139</c:v>
                </c:pt>
                <c:pt idx="13">
                  <c:v>10386.556240757811</c:v>
                </c:pt>
                <c:pt idx="14">
                  <c:v>10595.300495629035</c:v>
                </c:pt>
                <c:pt idx="15">
                  <c:v>10433.392096591484</c:v>
                </c:pt>
                <c:pt idx="16">
                  <c:v>10523.164267029164</c:v>
                </c:pt>
                <c:pt idx="17">
                  <c:v>10712.365879676592</c:v>
                </c:pt>
                <c:pt idx="18">
                  <c:v>10392.889933635281</c:v>
                </c:pt>
                <c:pt idx="19">
                  <c:v>10547.809449953897</c:v>
                </c:pt>
                <c:pt idx="20">
                  <c:v>10240.143357515657</c:v>
                </c:pt>
                <c:pt idx="21">
                  <c:v>9943.3093335636877</c:v>
                </c:pt>
                <c:pt idx="22">
                  <c:v>9733.3616997811714</c:v>
                </c:pt>
                <c:pt idx="23">
                  <c:v>9284.8529021933518</c:v>
                </c:pt>
                <c:pt idx="24">
                  <c:v>9299.7888706179492</c:v>
                </c:pt>
                <c:pt idx="25">
                  <c:v>9015.5735896760398</c:v>
                </c:pt>
                <c:pt idx="26">
                  <c:v>9011.7397712615493</c:v>
                </c:pt>
                <c:pt idx="27">
                  <c:v>8992.8041938030347</c:v>
                </c:pt>
                <c:pt idx="28">
                  <c:v>8910.2034683286693</c:v>
                </c:pt>
                <c:pt idx="29">
                  <c:v>9164.5172341190682</c:v>
                </c:pt>
                <c:pt idx="30">
                  <c:v>9332.95610874466</c:v>
                </c:pt>
                <c:pt idx="31">
                  <c:v>9329.7230578750732</c:v>
                </c:pt>
                <c:pt idx="32">
                  <c:v>9328.3898364964552</c:v>
                </c:pt>
                <c:pt idx="33">
                  <c:v>9199.7105976291168</c:v>
                </c:pt>
                <c:pt idx="34">
                  <c:v>8920.8579749800374</c:v>
                </c:pt>
                <c:pt idx="35">
                  <c:v>8507.283273236384</c:v>
                </c:pt>
                <c:pt idx="36">
                  <c:v>8249.121783504319</c:v>
                </c:pt>
                <c:pt idx="37">
                  <c:v>7986.6197677989794</c:v>
                </c:pt>
                <c:pt idx="38">
                  <c:v>7702.0468088205907</c:v>
                </c:pt>
                <c:pt idx="39">
                  <c:v>7880.9965525745938</c:v>
                </c:pt>
                <c:pt idx="40">
                  <c:v>7709.520906509717</c:v>
                </c:pt>
                <c:pt idx="41">
                  <c:v>7794.6368038905684</c:v>
                </c:pt>
                <c:pt idx="42">
                  <c:v>7811.5738624988981</c:v>
                </c:pt>
                <c:pt idx="43">
                  <c:v>7718.8157884562561</c:v>
                </c:pt>
                <c:pt idx="44">
                  <c:v>7780.1872870556963</c:v>
                </c:pt>
                <c:pt idx="45">
                  <c:v>7766.8749255893699</c:v>
                </c:pt>
                <c:pt idx="46">
                  <c:v>7854.5144566287227</c:v>
                </c:pt>
                <c:pt idx="47">
                  <c:v>7893.7283623763815</c:v>
                </c:pt>
                <c:pt idx="48">
                  <c:v>7804.4416662546309</c:v>
                </c:pt>
                <c:pt idx="49">
                  <c:v>7538.4057845310635</c:v>
                </c:pt>
                <c:pt idx="50">
                  <c:v>7306.6713760659932</c:v>
                </c:pt>
                <c:pt idx="51">
                  <c:v>7146.4313822826771</c:v>
                </c:pt>
                <c:pt idx="52">
                  <c:v>7087.6529302979379</c:v>
                </c:pt>
                <c:pt idx="53">
                  <c:v>6952.2746212002503</c:v>
                </c:pt>
                <c:pt idx="54">
                  <c:v>7122.3101557914442</c:v>
                </c:pt>
                <c:pt idx="55">
                  <c:v>7083.2639652950274</c:v>
                </c:pt>
                <c:pt idx="56">
                  <c:v>6946.9361632527043</c:v>
                </c:pt>
                <c:pt idx="57">
                  <c:v>7302.8808471607508</c:v>
                </c:pt>
                <c:pt idx="58">
                  <c:v>7334.0421804940834</c:v>
                </c:pt>
                <c:pt idx="59">
                  <c:v>7394.5643679696013</c:v>
                </c:pt>
                <c:pt idx="60">
                  <c:v>7948.0585085946013</c:v>
                </c:pt>
                <c:pt idx="61">
                  <c:v>7594.5405607976663</c:v>
                </c:pt>
                <c:pt idx="62">
                  <c:v>7593.8216051662675</c:v>
                </c:pt>
                <c:pt idx="63">
                  <c:v>7755.450345044278</c:v>
                </c:pt>
                <c:pt idx="64">
                  <c:v>7594.6961077561427</c:v>
                </c:pt>
                <c:pt idx="65">
                  <c:v>7949.742179543292</c:v>
                </c:pt>
                <c:pt idx="66">
                  <c:v>8428.6436843076408</c:v>
                </c:pt>
                <c:pt idx="67">
                  <c:v>8681.1800184358854</c:v>
                </c:pt>
                <c:pt idx="68">
                  <c:v>9010.3154476744858</c:v>
                </c:pt>
                <c:pt idx="69">
                  <c:v>9180.3838495715481</c:v>
                </c:pt>
                <c:pt idx="70">
                  <c:v>8999.7374581446929</c:v>
                </c:pt>
                <c:pt idx="71">
                  <c:v>9038.6791645569865</c:v>
                </c:pt>
                <c:pt idx="72">
                  <c:v>8761.550991930193</c:v>
                </c:pt>
                <c:pt idx="73">
                  <c:v>8469.0943127862101</c:v>
                </c:pt>
                <c:pt idx="74">
                  <c:v>8357.6026040597098</c:v>
                </c:pt>
                <c:pt idx="75">
                  <c:v>8049.2613878434931</c:v>
                </c:pt>
                <c:pt idx="76">
                  <c:v>8180.7854093361475</c:v>
                </c:pt>
                <c:pt idx="77">
                  <c:v>8153.172108843537</c:v>
                </c:pt>
                <c:pt idx="78">
                  <c:v>8284.4590684660943</c:v>
                </c:pt>
                <c:pt idx="79">
                  <c:v>8492.4536336834863</c:v>
                </c:pt>
                <c:pt idx="80">
                  <c:v>8359.8951889262753</c:v>
                </c:pt>
                <c:pt idx="81">
                  <c:v>8644.4568594961402</c:v>
                </c:pt>
                <c:pt idx="82">
                  <c:v>8552.5418386490928</c:v>
                </c:pt>
                <c:pt idx="83">
                  <c:v>8481.0086136378868</c:v>
                </c:pt>
                <c:pt idx="84">
                  <c:v>8327.5935890073451</c:v>
                </c:pt>
                <c:pt idx="85">
                  <c:v>8315.022845645366</c:v>
                </c:pt>
                <c:pt idx="86">
                  <c:v>8135.5149963518015</c:v>
                </c:pt>
                <c:pt idx="87">
                  <c:v>7778.636156145616</c:v>
                </c:pt>
                <c:pt idx="88">
                  <c:v>7711.1757219719466</c:v>
                </c:pt>
                <c:pt idx="89">
                  <c:v>7471.2636579298796</c:v>
                </c:pt>
                <c:pt idx="90">
                  <c:v>7520.0601243944493</c:v>
                </c:pt>
                <c:pt idx="91">
                  <c:v>7787.0593075627667</c:v>
                </c:pt>
                <c:pt idx="92">
                  <c:v>7891.3881246225847</c:v>
                </c:pt>
                <c:pt idx="93">
                  <c:v>8108.7015933895373</c:v>
                </c:pt>
                <c:pt idx="94">
                  <c:v>7974.612706110488</c:v>
                </c:pt>
                <c:pt idx="95">
                  <c:v>7692.8377089886826</c:v>
                </c:pt>
                <c:pt idx="96">
                  <c:v>7730.5231871063952</c:v>
                </c:pt>
                <c:pt idx="97">
                  <c:v>7858.2678291492575</c:v>
                </c:pt>
                <c:pt idx="98">
                  <c:v>8232.3560644433765</c:v>
                </c:pt>
                <c:pt idx="99">
                  <c:v>8497.9211061455571</c:v>
                </c:pt>
                <c:pt idx="100">
                  <c:v>8866.9727646222145</c:v>
                </c:pt>
                <c:pt idx="101">
                  <c:v>8710.9459840989584</c:v>
                </c:pt>
                <c:pt idx="102">
                  <c:v>8167.5105061577815</c:v>
                </c:pt>
                <c:pt idx="103">
                  <c:v>8057.9301317925501</c:v>
                </c:pt>
                <c:pt idx="104">
                  <c:v>7397.7039677127268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C-454F-82FB-4B0E6FAA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13000"/>
          <c:min val="8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Vehicle Value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Data'!$CF$4</c:f>
              <c:strCache>
                <c:ptCount val="1"/>
                <c:pt idx="0">
                  <c:v>Average Vehicle Value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Data'!$CF$5:$CF$109</c:f>
              <c:numCache>
                <c:formatCode>#,##0</c:formatCode>
                <c:ptCount val="105"/>
                <c:pt idx="0">
                  <c:v>9561.2392913801996</c:v>
                </c:pt>
                <c:pt idx="1">
                  <c:v>9607.3889442230829</c:v>
                </c:pt>
                <c:pt idx="2">
                  <c:v>9630.6452895009734</c:v>
                </c:pt>
                <c:pt idx="3">
                  <c:v>9571.5825994128609</c:v>
                </c:pt>
                <c:pt idx="4">
                  <c:v>9045.8813064259175</c:v>
                </c:pt>
                <c:pt idx="5">
                  <c:v>9145.0169927909355</c:v>
                </c:pt>
                <c:pt idx="6">
                  <c:v>9173.1065838509294</c:v>
                </c:pt>
                <c:pt idx="7">
                  <c:v>8623.9521694189389</c:v>
                </c:pt>
                <c:pt idx="8">
                  <c:v>8391.0115100026997</c:v>
                </c:pt>
                <c:pt idx="9">
                  <c:v>8490.1710462286701</c:v>
                </c:pt>
                <c:pt idx="10">
                  <c:v>8391.3819179389029</c:v>
                </c:pt>
                <c:pt idx="11">
                  <c:v>8091.6657777386135</c:v>
                </c:pt>
                <c:pt idx="12">
                  <c:v>7884.7357380404201</c:v>
                </c:pt>
                <c:pt idx="13">
                  <c:v>7905.3219806763309</c:v>
                </c:pt>
                <c:pt idx="14">
                  <c:v>8039.8511638843138</c:v>
                </c:pt>
                <c:pt idx="15">
                  <c:v>7738.0080698461952</c:v>
                </c:pt>
                <c:pt idx="16">
                  <c:v>7748.4702570379086</c:v>
                </c:pt>
                <c:pt idx="17">
                  <c:v>7540.7683318056488</c:v>
                </c:pt>
                <c:pt idx="18">
                  <c:v>7850.3086723289734</c:v>
                </c:pt>
                <c:pt idx="19">
                  <c:v>7733.0750326228481</c:v>
                </c:pt>
                <c:pt idx="20">
                  <c:v>7468.7436661698648</c:v>
                </c:pt>
                <c:pt idx="21">
                  <c:v>7570.6269841269568</c:v>
                </c:pt>
                <c:pt idx="22">
                  <c:v>7656.5363636363327</c:v>
                </c:pt>
                <c:pt idx="23">
                  <c:v>7925.2276368491084</c:v>
                </c:pt>
                <c:pt idx="24">
                  <c:v>7757.1453729096993</c:v>
                </c:pt>
                <c:pt idx="25">
                  <c:v>7634.4755544354521</c:v>
                </c:pt>
                <c:pt idx="26">
                  <c:v>7596.4648938651617</c:v>
                </c:pt>
                <c:pt idx="27">
                  <c:v>7884.2862249761411</c:v>
                </c:pt>
                <c:pt idx="28">
                  <c:v>7849.6521510112198</c:v>
                </c:pt>
                <c:pt idx="29">
                  <c:v>7715.2415445321367</c:v>
                </c:pt>
                <c:pt idx="30">
                  <c:v>7726.8704690831582</c:v>
                </c:pt>
                <c:pt idx="31">
                  <c:v>7863.0622034791741</c:v>
                </c:pt>
                <c:pt idx="32">
                  <c:v>8059.151828077047</c:v>
                </c:pt>
                <c:pt idx="33">
                  <c:v>7690.0505198869223</c:v>
                </c:pt>
                <c:pt idx="34">
                  <c:v>7748.037267080701</c:v>
                </c:pt>
                <c:pt idx="35">
                  <c:v>7814.8269575612148</c:v>
                </c:pt>
                <c:pt idx="36">
                  <c:v>8116.8202706955763</c:v>
                </c:pt>
                <c:pt idx="37">
                  <c:v>7976.5064012626544</c:v>
                </c:pt>
                <c:pt idx="38">
                  <c:v>7829.2557813595258</c:v>
                </c:pt>
                <c:pt idx="39">
                  <c:v>7750.4037931034827</c:v>
                </c:pt>
                <c:pt idx="40">
                  <c:v>8177.8377992140304</c:v>
                </c:pt>
                <c:pt idx="41">
                  <c:v>8322.5053435114769</c:v>
                </c:pt>
                <c:pt idx="42">
                  <c:v>7893.0457930006914</c:v>
                </c:pt>
                <c:pt idx="43">
                  <c:v>7649.6131528045898</c:v>
                </c:pt>
                <c:pt idx="44">
                  <c:v>8001.5285211692453</c:v>
                </c:pt>
                <c:pt idx="45">
                  <c:v>8366.1313258050395</c:v>
                </c:pt>
                <c:pt idx="46">
                  <c:v>7937.4482357624593</c:v>
                </c:pt>
                <c:pt idx="47">
                  <c:v>7857.6672527472801</c:v>
                </c:pt>
                <c:pt idx="48">
                  <c:v>7821.9431769264293</c:v>
                </c:pt>
                <c:pt idx="49">
                  <c:v>8394.7519776640638</c:v>
                </c:pt>
                <c:pt idx="50">
                  <c:v>8118.1386363636539</c:v>
                </c:pt>
                <c:pt idx="51">
                  <c:v>7822.9735029147041</c:v>
                </c:pt>
                <c:pt idx="52">
                  <c:v>7764.1591562799913</c:v>
                </c:pt>
                <c:pt idx="53">
                  <c:v>8223.7643149284431</c:v>
                </c:pt>
                <c:pt idx="54">
                  <c:v>8485.1894679696088</c:v>
                </c:pt>
                <c:pt idx="55">
                  <c:v>7966.8539691916758</c:v>
                </c:pt>
                <c:pt idx="56">
                  <c:v>7609.3846597462098</c:v>
                </c:pt>
                <c:pt idx="57">
                  <c:v>7859.4917452829814</c:v>
                </c:pt>
                <c:pt idx="58">
                  <c:v>8504.963235294068</c:v>
                </c:pt>
                <c:pt idx="59">
                  <c:v>8057.4419480809511</c:v>
                </c:pt>
                <c:pt idx="60">
                  <c:v>7867.3580158159612</c:v>
                </c:pt>
                <c:pt idx="61">
                  <c:v>7785.9494047619028</c:v>
                </c:pt>
                <c:pt idx="62">
                  <c:v>8724.5714285714203</c:v>
                </c:pt>
                <c:pt idx="63">
                  <c:v>8146.8659554734286</c:v>
                </c:pt>
                <c:pt idx="64">
                  <c:v>7542.0114810562545</c:v>
                </c:pt>
                <c:pt idx="65">
                  <c:v>7838.0668151447671</c:v>
                </c:pt>
                <c:pt idx="66">
                  <c:v>7670.1693057247194</c:v>
                </c:pt>
                <c:pt idx="67">
                  <c:v>8533.413913043476</c:v>
                </c:pt>
                <c:pt idx="68">
                  <c:v>7489.8105140374419</c:v>
                </c:pt>
                <c:pt idx="69">
                  <c:v>7254.3945312500055</c:v>
                </c:pt>
                <c:pt idx="70">
                  <c:v>7130.8403360985403</c:v>
                </c:pt>
                <c:pt idx="71">
                  <c:v>8467.2524271844668</c:v>
                </c:pt>
                <c:pt idx="72">
                  <c:v>8418.889447236179</c:v>
                </c:pt>
                <c:pt idx="73">
                  <c:v>7987.8062015503874</c:v>
                </c:pt>
                <c:pt idx="74">
                  <c:v>8586.9</c:v>
                </c:pt>
                <c:pt idx="75">
                  <c:v>8966.2941176470576</c:v>
                </c:pt>
                <c:pt idx="76">
                  <c:v>21945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D-4873-84D2-330C00801EE4}"/>
            </c:ext>
          </c:extLst>
        </c:ser>
        <c:ser>
          <c:idx val="1"/>
          <c:order val="1"/>
          <c:tx>
            <c:strRef>
              <c:f>'Averages Graph Data'!$CG$4</c:f>
              <c:strCache>
                <c:ptCount val="1"/>
                <c:pt idx="0">
                  <c:v>Average Vehicle Value - 4 Week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Data'!$CG$5:$CG$109</c:f>
              <c:numCache>
                <c:formatCode>#,##0</c:formatCode>
                <c:ptCount val="105"/>
                <c:pt idx="6">
                  <c:v>9390.6944296549864</c:v>
                </c:pt>
                <c:pt idx="7">
                  <c:v>9256.7962693748068</c:v>
                </c:pt>
                <c:pt idx="8">
                  <c:v>9083.0280644861796</c:v>
                </c:pt>
                <c:pt idx="9">
                  <c:v>8920.1031725901375</c:v>
                </c:pt>
                <c:pt idx="10">
                  <c:v>8751.5030752367129</c:v>
                </c:pt>
                <c:pt idx="11">
                  <c:v>8615.1865711385271</c:v>
                </c:pt>
                <c:pt idx="12">
                  <c:v>8435.1463918884529</c:v>
                </c:pt>
                <c:pt idx="13">
                  <c:v>8254.0343057206537</c:v>
                </c:pt>
                <c:pt idx="14">
                  <c:v>8170.5913049299925</c:v>
                </c:pt>
                <c:pt idx="15">
                  <c:v>8077.3050991933496</c:v>
                </c:pt>
                <c:pt idx="16">
                  <c:v>7971.347843594669</c:v>
                </c:pt>
                <c:pt idx="17">
                  <c:v>7849.8316170042044</c:v>
                </c:pt>
                <c:pt idx="18">
                  <c:v>7815.3520305171132</c:v>
                </c:pt>
                <c:pt idx="19">
                  <c:v>7793.686215457461</c:v>
                </c:pt>
                <c:pt idx="20">
                  <c:v>7731.3178848136795</c:v>
                </c:pt>
                <c:pt idx="21">
                  <c:v>7664.2858591340564</c:v>
                </c:pt>
                <c:pt idx="22">
                  <c:v>7652.6470439612185</c:v>
                </c:pt>
                <c:pt idx="23">
                  <c:v>7677.8980982199628</c:v>
                </c:pt>
                <c:pt idx="24">
                  <c:v>7708.8091040919689</c:v>
                </c:pt>
                <c:pt idx="25">
                  <c:v>7677.9758015357511</c:v>
                </c:pt>
                <c:pt idx="26">
                  <c:v>7658.4600674275107</c:v>
                </c:pt>
                <c:pt idx="27">
                  <c:v>7717.8232901141218</c:v>
                </c:pt>
                <c:pt idx="28">
                  <c:v>7757.6840282404446</c:v>
                </c:pt>
                <c:pt idx="29">
                  <c:v>7766.0704826541323</c:v>
                </c:pt>
                <c:pt idx="30">
                  <c:v>7737.7337444018531</c:v>
                </c:pt>
                <c:pt idx="31">
                  <c:v>7752.8647201974918</c:v>
                </c:pt>
                <c:pt idx="32">
                  <c:v>7813.5327592891481</c:v>
                </c:pt>
                <c:pt idx="33">
                  <c:v>7826.902134435114</c:v>
                </c:pt>
                <c:pt idx="34">
                  <c:v>7807.4379975929087</c:v>
                </c:pt>
                <c:pt idx="35">
                  <c:v>7802.4629699571933</c:v>
                </c:pt>
                <c:pt idx="36">
                  <c:v>7859.8313594091132</c:v>
                </c:pt>
                <c:pt idx="37">
                  <c:v>7895.4936354347565</c:v>
                </c:pt>
                <c:pt idx="38">
                  <c:v>7890.6641465605198</c:v>
                </c:pt>
                <c:pt idx="39">
                  <c:v>7846.5572844214394</c:v>
                </c:pt>
                <c:pt idx="40">
                  <c:v>7916.2411814681691</c:v>
                </c:pt>
                <c:pt idx="41">
                  <c:v>7998.308049529709</c:v>
                </c:pt>
                <c:pt idx="42">
                  <c:v>8009.4821688782049</c:v>
                </c:pt>
                <c:pt idx="43">
                  <c:v>7942.7382948937784</c:v>
                </c:pt>
                <c:pt idx="44">
                  <c:v>7946.3128834518629</c:v>
                </c:pt>
                <c:pt idx="45">
                  <c:v>8023.0093898012228</c:v>
                </c:pt>
                <c:pt idx="46">
                  <c:v>8049.7300244667913</c:v>
                </c:pt>
                <c:pt idx="47">
                  <c:v>8003.9913749715406</c:v>
                </c:pt>
                <c:pt idx="48">
                  <c:v>7932.4824940308181</c:v>
                </c:pt>
                <c:pt idx="49">
                  <c:v>8004.1548061255862</c:v>
                </c:pt>
                <c:pt idx="50">
                  <c:v>8071.0870180625952</c:v>
                </c:pt>
                <c:pt idx="51">
                  <c:v>8045.579158311948</c:v>
                </c:pt>
                <c:pt idx="52">
                  <c:v>7959.5831340940831</c:v>
                </c:pt>
                <c:pt idx="53">
                  <c:v>8000.485431117796</c:v>
                </c:pt>
                <c:pt idx="54">
                  <c:v>8090.1314618638426</c:v>
                </c:pt>
                <c:pt idx="55">
                  <c:v>8110.8330036160196</c:v>
                </c:pt>
                <c:pt idx="56">
                  <c:v>7998.6376724848969</c:v>
                </c:pt>
                <c:pt idx="57">
                  <c:v>7961.688116616232</c:v>
                </c:pt>
                <c:pt idx="58">
                  <c:v>8059.1152212418538</c:v>
                </c:pt>
                <c:pt idx="59">
                  <c:v>8101.0127629277058</c:v>
                </c:pt>
                <c:pt idx="60">
                  <c:v>8050.0975773402088</c:v>
                </c:pt>
                <c:pt idx="61">
                  <c:v>7950.2061397391071</c:v>
                </c:pt>
                <c:pt idx="62">
                  <c:v>8058.4514910790704</c:v>
                </c:pt>
                <c:pt idx="63">
                  <c:v>8135.2345333258154</c:v>
                </c:pt>
                <c:pt idx="64">
                  <c:v>8089.8802098648539</c:v>
                </c:pt>
                <c:pt idx="65">
                  <c:v>7994.6092927006684</c:v>
                </c:pt>
                <c:pt idx="66">
                  <c:v>7939.2846295069221</c:v>
                </c:pt>
                <c:pt idx="67">
                  <c:v>8034.4354719679959</c:v>
                </c:pt>
                <c:pt idx="68">
                  <c:v>7992.1299161502156</c:v>
                </c:pt>
                <c:pt idx="69">
                  <c:v>7782.1046451042994</c:v>
                </c:pt>
                <c:pt idx="70">
                  <c:v>7636.9581280507427</c:v>
                </c:pt>
                <c:pt idx="71">
                  <c:v>7769.1354060690592</c:v>
                </c:pt>
                <c:pt idx="72">
                  <c:v>7852.1100677964041</c:v>
                </c:pt>
                <c:pt idx="73">
                  <c:v>7897.486767200071</c:v>
                </c:pt>
                <c:pt idx="74">
                  <c:v>7905.127636765289</c:v>
                </c:pt>
                <c:pt idx="75">
                  <c:v>8116.0538658523774</c:v>
                </c:pt>
                <c:pt idx="76">
                  <c:v>10214.711789959518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D-4873-84D2-330C00801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10000"/>
          <c:min val="7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Vehicle Value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Data'!$CJ$4</c:f>
              <c:strCache>
                <c:ptCount val="1"/>
                <c:pt idx="0">
                  <c:v>Average Proportion Over £25k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Data'!$CJ$5:$CJ$109</c:f>
              <c:numCache>
                <c:formatCode>0.0%</c:formatCode>
                <c:ptCount val="105"/>
                <c:pt idx="0">
                  <c:v>9.9827798278545377E-2</c:v>
                </c:pt>
                <c:pt idx="1">
                  <c:v>9.4068000963256765E-2</c:v>
                </c:pt>
                <c:pt idx="2">
                  <c:v>0.1074701573453939</c:v>
                </c:pt>
                <c:pt idx="3">
                  <c:v>0.10604695077348539</c:v>
                </c:pt>
                <c:pt idx="4">
                  <c:v>9.8053026637480098E-2</c:v>
                </c:pt>
                <c:pt idx="5">
                  <c:v>0.10141170881666153</c:v>
                </c:pt>
                <c:pt idx="6">
                  <c:v>9.4306561706890002E-2</c:v>
                </c:pt>
                <c:pt idx="7">
                  <c:v>8.2477508935128216E-2</c:v>
                </c:pt>
                <c:pt idx="8">
                  <c:v>7.671896925661334E-2</c:v>
                </c:pt>
                <c:pt idx="9">
                  <c:v>7.5728582426536253E-2</c:v>
                </c:pt>
                <c:pt idx="10">
                  <c:v>6.6738450706433583E-2</c:v>
                </c:pt>
                <c:pt idx="11">
                  <c:v>7.0897958639865172E-2</c:v>
                </c:pt>
                <c:pt idx="12">
                  <c:v>5.7407837137725667E-2</c:v>
                </c:pt>
                <c:pt idx="13">
                  <c:v>5.8358552452397086E-2</c:v>
                </c:pt>
                <c:pt idx="14">
                  <c:v>7.0310670385996088E-2</c:v>
                </c:pt>
                <c:pt idx="15">
                  <c:v>5.8027587501047702E-2</c:v>
                </c:pt>
                <c:pt idx="16">
                  <c:v>6.7676051080286445E-2</c:v>
                </c:pt>
                <c:pt idx="17">
                  <c:v>6.8520069034759865E-2</c:v>
                </c:pt>
                <c:pt idx="18">
                  <c:v>5.4318925552578369E-2</c:v>
                </c:pt>
                <c:pt idx="19">
                  <c:v>6.5168103867613E-2</c:v>
                </c:pt>
                <c:pt idx="20">
                  <c:v>5.7529868352406276E-2</c:v>
                </c:pt>
                <c:pt idx="21">
                  <c:v>5.2771864237281925E-2</c:v>
                </c:pt>
                <c:pt idx="22">
                  <c:v>3.9408348393160639E-2</c:v>
                </c:pt>
                <c:pt idx="23">
                  <c:v>4.0353730432056034E-2</c:v>
                </c:pt>
                <c:pt idx="24">
                  <c:v>3.9421551408860896E-2</c:v>
                </c:pt>
                <c:pt idx="25">
                  <c:v>3.7844113748894258E-2</c:v>
                </c:pt>
                <c:pt idx="26">
                  <c:v>3.5344026722282061E-2</c:v>
                </c:pt>
                <c:pt idx="27">
                  <c:v>3.9213789155572408E-2</c:v>
                </c:pt>
                <c:pt idx="28">
                  <c:v>3.094878775463062E-2</c:v>
                </c:pt>
                <c:pt idx="29">
                  <c:v>3.1353016279742595E-2</c:v>
                </c:pt>
                <c:pt idx="30">
                  <c:v>4.467869708970737E-2</c:v>
                </c:pt>
                <c:pt idx="31">
                  <c:v>2.8400278118625309E-2</c:v>
                </c:pt>
                <c:pt idx="32">
                  <c:v>3.1560367922787658E-2</c:v>
                </c:pt>
                <c:pt idx="33">
                  <c:v>3.1678630920160808E-2</c:v>
                </c:pt>
                <c:pt idx="34">
                  <c:v>3.7431169956104487E-2</c:v>
                </c:pt>
                <c:pt idx="35">
                  <c:v>2.7839328897090003E-2</c:v>
                </c:pt>
                <c:pt idx="36">
                  <c:v>3.7999990786842339E-2</c:v>
                </c:pt>
                <c:pt idx="37">
                  <c:v>3.2293500865704899E-2</c:v>
                </c:pt>
                <c:pt idx="38">
                  <c:v>2.6723192591195162E-2</c:v>
                </c:pt>
                <c:pt idx="39">
                  <c:v>3.6175614404579844E-2</c:v>
                </c:pt>
                <c:pt idx="40">
                  <c:v>3.465862390275485E-2</c:v>
                </c:pt>
                <c:pt idx="41">
                  <c:v>3.7934970646963141E-2</c:v>
                </c:pt>
                <c:pt idx="42">
                  <c:v>3.0742650793675386E-2</c:v>
                </c:pt>
                <c:pt idx="43">
                  <c:v>3.5407705885787531E-2</c:v>
                </c:pt>
                <c:pt idx="44">
                  <c:v>3.0227085302872918E-2</c:v>
                </c:pt>
                <c:pt idx="45">
                  <c:v>3.5355374528062165E-2</c:v>
                </c:pt>
                <c:pt idx="46">
                  <c:v>3.0557571021708984E-2</c:v>
                </c:pt>
                <c:pt idx="47">
                  <c:v>3.9005572224556542E-2</c:v>
                </c:pt>
                <c:pt idx="48">
                  <c:v>2.9648248664954333E-2</c:v>
                </c:pt>
                <c:pt idx="49">
                  <c:v>3.165697575462869E-2</c:v>
                </c:pt>
                <c:pt idx="50">
                  <c:v>3.1829999277344499E-2</c:v>
                </c:pt>
                <c:pt idx="51">
                  <c:v>2.5823326332117764E-2</c:v>
                </c:pt>
                <c:pt idx="52">
                  <c:v>2.8535506611576781E-2</c:v>
                </c:pt>
                <c:pt idx="53">
                  <c:v>3.4300849073485296E-2</c:v>
                </c:pt>
                <c:pt idx="54">
                  <c:v>3.629187187762227E-2</c:v>
                </c:pt>
                <c:pt idx="55">
                  <c:v>2.6261799391096283E-2</c:v>
                </c:pt>
                <c:pt idx="56">
                  <c:v>3.0726087982414552E-2</c:v>
                </c:pt>
                <c:pt idx="57">
                  <c:v>3.4889134609798651E-2</c:v>
                </c:pt>
                <c:pt idx="58">
                  <c:v>3.2734480245647464E-2</c:v>
                </c:pt>
                <c:pt idx="59">
                  <c:v>2.9556469998904683E-2</c:v>
                </c:pt>
                <c:pt idx="60">
                  <c:v>4.5757569503836241E-2</c:v>
                </c:pt>
                <c:pt idx="61">
                  <c:v>2.5391310663668461E-2</c:v>
                </c:pt>
                <c:pt idx="62">
                  <c:v>2.8260457650477171E-2</c:v>
                </c:pt>
                <c:pt idx="63">
                  <c:v>3.6254602840619349E-2</c:v>
                </c:pt>
                <c:pt idx="64">
                  <c:v>3.1368531264134816E-2</c:v>
                </c:pt>
                <c:pt idx="65">
                  <c:v>3.3956659057478321E-2</c:v>
                </c:pt>
                <c:pt idx="66">
                  <c:v>3.9461994639153959E-2</c:v>
                </c:pt>
                <c:pt idx="67">
                  <c:v>3.2242549213561449E-2</c:v>
                </c:pt>
                <c:pt idx="68">
                  <c:v>3.840652520843215E-2</c:v>
                </c:pt>
                <c:pt idx="69">
                  <c:v>2.9062794483110249E-2</c:v>
                </c:pt>
                <c:pt idx="70">
                  <c:v>2.8654453293200287E-2</c:v>
                </c:pt>
                <c:pt idx="71">
                  <c:v>3.1878549920608262E-2</c:v>
                </c:pt>
                <c:pt idx="72">
                  <c:v>3.5719864293314661E-2</c:v>
                </c:pt>
                <c:pt idx="73">
                  <c:v>2.1065418829764801E-2</c:v>
                </c:pt>
                <c:pt idx="74">
                  <c:v>2.3603050719274481E-2</c:v>
                </c:pt>
                <c:pt idx="75">
                  <c:v>2.0798705689764645E-2</c:v>
                </c:pt>
                <c:pt idx="76">
                  <c:v>1.7510190647391337E-2</c:v>
                </c:pt>
                <c:pt idx="77">
                  <c:v>1.2845849802371538E-2</c:v>
                </c:pt>
                <c:pt idx="78">
                  <c:v>3.0193236714975865E-2</c:v>
                </c:pt>
                <c:pt idx="79">
                  <c:v>2.4611398963730595E-2</c:v>
                </c:pt>
                <c:pt idx="80">
                  <c:v>2.1538461538461524E-2</c:v>
                </c:pt>
                <c:pt idx="81">
                  <c:v>2.3784901758014464E-2</c:v>
                </c:pt>
                <c:pt idx="82">
                  <c:v>2.7513227513227524E-2</c:v>
                </c:pt>
                <c:pt idx="83">
                  <c:v>1.9172552976791119E-2</c:v>
                </c:pt>
                <c:pt idx="84">
                  <c:v>2.2789425706472174E-2</c:v>
                </c:pt>
                <c:pt idx="85">
                  <c:v>3.1495629661337891E-2</c:v>
                </c:pt>
                <c:pt idx="86">
                  <c:v>2.4048096192384776E-2</c:v>
                </c:pt>
                <c:pt idx="87">
                  <c:v>1.9569471624266147E-2</c:v>
                </c:pt>
                <c:pt idx="88">
                  <c:v>2.2703818369453045E-2</c:v>
                </c:pt>
                <c:pt idx="89">
                  <c:v>1.6460905349794226E-2</c:v>
                </c:pt>
                <c:pt idx="90">
                  <c:v>2.4390243902439029E-2</c:v>
                </c:pt>
                <c:pt idx="91">
                  <c:v>1.4752370916754484E-2</c:v>
                </c:pt>
                <c:pt idx="92">
                  <c:v>3.38218714768884E-2</c:v>
                </c:pt>
                <c:pt idx="93">
                  <c:v>2.9352226720647776E-2</c:v>
                </c:pt>
                <c:pt idx="94">
                  <c:v>2.5380710659898473E-2</c:v>
                </c:pt>
                <c:pt idx="95">
                  <c:v>2.8571428571428574E-2</c:v>
                </c:pt>
                <c:pt idx="96">
                  <c:v>2.9593094944512965E-2</c:v>
                </c:pt>
                <c:pt idx="97">
                  <c:v>2.7090694935217915E-2</c:v>
                </c:pt>
                <c:pt idx="98">
                  <c:v>3.3434650455927015E-2</c:v>
                </c:pt>
                <c:pt idx="99">
                  <c:v>3.3256880733944963E-2</c:v>
                </c:pt>
                <c:pt idx="100">
                  <c:v>4.3184885290148481E-2</c:v>
                </c:pt>
                <c:pt idx="101">
                  <c:v>3.8408779149519928E-2</c:v>
                </c:pt>
                <c:pt idx="102">
                  <c:v>2.8708133971291887E-2</c:v>
                </c:pt>
                <c:pt idx="103">
                  <c:v>3.7216828478964445E-2</c:v>
                </c:pt>
                <c:pt idx="104">
                  <c:v>3.0955585464333798E-2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9-48FC-8E75-59F9EC57F1F1}"/>
            </c:ext>
          </c:extLst>
        </c:ser>
        <c:ser>
          <c:idx val="1"/>
          <c:order val="1"/>
          <c:tx>
            <c:strRef>
              <c:f>'Averages Graph Data'!$CK$4</c:f>
              <c:strCache>
                <c:ptCount val="1"/>
                <c:pt idx="0">
                  <c:v>Average Proportion Over £25k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Data'!$CK$5:$CK$109</c:f>
              <c:numCache>
                <c:formatCode>#,##0</c:formatCode>
                <c:ptCount val="105"/>
                <c:pt idx="3">
                  <c:v>0.10185322684017037</c:v>
                </c:pt>
                <c:pt idx="4">
                  <c:v>0.10140953392990405</c:v>
                </c:pt>
                <c:pt idx="5">
                  <c:v>0.10324546089325523</c:v>
                </c:pt>
                <c:pt idx="6">
                  <c:v>9.9954561983629259E-2</c:v>
                </c:pt>
                <c:pt idx="7">
                  <c:v>9.4062201524039962E-2</c:v>
                </c:pt>
                <c:pt idx="8">
                  <c:v>8.8728687178823262E-2</c:v>
                </c:pt>
                <c:pt idx="9">
                  <c:v>8.2307905581291946E-2</c:v>
                </c:pt>
                <c:pt idx="10">
                  <c:v>7.5415877831177841E-2</c:v>
                </c:pt>
                <c:pt idx="11">
                  <c:v>7.2520990257362083E-2</c:v>
                </c:pt>
                <c:pt idx="12">
                  <c:v>6.7693207227640162E-2</c:v>
                </c:pt>
                <c:pt idx="13">
                  <c:v>6.335069973410537E-2</c:v>
                </c:pt>
                <c:pt idx="14">
                  <c:v>6.4243754653995996E-2</c:v>
                </c:pt>
                <c:pt idx="15">
                  <c:v>6.1026161869291634E-2</c:v>
                </c:pt>
                <c:pt idx="16">
                  <c:v>6.3593215354931829E-2</c:v>
                </c:pt>
                <c:pt idx="17">
                  <c:v>6.613359450052253E-2</c:v>
                </c:pt>
                <c:pt idx="18">
                  <c:v>6.2135658292168099E-2</c:v>
                </c:pt>
                <c:pt idx="19">
                  <c:v>6.3920787383809421E-2</c:v>
                </c:pt>
                <c:pt idx="20">
                  <c:v>6.1384241701839377E-2</c:v>
                </c:pt>
                <c:pt idx="21">
                  <c:v>5.7447190502469894E-2</c:v>
                </c:pt>
                <c:pt idx="22">
                  <c:v>5.371954621261546E-2</c:v>
                </c:pt>
                <c:pt idx="23">
                  <c:v>4.7515952853726215E-2</c:v>
                </c:pt>
                <c:pt idx="24">
                  <c:v>4.2988873617839873E-2</c:v>
                </c:pt>
                <c:pt idx="25">
                  <c:v>3.925693599574296E-2</c:v>
                </c:pt>
                <c:pt idx="26">
                  <c:v>3.8240855578023314E-2</c:v>
                </c:pt>
                <c:pt idx="27">
                  <c:v>3.7955870258902409E-2</c:v>
                </c:pt>
                <c:pt idx="28">
                  <c:v>3.5837679345344833E-2</c:v>
                </c:pt>
                <c:pt idx="29">
                  <c:v>3.4214904978056924E-2</c:v>
                </c:pt>
                <c:pt idx="30">
                  <c:v>3.654857256991325E-2</c:v>
                </c:pt>
                <c:pt idx="31">
                  <c:v>3.3845194810676472E-2</c:v>
                </c:pt>
                <c:pt idx="32">
                  <c:v>3.3998089852715734E-2</c:v>
                </c:pt>
                <c:pt idx="33">
                  <c:v>3.4079493512820289E-2</c:v>
                </c:pt>
                <c:pt idx="34">
                  <c:v>3.2267611729419568E-2</c:v>
                </c:pt>
                <c:pt idx="35">
                  <c:v>3.2127374424035737E-2</c:v>
                </c:pt>
                <c:pt idx="36">
                  <c:v>3.3737280140049411E-2</c:v>
                </c:pt>
                <c:pt idx="37">
                  <c:v>3.3890997626435437E-2</c:v>
                </c:pt>
                <c:pt idx="38">
                  <c:v>3.1214003285208097E-2</c:v>
                </c:pt>
                <c:pt idx="39">
                  <c:v>3.3298074662080561E-2</c:v>
                </c:pt>
                <c:pt idx="40">
                  <c:v>3.246273294105869E-2</c:v>
                </c:pt>
                <c:pt idx="41">
                  <c:v>3.3873100386373249E-2</c:v>
                </c:pt>
                <c:pt idx="42">
                  <c:v>3.4877964936993307E-2</c:v>
                </c:pt>
                <c:pt idx="43">
                  <c:v>3.4685987807295225E-2</c:v>
                </c:pt>
                <c:pt idx="44">
                  <c:v>3.3578103157324742E-2</c:v>
                </c:pt>
                <c:pt idx="45">
                  <c:v>3.2933204127599501E-2</c:v>
                </c:pt>
                <c:pt idx="46">
                  <c:v>3.2886934184607898E-2</c:v>
                </c:pt>
                <c:pt idx="47">
                  <c:v>3.3786400769300153E-2</c:v>
                </c:pt>
                <c:pt idx="48">
                  <c:v>3.3641691609820508E-2</c:v>
                </c:pt>
                <c:pt idx="49">
                  <c:v>3.2717091916462139E-2</c:v>
                </c:pt>
                <c:pt idx="50">
                  <c:v>3.3035198980371015E-2</c:v>
                </c:pt>
                <c:pt idx="51">
                  <c:v>2.9739637507261323E-2</c:v>
                </c:pt>
                <c:pt idx="52">
                  <c:v>2.9461451993916934E-2</c:v>
                </c:pt>
                <c:pt idx="53">
                  <c:v>3.0122420323631084E-2</c:v>
                </c:pt>
                <c:pt idx="54">
                  <c:v>3.1237888473700529E-2</c:v>
                </c:pt>
                <c:pt idx="55">
                  <c:v>3.1347506738445156E-2</c:v>
                </c:pt>
                <c:pt idx="56">
                  <c:v>3.18951520811546E-2</c:v>
                </c:pt>
                <c:pt idx="57">
                  <c:v>3.2042223465232937E-2</c:v>
                </c:pt>
                <c:pt idx="58">
                  <c:v>3.1152875557239237E-2</c:v>
                </c:pt>
                <c:pt idx="59">
                  <c:v>3.1976543209191334E-2</c:v>
                </c:pt>
                <c:pt idx="60">
                  <c:v>3.5734413589546758E-2</c:v>
                </c:pt>
                <c:pt idx="61">
                  <c:v>3.3359957603014211E-2</c:v>
                </c:pt>
                <c:pt idx="62">
                  <c:v>3.2241451954221637E-2</c:v>
                </c:pt>
                <c:pt idx="63">
                  <c:v>3.3915985164650303E-2</c:v>
                </c:pt>
                <c:pt idx="64">
                  <c:v>3.0318725604724948E-2</c:v>
                </c:pt>
                <c:pt idx="65">
                  <c:v>3.2460062703177417E-2</c:v>
                </c:pt>
                <c:pt idx="66">
                  <c:v>3.5260446950346608E-2</c:v>
                </c:pt>
                <c:pt idx="67">
                  <c:v>3.4257433543582134E-2</c:v>
                </c:pt>
                <c:pt idx="68">
                  <c:v>3.6016932029656473E-2</c:v>
                </c:pt>
                <c:pt idx="69">
                  <c:v>3.4793465886064454E-2</c:v>
                </c:pt>
                <c:pt idx="70">
                  <c:v>3.2091580549576032E-2</c:v>
                </c:pt>
                <c:pt idx="71">
                  <c:v>3.2000580726337741E-2</c:v>
                </c:pt>
                <c:pt idx="72">
                  <c:v>3.1328915497558368E-2</c:v>
                </c:pt>
                <c:pt idx="73">
                  <c:v>2.9329571584222003E-2</c:v>
                </c:pt>
                <c:pt idx="74">
                  <c:v>2.8066720940740551E-2</c:v>
                </c:pt>
                <c:pt idx="75">
                  <c:v>2.5296759883029648E-2</c:v>
                </c:pt>
                <c:pt idx="76">
                  <c:v>2.0744341471548813E-2</c:v>
                </c:pt>
                <c:pt idx="77">
                  <c:v>1.8689449214700501E-2</c:v>
                </c:pt>
                <c:pt idx="78">
                  <c:v>2.0336995713625846E-2</c:v>
                </c:pt>
                <c:pt idx="79">
                  <c:v>2.1290169032117334E-2</c:v>
                </c:pt>
                <c:pt idx="80">
                  <c:v>2.2297236754884878E-2</c:v>
                </c:pt>
                <c:pt idx="81">
                  <c:v>2.5031999743795611E-2</c:v>
                </c:pt>
                <c:pt idx="82">
                  <c:v>2.4361997443358527E-2</c:v>
                </c:pt>
                <c:pt idx="83">
                  <c:v>2.3002285946623655E-2</c:v>
                </c:pt>
                <c:pt idx="84">
                  <c:v>2.3315026988626319E-2</c:v>
                </c:pt>
                <c:pt idx="85">
                  <c:v>2.5242708964457176E-2</c:v>
                </c:pt>
                <c:pt idx="86">
                  <c:v>2.4376426134246492E-2</c:v>
                </c:pt>
                <c:pt idx="87">
                  <c:v>2.4475655796115246E-2</c:v>
                </c:pt>
                <c:pt idx="88">
                  <c:v>2.4454253961860462E-2</c:v>
                </c:pt>
                <c:pt idx="89">
                  <c:v>2.0695572883974549E-2</c:v>
                </c:pt>
                <c:pt idx="90">
                  <c:v>2.0781109811488112E-2</c:v>
                </c:pt>
                <c:pt idx="91">
                  <c:v>1.9576834634610196E-2</c:v>
                </c:pt>
                <c:pt idx="92">
                  <c:v>2.2356347911469034E-2</c:v>
                </c:pt>
                <c:pt idx="93">
                  <c:v>2.5579178254182419E-2</c:v>
                </c:pt>
                <c:pt idx="94">
                  <c:v>2.5826794943547282E-2</c:v>
                </c:pt>
                <c:pt idx="95">
                  <c:v>2.9281559357215804E-2</c:v>
                </c:pt>
                <c:pt idx="96">
                  <c:v>2.8224365224121948E-2</c:v>
                </c:pt>
                <c:pt idx="97">
                  <c:v>2.7658982277764484E-2</c:v>
                </c:pt>
                <c:pt idx="98">
                  <c:v>2.9672467226771616E-2</c:v>
                </c:pt>
                <c:pt idx="99">
                  <c:v>3.0843830267400715E-2</c:v>
                </c:pt>
                <c:pt idx="100">
                  <c:v>3.4241777853809593E-2</c:v>
                </c:pt>
                <c:pt idx="101">
                  <c:v>3.70712989073851E-2</c:v>
                </c:pt>
                <c:pt idx="102">
                  <c:v>3.5889669786226312E-2</c:v>
                </c:pt>
                <c:pt idx="103">
                  <c:v>3.6879656722481183E-2</c:v>
                </c:pt>
                <c:pt idx="104">
                  <c:v>3.3822331766027516E-2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19-48FC-8E75-59F9EC57F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Data'!$CN$4</c:f>
              <c:strCache>
                <c:ptCount val="1"/>
                <c:pt idx="0">
                  <c:v>Average Proportion Over £25k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Data'!$CN$5:$CN$109</c:f>
              <c:numCache>
                <c:formatCode>0.0%</c:formatCode>
                <c:ptCount val="105"/>
                <c:pt idx="0">
                  <c:v>0.10569105691056911</c:v>
                </c:pt>
                <c:pt idx="1">
                  <c:v>7.9831932773109238E-2</c:v>
                </c:pt>
                <c:pt idx="2">
                  <c:v>0.11983471074380163</c:v>
                </c:pt>
                <c:pt idx="3">
                  <c:v>0.11737089201877933</c:v>
                </c:pt>
                <c:pt idx="4">
                  <c:v>0.11711711711711711</c:v>
                </c:pt>
                <c:pt idx="5">
                  <c:v>0.11711711711711711</c:v>
                </c:pt>
                <c:pt idx="6">
                  <c:v>9.8039215686274536E-2</c:v>
                </c:pt>
                <c:pt idx="7">
                  <c:v>9.195402298850576E-2</c:v>
                </c:pt>
                <c:pt idx="8">
                  <c:v>8.0168776371308009E-2</c:v>
                </c:pt>
                <c:pt idx="9">
                  <c:v>8.0701754385964913E-2</c:v>
                </c:pt>
                <c:pt idx="10">
                  <c:v>5.9936908517350146E-2</c:v>
                </c:pt>
                <c:pt idx="11">
                  <c:v>7.6923076923076886E-2</c:v>
                </c:pt>
                <c:pt idx="12">
                  <c:v>5.4404145077720213E-2</c:v>
                </c:pt>
                <c:pt idx="13">
                  <c:v>6.0889929742388736E-2</c:v>
                </c:pt>
                <c:pt idx="14">
                  <c:v>7.6923076923076872E-2</c:v>
                </c:pt>
                <c:pt idx="15">
                  <c:v>6.3032367972742712E-2</c:v>
                </c:pt>
                <c:pt idx="16">
                  <c:v>7.7889447236180895E-2</c:v>
                </c:pt>
                <c:pt idx="17">
                  <c:v>8.5778781038374705E-2</c:v>
                </c:pt>
                <c:pt idx="18">
                  <c:v>5.7339449541284372E-2</c:v>
                </c:pt>
                <c:pt idx="19">
                  <c:v>8.2066869300911824E-2</c:v>
                </c:pt>
                <c:pt idx="20">
                  <c:v>7.1856287425149712E-2</c:v>
                </c:pt>
                <c:pt idx="21">
                  <c:v>5.8275058275058265E-2</c:v>
                </c:pt>
                <c:pt idx="22">
                  <c:v>3.4912718204488769E-2</c:v>
                </c:pt>
                <c:pt idx="23">
                  <c:v>3.1963470319634701E-2</c:v>
                </c:pt>
                <c:pt idx="24">
                  <c:v>3.614457831325301E-2</c:v>
                </c:pt>
                <c:pt idx="25">
                  <c:v>3.3994334277620393E-2</c:v>
                </c:pt>
                <c:pt idx="26">
                  <c:v>3.1578947368421047E-2</c:v>
                </c:pt>
                <c:pt idx="27">
                  <c:v>4.3902439024390234E-2</c:v>
                </c:pt>
                <c:pt idx="28">
                  <c:v>4.3670761475083815E-2</c:v>
                </c:pt>
                <c:pt idx="29">
                  <c:v>4.428904428904433E-2</c:v>
                </c:pt>
                <c:pt idx="30">
                  <c:v>5.8943089430894394E-2</c:v>
                </c:pt>
                <c:pt idx="31">
                  <c:v>3.4261241970021464E-2</c:v>
                </c:pt>
                <c:pt idx="32">
                  <c:v>4.9180327868852527E-2</c:v>
                </c:pt>
                <c:pt idx="33">
                  <c:v>3.8387715930902157E-2</c:v>
                </c:pt>
                <c:pt idx="34">
                  <c:v>5.5793991416309086E-2</c:v>
                </c:pt>
                <c:pt idx="35">
                  <c:v>2.3809523809523846E-2</c:v>
                </c:pt>
                <c:pt idx="36">
                  <c:v>5.1612903225806521E-2</c:v>
                </c:pt>
                <c:pt idx="37">
                  <c:v>5.8394160583941673E-2</c:v>
                </c:pt>
                <c:pt idx="38">
                  <c:v>3.5714285714285754E-2</c:v>
                </c:pt>
                <c:pt idx="39">
                  <c:v>5.6053811659192904E-2</c:v>
                </c:pt>
                <c:pt idx="40">
                  <c:v>3.5714285714285768E-2</c:v>
                </c:pt>
                <c:pt idx="41">
                  <c:v>5.6470588235294182E-2</c:v>
                </c:pt>
                <c:pt idx="42">
                  <c:v>4.2755344418052288E-2</c:v>
                </c:pt>
                <c:pt idx="43">
                  <c:v>4.0920716112532014E-2</c:v>
                </c:pt>
                <c:pt idx="44">
                  <c:v>3.0952380952380999E-2</c:v>
                </c:pt>
                <c:pt idx="45">
                  <c:v>5.5072463768115976E-2</c:v>
                </c:pt>
                <c:pt idx="46">
                  <c:v>5.1351351351351396E-2</c:v>
                </c:pt>
                <c:pt idx="47">
                  <c:v>4.3887147335423204E-2</c:v>
                </c:pt>
                <c:pt idx="48">
                  <c:v>4.4673539518900338E-2</c:v>
                </c:pt>
                <c:pt idx="49">
                  <c:v>4.362416107382551E-2</c:v>
                </c:pt>
                <c:pt idx="50">
                  <c:v>3.7735849056603786E-2</c:v>
                </c:pt>
                <c:pt idx="51">
                  <c:v>2.9535864978902957E-2</c:v>
                </c:pt>
                <c:pt idx="52">
                  <c:v>3.9370078740157473E-2</c:v>
                </c:pt>
                <c:pt idx="53">
                  <c:v>3.4722222222222231E-2</c:v>
                </c:pt>
                <c:pt idx="54">
                  <c:v>5.8333333333333341E-2</c:v>
                </c:pt>
                <c:pt idx="55">
                  <c:v>4.0268456375838937E-2</c:v>
                </c:pt>
                <c:pt idx="56">
                  <c:v>4.6875000000000028E-2</c:v>
                </c:pt>
                <c:pt idx="57">
                  <c:v>6.8965517241379323E-2</c:v>
                </c:pt>
                <c:pt idx="58">
                  <c:v>5.2000000000000005E-2</c:v>
                </c:pt>
                <c:pt idx="59">
                  <c:v>5.058365758754866E-2</c:v>
                </c:pt>
                <c:pt idx="60">
                  <c:v>9.2233009708737865E-2</c:v>
                </c:pt>
                <c:pt idx="61">
                  <c:v>3.3333333333333333E-2</c:v>
                </c:pt>
                <c:pt idx="62">
                  <c:v>5.119453924914677E-2</c:v>
                </c:pt>
                <c:pt idx="63">
                  <c:v>5.7432432432432449E-2</c:v>
                </c:pt>
                <c:pt idx="64">
                  <c:v>5.0847457627118647E-2</c:v>
                </c:pt>
                <c:pt idx="65">
                  <c:v>4.4176706827309252E-2</c:v>
                </c:pt>
                <c:pt idx="66">
                  <c:v>7.8034682080924886E-2</c:v>
                </c:pt>
                <c:pt idx="67">
                  <c:v>5.5555555555555566E-2</c:v>
                </c:pt>
                <c:pt idx="68">
                  <c:v>6.8111455108359142E-2</c:v>
                </c:pt>
                <c:pt idx="69">
                  <c:v>5.5921052631578989E-2</c:v>
                </c:pt>
                <c:pt idx="70">
                  <c:v>5.7347670250896071E-2</c:v>
                </c:pt>
                <c:pt idx="71">
                  <c:v>5.4054054054054043E-2</c:v>
                </c:pt>
                <c:pt idx="72">
                  <c:v>5.3140096618357488E-2</c:v>
                </c:pt>
                <c:pt idx="73">
                  <c:v>4.5977011494252873E-2</c:v>
                </c:pt>
                <c:pt idx="74">
                  <c:v>4.0816326530612249E-2</c:v>
                </c:pt>
                <c:pt idx="75">
                  <c:v>3.5897435897435895E-2</c:v>
                </c:pt>
                <c:pt idx="76">
                  <c:v>3.6734693877551024E-2</c:v>
                </c:pt>
                <c:pt idx="77">
                  <c:v>3.4632034632034639E-2</c:v>
                </c:pt>
                <c:pt idx="78">
                  <c:v>4.301075268817204E-2</c:v>
                </c:pt>
                <c:pt idx="79">
                  <c:v>6.5217391304347824E-2</c:v>
                </c:pt>
                <c:pt idx="80">
                  <c:v>5.4187192118226597E-2</c:v>
                </c:pt>
                <c:pt idx="81">
                  <c:v>6.0109289617486336E-2</c:v>
                </c:pt>
                <c:pt idx="82">
                  <c:v>5.612244897959183E-2</c:v>
                </c:pt>
                <c:pt idx="83">
                  <c:v>3.608247422680412E-2</c:v>
                </c:pt>
                <c:pt idx="84">
                  <c:v>3.8095238095238092E-2</c:v>
                </c:pt>
                <c:pt idx="85">
                  <c:v>5.7268722466960353E-2</c:v>
                </c:pt>
                <c:pt idx="86">
                  <c:v>3.8461538461538457E-2</c:v>
                </c:pt>
                <c:pt idx="87">
                  <c:v>4.4999999999999998E-2</c:v>
                </c:pt>
                <c:pt idx="88">
                  <c:v>4.4117647058823532E-2</c:v>
                </c:pt>
                <c:pt idx="89">
                  <c:v>4.3478260869565237E-2</c:v>
                </c:pt>
                <c:pt idx="90">
                  <c:v>6.4039408866995065E-2</c:v>
                </c:pt>
                <c:pt idx="91">
                  <c:v>3.4653465346534656E-2</c:v>
                </c:pt>
                <c:pt idx="92">
                  <c:v>5.076142131979694E-2</c:v>
                </c:pt>
                <c:pt idx="93">
                  <c:v>6.3725490196078441E-2</c:v>
                </c:pt>
                <c:pt idx="94">
                  <c:v>4.9019607843137261E-2</c:v>
                </c:pt>
                <c:pt idx="95">
                  <c:v>4.0697674418604654E-2</c:v>
                </c:pt>
                <c:pt idx="96">
                  <c:v>4.8648648648648637E-2</c:v>
                </c:pt>
                <c:pt idx="97">
                  <c:v>5.8139534883720929E-2</c:v>
                </c:pt>
                <c:pt idx="98">
                  <c:v>8.3333333333333315E-2</c:v>
                </c:pt>
                <c:pt idx="99">
                  <c:v>6.2827225130890063E-2</c:v>
                </c:pt>
                <c:pt idx="100">
                  <c:v>0.11688311688311687</c:v>
                </c:pt>
                <c:pt idx="101">
                  <c:v>6.8750000000000006E-2</c:v>
                </c:pt>
                <c:pt idx="102">
                  <c:v>3.1249999999999993E-2</c:v>
                </c:pt>
                <c:pt idx="103">
                  <c:v>3.7593984962406013E-2</c:v>
                </c:pt>
                <c:pt idx="104">
                  <c:v>4.2682926829268289E-2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8-467C-A761-4A21A75164B2}"/>
            </c:ext>
          </c:extLst>
        </c:ser>
        <c:ser>
          <c:idx val="1"/>
          <c:order val="1"/>
          <c:tx>
            <c:strRef>
              <c:f>'Averages Graph Data'!$CO$4</c:f>
              <c:strCache>
                <c:ptCount val="1"/>
                <c:pt idx="0">
                  <c:v>Average Proportion Over £25k - 4 Week Avg (Boom Annual Up Front)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Data'!$CO$5:$CO$109</c:f>
              <c:numCache>
                <c:formatCode>0.0%</c:formatCode>
                <c:ptCount val="105"/>
                <c:pt idx="3">
                  <c:v>0.10568214811156483</c:v>
                </c:pt>
                <c:pt idx="4">
                  <c:v>0.10853866316320182</c:v>
                </c:pt>
                <c:pt idx="5">
                  <c:v>0.11785995924920381</c:v>
                </c:pt>
                <c:pt idx="6">
                  <c:v>0.11241108548482202</c:v>
                </c:pt>
                <c:pt idx="7">
                  <c:v>0.10605686822725363</c:v>
                </c:pt>
                <c:pt idx="8">
                  <c:v>9.6819783040801355E-2</c:v>
                </c:pt>
                <c:pt idx="9">
                  <c:v>8.7715942358013305E-2</c:v>
                </c:pt>
                <c:pt idx="10">
                  <c:v>7.8190365565782211E-2</c:v>
                </c:pt>
                <c:pt idx="11">
                  <c:v>7.4432629049424992E-2</c:v>
                </c:pt>
                <c:pt idx="12">
                  <c:v>6.7991471226028041E-2</c:v>
                </c:pt>
                <c:pt idx="13">
                  <c:v>6.3038515065133999E-2</c:v>
                </c:pt>
                <c:pt idx="14">
                  <c:v>6.7285057166565687E-2</c:v>
                </c:pt>
                <c:pt idx="15">
                  <c:v>6.381237992898213E-2</c:v>
                </c:pt>
                <c:pt idx="16">
                  <c:v>6.9683705468597312E-2</c:v>
                </c:pt>
                <c:pt idx="17">
                  <c:v>7.5905918292593799E-2</c:v>
                </c:pt>
                <c:pt idx="18">
                  <c:v>7.1010011447145679E-2</c:v>
                </c:pt>
                <c:pt idx="19">
                  <c:v>7.5768636779187951E-2</c:v>
                </c:pt>
                <c:pt idx="20">
                  <c:v>7.4260346826430151E-2</c:v>
                </c:pt>
                <c:pt idx="21">
                  <c:v>6.7384416135601047E-2</c:v>
                </c:pt>
                <c:pt idx="22">
                  <c:v>6.1777733301402148E-2</c:v>
                </c:pt>
                <c:pt idx="23">
                  <c:v>4.9251883556082864E-2</c:v>
                </c:pt>
                <c:pt idx="24">
                  <c:v>4.032395627810869E-2</c:v>
                </c:pt>
                <c:pt idx="25">
                  <c:v>3.4253775278749218E-2</c:v>
                </c:pt>
                <c:pt idx="26">
                  <c:v>3.3420332569732286E-2</c:v>
                </c:pt>
                <c:pt idx="27">
                  <c:v>3.6405074745921168E-2</c:v>
                </c:pt>
                <c:pt idx="28">
                  <c:v>3.8286620536378872E-2</c:v>
                </c:pt>
                <c:pt idx="29">
                  <c:v>4.0860298039234855E-2</c:v>
                </c:pt>
                <c:pt idx="30">
                  <c:v>4.770133355485319E-2</c:v>
                </c:pt>
                <c:pt idx="31">
                  <c:v>4.5291034291260995E-2</c:v>
                </c:pt>
                <c:pt idx="32">
                  <c:v>4.6668425889703172E-2</c:v>
                </c:pt>
                <c:pt idx="33">
                  <c:v>4.5193093800167637E-2</c:v>
                </c:pt>
                <c:pt idx="34">
                  <c:v>4.4405819296521307E-2</c:v>
                </c:pt>
                <c:pt idx="35">
                  <c:v>4.1792889756396903E-2</c:v>
                </c:pt>
                <c:pt idx="36">
                  <c:v>4.24010335956354E-2</c:v>
                </c:pt>
                <c:pt idx="37">
                  <c:v>4.7402644758895281E-2</c:v>
                </c:pt>
                <c:pt idx="38">
                  <c:v>4.2382718333389448E-2</c:v>
                </c:pt>
                <c:pt idx="39">
                  <c:v>5.0443790295806715E-2</c:v>
                </c:pt>
                <c:pt idx="40">
                  <c:v>4.6469135917926521E-2</c:v>
                </c:pt>
                <c:pt idx="41">
                  <c:v>4.5988242830764657E-2</c:v>
                </c:pt>
                <c:pt idx="42">
                  <c:v>4.7748507506706284E-2</c:v>
                </c:pt>
                <c:pt idx="43">
                  <c:v>4.396523362004106E-2</c:v>
                </c:pt>
                <c:pt idx="44">
                  <c:v>4.2774757429564873E-2</c:v>
                </c:pt>
                <c:pt idx="45">
                  <c:v>4.242522631277032E-2</c:v>
                </c:pt>
                <c:pt idx="46">
                  <c:v>4.4574228046095093E-2</c:v>
                </c:pt>
                <c:pt idx="47">
                  <c:v>4.5315835851817893E-2</c:v>
                </c:pt>
                <c:pt idx="48">
                  <c:v>4.8746125493447728E-2</c:v>
                </c:pt>
                <c:pt idx="49">
                  <c:v>4.5884049819875108E-2</c:v>
                </c:pt>
                <c:pt idx="50">
                  <c:v>4.2480174246188211E-2</c:v>
                </c:pt>
                <c:pt idx="51">
                  <c:v>3.8892353657058149E-2</c:v>
                </c:pt>
                <c:pt idx="52">
                  <c:v>3.7566488462372427E-2</c:v>
                </c:pt>
                <c:pt idx="53">
                  <c:v>3.5341003749471613E-2</c:v>
                </c:pt>
                <c:pt idx="54">
                  <c:v>4.0490374818654001E-2</c:v>
                </c:pt>
                <c:pt idx="55">
                  <c:v>4.3173522667888001E-2</c:v>
                </c:pt>
                <c:pt idx="56">
                  <c:v>4.5049752982848634E-2</c:v>
                </c:pt>
                <c:pt idx="57">
                  <c:v>5.3610576737637902E-2</c:v>
                </c:pt>
                <c:pt idx="58">
                  <c:v>5.2027243404304577E-2</c:v>
                </c:pt>
                <c:pt idx="59">
                  <c:v>5.4606043707232002E-2</c:v>
                </c:pt>
                <c:pt idx="60">
                  <c:v>6.5945546134416458E-2</c:v>
                </c:pt>
                <c:pt idx="61">
                  <c:v>5.7037500157404969E-2</c:v>
                </c:pt>
                <c:pt idx="62">
                  <c:v>5.6836134969691657E-2</c:v>
                </c:pt>
                <c:pt idx="63">
                  <c:v>5.8548328680912608E-2</c:v>
                </c:pt>
                <c:pt idx="64">
                  <c:v>4.82019406605078E-2</c:v>
                </c:pt>
                <c:pt idx="65">
                  <c:v>5.0912784034001783E-2</c:v>
                </c:pt>
                <c:pt idx="66">
                  <c:v>5.7622819741946316E-2</c:v>
                </c:pt>
                <c:pt idx="67">
                  <c:v>5.7153600522727097E-2</c:v>
                </c:pt>
                <c:pt idx="68">
                  <c:v>6.1469599893037213E-2</c:v>
                </c:pt>
                <c:pt idx="69">
                  <c:v>6.4405686344104651E-2</c:v>
                </c:pt>
                <c:pt idx="70">
                  <c:v>5.9233933386597444E-2</c:v>
                </c:pt>
                <c:pt idx="71">
                  <c:v>5.8858558011222056E-2</c:v>
                </c:pt>
                <c:pt idx="72">
                  <c:v>5.5115718388721646E-2</c:v>
                </c:pt>
                <c:pt idx="73">
                  <c:v>5.2629708104390119E-2</c:v>
                </c:pt>
                <c:pt idx="74">
                  <c:v>4.8496872174319167E-2</c:v>
                </c:pt>
                <c:pt idx="75">
                  <c:v>4.3957717635164623E-2</c:v>
                </c:pt>
                <c:pt idx="76">
                  <c:v>3.9856366949963008E-2</c:v>
                </c:pt>
                <c:pt idx="77">
                  <c:v>3.7020122734408453E-2</c:v>
                </c:pt>
                <c:pt idx="78">
                  <c:v>3.7568729273798403E-2</c:v>
                </c:pt>
                <c:pt idx="79">
                  <c:v>4.4898718125526385E-2</c:v>
                </c:pt>
                <c:pt idx="80">
                  <c:v>4.9261842685695278E-2</c:v>
                </c:pt>
                <c:pt idx="81">
                  <c:v>5.5631156432058196E-2</c:v>
                </c:pt>
                <c:pt idx="82">
                  <c:v>5.8909080504913156E-2</c:v>
                </c:pt>
                <c:pt idx="83">
                  <c:v>5.1625351235527223E-2</c:v>
                </c:pt>
                <c:pt idx="84">
                  <c:v>4.76023627297801E-2</c:v>
                </c:pt>
                <c:pt idx="85">
                  <c:v>4.6892220942148601E-2</c:v>
                </c:pt>
                <c:pt idx="86">
                  <c:v>4.2476993312635256E-2</c:v>
                </c:pt>
                <c:pt idx="87">
                  <c:v>4.4706374755934225E-2</c:v>
                </c:pt>
                <c:pt idx="88">
                  <c:v>4.6211976996830592E-2</c:v>
                </c:pt>
                <c:pt idx="89">
                  <c:v>4.2764361597481808E-2</c:v>
                </c:pt>
                <c:pt idx="90">
                  <c:v>4.9158829198845955E-2</c:v>
                </c:pt>
                <c:pt idx="91">
                  <c:v>4.6572195535479623E-2</c:v>
                </c:pt>
                <c:pt idx="92">
                  <c:v>4.8233139100722973E-2</c:v>
                </c:pt>
                <c:pt idx="93">
                  <c:v>5.3294946432351276E-2</c:v>
                </c:pt>
                <c:pt idx="94">
                  <c:v>4.9539996176386825E-2</c:v>
                </c:pt>
                <c:pt idx="95">
                  <c:v>5.1051048444404321E-2</c:v>
                </c:pt>
                <c:pt idx="96">
                  <c:v>5.0522855276617248E-2</c:v>
                </c:pt>
                <c:pt idx="97">
                  <c:v>4.9126366448527872E-2</c:v>
                </c:pt>
                <c:pt idx="98">
                  <c:v>5.7704797821076882E-2</c:v>
                </c:pt>
                <c:pt idx="99">
                  <c:v>6.3237185499148238E-2</c:v>
                </c:pt>
                <c:pt idx="100">
                  <c:v>8.0295802557765292E-2</c:v>
                </c:pt>
                <c:pt idx="101">
                  <c:v>8.2948418836835069E-2</c:v>
                </c:pt>
                <c:pt idx="102">
                  <c:v>6.9927585503501727E-2</c:v>
                </c:pt>
                <c:pt idx="103">
                  <c:v>6.3619275461380714E-2</c:v>
                </c:pt>
                <c:pt idx="104">
                  <c:v>4.506922794791858E-2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8-467C-A761-4A21A7516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Proportion Vehicle Value Over £25k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Data'!$CR$4</c:f>
              <c:strCache>
                <c:ptCount val="1"/>
                <c:pt idx="0">
                  <c:v>Average Proportion Over £25k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Data'!$CR$5:$CR$109</c:f>
              <c:numCache>
                <c:formatCode>0.0%</c:formatCode>
                <c:ptCount val="105"/>
                <c:pt idx="0">
                  <c:v>9.518773135906905E-2</c:v>
                </c:pt>
                <c:pt idx="1">
                  <c:v>0.1043326693227089</c:v>
                </c:pt>
                <c:pt idx="2">
                  <c:v>9.9083949534771371E-2</c:v>
                </c:pt>
                <c:pt idx="3">
                  <c:v>9.7945022684814517E-2</c:v>
                </c:pt>
                <c:pt idx="4">
                  <c:v>8.3908656399362722E-2</c:v>
                </c:pt>
                <c:pt idx="5">
                  <c:v>9.0113285272914498E-2</c:v>
                </c:pt>
                <c:pt idx="6">
                  <c:v>9.1925465838509302E-2</c:v>
                </c:pt>
                <c:pt idx="7">
                  <c:v>7.7891400094383959E-2</c:v>
                </c:pt>
                <c:pt idx="8">
                  <c:v>7.3992874760207938E-2</c:v>
                </c:pt>
                <c:pt idx="9">
                  <c:v>7.1532846715328169E-2</c:v>
                </c:pt>
                <c:pt idx="10">
                  <c:v>7.2996183206106582E-2</c:v>
                </c:pt>
                <c:pt idx="11">
                  <c:v>6.2942522338868739E-2</c:v>
                </c:pt>
                <c:pt idx="12">
                  <c:v>6.1140956766436425E-2</c:v>
                </c:pt>
                <c:pt idx="13">
                  <c:v>5.5072463768115934E-2</c:v>
                </c:pt>
                <c:pt idx="14">
                  <c:v>6.0898189513284726E-2</c:v>
                </c:pt>
                <c:pt idx="15">
                  <c:v>5.1272521104408275E-2</c:v>
                </c:pt>
                <c:pt idx="16">
                  <c:v>5.5569155446756217E-2</c:v>
                </c:pt>
                <c:pt idx="17">
                  <c:v>4.7204399633363675E-2</c:v>
                </c:pt>
                <c:pt idx="18">
                  <c:v>5.0737594993294347E-2</c:v>
                </c:pt>
                <c:pt idx="19">
                  <c:v>5.0456720313179437E-2</c:v>
                </c:pt>
                <c:pt idx="20">
                  <c:v>4.513519267617612E-2</c:v>
                </c:pt>
                <c:pt idx="21">
                  <c:v>4.6258503401360382E-2</c:v>
                </c:pt>
                <c:pt idx="22">
                  <c:v>4.415584415584399E-2</c:v>
                </c:pt>
                <c:pt idx="23">
                  <c:v>5.162438807298602E-2</c:v>
                </c:pt>
                <c:pt idx="24">
                  <c:v>4.7073470885454584E-2</c:v>
                </c:pt>
                <c:pt idx="25">
                  <c:v>4.4606854838709457E-2</c:v>
                </c:pt>
                <c:pt idx="26">
                  <c:v>4.3153720550501408E-2</c:v>
                </c:pt>
                <c:pt idx="27">
                  <c:v>4.7187797902764353E-2</c:v>
                </c:pt>
                <c:pt idx="28">
                  <c:v>4.7538688093344397E-2</c:v>
                </c:pt>
                <c:pt idx="29">
                  <c:v>4.7068771138669759E-2</c:v>
                </c:pt>
                <c:pt idx="30">
                  <c:v>4.3176972281449906E-2</c:v>
                </c:pt>
                <c:pt idx="31">
                  <c:v>4.3753294675803911E-2</c:v>
                </c:pt>
                <c:pt idx="32">
                  <c:v>4.9679039910689504E-2</c:v>
                </c:pt>
                <c:pt idx="33">
                  <c:v>4.188228466408548E-2</c:v>
                </c:pt>
                <c:pt idx="34">
                  <c:v>4.2236024844720221E-2</c:v>
                </c:pt>
                <c:pt idx="35">
                  <c:v>4.0645546921697265E-2</c:v>
                </c:pt>
                <c:pt idx="36">
                  <c:v>5.1306263770852685E-2</c:v>
                </c:pt>
                <c:pt idx="37">
                  <c:v>4.6363074386991977E-2</c:v>
                </c:pt>
                <c:pt idx="38">
                  <c:v>4.2396636299930103E-2</c:v>
                </c:pt>
                <c:pt idx="39">
                  <c:v>3.9310344827586371E-2</c:v>
                </c:pt>
                <c:pt idx="40">
                  <c:v>4.9303322615219913E-2</c:v>
                </c:pt>
                <c:pt idx="41">
                  <c:v>5.0000000000000183E-2</c:v>
                </c:pt>
                <c:pt idx="42">
                  <c:v>4.4676098287415901E-2</c:v>
                </c:pt>
                <c:pt idx="43">
                  <c:v>3.5589941972920452E-2</c:v>
                </c:pt>
                <c:pt idx="44">
                  <c:v>3.9296416938118223E-2</c:v>
                </c:pt>
                <c:pt idx="45">
                  <c:v>5.3952321204516568E-2</c:v>
                </c:pt>
                <c:pt idx="46">
                  <c:v>4.0651801029611037E-2</c:v>
                </c:pt>
                <c:pt idx="47">
                  <c:v>4.0000000000000174E-2</c:v>
                </c:pt>
                <c:pt idx="48">
                  <c:v>3.6160137752905892E-2</c:v>
                </c:pt>
                <c:pt idx="49">
                  <c:v>5.537459283387644E-2</c:v>
                </c:pt>
                <c:pt idx="50">
                  <c:v>4.2727272727272836E-2</c:v>
                </c:pt>
                <c:pt idx="51">
                  <c:v>3.6036036036036112E-2</c:v>
                </c:pt>
                <c:pt idx="52">
                  <c:v>3.4515819750719205E-2</c:v>
                </c:pt>
                <c:pt idx="53">
                  <c:v>4.7034764826175988E-2</c:v>
                </c:pt>
                <c:pt idx="54">
                  <c:v>4.7774158523344282E-2</c:v>
                </c:pt>
                <c:pt idx="55">
                  <c:v>3.8851282050594529E-2</c:v>
                </c:pt>
                <c:pt idx="56">
                  <c:v>2.8258362168396601E-2</c:v>
                </c:pt>
                <c:pt idx="57">
                  <c:v>3.6556603773584717E-2</c:v>
                </c:pt>
                <c:pt idx="58">
                  <c:v>4.6791443850267095E-2</c:v>
                </c:pt>
                <c:pt idx="59">
                  <c:v>3.3894073819210432E-2</c:v>
                </c:pt>
                <c:pt idx="60">
                  <c:v>3.0913012221423435E-2</c:v>
                </c:pt>
                <c:pt idx="61">
                  <c:v>2.7529761904761908E-2</c:v>
                </c:pt>
                <c:pt idx="62">
                  <c:v>5.0170068027210891E-2</c:v>
                </c:pt>
                <c:pt idx="63">
                  <c:v>3.354324636886688E-2</c:v>
                </c:pt>
                <c:pt idx="64">
                  <c:v>2.6406429391504005E-2</c:v>
                </c:pt>
                <c:pt idx="65">
                  <c:v>2.561247216035634E-2</c:v>
                </c:pt>
                <c:pt idx="66">
                  <c:v>2.8014616321559049E-2</c:v>
                </c:pt>
                <c:pt idx="67">
                  <c:v>4.1739130434782598E-2</c:v>
                </c:pt>
                <c:pt idx="68">
                  <c:v>3.3234321583665627E-2</c:v>
                </c:pt>
                <c:pt idx="69">
                  <c:v>1.9531250000000014E-2</c:v>
                </c:pt>
                <c:pt idx="70">
                  <c:v>2.1732831063291314E-2</c:v>
                </c:pt>
                <c:pt idx="71">
                  <c:v>4.2071197411003243E-2</c:v>
                </c:pt>
                <c:pt idx="72">
                  <c:v>2.5125628140703515E-2</c:v>
                </c:pt>
                <c:pt idx="73">
                  <c:v>2.3255813953488372E-2</c:v>
                </c:pt>
                <c:pt idx="74">
                  <c:v>4.4444444444444446E-2</c:v>
                </c:pt>
                <c:pt idx="75">
                  <c:v>5.8823529411764698E-2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5-40CC-98E4-1C4F0F13A3AF}"/>
            </c:ext>
          </c:extLst>
        </c:ser>
        <c:ser>
          <c:idx val="1"/>
          <c:order val="1"/>
          <c:tx>
            <c:strRef>
              <c:f>'Averages Graph Data'!$CS$4</c:f>
              <c:strCache>
                <c:ptCount val="1"/>
                <c:pt idx="0">
                  <c:v>Average Proportion Over £25k - 4 Week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Data'!$CS$5:$CS$109</c:f>
              <c:numCache>
                <c:formatCode>0.0%</c:formatCode>
                <c:ptCount val="105"/>
                <c:pt idx="6">
                  <c:v>9.464239720173577E-2</c:v>
                </c:pt>
                <c:pt idx="7">
                  <c:v>9.217149273535219E-2</c:v>
                </c:pt>
                <c:pt idx="8">
                  <c:v>8.7837236369280633E-2</c:v>
                </c:pt>
                <c:pt idx="9">
                  <c:v>8.3901364537931594E-2</c:v>
                </c:pt>
                <c:pt idx="10">
                  <c:v>8.0337244612401881E-2</c:v>
                </c:pt>
                <c:pt idx="11">
                  <c:v>7.7342082603759882E-2</c:v>
                </c:pt>
                <c:pt idx="12">
                  <c:v>7.3203178531405871E-2</c:v>
                </c:pt>
                <c:pt idx="13">
                  <c:v>6.7938463949921105E-2</c:v>
                </c:pt>
                <c:pt idx="14">
                  <c:v>6.551086243833551E-2</c:v>
                </c:pt>
                <c:pt idx="15">
                  <c:v>6.226509763036412E-2</c:v>
                </c:pt>
                <c:pt idx="16">
                  <c:v>5.9984570306282417E-2</c:v>
                </c:pt>
                <c:pt idx="17">
                  <c:v>5.6300029795890563E-2</c:v>
                </c:pt>
                <c:pt idx="18">
                  <c:v>5.4556468746522806E-2</c:v>
                </c:pt>
                <c:pt idx="19">
                  <c:v>5.3030149253200369E-2</c:v>
                </c:pt>
                <c:pt idx="20">
                  <c:v>5.1610539097208967E-2</c:v>
                </c:pt>
                <c:pt idx="21">
                  <c:v>4.9519155366934069E-2</c:v>
                </c:pt>
                <c:pt idx="22">
                  <c:v>4.8502487231424883E-2</c:v>
                </c:pt>
                <c:pt idx="23">
                  <c:v>4.7938949035171999E-2</c:v>
                </c:pt>
                <c:pt idx="24">
                  <c:v>4.7920244928327846E-2</c:v>
                </c:pt>
                <c:pt idx="25">
                  <c:v>4.7044424906244289E-2</c:v>
                </c:pt>
                <c:pt idx="26">
                  <c:v>4.6001139225861708E-2</c:v>
                </c:pt>
                <c:pt idx="27">
                  <c:v>4.6294368543945745E-2</c:v>
                </c:pt>
                <c:pt idx="28">
                  <c:v>4.647725207137203E-2</c:v>
                </c:pt>
                <c:pt idx="29">
                  <c:v>4.689338449748999E-2</c:v>
                </c:pt>
                <c:pt idx="30">
                  <c:v>4.5686610812984828E-2</c:v>
                </c:pt>
                <c:pt idx="31">
                  <c:v>4.5212299925891881E-2</c:v>
                </c:pt>
                <c:pt idx="32">
                  <c:v>4.5936897793317603E-2</c:v>
                </c:pt>
                <c:pt idx="33">
                  <c:v>4.5755264095258194E-2</c:v>
                </c:pt>
                <c:pt idx="34">
                  <c:v>4.5047867944109025E-2</c:v>
                </c:pt>
                <c:pt idx="35">
                  <c:v>4.4063133491016579E-2</c:v>
                </c:pt>
                <c:pt idx="36">
                  <c:v>4.4668489581328422E-2</c:v>
                </c:pt>
                <c:pt idx="37">
                  <c:v>4.5123647024977294E-2</c:v>
                </c:pt>
                <c:pt idx="38">
                  <c:v>4.4929838685566756E-2</c:v>
                </c:pt>
                <c:pt idx="39">
                  <c:v>4.3448596530837727E-2</c:v>
                </c:pt>
                <c:pt idx="40">
                  <c:v>4.4508744809571218E-2</c:v>
                </c:pt>
                <c:pt idx="41">
                  <c:v>4.5617884117468352E-2</c:v>
                </c:pt>
                <c:pt idx="42">
                  <c:v>4.6193677169713884E-2</c:v>
                </c:pt>
                <c:pt idx="43">
                  <c:v>4.3948488341437844E-2</c:v>
                </c:pt>
                <c:pt idx="44">
                  <c:v>4.2938965848741587E-2</c:v>
                </c:pt>
                <c:pt idx="45">
                  <c:v>4.4589777977968224E-2</c:v>
                </c:pt>
                <c:pt idx="46">
                  <c:v>4.4781414578257468E-2</c:v>
                </c:pt>
                <c:pt idx="47">
                  <c:v>4.3452368490368931E-2</c:v>
                </c:pt>
                <c:pt idx="48">
                  <c:v>4.1475245312212604E-2</c:v>
                </c:pt>
                <c:pt idx="49">
                  <c:v>4.3003601675992688E-2</c:v>
                </c:pt>
                <c:pt idx="50">
                  <c:v>4.4023220355185876E-2</c:v>
                </c:pt>
                <c:pt idx="51">
                  <c:v>4.3557451654888432E-2</c:v>
                </c:pt>
                <c:pt idx="52">
                  <c:v>4.0780808590060239E-2</c:v>
                </c:pt>
                <c:pt idx="53">
                  <c:v>4.1692660560998088E-2</c:v>
                </c:pt>
                <c:pt idx="54">
                  <c:v>4.2803254635761533E-2</c:v>
                </c:pt>
                <c:pt idx="55">
                  <c:v>4.3187703821145625E-2</c:v>
                </c:pt>
                <c:pt idx="56">
                  <c:v>3.9313956583219942E-2</c:v>
                </c:pt>
                <c:pt idx="57">
                  <c:v>3.8432432446978783E-2</c:v>
                </c:pt>
                <c:pt idx="58">
                  <c:v>3.9968919277583205E-2</c:v>
                </c:pt>
                <c:pt idx="59">
                  <c:v>3.988009843022481E-2</c:v>
                </c:pt>
                <c:pt idx="60">
                  <c:v>3.7576990915260157E-2</c:v>
                </c:pt>
                <c:pt idx="61">
                  <c:v>3.4684934255462672E-2</c:v>
                </c:pt>
                <c:pt idx="62">
                  <c:v>3.6301903680693581E-2</c:v>
                </c:pt>
                <c:pt idx="63">
                  <c:v>3.7056887137903623E-2</c:v>
                </c:pt>
                <c:pt idx="64">
                  <c:v>3.5606862226177809E-2</c:v>
                </c:pt>
                <c:pt idx="65">
                  <c:v>3.2581294841904841E-2</c:v>
                </c:pt>
                <c:pt idx="66">
                  <c:v>3.1741372342240358E-2</c:v>
                </c:pt>
                <c:pt idx="67">
                  <c:v>3.3287960658434528E-2</c:v>
                </c:pt>
                <c:pt idx="68">
                  <c:v>3.4102897755420768E-2</c:v>
                </c:pt>
                <c:pt idx="69">
                  <c:v>2.9725923751533496E-2</c:v>
                </c:pt>
                <c:pt idx="70">
                  <c:v>2.8038721565022708E-2</c:v>
                </c:pt>
                <c:pt idx="71">
                  <c:v>3.0276545567808313E-2</c:v>
                </c:pt>
                <c:pt idx="72">
                  <c:v>3.0206996422143622E-2</c:v>
                </c:pt>
                <c:pt idx="73">
                  <c:v>2.9527167512419239E-2</c:v>
                </c:pt>
                <c:pt idx="74">
                  <c:v>2.991364094237093E-2</c:v>
                </c:pt>
                <c:pt idx="75">
                  <c:v>3.3569242060670794E-2</c:v>
                </c:pt>
                <c:pt idx="76">
                  <c:v>3.0779063489242225E-2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5-40CC-98E4-1C4F0F13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0.1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 Value Over £25k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Data'!$AZ$4</c:f>
              <c:strCache>
                <c:ptCount val="1"/>
                <c:pt idx="0">
                  <c:v>Average NCD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Data'!$AZ$5:$AZ$109</c:f>
              <c:numCache>
                <c:formatCode>#,##0.0</c:formatCode>
                <c:ptCount val="105"/>
                <c:pt idx="0">
                  <c:v>5.1498154981874187</c:v>
                </c:pt>
                <c:pt idx="1">
                  <c:v>4.4876054979522122</c:v>
                </c:pt>
                <c:pt idx="2">
                  <c:v>5.0626501283667951</c:v>
                </c:pt>
                <c:pt idx="3">
                  <c:v>5.1512649671323629</c:v>
                </c:pt>
                <c:pt idx="4">
                  <c:v>4.8843537772404941</c:v>
                </c:pt>
                <c:pt idx="5">
                  <c:v>5.0629434180139885</c:v>
                </c:pt>
                <c:pt idx="6">
                  <c:v>5.1100400135232036</c:v>
                </c:pt>
                <c:pt idx="7">
                  <c:v>4.9315871092433685</c:v>
                </c:pt>
                <c:pt idx="8">
                  <c:v>5.1139686184826321</c:v>
                </c:pt>
                <c:pt idx="9">
                  <c:v>5.2322665787370557</c:v>
                </c:pt>
                <c:pt idx="10">
                  <c:v>5.1216532417233136</c:v>
                </c:pt>
                <c:pt idx="11">
                  <c:v>5.70203070035633</c:v>
                </c:pt>
                <c:pt idx="12">
                  <c:v>5.8892590391760731</c:v>
                </c:pt>
                <c:pt idx="13">
                  <c:v>6.052139245668628</c:v>
                </c:pt>
                <c:pt idx="14">
                  <c:v>5.8897297440735681</c:v>
                </c:pt>
                <c:pt idx="15">
                  <c:v>6.1677073418249435</c:v>
                </c:pt>
                <c:pt idx="16">
                  <c:v>6.3217459489172159</c:v>
                </c:pt>
                <c:pt idx="17">
                  <c:v>6.149223382390824</c:v>
                </c:pt>
                <c:pt idx="18">
                  <c:v>5.9851718026770531</c:v>
                </c:pt>
                <c:pt idx="19">
                  <c:v>5.7704486000640323</c:v>
                </c:pt>
                <c:pt idx="20">
                  <c:v>5.536945438040271</c:v>
                </c:pt>
                <c:pt idx="21">
                  <c:v>5.8162417572053862</c:v>
                </c:pt>
                <c:pt idx="22">
                  <c:v>5.8295404699894986</c:v>
                </c:pt>
                <c:pt idx="23">
                  <c:v>5.6496239073742558</c:v>
                </c:pt>
                <c:pt idx="24">
                  <c:v>5.3992847871582148</c:v>
                </c:pt>
                <c:pt idx="25">
                  <c:v>5.3769683320830728</c:v>
                </c:pt>
                <c:pt idx="26">
                  <c:v>5.0930878400315365</c:v>
                </c:pt>
                <c:pt idx="27">
                  <c:v>5.1175981374489581</c:v>
                </c:pt>
                <c:pt idx="28">
                  <c:v>5.1201571000999966</c:v>
                </c:pt>
                <c:pt idx="29">
                  <c:v>4.9858401079219217</c:v>
                </c:pt>
                <c:pt idx="30">
                  <c:v>5.3276284397857268</c:v>
                </c:pt>
                <c:pt idx="31">
                  <c:v>5.1593838584003562</c:v>
                </c:pt>
                <c:pt idx="32">
                  <c:v>5.2614675451046029</c:v>
                </c:pt>
                <c:pt idx="33">
                  <c:v>5.2272922648218252</c:v>
                </c:pt>
                <c:pt idx="34">
                  <c:v>5.1410440168532041</c:v>
                </c:pt>
                <c:pt idx="35">
                  <c:v>5.1225324786321966</c:v>
                </c:pt>
                <c:pt idx="36">
                  <c:v>4.8376167201798248</c:v>
                </c:pt>
                <c:pt idx="37">
                  <c:v>5.1996637754356403</c:v>
                </c:pt>
                <c:pt idx="38">
                  <c:v>4.8990704041712041</c:v>
                </c:pt>
                <c:pt idx="39">
                  <c:v>5.147922452130099</c:v>
                </c:pt>
                <c:pt idx="40">
                  <c:v>4.9476131357615927</c:v>
                </c:pt>
                <c:pt idx="41">
                  <c:v>5.050696945644499</c:v>
                </c:pt>
                <c:pt idx="42">
                  <c:v>5.206573039745181</c:v>
                </c:pt>
                <c:pt idx="43">
                  <c:v>5.0345321742752889</c:v>
                </c:pt>
                <c:pt idx="44">
                  <c:v>4.9979685017175042</c:v>
                </c:pt>
                <c:pt idx="45">
                  <c:v>4.9324781355183447</c:v>
                </c:pt>
                <c:pt idx="46">
                  <c:v>4.8063192179812422</c:v>
                </c:pt>
                <c:pt idx="47">
                  <c:v>5.0446767120681768</c:v>
                </c:pt>
                <c:pt idx="48">
                  <c:v>4.8384388158572831</c:v>
                </c:pt>
                <c:pt idx="49">
                  <c:v>5.0614923517157067</c:v>
                </c:pt>
                <c:pt idx="50">
                  <c:v>4.7363643749466835</c:v>
                </c:pt>
                <c:pt idx="51">
                  <c:v>5.0284444493702818</c:v>
                </c:pt>
                <c:pt idx="52">
                  <c:v>4.7222671246695924</c:v>
                </c:pt>
                <c:pt idx="53">
                  <c:v>4.7786685123185686</c:v>
                </c:pt>
                <c:pt idx="54">
                  <c:v>4.813475846159915</c:v>
                </c:pt>
                <c:pt idx="55">
                  <c:v>5.1029623186912554</c:v>
                </c:pt>
                <c:pt idx="56">
                  <c:v>4.9409709407496747</c:v>
                </c:pt>
                <c:pt idx="57">
                  <c:v>5.0880608741177609</c:v>
                </c:pt>
                <c:pt idx="58">
                  <c:v>4.5511969700342441</c:v>
                </c:pt>
                <c:pt idx="59">
                  <c:v>4.471738261560823</c:v>
                </c:pt>
                <c:pt idx="60">
                  <c:v>4.805163980091927</c:v>
                </c:pt>
                <c:pt idx="61">
                  <c:v>4.6581585095601588</c:v>
                </c:pt>
                <c:pt idx="62">
                  <c:v>4.7023651623263563</c:v>
                </c:pt>
                <c:pt idx="63">
                  <c:v>4.8910520778509703</c:v>
                </c:pt>
                <c:pt idx="64">
                  <c:v>4.7655726595659091</c:v>
                </c:pt>
                <c:pt idx="65">
                  <c:v>4.9103661778038896</c:v>
                </c:pt>
                <c:pt idx="66">
                  <c:v>4.8880606648119587</c:v>
                </c:pt>
                <c:pt idx="67">
                  <c:v>4.6803567596643738</c:v>
                </c:pt>
                <c:pt idx="68">
                  <c:v>4.8093717122723385</c:v>
                </c:pt>
                <c:pt idx="69">
                  <c:v>4.8113541934354505</c:v>
                </c:pt>
                <c:pt idx="70">
                  <c:v>4.5251695998403854</c:v>
                </c:pt>
                <c:pt idx="71">
                  <c:v>4.8648637319468095</c:v>
                </c:pt>
                <c:pt idx="72">
                  <c:v>4.3409663169837014</c:v>
                </c:pt>
                <c:pt idx="73">
                  <c:v>4.4678244384962946</c:v>
                </c:pt>
                <c:pt idx="74">
                  <c:v>4.5670013118955053</c:v>
                </c:pt>
                <c:pt idx="75">
                  <c:v>4.2980452629371113</c:v>
                </c:pt>
                <c:pt idx="76">
                  <c:v>4.3700888675087768</c:v>
                </c:pt>
                <c:pt idx="77">
                  <c:v>4.6245059288537531</c:v>
                </c:pt>
                <c:pt idx="78">
                  <c:v>4.6231884057971042</c:v>
                </c:pt>
                <c:pt idx="79">
                  <c:v>4.8471502590673623</c:v>
                </c:pt>
                <c:pt idx="80">
                  <c:v>4.6594871794871766</c:v>
                </c:pt>
                <c:pt idx="81">
                  <c:v>4.5449844881075459</c:v>
                </c:pt>
                <c:pt idx="82">
                  <c:v>4.665608465608468</c:v>
                </c:pt>
                <c:pt idx="83">
                  <c:v>4.7305751765893049</c:v>
                </c:pt>
                <c:pt idx="84">
                  <c:v>4.5250683682771156</c:v>
                </c:pt>
                <c:pt idx="85">
                  <c:v>4.524598558135164</c:v>
                </c:pt>
                <c:pt idx="86">
                  <c:v>4.2575150300601203</c:v>
                </c:pt>
                <c:pt idx="87">
                  <c:v>4.3767123287671224</c:v>
                </c:pt>
                <c:pt idx="88">
                  <c:v>4.6140350877192997</c:v>
                </c:pt>
                <c:pt idx="89">
                  <c:v>4.3868312757201622</c:v>
                </c:pt>
                <c:pt idx="90">
                  <c:v>4.4718981972428447</c:v>
                </c:pt>
                <c:pt idx="91">
                  <c:v>4.4299262381454172</c:v>
                </c:pt>
                <c:pt idx="92">
                  <c:v>4.4532130777903074</c:v>
                </c:pt>
                <c:pt idx="93">
                  <c:v>4.1771255060728745</c:v>
                </c:pt>
                <c:pt idx="94">
                  <c:v>4.3197969543147208</c:v>
                </c:pt>
                <c:pt idx="95">
                  <c:v>4.1702857142857148</c:v>
                </c:pt>
                <c:pt idx="96">
                  <c:v>4.2971639950678204</c:v>
                </c:pt>
                <c:pt idx="97">
                  <c:v>3.7455830388692601</c:v>
                </c:pt>
                <c:pt idx="98">
                  <c:v>3.5612968591691971</c:v>
                </c:pt>
                <c:pt idx="99">
                  <c:v>3.9472477064220195</c:v>
                </c:pt>
                <c:pt idx="100">
                  <c:v>3.8286099865047269</c:v>
                </c:pt>
                <c:pt idx="101">
                  <c:v>3.6666666666666701</c:v>
                </c:pt>
                <c:pt idx="102">
                  <c:v>3.5406698564593326</c:v>
                </c:pt>
                <c:pt idx="103">
                  <c:v>3.4951456310679654</c:v>
                </c:pt>
                <c:pt idx="104">
                  <c:v>3.5679676985195172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9-44BA-A899-23824F117D82}"/>
            </c:ext>
          </c:extLst>
        </c:ser>
        <c:ser>
          <c:idx val="1"/>
          <c:order val="1"/>
          <c:tx>
            <c:strRef>
              <c:f>'Averages Graph Data'!$BA$4</c:f>
              <c:strCache>
                <c:ptCount val="1"/>
                <c:pt idx="0">
                  <c:v>Average NCD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Data'!$BA$5:$BA$109</c:f>
              <c:numCache>
                <c:formatCode>#,##0</c:formatCode>
                <c:ptCount val="105"/>
                <c:pt idx="3">
                  <c:v>4.9628340229096972</c:v>
                </c:pt>
                <c:pt idx="4">
                  <c:v>4.8964685926729663</c:v>
                </c:pt>
                <c:pt idx="5">
                  <c:v>5.0403030726884097</c:v>
                </c:pt>
                <c:pt idx="6">
                  <c:v>5.052150543977513</c:v>
                </c:pt>
                <c:pt idx="7">
                  <c:v>4.9972310795052639</c:v>
                </c:pt>
                <c:pt idx="8">
                  <c:v>5.0546347898157986</c:v>
                </c:pt>
                <c:pt idx="9">
                  <c:v>5.0969655799965654</c:v>
                </c:pt>
                <c:pt idx="10">
                  <c:v>5.0998688870465925</c:v>
                </c:pt>
                <c:pt idx="11">
                  <c:v>5.2924797848248328</c:v>
                </c:pt>
                <c:pt idx="12">
                  <c:v>5.486302389998194</c:v>
                </c:pt>
                <c:pt idx="13">
                  <c:v>5.6912705567310855</c:v>
                </c:pt>
                <c:pt idx="14">
                  <c:v>5.8832896823186491</c:v>
                </c:pt>
                <c:pt idx="15">
                  <c:v>5.9997088426858038</c:v>
                </c:pt>
                <c:pt idx="16">
                  <c:v>6.1078305701210889</c:v>
                </c:pt>
                <c:pt idx="17">
                  <c:v>6.1321016043016385</c:v>
                </c:pt>
                <c:pt idx="18">
                  <c:v>6.1559621189525089</c:v>
                </c:pt>
                <c:pt idx="19">
                  <c:v>6.0566474335122811</c:v>
                </c:pt>
                <c:pt idx="20">
                  <c:v>5.8604473057930448</c:v>
                </c:pt>
                <c:pt idx="21">
                  <c:v>5.7772018994966858</c:v>
                </c:pt>
                <c:pt idx="22">
                  <c:v>5.738294066324797</c:v>
                </c:pt>
                <c:pt idx="23">
                  <c:v>5.7080878931523529</c:v>
                </c:pt>
                <c:pt idx="24">
                  <c:v>5.6736727304318393</c:v>
                </c:pt>
                <c:pt idx="25">
                  <c:v>5.5638543741512612</c:v>
                </c:pt>
                <c:pt idx="26">
                  <c:v>5.3797412166617704</c:v>
                </c:pt>
                <c:pt idx="27">
                  <c:v>5.246734774180446</c:v>
                </c:pt>
                <c:pt idx="28">
                  <c:v>5.1769528524158908</c:v>
                </c:pt>
                <c:pt idx="29">
                  <c:v>5.0791707963756032</c:v>
                </c:pt>
                <c:pt idx="30">
                  <c:v>5.1378059463141508</c:v>
                </c:pt>
                <c:pt idx="31">
                  <c:v>5.1482523765520005</c:v>
                </c:pt>
                <c:pt idx="32">
                  <c:v>5.1835799878031512</c:v>
                </c:pt>
                <c:pt idx="33">
                  <c:v>5.243943027028128</c:v>
                </c:pt>
                <c:pt idx="34">
                  <c:v>5.1972969212949973</c:v>
                </c:pt>
                <c:pt idx="35">
                  <c:v>5.1880840763529577</c:v>
                </c:pt>
                <c:pt idx="36">
                  <c:v>5.0821213701217625</c:v>
                </c:pt>
                <c:pt idx="37">
                  <c:v>5.0752142477752162</c:v>
                </c:pt>
                <c:pt idx="38">
                  <c:v>5.0147208446047165</c:v>
                </c:pt>
                <c:pt idx="39">
                  <c:v>5.0210683379791927</c:v>
                </c:pt>
                <c:pt idx="40">
                  <c:v>5.048567441874634</c:v>
                </c:pt>
                <c:pt idx="41">
                  <c:v>5.0113257344268485</c:v>
                </c:pt>
                <c:pt idx="42">
                  <c:v>5.0882013933203432</c:v>
                </c:pt>
                <c:pt idx="43">
                  <c:v>5.0598538238566402</c:v>
                </c:pt>
                <c:pt idx="44">
                  <c:v>5.0724426653456183</c:v>
                </c:pt>
                <c:pt idx="45">
                  <c:v>5.0428879628140795</c:v>
                </c:pt>
                <c:pt idx="46">
                  <c:v>4.9428245073730945</c:v>
                </c:pt>
                <c:pt idx="47">
                  <c:v>4.945360641821317</c:v>
                </c:pt>
                <c:pt idx="48">
                  <c:v>4.9054782203562617</c:v>
                </c:pt>
                <c:pt idx="49">
                  <c:v>4.9377317744056022</c:v>
                </c:pt>
                <c:pt idx="50">
                  <c:v>4.9202430636469625</c:v>
                </c:pt>
                <c:pt idx="51">
                  <c:v>4.916184997972489</c:v>
                </c:pt>
                <c:pt idx="52">
                  <c:v>4.8871420751755661</c:v>
                </c:pt>
                <c:pt idx="53">
                  <c:v>4.8164361153262814</c:v>
                </c:pt>
                <c:pt idx="54">
                  <c:v>4.8357139831295894</c:v>
                </c:pt>
                <c:pt idx="55">
                  <c:v>4.8543434504598322</c:v>
                </c:pt>
                <c:pt idx="56">
                  <c:v>4.9090194044798539</c:v>
                </c:pt>
                <c:pt idx="57">
                  <c:v>4.9863674949296515</c:v>
                </c:pt>
                <c:pt idx="58">
                  <c:v>4.920797775898234</c:v>
                </c:pt>
                <c:pt idx="59">
                  <c:v>4.7629917616156252</c:v>
                </c:pt>
                <c:pt idx="60">
                  <c:v>4.7290400214511887</c:v>
                </c:pt>
                <c:pt idx="61">
                  <c:v>4.6215644303117882</c:v>
                </c:pt>
                <c:pt idx="62">
                  <c:v>4.659356478384816</c:v>
                </c:pt>
                <c:pt idx="63">
                  <c:v>4.7641849324573524</c:v>
                </c:pt>
                <c:pt idx="64">
                  <c:v>4.7542871023258488</c:v>
                </c:pt>
                <c:pt idx="65">
                  <c:v>4.8173390193867816</c:v>
                </c:pt>
                <c:pt idx="66">
                  <c:v>4.8637628950081826</c:v>
                </c:pt>
                <c:pt idx="67">
                  <c:v>4.811089065461533</c:v>
                </c:pt>
                <c:pt idx="68">
                  <c:v>4.8220388286381404</c:v>
                </c:pt>
                <c:pt idx="69">
                  <c:v>4.7972858325460308</c:v>
                </c:pt>
                <c:pt idx="70">
                  <c:v>4.7065630663031364</c:v>
                </c:pt>
                <c:pt idx="71">
                  <c:v>4.752689809373746</c:v>
                </c:pt>
                <c:pt idx="72">
                  <c:v>4.6355884605515865</c:v>
                </c:pt>
                <c:pt idx="73">
                  <c:v>4.5497060218167977</c:v>
                </c:pt>
                <c:pt idx="74">
                  <c:v>4.5601639498305779</c:v>
                </c:pt>
                <c:pt idx="75">
                  <c:v>4.4184593325781538</c:v>
                </c:pt>
                <c:pt idx="76">
                  <c:v>4.4257399702094222</c:v>
                </c:pt>
                <c:pt idx="77">
                  <c:v>4.4649103427987864</c:v>
                </c:pt>
                <c:pt idx="78">
                  <c:v>4.478957116274187</c:v>
                </c:pt>
                <c:pt idx="79">
                  <c:v>4.6162333653067495</c:v>
                </c:pt>
                <c:pt idx="80">
                  <c:v>4.6885829433013493</c:v>
                </c:pt>
                <c:pt idx="81">
                  <c:v>4.668702583114797</c:v>
                </c:pt>
                <c:pt idx="82">
                  <c:v>4.6793075980676377</c:v>
                </c:pt>
                <c:pt idx="83">
                  <c:v>4.6501638274481234</c:v>
                </c:pt>
                <c:pt idx="84">
                  <c:v>4.6165591246456081</c:v>
                </c:pt>
                <c:pt idx="85">
                  <c:v>4.6114626421525129</c:v>
                </c:pt>
                <c:pt idx="86">
                  <c:v>4.5094392832654258</c:v>
                </c:pt>
                <c:pt idx="87">
                  <c:v>4.4209735713098803</c:v>
                </c:pt>
                <c:pt idx="88">
                  <c:v>4.443215251170427</c:v>
                </c:pt>
                <c:pt idx="89">
                  <c:v>4.4087734305666757</c:v>
                </c:pt>
                <c:pt idx="90">
                  <c:v>4.4623692223623568</c:v>
                </c:pt>
                <c:pt idx="91">
                  <c:v>4.4756726997069309</c:v>
                </c:pt>
                <c:pt idx="92">
                  <c:v>4.435467197224682</c:v>
                </c:pt>
                <c:pt idx="93">
                  <c:v>4.3830407548128605</c:v>
                </c:pt>
                <c:pt idx="94">
                  <c:v>4.34501544408083</c:v>
                </c:pt>
                <c:pt idx="95">
                  <c:v>4.2801053131159046</c:v>
                </c:pt>
                <c:pt idx="96">
                  <c:v>4.2410930424352822</c:v>
                </c:pt>
                <c:pt idx="97">
                  <c:v>4.1332074256343789</c:v>
                </c:pt>
                <c:pt idx="98">
                  <c:v>3.9435824018479977</c:v>
                </c:pt>
                <c:pt idx="99">
                  <c:v>3.8878228998820745</c:v>
                </c:pt>
                <c:pt idx="100">
                  <c:v>3.7706843977413009</c:v>
                </c:pt>
                <c:pt idx="101">
                  <c:v>3.7509553046906534</c:v>
                </c:pt>
                <c:pt idx="102">
                  <c:v>3.7457985540131875</c:v>
                </c:pt>
                <c:pt idx="103">
                  <c:v>3.6327730351746736</c:v>
                </c:pt>
                <c:pt idx="104">
                  <c:v>3.5676124631783712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9-44BA-A899-23824F117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6.5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Data'!$BD$4</c:f>
              <c:strCache>
                <c:ptCount val="1"/>
                <c:pt idx="0">
                  <c:v>Average NCD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Data'!$BD$5:$BD$109</c:f>
              <c:numCache>
                <c:formatCode>#,##0.0</c:formatCode>
                <c:ptCount val="105"/>
                <c:pt idx="0">
                  <c:v>5.4878048780487809</c:v>
                </c:pt>
                <c:pt idx="1">
                  <c:v>4.5084033613445387</c:v>
                </c:pt>
                <c:pt idx="2">
                  <c:v>5.830578512396694</c:v>
                </c:pt>
                <c:pt idx="3">
                  <c:v>5.5070422535211261</c:v>
                </c:pt>
                <c:pt idx="4">
                  <c:v>5.0180180180180169</c:v>
                </c:pt>
                <c:pt idx="5">
                  <c:v>5.4099099099099091</c:v>
                </c:pt>
                <c:pt idx="6">
                  <c:v>5.9068627450980404</c:v>
                </c:pt>
                <c:pt idx="7">
                  <c:v>5.5172413793103452</c:v>
                </c:pt>
                <c:pt idx="8">
                  <c:v>5.4936708860759493</c:v>
                </c:pt>
                <c:pt idx="9">
                  <c:v>5.7368421052631584</c:v>
                </c:pt>
                <c:pt idx="10">
                  <c:v>5.6277602523659302</c:v>
                </c:pt>
                <c:pt idx="11">
                  <c:v>6.5170940170940135</c:v>
                </c:pt>
                <c:pt idx="12">
                  <c:v>6.7694300518134725</c:v>
                </c:pt>
                <c:pt idx="13">
                  <c:v>6.871194379391099</c:v>
                </c:pt>
                <c:pt idx="14">
                  <c:v>6.7463617463617434</c:v>
                </c:pt>
                <c:pt idx="15">
                  <c:v>7.3134582623509319</c:v>
                </c:pt>
                <c:pt idx="16">
                  <c:v>7.557788944723618</c:v>
                </c:pt>
                <c:pt idx="17">
                  <c:v>7.2392776523702027</c:v>
                </c:pt>
                <c:pt idx="18">
                  <c:v>6.9495412844036668</c:v>
                </c:pt>
                <c:pt idx="19">
                  <c:v>6.9787234042553177</c:v>
                </c:pt>
                <c:pt idx="20">
                  <c:v>6.5089820359281445</c:v>
                </c:pt>
                <c:pt idx="21">
                  <c:v>6.706293706293704</c:v>
                </c:pt>
                <c:pt idx="22">
                  <c:v>6.7905236907730666</c:v>
                </c:pt>
                <c:pt idx="23">
                  <c:v>6.9634703196347019</c:v>
                </c:pt>
                <c:pt idx="24">
                  <c:v>6.6686746987951802</c:v>
                </c:pt>
                <c:pt idx="25">
                  <c:v>6.4220963172804524</c:v>
                </c:pt>
                <c:pt idx="26">
                  <c:v>6.2210526315789458</c:v>
                </c:pt>
                <c:pt idx="27">
                  <c:v>6.4585365853658532</c:v>
                </c:pt>
                <c:pt idx="28">
                  <c:v>7.3559292869805324</c:v>
                </c:pt>
                <c:pt idx="29">
                  <c:v>6.599067599067606</c:v>
                </c:pt>
                <c:pt idx="30">
                  <c:v>6.7296747967479771</c:v>
                </c:pt>
                <c:pt idx="31">
                  <c:v>6.8522483940042926</c:v>
                </c:pt>
                <c:pt idx="32">
                  <c:v>7.075819672131157</c:v>
                </c:pt>
                <c:pt idx="33">
                  <c:v>6.6833013435700659</c:v>
                </c:pt>
                <c:pt idx="34">
                  <c:v>6.6459227467811255</c:v>
                </c:pt>
                <c:pt idx="35">
                  <c:v>6.6309523809523903</c:v>
                </c:pt>
                <c:pt idx="36">
                  <c:v>6.5526881720430197</c:v>
                </c:pt>
                <c:pt idx="37">
                  <c:v>6.6970802919708108</c:v>
                </c:pt>
                <c:pt idx="38">
                  <c:v>5.9620535714285783</c:v>
                </c:pt>
                <c:pt idx="39">
                  <c:v>6.6076233183856585</c:v>
                </c:pt>
                <c:pt idx="40">
                  <c:v>6.4831932773109342</c:v>
                </c:pt>
                <c:pt idx="41">
                  <c:v>6.5011764705882431</c:v>
                </c:pt>
                <c:pt idx="42">
                  <c:v>6.3657957244655625</c:v>
                </c:pt>
                <c:pt idx="43">
                  <c:v>6.0537084398977052</c:v>
                </c:pt>
                <c:pt idx="44">
                  <c:v>5.9428571428571519</c:v>
                </c:pt>
                <c:pt idx="45">
                  <c:v>6.5710144927536271</c:v>
                </c:pt>
                <c:pt idx="46">
                  <c:v>5.4594594594594641</c:v>
                </c:pt>
                <c:pt idx="47">
                  <c:v>5.877742946708465</c:v>
                </c:pt>
                <c:pt idx="48">
                  <c:v>6.0721649484536071</c:v>
                </c:pt>
                <c:pt idx="49">
                  <c:v>6.0939597315436238</c:v>
                </c:pt>
                <c:pt idx="50">
                  <c:v>5.6006289308176118</c:v>
                </c:pt>
                <c:pt idx="51">
                  <c:v>6.2067510548523215</c:v>
                </c:pt>
                <c:pt idx="52">
                  <c:v>5.8779527559055111</c:v>
                </c:pt>
                <c:pt idx="53">
                  <c:v>5.0138888888888902</c:v>
                </c:pt>
                <c:pt idx="54">
                  <c:v>5.9375</c:v>
                </c:pt>
                <c:pt idx="55">
                  <c:v>6.0335570469798672</c:v>
                </c:pt>
                <c:pt idx="56">
                  <c:v>6.2265625000000027</c:v>
                </c:pt>
                <c:pt idx="57">
                  <c:v>6.0651340996168592</c:v>
                </c:pt>
                <c:pt idx="58">
                  <c:v>6.024</c:v>
                </c:pt>
                <c:pt idx="59">
                  <c:v>5.533073929961092</c:v>
                </c:pt>
                <c:pt idx="60">
                  <c:v>5.4271844660194164</c:v>
                </c:pt>
                <c:pt idx="61">
                  <c:v>5.604166666666667</c:v>
                </c:pt>
                <c:pt idx="62">
                  <c:v>6.2218430034129719</c:v>
                </c:pt>
                <c:pt idx="63">
                  <c:v>5.7533783783783807</c:v>
                </c:pt>
                <c:pt idx="64">
                  <c:v>5.8686440677966107</c:v>
                </c:pt>
                <c:pt idx="65">
                  <c:v>6.4979919678714886</c:v>
                </c:pt>
                <c:pt idx="66">
                  <c:v>6.0317919075144522</c:v>
                </c:pt>
                <c:pt idx="67">
                  <c:v>6.3627450980392162</c:v>
                </c:pt>
                <c:pt idx="68">
                  <c:v>6.6532507739938094</c:v>
                </c:pt>
                <c:pt idx="69">
                  <c:v>6.4013157894736894</c:v>
                </c:pt>
                <c:pt idx="70">
                  <c:v>6.2508960573476715</c:v>
                </c:pt>
                <c:pt idx="71">
                  <c:v>6.9774774774774757</c:v>
                </c:pt>
                <c:pt idx="72">
                  <c:v>5.7681159420289854</c:v>
                </c:pt>
                <c:pt idx="73">
                  <c:v>5.7701149425287355</c:v>
                </c:pt>
                <c:pt idx="74">
                  <c:v>6.3142857142857132</c:v>
                </c:pt>
                <c:pt idx="75">
                  <c:v>5.7025641025641018</c:v>
                </c:pt>
                <c:pt idx="76">
                  <c:v>5.7632653061224479</c:v>
                </c:pt>
                <c:pt idx="77">
                  <c:v>6.2380952380952399</c:v>
                </c:pt>
                <c:pt idx="78">
                  <c:v>5.6344086021505371</c:v>
                </c:pt>
                <c:pt idx="79">
                  <c:v>6.0108695652173898</c:v>
                </c:pt>
                <c:pt idx="80">
                  <c:v>6.6305418719211833</c:v>
                </c:pt>
                <c:pt idx="81">
                  <c:v>6.5136612021857925</c:v>
                </c:pt>
                <c:pt idx="82">
                  <c:v>6.4132653061224492</c:v>
                </c:pt>
                <c:pt idx="83">
                  <c:v>6.3092783505154646</c:v>
                </c:pt>
                <c:pt idx="84">
                  <c:v>6.1809523809523812</c:v>
                </c:pt>
                <c:pt idx="85">
                  <c:v>6.4229074889867839</c:v>
                </c:pt>
                <c:pt idx="86">
                  <c:v>4.6098901098901095</c:v>
                </c:pt>
                <c:pt idx="87">
                  <c:v>6.1849999999999987</c:v>
                </c:pt>
                <c:pt idx="88">
                  <c:v>6.7990196078431371</c:v>
                </c:pt>
                <c:pt idx="89">
                  <c:v>5.7865612648221365</c:v>
                </c:pt>
                <c:pt idx="90">
                  <c:v>5.6995073891625605</c:v>
                </c:pt>
                <c:pt idx="91">
                  <c:v>5.5693069306930703</c:v>
                </c:pt>
                <c:pt idx="92">
                  <c:v>6.0406091370558368</c:v>
                </c:pt>
                <c:pt idx="93">
                  <c:v>5.2696078431372557</c:v>
                </c:pt>
                <c:pt idx="94">
                  <c:v>5.7843137254901968</c:v>
                </c:pt>
                <c:pt idx="95">
                  <c:v>5.395348837209303</c:v>
                </c:pt>
                <c:pt idx="96">
                  <c:v>5.6594594594594589</c:v>
                </c:pt>
                <c:pt idx="97">
                  <c:v>5.0290697674418601</c:v>
                </c:pt>
                <c:pt idx="98">
                  <c:v>4.4999999999999991</c:v>
                </c:pt>
                <c:pt idx="99">
                  <c:v>5.1989528795811522</c:v>
                </c:pt>
                <c:pt idx="100">
                  <c:v>4.8311688311688323</c:v>
                </c:pt>
                <c:pt idx="101">
                  <c:v>4.3875000000000002</c:v>
                </c:pt>
                <c:pt idx="102">
                  <c:v>4.8687499999999995</c:v>
                </c:pt>
                <c:pt idx="103">
                  <c:v>4.7669172932330834</c:v>
                </c:pt>
                <c:pt idx="104">
                  <c:v>4.1768292682926829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3C-454C-A0D3-1EB718364840}"/>
            </c:ext>
          </c:extLst>
        </c:ser>
        <c:ser>
          <c:idx val="1"/>
          <c:order val="1"/>
          <c:tx>
            <c:strRef>
              <c:f>'Averages Graph Data'!$BE$4</c:f>
              <c:strCache>
                <c:ptCount val="1"/>
                <c:pt idx="0">
                  <c:v>Average NCD - 4 Week Avg (Boom Annual Up Front)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Data'!$BE$5:$BE$109</c:f>
              <c:numCache>
                <c:formatCode>#,##0.0</c:formatCode>
                <c:ptCount val="105"/>
                <c:pt idx="3">
                  <c:v>5.3334572513277845</c:v>
                </c:pt>
                <c:pt idx="4">
                  <c:v>5.2160105363200939</c:v>
                </c:pt>
                <c:pt idx="5">
                  <c:v>5.441387173461437</c:v>
                </c:pt>
                <c:pt idx="6">
                  <c:v>5.4604582316367729</c:v>
                </c:pt>
                <c:pt idx="7">
                  <c:v>5.4630080130840772</c:v>
                </c:pt>
                <c:pt idx="8">
                  <c:v>5.581921230098561</c:v>
                </c:pt>
                <c:pt idx="9">
                  <c:v>5.6636542789368729</c:v>
                </c:pt>
                <c:pt idx="10">
                  <c:v>5.593878655753846</c:v>
                </c:pt>
                <c:pt idx="11">
                  <c:v>5.8438418151997631</c:v>
                </c:pt>
                <c:pt idx="12">
                  <c:v>6.1627816066341436</c:v>
                </c:pt>
                <c:pt idx="13">
                  <c:v>6.446369675166129</c:v>
                </c:pt>
                <c:pt idx="14">
                  <c:v>6.7260200486650819</c:v>
                </c:pt>
                <c:pt idx="15">
                  <c:v>6.9251111099793112</c:v>
                </c:pt>
                <c:pt idx="16">
                  <c:v>7.1222008332068478</c:v>
                </c:pt>
                <c:pt idx="17">
                  <c:v>7.2142216514516235</c:v>
                </c:pt>
                <c:pt idx="18">
                  <c:v>7.2650165359621042</c:v>
                </c:pt>
                <c:pt idx="19">
                  <c:v>7.1813328214382022</c:v>
                </c:pt>
                <c:pt idx="20">
                  <c:v>6.9191310942393338</c:v>
                </c:pt>
                <c:pt idx="21">
                  <c:v>6.7858851077202083</c:v>
                </c:pt>
                <c:pt idx="22">
                  <c:v>6.746130709312558</c:v>
                </c:pt>
                <c:pt idx="23">
                  <c:v>6.7423174381574045</c:v>
                </c:pt>
                <c:pt idx="24">
                  <c:v>6.7822406038741629</c:v>
                </c:pt>
                <c:pt idx="25">
                  <c:v>6.7111912566208503</c:v>
                </c:pt>
                <c:pt idx="26">
                  <c:v>6.5688234918223198</c:v>
                </c:pt>
                <c:pt idx="27">
                  <c:v>6.4425900582551074</c:v>
                </c:pt>
                <c:pt idx="28">
                  <c:v>6.6144037053014459</c:v>
                </c:pt>
                <c:pt idx="29">
                  <c:v>6.6586465257482343</c:v>
                </c:pt>
                <c:pt idx="30">
                  <c:v>6.7858020670404926</c:v>
                </c:pt>
                <c:pt idx="31">
                  <c:v>6.8842300192001016</c:v>
                </c:pt>
                <c:pt idx="32">
                  <c:v>6.8142026154877584</c:v>
                </c:pt>
                <c:pt idx="33">
                  <c:v>6.8352610516133732</c:v>
                </c:pt>
                <c:pt idx="34">
                  <c:v>6.8143230391216596</c:v>
                </c:pt>
                <c:pt idx="35">
                  <c:v>6.7589990358586842</c:v>
                </c:pt>
                <c:pt idx="36">
                  <c:v>6.6282161608366508</c:v>
                </c:pt>
                <c:pt idx="37">
                  <c:v>6.6316608979368361</c:v>
                </c:pt>
                <c:pt idx="38">
                  <c:v>6.4606936040986991</c:v>
                </c:pt>
                <c:pt idx="39">
                  <c:v>6.4548613384570173</c:v>
                </c:pt>
                <c:pt idx="40">
                  <c:v>6.4374876147739961</c:v>
                </c:pt>
                <c:pt idx="41">
                  <c:v>6.3885116594283531</c:v>
                </c:pt>
                <c:pt idx="42">
                  <c:v>6.4894471976875998</c:v>
                </c:pt>
                <c:pt idx="43">
                  <c:v>6.350968478065611</c:v>
                </c:pt>
                <c:pt idx="44">
                  <c:v>6.2158844444521648</c:v>
                </c:pt>
                <c:pt idx="45">
                  <c:v>6.233343949993511</c:v>
                </c:pt>
                <c:pt idx="46">
                  <c:v>6.0067598837419869</c:v>
                </c:pt>
                <c:pt idx="47">
                  <c:v>5.9627685104446773</c:v>
                </c:pt>
                <c:pt idx="48">
                  <c:v>5.9950954618437908</c:v>
                </c:pt>
                <c:pt idx="49">
                  <c:v>5.8758317715412902</c:v>
                </c:pt>
                <c:pt idx="50">
                  <c:v>5.9111241393808278</c:v>
                </c:pt>
                <c:pt idx="51">
                  <c:v>5.9933761664167919</c:v>
                </c:pt>
                <c:pt idx="52">
                  <c:v>5.9448231182797668</c:v>
                </c:pt>
                <c:pt idx="53">
                  <c:v>5.6748054076160832</c:v>
                </c:pt>
                <c:pt idx="54">
                  <c:v>5.7590231749116807</c:v>
                </c:pt>
                <c:pt idx="55">
                  <c:v>5.7157246729435673</c:v>
                </c:pt>
                <c:pt idx="56">
                  <c:v>5.8028771089671904</c:v>
                </c:pt>
                <c:pt idx="57">
                  <c:v>6.065688411649182</c:v>
                </c:pt>
                <c:pt idx="58">
                  <c:v>6.0873134116491823</c:v>
                </c:pt>
                <c:pt idx="59">
                  <c:v>5.9621926323944887</c:v>
                </c:pt>
                <c:pt idx="60">
                  <c:v>5.7623481238993417</c:v>
                </c:pt>
                <c:pt idx="61">
                  <c:v>5.6471062656617939</c:v>
                </c:pt>
                <c:pt idx="62">
                  <c:v>5.6965670165150364</c:v>
                </c:pt>
                <c:pt idx="63">
                  <c:v>5.7516431286193583</c:v>
                </c:pt>
                <c:pt idx="64">
                  <c:v>5.8620080290636576</c:v>
                </c:pt>
                <c:pt idx="65">
                  <c:v>6.0854643543648637</c:v>
                </c:pt>
                <c:pt idx="66">
                  <c:v>6.0379515803902333</c:v>
                </c:pt>
                <c:pt idx="67">
                  <c:v>6.1902932603054417</c:v>
                </c:pt>
                <c:pt idx="68">
                  <c:v>6.3864449368547422</c:v>
                </c:pt>
                <c:pt idx="69">
                  <c:v>6.3622758922552913</c:v>
                </c:pt>
                <c:pt idx="70">
                  <c:v>6.4170519297135966</c:v>
                </c:pt>
                <c:pt idx="71">
                  <c:v>6.5707350245731613</c:v>
                </c:pt>
                <c:pt idx="72">
                  <c:v>6.3494513165819555</c:v>
                </c:pt>
                <c:pt idx="73">
                  <c:v>6.1916511048457172</c:v>
                </c:pt>
                <c:pt idx="74">
                  <c:v>6.2074985190802279</c:v>
                </c:pt>
                <c:pt idx="75">
                  <c:v>5.8887701753518833</c:v>
                </c:pt>
                <c:pt idx="76">
                  <c:v>5.8875575163752494</c:v>
                </c:pt>
                <c:pt idx="77">
                  <c:v>6.0045525902668757</c:v>
                </c:pt>
                <c:pt idx="78">
                  <c:v>5.8345833122330815</c:v>
                </c:pt>
                <c:pt idx="79">
                  <c:v>5.9116596778964041</c:v>
                </c:pt>
                <c:pt idx="80">
                  <c:v>6.1284788193460873</c:v>
                </c:pt>
                <c:pt idx="81">
                  <c:v>6.1973703103687257</c:v>
                </c:pt>
                <c:pt idx="82">
                  <c:v>6.3920844863617035</c:v>
                </c:pt>
                <c:pt idx="83">
                  <c:v>6.4666866826862215</c:v>
                </c:pt>
                <c:pt idx="84">
                  <c:v>6.3542893099440212</c:v>
                </c:pt>
                <c:pt idx="85">
                  <c:v>6.3316008816442695</c:v>
                </c:pt>
                <c:pt idx="86">
                  <c:v>5.880757082586185</c:v>
                </c:pt>
                <c:pt idx="87">
                  <c:v>5.8496874949573181</c:v>
                </c:pt>
                <c:pt idx="88">
                  <c:v>6.0042043016800069</c:v>
                </c:pt>
                <c:pt idx="89">
                  <c:v>5.8451177456388459</c:v>
                </c:pt>
                <c:pt idx="90">
                  <c:v>6.1175220654569582</c:v>
                </c:pt>
                <c:pt idx="91">
                  <c:v>5.9635987981302261</c:v>
                </c:pt>
                <c:pt idx="92">
                  <c:v>5.7739961804334019</c:v>
                </c:pt>
                <c:pt idx="93">
                  <c:v>5.6447578250121806</c:v>
                </c:pt>
                <c:pt idx="94">
                  <c:v>5.6659594090940901</c:v>
                </c:pt>
                <c:pt idx="95">
                  <c:v>5.6224698857231488</c:v>
                </c:pt>
                <c:pt idx="96">
                  <c:v>5.5271824663240539</c:v>
                </c:pt>
                <c:pt idx="97">
                  <c:v>5.4670479474002054</c:v>
                </c:pt>
                <c:pt idx="98">
                  <c:v>5.1459695160276553</c:v>
                </c:pt>
                <c:pt idx="99">
                  <c:v>5.0968705266206182</c:v>
                </c:pt>
                <c:pt idx="100">
                  <c:v>4.8897978695479605</c:v>
                </c:pt>
                <c:pt idx="101">
                  <c:v>4.7294054276874959</c:v>
                </c:pt>
                <c:pt idx="102">
                  <c:v>4.8215929276874956</c:v>
                </c:pt>
                <c:pt idx="103">
                  <c:v>4.7135840311004795</c:v>
                </c:pt>
                <c:pt idx="104">
                  <c:v>4.5499991403814413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3C-454C-A0D3-1EB718364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8"/>
          <c:min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Years NCD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Data'!$BH$4</c:f>
              <c:strCache>
                <c:ptCount val="1"/>
                <c:pt idx="0">
                  <c:v>Average NCD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Data'!$BH$5:$BH$109</c:f>
              <c:numCache>
                <c:formatCode>#,##0.0</c:formatCode>
                <c:ptCount val="105"/>
                <c:pt idx="0">
                  <c:v>4.88233738762559</c:v>
                </c:pt>
                <c:pt idx="1">
                  <c:v>4.4726095617529769</c:v>
                </c:pt>
                <c:pt idx="2">
                  <c:v>4.5418058402925006</c:v>
                </c:pt>
                <c:pt idx="3">
                  <c:v>4.8967173738991203</c:v>
                </c:pt>
                <c:pt idx="4">
                  <c:v>4.7851832182687151</c:v>
                </c:pt>
                <c:pt idx="5">
                  <c:v>4.8133367662203863</c:v>
                </c:pt>
                <c:pt idx="6">
                  <c:v>4.6017391304347752</c:v>
                </c:pt>
                <c:pt idx="7">
                  <c:v>4.6481628236415844</c:v>
                </c:pt>
                <c:pt idx="8">
                  <c:v>4.8139216223622707</c:v>
                </c:pt>
                <c:pt idx="9">
                  <c:v>4.8065693430656751</c:v>
                </c:pt>
                <c:pt idx="10">
                  <c:v>4.6560114503816621</c:v>
                </c:pt>
                <c:pt idx="11">
                  <c:v>4.6258386668068932</c:v>
                </c:pt>
                <c:pt idx="12">
                  <c:v>4.7953440777692453</c:v>
                </c:pt>
                <c:pt idx="13">
                  <c:v>4.9888888888888774</c:v>
                </c:pt>
                <c:pt idx="14">
                  <c:v>4.6703503409358049</c:v>
                </c:pt>
                <c:pt idx="15">
                  <c:v>4.6212611818113389</c:v>
                </c:pt>
                <c:pt idx="16">
                  <c:v>4.8565483476132059</c:v>
                </c:pt>
                <c:pt idx="17">
                  <c:v>4.8029330889092456</c:v>
                </c:pt>
                <c:pt idx="18">
                  <c:v>4.8417523468931494</c:v>
                </c:pt>
                <c:pt idx="19">
                  <c:v>4.7185732927359654</c:v>
                </c:pt>
                <c:pt idx="20">
                  <c:v>4.6959761549925432</c:v>
                </c:pt>
                <c:pt idx="21">
                  <c:v>4.7628117913832186</c:v>
                </c:pt>
                <c:pt idx="22">
                  <c:v>4.8147186147186121</c:v>
                </c:pt>
                <c:pt idx="23">
                  <c:v>4.7558967512238519</c:v>
                </c:pt>
                <c:pt idx="24">
                  <c:v>4.6421092023983945</c:v>
                </c:pt>
                <c:pt idx="25">
                  <c:v>4.84979838709675</c:v>
                </c:pt>
                <c:pt idx="26">
                  <c:v>4.7543736878936205</c:v>
                </c:pt>
                <c:pt idx="27">
                  <c:v>4.7716873212583222</c:v>
                </c:pt>
                <c:pt idx="28">
                  <c:v>4.6377955457521001</c:v>
                </c:pt>
                <c:pt idx="29">
                  <c:v>4.8167981961668671</c:v>
                </c:pt>
                <c:pt idx="30">
                  <c:v>4.7172174840085335</c:v>
                </c:pt>
                <c:pt idx="31">
                  <c:v>4.6705324196099145</c:v>
                </c:pt>
                <c:pt idx="32">
                  <c:v>4.7622104381803121</c:v>
                </c:pt>
                <c:pt idx="33">
                  <c:v>4.585326691502698</c:v>
                </c:pt>
                <c:pt idx="34">
                  <c:v>4.7133540372670497</c:v>
                </c:pt>
                <c:pt idx="35">
                  <c:v>4.658398087268349</c:v>
                </c:pt>
                <c:pt idx="36">
                  <c:v>4.7727415801069899</c:v>
                </c:pt>
                <c:pt idx="37">
                  <c:v>4.6004891640378425</c:v>
                </c:pt>
                <c:pt idx="38">
                  <c:v>4.7119831814996749</c:v>
                </c:pt>
                <c:pt idx="39">
                  <c:v>4.7168965517241617</c:v>
                </c:pt>
                <c:pt idx="40">
                  <c:v>4.6545194712397473</c:v>
                </c:pt>
                <c:pt idx="41">
                  <c:v>4.7942748091603233</c:v>
                </c:pt>
                <c:pt idx="42">
                  <c:v>4.7062546537601984</c:v>
                </c:pt>
                <c:pt idx="43">
                  <c:v>4.7481624758220171</c:v>
                </c:pt>
                <c:pt idx="44">
                  <c:v>4.63588273615684</c:v>
                </c:pt>
                <c:pt idx="45">
                  <c:v>4.8992053534085818</c:v>
                </c:pt>
                <c:pt idx="46">
                  <c:v>4.8441925998593387</c:v>
                </c:pt>
                <c:pt idx="47">
                  <c:v>4.8246153846154058</c:v>
                </c:pt>
                <c:pt idx="48">
                  <c:v>4.7210503659061773</c:v>
                </c:pt>
                <c:pt idx="49">
                  <c:v>4.9297347603536723</c:v>
                </c:pt>
                <c:pt idx="50">
                  <c:v>4.9231818181818321</c:v>
                </c:pt>
                <c:pt idx="51">
                  <c:v>5.0270270270270396</c:v>
                </c:pt>
                <c:pt idx="52">
                  <c:v>4.7622243528283974</c:v>
                </c:pt>
                <c:pt idx="53">
                  <c:v>4.8502044989775186</c:v>
                </c:pt>
                <c:pt idx="54">
                  <c:v>5.0260586319218357</c:v>
                </c:pt>
                <c:pt idx="55">
                  <c:v>5.0042871794800554</c:v>
                </c:pt>
                <c:pt idx="56">
                  <c:v>4.8725490196078143</c:v>
                </c:pt>
                <c:pt idx="57">
                  <c:v>4.7494103773584708</c:v>
                </c:pt>
                <c:pt idx="58">
                  <c:v>5.0868983957219012</c:v>
                </c:pt>
                <c:pt idx="59">
                  <c:v>4.9607481660783037</c:v>
                </c:pt>
                <c:pt idx="60">
                  <c:v>5.0819554277498238</c:v>
                </c:pt>
                <c:pt idx="61">
                  <c:v>4.9159226190476231</c:v>
                </c:pt>
                <c:pt idx="62">
                  <c:v>5.1811224489795951</c:v>
                </c:pt>
                <c:pt idx="63">
                  <c:v>4.9906824315522123</c:v>
                </c:pt>
                <c:pt idx="64">
                  <c:v>5.165327210103329</c:v>
                </c:pt>
                <c:pt idx="65">
                  <c:v>4.8218262806236059</c:v>
                </c:pt>
                <c:pt idx="66">
                  <c:v>4.7783191230207018</c:v>
                </c:pt>
                <c:pt idx="67">
                  <c:v>5.3269565217391293</c:v>
                </c:pt>
                <c:pt idx="68">
                  <c:v>5.0507201703351265</c:v>
                </c:pt>
                <c:pt idx="69">
                  <c:v>5.0097656250000027</c:v>
                </c:pt>
                <c:pt idx="70">
                  <c:v>4.6666183714658453</c:v>
                </c:pt>
                <c:pt idx="71">
                  <c:v>5.1067961165048539</c:v>
                </c:pt>
                <c:pt idx="72">
                  <c:v>4.8442211055276383</c:v>
                </c:pt>
                <c:pt idx="73">
                  <c:v>5.8682170542635648</c:v>
                </c:pt>
                <c:pt idx="74">
                  <c:v>5.8111111111111109</c:v>
                </c:pt>
                <c:pt idx="75">
                  <c:v>6.9411764705882346</c:v>
                </c:pt>
                <c:pt idx="76">
                  <c:v>11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2-415F-B577-180E869B51C6}"/>
            </c:ext>
          </c:extLst>
        </c:ser>
        <c:ser>
          <c:idx val="1"/>
          <c:order val="1"/>
          <c:tx>
            <c:strRef>
              <c:f>'Averages Graph Data'!$BI$4</c:f>
              <c:strCache>
                <c:ptCount val="1"/>
                <c:pt idx="0">
                  <c:v>Average NCD - 4 Week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Data'!$BI$5:$BI$109</c:f>
              <c:numCache>
                <c:formatCode>#,##0.0</c:formatCode>
                <c:ptCount val="105"/>
                <c:pt idx="6">
                  <c:v>4.7133898969277235</c:v>
                </c:pt>
                <c:pt idx="7">
                  <c:v>4.6799363877871514</c:v>
                </c:pt>
                <c:pt idx="8">
                  <c:v>4.7286952535884783</c:v>
                </c:pt>
                <c:pt idx="9">
                  <c:v>4.7665186111275037</c:v>
                </c:pt>
                <c:pt idx="10">
                  <c:v>4.73213205062501</c:v>
                </c:pt>
                <c:pt idx="11">
                  <c:v>4.709368543273321</c:v>
                </c:pt>
                <c:pt idx="12">
                  <c:v>4.7067981592088719</c:v>
                </c:pt>
                <c:pt idx="13">
                  <c:v>4.7621052675594582</c:v>
                </c:pt>
                <c:pt idx="14">
                  <c:v>4.765274912887203</c:v>
                </c:pt>
                <c:pt idx="15">
                  <c:v>4.7377519928084988</c:v>
                </c:pt>
                <c:pt idx="16">
                  <c:v>4.7448918506010029</c:v>
                </c:pt>
                <c:pt idx="17">
                  <c:v>4.7658806561049447</c:v>
                </c:pt>
                <c:pt idx="18">
                  <c:v>4.7967254675458388</c:v>
                </c:pt>
                <c:pt idx="19">
                  <c:v>4.7857582125410838</c:v>
                </c:pt>
                <c:pt idx="20">
                  <c:v>4.7439135362701785</c:v>
                </c:pt>
                <c:pt idx="21">
                  <c:v>4.7571223149055237</c:v>
                </c:pt>
                <c:pt idx="22">
                  <c:v>4.7847590910351343</c:v>
                </c:pt>
                <c:pt idx="23">
                  <c:v>4.770380291550941</c:v>
                </c:pt>
                <c:pt idx="24">
                  <c:v>4.7474054506208194</c:v>
                </c:pt>
                <c:pt idx="25">
                  <c:v>4.7485548849356194</c:v>
                </c:pt>
                <c:pt idx="26">
                  <c:v>4.7536692271009988</c:v>
                </c:pt>
                <c:pt idx="27">
                  <c:v>4.7644851079961095</c:v>
                </c:pt>
                <c:pt idx="28">
                  <c:v>4.7466256443345216</c:v>
                </c:pt>
                <c:pt idx="29">
                  <c:v>4.7469227273985579</c:v>
                </c:pt>
                <c:pt idx="30">
                  <c:v>4.7413971177963692</c:v>
                </c:pt>
                <c:pt idx="31">
                  <c:v>4.7454575773980148</c:v>
                </c:pt>
                <c:pt idx="32">
                  <c:v>4.7329450132670958</c:v>
                </c:pt>
                <c:pt idx="33">
                  <c:v>4.7087954423541074</c:v>
                </c:pt>
                <c:pt idx="34">
                  <c:v>4.7004621160696383</c:v>
                </c:pt>
                <c:pt idx="35">
                  <c:v>4.703405336286246</c:v>
                </c:pt>
                <c:pt idx="36">
                  <c:v>4.6971115339919782</c:v>
                </c:pt>
                <c:pt idx="37">
                  <c:v>4.6804360597104511</c:v>
                </c:pt>
                <c:pt idx="38">
                  <c:v>4.6863575971232736</c:v>
                </c:pt>
                <c:pt idx="39">
                  <c:v>4.6798841847723951</c:v>
                </c:pt>
                <c:pt idx="40">
                  <c:v>4.6897688675919733</c:v>
                </c:pt>
                <c:pt idx="41">
                  <c:v>4.701328977862441</c:v>
                </c:pt>
                <c:pt idx="42">
                  <c:v>4.7081656302184198</c:v>
                </c:pt>
                <c:pt idx="43">
                  <c:v>4.7046543296062806</c:v>
                </c:pt>
                <c:pt idx="44">
                  <c:v>4.7097105541947091</c:v>
                </c:pt>
                <c:pt idx="45">
                  <c:v>4.736456578753125</c:v>
                </c:pt>
                <c:pt idx="46">
                  <c:v>4.754641728486722</c:v>
                </c:pt>
                <c:pt idx="47">
                  <c:v>4.7789411446832437</c:v>
                </c:pt>
                <c:pt idx="48">
                  <c:v>4.7684805099326519</c:v>
                </c:pt>
                <c:pt idx="49">
                  <c:v>4.800406239446005</c:v>
                </c:pt>
                <c:pt idx="50">
                  <c:v>4.8254090026402636</c:v>
                </c:pt>
                <c:pt idx="51">
                  <c:v>4.881286758478864</c:v>
                </c:pt>
                <c:pt idx="52">
                  <c:v>4.8617180441102663</c:v>
                </c:pt>
                <c:pt idx="53">
                  <c:v>4.8625768868414339</c:v>
                </c:pt>
                <c:pt idx="54">
                  <c:v>4.8913544935994961</c:v>
                </c:pt>
                <c:pt idx="55">
                  <c:v>4.9318168955386215</c:v>
                </c:pt>
                <c:pt idx="56">
                  <c:v>4.9236475040034984</c:v>
                </c:pt>
                <c:pt idx="57">
                  <c:v>4.8988230124573047</c:v>
                </c:pt>
                <c:pt idx="58">
                  <c:v>4.9073760651279992</c:v>
                </c:pt>
                <c:pt idx="59">
                  <c:v>4.9357366098779858</c:v>
                </c:pt>
                <c:pt idx="60">
                  <c:v>4.968843885416887</c:v>
                </c:pt>
                <c:pt idx="61">
                  <c:v>4.9531101692919979</c:v>
                </c:pt>
                <c:pt idx="62">
                  <c:v>4.9783723506490762</c:v>
                </c:pt>
                <c:pt idx="63">
                  <c:v>4.9952485523554184</c:v>
                </c:pt>
                <c:pt idx="64">
                  <c:v>5.0546652427475411</c:v>
                </c:pt>
                <c:pt idx="65">
                  <c:v>5.0167977977334983</c:v>
                </c:pt>
                <c:pt idx="66">
                  <c:v>4.990736505868127</c:v>
                </c:pt>
                <c:pt idx="67">
                  <c:v>5.0257366621523127</c:v>
                </c:pt>
                <c:pt idx="68">
                  <c:v>5.044993455193385</c:v>
                </c:pt>
                <c:pt idx="69">
                  <c:v>5.0205139089105861</c:v>
                </c:pt>
                <c:pt idx="70">
                  <c:v>4.9742190431839637</c:v>
                </c:pt>
                <c:pt idx="71">
                  <c:v>4.965857458384181</c:v>
                </c:pt>
                <c:pt idx="72">
                  <c:v>4.9690567190847563</c:v>
                </c:pt>
                <c:pt idx="73">
                  <c:v>5.124756423548023</c:v>
                </c:pt>
                <c:pt idx="74">
                  <c:v>5.1939213648868767</c:v>
                </c:pt>
                <c:pt idx="75">
                  <c:v>5.4639865506373209</c:v>
                </c:pt>
                <c:pt idx="76">
                  <c:v>6.3197343184944632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2-415F-B577-180E869B5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.0999999999999996"/>
          <c:min val="4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Years NCD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Data'!$BL$4</c:f>
              <c:strCache>
                <c:ptCount val="1"/>
                <c:pt idx="0">
                  <c:v>Average Monthly Payment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Data'!$BL$5:$BL$109</c:f>
              <c:numCache>
                <c:formatCode>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0.144164028705668</c:v>
                </c:pt>
                <c:pt idx="24">
                  <c:v>0.3197353797354428</c:v>
                </c:pt>
                <c:pt idx="25">
                  <c:v>0.35511275837207795</c:v>
                </c:pt>
                <c:pt idx="26">
                  <c:v>0.36072896906749263</c:v>
                </c:pt>
                <c:pt idx="27">
                  <c:v>0.45007647611110591</c:v>
                </c:pt>
                <c:pt idx="28">
                  <c:v>0.5056783982865598</c:v>
                </c:pt>
                <c:pt idx="29">
                  <c:v>0.52644790850618239</c:v>
                </c:pt>
                <c:pt idx="30">
                  <c:v>0.48381981270489582</c:v>
                </c:pt>
                <c:pt idx="31">
                  <c:v>0.52564582556292128</c:v>
                </c:pt>
                <c:pt idx="32">
                  <c:v>0.57133406904742245</c:v>
                </c:pt>
                <c:pt idx="33">
                  <c:v>0.5517741410022251</c:v>
                </c:pt>
                <c:pt idx="34">
                  <c:v>0.54800057744690622</c:v>
                </c:pt>
                <c:pt idx="35">
                  <c:v>0.56396101516494768</c:v>
                </c:pt>
                <c:pt idx="36">
                  <c:v>0.59862077860703788</c:v>
                </c:pt>
                <c:pt idx="37">
                  <c:v>0.54915327928515201</c:v>
                </c:pt>
                <c:pt idx="38">
                  <c:v>0.55438888214481163</c:v>
                </c:pt>
                <c:pt idx="39">
                  <c:v>0.53590386923046618</c:v>
                </c:pt>
                <c:pt idx="40">
                  <c:v>0.55768126311352362</c:v>
                </c:pt>
                <c:pt idx="41">
                  <c:v>0.5864765605299751</c:v>
                </c:pt>
                <c:pt idx="42">
                  <c:v>0.57152708519138651</c:v>
                </c:pt>
                <c:pt idx="43">
                  <c:v>0.5626588787927117</c:v>
                </c:pt>
                <c:pt idx="44">
                  <c:v>0.53812579197919075</c:v>
                </c:pt>
                <c:pt idx="45">
                  <c:v>0.60783962626323262</c:v>
                </c:pt>
                <c:pt idx="46">
                  <c:v>0.56884523080325156</c:v>
                </c:pt>
                <c:pt idx="47">
                  <c:v>0.56579511361440593</c:v>
                </c:pt>
                <c:pt idx="48">
                  <c:v>0.56553341615807973</c:v>
                </c:pt>
                <c:pt idx="49">
                  <c:v>0.57995851612722515</c:v>
                </c:pt>
                <c:pt idx="50">
                  <c:v>0.58982089985974029</c:v>
                </c:pt>
                <c:pt idx="51">
                  <c:v>0.60412175756567854</c:v>
                </c:pt>
                <c:pt idx="52">
                  <c:v>0.56490649067824705</c:v>
                </c:pt>
                <c:pt idx="53">
                  <c:v>0.55444864684831618</c:v>
                </c:pt>
                <c:pt idx="54">
                  <c:v>0.58486150409697157</c:v>
                </c:pt>
                <c:pt idx="55">
                  <c:v>0.59780512138259279</c:v>
                </c:pt>
                <c:pt idx="56">
                  <c:v>0.56598682259766209</c:v>
                </c:pt>
                <c:pt idx="57">
                  <c:v>0.58043415002856091</c:v>
                </c:pt>
                <c:pt idx="58">
                  <c:v>0.62902762747859875</c:v>
                </c:pt>
                <c:pt idx="59">
                  <c:v>0.59012739033955608</c:v>
                </c:pt>
                <c:pt idx="60">
                  <c:v>0.59851533854597549</c:v>
                </c:pt>
                <c:pt idx="61">
                  <c:v>0.61359206849079651</c:v>
                </c:pt>
                <c:pt idx="62">
                  <c:v>0.60450963565764526</c:v>
                </c:pt>
                <c:pt idx="63">
                  <c:v>0.63475013152134296</c:v>
                </c:pt>
                <c:pt idx="64">
                  <c:v>0.64297941630613165</c:v>
                </c:pt>
                <c:pt idx="65">
                  <c:v>0.63514181181185658</c:v>
                </c:pt>
                <c:pt idx="66">
                  <c:v>0.62096388408532377</c:v>
                </c:pt>
                <c:pt idx="67">
                  <c:v>0.68413795825025636</c:v>
                </c:pt>
                <c:pt idx="68">
                  <c:v>0.67985105503287202</c:v>
                </c:pt>
                <c:pt idx="69">
                  <c:v>0.66264028099833427</c:v>
                </c:pt>
                <c:pt idx="70">
                  <c:v>0.68593714155363195</c:v>
                </c:pt>
                <c:pt idx="71">
                  <c:v>0.68534341226191908</c:v>
                </c:pt>
                <c:pt idx="72">
                  <c:v>0.74596222454501959</c:v>
                </c:pt>
                <c:pt idx="73">
                  <c:v>0.73069275648340892</c:v>
                </c:pt>
                <c:pt idx="74">
                  <c:v>0.74462455251092696</c:v>
                </c:pt>
                <c:pt idx="75">
                  <c:v>0.77409610000605455</c:v>
                </c:pt>
                <c:pt idx="76">
                  <c:v>0.77413474441098529</c:v>
                </c:pt>
                <c:pt idx="77">
                  <c:v>0.77173913043478282</c:v>
                </c:pt>
                <c:pt idx="78">
                  <c:v>0.77536231884057938</c:v>
                </c:pt>
                <c:pt idx="79">
                  <c:v>0.76165803108808272</c:v>
                </c:pt>
                <c:pt idx="80">
                  <c:v>0.79179487179487185</c:v>
                </c:pt>
                <c:pt idx="81">
                  <c:v>0.8107549120992763</c:v>
                </c:pt>
                <c:pt idx="82">
                  <c:v>0.79259259259259252</c:v>
                </c:pt>
                <c:pt idx="83">
                  <c:v>0.80423814328960641</c:v>
                </c:pt>
                <c:pt idx="84">
                  <c:v>0.80856882406563368</c:v>
                </c:pt>
                <c:pt idx="85">
                  <c:v>0.80229272296144227</c:v>
                </c:pt>
                <c:pt idx="86">
                  <c:v>0.8176352705410822</c:v>
                </c:pt>
                <c:pt idx="87">
                  <c:v>0.80430528375733834</c:v>
                </c:pt>
                <c:pt idx="88">
                  <c:v>0.78947368421052622</c:v>
                </c:pt>
                <c:pt idx="89">
                  <c:v>0.79176954732510318</c:v>
                </c:pt>
                <c:pt idx="90">
                  <c:v>0.78472958642629909</c:v>
                </c:pt>
                <c:pt idx="91">
                  <c:v>0.78714436248682806</c:v>
                </c:pt>
                <c:pt idx="92">
                  <c:v>0.77790304396843279</c:v>
                </c:pt>
                <c:pt idx="93">
                  <c:v>0.79352226720647767</c:v>
                </c:pt>
                <c:pt idx="94">
                  <c:v>0.79289340101522821</c:v>
                </c:pt>
                <c:pt idx="95">
                  <c:v>0.80342857142857105</c:v>
                </c:pt>
                <c:pt idx="96">
                  <c:v>0.77188655980271259</c:v>
                </c:pt>
                <c:pt idx="97">
                  <c:v>0.79740871613663111</c:v>
                </c:pt>
                <c:pt idx="98">
                  <c:v>0.79331306990881456</c:v>
                </c:pt>
                <c:pt idx="99">
                  <c:v>0.78096330275229353</c:v>
                </c:pt>
                <c:pt idx="100">
                  <c:v>0.79217273954116052</c:v>
                </c:pt>
                <c:pt idx="101">
                  <c:v>0.78052126200274341</c:v>
                </c:pt>
                <c:pt idx="102">
                  <c:v>0.80861244019138745</c:v>
                </c:pt>
                <c:pt idx="103">
                  <c:v>0.78478964401294482</c:v>
                </c:pt>
                <c:pt idx="104">
                  <c:v>0.77927321668909788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B-4910-8A45-0BCB1A79EAEB}"/>
            </c:ext>
          </c:extLst>
        </c:ser>
        <c:ser>
          <c:idx val="1"/>
          <c:order val="1"/>
          <c:tx>
            <c:strRef>
              <c:f>'Averages Graph Data'!$BM$4</c:f>
              <c:strCache>
                <c:ptCount val="1"/>
                <c:pt idx="0">
                  <c:v>Average Monthly Payment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Data'!$BM$5:$BM$109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3.6041007176416999E-2</c:v>
                </c:pt>
                <c:pt idx="24">
                  <c:v>0.11597485211027769</c:v>
                </c:pt>
                <c:pt idx="25">
                  <c:v>0.20475304170329717</c:v>
                </c:pt>
                <c:pt idx="26">
                  <c:v>0.29493528397017033</c:v>
                </c:pt>
                <c:pt idx="27">
                  <c:v>0.37141339582152977</c:v>
                </c:pt>
                <c:pt idx="28">
                  <c:v>0.41789915045930903</c:v>
                </c:pt>
                <c:pt idx="29">
                  <c:v>0.46073293799283521</c:v>
                </c:pt>
                <c:pt idx="30">
                  <c:v>0.49150564890218595</c:v>
                </c:pt>
                <c:pt idx="31">
                  <c:v>0.51039798626513977</c:v>
                </c:pt>
                <c:pt idx="32">
                  <c:v>0.52681190395535549</c:v>
                </c:pt>
                <c:pt idx="33">
                  <c:v>0.53314346207936614</c:v>
                </c:pt>
                <c:pt idx="34">
                  <c:v>0.54918865326486876</c:v>
                </c:pt>
                <c:pt idx="35">
                  <c:v>0.55876745066537548</c:v>
                </c:pt>
                <c:pt idx="36">
                  <c:v>0.56558912805527917</c:v>
                </c:pt>
                <c:pt idx="37">
                  <c:v>0.56493391262601089</c:v>
                </c:pt>
                <c:pt idx="38">
                  <c:v>0.56653098880048736</c:v>
                </c:pt>
                <c:pt idx="39">
                  <c:v>0.5595167023168669</c:v>
                </c:pt>
                <c:pt idx="40">
                  <c:v>0.5492818234434883</c:v>
                </c:pt>
                <c:pt idx="41">
                  <c:v>0.5586126437546941</c:v>
                </c:pt>
                <c:pt idx="42">
                  <c:v>0.56289719451633791</c:v>
                </c:pt>
                <c:pt idx="43">
                  <c:v>0.56958594690689923</c:v>
                </c:pt>
                <c:pt idx="44">
                  <c:v>0.56469707912331601</c:v>
                </c:pt>
                <c:pt idx="45">
                  <c:v>0.5700378455566304</c:v>
                </c:pt>
                <c:pt idx="46">
                  <c:v>0.56936738195959669</c:v>
                </c:pt>
                <c:pt idx="47">
                  <c:v>0.57015144066502021</c:v>
                </c:pt>
                <c:pt idx="48">
                  <c:v>0.57700334670974252</c:v>
                </c:pt>
                <c:pt idx="49">
                  <c:v>0.5700330691757407</c:v>
                </c:pt>
                <c:pt idx="50">
                  <c:v>0.5752769864398628</c:v>
                </c:pt>
                <c:pt idx="51">
                  <c:v>0.5848586474276809</c:v>
                </c:pt>
                <c:pt idx="52">
                  <c:v>0.5847019160577227</c:v>
                </c:pt>
                <c:pt idx="53">
                  <c:v>0.57832444873799549</c:v>
                </c:pt>
                <c:pt idx="54">
                  <c:v>0.57708459979730331</c:v>
                </c:pt>
                <c:pt idx="55">
                  <c:v>0.57550544075153187</c:v>
                </c:pt>
                <c:pt idx="56">
                  <c:v>0.57577552373138574</c:v>
                </c:pt>
                <c:pt idx="57">
                  <c:v>0.58227189952644687</c:v>
                </c:pt>
                <c:pt idx="58">
                  <c:v>0.59331343037185358</c:v>
                </c:pt>
                <c:pt idx="59">
                  <c:v>0.59139399761109446</c:v>
                </c:pt>
                <c:pt idx="60">
                  <c:v>0.59952612659817284</c:v>
                </c:pt>
                <c:pt idx="61">
                  <c:v>0.60781560621373165</c:v>
                </c:pt>
                <c:pt idx="62">
                  <c:v>0.60168610825849334</c:v>
                </c:pt>
                <c:pt idx="63">
                  <c:v>0.61284179355394008</c:v>
                </c:pt>
                <c:pt idx="64">
                  <c:v>0.62395781299397912</c:v>
                </c:pt>
                <c:pt idx="65">
                  <c:v>0.62934524882424414</c:v>
                </c:pt>
                <c:pt idx="66">
                  <c:v>0.63345881093116374</c:v>
                </c:pt>
                <c:pt idx="67">
                  <c:v>0.64580576761339203</c:v>
                </c:pt>
                <c:pt idx="68">
                  <c:v>0.65502367729507727</c:v>
                </c:pt>
                <c:pt idx="69">
                  <c:v>0.66189829459169658</c:v>
                </c:pt>
                <c:pt idx="70">
                  <c:v>0.67814160895877373</c:v>
                </c:pt>
                <c:pt idx="71">
                  <c:v>0.67844297246168939</c:v>
                </c:pt>
                <c:pt idx="72">
                  <c:v>0.6949707648397262</c:v>
                </c:pt>
                <c:pt idx="73">
                  <c:v>0.71198388371099486</c:v>
                </c:pt>
                <c:pt idx="74">
                  <c:v>0.72665573645031856</c:v>
                </c:pt>
                <c:pt idx="75">
                  <c:v>0.74884390838635262</c:v>
                </c:pt>
                <c:pt idx="76">
                  <c:v>0.75588703835284399</c:v>
                </c:pt>
                <c:pt idx="77">
                  <c:v>0.76614863184068738</c:v>
                </c:pt>
                <c:pt idx="78">
                  <c:v>0.77383307342310048</c:v>
                </c:pt>
                <c:pt idx="79">
                  <c:v>0.77072355619360766</c:v>
                </c:pt>
                <c:pt idx="80">
                  <c:v>0.77513858803957925</c:v>
                </c:pt>
                <c:pt idx="81">
                  <c:v>0.78489253345570253</c:v>
                </c:pt>
                <c:pt idx="82">
                  <c:v>0.78920010189370582</c:v>
                </c:pt>
                <c:pt idx="83">
                  <c:v>0.79984512994408674</c:v>
                </c:pt>
                <c:pt idx="84">
                  <c:v>0.80403861801177723</c:v>
                </c:pt>
                <c:pt idx="85">
                  <c:v>0.80192307072731872</c:v>
                </c:pt>
                <c:pt idx="86">
                  <c:v>0.80818374021444117</c:v>
                </c:pt>
                <c:pt idx="87">
                  <c:v>0.8082005253313741</c:v>
                </c:pt>
                <c:pt idx="88">
                  <c:v>0.8034267403675972</c:v>
                </c:pt>
                <c:pt idx="89">
                  <c:v>0.80079594645851238</c:v>
                </c:pt>
                <c:pt idx="90">
                  <c:v>0.79256952542981662</c:v>
                </c:pt>
                <c:pt idx="91">
                  <c:v>0.78827929511218919</c:v>
                </c:pt>
                <c:pt idx="92">
                  <c:v>0.78538663505166573</c:v>
                </c:pt>
                <c:pt idx="93">
                  <c:v>0.7858248150220094</c:v>
                </c:pt>
                <c:pt idx="94">
                  <c:v>0.78786576866924163</c:v>
                </c:pt>
                <c:pt idx="95">
                  <c:v>0.79193682090467743</c:v>
                </c:pt>
                <c:pt idx="96">
                  <c:v>0.79043269986324738</c:v>
                </c:pt>
                <c:pt idx="97">
                  <c:v>0.79140431209578577</c:v>
                </c:pt>
                <c:pt idx="98">
                  <c:v>0.79150922931918233</c:v>
                </c:pt>
                <c:pt idx="99">
                  <c:v>0.78589291215011303</c:v>
                </c:pt>
                <c:pt idx="100">
                  <c:v>0.79096445708472496</c:v>
                </c:pt>
                <c:pt idx="101">
                  <c:v>0.78674259355125298</c:v>
                </c:pt>
                <c:pt idx="102">
                  <c:v>0.79056743612189617</c:v>
                </c:pt>
                <c:pt idx="103">
                  <c:v>0.79152402143705902</c:v>
                </c:pt>
                <c:pt idx="104">
                  <c:v>0.78829914072404339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B-4910-8A45-0BCB1A79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Data'!$BP$4</c:f>
              <c:strCache>
                <c:ptCount val="1"/>
                <c:pt idx="0">
                  <c:v>Average Monthly Payment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Data'!$BP$5:$BP$109</c:f>
              <c:numCache>
                <c:formatCode>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9-4E55-901A-1768CF63466E}"/>
            </c:ext>
          </c:extLst>
        </c:ser>
        <c:ser>
          <c:idx val="1"/>
          <c:order val="1"/>
          <c:tx>
            <c:strRef>
              <c:f>'Averages Graph Data'!$BQ$4</c:f>
              <c:strCache>
                <c:ptCount val="1"/>
                <c:pt idx="0">
                  <c:v>Average Monthly Payment - 4 Week Avg (Boom Annual Up Front)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Data'!$BQ$5:$BQ$109</c:f>
              <c:numCache>
                <c:formatCode>#,##0</c:formatCode>
                <c:ptCount val="105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9-4E55-901A-1768CF634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Proportion of Monthly Payments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Data'!$BT$4</c:f>
              <c:strCache>
                <c:ptCount val="1"/>
                <c:pt idx="0">
                  <c:v>Average Monthly Payment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Data'!$BT$5:$BT$109</c:f>
              <c:numCache>
                <c:formatCode>0%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2.6369168364549667E-2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1-475C-9A7A-B45B47941FD4}"/>
            </c:ext>
          </c:extLst>
        </c:ser>
        <c:ser>
          <c:idx val="1"/>
          <c:order val="1"/>
          <c:tx>
            <c:strRef>
              <c:f>'Averages Graph Data'!$BU$4</c:f>
              <c:strCache>
                <c:ptCount val="1"/>
                <c:pt idx="0">
                  <c:v>Average Monthly Payment - 4 Week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Data'!$BU$5:$BU$109</c:f>
              <c:numCache>
                <c:formatCode>0%</c:formatCode>
                <c:ptCount val="105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3.7670240520785237E-3</c:v>
                </c:pt>
                <c:pt idx="71">
                  <c:v>3.7670240520785237E-3</c:v>
                </c:pt>
                <c:pt idx="72">
                  <c:v>3.7670240520785237E-3</c:v>
                </c:pt>
                <c:pt idx="73">
                  <c:v>3.7670240520785237E-3</c:v>
                </c:pt>
                <c:pt idx="74">
                  <c:v>3.7670240520785237E-3</c:v>
                </c:pt>
                <c:pt idx="75">
                  <c:v>3.7670240520785237E-3</c:v>
                </c:pt>
                <c:pt idx="76">
                  <c:v>3.7670240520785237E-3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1-475C-9A7A-B45B47941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Proportion</a:t>
                </a:r>
                <a:r>
                  <a:rPr lang="en-GB" b="1" baseline="0"/>
                  <a:t> Monthly Payments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PC Annual Direct: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Data'!$CV$4</c:f>
              <c:strCache>
                <c:ptCount val="1"/>
                <c:pt idx="0">
                  <c:v>Average Area Rating (PC Annual Direct)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Data'!$CV$5:$CV$109</c:f>
              <c:numCache>
                <c:formatCode>#,##0.0</c:formatCode>
                <c:ptCount val="105"/>
                <c:pt idx="0">
                  <c:v>47.713776138284672</c:v>
                </c:pt>
                <c:pt idx="1">
                  <c:v>46.817964794290447</c:v>
                </c:pt>
                <c:pt idx="2">
                  <c:v>45.615955125327908</c:v>
                </c:pt>
                <c:pt idx="3">
                  <c:v>47.617940216685831</c:v>
                </c:pt>
                <c:pt idx="4">
                  <c:v>47.972887449229496</c:v>
                </c:pt>
                <c:pt idx="5">
                  <c:v>46.015258227792998</c:v>
                </c:pt>
                <c:pt idx="6">
                  <c:v>45.63238224715397</c:v>
                </c:pt>
                <c:pt idx="7">
                  <c:v>46.985057306143787</c:v>
                </c:pt>
                <c:pt idx="8">
                  <c:v>47.91146829992644</c:v>
                </c:pt>
                <c:pt idx="9">
                  <c:v>47.968811173830083</c:v>
                </c:pt>
                <c:pt idx="10">
                  <c:v>48.298552585704499</c:v>
                </c:pt>
                <c:pt idx="11">
                  <c:v>50.00496015888821</c:v>
                </c:pt>
                <c:pt idx="12">
                  <c:v>49.593972097995575</c:v>
                </c:pt>
                <c:pt idx="13">
                  <c:v>49.447688599309274</c:v>
                </c:pt>
                <c:pt idx="14">
                  <c:v>50.991963920761833</c:v>
                </c:pt>
                <c:pt idx="15">
                  <c:v>48.763921768128483</c:v>
                </c:pt>
                <c:pt idx="16">
                  <c:v>49.744772608808375</c:v>
                </c:pt>
                <c:pt idx="17">
                  <c:v>47.490542180193366</c:v>
                </c:pt>
                <c:pt idx="18">
                  <c:v>49.988188574129786</c:v>
                </c:pt>
                <c:pt idx="19">
                  <c:v>48.479624067785338</c:v>
                </c:pt>
                <c:pt idx="20">
                  <c:v>48.301822540411841</c:v>
                </c:pt>
                <c:pt idx="21">
                  <c:v>48.943039618108671</c:v>
                </c:pt>
                <c:pt idx="22">
                  <c:v>47.791097152494856</c:v>
                </c:pt>
                <c:pt idx="23">
                  <c:v>47.202494699935826</c:v>
                </c:pt>
                <c:pt idx="24">
                  <c:v>46.53293118518701</c:v>
                </c:pt>
                <c:pt idx="25">
                  <c:v>47.777665495895391</c:v>
                </c:pt>
                <c:pt idx="26">
                  <c:v>47.152516702421956</c:v>
                </c:pt>
                <c:pt idx="27">
                  <c:v>45.907936422873505</c:v>
                </c:pt>
                <c:pt idx="28">
                  <c:v>44.455527676088842</c:v>
                </c:pt>
                <c:pt idx="29">
                  <c:v>45.630955558166427</c:v>
                </c:pt>
                <c:pt idx="30">
                  <c:v>47.311756210520102</c:v>
                </c:pt>
                <c:pt idx="31">
                  <c:v>45.85400732732009</c:v>
                </c:pt>
                <c:pt idx="32">
                  <c:v>45.636752072458229</c:v>
                </c:pt>
                <c:pt idx="33">
                  <c:v>45.835804959981026</c:v>
                </c:pt>
                <c:pt idx="34">
                  <c:v>45.93776939100529</c:v>
                </c:pt>
                <c:pt idx="35">
                  <c:v>46.728386833373129</c:v>
                </c:pt>
                <c:pt idx="36">
                  <c:v>46.51363482112265</c:v>
                </c:pt>
                <c:pt idx="37">
                  <c:v>46.205870886832955</c:v>
                </c:pt>
                <c:pt idx="38">
                  <c:v>46.866624140764998</c:v>
                </c:pt>
                <c:pt idx="39">
                  <c:v>46.822144627947353</c:v>
                </c:pt>
                <c:pt idx="40">
                  <c:v>45.642212814391712</c:v>
                </c:pt>
                <c:pt idx="41">
                  <c:v>45.54398981865252</c:v>
                </c:pt>
                <c:pt idx="42">
                  <c:v>44.463012053137184</c:v>
                </c:pt>
                <c:pt idx="43">
                  <c:v>45.205421855298944</c:v>
                </c:pt>
                <c:pt idx="44">
                  <c:v>44.187728543588143</c:v>
                </c:pt>
                <c:pt idx="45">
                  <c:v>44.237393846389331</c:v>
                </c:pt>
                <c:pt idx="46">
                  <c:v>43.525562314935755</c:v>
                </c:pt>
                <c:pt idx="47">
                  <c:v>44.289341177285493</c:v>
                </c:pt>
                <c:pt idx="48">
                  <c:v>45.350024492287368</c:v>
                </c:pt>
                <c:pt idx="49">
                  <c:v>44.119555237953712</c:v>
                </c:pt>
                <c:pt idx="50">
                  <c:v>44.146547988517113</c:v>
                </c:pt>
                <c:pt idx="51">
                  <c:v>43.927799974274357</c:v>
                </c:pt>
                <c:pt idx="52">
                  <c:v>43.834787049936331</c:v>
                </c:pt>
                <c:pt idx="53">
                  <c:v>43.599518240098739</c:v>
                </c:pt>
                <c:pt idx="54">
                  <c:v>42.73415650767236</c:v>
                </c:pt>
                <c:pt idx="55">
                  <c:v>43.375485405860765</c:v>
                </c:pt>
                <c:pt idx="56">
                  <c:v>42.798457796657459</c:v>
                </c:pt>
                <c:pt idx="57">
                  <c:v>42.23025082934295</c:v>
                </c:pt>
                <c:pt idx="58">
                  <c:v>41.749837128193604</c:v>
                </c:pt>
                <c:pt idx="59">
                  <c:v>41.839681270740712</c:v>
                </c:pt>
                <c:pt idx="60">
                  <c:v>40.53809690859849</c:v>
                </c:pt>
                <c:pt idx="61">
                  <c:v>39.524332078075545</c:v>
                </c:pt>
                <c:pt idx="62">
                  <c:v>41.431536240717733</c:v>
                </c:pt>
                <c:pt idx="63">
                  <c:v>41.973064176627013</c:v>
                </c:pt>
                <c:pt idx="64">
                  <c:v>42.904638637235486</c:v>
                </c:pt>
                <c:pt idx="65">
                  <c:v>42.68162856876377</c:v>
                </c:pt>
                <c:pt idx="66">
                  <c:v>43.759788300874163</c:v>
                </c:pt>
                <c:pt idx="67">
                  <c:v>43.936486716482115</c:v>
                </c:pt>
                <c:pt idx="68">
                  <c:v>44.195500916093067</c:v>
                </c:pt>
                <c:pt idx="69">
                  <c:v>45.714303306761778</c:v>
                </c:pt>
                <c:pt idx="70">
                  <c:v>44.219960890960628</c:v>
                </c:pt>
                <c:pt idx="71">
                  <c:v>44.715761822571352</c:v>
                </c:pt>
                <c:pt idx="72">
                  <c:v>43.51109333897211</c:v>
                </c:pt>
                <c:pt idx="73">
                  <c:v>44.448867195786974</c:v>
                </c:pt>
                <c:pt idx="74">
                  <c:v>43.466001823293276</c:v>
                </c:pt>
                <c:pt idx="75">
                  <c:v>44.493291453630476</c:v>
                </c:pt>
                <c:pt idx="76">
                  <c:v>42.974782894902702</c:v>
                </c:pt>
                <c:pt idx="77">
                  <c:v>44.16996047430829</c:v>
                </c:pt>
                <c:pt idx="78">
                  <c:v>43.684782608695677</c:v>
                </c:pt>
                <c:pt idx="79">
                  <c:v>43.323834196891241</c:v>
                </c:pt>
                <c:pt idx="80">
                  <c:v>42.731282051282015</c:v>
                </c:pt>
                <c:pt idx="81">
                  <c:v>42.813857290589425</c:v>
                </c:pt>
                <c:pt idx="82">
                  <c:v>43.2804232804233</c:v>
                </c:pt>
                <c:pt idx="83">
                  <c:v>43.847628657921298</c:v>
                </c:pt>
                <c:pt idx="84">
                  <c:v>43.48587055606194</c:v>
                </c:pt>
                <c:pt idx="85">
                  <c:v>41.993125659498546</c:v>
                </c:pt>
                <c:pt idx="86">
                  <c:v>42.27555110220441</c:v>
                </c:pt>
                <c:pt idx="87">
                  <c:v>43.67612524461839</c:v>
                </c:pt>
                <c:pt idx="88">
                  <c:v>43.736842105263165</c:v>
                </c:pt>
                <c:pt idx="89">
                  <c:v>44.072427983539072</c:v>
                </c:pt>
                <c:pt idx="90">
                  <c:v>44.032873806998936</c:v>
                </c:pt>
                <c:pt idx="91">
                  <c:v>44.350895679662813</c:v>
                </c:pt>
                <c:pt idx="92">
                  <c:v>45.269447576099232</c:v>
                </c:pt>
                <c:pt idx="93">
                  <c:v>42.028340080971667</c:v>
                </c:pt>
                <c:pt idx="94">
                  <c:v>42.36954314720812</c:v>
                </c:pt>
                <c:pt idx="95">
                  <c:v>43.164571428571435</c:v>
                </c:pt>
                <c:pt idx="96">
                  <c:v>43.68310727496921</c:v>
                </c:pt>
                <c:pt idx="97">
                  <c:v>41.820965842167276</c:v>
                </c:pt>
                <c:pt idx="98">
                  <c:v>42.234042553191458</c:v>
                </c:pt>
                <c:pt idx="99">
                  <c:v>42.003440366972484</c:v>
                </c:pt>
                <c:pt idx="100">
                  <c:v>44.290148448043219</c:v>
                </c:pt>
                <c:pt idx="101">
                  <c:v>42.267489711934196</c:v>
                </c:pt>
                <c:pt idx="102">
                  <c:v>41.113636363636388</c:v>
                </c:pt>
                <c:pt idx="103">
                  <c:v>43.59870550161817</c:v>
                </c:pt>
                <c:pt idx="104">
                  <c:v>43.745625841184413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AB-4CAE-8802-265202765BAA}"/>
            </c:ext>
          </c:extLst>
        </c:ser>
        <c:ser>
          <c:idx val="1"/>
          <c:order val="1"/>
          <c:tx>
            <c:strRef>
              <c:f>'Averages Graph Data'!$CW$4</c:f>
              <c:strCache>
                <c:ptCount val="1"/>
                <c:pt idx="0">
                  <c:v>Average Area Rating - 4 Week Avg (PC Annual Direct)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Data'!$CW$5:$CW$109</c:f>
              <c:numCache>
                <c:formatCode>#,##0</c:formatCode>
                <c:ptCount val="105"/>
                <c:pt idx="3">
                  <c:v>46.941409068647218</c:v>
                </c:pt>
                <c:pt idx="4">
                  <c:v>47.006186896383419</c:v>
                </c:pt>
                <c:pt idx="5">
                  <c:v>46.805510254759056</c:v>
                </c:pt>
                <c:pt idx="6">
                  <c:v>46.809617035215574</c:v>
                </c:pt>
                <c:pt idx="7">
                  <c:v>46.651396307580058</c:v>
                </c:pt>
                <c:pt idx="8">
                  <c:v>46.636041520254302</c:v>
                </c:pt>
                <c:pt idx="9">
                  <c:v>47.124429756763575</c:v>
                </c:pt>
                <c:pt idx="10">
                  <c:v>47.790972341401201</c:v>
                </c:pt>
                <c:pt idx="11">
                  <c:v>48.545948054587313</c:v>
                </c:pt>
                <c:pt idx="12">
                  <c:v>48.966574004104586</c:v>
                </c:pt>
                <c:pt idx="13">
                  <c:v>49.336293360474386</c:v>
                </c:pt>
                <c:pt idx="14">
                  <c:v>50.009646194238719</c:v>
                </c:pt>
                <c:pt idx="15">
                  <c:v>49.699386596548791</c:v>
                </c:pt>
                <c:pt idx="16">
                  <c:v>49.737086724251995</c:v>
                </c:pt>
                <c:pt idx="17">
                  <c:v>49.247800119473013</c:v>
                </c:pt>
                <c:pt idx="18">
                  <c:v>48.996856282815003</c:v>
                </c:pt>
                <c:pt idx="19">
                  <c:v>48.92578185772922</c:v>
                </c:pt>
                <c:pt idx="20">
                  <c:v>48.565044340630088</c:v>
                </c:pt>
                <c:pt idx="21">
                  <c:v>48.928168700108913</c:v>
                </c:pt>
                <c:pt idx="22">
                  <c:v>48.378895844700168</c:v>
                </c:pt>
                <c:pt idx="23">
                  <c:v>48.05961350273779</c:v>
                </c:pt>
                <c:pt idx="24">
                  <c:v>47.617390663931587</c:v>
                </c:pt>
                <c:pt idx="25">
                  <c:v>47.326047133378268</c:v>
                </c:pt>
                <c:pt idx="26">
                  <c:v>47.166402020860048</c:v>
                </c:pt>
                <c:pt idx="27">
                  <c:v>46.842762451594467</c:v>
                </c:pt>
                <c:pt idx="28">
                  <c:v>46.323411574319927</c:v>
                </c:pt>
                <c:pt idx="29">
                  <c:v>45.78673408988768</c:v>
                </c:pt>
                <c:pt idx="30">
                  <c:v>45.826543966912212</c:v>
                </c:pt>
                <c:pt idx="31">
                  <c:v>45.813061693023862</c:v>
                </c:pt>
                <c:pt idx="32">
                  <c:v>46.108367792116212</c:v>
                </c:pt>
                <c:pt idx="33">
                  <c:v>46.159580142569865</c:v>
                </c:pt>
                <c:pt idx="34">
                  <c:v>45.816083437691162</c:v>
                </c:pt>
                <c:pt idx="35">
                  <c:v>46.034678314204413</c:v>
                </c:pt>
                <c:pt idx="36">
                  <c:v>46.25389900137052</c:v>
                </c:pt>
                <c:pt idx="37">
                  <c:v>46.346415483083504</c:v>
                </c:pt>
                <c:pt idx="38">
                  <c:v>46.578629170523428</c:v>
                </c:pt>
                <c:pt idx="39">
                  <c:v>46.602068619166985</c:v>
                </c:pt>
                <c:pt idx="40">
                  <c:v>46.384213117484251</c:v>
                </c:pt>
                <c:pt idx="41">
                  <c:v>46.218742850439142</c:v>
                </c:pt>
                <c:pt idx="42">
                  <c:v>45.61783982853219</c:v>
                </c:pt>
                <c:pt idx="43">
                  <c:v>45.213659135370087</c:v>
                </c:pt>
                <c:pt idx="44">
                  <c:v>44.850038067669196</c:v>
                </c:pt>
                <c:pt idx="45">
                  <c:v>44.523389074603401</c:v>
                </c:pt>
                <c:pt idx="46">
                  <c:v>44.289026640053038</c:v>
                </c:pt>
                <c:pt idx="47">
                  <c:v>44.060006470549681</c:v>
                </c:pt>
                <c:pt idx="48">
                  <c:v>44.350580457724483</c:v>
                </c:pt>
                <c:pt idx="49">
                  <c:v>44.321120805615578</c:v>
                </c:pt>
                <c:pt idx="50">
                  <c:v>44.476367224010922</c:v>
                </c:pt>
                <c:pt idx="51">
                  <c:v>44.385981923258143</c:v>
                </c:pt>
                <c:pt idx="52">
                  <c:v>44.007172562670377</c:v>
                </c:pt>
                <c:pt idx="53">
                  <c:v>43.877163313206637</c:v>
                </c:pt>
                <c:pt idx="54">
                  <c:v>43.52406544299545</c:v>
                </c:pt>
                <c:pt idx="55">
                  <c:v>43.385986800892049</c:v>
                </c:pt>
                <c:pt idx="56">
                  <c:v>43.126904487572332</c:v>
                </c:pt>
                <c:pt idx="57">
                  <c:v>42.78458763488338</c:v>
                </c:pt>
                <c:pt idx="58">
                  <c:v>42.538507790013689</c:v>
                </c:pt>
                <c:pt idx="59">
                  <c:v>42.154556756233681</c:v>
                </c:pt>
                <c:pt idx="60">
                  <c:v>41.589466534218943</c:v>
                </c:pt>
                <c:pt idx="61">
                  <c:v>40.912986846402092</c:v>
                </c:pt>
                <c:pt idx="62">
                  <c:v>40.83341162453312</c:v>
                </c:pt>
                <c:pt idx="63">
                  <c:v>40.866757351004694</c:v>
                </c:pt>
                <c:pt idx="64">
                  <c:v>41.458392783163944</c:v>
                </c:pt>
                <c:pt idx="65">
                  <c:v>42.247716905836</c:v>
                </c:pt>
                <c:pt idx="66">
                  <c:v>42.829779920875112</c:v>
                </c:pt>
                <c:pt idx="67">
                  <c:v>43.320635555838884</c:v>
                </c:pt>
                <c:pt idx="68">
                  <c:v>43.643351125553281</c:v>
                </c:pt>
                <c:pt idx="69">
                  <c:v>44.401519810052775</c:v>
                </c:pt>
                <c:pt idx="70">
                  <c:v>44.516562957574394</c:v>
                </c:pt>
                <c:pt idx="71">
                  <c:v>44.711381734096705</c:v>
                </c:pt>
                <c:pt idx="72">
                  <c:v>44.540279839816463</c:v>
                </c:pt>
                <c:pt idx="73">
                  <c:v>44.223920812072762</c:v>
                </c:pt>
                <c:pt idx="74">
                  <c:v>44.035431045155924</c:v>
                </c:pt>
                <c:pt idx="75">
                  <c:v>43.979813452920709</c:v>
                </c:pt>
                <c:pt idx="76">
                  <c:v>43.845735841903362</c:v>
                </c:pt>
                <c:pt idx="77">
                  <c:v>43.776009161533686</c:v>
                </c:pt>
                <c:pt idx="78">
                  <c:v>43.830704357884287</c:v>
                </c:pt>
                <c:pt idx="79">
                  <c:v>43.538340043699478</c:v>
                </c:pt>
                <c:pt idx="80">
                  <c:v>43.477464832794304</c:v>
                </c:pt>
                <c:pt idx="81">
                  <c:v>43.13843903686459</c:v>
                </c:pt>
                <c:pt idx="82">
                  <c:v>43.037349204796492</c:v>
                </c:pt>
                <c:pt idx="83">
                  <c:v>43.168297820054008</c:v>
                </c:pt>
                <c:pt idx="84">
                  <c:v>43.356944946248987</c:v>
                </c:pt>
                <c:pt idx="85">
                  <c:v>43.151762038476278</c:v>
                </c:pt>
                <c:pt idx="86">
                  <c:v>42.900543993921545</c:v>
                </c:pt>
                <c:pt idx="87">
                  <c:v>42.85766814059582</c:v>
                </c:pt>
                <c:pt idx="88">
                  <c:v>42.920411027896122</c:v>
                </c:pt>
                <c:pt idx="89">
                  <c:v>43.440236608906261</c:v>
                </c:pt>
                <c:pt idx="90">
                  <c:v>43.879567285104891</c:v>
                </c:pt>
                <c:pt idx="91">
                  <c:v>44.048259893865996</c:v>
                </c:pt>
                <c:pt idx="92">
                  <c:v>44.431411261575015</c:v>
                </c:pt>
                <c:pt idx="93">
                  <c:v>43.920389285933162</c:v>
                </c:pt>
                <c:pt idx="94">
                  <c:v>43.504556620985454</c:v>
                </c:pt>
                <c:pt idx="95">
                  <c:v>43.20797555821261</c:v>
                </c:pt>
                <c:pt idx="96">
                  <c:v>42.811390482930108</c:v>
                </c:pt>
                <c:pt idx="97">
                  <c:v>42.75954692322901</c:v>
                </c:pt>
                <c:pt idx="98">
                  <c:v>42.725671774724844</c:v>
                </c:pt>
                <c:pt idx="99">
                  <c:v>42.435389009325107</c:v>
                </c:pt>
                <c:pt idx="100">
                  <c:v>42.587149302593609</c:v>
                </c:pt>
                <c:pt idx="101">
                  <c:v>42.698780270035336</c:v>
                </c:pt>
                <c:pt idx="102">
                  <c:v>42.418678722646575</c:v>
                </c:pt>
                <c:pt idx="103">
                  <c:v>42.817495006307993</c:v>
                </c:pt>
                <c:pt idx="104">
                  <c:v>42.681364354593292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AB-4CAE-8802-265202765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5"/>
          <c:min val="4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Annual: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Data'!$CZ$4</c:f>
              <c:strCache>
                <c:ptCount val="1"/>
                <c:pt idx="0">
                  <c:v>Average Area Rating (Boom Annual Up Front)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Data'!$CZ$5:$CZ$109</c:f>
              <c:numCache>
                <c:formatCode>#,##0.0</c:formatCode>
                <c:ptCount val="105"/>
                <c:pt idx="0">
                  <c:v>53.166666666666671</c:v>
                </c:pt>
                <c:pt idx="1">
                  <c:v>51.911764705882348</c:v>
                </c:pt>
                <c:pt idx="2">
                  <c:v>50.103305785123965</c:v>
                </c:pt>
                <c:pt idx="3">
                  <c:v>52.230046948356808</c:v>
                </c:pt>
                <c:pt idx="4">
                  <c:v>53.441441441441441</c:v>
                </c:pt>
                <c:pt idx="5">
                  <c:v>48.842342342342327</c:v>
                </c:pt>
                <c:pt idx="6">
                  <c:v>49.892156862745111</c:v>
                </c:pt>
                <c:pt idx="7">
                  <c:v>52.59195402298851</c:v>
                </c:pt>
                <c:pt idx="8">
                  <c:v>52.067510548523209</c:v>
                </c:pt>
                <c:pt idx="9">
                  <c:v>51.992982456140339</c:v>
                </c:pt>
                <c:pt idx="10">
                  <c:v>52.561514195583591</c:v>
                </c:pt>
                <c:pt idx="11">
                  <c:v>53.876068376068353</c:v>
                </c:pt>
                <c:pt idx="12">
                  <c:v>52.847150259067355</c:v>
                </c:pt>
                <c:pt idx="13">
                  <c:v>52.625292740046831</c:v>
                </c:pt>
                <c:pt idx="14">
                  <c:v>54.621621621621593</c:v>
                </c:pt>
                <c:pt idx="15">
                  <c:v>51.696763202725691</c:v>
                </c:pt>
                <c:pt idx="16">
                  <c:v>52.630653266331663</c:v>
                </c:pt>
                <c:pt idx="17">
                  <c:v>49.121896162528216</c:v>
                </c:pt>
                <c:pt idx="18">
                  <c:v>53.075688073394474</c:v>
                </c:pt>
                <c:pt idx="19">
                  <c:v>51.942249240121569</c:v>
                </c:pt>
                <c:pt idx="20">
                  <c:v>50.985029940119759</c:v>
                </c:pt>
                <c:pt idx="21">
                  <c:v>51.216783216783206</c:v>
                </c:pt>
                <c:pt idx="22">
                  <c:v>49.700748129675809</c:v>
                </c:pt>
                <c:pt idx="23">
                  <c:v>49.43150684931507</c:v>
                </c:pt>
                <c:pt idx="24">
                  <c:v>50.092369477911632</c:v>
                </c:pt>
                <c:pt idx="25">
                  <c:v>50.994334277620396</c:v>
                </c:pt>
                <c:pt idx="26">
                  <c:v>50.363157894736837</c:v>
                </c:pt>
                <c:pt idx="27">
                  <c:v>47.968292682926823</c:v>
                </c:pt>
                <c:pt idx="28">
                  <c:v>46.933167160829605</c:v>
                </c:pt>
                <c:pt idx="29">
                  <c:v>48.296037296037355</c:v>
                </c:pt>
                <c:pt idx="30">
                  <c:v>50.095528455284629</c:v>
                </c:pt>
                <c:pt idx="31">
                  <c:v>50.443254817987224</c:v>
                </c:pt>
                <c:pt idx="32">
                  <c:v>47.659836065573842</c:v>
                </c:pt>
                <c:pt idx="33">
                  <c:v>48.142034548944395</c:v>
                </c:pt>
                <c:pt idx="34">
                  <c:v>49.298283261802645</c:v>
                </c:pt>
                <c:pt idx="35">
                  <c:v>52.007142857142931</c:v>
                </c:pt>
                <c:pt idx="36">
                  <c:v>51.860215053763511</c:v>
                </c:pt>
                <c:pt idx="37">
                  <c:v>50.863138686131443</c:v>
                </c:pt>
                <c:pt idx="38">
                  <c:v>51.752232142857203</c:v>
                </c:pt>
                <c:pt idx="39">
                  <c:v>52.307174887892444</c:v>
                </c:pt>
                <c:pt idx="40">
                  <c:v>49.03991596638663</c:v>
                </c:pt>
                <c:pt idx="41">
                  <c:v>49.247058823529471</c:v>
                </c:pt>
                <c:pt idx="42">
                  <c:v>47.135391923990532</c:v>
                </c:pt>
                <c:pt idx="43">
                  <c:v>47.468030690537134</c:v>
                </c:pt>
                <c:pt idx="44">
                  <c:v>47.90000000000007</c:v>
                </c:pt>
                <c:pt idx="45">
                  <c:v>48.971014492753646</c:v>
                </c:pt>
                <c:pt idx="46">
                  <c:v>48.681081081081125</c:v>
                </c:pt>
                <c:pt idx="47">
                  <c:v>48.25705329153606</c:v>
                </c:pt>
                <c:pt idx="48">
                  <c:v>51.103092783505147</c:v>
                </c:pt>
                <c:pt idx="49">
                  <c:v>49.577181208053702</c:v>
                </c:pt>
                <c:pt idx="50">
                  <c:v>48.264150943396238</c:v>
                </c:pt>
                <c:pt idx="51">
                  <c:v>47.084388185654021</c:v>
                </c:pt>
                <c:pt idx="52">
                  <c:v>48.275590551181097</c:v>
                </c:pt>
                <c:pt idx="53">
                  <c:v>47.031250000000021</c:v>
                </c:pt>
                <c:pt idx="54">
                  <c:v>48.075000000000003</c:v>
                </c:pt>
                <c:pt idx="55">
                  <c:v>45.979865771812086</c:v>
                </c:pt>
                <c:pt idx="56">
                  <c:v>49.250000000000021</c:v>
                </c:pt>
                <c:pt idx="57">
                  <c:v>47.252873563218394</c:v>
                </c:pt>
                <c:pt idx="58">
                  <c:v>45.304000000000009</c:v>
                </c:pt>
                <c:pt idx="59">
                  <c:v>43.315175097276281</c:v>
                </c:pt>
                <c:pt idx="60">
                  <c:v>44.786407766990294</c:v>
                </c:pt>
                <c:pt idx="61">
                  <c:v>42.862499999999997</c:v>
                </c:pt>
                <c:pt idx="62">
                  <c:v>46.21843003412971</c:v>
                </c:pt>
                <c:pt idx="63">
                  <c:v>48.706081081081095</c:v>
                </c:pt>
                <c:pt idx="64">
                  <c:v>46.478813559322035</c:v>
                </c:pt>
                <c:pt idx="65">
                  <c:v>47.317269076305244</c:v>
                </c:pt>
                <c:pt idx="66">
                  <c:v>45.300578034682097</c:v>
                </c:pt>
                <c:pt idx="67">
                  <c:v>49.539215686274524</c:v>
                </c:pt>
                <c:pt idx="68">
                  <c:v>49.281733746130044</c:v>
                </c:pt>
                <c:pt idx="69">
                  <c:v>49.513157894736878</c:v>
                </c:pt>
                <c:pt idx="70">
                  <c:v>49.913978494623663</c:v>
                </c:pt>
                <c:pt idx="71">
                  <c:v>48.265765765765757</c:v>
                </c:pt>
                <c:pt idx="72">
                  <c:v>48.164251207729471</c:v>
                </c:pt>
                <c:pt idx="73">
                  <c:v>48.494252873563219</c:v>
                </c:pt>
                <c:pt idx="74">
                  <c:v>46.885714285714279</c:v>
                </c:pt>
                <c:pt idx="75">
                  <c:v>52.143589743589743</c:v>
                </c:pt>
                <c:pt idx="76">
                  <c:v>48.089795918367344</c:v>
                </c:pt>
                <c:pt idx="77">
                  <c:v>47.883116883116905</c:v>
                </c:pt>
                <c:pt idx="78">
                  <c:v>46.827956989247319</c:v>
                </c:pt>
                <c:pt idx="79">
                  <c:v>47.108695652173907</c:v>
                </c:pt>
                <c:pt idx="80">
                  <c:v>46.640394088669957</c:v>
                </c:pt>
                <c:pt idx="81">
                  <c:v>48.021857923497265</c:v>
                </c:pt>
                <c:pt idx="82">
                  <c:v>47.974489795918373</c:v>
                </c:pt>
                <c:pt idx="83">
                  <c:v>47.175257731958766</c:v>
                </c:pt>
                <c:pt idx="84">
                  <c:v>48.280952380952385</c:v>
                </c:pt>
                <c:pt idx="85">
                  <c:v>48.766519823788556</c:v>
                </c:pt>
                <c:pt idx="86">
                  <c:v>46.890109890109883</c:v>
                </c:pt>
                <c:pt idx="87">
                  <c:v>50.144999999999996</c:v>
                </c:pt>
                <c:pt idx="88">
                  <c:v>50.245098039215691</c:v>
                </c:pt>
                <c:pt idx="89">
                  <c:v>47.007905138339943</c:v>
                </c:pt>
                <c:pt idx="90">
                  <c:v>48.394088669950733</c:v>
                </c:pt>
                <c:pt idx="91">
                  <c:v>49.049504950495056</c:v>
                </c:pt>
                <c:pt idx="92">
                  <c:v>48.639593908629429</c:v>
                </c:pt>
                <c:pt idx="93">
                  <c:v>45.916666666666664</c:v>
                </c:pt>
                <c:pt idx="94">
                  <c:v>47.044117647058812</c:v>
                </c:pt>
                <c:pt idx="95">
                  <c:v>46.749999999999993</c:v>
                </c:pt>
                <c:pt idx="96">
                  <c:v>50.205405405405408</c:v>
                </c:pt>
                <c:pt idx="97">
                  <c:v>46.3139534883721</c:v>
                </c:pt>
                <c:pt idx="98">
                  <c:v>46.318627450980387</c:v>
                </c:pt>
                <c:pt idx="99">
                  <c:v>43.774869109947652</c:v>
                </c:pt>
                <c:pt idx="100">
                  <c:v>48.694805194805191</c:v>
                </c:pt>
                <c:pt idx="101">
                  <c:v>47.537500000000001</c:v>
                </c:pt>
                <c:pt idx="102">
                  <c:v>43.018749999999997</c:v>
                </c:pt>
                <c:pt idx="103">
                  <c:v>47.541353383458656</c:v>
                </c:pt>
                <c:pt idx="104">
                  <c:v>49.865853658536572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7-4142-ACE7-EB8EFAAE5212}"/>
            </c:ext>
          </c:extLst>
        </c:ser>
        <c:ser>
          <c:idx val="1"/>
          <c:order val="1"/>
          <c:tx>
            <c:strRef>
              <c:f>'Averages Graph Data'!$DA$4</c:f>
              <c:strCache>
                <c:ptCount val="1"/>
                <c:pt idx="0">
                  <c:v>Average Area Rating - 4 Week Avg (Boom Annual Up Front)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Data'!$DA$5:$DA$109</c:f>
              <c:numCache>
                <c:formatCode>#,##0.0</c:formatCode>
                <c:ptCount val="105"/>
                <c:pt idx="3">
                  <c:v>51.852946026507446</c:v>
                </c:pt>
                <c:pt idx="4">
                  <c:v>51.921639720201142</c:v>
                </c:pt>
                <c:pt idx="5">
                  <c:v>51.154284129316139</c:v>
                </c:pt>
                <c:pt idx="6">
                  <c:v>51.101496898721422</c:v>
                </c:pt>
                <c:pt idx="7">
                  <c:v>51.191973667379351</c:v>
                </c:pt>
                <c:pt idx="8">
                  <c:v>50.848490944149795</c:v>
                </c:pt>
                <c:pt idx="9">
                  <c:v>51.636150972599296</c:v>
                </c:pt>
                <c:pt idx="10">
                  <c:v>52.303490305808907</c:v>
                </c:pt>
                <c:pt idx="11">
                  <c:v>52.624518894078875</c:v>
                </c:pt>
                <c:pt idx="12">
                  <c:v>52.819428821714908</c:v>
                </c:pt>
                <c:pt idx="13">
                  <c:v>52.977506392691531</c:v>
                </c:pt>
                <c:pt idx="14">
                  <c:v>53.492533249201031</c:v>
                </c:pt>
                <c:pt idx="15">
                  <c:v>52.947706955865364</c:v>
                </c:pt>
                <c:pt idx="16">
                  <c:v>52.893582707681446</c:v>
                </c:pt>
                <c:pt idx="17">
                  <c:v>52.017733563301789</c:v>
                </c:pt>
                <c:pt idx="18">
                  <c:v>51.631250176245011</c:v>
                </c:pt>
                <c:pt idx="19">
                  <c:v>51.692621685593977</c:v>
                </c:pt>
                <c:pt idx="20">
                  <c:v>51.281215854041008</c:v>
                </c:pt>
                <c:pt idx="21">
                  <c:v>51.80493761760475</c:v>
                </c:pt>
                <c:pt idx="22">
                  <c:v>50.961202631675086</c:v>
                </c:pt>
                <c:pt idx="23">
                  <c:v>50.333517033973465</c:v>
                </c:pt>
                <c:pt idx="24">
                  <c:v>50.110351918421429</c:v>
                </c:pt>
                <c:pt idx="25">
                  <c:v>50.054739683630729</c:v>
                </c:pt>
                <c:pt idx="26">
                  <c:v>50.220342124895986</c:v>
                </c:pt>
                <c:pt idx="27">
                  <c:v>49.854538583298925</c:v>
                </c:pt>
                <c:pt idx="28">
                  <c:v>49.06473800402842</c:v>
                </c:pt>
                <c:pt idx="29">
                  <c:v>48.390163758632653</c:v>
                </c:pt>
                <c:pt idx="30">
                  <c:v>48.323256398769601</c:v>
                </c:pt>
                <c:pt idx="31">
                  <c:v>48.941996932534707</c:v>
                </c:pt>
                <c:pt idx="32">
                  <c:v>49.123664158720764</c:v>
                </c:pt>
                <c:pt idx="33">
                  <c:v>49.085163471947524</c:v>
                </c:pt>
                <c:pt idx="34">
                  <c:v>48.885852173577028</c:v>
                </c:pt>
                <c:pt idx="35">
                  <c:v>49.276824183365953</c:v>
                </c:pt>
                <c:pt idx="36">
                  <c:v>50.32691893041337</c:v>
                </c:pt>
                <c:pt idx="37">
                  <c:v>51.007194964710131</c:v>
                </c:pt>
                <c:pt idx="38">
                  <c:v>51.620682184973766</c:v>
                </c:pt>
                <c:pt idx="39">
                  <c:v>51.695690192661147</c:v>
                </c:pt>
                <c:pt idx="40">
                  <c:v>50.990615420816923</c:v>
                </c:pt>
                <c:pt idx="41">
                  <c:v>50.586595455166432</c:v>
                </c:pt>
                <c:pt idx="42">
                  <c:v>49.432385400449775</c:v>
                </c:pt>
                <c:pt idx="43">
                  <c:v>48.222599351110944</c:v>
                </c:pt>
                <c:pt idx="44">
                  <c:v>47.937620359514305</c:v>
                </c:pt>
                <c:pt idx="45">
                  <c:v>47.868609276820344</c:v>
                </c:pt>
                <c:pt idx="46">
                  <c:v>48.255031566092995</c:v>
                </c:pt>
                <c:pt idx="47">
                  <c:v>48.452287216342725</c:v>
                </c:pt>
                <c:pt idx="48">
                  <c:v>49.253060412219</c:v>
                </c:pt>
                <c:pt idx="49">
                  <c:v>49.404602091044005</c:v>
                </c:pt>
                <c:pt idx="50">
                  <c:v>49.300369556622783</c:v>
                </c:pt>
                <c:pt idx="51">
                  <c:v>49.007203280152282</c:v>
                </c:pt>
                <c:pt idx="52">
                  <c:v>48.300327722071259</c:v>
                </c:pt>
                <c:pt idx="53">
                  <c:v>47.663844920057848</c:v>
                </c:pt>
                <c:pt idx="54">
                  <c:v>47.616557184208787</c:v>
                </c:pt>
                <c:pt idx="55">
                  <c:v>47.340426580748307</c:v>
                </c:pt>
                <c:pt idx="56">
                  <c:v>47.584028942953033</c:v>
                </c:pt>
                <c:pt idx="57">
                  <c:v>47.639434833757626</c:v>
                </c:pt>
                <c:pt idx="58">
                  <c:v>46.946684833757629</c:v>
                </c:pt>
                <c:pt idx="59">
                  <c:v>46.280512165123682</c:v>
                </c:pt>
                <c:pt idx="60">
                  <c:v>45.164614106871241</c:v>
                </c:pt>
                <c:pt idx="61">
                  <c:v>44.067020716066651</c:v>
                </c:pt>
                <c:pt idx="62">
                  <c:v>44.295628224599071</c:v>
                </c:pt>
                <c:pt idx="63">
                  <c:v>45.643354720550278</c:v>
                </c:pt>
                <c:pt idx="64">
                  <c:v>46.066456168633209</c:v>
                </c:pt>
                <c:pt idx="65">
                  <c:v>47.180148437709519</c:v>
                </c:pt>
                <c:pt idx="66">
                  <c:v>46.950685437847618</c:v>
                </c:pt>
                <c:pt idx="67">
                  <c:v>47.158969089145977</c:v>
                </c:pt>
                <c:pt idx="68">
                  <c:v>47.859699135847976</c:v>
                </c:pt>
                <c:pt idx="69">
                  <c:v>48.408671340455882</c:v>
                </c:pt>
                <c:pt idx="70">
                  <c:v>49.562021455441283</c:v>
                </c:pt>
                <c:pt idx="71">
                  <c:v>49.243658975314091</c:v>
                </c:pt>
                <c:pt idx="72">
                  <c:v>48.964288340713942</c:v>
                </c:pt>
                <c:pt idx="73">
                  <c:v>48.709562085420529</c:v>
                </c:pt>
                <c:pt idx="74">
                  <c:v>47.952496033193178</c:v>
                </c:pt>
                <c:pt idx="75">
                  <c:v>48.921952027649183</c:v>
                </c:pt>
                <c:pt idx="76">
                  <c:v>48.90333820530865</c:v>
                </c:pt>
                <c:pt idx="77">
                  <c:v>48.750554207697071</c:v>
                </c:pt>
                <c:pt idx="78">
                  <c:v>48.736114883580328</c:v>
                </c:pt>
                <c:pt idx="79">
                  <c:v>47.477391360726372</c:v>
                </c:pt>
                <c:pt idx="80">
                  <c:v>47.115040903302017</c:v>
                </c:pt>
                <c:pt idx="81">
                  <c:v>47.149726163397112</c:v>
                </c:pt>
                <c:pt idx="82">
                  <c:v>47.436359365064874</c:v>
                </c:pt>
                <c:pt idx="83">
                  <c:v>47.452999885011089</c:v>
                </c:pt>
                <c:pt idx="84">
                  <c:v>47.863139458081697</c:v>
                </c:pt>
                <c:pt idx="85">
                  <c:v>48.049304933154517</c:v>
                </c:pt>
                <c:pt idx="86">
                  <c:v>47.778209956702398</c:v>
                </c:pt>
                <c:pt idx="87">
                  <c:v>48.520645523712702</c:v>
                </c:pt>
                <c:pt idx="88">
                  <c:v>49.011681938278528</c:v>
                </c:pt>
                <c:pt idx="89">
                  <c:v>48.572028266916377</c:v>
                </c:pt>
                <c:pt idx="90">
                  <c:v>48.948022961876589</c:v>
                </c:pt>
                <c:pt idx="91">
                  <c:v>48.674149199500356</c:v>
                </c:pt>
                <c:pt idx="92">
                  <c:v>48.272773166853788</c:v>
                </c:pt>
                <c:pt idx="93">
                  <c:v>47.999963548935469</c:v>
                </c:pt>
                <c:pt idx="94">
                  <c:v>47.662470793212492</c:v>
                </c:pt>
                <c:pt idx="95">
                  <c:v>47.087594555588723</c:v>
                </c:pt>
                <c:pt idx="96">
                  <c:v>47.479047429782717</c:v>
                </c:pt>
                <c:pt idx="97">
                  <c:v>47.57836913520908</c:v>
                </c:pt>
                <c:pt idx="98">
                  <c:v>47.396996586189474</c:v>
                </c:pt>
                <c:pt idx="99">
                  <c:v>46.653213863676385</c:v>
                </c:pt>
                <c:pt idx="100">
                  <c:v>46.275563811026331</c:v>
                </c:pt>
                <c:pt idx="101">
                  <c:v>46.581450438933302</c:v>
                </c:pt>
                <c:pt idx="102">
                  <c:v>45.756481076188209</c:v>
                </c:pt>
                <c:pt idx="103">
                  <c:v>46.698102144565965</c:v>
                </c:pt>
                <c:pt idx="104">
                  <c:v>46.990864260498803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7-4142-ACE7-EB8EFAAE5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56"/>
          <c:min val="4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Boom Subscription: Average Area Rating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Graph Data'!$DD$4</c:f>
              <c:strCache>
                <c:ptCount val="1"/>
                <c:pt idx="0">
                  <c:v>Average Area Rating (Boom Subscription)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Data'!$DD$5:$DD$109</c:f>
              <c:numCache>
                <c:formatCode>#,##0.0</c:formatCode>
                <c:ptCount val="105"/>
                <c:pt idx="0">
                  <c:v>43.398466419883555</c:v>
                </c:pt>
                <c:pt idx="1">
                  <c:v>43.145169322709059</c:v>
                </c:pt>
                <c:pt idx="2">
                  <c:v>42.572427879367694</c:v>
                </c:pt>
                <c:pt idx="3">
                  <c:v>44.318121163597546</c:v>
                </c:pt>
                <c:pt idx="4">
                  <c:v>43.91556027615507</c:v>
                </c:pt>
                <c:pt idx="5">
                  <c:v>43.98146240988671</c:v>
                </c:pt>
                <c:pt idx="6">
                  <c:v>42.915031055900606</c:v>
                </c:pt>
                <c:pt idx="7">
                  <c:v>44.271629303248872</c:v>
                </c:pt>
                <c:pt idx="8">
                  <c:v>44.627295149355795</c:v>
                </c:pt>
                <c:pt idx="9">
                  <c:v>44.573722627737041</c:v>
                </c:pt>
                <c:pt idx="10">
                  <c:v>44.37643129770975</c:v>
                </c:pt>
                <c:pt idx="11">
                  <c:v>44.893632316271258</c:v>
                </c:pt>
                <c:pt idx="12">
                  <c:v>45.550780250703504</c:v>
                </c:pt>
                <c:pt idx="13">
                  <c:v>45.32270531400966</c:v>
                </c:pt>
                <c:pt idx="14">
                  <c:v>45.825299788384669</c:v>
                </c:pt>
                <c:pt idx="15">
                  <c:v>44.805398765258438</c:v>
                </c:pt>
                <c:pt idx="16">
                  <c:v>46.323867809057354</c:v>
                </c:pt>
                <c:pt idx="17">
                  <c:v>45.475710357470007</c:v>
                </c:pt>
                <c:pt idx="18">
                  <c:v>46.327447474295703</c:v>
                </c:pt>
                <c:pt idx="19">
                  <c:v>45.465202261852802</c:v>
                </c:pt>
                <c:pt idx="20">
                  <c:v>45.980413029593187</c:v>
                </c:pt>
                <c:pt idx="21">
                  <c:v>46.251927437641548</c:v>
                </c:pt>
                <c:pt idx="22">
                  <c:v>45.774458874458695</c:v>
                </c:pt>
                <c:pt idx="23">
                  <c:v>46.214953271027873</c:v>
                </c:pt>
                <c:pt idx="24">
                  <c:v>45.803998474216797</c:v>
                </c:pt>
                <c:pt idx="25">
                  <c:v>47.025453629032015</c:v>
                </c:pt>
                <c:pt idx="26">
                  <c:v>46.100303242360511</c:v>
                </c:pt>
                <c:pt idx="27">
                  <c:v>46.681839847473597</c:v>
                </c:pt>
                <c:pt idx="28">
                  <c:v>45.940937287837684</c:v>
                </c:pt>
                <c:pt idx="29">
                  <c:v>47.654453213077865</c:v>
                </c:pt>
                <c:pt idx="30">
                  <c:v>46.757196162046917</c:v>
                </c:pt>
                <c:pt idx="31">
                  <c:v>46.901950448075922</c:v>
                </c:pt>
                <c:pt idx="32">
                  <c:v>46.562936087078</c:v>
                </c:pt>
                <c:pt idx="33">
                  <c:v>47.348832035688723</c:v>
                </c:pt>
                <c:pt idx="34">
                  <c:v>47.354658385092868</c:v>
                </c:pt>
                <c:pt idx="35">
                  <c:v>46.851165570830531</c:v>
                </c:pt>
                <c:pt idx="36">
                  <c:v>47.422096317280158</c:v>
                </c:pt>
                <c:pt idx="37">
                  <c:v>47.24331878971568</c:v>
                </c:pt>
                <c:pt idx="38">
                  <c:v>48.145760336370216</c:v>
                </c:pt>
                <c:pt idx="39">
                  <c:v>48.073103448276072</c:v>
                </c:pt>
                <c:pt idx="40">
                  <c:v>49.205073240443213</c:v>
                </c:pt>
                <c:pt idx="41">
                  <c:v>48.654580152671947</c:v>
                </c:pt>
                <c:pt idx="42">
                  <c:v>49.62248696947097</c:v>
                </c:pt>
                <c:pt idx="43">
                  <c:v>47.968665377175689</c:v>
                </c:pt>
                <c:pt idx="44">
                  <c:v>49.218879478824135</c:v>
                </c:pt>
                <c:pt idx="45">
                  <c:v>49.63362609786666</c:v>
                </c:pt>
                <c:pt idx="46">
                  <c:v>49.267409948456326</c:v>
                </c:pt>
                <c:pt idx="47">
                  <c:v>48.15208791208812</c:v>
                </c:pt>
                <c:pt idx="48">
                  <c:v>48.790357296599453</c:v>
                </c:pt>
                <c:pt idx="49">
                  <c:v>49.302931596091405</c:v>
                </c:pt>
                <c:pt idx="50">
                  <c:v>49.098181818181956</c:v>
                </c:pt>
                <c:pt idx="51">
                  <c:v>49.018018018018118</c:v>
                </c:pt>
                <c:pt idx="52">
                  <c:v>47.654362416107553</c:v>
                </c:pt>
                <c:pt idx="53">
                  <c:v>49.547034764826307</c:v>
                </c:pt>
                <c:pt idx="54">
                  <c:v>49.021172638436589</c:v>
                </c:pt>
                <c:pt idx="55">
                  <c:v>48.571958974403017</c:v>
                </c:pt>
                <c:pt idx="56">
                  <c:v>47.531141868511824</c:v>
                </c:pt>
                <c:pt idx="57">
                  <c:v>48.108490566037489</c:v>
                </c:pt>
                <c:pt idx="58">
                  <c:v>49.459224598930184</c:v>
                </c:pt>
                <c:pt idx="59">
                  <c:v>48.490398279438459</c:v>
                </c:pt>
                <c:pt idx="60">
                  <c:v>47.787203450754866</c:v>
                </c:pt>
                <c:pt idx="61">
                  <c:v>48.433779761904766</c:v>
                </c:pt>
                <c:pt idx="62">
                  <c:v>48.773809523809533</c:v>
                </c:pt>
                <c:pt idx="63">
                  <c:v>48.66466392494933</c:v>
                </c:pt>
                <c:pt idx="64">
                  <c:v>48.19402985074624</c:v>
                </c:pt>
                <c:pt idx="65">
                  <c:v>47.267260579064569</c:v>
                </c:pt>
                <c:pt idx="66">
                  <c:v>47.872107186358058</c:v>
                </c:pt>
                <c:pt idx="67">
                  <c:v>48.546086956521734</c:v>
                </c:pt>
                <c:pt idx="68">
                  <c:v>48.14481869636014</c:v>
                </c:pt>
                <c:pt idx="69">
                  <c:v>46.919921875000036</c:v>
                </c:pt>
                <c:pt idx="70">
                  <c:v>46.986670530389794</c:v>
                </c:pt>
                <c:pt idx="71">
                  <c:v>46.627831715210363</c:v>
                </c:pt>
                <c:pt idx="72">
                  <c:v>48.271356783919579</c:v>
                </c:pt>
                <c:pt idx="73">
                  <c:v>48.302325581395351</c:v>
                </c:pt>
                <c:pt idx="74">
                  <c:v>53.866666666666674</c:v>
                </c:pt>
                <c:pt idx="75">
                  <c:v>52.470588235294109</c:v>
                </c:pt>
                <c:pt idx="76">
                  <c:v>75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B-4631-9ADB-804843160F61}"/>
            </c:ext>
          </c:extLst>
        </c:ser>
        <c:ser>
          <c:idx val="1"/>
          <c:order val="1"/>
          <c:tx>
            <c:strRef>
              <c:f>'Averages Graph Data'!$DE$4</c:f>
              <c:strCache>
                <c:ptCount val="1"/>
                <c:pt idx="0">
                  <c:v>Average Area Rating - 4 Week Avg (Boom Subscription)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'Averages Graph Data'!$A$5:$A$109</c:f>
              <c:numCache>
                <c:formatCode>m/d/yyyy</c:formatCode>
                <c:ptCount val="105"/>
                <c:pt idx="0">
                  <c:v>45156</c:v>
                </c:pt>
                <c:pt idx="1">
                  <c:v>45163</c:v>
                </c:pt>
                <c:pt idx="2">
                  <c:v>45170</c:v>
                </c:pt>
                <c:pt idx="3">
                  <c:v>45177</c:v>
                </c:pt>
                <c:pt idx="4">
                  <c:v>45184</c:v>
                </c:pt>
                <c:pt idx="5">
                  <c:v>45191</c:v>
                </c:pt>
                <c:pt idx="6">
                  <c:v>45198</c:v>
                </c:pt>
                <c:pt idx="7">
                  <c:v>45205</c:v>
                </c:pt>
                <c:pt idx="8">
                  <c:v>45212</c:v>
                </c:pt>
                <c:pt idx="9">
                  <c:v>45219</c:v>
                </c:pt>
                <c:pt idx="10">
                  <c:v>45226</c:v>
                </c:pt>
                <c:pt idx="11">
                  <c:v>45233</c:v>
                </c:pt>
                <c:pt idx="12">
                  <c:v>45240</c:v>
                </c:pt>
                <c:pt idx="13">
                  <c:v>45247</c:v>
                </c:pt>
                <c:pt idx="14">
                  <c:v>45254</c:v>
                </c:pt>
                <c:pt idx="15">
                  <c:v>45261</c:v>
                </c:pt>
                <c:pt idx="16">
                  <c:v>45268</c:v>
                </c:pt>
                <c:pt idx="17">
                  <c:v>45275</c:v>
                </c:pt>
                <c:pt idx="18">
                  <c:v>45282</c:v>
                </c:pt>
                <c:pt idx="19">
                  <c:v>45289</c:v>
                </c:pt>
                <c:pt idx="20">
                  <c:v>45296</c:v>
                </c:pt>
                <c:pt idx="21">
                  <c:v>45303</c:v>
                </c:pt>
                <c:pt idx="22">
                  <c:v>45310</c:v>
                </c:pt>
                <c:pt idx="23">
                  <c:v>45317</c:v>
                </c:pt>
                <c:pt idx="24">
                  <c:v>45324</c:v>
                </c:pt>
                <c:pt idx="25">
                  <c:v>45331</c:v>
                </c:pt>
                <c:pt idx="26">
                  <c:v>45338</c:v>
                </c:pt>
                <c:pt idx="27">
                  <c:v>45345</c:v>
                </c:pt>
                <c:pt idx="28">
                  <c:v>45352</c:v>
                </c:pt>
                <c:pt idx="29">
                  <c:v>45359</c:v>
                </c:pt>
                <c:pt idx="30">
                  <c:v>45366</c:v>
                </c:pt>
                <c:pt idx="31">
                  <c:v>45373</c:v>
                </c:pt>
                <c:pt idx="32">
                  <c:v>45380</c:v>
                </c:pt>
                <c:pt idx="33">
                  <c:v>45387</c:v>
                </c:pt>
                <c:pt idx="34">
                  <c:v>45394</c:v>
                </c:pt>
                <c:pt idx="35">
                  <c:v>45401</c:v>
                </c:pt>
                <c:pt idx="36">
                  <c:v>45408</c:v>
                </c:pt>
                <c:pt idx="37">
                  <c:v>45415</c:v>
                </c:pt>
                <c:pt idx="38">
                  <c:v>45422</c:v>
                </c:pt>
                <c:pt idx="39">
                  <c:v>45429</c:v>
                </c:pt>
                <c:pt idx="40">
                  <c:v>45436</c:v>
                </c:pt>
                <c:pt idx="41">
                  <c:v>45443</c:v>
                </c:pt>
                <c:pt idx="42">
                  <c:v>45450</c:v>
                </c:pt>
                <c:pt idx="43">
                  <c:v>45457</c:v>
                </c:pt>
                <c:pt idx="44">
                  <c:v>45464</c:v>
                </c:pt>
                <c:pt idx="45">
                  <c:v>45471</c:v>
                </c:pt>
                <c:pt idx="46">
                  <c:v>45478</c:v>
                </c:pt>
                <c:pt idx="47">
                  <c:v>45485</c:v>
                </c:pt>
                <c:pt idx="48">
                  <c:v>45492</c:v>
                </c:pt>
                <c:pt idx="49">
                  <c:v>45499</c:v>
                </c:pt>
                <c:pt idx="50">
                  <c:v>45506</c:v>
                </c:pt>
                <c:pt idx="51">
                  <c:v>45513</c:v>
                </c:pt>
                <c:pt idx="52">
                  <c:v>45520</c:v>
                </c:pt>
                <c:pt idx="53">
                  <c:v>45527</c:v>
                </c:pt>
                <c:pt idx="54">
                  <c:v>45534</c:v>
                </c:pt>
                <c:pt idx="55">
                  <c:v>45541</c:v>
                </c:pt>
                <c:pt idx="56">
                  <c:v>45548</c:v>
                </c:pt>
                <c:pt idx="57">
                  <c:v>45555</c:v>
                </c:pt>
                <c:pt idx="58">
                  <c:v>45562</c:v>
                </c:pt>
                <c:pt idx="59">
                  <c:v>45569</c:v>
                </c:pt>
                <c:pt idx="60">
                  <c:v>45576</c:v>
                </c:pt>
                <c:pt idx="61">
                  <c:v>45583</c:v>
                </c:pt>
                <c:pt idx="62">
                  <c:v>45590</c:v>
                </c:pt>
                <c:pt idx="63">
                  <c:v>45597</c:v>
                </c:pt>
                <c:pt idx="64">
                  <c:v>45604</c:v>
                </c:pt>
                <c:pt idx="65">
                  <c:v>45611</c:v>
                </c:pt>
                <c:pt idx="66">
                  <c:v>45618</c:v>
                </c:pt>
                <c:pt idx="67">
                  <c:v>45625</c:v>
                </c:pt>
                <c:pt idx="68">
                  <c:v>45632</c:v>
                </c:pt>
                <c:pt idx="69">
                  <c:v>45639</c:v>
                </c:pt>
                <c:pt idx="70">
                  <c:v>45646</c:v>
                </c:pt>
                <c:pt idx="71">
                  <c:v>45653</c:v>
                </c:pt>
                <c:pt idx="72">
                  <c:v>45660</c:v>
                </c:pt>
                <c:pt idx="73">
                  <c:v>45667</c:v>
                </c:pt>
                <c:pt idx="74">
                  <c:v>45674</c:v>
                </c:pt>
                <c:pt idx="75">
                  <c:v>45681</c:v>
                </c:pt>
                <c:pt idx="76">
                  <c:v>45688</c:v>
                </c:pt>
                <c:pt idx="77">
                  <c:v>45695</c:v>
                </c:pt>
                <c:pt idx="78">
                  <c:v>45702</c:v>
                </c:pt>
                <c:pt idx="79">
                  <c:v>45709</c:v>
                </c:pt>
                <c:pt idx="80">
                  <c:v>45716</c:v>
                </c:pt>
                <c:pt idx="81">
                  <c:v>45723</c:v>
                </c:pt>
                <c:pt idx="82">
                  <c:v>45730</c:v>
                </c:pt>
                <c:pt idx="83">
                  <c:v>45737</c:v>
                </c:pt>
                <c:pt idx="84">
                  <c:v>45744</c:v>
                </c:pt>
                <c:pt idx="85">
                  <c:v>45751</c:v>
                </c:pt>
                <c:pt idx="86">
                  <c:v>45758</c:v>
                </c:pt>
                <c:pt idx="87">
                  <c:v>45765</c:v>
                </c:pt>
                <c:pt idx="88">
                  <c:v>45772</c:v>
                </c:pt>
                <c:pt idx="89">
                  <c:v>45779</c:v>
                </c:pt>
                <c:pt idx="90">
                  <c:v>45786</c:v>
                </c:pt>
                <c:pt idx="91">
                  <c:v>45793</c:v>
                </c:pt>
                <c:pt idx="92">
                  <c:v>45800</c:v>
                </c:pt>
                <c:pt idx="93">
                  <c:v>45807</c:v>
                </c:pt>
                <c:pt idx="94">
                  <c:v>45814</c:v>
                </c:pt>
                <c:pt idx="95">
                  <c:v>45821</c:v>
                </c:pt>
                <c:pt idx="96">
                  <c:v>45828</c:v>
                </c:pt>
                <c:pt idx="97">
                  <c:v>45835</c:v>
                </c:pt>
                <c:pt idx="98">
                  <c:v>45842</c:v>
                </c:pt>
                <c:pt idx="99">
                  <c:v>45849</c:v>
                </c:pt>
                <c:pt idx="100">
                  <c:v>45856</c:v>
                </c:pt>
                <c:pt idx="101">
                  <c:v>45863</c:v>
                </c:pt>
                <c:pt idx="102">
                  <c:v>45870</c:v>
                </c:pt>
                <c:pt idx="103">
                  <c:v>45877</c:v>
                </c:pt>
                <c:pt idx="104">
                  <c:v>45884</c:v>
                </c:pt>
              </c:numCache>
            </c:numRef>
          </c:cat>
          <c:val>
            <c:numRef>
              <c:f>'Averages Graph Data'!$DE$5:$DE$109</c:f>
              <c:numCache>
                <c:formatCode>#,##0.0</c:formatCode>
                <c:ptCount val="105"/>
                <c:pt idx="6">
                  <c:v>43.46374836107146</c:v>
                </c:pt>
                <c:pt idx="7">
                  <c:v>43.588485915837929</c:v>
                </c:pt>
                <c:pt idx="8">
                  <c:v>43.800218176787475</c:v>
                </c:pt>
                <c:pt idx="9">
                  <c:v>44.086117426554516</c:v>
                </c:pt>
                <c:pt idx="10">
                  <c:v>44.094447445713406</c:v>
                </c:pt>
                <c:pt idx="11">
                  <c:v>44.234172022872862</c:v>
                </c:pt>
                <c:pt idx="12">
                  <c:v>44.458360285846688</c:v>
                </c:pt>
                <c:pt idx="13">
                  <c:v>44.802313751290846</c:v>
                </c:pt>
                <c:pt idx="14">
                  <c:v>45.024266677738808</c:v>
                </c:pt>
                <c:pt idx="15">
                  <c:v>45.049710051439185</c:v>
                </c:pt>
                <c:pt idx="16">
                  <c:v>45.299730791627795</c:v>
                </c:pt>
                <c:pt idx="17">
                  <c:v>45.456770657307842</c:v>
                </c:pt>
                <c:pt idx="18">
                  <c:v>45.661601394168478</c:v>
                </c:pt>
                <c:pt idx="19">
                  <c:v>45.649375967189812</c:v>
                </c:pt>
                <c:pt idx="20">
                  <c:v>45.743334212273169</c:v>
                </c:pt>
                <c:pt idx="21">
                  <c:v>45.804281019309862</c:v>
                </c:pt>
                <c:pt idx="22">
                  <c:v>45.942718177767041</c:v>
                </c:pt>
                <c:pt idx="23">
                  <c:v>45.927158958048544</c:v>
                </c:pt>
                <c:pt idx="24">
                  <c:v>45.974057260440937</c:v>
                </c:pt>
                <c:pt idx="25">
                  <c:v>46.07377242540327</c:v>
                </c:pt>
                <c:pt idx="26">
                  <c:v>46.164501136904377</c:v>
                </c:pt>
                <c:pt idx="27">
                  <c:v>46.264704968030152</c:v>
                </c:pt>
                <c:pt idx="28">
                  <c:v>46.220277803772454</c:v>
                </c:pt>
                <c:pt idx="29">
                  <c:v>46.488848423575192</c:v>
                </c:pt>
                <c:pt idx="30">
                  <c:v>46.56631169372077</c:v>
                </c:pt>
                <c:pt idx="31">
                  <c:v>46.723161975700648</c:v>
                </c:pt>
                <c:pt idx="32">
                  <c:v>46.657088041135793</c:v>
                </c:pt>
                <c:pt idx="33">
                  <c:v>46.835449297325525</c:v>
                </c:pt>
                <c:pt idx="34">
                  <c:v>46.931566231271134</c:v>
                </c:pt>
                <c:pt idx="35">
                  <c:v>47.061598843127264</c:v>
                </c:pt>
                <c:pt idx="36">
                  <c:v>47.02840500087045</c:v>
                </c:pt>
                <c:pt idx="37">
                  <c:v>47.097851090537404</c:v>
                </c:pt>
                <c:pt idx="38">
                  <c:v>47.275538217436598</c:v>
                </c:pt>
                <c:pt idx="39">
                  <c:v>47.491276411893466</c:v>
                </c:pt>
                <c:pt idx="40">
                  <c:v>47.756453726858389</c:v>
                </c:pt>
                <c:pt idx="41">
                  <c:v>47.942156836512545</c:v>
                </c:pt>
                <c:pt idx="42">
                  <c:v>48.338059893461171</c:v>
                </c:pt>
                <c:pt idx="43">
                  <c:v>48.416141187731967</c:v>
                </c:pt>
                <c:pt idx="44">
                  <c:v>48.698364143318891</c:v>
                </c:pt>
                <c:pt idx="45">
                  <c:v>48.910916394961241</c:v>
                </c:pt>
                <c:pt idx="46">
                  <c:v>49.081531609272702</c:v>
                </c:pt>
                <c:pt idx="47">
                  <c:v>48.931105133793402</c:v>
                </c:pt>
                <c:pt idx="48">
                  <c:v>48.950501868640188</c:v>
                </c:pt>
                <c:pt idx="49">
                  <c:v>48.904851101014536</c:v>
                </c:pt>
                <c:pt idx="50">
                  <c:v>49.066210592586863</c:v>
                </c:pt>
                <c:pt idx="51">
                  <c:v>49.037516098186003</c:v>
                </c:pt>
                <c:pt idx="52">
                  <c:v>48.754764143648991</c:v>
                </c:pt>
                <c:pt idx="53">
                  <c:v>48.794710545987563</c:v>
                </c:pt>
                <c:pt idx="54">
                  <c:v>48.918865506894484</c:v>
                </c:pt>
                <c:pt idx="55">
                  <c:v>48.887665746580709</c:v>
                </c:pt>
                <c:pt idx="56">
                  <c:v>48.634552928355056</c:v>
                </c:pt>
                <c:pt idx="57">
                  <c:v>48.493168463762991</c:v>
                </c:pt>
                <c:pt idx="58">
                  <c:v>48.556197975321844</c:v>
                </c:pt>
                <c:pt idx="59">
                  <c:v>48.675631670083419</c:v>
                </c:pt>
                <c:pt idx="60">
                  <c:v>48.42422719664463</c:v>
                </c:pt>
                <c:pt idx="61">
                  <c:v>48.340313928568655</c:v>
                </c:pt>
                <c:pt idx="62">
                  <c:v>48.369149721341024</c:v>
                </c:pt>
                <c:pt idx="63">
                  <c:v>48.531081443689231</c:v>
                </c:pt>
                <c:pt idx="64">
                  <c:v>48.543301341504765</c:v>
                </c:pt>
                <c:pt idx="65">
                  <c:v>48.230163624381113</c:v>
                </c:pt>
                <c:pt idx="66">
                  <c:v>48.141836325369624</c:v>
                </c:pt>
                <c:pt idx="67">
                  <c:v>48.250248254764884</c:v>
                </c:pt>
                <c:pt idx="68">
                  <c:v>48.208968102544226</c:v>
                </c:pt>
                <c:pt idx="69">
                  <c:v>47.944127009857155</c:v>
                </c:pt>
                <c:pt idx="70">
                  <c:v>47.704413667777224</c:v>
                </c:pt>
                <c:pt idx="71">
                  <c:v>47.480671076986383</c:v>
                </c:pt>
                <c:pt idx="72">
                  <c:v>47.624113391965679</c:v>
                </c:pt>
                <c:pt idx="73">
                  <c:v>47.68557316268528</c:v>
                </c:pt>
                <c:pt idx="74">
                  <c:v>48.445655978420277</c:v>
                </c:pt>
                <c:pt idx="75">
                  <c:v>49.063623055410844</c:v>
                </c:pt>
                <c:pt idx="76">
                  <c:v>53.075062787553691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BB-4631-9ADB-80484316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288575"/>
        <c:axId val="518282751"/>
      </c:lineChart>
      <c:dateAx>
        <c:axId val="518288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UW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2751"/>
        <c:crosses val="autoZero"/>
        <c:auto val="1"/>
        <c:lblOffset val="100"/>
        <c:baseTimeUnit val="days"/>
      </c:dateAx>
      <c:valAx>
        <c:axId val="518282751"/>
        <c:scaling>
          <c:orientation val="minMax"/>
          <c:max val="47"/>
          <c:min val="4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Area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" sourceLinked="1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288575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solidFill>
        <a:srgbClr val="D9D9D9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'Plan Figures'!$F$92</c:f>
              <c:strCache>
                <c:ptCount val="1"/>
                <c:pt idx="0">
                  <c:v>Current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Figures'!$H$112:$H$120</c:f>
              <c:numCache>
                <c:formatCode>"£"#,##0_);[Red]\("£"#,##0\)</c:formatCode>
                <c:ptCount val="9"/>
                <c:pt idx="0">
                  <c:v>1450615.9831731333</c:v>
                </c:pt>
                <c:pt idx="1">
                  <c:v>1477938.9090293907</c:v>
                </c:pt>
                <c:pt idx="2">
                  <c:v>1091239.3456972765</c:v>
                </c:pt>
                <c:pt idx="3">
                  <c:v>1077447.5969932852</c:v>
                </c:pt>
                <c:pt idx="4">
                  <c:v>1476181.8237554729</c:v>
                </c:pt>
                <c:pt idx="5">
                  <c:v>1608356.2569974326</c:v>
                </c:pt>
                <c:pt idx="6">
                  <c:v>1383525.1445630868</c:v>
                </c:pt>
                <c:pt idx="7">
                  <c:v>1258196.2084745558</c:v>
                </c:pt>
                <c:pt idx="8">
                  <c:v>2400885.2272898685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E-4614-89B3-2C5B3202C0DB}"/>
            </c:ext>
          </c:extLst>
        </c:ser>
        <c:ser>
          <c:idx val="1"/>
          <c:order val="1"/>
          <c:tx>
            <c:strRef>
              <c:f>'Plan Figures'!$H$51</c:f>
              <c:strCache>
                <c:ptCount val="1"/>
                <c:pt idx="0">
                  <c:v>Headline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Figures'!$H$71:$H$79</c:f>
              <c:numCache>
                <c:formatCode>"£"#,##0_);[Red]\("£"#,##0\)</c:formatCode>
                <c:ptCount val="9"/>
                <c:pt idx="0">
                  <c:v>1592216.48947306</c:v>
                </c:pt>
                <c:pt idx="1">
                  <c:v>1622206.5168777078</c:v>
                </c:pt>
                <c:pt idx="2">
                  <c:v>1197760.6132163431</c:v>
                </c:pt>
                <c:pt idx="3">
                  <c:v>1182622.523835581</c:v>
                </c:pt>
                <c:pt idx="4">
                  <c:v>1620158.7490814915</c:v>
                </c:pt>
                <c:pt idx="5">
                  <c:v>1764298.9426401989</c:v>
                </c:pt>
                <c:pt idx="6">
                  <c:v>1516246.6177784707</c:v>
                </c:pt>
                <c:pt idx="7">
                  <c:v>1376963.9399151581</c:v>
                </c:pt>
                <c:pt idx="8">
                  <c:v>2620201.7535369839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E-4614-89B3-2C5B3202C0DB}"/>
            </c:ext>
          </c:extLst>
        </c:ser>
        <c:ser>
          <c:idx val="2"/>
          <c:order val="2"/>
          <c:tx>
            <c:strRef>
              <c:f>'Plan Figures'!$H$3</c:f>
              <c:strCache>
                <c:ptCount val="1"/>
                <c:pt idx="0">
                  <c:v>Ultimate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'Plan Figures'!$H$23:$H$31</c:f>
              <c:numCache>
                <c:formatCode>"£"#,##0_);[Red]\("£"#,##0\)</c:formatCode>
                <c:ptCount val="9"/>
                <c:pt idx="0">
                  <c:v>1450615.9831731343</c:v>
                </c:pt>
                <c:pt idx="1">
                  <c:v>1477938.9090293914</c:v>
                </c:pt>
                <c:pt idx="2">
                  <c:v>1091240.230856986</c:v>
                </c:pt>
                <c:pt idx="3">
                  <c:v>1077448.4163922931</c:v>
                </c:pt>
                <c:pt idx="4">
                  <c:v>1476073.2552601595</c:v>
                </c:pt>
                <c:pt idx="5">
                  <c:v>1607394.6364770622</c:v>
                </c:pt>
                <c:pt idx="6">
                  <c:v>1381402.3361292861</c:v>
                </c:pt>
                <c:pt idx="7">
                  <c:v>1254506.4774169179</c:v>
                </c:pt>
                <c:pt idx="8">
                  <c:v>2387179.487179487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FE-4614-89B3-2C5B3202C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43536"/>
        <c:axId val="1146762304"/>
      </c:lineChart>
      <c:catAx>
        <c:axId val="66584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62304"/>
        <c:crosses val="autoZero"/>
        <c:auto val="1"/>
        <c:lblAlgn val="ctr"/>
        <c:lblOffset val="100"/>
        <c:noMultiLvlLbl val="0"/>
      </c:catAx>
      <c:valAx>
        <c:axId val="1146762304"/>
        <c:scaling>
          <c:orientation val="minMax"/>
          <c:min val="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4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Relationship Id="rId5" Type="http://schemas.openxmlformats.org/officeDocument/2006/relationships/chart" Target="../charts/chart70.xml"/><Relationship Id="rId4" Type="http://schemas.openxmlformats.org/officeDocument/2006/relationships/chart" Target="../charts/chart6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5" Type="http://schemas.openxmlformats.org/officeDocument/2006/relationships/chart" Target="../charts/chart93.xml"/><Relationship Id="rId4" Type="http://schemas.openxmlformats.org/officeDocument/2006/relationships/chart" Target="../charts/chart9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8.xml"/><Relationship Id="rId13" Type="http://schemas.openxmlformats.org/officeDocument/2006/relationships/chart" Target="../charts/chart113.xml"/><Relationship Id="rId18" Type="http://schemas.openxmlformats.org/officeDocument/2006/relationships/chart" Target="../charts/chart118.xml"/><Relationship Id="rId26" Type="http://schemas.openxmlformats.org/officeDocument/2006/relationships/chart" Target="../charts/chart126.xml"/><Relationship Id="rId3" Type="http://schemas.openxmlformats.org/officeDocument/2006/relationships/chart" Target="../charts/chart103.xml"/><Relationship Id="rId21" Type="http://schemas.openxmlformats.org/officeDocument/2006/relationships/chart" Target="../charts/chart121.xml"/><Relationship Id="rId7" Type="http://schemas.openxmlformats.org/officeDocument/2006/relationships/chart" Target="../charts/chart107.xml"/><Relationship Id="rId12" Type="http://schemas.openxmlformats.org/officeDocument/2006/relationships/chart" Target="../charts/chart112.xml"/><Relationship Id="rId17" Type="http://schemas.openxmlformats.org/officeDocument/2006/relationships/chart" Target="../charts/chart117.xml"/><Relationship Id="rId25" Type="http://schemas.openxmlformats.org/officeDocument/2006/relationships/chart" Target="../charts/chart125.xml"/><Relationship Id="rId2" Type="http://schemas.openxmlformats.org/officeDocument/2006/relationships/chart" Target="../charts/chart102.xml"/><Relationship Id="rId16" Type="http://schemas.openxmlformats.org/officeDocument/2006/relationships/chart" Target="../charts/chart116.xml"/><Relationship Id="rId20" Type="http://schemas.openxmlformats.org/officeDocument/2006/relationships/chart" Target="../charts/chart120.xml"/><Relationship Id="rId1" Type="http://schemas.openxmlformats.org/officeDocument/2006/relationships/chart" Target="../charts/chart101.xml"/><Relationship Id="rId6" Type="http://schemas.openxmlformats.org/officeDocument/2006/relationships/chart" Target="../charts/chart106.xml"/><Relationship Id="rId11" Type="http://schemas.openxmlformats.org/officeDocument/2006/relationships/chart" Target="../charts/chart111.xml"/><Relationship Id="rId24" Type="http://schemas.openxmlformats.org/officeDocument/2006/relationships/chart" Target="../charts/chart124.xml"/><Relationship Id="rId5" Type="http://schemas.openxmlformats.org/officeDocument/2006/relationships/chart" Target="../charts/chart105.xml"/><Relationship Id="rId15" Type="http://schemas.openxmlformats.org/officeDocument/2006/relationships/chart" Target="../charts/chart115.xml"/><Relationship Id="rId23" Type="http://schemas.openxmlformats.org/officeDocument/2006/relationships/chart" Target="../charts/chart123.xml"/><Relationship Id="rId10" Type="http://schemas.openxmlformats.org/officeDocument/2006/relationships/chart" Target="../charts/chart110.xml"/><Relationship Id="rId19" Type="http://schemas.openxmlformats.org/officeDocument/2006/relationships/chart" Target="../charts/chart119.xml"/><Relationship Id="rId4" Type="http://schemas.openxmlformats.org/officeDocument/2006/relationships/chart" Target="../charts/chart104.xml"/><Relationship Id="rId9" Type="http://schemas.openxmlformats.org/officeDocument/2006/relationships/chart" Target="../charts/chart109.xml"/><Relationship Id="rId14" Type="http://schemas.openxmlformats.org/officeDocument/2006/relationships/chart" Target="../charts/chart114.xml"/><Relationship Id="rId22" Type="http://schemas.openxmlformats.org/officeDocument/2006/relationships/chart" Target="../charts/chart122.xml"/><Relationship Id="rId27" Type="http://schemas.openxmlformats.org/officeDocument/2006/relationships/chart" Target="../charts/chart12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8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161925</xdr:rowOff>
    </xdr:from>
    <xdr:to>
      <xdr:col>10</xdr:col>
      <xdr:colOff>455692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742640-BB91-5BBB-55B1-FC74CF87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61925"/>
          <a:ext cx="6465967" cy="11334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36</xdr:row>
      <xdr:rowOff>119062</xdr:rowOff>
    </xdr:from>
    <xdr:to>
      <xdr:col>6</xdr:col>
      <xdr:colOff>333375</xdr:colOff>
      <xdr:row>51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F831E-FF17-4468-9951-CFCAFA8F7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542924</xdr:colOff>
      <xdr:row>5</xdr:row>
      <xdr:rowOff>123824</xdr:rowOff>
    </xdr:from>
    <xdr:to>
      <xdr:col>27</xdr:col>
      <xdr:colOff>247650</xdr:colOff>
      <xdr:row>26</xdr:row>
      <xdr:rowOff>1045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19BCB-4571-4A0D-B7DB-47565201715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52F95EC-E214-4184-B48A-C0C7202FE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15</xdr:col>
      <xdr:colOff>40286</xdr:colOff>
      <xdr:row>28</xdr:row>
      <xdr:rowOff>87000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F7BC13-5EB6-4266-8F73-19804BA111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353250</xdr:colOff>
      <xdr:row>118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248880-0A18-4C3E-80AC-A7A20277D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54427</xdr:colOff>
      <xdr:row>92</xdr:row>
      <xdr:rowOff>0</xdr:rowOff>
    </xdr:from>
    <xdr:to>
      <xdr:col>15</xdr:col>
      <xdr:colOff>94713</xdr:colOff>
      <xdr:row>118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8120B64-D07A-4323-875E-7A7DF7B96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353250</xdr:colOff>
      <xdr:row>88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9FCDC9-6680-42A1-BB9D-C2B1162CB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15</xdr:col>
      <xdr:colOff>40286</xdr:colOff>
      <xdr:row>88</xdr:row>
      <xdr:rowOff>87000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5E3A451-D302-41AC-AE9C-E45803B5D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8700F6A-A27E-4FFF-9E1C-D7183CF14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06FF50-0474-4149-A407-5C381EDA59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353250</xdr:colOff>
      <xdr:row>118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03DC1-C4FD-43EA-AC9B-D19709F95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353250</xdr:colOff>
      <xdr:row>88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9E4F5-97A4-48F7-A480-402789EAF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15</xdr:col>
      <xdr:colOff>40286</xdr:colOff>
      <xdr:row>88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6B6C38-05B3-41B4-BB6A-F35AF308F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BB4865-BF2F-4653-A99A-F42128586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C9CD50B-EAB2-4278-B7F7-FC2E51536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94082-E80E-4A53-8451-4794FFB4C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353250</xdr:colOff>
      <xdr:row>118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A0D86E7-2B05-4761-AE87-EF38EB63A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54427</xdr:colOff>
      <xdr:row>92</xdr:row>
      <xdr:rowOff>0</xdr:rowOff>
    </xdr:from>
    <xdr:to>
      <xdr:col>15</xdr:col>
      <xdr:colOff>94713</xdr:colOff>
      <xdr:row>118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8322B6-C941-45FC-8B9E-C42264A61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353250</xdr:colOff>
      <xdr:row>88</xdr:row>
      <xdr:rowOff>87000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EA306-EE69-4B75-8D0D-02CBC4B18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15</xdr:col>
      <xdr:colOff>40286</xdr:colOff>
      <xdr:row>88</xdr:row>
      <xdr:rowOff>87000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DA9C534-AA78-4C20-9A66-CF5E41DD2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15</xdr:col>
      <xdr:colOff>40286</xdr:colOff>
      <xdr:row>28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95BF68-CA0C-4E92-9B7D-1D41C712D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353250</xdr:colOff>
      <xdr:row>28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6D7E57-EBCE-4D87-8D64-FD614FF7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15</xdr:col>
      <xdr:colOff>40286</xdr:colOff>
      <xdr:row>28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0E4084-BE6C-4511-AC70-5FB25AFCF0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353250</xdr:colOff>
      <xdr:row>118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D3AE2-DFE2-4775-A01E-B6D7D7244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54427</xdr:colOff>
      <xdr:row>92</xdr:row>
      <xdr:rowOff>0</xdr:rowOff>
    </xdr:from>
    <xdr:to>
      <xdr:col>15</xdr:col>
      <xdr:colOff>94713</xdr:colOff>
      <xdr:row>118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956DA9-2DBA-438B-8F7F-8968E42E2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353250</xdr:colOff>
      <xdr:row>88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9FBA66-33BC-4A64-AC52-70BF70A68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15</xdr:col>
      <xdr:colOff>40286</xdr:colOff>
      <xdr:row>88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5BAFD3-C446-4B42-8077-944DD2EC6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353250</xdr:colOff>
      <xdr:row>58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25E425-1496-46B7-A029-813E91D34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309954</xdr:colOff>
      <xdr:row>28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2A9DF7F-DAFC-4719-A8DF-4B970EA9F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309954</xdr:colOff>
      <xdr:row>88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74A1BDD-CFE6-4EC7-820A-BA8661FA6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14</xdr:col>
      <xdr:colOff>881454</xdr:colOff>
      <xdr:row>88</xdr:row>
      <xdr:rowOff>87000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E54BF3-1205-4D59-94C8-503E4C565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124</xdr:row>
      <xdr:rowOff>0</xdr:rowOff>
    </xdr:from>
    <xdr:to>
      <xdr:col>7</xdr:col>
      <xdr:colOff>309954</xdr:colOff>
      <xdr:row>150</xdr:row>
      <xdr:rowOff>87000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0E4E50F-0D9F-4A55-B894-1EFA0B4B4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155</xdr:row>
      <xdr:rowOff>0</xdr:rowOff>
    </xdr:from>
    <xdr:to>
      <xdr:col>7</xdr:col>
      <xdr:colOff>309954</xdr:colOff>
      <xdr:row>181</xdr:row>
      <xdr:rowOff>87000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BFA3F28-F497-4402-BB75-7EA2820AF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155</xdr:row>
      <xdr:rowOff>0</xdr:rowOff>
    </xdr:from>
    <xdr:to>
      <xdr:col>14</xdr:col>
      <xdr:colOff>895062</xdr:colOff>
      <xdr:row>181</xdr:row>
      <xdr:rowOff>87000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1EA9555-A71D-4BFE-ACB8-7A71CE950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309954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204EB-588F-44BD-B2F9-6C5ABDA02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309954</xdr:colOff>
      <xdr:row>88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705339-EA9A-4D32-AE23-1610845E32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14</xdr:col>
      <xdr:colOff>881454</xdr:colOff>
      <xdr:row>88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BDDD51-5B24-4434-82FF-B1E6BD170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124</xdr:row>
      <xdr:rowOff>0</xdr:rowOff>
    </xdr:from>
    <xdr:to>
      <xdr:col>7</xdr:col>
      <xdr:colOff>309954</xdr:colOff>
      <xdr:row>150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427E0F-CEBE-4B0F-89D8-F6EEDD5938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155</xdr:row>
      <xdr:rowOff>0</xdr:rowOff>
    </xdr:from>
    <xdr:to>
      <xdr:col>7</xdr:col>
      <xdr:colOff>309954</xdr:colOff>
      <xdr:row>181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4FF6573-384E-4C23-95A8-4722D7C06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155</xdr:row>
      <xdr:rowOff>0</xdr:rowOff>
    </xdr:from>
    <xdr:to>
      <xdr:col>14</xdr:col>
      <xdr:colOff>895062</xdr:colOff>
      <xdr:row>181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7F74975-9552-4A40-83A7-E79F54510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1533955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C3188-0212-4870-81B0-3BA920827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1533955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340827-E1AE-4D63-99D8-8ED5A336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16</xdr:col>
      <xdr:colOff>598773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06884-72AB-4A91-AED0-98D6A7816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1533955</xdr:colOff>
      <xdr:row>118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B32DD5-CB0B-4E34-ADE3-A1391FA22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92</xdr:row>
      <xdr:rowOff>0</xdr:rowOff>
    </xdr:from>
    <xdr:to>
      <xdr:col>16</xdr:col>
      <xdr:colOff>598773</xdr:colOff>
      <xdr:row>118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1B7DEE-2FC0-4FB3-88E8-0C7FFF907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1533955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829A5-5498-42F5-A7EF-F716028A6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1533955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A25E98-71D3-4B3B-ABEC-C48B0CC46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16</xdr:col>
      <xdr:colOff>598773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515A08-03BD-441B-9C5E-B675BF287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1533955</xdr:colOff>
      <xdr:row>118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E37E73-CAD7-4383-8E5E-770408C23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92</xdr:row>
      <xdr:rowOff>0</xdr:rowOff>
    </xdr:from>
    <xdr:to>
      <xdr:col>16</xdr:col>
      <xdr:colOff>598773</xdr:colOff>
      <xdr:row>118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71B947-5616-4D99-B861-25C76BFED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C6451-5FC4-4D98-BA43-50A03F87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211736</xdr:colOff>
      <xdr:row>118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3A6053-5E18-45FF-90C0-C659C6D17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191325</xdr:colOff>
      <xdr:row>88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CE881B-0AF0-4231-952D-ACE4F53E0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17</xdr:col>
      <xdr:colOff>409039</xdr:colOff>
      <xdr:row>88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982DF0-032F-492F-B8ED-8326CEFB6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2231A8-CAF3-4416-96CF-BE8235E885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7E28AF-67B6-41CD-9045-CCB715F51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191325</xdr:colOff>
      <xdr:row>55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43889E-F482-4D09-8E6E-9EDCD56A8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173</xdr:row>
      <xdr:rowOff>0</xdr:rowOff>
    </xdr:from>
    <xdr:to>
      <xdr:col>7</xdr:col>
      <xdr:colOff>169677</xdr:colOff>
      <xdr:row>199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C69FB4-0172-4639-BC35-4B4FA0D64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200</xdr:row>
      <xdr:rowOff>0</xdr:rowOff>
    </xdr:from>
    <xdr:to>
      <xdr:col>7</xdr:col>
      <xdr:colOff>169677</xdr:colOff>
      <xdr:row>226</xdr:row>
      <xdr:rowOff>87000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4D7136B-15B4-431B-952D-14BF9BFDC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116</xdr:row>
      <xdr:rowOff>0</xdr:rowOff>
    </xdr:from>
    <xdr:to>
      <xdr:col>7</xdr:col>
      <xdr:colOff>191325</xdr:colOff>
      <xdr:row>142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BEB9C-F45D-42EB-BF27-9774CD10A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143</xdr:row>
      <xdr:rowOff>0</xdr:rowOff>
    </xdr:from>
    <xdr:to>
      <xdr:col>7</xdr:col>
      <xdr:colOff>191325</xdr:colOff>
      <xdr:row>169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336EFF-ABF0-42B0-8CC0-8EA15A68B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116</xdr:row>
      <xdr:rowOff>0</xdr:rowOff>
    </xdr:from>
    <xdr:to>
      <xdr:col>17</xdr:col>
      <xdr:colOff>451098</xdr:colOff>
      <xdr:row>142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CFE823-8C9B-461B-ABB2-057057FB7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143</xdr:row>
      <xdr:rowOff>0</xdr:rowOff>
    </xdr:from>
    <xdr:to>
      <xdr:col>17</xdr:col>
      <xdr:colOff>451098</xdr:colOff>
      <xdr:row>169</xdr:row>
      <xdr:rowOff>87000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E31304-FEC9-4049-BB8A-44746ACB3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59</xdr:row>
      <xdr:rowOff>0</xdr:rowOff>
    </xdr:from>
    <xdr:to>
      <xdr:col>7</xdr:col>
      <xdr:colOff>191325</xdr:colOff>
      <xdr:row>85</xdr:row>
      <xdr:rowOff>87000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DB2EAFC-1225-4A01-84CF-60E15540C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86</xdr:row>
      <xdr:rowOff>0</xdr:rowOff>
    </xdr:from>
    <xdr:to>
      <xdr:col>7</xdr:col>
      <xdr:colOff>191325</xdr:colOff>
      <xdr:row>112</xdr:row>
      <xdr:rowOff>87000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E2934AE-1E26-43ED-B378-94FB1019D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B1C0B-6CBB-49C8-830F-66CE7B631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169677</xdr:colOff>
      <xdr:row>118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3474A6-DF82-44B6-A7C4-6F2197218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191325</xdr:colOff>
      <xdr:row>88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102D71-BB56-4FD9-BCC1-2B404BB89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17</xdr:col>
      <xdr:colOff>451098</xdr:colOff>
      <xdr:row>88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7F75407-805A-4B84-8F8E-A07063388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828A0C-C721-41C4-9009-995A8CDCA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00122-0875-4FCD-A91B-9AF6EF4DD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191325</xdr:colOff>
      <xdr:row>118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343BD4-66D5-44D9-9A71-C784F38AC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191325</xdr:colOff>
      <xdr:row>88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0930C3E-822E-450F-AFE4-A30813DFB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17</xdr:col>
      <xdr:colOff>429450</xdr:colOff>
      <xdr:row>88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F8AF17-66B0-476F-A57C-A4073F377D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F8A9C1-33C5-42E4-BF26-25528709C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132B4-5344-46F4-925E-B630BD122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191325</xdr:colOff>
      <xdr:row>88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D6B87-E4E1-4838-B40F-ECB469EBC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191325</xdr:colOff>
      <xdr:row>118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81ADDD-EA5D-442A-9035-050A67661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17</xdr:col>
      <xdr:colOff>429450</xdr:colOff>
      <xdr:row>88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67FF24-3DF1-420E-AD1E-7684E2161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9897BEB-2278-4BBA-AD38-4D9C97520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8BA06-D3F1-457C-B702-187E108AF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191325</xdr:colOff>
      <xdr:row>88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05CD0C-660B-4166-80EA-AFDD18B16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191325</xdr:colOff>
      <xdr:row>118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D8CEE8-E01E-473D-800D-188343C43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17</xdr:col>
      <xdr:colOff>429450</xdr:colOff>
      <xdr:row>88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3EFD7B2-5310-49D2-B25A-2015E0A53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4936F44-5F03-46E0-8C17-4CA8D9FDA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E42768-5E73-48E4-841F-7D9BD5B57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5C7496-37C7-499E-A639-7F4CBAE5F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32</xdr:row>
      <xdr:rowOff>0</xdr:rowOff>
    </xdr:from>
    <xdr:to>
      <xdr:col>17</xdr:col>
      <xdr:colOff>429450</xdr:colOff>
      <xdr:row>58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B42D1D-D5DC-4C5A-B5AF-57296D26D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7</xdr:col>
      <xdr:colOff>191325</xdr:colOff>
      <xdr:row>28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5D940-DBB9-4A6E-83EF-B3974A27BF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62</xdr:row>
      <xdr:rowOff>0</xdr:rowOff>
    </xdr:from>
    <xdr:to>
      <xdr:col>7</xdr:col>
      <xdr:colOff>191325</xdr:colOff>
      <xdr:row>88</xdr:row>
      <xdr:rowOff>87000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2B831D-D364-497B-818D-7823FCC5C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92</xdr:row>
      <xdr:rowOff>0</xdr:rowOff>
    </xdr:from>
    <xdr:to>
      <xdr:col>7</xdr:col>
      <xdr:colOff>191325</xdr:colOff>
      <xdr:row>118</xdr:row>
      <xdr:rowOff>87000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A07BB5-8C7B-4541-84FC-3C8DEC6E4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62</xdr:row>
      <xdr:rowOff>0</xdr:rowOff>
    </xdr:from>
    <xdr:to>
      <xdr:col>17</xdr:col>
      <xdr:colOff>429450</xdr:colOff>
      <xdr:row>88</xdr:row>
      <xdr:rowOff>87000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626AFC-0B37-4DF5-9FAF-10EEDF0D2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7</xdr:col>
      <xdr:colOff>191325</xdr:colOff>
      <xdr:row>58</xdr:row>
      <xdr:rowOff>87000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C7DB52B-19F5-4E05-B84F-A4587D9F0A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51</xdr:row>
      <xdr:rowOff>185737</xdr:rowOff>
    </xdr:from>
    <xdr:to>
      <xdr:col>5</xdr:col>
      <xdr:colOff>104775</xdr:colOff>
      <xdr:row>66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78064-1303-4D9A-B12B-F8516D9F14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196</xdr:row>
      <xdr:rowOff>0</xdr:rowOff>
    </xdr:from>
    <xdr:to>
      <xdr:col>4</xdr:col>
      <xdr:colOff>515946</xdr:colOff>
      <xdr:row>222</xdr:row>
      <xdr:rowOff>87000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0C4D1A4-28E7-4ADF-BBCC-7E6BD7769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223</xdr:row>
      <xdr:rowOff>0</xdr:rowOff>
    </xdr:from>
    <xdr:to>
      <xdr:col>4</xdr:col>
      <xdr:colOff>515946</xdr:colOff>
      <xdr:row>249</xdr:row>
      <xdr:rowOff>87000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B546FF0-FF5E-4040-8CDB-F7AC786D7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707571</xdr:colOff>
      <xdr:row>223</xdr:row>
      <xdr:rowOff>0</xdr:rowOff>
    </xdr:from>
    <xdr:to>
      <xdr:col>10</xdr:col>
      <xdr:colOff>726857</xdr:colOff>
      <xdr:row>249</xdr:row>
      <xdr:rowOff>87000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F3DD419-F7BE-4CCE-BF81-482C5E3D4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197</xdr:row>
      <xdr:rowOff>0</xdr:rowOff>
    </xdr:from>
    <xdr:to>
      <xdr:col>6</xdr:col>
      <xdr:colOff>515946</xdr:colOff>
      <xdr:row>223</xdr:row>
      <xdr:rowOff>87000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F97D0-89F4-4E7F-9CF3-8318FC42C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224</xdr:row>
      <xdr:rowOff>0</xdr:rowOff>
    </xdr:from>
    <xdr:to>
      <xdr:col>6</xdr:col>
      <xdr:colOff>515946</xdr:colOff>
      <xdr:row>250</xdr:row>
      <xdr:rowOff>87000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370A13-C21C-48DB-BD17-5B3092111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707571</xdr:colOff>
      <xdr:row>224</xdr:row>
      <xdr:rowOff>0</xdr:rowOff>
    </xdr:from>
    <xdr:to>
      <xdr:col>18</xdr:col>
      <xdr:colOff>726857</xdr:colOff>
      <xdr:row>250</xdr:row>
      <xdr:rowOff>87000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62B94E-CDD9-4D2D-98EF-C0C0FF4EF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110</xdr:row>
      <xdr:rowOff>0</xdr:rowOff>
    </xdr:from>
    <xdr:to>
      <xdr:col>15</xdr:col>
      <xdr:colOff>186562</xdr:colOff>
      <xdr:row>136</xdr:row>
      <xdr:rowOff>87000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729829C-3199-41A1-BCCE-F355AA26F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140</xdr:row>
      <xdr:rowOff>47625</xdr:rowOff>
    </xdr:from>
    <xdr:to>
      <xdr:col>15</xdr:col>
      <xdr:colOff>186562</xdr:colOff>
      <xdr:row>166</xdr:row>
      <xdr:rowOff>134625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E87DEB5-5044-4250-87C0-B5D43D117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185737</xdr:colOff>
      <xdr:row>140</xdr:row>
      <xdr:rowOff>47625</xdr:rowOff>
    </xdr:from>
    <xdr:to>
      <xdr:col>35</xdr:col>
      <xdr:colOff>443737</xdr:colOff>
      <xdr:row>166</xdr:row>
      <xdr:rowOff>134625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5FE97C7-942D-44BD-B2FC-FA6FF1EA7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110</xdr:row>
      <xdr:rowOff>0</xdr:rowOff>
    </xdr:from>
    <xdr:to>
      <xdr:col>52</xdr:col>
      <xdr:colOff>258000</xdr:colOff>
      <xdr:row>136</xdr:row>
      <xdr:rowOff>87000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40566F-A77C-4E42-B79F-ABF50C2C3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137</xdr:row>
      <xdr:rowOff>0</xdr:rowOff>
    </xdr:from>
    <xdr:to>
      <xdr:col>52</xdr:col>
      <xdr:colOff>258000</xdr:colOff>
      <xdr:row>163</xdr:row>
      <xdr:rowOff>87000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F60E494-560A-433E-A408-FBD351BDA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167</xdr:row>
      <xdr:rowOff>47625</xdr:rowOff>
    </xdr:from>
    <xdr:to>
      <xdr:col>52</xdr:col>
      <xdr:colOff>258000</xdr:colOff>
      <xdr:row>193</xdr:row>
      <xdr:rowOff>134625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62DC394-3822-4D39-A206-AD430854F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257175</xdr:colOff>
      <xdr:row>167</xdr:row>
      <xdr:rowOff>47625</xdr:rowOff>
    </xdr:from>
    <xdr:to>
      <xdr:col>72</xdr:col>
      <xdr:colOff>515175</xdr:colOff>
      <xdr:row>193</xdr:row>
      <xdr:rowOff>134625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C0AAABA-58CB-45BF-B573-1AD8A23F5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194</xdr:row>
      <xdr:rowOff>47625</xdr:rowOff>
    </xdr:from>
    <xdr:to>
      <xdr:col>52</xdr:col>
      <xdr:colOff>258000</xdr:colOff>
      <xdr:row>220</xdr:row>
      <xdr:rowOff>134625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488DCD7-FE8D-4CDE-AFE8-1518584593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55</xdr:col>
      <xdr:colOff>257175</xdr:colOff>
      <xdr:row>194</xdr:row>
      <xdr:rowOff>47625</xdr:rowOff>
    </xdr:from>
    <xdr:to>
      <xdr:col>72</xdr:col>
      <xdr:colOff>515175</xdr:colOff>
      <xdr:row>220</xdr:row>
      <xdr:rowOff>134625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3A8EAD7-B3A2-43BB-8D4E-78523E0D45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73</xdr:col>
      <xdr:colOff>0</xdr:colOff>
      <xdr:row>110</xdr:row>
      <xdr:rowOff>0</xdr:rowOff>
    </xdr:from>
    <xdr:to>
      <xdr:col>88</xdr:col>
      <xdr:colOff>258000</xdr:colOff>
      <xdr:row>136</xdr:row>
      <xdr:rowOff>87000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1086EF7-4090-49CF-9875-6A64505907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73</xdr:col>
      <xdr:colOff>0</xdr:colOff>
      <xdr:row>140</xdr:row>
      <xdr:rowOff>47625</xdr:rowOff>
    </xdr:from>
    <xdr:to>
      <xdr:col>88</xdr:col>
      <xdr:colOff>258000</xdr:colOff>
      <xdr:row>166</xdr:row>
      <xdr:rowOff>134625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F3AA99B-43AD-4114-94F4-180B0F056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91</xdr:col>
      <xdr:colOff>257175</xdr:colOff>
      <xdr:row>140</xdr:row>
      <xdr:rowOff>47625</xdr:rowOff>
    </xdr:from>
    <xdr:to>
      <xdr:col>109</xdr:col>
      <xdr:colOff>38925</xdr:colOff>
      <xdr:row>166</xdr:row>
      <xdr:rowOff>134625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ADB420F-1B2C-4E48-BAB7-AD9414D07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109</xdr:col>
      <xdr:colOff>0</xdr:colOff>
      <xdr:row>126</xdr:row>
      <xdr:rowOff>0</xdr:rowOff>
    </xdr:from>
    <xdr:to>
      <xdr:col>122</xdr:col>
      <xdr:colOff>591375</xdr:colOff>
      <xdr:row>152</xdr:row>
      <xdr:rowOff>87000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B6C3A9C-C53B-492A-8BBF-FD9189A45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109</xdr:col>
      <xdr:colOff>0</xdr:colOff>
      <xdr:row>156</xdr:row>
      <xdr:rowOff>47625</xdr:rowOff>
    </xdr:from>
    <xdr:to>
      <xdr:col>122</xdr:col>
      <xdr:colOff>591375</xdr:colOff>
      <xdr:row>182</xdr:row>
      <xdr:rowOff>134625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715392E-6880-4F37-8C8F-BA874AD4D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124</xdr:col>
      <xdr:colOff>114300</xdr:colOff>
      <xdr:row>156</xdr:row>
      <xdr:rowOff>47625</xdr:rowOff>
    </xdr:from>
    <xdr:to>
      <xdr:col>138</xdr:col>
      <xdr:colOff>86550</xdr:colOff>
      <xdr:row>182</xdr:row>
      <xdr:rowOff>134625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B358A62-88EF-482D-BA17-98ED934ED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138</xdr:col>
      <xdr:colOff>0</xdr:colOff>
      <xdr:row>126</xdr:row>
      <xdr:rowOff>0</xdr:rowOff>
    </xdr:from>
    <xdr:to>
      <xdr:col>151</xdr:col>
      <xdr:colOff>591375</xdr:colOff>
      <xdr:row>152</xdr:row>
      <xdr:rowOff>87000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D46F6E2-D472-46AA-BCE1-239DF8DBE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138</xdr:col>
      <xdr:colOff>0</xdr:colOff>
      <xdr:row>156</xdr:row>
      <xdr:rowOff>47625</xdr:rowOff>
    </xdr:from>
    <xdr:to>
      <xdr:col>151</xdr:col>
      <xdr:colOff>591375</xdr:colOff>
      <xdr:row>182</xdr:row>
      <xdr:rowOff>134625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243CB72-F218-469C-B94C-9DBA619D1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153</xdr:col>
      <xdr:colOff>114300</xdr:colOff>
      <xdr:row>156</xdr:row>
      <xdr:rowOff>47625</xdr:rowOff>
    </xdr:from>
    <xdr:to>
      <xdr:col>167</xdr:col>
      <xdr:colOff>86550</xdr:colOff>
      <xdr:row>182</xdr:row>
      <xdr:rowOff>134625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CF9ABC7-BFA8-45D5-B066-74648864F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168</xdr:col>
      <xdr:colOff>0</xdr:colOff>
      <xdr:row>127</xdr:row>
      <xdr:rowOff>0</xdr:rowOff>
    </xdr:from>
    <xdr:to>
      <xdr:col>181</xdr:col>
      <xdr:colOff>591375</xdr:colOff>
      <xdr:row>153</xdr:row>
      <xdr:rowOff>87000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6D06BA0-665D-4FC4-9B27-31997D62C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168</xdr:col>
      <xdr:colOff>0</xdr:colOff>
      <xdr:row>157</xdr:row>
      <xdr:rowOff>47625</xdr:rowOff>
    </xdr:from>
    <xdr:to>
      <xdr:col>181</xdr:col>
      <xdr:colOff>591375</xdr:colOff>
      <xdr:row>183</xdr:row>
      <xdr:rowOff>134625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26293E2-2427-4A85-BBC5-2A4E553E0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183</xdr:col>
      <xdr:colOff>114300</xdr:colOff>
      <xdr:row>157</xdr:row>
      <xdr:rowOff>47625</xdr:rowOff>
    </xdr:from>
    <xdr:to>
      <xdr:col>197</xdr:col>
      <xdr:colOff>86550</xdr:colOff>
      <xdr:row>183</xdr:row>
      <xdr:rowOff>134625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A4B4A004-6EA3-4673-ACD7-ED112A04A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197</xdr:col>
      <xdr:colOff>0</xdr:colOff>
      <xdr:row>127</xdr:row>
      <xdr:rowOff>0</xdr:rowOff>
    </xdr:from>
    <xdr:to>
      <xdr:col>210</xdr:col>
      <xdr:colOff>591375</xdr:colOff>
      <xdr:row>153</xdr:row>
      <xdr:rowOff>87000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AEB3DABC-8DF0-4BCF-AEB8-272292657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197</xdr:col>
      <xdr:colOff>0</xdr:colOff>
      <xdr:row>157</xdr:row>
      <xdr:rowOff>47625</xdr:rowOff>
    </xdr:from>
    <xdr:to>
      <xdr:col>210</xdr:col>
      <xdr:colOff>591375</xdr:colOff>
      <xdr:row>183</xdr:row>
      <xdr:rowOff>134625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8EAFCC7-D776-43FC-8670-0BA600DCA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212</xdr:col>
      <xdr:colOff>114300</xdr:colOff>
      <xdr:row>157</xdr:row>
      <xdr:rowOff>47625</xdr:rowOff>
    </xdr:from>
    <xdr:to>
      <xdr:col>226</xdr:col>
      <xdr:colOff>86550</xdr:colOff>
      <xdr:row>183</xdr:row>
      <xdr:rowOff>134625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A727F9F-123A-447E-BA16-0AEEA4D24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227</xdr:col>
      <xdr:colOff>0</xdr:colOff>
      <xdr:row>127</xdr:row>
      <xdr:rowOff>0</xdr:rowOff>
    </xdr:from>
    <xdr:to>
      <xdr:col>240</xdr:col>
      <xdr:colOff>591375</xdr:colOff>
      <xdr:row>153</xdr:row>
      <xdr:rowOff>87000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56A036E3-4820-4C20-BA82-C940070A1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227</xdr:col>
      <xdr:colOff>0</xdr:colOff>
      <xdr:row>157</xdr:row>
      <xdr:rowOff>47625</xdr:rowOff>
    </xdr:from>
    <xdr:to>
      <xdr:col>240</xdr:col>
      <xdr:colOff>591375</xdr:colOff>
      <xdr:row>183</xdr:row>
      <xdr:rowOff>134625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45D92238-EC19-4ACE-BDAA-7B7DC1BC8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242</xdr:col>
      <xdr:colOff>114300</xdr:colOff>
      <xdr:row>157</xdr:row>
      <xdr:rowOff>47625</xdr:rowOff>
    </xdr:from>
    <xdr:to>
      <xdr:col>256</xdr:col>
      <xdr:colOff>86550</xdr:colOff>
      <xdr:row>183</xdr:row>
      <xdr:rowOff>134625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30E5184A-B78F-496E-8125-9DAC3FFA4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493059</xdr:colOff>
      <xdr:row>82</xdr:row>
      <xdr:rowOff>136072</xdr:rowOff>
    </xdr:from>
    <xdr:to>
      <xdr:col>31</xdr:col>
      <xdr:colOff>162484</xdr:colOff>
      <xdr:row>107</xdr:row>
      <xdr:rowOff>78441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72630-DC4D-485F-8BC6-1D88E201B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6</xdr:col>
      <xdr:colOff>495617</xdr:colOff>
      <xdr:row>12</xdr:row>
      <xdr:rowOff>2699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81BBBD-256F-4960-913B-DF2FDA3F5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499"/>
          <a:ext cx="4543742" cy="171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6</xdr:col>
      <xdr:colOff>495616</xdr:colOff>
      <xdr:row>147</xdr:row>
      <xdr:rowOff>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D642B0-807F-4270-92BF-BFB0D2229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89000"/>
          <a:ext cx="4543741" cy="171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6</xdr:col>
      <xdr:colOff>495300</xdr:colOff>
      <xdr:row>282</xdr:row>
      <xdr:rowOff>2580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E175FD-85D4-4531-9757-4C356A5BF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0"/>
          <a:ext cx="4543425" cy="171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1863</xdr:rowOff>
    </xdr:from>
    <xdr:to>
      <xdr:col>4</xdr:col>
      <xdr:colOff>1687560</xdr:colOff>
      <xdr:row>12</xdr:row>
      <xdr:rowOff>4563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5E02-CC81-4A6D-BC47-F4C5DF718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0" y="573363"/>
          <a:ext cx="4554585" cy="171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4</xdr:col>
      <xdr:colOff>1676716</xdr:colOff>
      <xdr:row>38</xdr:row>
      <xdr:rowOff>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12FD70-FF6D-4CC5-A9E0-C17F1A4C2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4543741" cy="171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4</xdr:col>
      <xdr:colOff>1676400</xdr:colOff>
      <xdr:row>64</xdr:row>
      <xdr:rowOff>2580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0904FA-F4A6-2F60-8022-5F3F254C8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"/>
          <a:ext cx="4543425" cy="171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49E5D4-9163-455A-B894-B99A001F5BA7}" name="DirectSLRs" displayName="DirectSLRs" ref="B3:D8" totalsRowShown="0" tableBorderDxfId="967">
  <autoFilter ref="B3:D8" xr:uid="{2F49E5D4-9163-455A-B894-B99A001F5BA7}"/>
  <tableColumns count="3">
    <tableColumn id="1" xr3:uid="{561F5595-CA9A-40AB-B0D9-FEA4D1194500}" name="UW_Month" dataDxfId="966"/>
    <tableColumn id="2" xr3:uid="{A4D00821-4399-4AE4-BF3D-67D5F833CF77}" name="NLR_Pred_RP_tech_mod" dataDxfId="965"/>
    <tableColumn id="3" xr3:uid="{08B86D10-7056-4BE1-8AB3-96DE82FB777F}" name="NLR_Pred_RP_rating_mod" dataDxfId="96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018D0C-2CA5-46C0-B24F-EB6BA962EC8A}" name="Table4" displayName="Table4" ref="A4:AY109" totalsRowShown="0" headerRowDxfId="963" tableBorderDxfId="962">
  <autoFilter ref="A4:AY109" xr:uid="{C4B9AF1D-20FF-4724-A949-A17AF3C06DF0}"/>
  <tableColumns count="51">
    <tableColumn id="1" xr3:uid="{FF2C15C7-001F-45F1-BD48-B2DD377E7B27}" name="UW_week" dataDxfId="961"/>
    <tableColumn id="54" xr3:uid="{0530B157-891D-46D2-8C37-52CE90A6A577}" name="Policy Count (Boom)" dataDxfId="960">
      <calculatedColumnFormula>J5+L5+N5</calculatedColumnFormula>
    </tableColumn>
    <tableColumn id="55" xr3:uid="{FD5FAB96-B2E1-475B-B676-76042484B376}" name="4 Week Avg (Boom)" dataDxfId="959"/>
    <tableColumn id="92" xr3:uid="{B0E9DE79-DB30-4F01-96A0-BD49755AF023}" name="Policy Count (Boom)2" dataDxfId="958"/>
    <tableColumn id="93" xr3:uid="{9D4DE738-56F1-4070-B4FC-4A73FD44B48A}" name="4 Week Avg (Boom)3" dataDxfId="957"/>
    <tableColumn id="144" xr3:uid="{28352CC7-DBB0-4419-B5F9-392914940357}" name="Policy Count (Boom)3" dataDxfId="956">
      <calculatedColumnFormula>J5+L5+R5</calculatedColumnFormula>
    </tableColumn>
    <tableColumn id="145" xr3:uid="{121D41BB-E975-4930-8F6D-E1C30539361E}" name="4 Week Avg (Boom)2" dataDxfId="955"/>
    <tableColumn id="4" xr3:uid="{549CAEC3-2FB0-47BF-B44A-267107D4A0C6}" name="Policy Count (Boom Annual)" dataDxfId="954">
      <calculatedColumnFormula>J5+L5</calculatedColumnFormula>
    </tableColumn>
    <tableColumn id="5" xr3:uid="{486DEC9C-320E-4C27-9327-9B11AE378EF8}" name="4 Week Avg (Boom Annual)" dataDxfId="953"/>
    <tableColumn id="18" xr3:uid="{24A98524-ECBE-47BA-9A24-6E4A0A4977E0}" name="Policy Count (Boom Annual Up Front)" dataDxfId="952"/>
    <tableColumn id="19" xr3:uid="{2925530B-87DE-4964-97F6-289D315F197F}" name="4 Week Avg (Boom Annual Up Front)" dataDxfId="951"/>
    <tableColumn id="2" xr3:uid="{C7B32DE2-C249-4983-BE09-26C6AE1FE5F3}" name="Policy Count (Boom Annual Premium Finance)" dataDxfId="950"/>
    <tableColumn id="3" xr3:uid="{D04E0DD0-F493-48B0-888E-1D4E35E1600F}" name="4 Week Avg (Boom Annual Premium Finance)" dataDxfId="949"/>
    <tableColumn id="20" xr3:uid="{C14C9020-FCDA-4857-9FFB-2C6E1F968FBA}" name="Policy Count (Boom Subscription)" dataDxfId="948"/>
    <tableColumn id="21" xr3:uid="{510319E8-1DCA-4EF4-88AD-704DE5604E32}" name="4 Week Avg (Boom Subscription)" dataDxfId="947"/>
    <tableColumn id="90" xr3:uid="{63E4AEAF-CBF1-4379-9176-86FB7B8EC6F3}" name="Policy Count (Boom Subscription)2" dataDxfId="946"/>
    <tableColumn id="91" xr3:uid="{F3573CDF-9191-4889-A72C-BBD64D6E5353}" name="4 Week Avg (Boom Subscription)2" dataDxfId="945"/>
    <tableColumn id="94" xr3:uid="{EEA8C8D8-BF0D-41BB-802D-7EA38B8BE2D8}" name="Policy Count (Boom Subscription)3" dataDxfId="944"/>
    <tableColumn id="95" xr3:uid="{384336F8-B9D8-46EA-943A-CDCA32864866}" name="4 Week Avg (Boom Subscription)3" dataDxfId="943"/>
    <tableColumn id="46" xr3:uid="{AFBB8609-93FF-4C15-AACB-46E451048297}" name="Policy Count (Standard)" dataDxfId="942">
      <calculatedColumnFormula>AJ5+AR5</calculatedColumnFormula>
    </tableColumn>
    <tableColumn id="47" xr3:uid="{D4E5342B-33C2-484D-A406-A9741CC5A28E}" name="4 Week Avg (Standard)" dataDxfId="941"/>
    <tableColumn id="48" xr3:uid="{30B58955-78BF-43D3-9DEE-F45EAA18C46E}" name="Policy Count (Plus)" dataDxfId="940">
      <calculatedColumnFormula>AL5+AT5</calculatedColumnFormula>
    </tableColumn>
    <tableColumn id="49" xr3:uid="{5D68E020-BA99-4F09-A103-68419EF314C1}" name="4 Week Avg (Plus)" dataDxfId="939"/>
    <tableColumn id="50" xr3:uid="{6C8D93E5-6C32-4CD8-8B15-9BE853066284}" name="Policy Count (Essentials)" dataDxfId="938">
      <calculatedColumnFormula>AN5+AV5</calculatedColumnFormula>
    </tableColumn>
    <tableColumn id="51" xr3:uid="{6FB29AD0-DAF2-46D5-A11C-CB58AA2B38AF}" name="4 Week Avg (Essentials)" dataDxfId="937"/>
    <tableColumn id="108" xr3:uid="{86BDFC43-DDB0-4F09-84FC-A8912A381395}" name="Policy Count (Premium)" dataDxfId="936">
      <calculatedColumnFormula>AP5+AX5</calculatedColumnFormula>
    </tableColumn>
    <tableColumn id="109" xr3:uid="{83711DCA-2178-4D05-BAC5-99BDCC82A68D}" name="4 Week Avg (Premium)" dataDxfId="935"/>
    <tableColumn id="166" xr3:uid="{8F06A51A-4497-407A-AEFE-DAA66A13BF36}" name="Boom Standard" dataDxfId="934">
      <calculatedColumnFormula>T5/SUM($T5,$V5,$X5,$Z5)</calculatedColumnFormula>
    </tableColumn>
    <tableColumn id="167" xr3:uid="{9AE07085-8DE2-4967-ADCA-5450C01FBC5B}" name="Boom Plus" dataDxfId="933">
      <calculatedColumnFormula>V5/SUM($T5,$V5,$X5,$Z5)</calculatedColumnFormula>
    </tableColumn>
    <tableColumn id="168" xr3:uid="{F5C5DED0-BD75-41F6-8F80-C9EBE9B673FA}" name="Boom Essentials" dataDxfId="932">
      <calculatedColumnFormula>X5/SUM($T5,$V5,$X5,$Z5)</calculatedColumnFormula>
    </tableColumn>
    <tableColumn id="169" xr3:uid="{AA51584C-CC9D-46CA-B6B0-4BC03911C5FA}" name="Boom Premium" dataDxfId="931">
      <calculatedColumnFormula>Z5/SUM($T5,$V5,$X5,$Z5)</calculatedColumnFormula>
    </tableColumn>
    <tableColumn id="164" xr3:uid="{5B1A6627-2EBE-44A8-9796-79922479F694}" name="Boom Standard - 4 Week Avg" dataDxfId="930"/>
    <tableColumn id="165" xr3:uid="{1A2F2DC2-5D16-473E-92C9-E86F784281DA}" name="Boom Plus - 4 Week Avg" dataDxfId="929"/>
    <tableColumn id="162" xr3:uid="{5B443AA3-F252-468F-835D-BFDA648086B1}" name="Boom Essentials - 4 Week Avg" dataDxfId="928"/>
    <tableColumn id="163" xr3:uid="{6FD2DDBE-1064-4AA0-A727-810DDD87D033}" name="Boom Premium - 4 Week Avg"/>
    <tableColumn id="118" xr3:uid="{0C0E659A-9CB6-4682-9050-1B8EE83B061D}" name="Policy Count (Standard - Subscription)" dataDxfId="927"/>
    <tableColumn id="119" xr3:uid="{84573216-9B4D-46A5-951C-2CFB20BC4AB7}" name="4 Week Avg (Standard - Subscription)" dataDxfId="926"/>
    <tableColumn id="120" xr3:uid="{24BABF39-6243-4DF7-8A3F-76F4A54ED2FF}" name="Policy Count (Plus - Subscription)" dataDxfId="925"/>
    <tableColumn id="121" xr3:uid="{3CEE9933-C1E6-4D34-9BAA-D4C6F93C2C63}" name="4 Week Avg (Plus - Subscription)" dataDxfId="924"/>
    <tableColumn id="122" xr3:uid="{EB40EAD0-3402-4E2C-82E3-422323E73588}" name="Policy Count (Essentials - Subscription)" dataDxfId="923"/>
    <tableColumn id="123" xr3:uid="{756EBCC9-EB48-474C-9828-9E176D4EC309}" name="4 Week Avg (Essentials - Subscription)" dataDxfId="922"/>
    <tableColumn id="124" xr3:uid="{3723BF41-612E-4513-A1E7-94C2E90B0A85}" name="Policy Count (Premium - Subscription)" dataDxfId="921"/>
    <tableColumn id="125" xr3:uid="{CF72F78C-1BB8-4B74-877F-A2D19E164398}" name="4 Week Avg (Premium - Subscription)" dataDxfId="920"/>
    <tableColumn id="116" xr3:uid="{EB570555-AB1E-4397-8F9E-6A947F5E2238}" name="Policy Count (Standard - Annual)" dataDxfId="919"/>
    <tableColumn id="117" xr3:uid="{DF2FC8A3-63E2-49FE-92A4-582D9A1E4691}" name="4 Week Avg (Standard - Annual)" dataDxfId="918"/>
    <tableColumn id="114" xr3:uid="{36E97283-AD7B-42BA-A90D-858427E5A163}" name="Policy Count (Plus - Annual)" dataDxfId="917"/>
    <tableColumn id="115" xr3:uid="{7AF1DC09-A28C-47E1-BB0D-89AF56B8D081}" name="4 Week Avg (Plus - Annual)" dataDxfId="916"/>
    <tableColumn id="112" xr3:uid="{4B8C6C31-EF97-4950-9E59-3DED0F627A44}" name="Policy Count (Essentials - Annual)" dataDxfId="915"/>
    <tableColumn id="113" xr3:uid="{BA736772-DD13-4754-8493-CD2F0240F6F3}" name="4 Week Avg (Essentials - Annual)" dataDxfId="914"/>
    <tableColumn id="110" xr3:uid="{9A24FD5E-A698-472D-853E-911D6FB4B639}" name="Policy Count (Premium - Annual)" dataDxfId="913"/>
    <tableColumn id="111" xr3:uid="{EF96FC9C-2E70-4847-BB14-5CFBD71889F2}" name="4 Week Avg (Premium - Annual)" dataDxfId="9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BBF1DE-C407-4503-89DF-BE1A21272B0A}" name="Table44" displayName="Table44" ref="A5:BQ110" totalsRowShown="0" headerRowDxfId="911" tableBorderDxfId="910">
  <autoFilter ref="A5:BQ110" xr:uid="{C4B9AF1D-20FF-4724-A949-A17AF3C06DF0}"/>
  <tableColumns count="69">
    <tableColumn id="1" xr3:uid="{6C022081-E0D4-489C-9E74-AD4B38AE2E91}" name="UW_week" dataDxfId="909"/>
    <tableColumn id="54" xr3:uid="{C27127B1-23F4-4621-BD1C-A85464EB5805}" name="NB Policy Count (Boom (excl monthly rens))" dataDxfId="908">
      <calculatedColumnFormula>R6+V6+Z6</calculatedColumnFormula>
    </tableColumn>
    <tableColumn id="55" xr3:uid="{781DE058-E757-46A4-B8AC-79A254DB788E}" name="NB 4 Week Avg (Boom (excl monthly rens))" dataDxfId="907"/>
    <tableColumn id="2" xr3:uid="{5FB3F416-A83C-4536-9D3B-83DFF3ABF23D}" name="RN Policy Count (Boom (excl monthly rens))" dataDxfId="906">
      <calculatedColumnFormula>T6+X6+AB6</calculatedColumnFormula>
    </tableColumn>
    <tableColumn id="3" xr3:uid="{5F6209AF-DB00-4C47-A3E8-89568652E91F}" name="RN 4 Week Avg (Boom (excl monthly rens))" dataDxfId="905"/>
    <tableColumn id="92" xr3:uid="{1BEBC075-5765-41E2-BD29-A32B2B5512F8}" name="NB Policy Count (Boom (excl monthly rens))2" dataDxfId="904"/>
    <tableColumn id="93" xr3:uid="{D1562804-AA22-4171-A67A-E86647B8B068}" name="NB 4 Week Avg (Boom (excl monthly rens))3" dataDxfId="903"/>
    <tableColumn id="4" xr3:uid="{4663E544-AC20-4D71-A04F-F8F45B7F6B47}" name="RN Policy Count (Boom (excl monthly rens))4" dataDxfId="902"/>
    <tableColumn id="5" xr3:uid="{A8AD5F75-FFF2-4659-9CBC-5542ED7003B5}" name="RN 4 Week Avg (Boom (excl monthly rens))5" dataDxfId="901"/>
    <tableColumn id="144" xr3:uid="{904D2FBA-BF4C-4DBD-9EEC-0A42AA8E3CDC}" name="NB Policy Count (Boom (excl monthly rens))6" dataDxfId="900">
      <calculatedColumnFormula>R6+V6+AH6</calculatedColumnFormula>
    </tableColumn>
    <tableColumn id="145" xr3:uid="{72CAC480-82EC-4EEC-8D47-381415523163}" name="NB 4 Week Avg (Boom (excl monthly rens))7" dataDxfId="899"/>
    <tableColumn id="6" xr3:uid="{4951BE83-A2D9-4D9A-96B9-99BB2D4F0867}" name="RN Policy Count (Boom (excl monthly rens))8" dataDxfId="898">
      <calculatedColumnFormula>T6+X6+AJ6</calculatedColumnFormula>
    </tableColumn>
    <tableColumn id="7" xr3:uid="{A85BE3A7-ED9C-40D1-AC4A-9650FC3FFED0}" name="RN 4 Week Avg (Boom (excl monthly rens))9" dataDxfId="897"/>
    <tableColumn id="24" xr3:uid="{2A37A9FF-8C48-4632-B066-EEA7E85D4906}" name="NB Policy Count (Boom Annual)" dataDxfId="896">
      <calculatedColumnFormula>R6+V6</calculatedColumnFormula>
    </tableColumn>
    <tableColumn id="25" xr3:uid="{5E5B5411-D1F3-45F2-89E6-6A82D4847681}" name="NB 4 Week Avg (Boom Annual)" dataDxfId="895"/>
    <tableColumn id="26" xr3:uid="{6BC073AA-0E5F-4FEA-9762-14AABB2A86D2}" name="RN Policy Count (Boom Annual)" dataDxfId="894">
      <calculatedColumnFormula>T6+X6</calculatedColumnFormula>
    </tableColumn>
    <tableColumn id="27" xr3:uid="{9059A09E-9FBF-424D-B6C3-892132A2CB77}" name="RN 4 Week Avg (Boom Annual)" dataDxfId="893"/>
    <tableColumn id="18" xr3:uid="{2E6095A5-0BC5-4649-A1EB-2B3420210AB4}" name="NB Policy Count (Boom Annual Up Front)" dataDxfId="892"/>
    <tableColumn id="19" xr3:uid="{DDCC2F43-467C-47DF-B9B0-47CA26A1CDC6}" name="NB 4 Week Avg (Boom Annual Up Front)" dataDxfId="891"/>
    <tableColumn id="8" xr3:uid="{A7620AFD-E13B-4F96-8272-1AFB9F4EC7D9}" name="RN Policy Count (Boom Annual Up Front)" dataDxfId="890"/>
    <tableColumn id="9" xr3:uid="{371DA78F-C8AF-4EA3-A197-881EB3B9E1B3}" name="RN 4 Week Avg (Boom Annual Up Front)" dataDxfId="889"/>
    <tableColumn id="16" xr3:uid="{1FEB2748-3844-46E5-9CEF-6E892B2DF260}" name="NB Policy Count (Boom Annual Premium Finance)" dataDxfId="888"/>
    <tableColumn id="17" xr3:uid="{0DE3687F-1E82-4F8B-BDE8-4883218876D2}" name="NB 4 Week Avg (Boom Annual Premium Finance)" dataDxfId="887"/>
    <tableColumn id="22" xr3:uid="{8B53C6DC-6CCA-484D-A16E-5B1AD2AB3969}" name="RN Policy Count (Boom Annual Premium Finance)" dataDxfId="886"/>
    <tableColumn id="23" xr3:uid="{90F6AE0B-D613-42E0-98F5-0AF5FD76D748}" name="RN 4 Week Avg (Boom Annual Premium Finance)" dataDxfId="885"/>
    <tableColumn id="20" xr3:uid="{37AA0E7E-2564-43DD-863A-31A158D9B3A6}" name="NB Policy Count (Boom Subscription)" dataDxfId="884"/>
    <tableColumn id="21" xr3:uid="{6593EEC9-4553-400C-BE2B-DEC901084322}" name="NB 4 Week Avg (Boom Subscription)" dataDxfId="883"/>
    <tableColumn id="10" xr3:uid="{DF0E4335-DBFD-4214-B9C8-081FFE4153F5}" name="RN Policy Count (Boom Subscription)" dataDxfId="882"/>
    <tableColumn id="11" xr3:uid="{E641EC27-17FF-4EB4-9D18-BE85327BBF45}" name="RN 4 Week Avg (Boom Subscription)" dataDxfId="881"/>
    <tableColumn id="90" xr3:uid="{0633764A-7DDA-4123-903E-A32DF1DC088B}" name="NB Policy Count (Boom Subscription)2" dataDxfId="880"/>
    <tableColumn id="91" xr3:uid="{48AA868A-0BEC-43DB-BF43-6CFDACCF12E8}" name="NB 4 Week Avg (Boom Subscription)3" dataDxfId="879"/>
    <tableColumn id="12" xr3:uid="{7107F1D3-1021-420C-9093-BE5B579F13FA}" name="RN Policy Count (Boom Subscription)4" dataDxfId="878"/>
    <tableColumn id="13" xr3:uid="{4343DD9C-8D5F-411E-B3E5-ABE48047E43F}" name="RN 4 Week Avg (Boom Subscription)5" dataDxfId="877"/>
    <tableColumn id="94" xr3:uid="{33977363-2931-4063-A4E3-A887714A688F}" name="NB Policy Count (Boom Subscription)3" dataDxfId="876"/>
    <tableColumn id="95" xr3:uid="{CF550CE8-1D39-465F-992A-E37B60FBD726}" name="NB 4 Week Avg (Boom Subscription)4" dataDxfId="875"/>
    <tableColumn id="14" xr3:uid="{FA63D8D3-18F9-4DD2-B810-C7C71312FB4E}" name="RN Policy Count (Boom Subscription)5" dataDxfId="874"/>
    <tableColumn id="15" xr3:uid="{58CC3FC0-1952-4A44-9A61-8BDFB328C549}" name="RN 4 Week Avg (Boom Subscription)6" dataDxfId="873"/>
    <tableColumn id="46" xr3:uid="{95F673E2-D9DD-4147-8736-49AF5F99E76F}" name="Policy Count (Standard)" dataDxfId="872">
      <calculatedColumnFormula>BB6+BJ6</calculatedColumnFormula>
    </tableColumn>
    <tableColumn id="47" xr3:uid="{CDAEE9DE-AC5C-465E-A357-C4E2C49DA0CD}" name="4 Week Avg (Standard)" dataDxfId="871"/>
    <tableColumn id="48" xr3:uid="{06623A05-7C89-4115-A2D3-6EA0C5390BA7}" name="Policy Count (Plus)" dataDxfId="870">
      <calculatedColumnFormula>BD6+BL6</calculatedColumnFormula>
    </tableColumn>
    <tableColumn id="49" xr3:uid="{C4F9D244-7B76-4EE2-82A7-6FD7BADC48FB}" name="4 Week Avg (Plus)" dataDxfId="869"/>
    <tableColumn id="50" xr3:uid="{7701BFA9-F86B-4F0E-84BE-2524D7BBED1C}" name="Policy Count (Essentials)" dataDxfId="868">
      <calculatedColumnFormula>BF6+BN6</calculatedColumnFormula>
    </tableColumn>
    <tableColumn id="51" xr3:uid="{92138999-D0CE-46B6-9AD7-0FEF48966C2E}" name="4 Week Avg (Essentials)" dataDxfId="867"/>
    <tableColumn id="108" xr3:uid="{642563C5-7A7D-4704-949B-44BC80702F1D}" name="Policy Count (Premium)" dataDxfId="866">
      <calculatedColumnFormula>BH6+BP6</calculatedColumnFormula>
    </tableColumn>
    <tableColumn id="109" xr3:uid="{95F0ADFA-A742-4D43-8381-9E0E0C63FD60}" name="4 Week Avg (Premium)" dataDxfId="865"/>
    <tableColumn id="166" xr3:uid="{E91172F2-9F8A-4F38-B17F-3AC6B4BBD235}" name="Boom Standard" dataDxfId="864">
      <calculatedColumnFormula>AL6/SUM($AL6,$AN6,$AP6,$AR6)</calculatedColumnFormula>
    </tableColumn>
    <tableColumn id="167" xr3:uid="{930031D4-7266-4CBA-A897-C8DBBDCD1D31}" name="Boom Plus" dataDxfId="863">
      <calculatedColumnFormula>AN6/SUM($AL6,$AN6,$AP6,$AR6)</calculatedColumnFormula>
    </tableColumn>
    <tableColumn id="168" xr3:uid="{B0DE62D9-39EE-472C-B52D-8CD45225CD65}" name="Boom Essentials" dataDxfId="862">
      <calculatedColumnFormula>AP6/SUM($AL6,$AN6,$AP6,$AR6)</calculatedColumnFormula>
    </tableColumn>
    <tableColumn id="169" xr3:uid="{6F62AF30-7685-480A-98E2-69934CC51547}" name="Boom Premium" dataDxfId="861">
      <calculatedColumnFormula>AR6/SUM($AL6,$AN6,$AP6,$AR6)</calculatedColumnFormula>
    </tableColumn>
    <tableColumn id="164" xr3:uid="{008538E5-4684-4487-97D3-FB24CECEFEE6}" name="Boom Standard - 4 Week Avg" dataDxfId="860"/>
    <tableColumn id="165" xr3:uid="{A18A11E3-616B-4B70-9390-6B155919C3EA}" name="Boom Plus - 4 Week Avg" dataDxfId="859"/>
    <tableColumn id="162" xr3:uid="{9AB4DBFA-BA69-4F56-9CAD-372275B7B697}" name="Boom Essentials - 4 Week Avg" dataDxfId="858"/>
    <tableColumn id="163" xr3:uid="{16180D04-C426-4684-8301-46B182CD6ABA}" name="Boom Premium - 4 Week Avg"/>
    <tableColumn id="118" xr3:uid="{F6A43067-2E87-468E-815E-A52A62F4B007}" name="Policy Count (Standard - Subscription)" dataDxfId="857"/>
    <tableColumn id="119" xr3:uid="{B8F502E2-3775-4795-A3A4-0A5624EC0476}" name="4 Week Avg (Standard - Subscription)" dataDxfId="856"/>
    <tableColumn id="120" xr3:uid="{17751460-A218-423E-81C7-90AC9CB51311}" name="Policy Count (Plus - Subscription)" dataDxfId="855"/>
    <tableColumn id="121" xr3:uid="{C3CBFE40-A737-4A02-A7EC-56BB46AA6B9A}" name="4 Week Avg (Plus - Subscription)" dataDxfId="854"/>
    <tableColumn id="122" xr3:uid="{1792A2D1-F974-426A-BAA3-DEF1ABE7EC5A}" name="Policy Count (Essentials - Subscription)" dataDxfId="853"/>
    <tableColumn id="123" xr3:uid="{253E508D-83DF-4C9E-9FE2-380583BC3A38}" name="4 Week Avg (Essentials - Subscription)" dataDxfId="852"/>
    <tableColumn id="124" xr3:uid="{0153972C-A154-428A-B3A2-89FC7B74DA63}" name="Policy Count (Premium - Subscription)" dataDxfId="851"/>
    <tableColumn id="125" xr3:uid="{6E6E3BA9-C665-4172-8594-C10F88C82B5B}" name="4 Week Avg (Premium - Subscription)" dataDxfId="850"/>
    <tableColumn id="116" xr3:uid="{36E3FA41-38B6-4510-9777-C3DAF4622FDF}" name="Policy Count (Standard - Annual)" dataDxfId="849"/>
    <tableColumn id="117" xr3:uid="{2E3B3799-100E-4B27-87CB-D3D4934580E5}" name="4 Week Avg (Standard - Annual)" dataDxfId="848"/>
    <tableColumn id="114" xr3:uid="{BC9D029C-659C-4D10-B84C-72A9CE7533D5}" name="Policy Count (Plus - Annual)" dataDxfId="847"/>
    <tableColumn id="115" xr3:uid="{1463CE2F-E05F-4E0F-AB03-70730F2BF175}" name="4 Week Avg (Plus - Annual)" dataDxfId="846"/>
    <tableColumn id="112" xr3:uid="{B8E679B2-B0D9-4A1E-9307-B18A6C0085C0}" name="Policy Count (Essentials - Annual)" dataDxfId="845"/>
    <tableColumn id="113" xr3:uid="{924974E7-A501-4CC9-A7CC-06EE273551B2}" name="4 Week Avg (Essentials - Annual)" dataDxfId="844"/>
    <tableColumn id="110" xr3:uid="{8C3F3C22-E021-4FCE-9926-99678B73EA02}" name="Policy Count (Premium - Annual)" dataDxfId="843"/>
    <tableColumn id="111" xr3:uid="{AFABF152-4E59-4F00-9838-4252B3EE44C3}" name="4 Week Avg (Premium - Annual)" dataDxfId="84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1E8508-1802-4FE2-A05E-17EDDFAB4989}" name="Table5" displayName="Table5" ref="A4:CR109" totalsRowShown="0" headerRowDxfId="841" tableBorderDxfId="840">
  <autoFilter ref="A4:CR109" xr:uid="{F91CC1AA-DD28-417B-B93A-E3FFC24226E4}"/>
  <tableColumns count="96">
    <tableColumn id="1" xr3:uid="{BED985EF-4810-4439-BC28-66392BE19316}" name="UW_week" dataDxfId="839"/>
    <tableColumn id="137" xr3:uid="{DA90BDDE-5EE2-4BFF-80C1-91BC83B85405}" name="NWP (Boom)" dataDxfId="838"/>
    <tableColumn id="138" xr3:uid="{05E10C0A-BC6C-457B-B149-023993536D39}" name="NWP - 4 Week Avg (Boom)" dataDxfId="837"/>
    <tableColumn id="139" xr3:uid="{33C17391-AA62-450D-B180-80223DB9EE8A}" name="Average NWP (Boom)" dataDxfId="836"/>
    <tableColumn id="140" xr3:uid="{9E1AB64B-F876-4049-ADC7-5C96D36E5211}" name="Average NWP - 4 Week Avg (Boom)" dataDxfId="835"/>
    <tableColumn id="141" xr3:uid="{8BBDE33E-7355-49F6-B40E-123C279102A9}" name="Plan (Boom)" dataDxfId="834">
      <calculatedColumnFormula>O5+AN5</calculatedColumnFormula>
    </tableColumn>
    <tableColumn id="310" xr3:uid="{817BAF99-BA82-4582-9AF2-E872C60CCA83}" name="NWP (Boom)3" dataDxfId="833"/>
    <tableColumn id="311" xr3:uid="{A9620F06-221A-4F87-90A7-F4D3942BB81C}" name="NWP - 4 Week Avg (Boom)2" dataDxfId="832"/>
    <tableColumn id="312" xr3:uid="{37ED316F-27AA-423C-937A-467775775C4E}" name="Average NWP (Boom)2" dataDxfId="831">
      <calculatedColumnFormula>Table5[[#This Row],[Average NWP (Boom)]]</calculatedColumnFormula>
    </tableColumn>
    <tableColumn id="313" xr3:uid="{55FFC40D-D84F-416A-96C8-0B24118DD784}" name="Average NWP - 4 Week Avg (Boom)2" dataDxfId="830"/>
    <tableColumn id="7" xr3:uid="{CE4930A4-8FD6-4590-A331-1BBAA97BB3D4}" name="NWP (Boom Annual)" dataDxfId="829">
      <calculatedColumnFormula>P5+U5</calculatedColumnFormula>
    </tableColumn>
    <tableColumn id="8" xr3:uid="{E58AEA04-922A-4291-A2A6-1E2E635E1664}" name="NWP - 4 Week Avg (Boom Annual)" dataDxfId="828"/>
    <tableColumn id="9" xr3:uid="{EC599120-2EE0-4121-8189-ABDA7860364D}" name="Average NWP (Boom Annual)" dataDxfId="827"/>
    <tableColumn id="10" xr3:uid="{2749F070-FBAC-4AD7-AD34-F8469498B3B1}" name="Average NWP - 4 Week Avg (Boom Annual)" dataDxfId="826"/>
    <tableColumn id="11" xr3:uid="{E821AA56-7A48-4A69-8AC2-AF88415BAFA1}" name="Plan (Boom Annual)" dataDxfId="825">
      <calculatedColumnFormula>T5+Y5</calculatedColumnFormula>
    </tableColumn>
    <tableColumn id="26" xr3:uid="{6A0D84FE-9126-472F-B581-92DF9AA61F21}" name="NWP (Boom Annual Up Front)" dataDxfId="824"/>
    <tableColumn id="93" xr3:uid="{CEA0971F-EC72-499B-BDBF-5192F4FF2487}" name="NWP - 4 Week Avg (Boom Annual Up Front)" dataDxfId="823"/>
    <tableColumn id="27" xr3:uid="{61D0FAB7-3A76-47F4-8DA4-016DCFA622CB}" name="Average NWP (Boom Annual Up Front)" dataDxfId="822"/>
    <tableColumn id="28" xr3:uid="{70E9909F-85EF-475C-A6B9-218D25FC398B}" name="Average NWP - 4 Week Avg (Boom Annual Up Front)" dataDxfId="821"/>
    <tableColumn id="125" xr3:uid="{6FFA21B2-78A9-4DD5-98D2-F41F118D63AB}" name="Plan (Boom Annual Up Front)" dataDxfId="820"/>
    <tableColumn id="2" xr3:uid="{F13FD986-4497-452B-9F01-1D2DC0805A9E}" name="NWP (Boom Annual Premium Finance)" dataDxfId="819"/>
    <tableColumn id="3" xr3:uid="{F7DAAF7E-B955-4EB7-9042-6AFE0383E071}" name="NWP - 4 Week Avg (Boom Annual Premium Finance)" dataDxfId="818"/>
    <tableColumn id="4" xr3:uid="{CA77EBD5-F1ED-4C39-9986-4B4295A3062A}" name="Average NWP (Boom Annual Premium Finance)" dataDxfId="817"/>
    <tableColumn id="5" xr3:uid="{796D9595-A6E5-4648-8F99-216D2457E27D}" name="Average NWP - 4 Week Avg (Boom Annual Premium Finance)" dataDxfId="816"/>
    <tableColumn id="6" xr3:uid="{43C13F78-394D-47EE-8ABC-4C570473167F}" name="Plan (Boom Annual Premium Finance)" dataDxfId="815"/>
    <tableColumn id="29" xr3:uid="{AF5ED244-AE5D-4F76-95D4-9B0F51777A8E}" name="NWP (Boom Subscription)" dataDxfId="814"/>
    <tableColumn id="94" xr3:uid="{4A37747D-16C2-44B2-88A4-724385F620B6}" name="NWP - 4 Week Avg (Boom Subscription)" dataDxfId="813"/>
    <tableColumn id="30" xr3:uid="{53B3EAF0-2EC0-4642-9114-731DFDECE958}" name="Average NWP (Boom Subscription)" dataDxfId="812"/>
    <tableColumn id="31" xr3:uid="{B158094C-CFAC-4F27-A558-265F9FD88255}" name="Average NWP - 4 Week Avg (Boom Subscription)" dataDxfId="811"/>
    <tableColumn id="126" xr3:uid="{58985AC3-9F2E-4358-B9CA-AC58C52BAEED}" name="Plan (Boom Subscription)" dataDxfId="810"/>
    <tableColumn id="197" xr3:uid="{92BF39A3-5F09-4D73-ADE6-787949E7875C}" name="NWP (Boom Subscription)7" dataDxfId="809"/>
    <tableColumn id="198" xr3:uid="{1BC5781A-03FA-4BFD-96AB-CF88D1911BE4}" name="NWP - 4 Week Avg (Boom Subscription)8" dataDxfId="808"/>
    <tableColumn id="199" xr3:uid="{D18BE366-6117-4645-9982-DAC84CA27842}" name="Average NWP (Boom Subscription)9" dataDxfId="807"/>
    <tableColumn id="200" xr3:uid="{6A55DFA7-42CF-4874-A174-97E43DCE85E9}" name="Average NWP - 4 Week Avg (Boom Subscription)10" dataDxfId="806"/>
    <tableColumn id="201" xr3:uid="{4D92A152-3365-49AD-AE79-5BBF75852D94}" name="Plan (Boom Subscription)11" dataDxfId="805"/>
    <tableColumn id="216" xr3:uid="{FB9F24A4-5CFF-4042-86B9-1CCEEB06B8B9}" name="NWP (Boom Subscription)2" dataDxfId="804"/>
    <tableColumn id="217" xr3:uid="{9C0E706B-219C-4959-9820-F0D9311AE2E4}" name="NWP - 4 Week Avg (Boom Subscription)3" dataDxfId="803"/>
    <tableColumn id="218" xr3:uid="{95D8F98E-318B-4FAA-8801-41A00E2BBE57}" name="Average NWP (Boom Subscription)4" dataDxfId="802"/>
    <tableColumn id="219" xr3:uid="{FFE662A8-C423-4884-B79B-F784261702C7}" name="Average NWP - 4 Week Avg (Boom Subscription)5" dataDxfId="801"/>
    <tableColumn id="220" xr3:uid="{BC1A8D29-752B-45C2-82AF-E3EC0543C4B3}" name="Plan (Boom Subscription)6" dataDxfId="800"/>
    <tableColumn id="71" xr3:uid="{D60DE81B-F931-445F-9B64-0D1F32ED805E}" name="NWP (Standard)" dataDxfId="799">
      <calculatedColumnFormula>BM5+CC5</calculatedColumnFormula>
    </tableColumn>
    <tableColumn id="108" xr3:uid="{E23F78A3-861D-4732-B552-CF2A79A0B69F}" name="NWP - 4 Week Avg (Standard)" dataDxfId="798"/>
    <tableColumn id="72" xr3:uid="{C16C6D2F-5B49-4577-ACFE-6E563701C584}" name="Average NWP (Standard)" dataDxfId="797"/>
    <tableColumn id="73" xr3:uid="{97321B73-EEAA-47BD-9783-298735E907E5}" name="Average NWP - 4 Week Avg (Standard)" dataDxfId="796"/>
    <tableColumn id="74" xr3:uid="{F8F7114A-5502-4F15-8FAD-AFCE347D6FDE}" name="NWP (Plus)" dataDxfId="795">
      <calculatedColumnFormula>BQ5+CG5</calculatedColumnFormula>
    </tableColumn>
    <tableColumn id="109" xr3:uid="{0706A862-51C5-4398-B321-422ECC7D2DBD}" name="NWP - 4 Week Avg (Plus)" dataDxfId="794"/>
    <tableColumn id="75" xr3:uid="{40080EE4-9F98-4378-AE68-DE48BEB5C499}" name="Average NWP (Plus)" dataDxfId="793"/>
    <tableColumn id="76" xr3:uid="{A6860D99-6AA4-4C55-8755-21A962B46A06}" name="Average NWP - 4 Week Avg (Plus)" dataDxfId="792"/>
    <tableColumn id="258" xr3:uid="{CD21A52C-27CD-4634-98A1-2011D005BABF}" name="NWP (Essentials)" dataDxfId="791">
      <calculatedColumnFormula>BU5+CK5</calculatedColumnFormula>
    </tableColumn>
    <tableColumn id="259" xr3:uid="{1D186A38-D2B4-4619-8712-9943A524BF2E}" name="NWP - 4 Week Avg (Essentials)" dataDxfId="790"/>
    <tableColumn id="260" xr3:uid="{85D733BE-052E-4715-88DF-0256345815D1}" name="Average NWP (Essentials)" dataDxfId="789"/>
    <tableColumn id="261" xr3:uid="{53511BBE-F3B8-4180-AF9F-E8B9F9EC0362}" name="Average NWP - 4 Week Avg (Essentials)" dataDxfId="788"/>
    <tableColumn id="254" xr3:uid="{DBC17F0D-C67A-450B-BF02-D879527DE044}" name="NWP (Premium)" dataDxfId="787">
      <calculatedColumnFormula>BY5+CO5</calculatedColumnFormula>
    </tableColumn>
    <tableColumn id="255" xr3:uid="{00ECDBC0-6027-4B82-968E-DD2FD8C56538}" name="NWP - 4 Week Avg (Premium)" dataDxfId="786"/>
    <tableColumn id="256" xr3:uid="{38832E96-6F58-474F-B3D5-A20D96BF0E1B}" name="Average NWP (Premium)" dataDxfId="785"/>
    <tableColumn id="257" xr3:uid="{90A1CEDA-F44D-4843-B374-A36E07B8D1C7}" name="Average NWP - 4 Week Avg (Premium)" dataDxfId="784"/>
    <tableColumn id="338" xr3:uid="{03FC49EF-3C10-466A-93E6-9F1DDDD53556}" name="Boom Standard" dataDxfId="783">
      <calculatedColumnFormula>AO5/SUM(Table5[[#This Row],[NWP (Standard)]],Table5[[#This Row],[NWP (Plus)]],Table5[[#This Row],[NWP (Essentials)]],Table5[[#This Row],[NWP (Premium)]])</calculatedColumnFormula>
    </tableColumn>
    <tableColumn id="339" xr3:uid="{CACE3702-FCE4-44F4-8ADA-B9B2319C7168}" name="Boom Plus" dataDxfId="782">
      <calculatedColumnFormula>AS5/SUM(Table5[[#This Row],[NWP (Standard)]],Table5[[#This Row],[NWP (Plus)]],Table5[[#This Row],[NWP (Essentials)]],Table5[[#This Row],[NWP (Premium)]])</calculatedColumnFormula>
    </tableColumn>
    <tableColumn id="340" xr3:uid="{7EA76F28-63FC-4974-9EB1-44EDFC8A298F}" name="Boom Essentials" dataDxfId="781">
      <calculatedColumnFormula>AW5/SUM(Table5[[#This Row],[NWP (Standard)]],Table5[[#This Row],[NWP (Plus)]],Table5[[#This Row],[NWP (Essentials)]],Table5[[#This Row],[NWP (Premium)]])</calculatedColumnFormula>
    </tableColumn>
    <tableColumn id="341" xr3:uid="{315E95F5-D07A-4571-B1B2-CFA2FF24E044}" name="Boom Premium" dataDxfId="780">
      <calculatedColumnFormula>BA5/SUM(Table5[[#This Row],[NWP (Standard)]],Table5[[#This Row],[NWP (Plus)]],Table5[[#This Row],[NWP (Essentials)]],Table5[[#This Row],[NWP (Premium)]])</calculatedColumnFormula>
    </tableColumn>
    <tableColumn id="334" xr3:uid="{B8154AC7-7EE4-49A8-B435-74E09A4CBC59}" name="Boom Standard - 4 Week Avg"/>
    <tableColumn id="335" xr3:uid="{2C38A41B-4347-49FA-85F4-41B349FB45BC}" name="Boom Plus - 4 Week Avg"/>
    <tableColumn id="336" xr3:uid="{29659039-C14C-4756-AE68-5FBA94CD07DF}" name="Boom Essentials - 4 Week Avg"/>
    <tableColumn id="337" xr3:uid="{69173F63-17D9-4E34-BBB2-095312776CB4}" name="Boom Premium - 4 Week Avg" dataDxfId="779"/>
    <tableColumn id="278" xr3:uid="{24F5A471-950C-4DDE-85A2-C95A3B81863E}" name="NWP (Standard - Subscription)" dataDxfId="778"/>
    <tableColumn id="279" xr3:uid="{AFE0A113-F946-424E-9477-87EEB01FB1F4}" name="NWP - 4 Week Avg (Standard - Subscription)" dataDxfId="777"/>
    <tableColumn id="280" xr3:uid="{70ECD664-4579-4BAF-A581-6D0F788892BA}" name="Average NWP (Standard - Subscription)" dataDxfId="776"/>
    <tableColumn id="281" xr3:uid="{69152AAF-1582-48F4-BE17-E81812B962E5}" name="Average NWP - 4 Week Avg (Standard - Subscription)" dataDxfId="775"/>
    <tableColumn id="282" xr3:uid="{8B68CE18-6E99-40DC-9444-8723299EE97B}" name="NWP (Plus - Subscription)" dataDxfId="774"/>
    <tableColumn id="283" xr3:uid="{637C3E35-7237-4B5C-B92B-98EECF2C87C2}" name="NWP - 4 Week Avg (Plus - Subscription)" dataDxfId="773"/>
    <tableColumn id="284" xr3:uid="{09F564A0-5373-4037-B5F3-E483F01E43DF}" name="Average NWP (Plus - Subscription)" dataDxfId="772"/>
    <tableColumn id="285" xr3:uid="{FC2C78F1-6FDD-45A1-ABAE-E009EA69A65B}" name="Average NWP - 4 Week Avg (Plus - Subscription)" dataDxfId="771"/>
    <tableColumn id="286" xr3:uid="{5AFD2E45-2AAA-4AC2-962A-5ADF35A3E3EF}" name="NWP (Essentials - Subscription)" dataDxfId="770"/>
    <tableColumn id="287" xr3:uid="{811BADA8-75F8-4D91-880B-1A1F47A3981A}" name="NWP - 4 Week Avg (Essentials - Subscription)" dataDxfId="769"/>
    <tableColumn id="288" xr3:uid="{E0B079C2-1B5B-4F09-9B07-58DA6F108EBB}" name="Average NWP (Essentials - Subscription)" dataDxfId="768"/>
    <tableColumn id="289" xr3:uid="{8E3B8496-5CEC-49D1-AA14-5086FD6F7E81}" name="Average NWP - 4 Week Avg (Essentials - Subscription)" dataDxfId="767"/>
    <tableColumn id="290" xr3:uid="{E27F9B4E-F990-4B92-AFF9-9CC11F8E1BB2}" name="NWP (Premium - Subscription)" dataDxfId="766"/>
    <tableColumn id="291" xr3:uid="{79F3085C-0504-4C4C-A239-74CD3CA148CB}" name="NWP - 4 Week Avg (Premium - Subscription)" dataDxfId="765"/>
    <tableColumn id="292" xr3:uid="{C3759B57-DCEA-4EC8-A3C9-2B63D16A1A24}" name="Average NWP (Premium - Subscription)" dataDxfId="764"/>
    <tableColumn id="293" xr3:uid="{BE9D13D6-36E7-45D2-8C10-DA1F8ABAEFED}" name="Average NWP - 4 Week Avg (Premium - Subscription)" dataDxfId="763"/>
    <tableColumn id="262" xr3:uid="{0E35BE8C-1F2B-4729-BA88-9206FDD83EB7}" name="NWP (Standard - Annual)" dataDxfId="762"/>
    <tableColumn id="263" xr3:uid="{C2623768-0BF3-426E-A01B-D3B61E3650FE}" name="NWP - 4 Week Avg (Standard - Annual)" dataDxfId="761"/>
    <tableColumn id="264" xr3:uid="{65620750-2300-44DA-A35E-91A78192A385}" name="Average NWP (Standard - Annual)" dataDxfId="760"/>
    <tableColumn id="265" xr3:uid="{4A0911CB-C91A-457F-81DF-FC364E4E6A51}" name="Average NWP - 4 Week Avg (Standard - Annual)" dataDxfId="759"/>
    <tableColumn id="266" xr3:uid="{2BCB4BE0-C22B-46AC-B9CA-F96D6BC272EB}" name="NWP (Plus - Annual)" dataDxfId="758"/>
    <tableColumn id="267" xr3:uid="{30359D3A-BBEB-45C6-B462-BF7574B6544F}" name="NWP - 4 Week Avg (Plus - Annual)" dataDxfId="757"/>
    <tableColumn id="268" xr3:uid="{129EB494-78F6-4FF3-BE81-442BE83EAF45}" name="Average NWP (Plus - Annual)" dataDxfId="756"/>
    <tableColumn id="269" xr3:uid="{44BDFBC0-6ACC-42EB-B12A-CCD29AAFC3C5}" name="Average NWP - 4 Week Avg (Plus - Annual)" dataDxfId="755"/>
    <tableColumn id="270" xr3:uid="{F8C7BF7D-9C2E-4E4C-BDAF-129510B72B26}" name="NWP (Essentials - Annual)" dataDxfId="754"/>
    <tableColumn id="271" xr3:uid="{72E2D5EB-84F4-421A-B526-0D0D61A021B5}" name="NWP - 4 Week Avg (Essentials - Annual)" dataDxfId="753"/>
    <tableColumn id="272" xr3:uid="{39C77172-3D43-45EE-A9D4-39FEC0C180B5}" name="Average NWP (Essentials - Annual)" dataDxfId="752"/>
    <tableColumn id="273" xr3:uid="{E292B0F6-9D70-48CA-AADD-07058C4168F7}" name="Average NWP - 4 Week Avg (Essentials - Annual)" dataDxfId="751"/>
    <tableColumn id="274" xr3:uid="{2A6F512E-8D09-49F3-BDF3-C394418EA79E}" name="NWP (Premium - Annual)" dataDxfId="750"/>
    <tableColumn id="275" xr3:uid="{49A9E9FC-9020-42A5-A5D0-28D55125931B}" name="NWP - 4 Week Avg (Premium - Annual)" dataDxfId="749"/>
    <tableColumn id="276" xr3:uid="{CC59EF73-5025-47E6-A0E4-3422D36CBE06}" name="Average NWP (Premium - Annual)" dataDxfId="748"/>
    <tableColumn id="277" xr3:uid="{8FA799C0-1BC2-47A3-A1A6-AB3020FA41CE}" name="Average NWP - 4 Week Avg (Premium - Annual)" dataDxfId="74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A66CE0-7487-47B8-80A0-F1EC5481301D}" name="Table55" displayName="Table55" ref="A6:BE111" totalsRowShown="0" headerRowDxfId="746" tableBorderDxfId="745">
  <autoFilter ref="A6:BE111" xr:uid="{F91CC1AA-DD28-417B-B93A-E3FFC24226E4}"/>
  <tableColumns count="57">
    <tableColumn id="1" xr3:uid="{DF784818-89DA-4CD0-B835-2330EFFE067E}" name="UW_week" dataDxfId="744"/>
    <tableColumn id="137" xr3:uid="{26298A79-7D2D-4441-B2B4-43E91275B2AC}" name="NB NWP (Boom)" dataDxfId="743"/>
    <tableColumn id="138" xr3:uid="{AE49E11A-AE54-4C20-B12C-9A3A28DB80CE}" name="NB NWP - 4 Week Avg (Boom)" dataDxfId="742"/>
    <tableColumn id="139" xr3:uid="{3F37F399-3805-4D93-AA3E-717FB2E3E087}" name="NB Average NWP - 4 Week Avg (Boom)" dataDxfId="741"/>
    <tableColumn id="140" xr3:uid="{3F9820BA-48F7-46D6-A6FA-E2D2526A539B}" name="RN NWP (Boom)" dataDxfId="740"/>
    <tableColumn id="141" xr3:uid="{E29503A3-BB55-46AA-97CC-DF56C5854E52}" name="RN NWP - 4 Week Avg (Boom)" dataDxfId="739"/>
    <tableColumn id="211" xr3:uid="{56FEC1C6-6E39-4D85-919B-B1F5C182D9C1}" name="RN Average NWP - 4 Week Avg (Boom)" dataDxfId="738"/>
    <tableColumn id="212" xr3:uid="{D0797E82-0C3D-45AF-B045-DB997F3098A3}" name="NB Average NWP (Boom)" dataDxfId="737"/>
    <tableColumn id="213" xr3:uid="{0F4CD3F9-DD56-4C07-A2E5-9C153FB5117F}" name="RN Average NWP (Boom)" dataDxfId="736"/>
    <tableColumn id="214" xr3:uid="{CF585ABB-5049-4BC3-A955-4B8A3D3B8122}" name="NB NWP (Boom)2" dataDxfId="735">
      <calculatedColumnFormula>Z7+AP7</calculatedColumnFormula>
    </tableColumn>
    <tableColumn id="215" xr3:uid="{B129ED9D-5AA3-4D8E-A633-DB78003D44A4}" name="NB NWP - 4 Week Avg (Boom)3" dataDxfId="734"/>
    <tableColumn id="310" xr3:uid="{B94A2E24-D9A7-4696-B14A-26D81C24AC34}" name="NB Average NWP - 4 Week Avg (Boom)4" dataDxfId="733"/>
    <tableColumn id="311" xr3:uid="{6CB5A49F-3EDD-4980-827D-1554B6D2DA7B}" name="RN NWP (Boom)5" dataDxfId="732">
      <calculatedColumnFormula>AC7+AS7</calculatedColumnFormula>
    </tableColumn>
    <tableColumn id="312" xr3:uid="{66BD03DE-A639-41A8-A356-463EB7ADE5E2}" name="RN NWP - 4 Week Avg (Boom)6" dataDxfId="731"/>
    <tableColumn id="313" xr3:uid="{8F5A4965-05F8-4F31-ACD6-2E7F273B2EEC}" name="RN Average NWP - 4 Week Avg (Boom)7" dataDxfId="730"/>
    <tableColumn id="26" xr3:uid="{001DFCD1-584E-41E4-86E0-BFD70F5E8B91}" name="NB Average NWP (Boom)8" dataDxfId="729">
      <calculatedColumnFormula>H7</calculatedColumnFormula>
    </tableColumn>
    <tableColumn id="93" xr3:uid="{BA76CB30-FB25-4C59-8A33-38CC0E99D42F}" name="RN Average NWP (Boom)9" dataDxfId="728">
      <calculatedColumnFormula>I7</calculatedColumnFormula>
    </tableColumn>
    <tableColumn id="10" xr3:uid="{EA735171-9D49-451D-B086-309C8D6A01B2}" name="NB NWP (Boom Annual)" dataDxfId="727">
      <calculatedColumnFormula>Z7+AH7</calculatedColumnFormula>
    </tableColumn>
    <tableColumn id="11" xr3:uid="{7C724536-2CED-4E5E-8990-3CF0AAF5292D}" name="NB NWP - 4 Week Avg (Boom Annual)" dataDxfId="726"/>
    <tableColumn id="12" xr3:uid="{E60A2B5D-F84D-4041-8557-BA619196D316}" name="NB Average NWP - 4 Week Avg (Boom Annual)" dataDxfId="725"/>
    <tableColumn id="13" xr3:uid="{C01C0560-0F26-4F4C-BAE3-AA945C9B47E9}" name="RN NWP (Boom Annual)" dataDxfId="724">
      <calculatedColumnFormula>AC7+AK7</calculatedColumnFormula>
    </tableColumn>
    <tableColumn id="14" xr3:uid="{AF4E16E3-C571-46EF-94E8-92789071EB77}" name="RN NWP - 4 Week Avg (Boom Annual)" dataDxfId="723"/>
    <tableColumn id="15" xr3:uid="{45A6C84E-AD26-4113-AC87-A5A301912227}" name="RN Average NWP - 4 Week Avg (Boom Annual)" dataDxfId="722"/>
    <tableColumn id="16" xr3:uid="{CEC61EE5-ABDE-4DDE-A6BC-FBB4D20AB9A0}" name="NB Average NWP (Boom Annual)" dataDxfId="721"/>
    <tableColumn id="17" xr3:uid="{7A3B989C-F2BD-4465-BE54-8A8D752314BC}" name="RN Average NWP (Boom Annual)" dataDxfId="720"/>
    <tableColumn id="27" xr3:uid="{2A093EEB-9399-46F5-9E6B-15554F0D4D59}" name="NB NWP (Boom Annual Up Front)" dataDxfId="719"/>
    <tableColumn id="28" xr3:uid="{B80BFC7B-7963-4500-8279-676B90C988CB}" name="NB NWP - 4 Week Avg (Boom Annual Up Front)" dataDxfId="718"/>
    <tableColumn id="125" xr3:uid="{BCB49FEB-EC2F-4F54-89AC-6249B26ECE8B}" name="NB Average NWP - 4 Week Avg (Boom Annual Up Front)" dataDxfId="717"/>
    <tableColumn id="29" xr3:uid="{3AB04110-0D2A-41FF-9FD5-55EF2D8C9D53}" name="RN NWP (Boom Annual Up Front)" dataDxfId="716"/>
    <tableColumn id="94" xr3:uid="{6976955C-6B43-4B22-8886-2B80ABA8451A}" name="RN NWP - 4 Week Avg (Boom Annual Up Front)" dataDxfId="715"/>
    <tableColumn id="30" xr3:uid="{0A7E0DAE-CBC8-42E1-B284-C6BF8832192D}" name="RN Average NWP - 4 Week Avg (Boom Annual Up Front)" dataDxfId="714"/>
    <tableColumn id="31" xr3:uid="{716CB852-6846-412B-ABBA-D691A2E31E49}" name="NB Average NWP (Boom Annual Up Front)" dataDxfId="713"/>
    <tableColumn id="126" xr3:uid="{0E080CB7-69C6-4914-9495-980D3F3BE864}" name="RN Average NWP (Boom Annual Up Front)" dataDxfId="712"/>
    <tableColumn id="2" xr3:uid="{69C90DC4-4303-45D6-9051-EBBA812D4E23}" name="NB NWP (Boom Annual Premium Finance)" dataDxfId="711"/>
    <tableColumn id="3" xr3:uid="{FCE17939-81F4-44C2-BB0B-A9242FA83219}" name="NB NWP - 4 Week Avg (Boom Annual Premium Finance)" dataDxfId="710"/>
    <tableColumn id="4" xr3:uid="{8DF0E72C-DF46-4D64-A2AA-AECF56E35C29}" name="NB Average NWP - 4 Week Avg (Boom Annual Premium Finance)" dataDxfId="709"/>
    <tableColumn id="5" xr3:uid="{65C9BC8E-20CE-492D-B764-803CC88B7AB4}" name="RN NWP (Boom Annual Premium Finance)" dataDxfId="708"/>
    <tableColumn id="6" xr3:uid="{C8A9879E-AFCA-41FE-AD7D-1BDCFBD35576}" name="RN NWP - 4 Week Avg (Boom Annual Premium Finance)" dataDxfId="707"/>
    <tableColumn id="7" xr3:uid="{833952D8-DF07-4249-9CD4-630B01D36484}" name="RN Average NWP - 4 Week Avg (Boom Annual Premium Finance)" dataDxfId="706"/>
    <tableColumn id="8" xr3:uid="{23606CF4-76B7-41C3-9F45-212358A0959A}" name="NB Average NWP (Boom Annual Premium Finance)" dataDxfId="705"/>
    <tableColumn id="9" xr3:uid="{6424391C-250F-4FB3-A39C-41DA2E9DCECD}" name="RN Average NWP (Boom Annual Premium Finance)" dataDxfId="704"/>
    <tableColumn id="197" xr3:uid="{310A692E-A4CB-4724-9887-C4B9E3094397}" name="NB NWP (Boom Subscription)" dataDxfId="703"/>
    <tableColumn id="198" xr3:uid="{CA3D097F-86C6-4025-9652-492625C6671C}" name="NB NWP - 4 Week Avg (Boom Subscription)" dataDxfId="702"/>
    <tableColumn id="199" xr3:uid="{DE88C614-12C9-46A1-812F-309BD010B42E}" name="NB Average NWP - 4 Week Avg (Boom Subscription)" dataDxfId="701"/>
    <tableColumn id="200" xr3:uid="{3E31BFB2-68E4-4C9C-AE39-E644DAF44F62}" name="RN NWP (Boom Subscription)" dataDxfId="700"/>
    <tableColumn id="201" xr3:uid="{0EC99BAB-5161-4868-83B6-5D44E8E6CB31}" name="RN NWP - 4 Week Avg (Boom Subscription)" dataDxfId="699"/>
    <tableColumn id="216" xr3:uid="{4A80BF09-8A45-4065-9A2A-6D8841E1FCD7}" name="RN Average NWP - 4 Week Avg (Boom Subscription)" dataDxfId="698"/>
    <tableColumn id="217" xr3:uid="{5EFE4D54-772D-44BA-ADFE-03667A1D9D1A}" name="NB Average NWP (Boom Subscription)" dataDxfId="697"/>
    <tableColumn id="218" xr3:uid="{AA95DADF-A2EB-4E49-9A6D-6F7AF0A21C6E}" name="RN Average NWP (Boom Subscription)" dataDxfId="696"/>
    <tableColumn id="219" xr3:uid="{D4140B8E-98B7-4145-8C94-1230991B8DDB}" name="NB NWP (Boom Subscription)2" dataDxfId="695"/>
    <tableColumn id="220" xr3:uid="{49F8488F-3C86-44BE-A51E-07B894402CF9}" name="NB NWP - 4 Week Avg (Boom Subscription)3" dataDxfId="694"/>
    <tableColumn id="71" xr3:uid="{0D84603A-95E7-4AFC-9013-58499A83895B}" name="NB Average NWP - 4 Week Avg (Boom Subscription)4" dataDxfId="693"/>
    <tableColumn id="108" xr3:uid="{106E4619-08BA-4657-8DDA-24F55857698E}" name="RN NWP (Boom Subscription)5" dataDxfId="692"/>
    <tableColumn id="72" xr3:uid="{44107FF9-2D0A-4D26-B92E-E630FC49F1E5}" name="RN NWP - 4 Week Avg (Boom Subscription)6" dataDxfId="691"/>
    <tableColumn id="73" xr3:uid="{E3B1EC9F-EE71-4A09-BF26-ED79407B037B}" name="RN Average NWP - 4 Week Avg (Boom Subscription)7" dataDxfId="690"/>
    <tableColumn id="74" xr3:uid="{AB5D0BA3-724F-4910-A962-516370522B5F}" name="NB Average NWP (Boom Subscription)8" dataDxfId="689"/>
    <tableColumn id="109" xr3:uid="{9CEC0305-74AA-4671-9F47-3D9CDB75E6EA}" name="RN Average NWP (Boom Subscription)9" dataDxfId="68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8183DEE-8A4E-4ED9-ACFF-4845FA0E2506}" name="Table3" displayName="Table3" ref="A4:DE109" totalsRowShown="0" headerRowDxfId="687" tableBorderDxfId="686">
  <autoFilter ref="A4:DE109" xr:uid="{9284B2DE-07D7-44C9-8858-59FA3C458A23}"/>
  <tableColumns count="109">
    <tableColumn id="1" xr3:uid="{22C3483C-8DB6-4153-8867-93D72727523B}" name="UW_dt" dataDxfId="685"/>
    <tableColumn id="2" xr3:uid="{BBA92BD2-FD54-4C15-B243-A923FD7BBA49}" name="Average Proposer Age (Overall)" dataDxfId="684"/>
    <tableColumn id="3" xr3:uid="{AA7DBFA5-37E3-4527-85B7-A86C28F1B37E}" name="Average Proposer Age - 4 Week Avg (Overall)" dataDxfId="683"/>
    <tableColumn id="14" xr3:uid="{E266A4F1-F590-4BA2-9747-8854734B4493}" name="Average Proposer Age (PC Annual Direct)" dataDxfId="682"/>
    <tableColumn id="15" xr3:uid="{3AD2DF02-FF2E-469B-A868-4CCFE05690E2}" name="Average Proposer Age - 4 Week Avg (PC Annual Direct)" dataDxfId="681"/>
    <tableColumn id="72" xr3:uid="{CB17ED17-3ACE-4580-98C3-68AD02DF9578}" name="Average Proposer Age (Boom Annual)" dataDxfId="680"/>
    <tableColumn id="73" xr3:uid="{952D111D-7197-4EF4-9532-36DFEB211F8D}" name="Average Proposer Age - 4 Week Avg (Boom Annual)" dataDxfId="679"/>
    <tableColumn id="16" xr3:uid="{92EABAAF-9566-4111-A417-336DD18B896F}" name="Average Proposer Age (Boom Annual Up Front)" dataDxfId="678"/>
    <tableColumn id="17" xr3:uid="{12CAA8C7-CD79-4D30-BD29-CB77571BDB6B}" name="Average Proposer Age - 4 Week Avg (Boom Annual Up Front)" dataDxfId="677"/>
    <tableColumn id="74" xr3:uid="{B57703D9-B97F-49ED-BC2D-BAC4BB39C4C1}" name="Average Proposer Age (Boom Annual Premium Finance)" dataDxfId="676"/>
    <tableColumn id="75" xr3:uid="{B45A532B-B6E1-40F9-B1FF-728CA540D62C}" name="Average Proposer Age - 4 Week Avg (Boom Annual Premium Finance)" dataDxfId="675"/>
    <tableColumn id="18" xr3:uid="{5D8BCC95-E16B-46EC-8EE0-EFB272BFDF1A}" name="Average Proposer Age (Boom Subscription)" dataDxfId="674"/>
    <tableColumn id="19" xr3:uid="{7D42585C-4834-46FD-A74E-0BA461F4A305}" name="Average Proposer Age - 4 Week Avg (Boom Subscription)" dataDxfId="673"/>
    <tableColumn id="64" xr3:uid="{50B94C68-9DC6-4501-80F6-435702F2C366}" name="Average Proportion Under 25 (Overall)" dataDxfId="672"/>
    <tableColumn id="65" xr3:uid="{AFB42DB5-FD07-4D4F-9960-EF4B7EAD032B}" name="Average Proportion Under 25 - 4 Week Avg (Overall)" dataDxfId="671"/>
    <tableColumn id="20" xr3:uid="{E93D6CFD-FF43-4EC8-AD9D-572BEEF61A15}" name="Average Proportion Under 25 (PC Annual Direct)" dataDxfId="670"/>
    <tableColumn id="21" xr3:uid="{DC6E939B-4E4F-4498-88A5-134870E26A8E}" name="Average Proportion Under 25 - 4 Week Avg (PC Annual Direct)" dataDxfId="669"/>
    <tableColumn id="76" xr3:uid="{C16829B3-CEDD-497B-8588-84B3FAA24072}" name="Average Proportion Under 25 (Boom Annual)" dataDxfId="668"/>
    <tableColumn id="77" xr3:uid="{41EAD557-9A57-4A83-945E-2B0416C2F570}" name="Average Proportion Under 25 - 4 Week Avg (Boom Annual)" dataDxfId="667"/>
    <tableColumn id="22" xr3:uid="{37D4E08C-5815-4832-8F9A-4A1CC45EF0E7}" name="Average Proportion Under 25 (Boom Annual Up Front)" dataDxfId="666"/>
    <tableColumn id="23" xr3:uid="{0E1C4944-0BB4-4BD4-921F-1ADFDA2547E1}" name="Average Proportion Under 25 - 4 Week Avg (Boom Annual Up Front)" dataDxfId="665"/>
    <tableColumn id="78" xr3:uid="{8E0A16A0-435A-4FB7-B78F-E4C6B9110BA4}" name="Average Proportion Under 25 (Boom Annual Premium Finance)" dataDxfId="664"/>
    <tableColumn id="79" xr3:uid="{F73F278F-76FB-4F67-AF15-8313645C497F}" name="Average Proportion Under 25 - 4 Week Avg (Boom Annual Premium Finance)" dataDxfId="663"/>
    <tableColumn id="24" xr3:uid="{516E4AD1-40F2-41DB-9A71-8859D4729785}" name="Average Proportion Under 25 (Boom Subscription)" dataDxfId="662"/>
    <tableColumn id="25" xr3:uid="{43E679E2-8B68-48D1-AF20-F6A03453F0AE}" name="Average Proportion Under 25 - 4 Week Avg (Boom Subscription)" dataDxfId="661"/>
    <tableColumn id="208" xr3:uid="{8E646A5F-1926-44F6-AC3F-4B5B12ACA66E}" name="Average Premium Proportion Under 25 (Overall)" dataDxfId="660"/>
    <tableColumn id="209" xr3:uid="{3388219C-94B2-428A-950F-B99B60880E7A}" name="Average Premium Proportion Under 25 - 4 Week Avg (Overall)" dataDxfId="659"/>
    <tableColumn id="26" xr3:uid="{3469A3BB-C29D-4DBD-A82F-949CBCFBE619}" name="Average Premium Proportion Under 25 (PC Annual Direct)" dataDxfId="658"/>
    <tableColumn id="27" xr3:uid="{2010D2DC-6E3A-482A-9C4B-84182FCD3266}" name="Average Premium Proportion Under 25 - 4 Week Avg (PC Annual Direct)" dataDxfId="657"/>
    <tableColumn id="80" xr3:uid="{13EBCBEB-2F37-462A-9CC9-C44E31007235}" name="Average Premium Proportion Under 25 (Boom Annual)" dataDxfId="656"/>
    <tableColumn id="81" xr3:uid="{96EBC569-0E49-4178-B3A1-9FA334EC5B91}" name="Average Premium Proportion Under 25 - 4 Week Avg (Boom Annual)" dataDxfId="655"/>
    <tableColumn id="28" xr3:uid="{26FF18AD-C349-4050-80AC-C13BFF013582}" name="Average Premium Proportion Under 25 (Boom Annual Up Front)" dataDxfId="654"/>
    <tableColumn id="29" xr3:uid="{2355940A-0593-48A3-A2F9-1D572AE53267}" name="Average Premium Proportion Under 25 - 4 Week Avg (Boom Annual Up Front)" dataDxfId="653"/>
    <tableColumn id="82" xr3:uid="{5FAD721D-789E-4F3C-B3BD-E35946E8E8A8}" name="Average Premium Proportion Under 25 (Boom Annual Premium Finance)" dataDxfId="652"/>
    <tableColumn id="83" xr3:uid="{134B7756-913C-482A-90D5-CA47FCA5EA6C}" name="Average Premium Proportion Under 25 - 4 Week Avg (Boom Annual Premium Finance)" dataDxfId="651"/>
    <tableColumn id="30" xr3:uid="{88E72C9E-D8CB-4FF2-BDD8-0AB4A0C66B0A}" name="Average Premium Proportion Under 25 (Boom Subscription)" dataDxfId="650"/>
    <tableColumn id="31" xr3:uid="{FCA72FE7-4DC9-4AED-893F-CB2632D7FED0}" name="Average Premium Proportion Under 25 - 4 Week Avg (Boom Subscription)" dataDxfId="649"/>
    <tableColumn id="4" xr3:uid="{149A1BB4-8C02-400D-9E67-A41474B46E85}" name="Average Mileage (Overall)" dataDxfId="648"/>
    <tableColumn id="5" xr3:uid="{1CA80456-6C04-44CC-B504-D317EE27EF2E}" name="Average Mileage - 4 Week Avg (Overall)" dataDxfId="647"/>
    <tableColumn id="32" xr3:uid="{1A5681D3-0431-42E2-801C-9AAE4F3B4A6C}" name="Average Mileage (PC Annual Direct)" dataDxfId="646"/>
    <tableColumn id="33" xr3:uid="{6F8CF064-4C07-4DA0-86C6-48ED884C3AA4}" name="Average Mileage - 4 Week Avg (PC Annual Direct)" dataDxfId="645"/>
    <tableColumn id="84" xr3:uid="{C5A89803-E78F-4703-8196-ECD687DBE0ED}" name="Average Mileage (Boom Annual)" dataDxfId="644"/>
    <tableColumn id="85" xr3:uid="{5349C67C-C1AF-4CC4-9321-AC7B2C1249B3}" name="Average Mileage - 4 Week Avg (Boom Annual)" dataDxfId="643"/>
    <tableColumn id="34" xr3:uid="{67215BB9-6AC3-4848-9860-89C46F63A6DF}" name="Average Mileage (Boom Annual Up Front)" dataDxfId="642"/>
    <tableColumn id="35" xr3:uid="{F549E84D-8014-4A19-8C2A-6A75447175EB}" name="Average Mileage - 4 Week Avg (Boom Annual Up Front)" dataDxfId="641"/>
    <tableColumn id="86" xr3:uid="{0F8FA2BA-8B77-4B5A-8421-178A409C2A10}" name="Average Mileage (Boom Annual Premium Finance)" dataDxfId="640"/>
    <tableColumn id="87" xr3:uid="{1772133F-959F-4626-8CA5-FD7897C2C6DD}" name="Average Mileage - 4 Week Avg (Boom Annual Premium Finance)" dataDxfId="639"/>
    <tableColumn id="36" xr3:uid="{3B2FFB7C-0903-4E75-BF03-5698FE1E9615}" name="Average Mileage (Boom Subscription)" dataDxfId="638"/>
    <tableColumn id="37" xr3:uid="{3E31ED33-8DB0-4B16-B3E3-CE0A97196D64}" name="Average Mileage - 4 Week Avg (Boom Subscription)" dataDxfId="637"/>
    <tableColumn id="6" xr3:uid="{0491FA22-D791-41D8-A38D-D253A659F2E3}" name="Average NCD (Overall)" dataDxfId="636"/>
    <tableColumn id="7" xr3:uid="{67D21865-C014-45B1-89DD-B8C7FA586DCA}" name="Average NCD - 4 Week Avg (Overall)" dataDxfId="635"/>
    <tableColumn id="38" xr3:uid="{7D85029E-63CA-4EE0-AABE-453094577E70}" name="Average NCD (PC Annual Direct)" dataDxfId="634"/>
    <tableColumn id="39" xr3:uid="{463E3B63-2FA9-429A-9346-4EDC884CCFD3}" name="Average NCD - 4 Week Avg (PC Annual Direct)" dataDxfId="633"/>
    <tableColumn id="88" xr3:uid="{0B2087D4-DF5D-4E7F-8763-4BB41727D383}" name="Average NCD (Boom Annual)" dataDxfId="632"/>
    <tableColumn id="89" xr3:uid="{ABB808ED-808E-439F-9F39-CB12267A03C5}" name="Average NCD - 4 Week Avg (Boom Annual)" dataDxfId="631"/>
    <tableColumn id="40" xr3:uid="{AAD9B7BF-9534-4B9F-B0C6-959A16F0A8EA}" name="Average NCD (Boom Annual Up Front)" dataDxfId="630"/>
    <tableColumn id="41" xr3:uid="{AF3072F1-7E22-47BC-BAC7-D473F20B4D33}" name="Average NCD - 4 Week Avg (Boom Annual Up Front)" dataDxfId="629"/>
    <tableColumn id="90" xr3:uid="{4A9B41C6-77F6-4866-9141-2F378B3EF8F3}" name="Average NCD (Boom Annual Premium Finance)" dataDxfId="628"/>
    <tableColumn id="91" xr3:uid="{0078DF65-CBCA-49ED-9ABA-9C1D94EF0FA3}" name="Average NCD - 4 Week Avg (Boom Annual Premium Finance)" dataDxfId="627"/>
    <tableColumn id="42" xr3:uid="{920ADFEC-8EAD-41C7-A57A-4B6DAFA5C9D7}" name="Average NCD (Boom Subscription)" dataDxfId="626"/>
    <tableColumn id="43" xr3:uid="{270FF59C-466F-4D14-97AE-B81CD104FDE3}" name="Average NCD - 4 Week Avg (Boom Subscription)" dataDxfId="625"/>
    <tableColumn id="8" xr3:uid="{994B4B47-87E0-44E2-9E57-E363B97DF9A2}" name="Average Monthly Payment (Overall)" dataDxfId="624"/>
    <tableColumn id="9" xr3:uid="{A8033157-FC0C-489F-9AC1-BCF7E43A521D}" name="Average Monthly Payment - 4 Week Avg (Overall)" dataDxfId="623"/>
    <tableColumn id="44" xr3:uid="{E746AEDD-AE82-4C7A-A396-79C648DAA4B8}" name="Average Monthly Payment (PC Annual Direct)" dataDxfId="622"/>
    <tableColumn id="45" xr3:uid="{C8DCC04B-5E74-40FD-BBE7-EB6F70AB24B3}" name="Average Monthly Payment - 4 Week Avg (PC Annual Direct)" dataDxfId="621"/>
    <tableColumn id="92" xr3:uid="{20163F57-54CC-47C5-8B13-3D270E96AE3A}" name="Average Monthly Payment (Boom Annual)" dataDxfId="620"/>
    <tableColumn id="93" xr3:uid="{474BF207-AB45-42AD-AEFC-662AF2BCB43C}" name="Average Monthly Payment - 4 Week Avg (Boom Annual)" dataDxfId="619"/>
    <tableColumn id="46" xr3:uid="{58F45266-740E-434F-8216-8C15EB0E76B7}" name="Average Monthly Payment (Boom Annual Up Front)" dataDxfId="618"/>
    <tableColumn id="47" xr3:uid="{94BD3EDA-AF77-4A8F-A587-82FA08DF09C5}" name="Average Monthly Payment - 4 Week Avg (Boom Annual Up Front)" dataDxfId="617"/>
    <tableColumn id="94" xr3:uid="{213AA7B9-71A4-4621-8DE8-F5D714888D22}" name="Average Monthly Payment (Boom Annual Premium Finance)" dataDxfId="616"/>
    <tableColumn id="95" xr3:uid="{0D41A007-96C3-466F-9E10-520DC9F5EFEA}" name="Average Monthly Payment - 4 Week Avg (Boom Annual Premium Finance)" dataDxfId="615"/>
    <tableColumn id="48" xr3:uid="{F263C199-FF21-4F48-8C0B-0C4E47D3CA60}" name="Average Monthly Payment (Boom Subscription)" dataDxfId="614"/>
    <tableColumn id="49" xr3:uid="{A2544630-C3A9-458D-BCAF-89743398E7B0}" name="Average Monthly Payment - 4 Week Avg (Boom Subscription)" dataDxfId="613"/>
    <tableColumn id="10" xr3:uid="{DE43A321-B626-4095-BAC1-FBD39A5D5DCC}" name="Average Vehicle Value (Overall)" dataDxfId="612"/>
    <tableColumn id="11" xr3:uid="{92136676-6556-4D53-8864-377BA3B13A20}" name="Average Vehicle Value - 4 Week Avg (Overall)" dataDxfId="611"/>
    <tableColumn id="54" xr3:uid="{65C8E3A3-8A80-4F7D-842B-2AA8113F0E0C}" name="Average Vehicle Value (PC Annual Direct)" dataDxfId="610"/>
    <tableColumn id="55" xr3:uid="{01394196-4F28-44D4-ADE0-890E9544A468}" name="Average Vehicle Value - 4 Week Avg (PC Annual Direct)" dataDxfId="609"/>
    <tableColumn id="96" xr3:uid="{5DEB2D3C-FA9C-40A4-A231-EB459AB84591}" name="Average Vehicle Value (Boom Annual)" dataDxfId="608"/>
    <tableColumn id="97" xr3:uid="{3BE507FC-B50E-4715-8765-9DEF5DA498CB}" name="Average Vehicle Value - 4 Week Avg (Boom Annual)" dataDxfId="607"/>
    <tableColumn id="50" xr3:uid="{885F10DC-E3FE-44CB-8BDE-049B84E6BDB1}" name="Average Vehicle Value (Boom Annual Up Front)" dataDxfId="606"/>
    <tableColumn id="51" xr3:uid="{1DA94D7D-B256-4E24-936B-B0AA2CC0E3B5}" name="Average Vehicle Value - 4 Week Avg (Boom Annual Up Front)" dataDxfId="605"/>
    <tableColumn id="98" xr3:uid="{834992D1-E1AE-42ED-81A2-0AB2703C5A56}" name="Average Vehicle Value (Boom Annual Premium Finance)" dataDxfId="604"/>
    <tableColumn id="99" xr3:uid="{25CCA566-037A-4FEE-8584-32E7B3A208FC}" name="Average Vehicle Value - 4 Week Avg (Boom Annual Premium Finance)" dataDxfId="603"/>
    <tableColumn id="52" xr3:uid="{94F362D3-2A4D-469E-B10A-47209A5490B9}" name="Average Vehicle Value (Boom Subscription)" dataDxfId="602"/>
    <tableColumn id="53" xr3:uid="{4CBB4101-1140-48D0-9837-408264900FF1}" name="Average Vehicle Value - 4 Week Avg (Boom Subscription)" dataDxfId="601"/>
    <tableColumn id="62" xr3:uid="{793D15C6-1338-4541-984C-C28E73CF4EA5}" name="Average Proportion Over £25k (Overall)" dataDxfId="600"/>
    <tableColumn id="63" xr3:uid="{0DFFE1BC-D419-4A9F-904E-1C6C3A25D40A}" name="Average Proportion Over £25k - 4 Week Avg (Overall)" dataDxfId="599"/>
    <tableColumn id="60" xr3:uid="{E70C1959-DC03-4788-A23E-BEAC8C50BDFF}" name="Average Proportion Over £25k (PC Annual Direct)" dataDxfId="598"/>
    <tableColumn id="61" xr3:uid="{2AD82C85-FA5D-4925-95C2-DC14E3DA0677}" name="Average Proportion Over £25k - 4 Week Avg (PC Annual Direct)" dataDxfId="597"/>
    <tableColumn id="100" xr3:uid="{35D4C39D-73EE-4151-B6AC-E832595F04A0}" name="Average Proportion Over £25k (Boom Annual)" dataDxfId="596"/>
    <tableColumn id="101" xr3:uid="{3E4ED2F9-59C0-4590-B284-CA8ACA4B4EEC}" name="Average Proportion Over £25k - 4 Week Avg (Boom Annual)" dataDxfId="595"/>
    <tableColumn id="58" xr3:uid="{00AC726C-56C3-43F8-9CDB-4C7D96B32088}" name="Average Proportion Over £25k (Boom Annual Up Front)" dataDxfId="594"/>
    <tableColumn id="59" xr3:uid="{117E60AA-B2D2-4549-A38F-8B6C8DE08A71}" name="Average Proportion Over £25k - 4 Week Avg (Boom Annual Up Front)" dataDxfId="593"/>
    <tableColumn id="102" xr3:uid="{F786AB6C-56EA-48B9-9C6B-72F061CAC5C5}" name="Average Proportion Over £25k (Boom Annual Premium Finance)" dataDxfId="592"/>
    <tableColumn id="103" xr3:uid="{9B30C056-8AB7-4FF6-9962-563BBE59B5DC}" name="Average Proportion Over £25k - 4 Week Avg (Boom Annual Premium Finance)" dataDxfId="591"/>
    <tableColumn id="56" xr3:uid="{3B9D404C-1327-4CE9-9318-272CE9C6A23E}" name="Average Proportion Over £25k (Boom Subscription)" dataDxfId="590"/>
    <tableColumn id="57" xr3:uid="{8C2BA9B9-70E5-47F3-A2B4-63AB13D7471A}" name="Average Proportion Over £25k - 4 Week Avg (Boom Subscription)" dataDxfId="589"/>
    <tableColumn id="12" xr3:uid="{3DC5DF16-CB37-4203-916D-C54043ECD19F}" name="Average Area Rating (Overall)" dataDxfId="588"/>
    <tableColumn id="13" xr3:uid="{101B766F-AD8E-431F-88CC-4D4510F40E0F}" name="Average Area Rating - 4 Week Avg (Overall)" dataDxfId="587"/>
    <tableColumn id="66" xr3:uid="{5A6B4B99-8825-459A-8EA1-F2D7323615E4}" name="Average Area Rating (PC Annual Direct)" dataDxfId="586"/>
    <tableColumn id="67" xr3:uid="{6F47A79C-5A7B-4BD9-9D1E-E74BD385FE9F}" name="Average Area Rating - 4 Week Avg (PC Annual Direct)" dataDxfId="585"/>
    <tableColumn id="104" xr3:uid="{9C8D57F0-FB2C-441A-929A-B68B33668B2D}" name="Average Area Rating (Boom Annual)" dataDxfId="584"/>
    <tableColumn id="105" xr3:uid="{19D99833-8E51-4E3B-B5F5-858BB1AFBFB4}" name="Average Area Rating - 4 Week Avg (Boom Annual)" dataDxfId="583"/>
    <tableColumn id="68" xr3:uid="{DCC328DB-66CA-45A8-B4E8-69767015C676}" name="Average Area Rating (Boom Annual Up Front)" dataDxfId="582"/>
    <tableColumn id="69" xr3:uid="{F86077D9-697E-41E7-87D0-D93FB03D198C}" name="Average Area Rating - 4 Week Avg (Boom Annual Up Front)" dataDxfId="581"/>
    <tableColumn id="106" xr3:uid="{B2EBA7AD-5422-4473-804E-2B93742AEB2C}" name="Average Area Rating (Boom Annual Premium Finance)" dataDxfId="580"/>
    <tableColumn id="107" xr3:uid="{FC03141C-92C0-470C-80B9-75F00B11D4E5}" name="Average Area Rating - 4 Week Avg (Boom Annual Premium Finance)" dataDxfId="579"/>
    <tableColumn id="70" xr3:uid="{D34DBD11-EB98-4432-9A01-3C6C5B777182}" name="Average Area Rating (Boom Subscription)" dataDxfId="578"/>
    <tableColumn id="71" xr3:uid="{E6268597-287F-4517-B9E6-AB68982EA7D8}" name="Average Area Rating - 4 Week Avg (Boom Subscription)" dataDxfId="57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C96874-9224-417B-86B6-D6B0FB506644}" name="Table6" displayName="Table6" ref="A4:C18" totalsRowShown="0">
  <autoFilter ref="A4:C18" xr:uid="{5AC96874-9224-417B-86B6-D6B0FB506644}"/>
  <tableColumns count="3">
    <tableColumn id="1" xr3:uid="{443F932E-9070-4F4F-A92B-DCA9DCBE76DE}" name="Bin"/>
    <tableColumn id="2" xr3:uid="{0B8684CF-5F3A-49B6-B43E-7CEA3472ECFE}" name="PC Annual Direct (L month)" dataDxfId="576"/>
    <tableColumn id="3" xr3:uid="{80DE102C-9E83-487B-8308-C68B217BC899}" name="PC Annual Direct (L3 months)" dataDxfId="57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26E5961-DBC0-42A0-BE6E-654BEEF09AD7}" name="Table8" displayName="Table8" ref="E4:G18" totalsRowShown="0" tableBorderDxfId="574">
  <autoFilter ref="E4:G18" xr:uid="{926E5961-DBC0-42A0-BE6E-654BEEF09AD7}"/>
  <tableColumns count="3">
    <tableColumn id="1" xr3:uid="{EDD09876-7868-4A1E-AD7F-5D171CF573B7}" name="Bin" dataDxfId="573"/>
    <tableColumn id="2" xr3:uid="{5EDB141A-797A-490F-93D5-EB076854C6D7}" name="Boom Annual Up Front (L month)" dataDxfId="572"/>
    <tableColumn id="3" xr3:uid="{C8541E5B-C461-4CC4-BEB0-6CFBA374145E}" name="Boom Annual Up Front (L3 months)" dataDxfId="57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7F4A1F-DBB7-4F20-9461-8D31D97A6E39}" name="Table9" displayName="Table9" ref="I4:K18" totalsRowShown="0">
  <autoFilter ref="I4:K18" xr:uid="{D37F4A1F-DBB7-4F20-9461-8D31D97A6E39}"/>
  <tableColumns count="3">
    <tableColumn id="1" xr3:uid="{F01B6800-9120-4BDB-96E0-9AD1D62CD734}" name="Bin"/>
    <tableColumn id="2" xr3:uid="{E3F2CD69-06F7-467E-B59E-5CC9D86B269F}" name="Boom Annual Premium Finance (L month)" dataDxfId="570"/>
    <tableColumn id="3" xr3:uid="{F6BAEFD5-B7EE-45ED-B55A-B2CA38B52088}" name="Boom Annual Premium Finance (L3 months)" dataDxfId="56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0C44E45-DE1A-4A69-9E2D-4265D1304FBF}" name="Table10" displayName="Table10" ref="A26:D40" totalsRowShown="0" tableBorderDxfId="568">
  <autoFilter ref="A26:D40" xr:uid="{D0C44E45-DE1A-4A69-9E2D-4265D1304FBF}"/>
  <tableColumns count="4">
    <tableColumn id="1" xr3:uid="{F27410B8-F3EE-4C97-B89E-7F808D5A32B8}" name="Bin" dataDxfId="567"/>
    <tableColumn id="2" xr3:uid="{0087C80F-482B-4C16-BA78-AD4EE984E9BD}" name="PC Annual Direct (2022 YTD)" dataDxfId="566"/>
    <tableColumn id="3" xr3:uid="{5ECD418F-6DC6-4C60-A560-A747B8B88EEB}" name="PC Annual Direct (2023 YTD)" dataDxfId="565"/>
    <tableColumn id="4" xr3:uid="{7B27F203-8316-4579-9345-EDACC7A63CD6}" name="PC Annual Direct (2024 YTD)" dataDxfId="56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88D02A9-0F72-4717-A553-2717BF9AB847}" name="Table11" displayName="Table11" ref="F26:I40" totalsRowShown="0" tableBorderDxfId="563">
  <autoFilter ref="F26:I40" xr:uid="{088D02A9-0F72-4717-A553-2717BF9AB847}"/>
  <tableColumns count="4">
    <tableColumn id="1" xr3:uid="{BADF04BD-5E50-4599-B60A-3860D9771E32}" name="Bin" dataDxfId="562"/>
    <tableColumn id="2" xr3:uid="{18CFEE16-0447-4391-8B85-74F9AA20B7C5}" name="Boom Annual (2022 YTD)" dataDxfId="561"/>
    <tableColumn id="3" xr3:uid="{2D855E8D-B4DD-4D15-98BF-E8908463D965}" name="Boom Annual (2023 YTD)" dataDxfId="560"/>
    <tableColumn id="4" xr3:uid="{99D04C7F-C09F-4B4E-9838-45FFBE04E774}" name="Boom Annual (2024 YTD)" dataDxfId="55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58E8504-235F-4FE8-8CC7-E21301699DAE}" name="Table12" displayName="Table12" ref="K26:N40" totalsRowShown="0" tableBorderDxfId="558">
  <autoFilter ref="K26:N40" xr:uid="{258E8504-235F-4FE8-8CC7-E21301699DAE}"/>
  <tableColumns count="4">
    <tableColumn id="1" xr3:uid="{ADF842A6-0E0A-40C3-B334-B2AC379A142F}" name="Bin" dataDxfId="557"/>
    <tableColumn id="2" xr3:uid="{8F34E3F6-CE10-4F6E-B7A4-645E6B0448CA}" name="Boom Premium Finance (2022 YTD)" dataDxfId="556"/>
    <tableColumn id="3" xr3:uid="{8BF4EBAF-D6C8-4010-B8CA-4413DC7E172A}" name="Boom Premium Finance (2023 YTD)" dataDxfId="555"/>
    <tableColumn id="4" xr3:uid="{FD7F4E35-03D0-4616-859B-6DCAF5140338}" name="Boom Premium Finance (2024 YTD)" dataDxfId="55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2D6D2-964B-4991-A72B-52474F12E508}" name="Table614" displayName="Table614" ref="A48:C72" totalsRowShown="0">
  <autoFilter ref="A48:C72" xr:uid="{4FC2D6D2-964B-4991-A72B-52474F12E508}"/>
  <tableColumns count="3">
    <tableColumn id="1" xr3:uid="{A0045792-6617-444A-A51B-AE5D2877D486}" name="Bin"/>
    <tableColumn id="2" xr3:uid="{397E5361-AE51-45FE-BCB9-99B64CBAF3FB}" name="PC Annual Direct (L month)" dataDxfId="553"/>
    <tableColumn id="3" xr3:uid="{052068D5-EC29-4C25-8645-0808C8CB7C6C}" name="PC Annual Direct (L3 months)" dataDxfId="552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A44345B-3611-45A6-B026-9651879A6302}" name="Table14" displayName="Table14" ref="A78:D102" totalsRowShown="0" tableBorderDxfId="551">
  <autoFilter ref="A78:D102" xr:uid="{1A44345B-3611-45A6-B026-9651879A6302}"/>
  <tableColumns count="4">
    <tableColumn id="1" xr3:uid="{42291DA4-D5DB-4813-B573-838F021D3E94}" name="Bin" dataDxfId="550"/>
    <tableColumn id="2" xr3:uid="{513D6018-4AB3-4686-8550-23F1159C9EB3}" name="PC Annual Direct (2022 YTD)"/>
    <tableColumn id="3" xr3:uid="{AFAB611A-A9C9-4BBF-A337-A3E6D0C15EA6}" name="PC Annual Direct (2023 YTD)"/>
    <tableColumn id="4" xr3:uid="{3B759E68-7D0F-41BD-BFC4-242C254DB970}" name="PC Annual Direct (2024 YTD)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DBC6670-DCA0-486C-AEAD-3D68C89229D9}" name="Table61416" displayName="Table61416" ref="E48:G72" totalsRowShown="0">
  <autoFilter ref="E48:G72" xr:uid="{3DBC6670-DCA0-486C-AEAD-3D68C89229D9}"/>
  <tableColumns count="3">
    <tableColumn id="1" xr3:uid="{B28D66ED-C597-431B-8AEC-6EDD87C6369F}" name="Bin"/>
    <tableColumn id="2" xr3:uid="{B394A7B4-48AE-4CF3-909D-FC15E630372F}" name="Boom Annual (L month)" dataDxfId="549"/>
    <tableColumn id="3" xr3:uid="{0DDE1645-6795-4EC8-97B4-97F8ED6BCD36}" name="Boom Annual (L3 months)" dataDxfId="548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72B0F11-629E-40F5-AA46-27003C2CBDDC}" name="Table6141617" displayName="Table6141617" ref="I48:K72" totalsRowShown="0">
  <autoFilter ref="I48:K72" xr:uid="{572B0F11-629E-40F5-AA46-27003C2CBDDC}"/>
  <tableColumns count="3">
    <tableColumn id="1" xr3:uid="{29C9D30D-6680-499F-86EA-ED5A2FE8EE0A}" name="Bin"/>
    <tableColumn id="2" xr3:uid="{A568AA82-37A3-44FB-92DC-1ECF773ACA73}" name="Boom Premium Finance (L month)" dataDxfId="547"/>
    <tableColumn id="3" xr3:uid="{AD410003-823B-4CA4-8226-76DEA14F87DA}" name="Boom Premium Finance (L3 months)" dataDxfId="546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41BB8E6-DADB-4E82-AA1B-853DBC619908}" name="Table1418" displayName="Table1418" ref="F78:I102" totalsRowShown="0" tableBorderDxfId="545">
  <autoFilter ref="F78:I102" xr:uid="{F41BB8E6-DADB-4E82-AA1B-853DBC619908}"/>
  <tableColumns count="4">
    <tableColumn id="1" xr3:uid="{5E2C7EE1-1580-4396-A9A6-0CA491E902C3}" name="Bin" dataDxfId="544"/>
    <tableColumn id="2" xr3:uid="{071B8698-FBD5-4574-ADA3-673DADC648D4}" name="Boom Annual (2022 YTD)"/>
    <tableColumn id="3" xr3:uid="{659D0376-DE87-41FE-9785-CA91F801642F}" name="Boom Annual (2023 YTD)"/>
    <tableColumn id="4" xr3:uid="{281D319E-1E3B-4382-BC6F-8D842BC80232}" name="Boom Annual (2024 YTD)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3DBA100-7B48-4AD8-B958-D7B0D35FBC83}" name="Table141819" displayName="Table141819" ref="K78:N102" totalsRowShown="0" tableBorderDxfId="543">
  <autoFilter ref="K78:N102" xr:uid="{C3DBA100-7B48-4AD8-B958-D7B0D35FBC83}"/>
  <tableColumns count="4">
    <tableColumn id="1" xr3:uid="{F76F8BE8-EADC-40EA-915B-5BF4ECE1A0FF}" name="Bin" dataDxfId="542"/>
    <tableColumn id="2" xr3:uid="{9CEAA3BD-BB9A-4318-A9C9-22BC6013F730}" name="Boom Premium Finance (2022 YTD)"/>
    <tableColumn id="3" xr3:uid="{45C19631-0098-43E2-B3A1-96C33B2B1A79}" name="Boom Premium Finance (2023 YTD)"/>
    <tableColumn id="4" xr3:uid="{C3FE34B3-20A9-4778-83DA-EFC9D5BEC937}" name="Boom Premium Finance (2024 YTD)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FC7CD20-2C22-4DD2-9BB5-733F942260D6}" name="Table621" displayName="Table621" ref="A14:H134" totalsRowShown="0" headerRowDxfId="541" dataDxfId="539" headerRowBorderDxfId="540">
  <autoFilter ref="A14:H134" xr:uid="{ADB6292E-3A07-4F4D-BD51-35C06AB7B543}"/>
  <tableColumns count="8">
    <tableColumn id="1" xr3:uid="{46F06DD7-C8D1-4085-B37C-DCE3FA46F43D}" name="UWY" dataDxfId="538"/>
    <tableColumn id="2" xr3:uid="{324BE7DA-6DF1-4C84-BA93-08FD518B98F9}" name="UWQ" dataDxfId="537"/>
    <tableColumn id="3" xr3:uid="{0847A84D-7BB4-4B5C-8843-007FBC905D46}" name="UWM" dataDxfId="536"/>
    <tableColumn id="4" xr3:uid="{05EF819B-B8FA-4211-9415-CADB26B4E95C}" name="WV Years" dataDxfId="535"/>
    <tableColumn id="5" xr3:uid="{80DA27D9-3160-4A76-846E-E4A0B247E037}" name="NWP" dataDxfId="534"/>
    <tableColumn id="6" xr3:uid="{C1A14E31-420A-4491-A692-2FEBA7528A1E}" name="NUEP" dataDxfId="533"/>
    <tableColumn id="7" xr3:uid="{7EA35C45-63A4-45DA-979C-1932165A30FE}" name="Total NLR (Net XOL)" dataDxfId="532"/>
    <tableColumn id="8" xr3:uid="{BA977201-88AD-4F63-A325-A51E9EA8DA72}" name="Total NLR (Gross XOL)" dataDxfId="53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ABB32FD-CCF1-4F34-B41E-87173A4FC21B}" name="Table822" displayName="Table822" ref="J14:AB50" totalsRowShown="0" headerRowDxfId="530" dataDxfId="528" headerRowBorderDxfId="529">
  <autoFilter ref="J14:AB50" xr:uid="{4F7570F9-CB5D-481C-B39B-C3DC559063E3}"/>
  <tableColumns count="19">
    <tableColumn id="1" xr3:uid="{DDBF9A40-CD73-4C37-BB3A-3D099AF9E4B3}" name="UWQ" dataDxfId="527"/>
    <tableColumn id="2" xr3:uid="{4A7E3EC0-F971-4695-964F-E39E40B976F7}" name="UWY" dataDxfId="526"/>
    <tableColumn id="3" xr3:uid="{A1584952-9156-40B7-8F87-8A42BE2DE0FF}" name="UWM" dataDxfId="525"/>
    <tableColumn id="4" xr3:uid="{7E4FE829-34B7-47C0-BFC9-57E2C2118BA3}" name="NEP" dataDxfId="524"/>
    <tableColumn id="5" xr3:uid="{13456171-9F8E-4FDB-9D8D-CFE3878E2B16}" name="Total NLR (Smoothed; Net XOL)" dataDxfId="523"/>
    <tableColumn id="6" xr3:uid="{014E1999-01A0-4F00-8443-4901CB3D06ED}" name="Total NLR (Net XOL)" dataDxfId="522"/>
    <tableColumn id="7" xr3:uid="{AD6E2A14-CB61-4D05-944C-310F2829EBB0}" name="Total NLR (Gross XOL)" dataDxfId="521"/>
    <tableColumn id="8" xr3:uid="{0156621E-E525-4B41-925B-AD108D337775}" name="Total BM NLR" dataDxfId="520"/>
    <tableColumn id="9" xr3:uid="{FDD07C78-9C08-4B2B-8476-CF6E4DC5173A}" name="AD NLR" dataDxfId="519"/>
    <tableColumn id="10" xr3:uid="{560BBC28-3772-49C9-A2F5-0269116FD111}" name="TPD NLR" dataDxfId="518"/>
    <tableColumn id="11" xr3:uid="{C288A3F6-D676-4E08-9A7C-BC4778832666}" name="TPD BM NLR" dataDxfId="517"/>
    <tableColumn id="12" xr3:uid="{DC1FC0F5-8CC9-4547-9E70-F10340097CB0}" name="BI Cap NLR" dataDxfId="516"/>
    <tableColumn id="13" xr3:uid="{AFB0DF33-EF02-4017-8AB9-DFCA4EFE76D9}" name="BI Cap BM NLR" dataDxfId="515"/>
    <tableColumn id="14" xr3:uid="{6680F168-39D6-4478-9C9A-CA3DD90D7672}" name="BI XS Net NLR" dataDxfId="514"/>
    <tableColumn id="15" xr3:uid="{78A2B499-4730-4A9B-9559-44762F67E8F7}" name="BI XS Net NLR (Smoothed)" dataDxfId="513"/>
    <tableColumn id="16" xr3:uid="{81EE6B6D-32B8-494E-8706-56152071B0DB}" name="BI XS Gross NLR" dataDxfId="512"/>
    <tableColumn id="17" xr3:uid="{B371F4BD-DD86-4F87-94A7-2972E0D69A13}" name="TFT NLR" dataDxfId="511"/>
    <tableColumn id="18" xr3:uid="{B962FC11-50F0-4347-ACCA-6F7BF20B23A1}" name="WS NLR" dataDxfId="510"/>
    <tableColumn id="19" xr3:uid="{F620FD3A-A13F-4537-8CC5-35D4484B0F71}" name="AD + TFT NLR" dataDxfId="50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01D33ED-3288-4548-A792-01D395A8F0ED}" name="Table23" displayName="Table23" ref="A149:H269" insertRowShift="1" totalsRowShown="0" headerRowDxfId="508" dataDxfId="506" headerRowBorderDxfId="507">
  <autoFilter ref="A149:H269" xr:uid="{D01D33ED-3288-4548-A792-01D395A8F0ED}"/>
  <tableColumns count="8">
    <tableColumn id="1" xr3:uid="{7D20611C-9CA7-4548-AD5E-CEBC4B47C0DD}" name="UWY" dataDxfId="505"/>
    <tableColumn id="2" xr3:uid="{E32187EC-E1AE-48EE-9AE3-978C2EFAC1F9}" name="UWQ" dataDxfId="504"/>
    <tableColumn id="3" xr3:uid="{BF07848F-E1F6-4E82-B51B-E52EC70F3A29}" name="UWM" dataDxfId="503"/>
    <tableColumn id="4" xr3:uid="{89812693-5BED-4DFE-A043-D36D8B239CF4}" name="WV Years" dataDxfId="502"/>
    <tableColumn id="5" xr3:uid="{3714849D-7F28-47B4-93E2-5185EE6F7560}" name="NWP" dataDxfId="501"/>
    <tableColumn id="6" xr3:uid="{8610C86D-CACE-4F84-99D6-5970FC8E17E9}" name="NUEP" dataDxfId="500"/>
    <tableColumn id="7" xr3:uid="{9F6BBF58-1F60-4524-86D3-3DC1F4FA628C}" name="Total NLR (Net XOL)" dataDxfId="499"/>
    <tableColumn id="8" xr3:uid="{81D2CBCB-2CE5-4838-AB8B-60FA98EC12C7}" name="Total NLR (Gross XOL)" dataDxfId="498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1DC0DDE-0497-4131-882C-07EB281A6859}" name="Table24" displayName="Table24" ref="J149:AB185" insertRowShift="1" totalsRowShown="0" headerRowDxfId="497" dataDxfId="495" headerRowBorderDxfId="496">
  <autoFilter ref="J149:AB185" xr:uid="{01DC0DDE-0497-4131-882C-07EB281A6859}"/>
  <tableColumns count="19">
    <tableColumn id="1" xr3:uid="{E2385A46-66DD-42AB-A5B5-1C1637538BB3}" name="UWQ" dataDxfId="494"/>
    <tableColumn id="2" xr3:uid="{A4DB5550-CCB6-41F1-824A-CB8C5DE6C148}" name="UWY" dataDxfId="493"/>
    <tableColumn id="3" xr3:uid="{175C7B18-1662-4EE0-BF4A-EAB1344BDA20}" name="UWM" dataDxfId="492"/>
    <tableColumn id="4" xr3:uid="{7F589D1F-987A-4DDE-A510-50B12D7A6A47}" name="NEP" dataDxfId="491"/>
    <tableColumn id="5" xr3:uid="{7FC1B495-94E0-4B36-AF33-6997EA312F2A}" name="Total NLR (Smoothed; Net XOL)" dataDxfId="490"/>
    <tableColumn id="6" xr3:uid="{C26DFBB2-B09D-4966-B2C0-CE77B9B9FFF5}" name="Total NLR (Net XOL)" dataDxfId="489"/>
    <tableColumn id="7" xr3:uid="{D7C8573C-896C-45E5-AF00-69364FD9F6F1}" name="Total NLR (Gross XOL)" dataDxfId="488"/>
    <tableColumn id="8" xr3:uid="{2C46B638-A3E1-4F29-8305-0518FD6E1C63}" name="Total BM NLR" dataDxfId="487"/>
    <tableColumn id="9" xr3:uid="{9ECAE790-C3F9-48CA-9501-7CA0174D5544}" name="AD NLR" dataDxfId="486"/>
    <tableColumn id="10" xr3:uid="{500A1C5B-CE65-4557-9CC5-213E2822CB7F}" name="TPD NLR" dataDxfId="485"/>
    <tableColumn id="11" xr3:uid="{392F539E-F5FD-416E-B2E4-A6C93AAEB471}" name="TPD BM NLR" dataDxfId="484"/>
    <tableColumn id="12" xr3:uid="{403DF8A6-B108-4C80-A2AB-603BCA8F12A5}" name="BI Cap NLR" dataDxfId="483"/>
    <tableColumn id="13" xr3:uid="{916C43DD-DAC4-4313-8F29-C2AA4BCB24A8}" name="BI Cap BM NLR" dataDxfId="482"/>
    <tableColumn id="14" xr3:uid="{3E6C3F87-5E02-4B49-9F96-038695CD64BC}" name="BI XS Net NLR" dataDxfId="481"/>
    <tableColumn id="15" xr3:uid="{33A102B5-3CFD-4F1C-815E-B7EC4F36EC0E}" name="BI XS Net NLR (Smoothed)" dataDxfId="480"/>
    <tableColumn id="16" xr3:uid="{D2D109D4-EA77-4DED-BCD9-5311AA5E1BF9}" name="BI XS Gross NLR" dataDxfId="479"/>
    <tableColumn id="17" xr3:uid="{35104B73-FD19-455F-8AAD-ED3877281A1D}" name="TFT NLR" dataDxfId="478"/>
    <tableColumn id="18" xr3:uid="{C2B5CF8E-1562-425C-BB95-E99143D40D38}" name="WS NLR" dataDxfId="477"/>
    <tableColumn id="19" xr3:uid="{EA2AF67C-61A6-4650-AFBB-9A073D52F2C5}" name="AD + TFT NLR" dataDxfId="47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3A38BF8-985E-4935-89D3-FFD0F4EA9FC6}" name="Table2320" displayName="Table2320" ref="A284:H404" insertRowShift="1" totalsRowShown="0" headerRowDxfId="475" dataDxfId="473" headerRowBorderDxfId="474">
  <autoFilter ref="A284:H404" xr:uid="{83A38BF8-985E-4935-89D3-FFD0F4EA9FC6}"/>
  <tableColumns count="8">
    <tableColumn id="1" xr3:uid="{9A8251A2-8D47-4BDD-A72C-FD46F6F069A8}" name="UWY" dataDxfId="472"/>
    <tableColumn id="2" xr3:uid="{12E3FA4B-86F5-4289-B76C-8794BB7EB9C4}" name="UWQ" dataDxfId="471"/>
    <tableColumn id="3" xr3:uid="{0F2AE7F2-E9B0-4BE9-9A4A-BB266ED90CD9}" name="UWM" dataDxfId="470"/>
    <tableColumn id="4" xr3:uid="{4CDA5103-D77B-4421-942E-25C65DB5DB6D}" name="WV Years" dataDxfId="469"/>
    <tableColumn id="5" xr3:uid="{80DF91EE-5133-439A-9E87-13868B1DFD7D}" name="NWP" dataDxfId="468"/>
    <tableColumn id="6" xr3:uid="{45A0261E-CBEE-47DF-93CE-799EE67F2308}" name="NUEP" dataDxfId="467"/>
    <tableColumn id="7" xr3:uid="{5993F8EB-A547-4DD2-B633-4B0AD46DB702}" name="Total NLR (Net XOL)" dataDxfId="466"/>
    <tableColumn id="8" xr3:uid="{67AD73F8-8B98-42FC-9FE4-FED081FE8FF7}" name="Total NLR (Gross XOL)" dataDxfId="465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BD15B33-719B-429B-88FA-893743EF5AA5}" name="Table2427" displayName="Table2427" ref="J284:AB320" insertRowShift="1" totalsRowShown="0" headerRowDxfId="464" dataDxfId="462" headerRowBorderDxfId="463">
  <autoFilter ref="J284:AB320" xr:uid="{0BD15B33-719B-429B-88FA-893743EF5AA5}"/>
  <tableColumns count="19">
    <tableColumn id="1" xr3:uid="{36EE9A9F-9557-461D-BFA7-BF87512B538F}" name="UWQ" dataDxfId="461"/>
    <tableColumn id="2" xr3:uid="{266F22AB-F1E7-4B29-9498-371B679934FA}" name="UWY" dataDxfId="460"/>
    <tableColumn id="3" xr3:uid="{6B879FB5-0BFD-40BE-99EF-45B97F89FD05}" name="UWM" dataDxfId="459"/>
    <tableColumn id="4" xr3:uid="{FF2AA99D-E197-4287-8515-22B592AE6096}" name="NEP" dataDxfId="458"/>
    <tableColumn id="5" xr3:uid="{3B3B3CE3-0312-4339-8034-10244B09C321}" name="Total NLR (Smoothed; Net XOL)" dataDxfId="457"/>
    <tableColumn id="6" xr3:uid="{37A2C4B1-3742-4303-8BA8-97976FEA9900}" name="Total NLR (Net XOL)" dataDxfId="456"/>
    <tableColumn id="7" xr3:uid="{01F5650A-2B07-4FF1-97E4-25094C86B920}" name="Total NLR (Gross XOL)" dataDxfId="455"/>
    <tableColumn id="8" xr3:uid="{755F94D2-4B7B-42E9-AA2E-A6171A7429F1}" name="Total BM NLR" dataDxfId="454"/>
    <tableColumn id="9" xr3:uid="{1EE5B35F-CBE3-4AE6-97DE-4254066CFACB}" name="AD NLR" dataDxfId="453"/>
    <tableColumn id="10" xr3:uid="{F7C70BD6-6A24-4535-8123-B5C48095EBB4}" name="TPD NLR" dataDxfId="452"/>
    <tableColumn id="11" xr3:uid="{8630188A-AFF7-4921-9AF3-B840EDEDDF8B}" name="TPD BM NLR" dataDxfId="451"/>
    <tableColumn id="12" xr3:uid="{F913ECDB-0805-4A82-8200-D8C08EA105DC}" name="BI Cap NLR" dataDxfId="450"/>
    <tableColumn id="13" xr3:uid="{9FB095B8-C585-4D1F-ACEF-C89644A1DF8A}" name="BI Cap BM NLR" dataDxfId="449"/>
    <tableColumn id="14" xr3:uid="{F7A54398-ADA8-4D6B-912F-E3895D97CED7}" name="BI XS Net NLR" dataDxfId="448"/>
    <tableColumn id="15" xr3:uid="{B8839694-9E3F-4BF4-A433-DCB8E994CA80}" name="BI XS Net NLR (Smoothed)" dataDxfId="447"/>
    <tableColumn id="16" xr3:uid="{4A347869-48C2-4074-9B37-3E0228C00875}" name="BI XS Gross NLR" dataDxfId="446"/>
    <tableColumn id="17" xr3:uid="{1B0B7BC1-0B25-4054-8BD7-6F10434DCAED}" name="TFT NLR" dataDxfId="445"/>
    <tableColumn id="18" xr3:uid="{CFF639B9-B2A4-4DAA-AF99-E989F45FCD49}" name="WS NLR" dataDxfId="444"/>
    <tableColumn id="19" xr3:uid="{F420B36B-AD64-450B-BBC7-A998A59FDB43}" name="AD + TFT NLR" dataDxfId="4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D12470B-4F5A-4F4B-A186-85479042EDC5}" name="Table1223" displayName="Table1223" ref="A14:K26" totalsRowShown="0" headerRowDxfId="442" headerRowBorderDxfId="441">
  <autoFilter ref="A14:K26" xr:uid="{6F261500-62F0-4E07-9C1B-4B8BDF811A6D}"/>
  <tableColumns count="11">
    <tableColumn id="1" xr3:uid="{986E7099-3D12-4AFB-9658-831E8B05BA24}" name="Month" dataDxfId="440"/>
    <tableColumn id="2" xr3:uid="{39220C28-6FA8-4CC3-AEA4-86E5B025213A}" name="Ult NEP" dataDxfId="439"/>
    <tableColumn id="3" xr3:uid="{B26CEF60-88C3-4A6B-A887-EF4DE3FB345C}" name="Ult NUEP" dataDxfId="438"/>
    <tableColumn id="4" xr3:uid="{66B681D5-1AC8-498B-BBFD-AE729D2B70C0}" name="Ult NWP" dataDxfId="437">
      <calculatedColumnFormula>IF(B15="-","-",B15+C15)</calculatedColumnFormula>
    </tableColumn>
    <tableColumn id="5" xr3:uid="{E65E9AFA-AED5-4839-8F2D-5B741BE680A5}" name="Net Earned Ultimate Loss Ratio"/>
    <tableColumn id="6" xr3:uid="{A0F9C8FB-9AEA-4DA5-953F-8311BE87A05D}" name="Net Unearned Ultimate Loss Ratio">
      <calculatedColumnFormula>IF(C15="-","-",((G15*D15)-(B15*E15))/C15)</calculatedColumnFormula>
    </tableColumn>
    <tableColumn id="7" xr3:uid="{5B0CA738-F26E-4452-9F94-5678D309CEF7}" name="Net Ultimate Loss Ratio">
      <calculatedColumnFormula>IFERROR((J15*K15)/D15,"-")</calculatedColumnFormula>
    </tableColumn>
    <tableColumn id="8" xr3:uid="{9AE0CE62-0CA1-45CB-B710-D9C8A5F603F9}" name="Total Target Loss Ratio" dataDxfId="436"/>
    <tableColumn id="9" xr3:uid="{7EEFAA52-03B4-49B9-9E75-D6F37D5D55CF}" name="Total Target NWP" dataDxfId="435"/>
    <tableColumn id="10" xr3:uid="{4AF8523D-D6AF-4FCF-A0B6-639C76F4765D}" name="NWP"/>
    <tableColumn id="11" xr3:uid="{61E7DE3D-D1BA-46C2-93C3-5DC469CA1647}" name="Total NLR (Net XOL)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DC3541C-9CA5-4288-97DC-DE0BC51F9B92}" name="Table25" displayName="Table25" ref="A40:M52" insertRowShift="1" totalsRowShown="0">
  <autoFilter ref="A40:M52" xr:uid="{BDC3541C-9CA5-4288-97DC-DE0BC51F9B92}"/>
  <tableColumns count="13">
    <tableColumn id="1" xr3:uid="{E2E244A2-E536-480E-B620-B36DF0A4CD07}" name="Month" dataDxfId="434"/>
    <tableColumn id="2" xr3:uid="{16F5ED67-BFFA-4ECD-9A76-0D5E9CB1B6E1}" name="Ult NEP">
      <calculatedColumnFormula>IF(SUMIFS(Table24[NEP],Table24[UWM],'Reserving Table Data'!$A41)=0,"-",SUMIFS(Table24[NEP],Table24[UWM],'Reserving Table Data'!$A41))</calculatedColumnFormula>
    </tableColumn>
    <tableColumn id="3" xr3:uid="{0D6071A3-E1FA-4B98-89D4-BC12F6599E74}" name="Ult NUEP">
      <calculatedColumnFormula>IF(SUMIFS(Table23[NUEP],Table23[UWM],'Reserving Table Data'!$A41)=0,"-",SUMIFS(Table23[NUEP],Table23[UWM],'Reserving Table Data'!$A41))</calculatedColumnFormula>
    </tableColumn>
    <tableColumn id="4" xr3:uid="{2BEA3A10-726F-49BA-9116-0E619762F06B}" name="Ult NWP">
      <calculatedColumnFormula>IF(B41="-","-",B41+C41)</calculatedColumnFormula>
    </tableColumn>
    <tableColumn id="5" xr3:uid="{31635C4D-B0E3-4704-8503-747AC4F2FD54}" name="Net Earned Ultimate Loss Ratio">
      <calculatedColumnFormula array="1">IFERROR(INDEX(Table24[Total NLR (Net XOL)],MATCH($A41,Table24[UWM],0),0),"-")</calculatedColumnFormula>
    </tableColumn>
    <tableColumn id="6" xr3:uid="{8E9C8562-1278-47BA-A8CE-38C218B8A99C}" name="Net Unearned Ultimate Loss Ratio">
      <calculatedColumnFormula>IF(C41="-","-",((G41*D41)-(B41*E41))/C41)</calculatedColumnFormula>
    </tableColumn>
    <tableColumn id="7" xr3:uid="{71B38F51-F684-488B-A562-46CF40BC9717}" name="Net Ultimate Loss Ratio">
      <calculatedColumnFormula>IFERROR((J41*K41)/D41,"-")</calculatedColumnFormula>
    </tableColumn>
    <tableColumn id="8" xr3:uid="{CC06D344-003F-4102-A2D8-C702008B24F8}" name="Total Target Loss Ratio"/>
    <tableColumn id="9" xr3:uid="{E44F1766-A0B8-46B7-B4BE-4CC81ABF2CBA}" name="Total Target NWP">
      <calculatedColumnFormula>IF($B41="-","-",Table25[[#This Row],[PC Annual Direct - Annual_NWP]]+Table25[[#This Row],[PC Annual Direct - Premium Finance_NWP]])</calculatedColumnFormula>
    </tableColumn>
    <tableColumn id="10" xr3:uid="{7C17B2FF-B30D-49F9-A33F-D2080A36D222}" name="NWP">
      <calculatedColumnFormula array="1">IFERROR(INDEX(Table23[NWP],MATCH($A41,Table23[UWM],0),0),"")</calculatedColumnFormula>
    </tableColumn>
    <tableColumn id="11" xr3:uid="{CF46D6B2-7DD2-4593-B3BE-C7F823FEADE1}" name="Total NLR (Net XOL)">
      <calculatedColumnFormula array="1">IFERROR(INDEX(Table23[Total NLR (Net XOL)],MATCH($A41,Table23[UWM],0),0),"")</calculatedColumnFormula>
    </tableColumn>
    <tableColumn id="12" xr3:uid="{BA9E71CB-6F39-49B6-B656-214FC07825BE}" name="PC Annual Direct - Annual_NWP"/>
    <tableColumn id="13" xr3:uid="{6CEF8EBB-CD06-4DBC-AC7E-943A60DD2147}" name="PC Annual Direct - Premium Finance_NWP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2A885FB-CA6D-4343-B96B-F8C45DE55639}" name="Table2528" displayName="Table2528" ref="A66:K78" insertRowShift="1" totalsRowShown="0">
  <autoFilter ref="A66:K78" xr:uid="{C2A885FB-CA6D-4343-B96B-F8C45DE55639}"/>
  <tableColumns count="11">
    <tableColumn id="1" xr3:uid="{0E34C1F9-DB45-4FDD-9D4D-77F745A48D6B}" name="Month" dataDxfId="433"/>
    <tableColumn id="2" xr3:uid="{A7FC758B-FBE5-4934-A8B9-B754BC0D48DE}" name="Ult NEP">
      <calculatedColumnFormula>IF(SUMIFS(Table24[NEP],Table24[UWM],'Reserving Table Data'!$A67)=0,"-",SUMIFS(Table24[NEP],Table24[UWM],'Reserving Table Data'!$A67))</calculatedColumnFormula>
    </tableColumn>
    <tableColumn id="3" xr3:uid="{131958B7-E23D-47ED-9E65-E6987DADE71F}" name="Ult NUEP">
      <calculatedColumnFormula>IF(SUMIFS(Table23[NUEP],Table23[UWM],'Reserving Table Data'!$A67)=0,"-",SUMIFS(Table23[NUEP],Table23[UWM],'Reserving Table Data'!$A67))</calculatedColumnFormula>
    </tableColumn>
    <tableColumn id="4" xr3:uid="{343CE49A-560A-4EC7-88F5-F26BEA42C3BB}" name="Ult NWP">
      <calculatedColumnFormula>IF(B67="-","-",B67+C67)</calculatedColumnFormula>
    </tableColumn>
    <tableColumn id="5" xr3:uid="{A10017DD-EA54-41E8-ACD1-96E2327E0988}" name="Net Earned Ultimate Loss Ratio">
      <calculatedColumnFormula array="1">IFERROR(INDEX(Table24[Total NLR (Net XOL)],MATCH($A67,Table24[UWM],0),0),"-")</calculatedColumnFormula>
    </tableColumn>
    <tableColumn id="6" xr3:uid="{5FA03FB8-1460-419F-9621-619657C6FA0B}" name="Net Unearned Ultimate Loss Ratio">
      <calculatedColumnFormula>IF(C67="-","-",((G67*D67)-(B67*E67))/C67)</calculatedColumnFormula>
    </tableColumn>
    <tableColumn id="7" xr3:uid="{6282AD23-5444-4897-B239-F07988F04979}" name="Net Ultimate Loss Ratio">
      <calculatedColumnFormula>IFERROR((J67*K67)/D67,"-")</calculatedColumnFormula>
    </tableColumn>
    <tableColumn id="8" xr3:uid="{712E5490-7CF8-47BD-B18C-3B5DA1494195}" name="Total Target Loss Ratio"/>
    <tableColumn id="9" xr3:uid="{AFC65B43-5654-496F-95DC-AFA0C3DBE6BE}" name="Total Target NWP"/>
    <tableColumn id="10" xr3:uid="{182CA44B-04E3-4BBD-942C-20B619426432}" name="NWP">
      <calculatedColumnFormula array="1">IFERROR(INDEX(Table23[NWP],MATCH($A67,Table23[UWM],0),0),"")</calculatedColumnFormula>
    </tableColumn>
    <tableColumn id="11" xr3:uid="{0A5367C0-FCB9-4DD8-9DE8-F47F1B573895}" name="Total NLR (Net XOL)">
      <calculatedColumnFormula array="1">IFERROR(INDEX(Table23[Total NLR (Net XOL)],MATCH($A67,Table23[UWM],0),0),"")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12" Type="http://schemas.openxmlformats.org/officeDocument/2006/relationships/table" Target="../tables/table18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6" Type="http://schemas.openxmlformats.org/officeDocument/2006/relationships/table" Target="../tables/table12.xml"/><Relationship Id="rId11" Type="http://schemas.openxmlformats.org/officeDocument/2006/relationships/table" Target="../tables/table17.xml"/><Relationship Id="rId5" Type="http://schemas.openxmlformats.org/officeDocument/2006/relationships/table" Target="../tables/table11.xml"/><Relationship Id="rId10" Type="http://schemas.openxmlformats.org/officeDocument/2006/relationships/table" Target="../tables/table16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7" Type="http://schemas.openxmlformats.org/officeDocument/2006/relationships/table" Target="../tables/table24.xml"/><Relationship Id="rId2" Type="http://schemas.openxmlformats.org/officeDocument/2006/relationships/table" Target="../tables/table19.xml"/><Relationship Id="rId1" Type="http://schemas.openxmlformats.org/officeDocument/2006/relationships/drawing" Target="../drawings/drawing25.xml"/><Relationship Id="rId6" Type="http://schemas.openxmlformats.org/officeDocument/2006/relationships/table" Target="../tables/table23.xml"/><Relationship Id="rId5" Type="http://schemas.openxmlformats.org/officeDocument/2006/relationships/table" Target="../tables/table22.xml"/><Relationship Id="rId4" Type="http://schemas.openxmlformats.org/officeDocument/2006/relationships/table" Target="../tables/table2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drawing" Target="../drawings/drawing26.xml"/><Relationship Id="rId4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C690E-7335-4E1B-A387-1449906C6BB0}">
  <sheetPr codeName="Sheet1"/>
  <dimension ref="B8:I14"/>
  <sheetViews>
    <sheetView showGridLines="0" workbookViewId="0">
      <selection activeCell="G14" sqref="G14"/>
    </sheetView>
  </sheetViews>
  <sheetFormatPr defaultRowHeight="15" x14ac:dyDescent="0.25"/>
  <cols>
    <col min="2" max="2" width="10.7109375" customWidth="1"/>
    <col min="3" max="3" width="10.7109375" bestFit="1" customWidth="1"/>
  </cols>
  <sheetData>
    <row r="8" spans="2:9" x14ac:dyDescent="0.25">
      <c r="B8" s="499" t="s">
        <v>771</v>
      </c>
      <c r="C8" s="499"/>
      <c r="D8" s="499"/>
      <c r="E8" s="499"/>
      <c r="F8" s="499"/>
      <c r="G8" s="499"/>
      <c r="H8" s="499"/>
      <c r="I8" s="499"/>
    </row>
    <row r="9" spans="2:9" x14ac:dyDescent="0.25">
      <c r="B9" s="499"/>
      <c r="C9" s="499"/>
      <c r="D9" s="499"/>
      <c r="E9" s="499"/>
      <c r="F9" s="499"/>
      <c r="G9" s="499"/>
      <c r="H9" s="499"/>
      <c r="I9" s="499"/>
    </row>
    <row r="10" spans="2:9" x14ac:dyDescent="0.25">
      <c r="B10" s="499"/>
      <c r="C10" s="499"/>
      <c r="D10" s="499"/>
      <c r="E10" s="499"/>
      <c r="F10" s="499"/>
      <c r="G10" s="499"/>
      <c r="H10" s="499"/>
      <c r="I10" s="499"/>
    </row>
    <row r="12" spans="2:9" x14ac:dyDescent="0.25">
      <c r="B12" s="65" t="s">
        <v>47</v>
      </c>
    </row>
    <row r="13" spans="2:9" x14ac:dyDescent="0.25">
      <c r="B13" t="s">
        <v>206</v>
      </c>
      <c r="C13" s="73">
        <v>45884</v>
      </c>
    </row>
    <row r="14" spans="2:9" x14ac:dyDescent="0.25">
      <c r="B14" t="s">
        <v>240</v>
      </c>
    </row>
  </sheetData>
  <mergeCells count="1">
    <mergeCell ref="B8:I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14926-EAFB-4904-A700-E56C656D4D68}">
  <sheetPr codeName="Sheet2"/>
  <dimension ref="B2:I51"/>
  <sheetViews>
    <sheetView workbookViewId="0"/>
  </sheetViews>
  <sheetFormatPr defaultRowHeight="15" x14ac:dyDescent="0.25"/>
  <cols>
    <col min="2" max="2" width="35.42578125" customWidth="1"/>
    <col min="3" max="3" width="30.5703125" bestFit="1" customWidth="1"/>
    <col min="9" max="9" width="17.28515625" customWidth="1"/>
  </cols>
  <sheetData>
    <row r="2" spans="2:9" x14ac:dyDescent="0.25">
      <c r="B2" s="65" t="s">
        <v>24</v>
      </c>
    </row>
    <row r="4" spans="2:9" x14ac:dyDescent="0.25">
      <c r="B4" s="47" t="s">
        <v>24</v>
      </c>
      <c r="C4" s="47" t="s">
        <v>25</v>
      </c>
      <c r="D4" s="47" t="s">
        <v>44</v>
      </c>
      <c r="I4" s="47" t="s">
        <v>47</v>
      </c>
    </row>
    <row r="6" spans="2:9" x14ac:dyDescent="0.25">
      <c r="B6" s="34" t="s">
        <v>28</v>
      </c>
      <c r="C6" s="34" t="s">
        <v>18</v>
      </c>
      <c r="D6" t="s">
        <v>45</v>
      </c>
      <c r="I6" t="s">
        <v>49</v>
      </c>
    </row>
    <row r="7" spans="2:9" x14ac:dyDescent="0.25">
      <c r="C7" s="59" t="s">
        <v>1</v>
      </c>
      <c r="D7" t="s">
        <v>46</v>
      </c>
    </row>
    <row r="8" spans="2:9" x14ac:dyDescent="0.25">
      <c r="C8" s="59" t="s">
        <v>27</v>
      </c>
      <c r="D8" t="s">
        <v>45</v>
      </c>
      <c r="I8" s="49" t="s">
        <v>26</v>
      </c>
    </row>
    <row r="9" spans="2:9" x14ac:dyDescent="0.25">
      <c r="C9" s="59" t="s">
        <v>2</v>
      </c>
      <c r="D9" t="s">
        <v>45</v>
      </c>
      <c r="I9" s="48" t="s">
        <v>48</v>
      </c>
    </row>
    <row r="10" spans="2:9" x14ac:dyDescent="0.25">
      <c r="I10" s="57" t="s">
        <v>19</v>
      </c>
    </row>
    <row r="11" spans="2:9" x14ac:dyDescent="0.25">
      <c r="B11" s="48" t="s">
        <v>29</v>
      </c>
      <c r="C11" s="60" t="s">
        <v>39</v>
      </c>
      <c r="I11" s="58" t="s">
        <v>20</v>
      </c>
    </row>
    <row r="14" spans="2:9" x14ac:dyDescent="0.25">
      <c r="B14" s="48" t="s">
        <v>30</v>
      </c>
      <c r="C14" s="63" t="s">
        <v>32</v>
      </c>
    </row>
    <row r="15" spans="2:9" x14ac:dyDescent="0.25">
      <c r="C15" s="62" t="s">
        <v>31</v>
      </c>
    </row>
    <row r="16" spans="2:9" x14ac:dyDescent="0.25">
      <c r="C16" s="62" t="s">
        <v>33</v>
      </c>
    </row>
    <row r="17" spans="2:3" x14ac:dyDescent="0.25">
      <c r="C17" s="62" t="s">
        <v>34</v>
      </c>
    </row>
    <row r="18" spans="2:3" x14ac:dyDescent="0.25">
      <c r="C18" s="62" t="s">
        <v>35</v>
      </c>
    </row>
    <row r="19" spans="2:3" x14ac:dyDescent="0.25">
      <c r="C19" s="61" t="s">
        <v>36</v>
      </c>
    </row>
    <row r="20" spans="2:3" x14ac:dyDescent="0.25">
      <c r="C20" s="62" t="s">
        <v>31</v>
      </c>
    </row>
    <row r="21" spans="2:3" x14ac:dyDescent="0.25">
      <c r="C21" s="62" t="s">
        <v>33</v>
      </c>
    </row>
    <row r="22" spans="2:3" x14ac:dyDescent="0.25">
      <c r="C22" s="60" t="s">
        <v>22</v>
      </c>
    </row>
    <row r="24" spans="2:3" x14ac:dyDescent="0.25">
      <c r="B24" s="48" t="s">
        <v>37</v>
      </c>
      <c r="C24" s="61" t="s">
        <v>38</v>
      </c>
    </row>
    <row r="25" spans="2:3" x14ac:dyDescent="0.25">
      <c r="C25" s="62" t="s">
        <v>40</v>
      </c>
    </row>
    <row r="26" spans="2:3" x14ac:dyDescent="0.25">
      <c r="C26" s="62" t="s">
        <v>41</v>
      </c>
    </row>
    <row r="27" spans="2:3" x14ac:dyDescent="0.25">
      <c r="C27" s="62" t="s">
        <v>43</v>
      </c>
    </row>
    <row r="28" spans="2:3" x14ac:dyDescent="0.25">
      <c r="C28" s="62" t="s">
        <v>42</v>
      </c>
    </row>
    <row r="31" spans="2:3" x14ac:dyDescent="0.25">
      <c r="B31" s="65" t="s">
        <v>50</v>
      </c>
    </row>
    <row r="32" spans="2:3" x14ac:dyDescent="0.25">
      <c r="C32" s="47" t="s">
        <v>51</v>
      </c>
    </row>
    <row r="33" spans="2:3" x14ac:dyDescent="0.25">
      <c r="B33" s="47" t="s">
        <v>27</v>
      </c>
      <c r="C33" t="s">
        <v>52</v>
      </c>
    </row>
    <row r="34" spans="2:3" x14ac:dyDescent="0.25">
      <c r="C34" t="s">
        <v>53</v>
      </c>
    </row>
    <row r="35" spans="2:3" x14ac:dyDescent="0.25">
      <c r="C35" t="s">
        <v>54</v>
      </c>
    </row>
    <row r="36" spans="2:3" x14ac:dyDescent="0.25">
      <c r="C36" t="s">
        <v>55</v>
      </c>
    </row>
    <row r="37" spans="2:3" x14ac:dyDescent="0.25">
      <c r="C37" t="s">
        <v>56</v>
      </c>
    </row>
    <row r="38" spans="2:3" x14ac:dyDescent="0.25">
      <c r="C38" t="s">
        <v>57</v>
      </c>
    </row>
    <row r="39" spans="2:3" x14ac:dyDescent="0.25">
      <c r="C39" t="s">
        <v>58</v>
      </c>
    </row>
    <row r="40" spans="2:3" x14ac:dyDescent="0.25">
      <c r="C40" t="s">
        <v>59</v>
      </c>
    </row>
    <row r="41" spans="2:3" x14ac:dyDescent="0.25">
      <c r="C41" t="s">
        <v>60</v>
      </c>
    </row>
    <row r="42" spans="2:3" x14ac:dyDescent="0.25">
      <c r="C42" t="s">
        <v>61</v>
      </c>
    </row>
    <row r="43" spans="2:3" x14ac:dyDescent="0.25">
      <c r="C43" t="s">
        <v>62</v>
      </c>
    </row>
    <row r="44" spans="2:3" x14ac:dyDescent="0.25">
      <c r="C44" t="s">
        <v>63</v>
      </c>
    </row>
    <row r="45" spans="2:3" x14ac:dyDescent="0.25">
      <c r="C45" t="s">
        <v>64</v>
      </c>
    </row>
    <row r="46" spans="2:3" x14ac:dyDescent="0.25">
      <c r="C46" t="s">
        <v>65</v>
      </c>
    </row>
    <row r="47" spans="2:3" x14ac:dyDescent="0.25">
      <c r="C47" t="s">
        <v>66</v>
      </c>
    </row>
    <row r="48" spans="2:3" x14ac:dyDescent="0.25">
      <c r="C48" t="s">
        <v>67</v>
      </c>
    </row>
    <row r="49" spans="3:3" x14ac:dyDescent="0.25">
      <c r="C49" t="s">
        <v>70</v>
      </c>
    </row>
    <row r="50" spans="3:3" x14ac:dyDescent="0.25">
      <c r="C50" t="s">
        <v>68</v>
      </c>
    </row>
    <row r="51" spans="3:3" x14ac:dyDescent="0.25">
      <c r="C51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136B6-819E-4F2C-AA51-85C1B23DAC13}">
  <dimension ref="B2:AD84"/>
  <sheetViews>
    <sheetView showGridLines="0" zoomScale="70" zoomScaleNormal="70" workbookViewId="0">
      <selection activeCell="E3" sqref="E3"/>
    </sheetView>
  </sheetViews>
  <sheetFormatPr defaultRowHeight="15" x14ac:dyDescent="0.25"/>
  <cols>
    <col min="2" max="2" width="15" customWidth="1"/>
    <col min="3" max="3" width="65.28515625" bestFit="1" customWidth="1"/>
    <col min="4" max="15" width="13.85546875" customWidth="1"/>
    <col min="16" max="16" width="23.5703125" bestFit="1" customWidth="1"/>
    <col min="19" max="22" width="14.28515625" bestFit="1" customWidth="1"/>
    <col min="23" max="30" width="10" bestFit="1" customWidth="1"/>
  </cols>
  <sheetData>
    <row r="2" spans="2:16" x14ac:dyDescent="0.25">
      <c r="B2" t="s">
        <v>632</v>
      </c>
    </row>
    <row r="3" spans="2:16" x14ac:dyDescent="0.25">
      <c r="B3" t="s">
        <v>769</v>
      </c>
      <c r="C3" s="496">
        <v>45412</v>
      </c>
    </row>
    <row r="4" spans="2:16" ht="15.75" thickBot="1" x14ac:dyDescent="0.3">
      <c r="C4" s="291"/>
      <c r="J4" s="460"/>
    </row>
    <row r="5" spans="2:16" ht="27" thickBot="1" x14ac:dyDescent="0.45">
      <c r="C5" s="477" t="s">
        <v>1</v>
      </c>
    </row>
    <row r="6" spans="2:16" x14ac:dyDescent="0.25">
      <c r="C6" s="461" t="s">
        <v>633</v>
      </c>
      <c r="D6" s="462">
        <v>45292</v>
      </c>
      <c r="E6" s="462">
        <v>45323</v>
      </c>
      <c r="F6" s="462">
        <v>45352</v>
      </c>
      <c r="G6" s="462">
        <v>45383</v>
      </c>
      <c r="H6" s="462">
        <v>45413</v>
      </c>
      <c r="I6" s="462">
        <v>45444</v>
      </c>
      <c r="J6" s="462">
        <v>45474</v>
      </c>
      <c r="K6" s="462">
        <v>45505</v>
      </c>
      <c r="L6" s="462">
        <v>45536</v>
      </c>
      <c r="M6" s="462">
        <v>45566</v>
      </c>
      <c r="N6" s="462">
        <v>45597</v>
      </c>
      <c r="O6" s="463">
        <v>45627</v>
      </c>
      <c r="P6" s="464" t="s">
        <v>18</v>
      </c>
    </row>
    <row r="7" spans="2:16" x14ac:dyDescent="0.25">
      <c r="C7" s="465" t="s">
        <v>634</v>
      </c>
      <c r="D7" s="229" cm="1">
        <f t="array" ref="D7:O7">TRANSPOSE('Reserving Table Data'!$B$15:$B$26)</f>
        <v>2888834.63765103</v>
      </c>
      <c r="E7" s="229">
        <v>2661198.798827244</v>
      </c>
      <c r="F7" s="229">
        <v>2782708.09</v>
      </c>
      <c r="G7" s="229">
        <v>1115808.100000001</v>
      </c>
      <c r="H7" s="229" t="str">
        <v>-</v>
      </c>
      <c r="I7" s="229" t="str">
        <v>-</v>
      </c>
      <c r="J7" s="229" t="str">
        <v>-</v>
      </c>
      <c r="K7" s="229" t="str">
        <v>-</v>
      </c>
      <c r="L7" s="229" t="str">
        <v>-</v>
      </c>
      <c r="M7" s="229" t="str">
        <v>-</v>
      </c>
      <c r="N7" s="229" t="str">
        <v>-</v>
      </c>
      <c r="O7" s="229" t="str">
        <v>-</v>
      </c>
      <c r="P7" s="466">
        <f>SUM(D7:O7)</f>
        <v>9448549.6264782753</v>
      </c>
    </row>
    <row r="8" spans="2:16" x14ac:dyDescent="0.25">
      <c r="C8" s="467" t="s">
        <v>635</v>
      </c>
      <c r="D8" s="435" cm="1">
        <f t="array" ref="D8:O8">TRANSPOSE('Reserving Table Data'!$C$15:$C$26)</f>
        <v>1402264.2535800999</v>
      </c>
      <c r="E8" s="468">
        <v>2929923.582488317</v>
      </c>
      <c r="F8" s="468">
        <v>5453412.3842212865</v>
      </c>
      <c r="G8" s="468">
        <v>6277564.4656874631</v>
      </c>
      <c r="H8" s="468" t="str">
        <v>-</v>
      </c>
      <c r="I8" s="468" t="str">
        <v>-</v>
      </c>
      <c r="J8" s="468" t="str">
        <v>-</v>
      </c>
      <c r="K8" s="468" t="str">
        <v>-</v>
      </c>
      <c r="L8" s="468" t="str">
        <v>-</v>
      </c>
      <c r="M8" s="468" t="str">
        <v>-</v>
      </c>
      <c r="N8" s="468" t="str">
        <v>-</v>
      </c>
      <c r="O8" s="468" t="str">
        <v>-</v>
      </c>
      <c r="P8" s="469">
        <f t="shared" ref="P8:P9" si="0">SUM(D8:O8)</f>
        <v>16063164.685977167</v>
      </c>
    </row>
    <row r="9" spans="2:16" x14ac:dyDescent="0.25">
      <c r="C9" s="465" t="s">
        <v>636</v>
      </c>
      <c r="D9" s="229" cm="1">
        <f t="array" ref="D9:O9">TRANSPOSE('Reserving Table Data'!$D$15:$D$26)</f>
        <v>4291098.8912311299</v>
      </c>
      <c r="E9" s="229">
        <v>5591122.381315561</v>
      </c>
      <c r="F9" s="229">
        <v>8236120.4742212864</v>
      </c>
      <c r="G9" s="229">
        <v>7393372.5656874646</v>
      </c>
      <c r="H9" s="229" t="str">
        <v>-</v>
      </c>
      <c r="I9" s="229" t="str">
        <v>-</v>
      </c>
      <c r="J9" s="229" t="str">
        <v>-</v>
      </c>
      <c r="K9" s="229" t="str">
        <v>-</v>
      </c>
      <c r="L9" s="229" t="str">
        <v>-</v>
      </c>
      <c r="M9" s="229" t="str">
        <v>-</v>
      </c>
      <c r="N9" s="229" t="str">
        <v>-</v>
      </c>
      <c r="O9" s="229" t="str">
        <v>-</v>
      </c>
      <c r="P9" s="466">
        <f t="shared" si="0"/>
        <v>25511714.312455438</v>
      </c>
    </row>
    <row r="10" spans="2:16" hidden="1" x14ac:dyDescent="0.25">
      <c r="C10" s="480" t="s">
        <v>565</v>
      </c>
      <c r="D10" s="481" cm="1">
        <f t="array" ref="D10:O10">TRANSPOSE(Table1223[Total Target NWP])</f>
        <v>3262205.5406420417</v>
      </c>
      <c r="E10" s="481">
        <v>5283002.670942123</v>
      </c>
      <c r="F10" s="481">
        <v>7028722.699423207</v>
      </c>
      <c r="G10" s="481">
        <v>7008322.6050258419</v>
      </c>
      <c r="H10" s="481" t="str">
        <v>-</v>
      </c>
      <c r="I10" s="481" t="str">
        <v>-</v>
      </c>
      <c r="J10" s="481" t="str">
        <v>-</v>
      </c>
      <c r="K10" s="481" t="str">
        <v>-</v>
      </c>
      <c r="L10" s="481" t="str">
        <v>-</v>
      </c>
      <c r="M10" s="481" t="str">
        <v>-</v>
      </c>
      <c r="N10" s="481" t="str">
        <v>-</v>
      </c>
      <c r="O10" s="481" t="str">
        <v>-</v>
      </c>
      <c r="P10" s="482"/>
    </row>
    <row r="11" spans="2:16" x14ac:dyDescent="0.25">
      <c r="C11" s="467" t="s">
        <v>561</v>
      </c>
      <c r="D11" s="470" cm="1">
        <f t="array" ref="D11:O11">TRANSPOSE('Reserving Table Data'!$E$15:$E$26)</f>
        <v>0.74190904385367851</v>
      </c>
      <c r="E11" s="470">
        <v>0.81757661519112923</v>
      </c>
      <c r="F11" s="470">
        <v>0.67317685928943016</v>
      </c>
      <c r="G11" s="470">
        <v>0.67193844249089063</v>
      </c>
      <c r="H11" s="470" t="str">
        <v>-</v>
      </c>
      <c r="I11" s="470" t="str">
        <v>-</v>
      </c>
      <c r="J11" s="470" t="str">
        <v>-</v>
      </c>
      <c r="K11" s="470" t="str">
        <v>-</v>
      </c>
      <c r="L11" s="470" t="str">
        <v>-</v>
      </c>
      <c r="M11" s="470" t="str">
        <v>-</v>
      </c>
      <c r="N11" s="470" t="str">
        <v>-</v>
      </c>
      <c r="O11" s="470" t="str">
        <v>-</v>
      </c>
      <c r="P11" s="471">
        <f>SUMPRODUCT(Table1223[Net Earned Ultimate Loss Ratio],Table1223[Ult NEP])/P7</f>
        <v>0.73471546150227662</v>
      </c>
    </row>
    <row r="12" spans="2:16" x14ac:dyDescent="0.25">
      <c r="C12" s="465" t="s">
        <v>562</v>
      </c>
      <c r="D12" s="472" cm="1">
        <f t="array" ref="D12:O12">TRANSPOSE('Reserving Table Data'!$F$15:$F$26)</f>
        <v>0.71112278468833778</v>
      </c>
      <c r="E12" s="472">
        <v>0.71158962469416376</v>
      </c>
      <c r="F12" s="472">
        <v>0.71196309669882496</v>
      </c>
      <c r="G12" s="472">
        <v>0.71293907270711454</v>
      </c>
      <c r="H12" s="472" t="str">
        <v>-</v>
      </c>
      <c r="I12" s="472" t="str">
        <v>-</v>
      </c>
      <c r="J12" s="472" t="str">
        <v>-</v>
      </c>
      <c r="K12" s="472" t="str">
        <v>-</v>
      </c>
      <c r="L12" s="472" t="str">
        <v>-</v>
      </c>
      <c r="M12" s="472" t="str">
        <v>-</v>
      </c>
      <c r="N12" s="472" t="str">
        <v>-</v>
      </c>
      <c r="O12" s="472" t="str">
        <v>-</v>
      </c>
      <c r="P12" s="473">
        <f>IFERROR(((P13*P9)-(P11*P7))/P8,"-")</f>
        <v>0.71220303499593707</v>
      </c>
    </row>
    <row r="13" spans="2:16" x14ac:dyDescent="0.25">
      <c r="C13" s="467" t="s">
        <v>563</v>
      </c>
      <c r="D13" s="470" cm="1">
        <f t="array" ref="D13:O13">TRANSPOSE('Reserving Table Data'!$G$15:$G$26)</f>
        <v>0.73184857407116455</v>
      </c>
      <c r="E13" s="470">
        <v>0.7620361061992732</v>
      </c>
      <c r="F13" s="470">
        <v>0.69885853163598954</v>
      </c>
      <c r="G13" s="470">
        <v>0.70675125586251408</v>
      </c>
      <c r="H13" s="470" t="str">
        <v>-</v>
      </c>
      <c r="I13" s="470" t="str">
        <v>-</v>
      </c>
      <c r="J13" s="470" t="str">
        <v>-</v>
      </c>
      <c r="K13" s="470" t="str">
        <v>-</v>
      </c>
      <c r="L13" s="470" t="str">
        <v>-</v>
      </c>
      <c r="M13" s="470" t="str">
        <v>-</v>
      </c>
      <c r="N13" s="470" t="str">
        <v>-</v>
      </c>
      <c r="O13" s="470" t="str">
        <v>-</v>
      </c>
      <c r="P13" s="471">
        <f>SUMPRODUCT('Reserving Table Data'!$J$15:'Reserving Table Data'!$J$26,'Reserving Table Data'!$K$15:'Reserving Table Data'!$K$26)/P9</f>
        <v>0.72054076473265438</v>
      </c>
    </row>
    <row r="14" spans="2:16" x14ac:dyDescent="0.25">
      <c r="C14" s="465" t="s">
        <v>564</v>
      </c>
      <c r="D14" s="472" cm="1">
        <f t="array" ref="D14:O14">TRANSPOSE('Reserving Table Data'!$H$15:$H$26)</f>
        <v>0.70994369756448561</v>
      </c>
      <c r="E14" s="472">
        <v>0.7075557045873957</v>
      </c>
      <c r="F14" s="472">
        <v>0.70636339373259571</v>
      </c>
      <c r="G14" s="472">
        <v>0.68586579680985005</v>
      </c>
      <c r="H14" s="472" t="str">
        <v>-</v>
      </c>
      <c r="I14" s="472" t="str">
        <v>-</v>
      </c>
      <c r="J14" s="472" t="str">
        <v>-</v>
      </c>
      <c r="K14" s="472" t="str">
        <v>-</v>
      </c>
      <c r="L14" s="472" t="str">
        <v>-</v>
      </c>
      <c r="M14" s="472" t="str">
        <v>-</v>
      </c>
      <c r="N14" s="472" t="str">
        <v>-</v>
      </c>
      <c r="O14" s="472" t="str">
        <v>-</v>
      </c>
      <c r="P14" s="473">
        <f>SUMPRODUCT('Reserving Table Data'!$H$15:'Reserving Table Data'!$H$26,'Reserving Table Data'!$I$15:'Reserving Table Data'!$I$26)/SUM('Reserving Table Data'!$I$15:'Reserving Table Data'!$I$26)</f>
        <v>0.70079817840343983</v>
      </c>
    </row>
    <row r="15" spans="2:16" ht="15.75" thickBot="1" x14ac:dyDescent="0.3">
      <c r="C15" s="474" t="s">
        <v>637</v>
      </c>
      <c r="D15" s="475">
        <f>IF(OR(D13="",D13="-"),"-",D13-D14)</f>
        <v>2.1904876506678939E-2</v>
      </c>
      <c r="E15" s="475">
        <f t="shared" ref="E15:P15" si="1">IF(OR(E13="",E13="-"),"-",E13-E14)</f>
        <v>5.4480401611877505E-2</v>
      </c>
      <c r="F15" s="475">
        <f t="shared" si="1"/>
        <v>-7.5048620966061685E-3</v>
      </c>
      <c r="G15" s="475">
        <f t="shared" si="1"/>
        <v>2.0885459052664035E-2</v>
      </c>
      <c r="H15" s="475" t="str">
        <f t="shared" si="1"/>
        <v>-</v>
      </c>
      <c r="I15" s="475" t="str">
        <f t="shared" si="1"/>
        <v>-</v>
      </c>
      <c r="J15" s="475" t="str">
        <f t="shared" si="1"/>
        <v>-</v>
      </c>
      <c r="K15" s="475" t="str">
        <f t="shared" si="1"/>
        <v>-</v>
      </c>
      <c r="L15" s="475" t="str">
        <f t="shared" si="1"/>
        <v>-</v>
      </c>
      <c r="M15" s="475" t="str">
        <f t="shared" si="1"/>
        <v>-</v>
      </c>
      <c r="N15" s="475" t="str">
        <f t="shared" si="1"/>
        <v>-</v>
      </c>
      <c r="O15" s="475" t="str">
        <f t="shared" si="1"/>
        <v>-</v>
      </c>
      <c r="P15" s="476">
        <f t="shared" si="1"/>
        <v>1.9742586329214551E-2</v>
      </c>
    </row>
    <row r="16" spans="2:16" ht="6" customHeight="1" thickBot="1" x14ac:dyDescent="0.3"/>
    <row r="17" spans="3:30" x14ac:dyDescent="0.25">
      <c r="C17" s="461" t="s">
        <v>638</v>
      </c>
      <c r="D17" s="462">
        <f>D$6</f>
        <v>45292</v>
      </c>
      <c r="E17" s="462">
        <f t="shared" ref="E17:O17" si="2">E$6</f>
        <v>45323</v>
      </c>
      <c r="F17" s="462">
        <f t="shared" si="2"/>
        <v>45352</v>
      </c>
      <c r="G17" s="462">
        <f t="shared" si="2"/>
        <v>45383</v>
      </c>
      <c r="H17" s="462">
        <f t="shared" si="2"/>
        <v>45413</v>
      </c>
      <c r="I17" s="462">
        <f t="shared" si="2"/>
        <v>45444</v>
      </c>
      <c r="J17" s="462">
        <f t="shared" si="2"/>
        <v>45474</v>
      </c>
      <c r="K17" s="462">
        <f t="shared" si="2"/>
        <v>45505</v>
      </c>
      <c r="L17" s="462">
        <f t="shared" si="2"/>
        <v>45536</v>
      </c>
      <c r="M17" s="462">
        <f t="shared" si="2"/>
        <v>45566</v>
      </c>
      <c r="N17" s="462">
        <f t="shared" si="2"/>
        <v>45597</v>
      </c>
      <c r="O17" s="462">
        <f t="shared" si="2"/>
        <v>45627</v>
      </c>
      <c r="P17" s="464" t="str">
        <f>P6</f>
        <v>Total</v>
      </c>
    </row>
    <row r="18" spans="3:30" x14ac:dyDescent="0.25">
      <c r="C18" s="465" t="s">
        <v>634</v>
      </c>
      <c r="D18" s="229">
        <f>D7</f>
        <v>2888834.63765103</v>
      </c>
      <c r="E18" s="229">
        <f>IF(E7="-","-",D18+E7)</f>
        <v>5550033.4364782739</v>
      </c>
      <c r="F18" s="229">
        <f t="shared" ref="F18:O18" si="3">IF(F7="-","-",E18+F7)</f>
        <v>8332741.5264782738</v>
      </c>
      <c r="G18" s="229">
        <f t="shared" si="3"/>
        <v>9448549.6264782753</v>
      </c>
      <c r="H18" s="229" t="str">
        <f t="shared" si="3"/>
        <v>-</v>
      </c>
      <c r="I18" s="229" t="str">
        <f t="shared" si="3"/>
        <v>-</v>
      </c>
      <c r="J18" s="229" t="str">
        <f t="shared" si="3"/>
        <v>-</v>
      </c>
      <c r="K18" s="229" t="str">
        <f t="shared" si="3"/>
        <v>-</v>
      </c>
      <c r="L18" s="229" t="str">
        <f t="shared" si="3"/>
        <v>-</v>
      </c>
      <c r="M18" s="229" t="str">
        <f t="shared" si="3"/>
        <v>-</v>
      </c>
      <c r="N18" s="229" t="str">
        <f t="shared" si="3"/>
        <v>-</v>
      </c>
      <c r="O18" s="229" t="str">
        <f t="shared" si="3"/>
        <v>-</v>
      </c>
      <c r="P18" s="466">
        <f>P7</f>
        <v>9448549.6264782753</v>
      </c>
    </row>
    <row r="19" spans="3:30" x14ac:dyDescent="0.25">
      <c r="C19" s="467" t="s">
        <v>635</v>
      </c>
      <c r="D19" s="435">
        <f>D8</f>
        <v>1402264.2535800999</v>
      </c>
      <c r="E19" s="468">
        <f>IF(E8="-","-",D19+E8)</f>
        <v>4332187.8360684169</v>
      </c>
      <c r="F19" s="468">
        <f t="shared" ref="F19:O19" si="4">IF(F8="-","-",E19+F8)</f>
        <v>9785600.2202897035</v>
      </c>
      <c r="G19" s="468">
        <f t="shared" si="4"/>
        <v>16063164.685977167</v>
      </c>
      <c r="H19" s="468" t="str">
        <f t="shared" si="4"/>
        <v>-</v>
      </c>
      <c r="I19" s="468" t="str">
        <f t="shared" si="4"/>
        <v>-</v>
      </c>
      <c r="J19" s="468" t="str">
        <f t="shared" si="4"/>
        <v>-</v>
      </c>
      <c r="K19" s="468" t="str">
        <f t="shared" si="4"/>
        <v>-</v>
      </c>
      <c r="L19" s="468" t="str">
        <f t="shared" si="4"/>
        <v>-</v>
      </c>
      <c r="M19" s="468" t="str">
        <f t="shared" si="4"/>
        <v>-</v>
      </c>
      <c r="N19" s="468" t="str">
        <f t="shared" si="4"/>
        <v>-</v>
      </c>
      <c r="O19" s="468" t="str">
        <f t="shared" si="4"/>
        <v>-</v>
      </c>
      <c r="P19" s="469">
        <f>P8</f>
        <v>16063164.685977167</v>
      </c>
    </row>
    <row r="20" spans="3:30" x14ac:dyDescent="0.25">
      <c r="C20" s="465" t="s">
        <v>636</v>
      </c>
      <c r="D20" s="229">
        <f>D9</f>
        <v>4291098.8912311299</v>
      </c>
      <c r="E20" s="229">
        <f>IF(E9="-","-",D20+E9)</f>
        <v>9882221.27254669</v>
      </c>
      <c r="F20" s="229">
        <f t="shared" ref="F20:O20" si="5">IF(F9="-","-",E20+F9)</f>
        <v>18118341.746767975</v>
      </c>
      <c r="G20" s="229">
        <f t="shared" si="5"/>
        <v>25511714.312455438</v>
      </c>
      <c r="H20" s="229" t="str">
        <f t="shared" si="5"/>
        <v>-</v>
      </c>
      <c r="I20" s="229" t="str">
        <f t="shared" si="5"/>
        <v>-</v>
      </c>
      <c r="J20" s="229" t="str">
        <f t="shared" si="5"/>
        <v>-</v>
      </c>
      <c r="K20" s="229" t="str">
        <f t="shared" si="5"/>
        <v>-</v>
      </c>
      <c r="L20" s="229" t="str">
        <f t="shared" si="5"/>
        <v>-</v>
      </c>
      <c r="M20" s="229" t="str">
        <f t="shared" si="5"/>
        <v>-</v>
      </c>
      <c r="N20" s="229" t="str">
        <f t="shared" si="5"/>
        <v>-</v>
      </c>
      <c r="O20" s="229" t="str">
        <f t="shared" si="5"/>
        <v>-</v>
      </c>
      <c r="P20" s="466">
        <f>P9</f>
        <v>25511714.312455438</v>
      </c>
    </row>
    <row r="21" spans="3:30" hidden="1" x14ac:dyDescent="0.25">
      <c r="C21" s="480" t="s">
        <v>565</v>
      </c>
      <c r="D21" s="481">
        <f>D10</f>
        <v>3262205.5406420417</v>
      </c>
      <c r="E21" s="481">
        <f>IF(E10="-","-",D21+E10)</f>
        <v>8545208.2115841657</v>
      </c>
      <c r="F21" s="481">
        <f t="shared" ref="F21:O21" si="6">IF(F10="-","-",E21+F10)</f>
        <v>15573930.911007373</v>
      </c>
      <c r="G21" s="481">
        <f t="shared" si="6"/>
        <v>22582253.516033214</v>
      </c>
      <c r="H21" s="481" t="str">
        <f t="shared" si="6"/>
        <v>-</v>
      </c>
      <c r="I21" s="481" t="str">
        <f t="shared" si="6"/>
        <v>-</v>
      </c>
      <c r="J21" s="481" t="str">
        <f t="shared" si="6"/>
        <v>-</v>
      </c>
      <c r="K21" s="481" t="str">
        <f t="shared" si="6"/>
        <v>-</v>
      </c>
      <c r="L21" s="481" t="str">
        <f t="shared" si="6"/>
        <v>-</v>
      </c>
      <c r="M21" s="481" t="str">
        <f t="shared" si="6"/>
        <v>-</v>
      </c>
      <c r="N21" s="481" t="str">
        <f t="shared" si="6"/>
        <v>-</v>
      </c>
      <c r="O21" s="481" t="str">
        <f t="shared" si="6"/>
        <v>-</v>
      </c>
      <c r="P21" s="482"/>
    </row>
    <row r="22" spans="3:30" hidden="1" x14ac:dyDescent="0.25">
      <c r="C22" s="480" t="s">
        <v>648</v>
      </c>
      <c r="D22" s="481">
        <f>IF(D7="-","-",SUMPRODUCT($D7:D7,$D11:D11))</f>
        <v>2143252.5438710633</v>
      </c>
      <c r="E22" s="481">
        <f>IF(E7="-","-",SUMPRODUCT($D7:E7,$D11:E11))</f>
        <v>4318986.4501669407</v>
      </c>
      <c r="F22" s="481">
        <f>IF(F7="-","-",SUMPRODUCT($D7:F7,$D11:F11))</f>
        <v>6192241.1425124295</v>
      </c>
      <c r="G22" s="481">
        <f>IF(G7="-","-",SUMPRODUCT($D7:G7,$D11:G11))</f>
        <v>6941995.4993451498</v>
      </c>
      <c r="H22" s="481" t="str">
        <f>IF(H7="-","-",SUMPRODUCT($D7:H7,$D11:H11))</f>
        <v>-</v>
      </c>
      <c r="I22" s="481" t="str">
        <f>IF(I7="-","-",SUMPRODUCT($D7:I7,$D11:I11))</f>
        <v>-</v>
      </c>
      <c r="J22" s="481" t="str">
        <f>IF(J7="-","-",SUMPRODUCT($D7:J7,$D11:J11))</f>
        <v>-</v>
      </c>
      <c r="K22" s="481" t="str">
        <f>IF(K7="-","-",SUMPRODUCT($D7:K7,$D11:K11))</f>
        <v>-</v>
      </c>
      <c r="L22" s="481" t="str">
        <f>IF(L7="-","-",SUMPRODUCT($D7:L7,$D11:L11))</f>
        <v>-</v>
      </c>
      <c r="M22" s="481" t="str">
        <f>IF(M7="-","-",SUMPRODUCT($D7:M7,$D11:M11))</f>
        <v>-</v>
      </c>
      <c r="N22" s="481" t="str">
        <f>IF(N7="-","-",SUMPRODUCT($D7:N7,$D11:N11))</f>
        <v>-</v>
      </c>
      <c r="O22" s="481" t="str">
        <f>IF(O7="-","-",SUMPRODUCT($D7:O7,$D11:O11))</f>
        <v>-</v>
      </c>
      <c r="P22" s="482"/>
    </row>
    <row r="23" spans="3:30" hidden="1" x14ac:dyDescent="0.25">
      <c r="C23" s="480" t="s">
        <v>649</v>
      </c>
      <c r="D23" s="481">
        <f>IF(D8="-","-",SUMPRODUCT($D8:D8,$D12:D12))</f>
        <v>997182.06087479403</v>
      </c>
      <c r="E23" s="481">
        <f>IF(E8="-","-",SUMPRODUCT($D8:E8,$D12:E12))</f>
        <v>3082085.2833202351</v>
      </c>
      <c r="F23" s="481">
        <f>IF(F8="-","-",SUMPRODUCT($D8:F8,$D12:F12))</f>
        <v>6964713.6519661443</v>
      </c>
      <c r="G23" s="481">
        <f>IF(G8="-","-",SUMPRODUCT($D8:G8,$D12:G12))</f>
        <v>11440234.640992496</v>
      </c>
      <c r="H23" s="481" t="str">
        <f>IF(H8="-","-",SUMPRODUCT($D8:H8,$D12:H12))</f>
        <v>-</v>
      </c>
      <c r="I23" s="481" t="str">
        <f>IF(I8="-","-",SUMPRODUCT($D8:I8,$D12:I12))</f>
        <v>-</v>
      </c>
      <c r="J23" s="481" t="str">
        <f>IF(J8="-","-",SUMPRODUCT($D8:J8,$D12:J12))</f>
        <v>-</v>
      </c>
      <c r="K23" s="481" t="str">
        <f>IF(K8="-","-",SUMPRODUCT($D8:K8,$D12:K12))</f>
        <v>-</v>
      </c>
      <c r="L23" s="481" t="str">
        <f>IF(L8="-","-",SUMPRODUCT($D8:L8,$D12:L12))</f>
        <v>-</v>
      </c>
      <c r="M23" s="481" t="str">
        <f>IF(M8="-","-",SUMPRODUCT($D8:M8,$D12:M12))</f>
        <v>-</v>
      </c>
      <c r="N23" s="481" t="str">
        <f>IF(N8="-","-",SUMPRODUCT($D8:N8,$D12:N12))</f>
        <v>-</v>
      </c>
      <c r="O23" s="481" t="str">
        <f>IF(O8="-","-",SUMPRODUCT($D8:O8,$D12:O12))</f>
        <v>-</v>
      </c>
      <c r="P23" s="482"/>
    </row>
    <row r="24" spans="3:30" hidden="1" x14ac:dyDescent="0.25">
      <c r="C24" s="480" t="s">
        <v>650</v>
      </c>
      <c r="D24" s="481">
        <f>IF(D9="-","-",SUMPRODUCT($D9:D9,$D13:D13))</f>
        <v>3140434.6047458574</v>
      </c>
      <c r="E24" s="481">
        <f>IF(E9="-","-",SUMPRODUCT($D9:E9,$D13:E13))</f>
        <v>7401071.7334871758</v>
      </c>
      <c r="F24" s="481">
        <f>IF(F9="-","-",SUMPRODUCT($D9:F9,$D13:F13))</f>
        <v>13156954.794478573</v>
      </c>
      <c r="G24" s="481">
        <f>IF(G9="-","-",SUMPRODUCT($D9:G9,$D13:G13))</f>
        <v>18382230.140337646</v>
      </c>
      <c r="H24" s="481" t="str">
        <f>IF(H9="-","-",SUMPRODUCT($D9:H9,$D13:H13))</f>
        <v>-</v>
      </c>
      <c r="I24" s="481" t="str">
        <f>IF(I9="-","-",SUMPRODUCT($D9:I9,$D13:I13))</f>
        <v>-</v>
      </c>
      <c r="J24" s="481" t="str">
        <f>IF(J9="-","-",SUMPRODUCT($D9:J9,$D13:J13))</f>
        <v>-</v>
      </c>
      <c r="K24" s="481" t="str">
        <f>IF(K9="-","-",SUMPRODUCT($D9:K9,$D13:K13))</f>
        <v>-</v>
      </c>
      <c r="L24" s="481" t="str">
        <f>IF(L9="-","-",SUMPRODUCT($D9:L9,$D13:L13))</f>
        <v>-</v>
      </c>
      <c r="M24" s="481" t="str">
        <f>IF(M9="-","-",SUMPRODUCT($D9:M9,$D13:M13))</f>
        <v>-</v>
      </c>
      <c r="N24" s="481" t="str">
        <f>IF(N9="-","-",SUMPRODUCT($D9:N9,$D13:N13))</f>
        <v>-</v>
      </c>
      <c r="O24" s="481" t="str">
        <f>IF(O9="-","-",SUMPRODUCT($D9:O9,$D13:O13))</f>
        <v>-</v>
      </c>
      <c r="P24" s="482"/>
    </row>
    <row r="25" spans="3:30" hidden="1" x14ac:dyDescent="0.25">
      <c r="C25" s="480" t="s">
        <v>651</v>
      </c>
      <c r="D25" s="481">
        <f>IF(D10="-","-",SUMPRODUCT($D10:D10,$D14:D14))</f>
        <v>2315982.2637387631</v>
      </c>
      <c r="E25" s="481">
        <f>IF(E10="-","-",SUMPRODUCT($D10:E10,$D14:E14))</f>
        <v>6054000.9409143105</v>
      </c>
      <c r="F25" s="481">
        <f>IF(F10="-","-",SUMPRODUCT($D10:F10,$D14:F14))</f>
        <v>11018833.360484218</v>
      </c>
      <c r="G25" s="481">
        <f>IF(G10="-","-",SUMPRODUCT($D10:G10,$D14:G14))</f>
        <v>15825602.128280751</v>
      </c>
      <c r="H25" s="481" t="str">
        <f>IF(H10="-","-",SUMPRODUCT($D10:H10,$D14:H14))</f>
        <v>-</v>
      </c>
      <c r="I25" s="481" t="str">
        <f>IF(I10="-","-",SUMPRODUCT($D10:I10,$D14:I14))</f>
        <v>-</v>
      </c>
      <c r="J25" s="481" t="str">
        <f>IF(J10="-","-",SUMPRODUCT($D10:J10,$D14:J14))</f>
        <v>-</v>
      </c>
      <c r="K25" s="481" t="str">
        <f>IF(K10="-","-",SUMPRODUCT($D10:K10,$D14:K14))</f>
        <v>-</v>
      </c>
      <c r="L25" s="481" t="str">
        <f>IF(L10="-","-",SUMPRODUCT($D10:L10,$D14:L14))</f>
        <v>-</v>
      </c>
      <c r="M25" s="481" t="str">
        <f>IF(M10="-","-",SUMPRODUCT($D10:M10,$D14:M14))</f>
        <v>-</v>
      </c>
      <c r="N25" s="481" t="str">
        <f>IF(N10="-","-",SUMPRODUCT($D10:N10,$D14:N14))</f>
        <v>-</v>
      </c>
      <c r="O25" s="481" t="str">
        <f>IF(O10="-","-",SUMPRODUCT($D10:O10,$D14:O14))</f>
        <v>-</v>
      </c>
      <c r="P25" s="482"/>
    </row>
    <row r="26" spans="3:30" x14ac:dyDescent="0.25">
      <c r="C26" s="467" t="s">
        <v>561</v>
      </c>
      <c r="D26" s="470">
        <f>IFERROR(D22/D18,"-")</f>
        <v>0.7419090438536784</v>
      </c>
      <c r="E26" s="470">
        <f t="shared" ref="E26:O26" si="7">IFERROR(E22/E18,"-")</f>
        <v>0.77819106850417763</v>
      </c>
      <c r="F26" s="470">
        <f t="shared" si="7"/>
        <v>0.74312171124423454</v>
      </c>
      <c r="G26" s="470">
        <f t="shared" si="7"/>
        <v>0.73471546150227662</v>
      </c>
      <c r="H26" s="470" t="str">
        <f t="shared" si="7"/>
        <v>-</v>
      </c>
      <c r="I26" s="470" t="str">
        <f t="shared" si="7"/>
        <v>-</v>
      </c>
      <c r="J26" s="470" t="str">
        <f t="shared" si="7"/>
        <v>-</v>
      </c>
      <c r="K26" s="470" t="str">
        <f t="shared" si="7"/>
        <v>-</v>
      </c>
      <c r="L26" s="470" t="str">
        <f t="shared" si="7"/>
        <v>-</v>
      </c>
      <c r="M26" s="470" t="str">
        <f t="shared" si="7"/>
        <v>-</v>
      </c>
      <c r="N26" s="470" t="str">
        <f t="shared" si="7"/>
        <v>-</v>
      </c>
      <c r="O26" s="470" t="str">
        <f t="shared" si="7"/>
        <v>-</v>
      </c>
      <c r="P26" s="471">
        <f>P11</f>
        <v>0.73471546150227662</v>
      </c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</row>
    <row r="27" spans="3:30" x14ac:dyDescent="0.25">
      <c r="C27" s="465" t="s">
        <v>562</v>
      </c>
      <c r="D27" s="472">
        <f>IFERROR(D23/D19,"-")</f>
        <v>0.71112278468833778</v>
      </c>
      <c r="E27" s="472">
        <f t="shared" ref="E27:O27" si="8">IFERROR(E23/E19,"-")</f>
        <v>0.7114385155832289</v>
      </c>
      <c r="F27" s="472">
        <f t="shared" si="8"/>
        <v>0.71173085913783152</v>
      </c>
      <c r="G27" s="472">
        <f t="shared" si="8"/>
        <v>0.71220303499593707</v>
      </c>
      <c r="H27" s="472" t="str">
        <f t="shared" si="8"/>
        <v>-</v>
      </c>
      <c r="I27" s="472" t="str">
        <f t="shared" si="8"/>
        <v>-</v>
      </c>
      <c r="J27" s="472" t="str">
        <f t="shared" si="8"/>
        <v>-</v>
      </c>
      <c r="K27" s="472" t="str">
        <f t="shared" si="8"/>
        <v>-</v>
      </c>
      <c r="L27" s="472" t="str">
        <f t="shared" si="8"/>
        <v>-</v>
      </c>
      <c r="M27" s="472" t="str">
        <f t="shared" si="8"/>
        <v>-</v>
      </c>
      <c r="N27" s="472" t="str">
        <f t="shared" si="8"/>
        <v>-</v>
      </c>
      <c r="O27" s="472" t="str">
        <f t="shared" si="8"/>
        <v>-</v>
      </c>
      <c r="P27" s="473">
        <f>P12</f>
        <v>0.71220303499593707</v>
      </c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</row>
    <row r="28" spans="3:30" x14ac:dyDescent="0.25">
      <c r="C28" s="467" t="s">
        <v>563</v>
      </c>
      <c r="D28" s="470">
        <f>IFERROR(D24/D20,"-")</f>
        <v>0.73184857407116455</v>
      </c>
      <c r="E28" s="470">
        <f t="shared" ref="E28:O28" si="9">IFERROR(E24/E20,"-")</f>
        <v>0.74892795145639235</v>
      </c>
      <c r="F28" s="470">
        <f t="shared" si="9"/>
        <v>0.72616771326910012</v>
      </c>
      <c r="G28" s="470">
        <f t="shared" si="9"/>
        <v>0.72054076473265438</v>
      </c>
      <c r="H28" s="470" t="str">
        <f t="shared" si="9"/>
        <v>-</v>
      </c>
      <c r="I28" s="470" t="str">
        <f t="shared" si="9"/>
        <v>-</v>
      </c>
      <c r="J28" s="470" t="str">
        <f t="shared" si="9"/>
        <v>-</v>
      </c>
      <c r="K28" s="470" t="str">
        <f t="shared" si="9"/>
        <v>-</v>
      </c>
      <c r="L28" s="470" t="str">
        <f t="shared" si="9"/>
        <v>-</v>
      </c>
      <c r="M28" s="470" t="str">
        <f t="shared" si="9"/>
        <v>-</v>
      </c>
      <c r="N28" s="470" t="str">
        <f t="shared" si="9"/>
        <v>-</v>
      </c>
      <c r="O28" s="470" t="str">
        <f t="shared" si="9"/>
        <v>-</v>
      </c>
      <c r="P28" s="471">
        <f>P13</f>
        <v>0.72054076473265438</v>
      </c>
    </row>
    <row r="29" spans="3:30" x14ac:dyDescent="0.25">
      <c r="C29" s="465" t="s">
        <v>564</v>
      </c>
      <c r="D29" s="472">
        <f>IFERROR(D25/D21,"-")</f>
        <v>0.70994369756448561</v>
      </c>
      <c r="E29" s="472">
        <f t="shared" ref="E29:O29" si="10">IFERROR(E25/E21,"-")</f>
        <v>0.70846734111256737</v>
      </c>
      <c r="F29" s="472">
        <f t="shared" si="10"/>
        <v>0.70751780160372391</v>
      </c>
      <c r="G29" s="472">
        <f t="shared" si="10"/>
        <v>0.70079817840343983</v>
      </c>
      <c r="H29" s="472" t="str">
        <f t="shared" si="10"/>
        <v>-</v>
      </c>
      <c r="I29" s="472" t="str">
        <f t="shared" si="10"/>
        <v>-</v>
      </c>
      <c r="J29" s="472" t="str">
        <f t="shared" si="10"/>
        <v>-</v>
      </c>
      <c r="K29" s="472" t="str">
        <f t="shared" si="10"/>
        <v>-</v>
      </c>
      <c r="L29" s="472" t="str">
        <f t="shared" si="10"/>
        <v>-</v>
      </c>
      <c r="M29" s="472" t="str">
        <f t="shared" si="10"/>
        <v>-</v>
      </c>
      <c r="N29" s="472" t="str">
        <f t="shared" si="10"/>
        <v>-</v>
      </c>
      <c r="O29" s="472" t="str">
        <f t="shared" si="10"/>
        <v>-</v>
      </c>
      <c r="P29" s="473">
        <f>P14</f>
        <v>0.70079817840343983</v>
      </c>
    </row>
    <row r="30" spans="3:30" ht="15.75" thickBot="1" x14ac:dyDescent="0.3">
      <c r="C30" s="474" t="s">
        <v>637</v>
      </c>
      <c r="D30" s="475">
        <f>IF(OR(D28="",D29="-"),"-",D28-D29)</f>
        <v>2.1904876506678939E-2</v>
      </c>
      <c r="E30" s="475">
        <f t="shared" ref="E30:P30" si="11">IF(OR(E28="",E29="-"),"-",E28-E29)</f>
        <v>4.0460610343824976E-2</v>
      </c>
      <c r="F30" s="475">
        <f t="shared" si="11"/>
        <v>1.8649911665376218E-2</v>
      </c>
      <c r="G30" s="475">
        <f t="shared" si="11"/>
        <v>1.9742586329214551E-2</v>
      </c>
      <c r="H30" s="475" t="str">
        <f t="shared" si="11"/>
        <v>-</v>
      </c>
      <c r="I30" s="475" t="str">
        <f t="shared" si="11"/>
        <v>-</v>
      </c>
      <c r="J30" s="475" t="str">
        <f t="shared" si="11"/>
        <v>-</v>
      </c>
      <c r="K30" s="475" t="str">
        <f t="shared" si="11"/>
        <v>-</v>
      </c>
      <c r="L30" s="475" t="str">
        <f t="shared" si="11"/>
        <v>-</v>
      </c>
      <c r="M30" s="475" t="str">
        <f t="shared" si="11"/>
        <v>-</v>
      </c>
      <c r="N30" s="475" t="str">
        <f t="shared" si="11"/>
        <v>-</v>
      </c>
      <c r="O30" s="475" t="str">
        <f t="shared" si="11"/>
        <v>-</v>
      </c>
      <c r="P30" s="476">
        <f t="shared" si="11"/>
        <v>1.9742586329214551E-2</v>
      </c>
    </row>
    <row r="31" spans="3:30" ht="15.75" thickBot="1" x14ac:dyDescent="0.3"/>
    <row r="32" spans="3:30" ht="24" thickBot="1" x14ac:dyDescent="0.4">
      <c r="C32" s="479" t="s">
        <v>644</v>
      </c>
    </row>
    <row r="33" spans="3:16" x14ac:dyDescent="0.25">
      <c r="C33" s="461" t="s">
        <v>633</v>
      </c>
      <c r="D33" s="462">
        <f>D$6</f>
        <v>45292</v>
      </c>
      <c r="E33" s="462">
        <f t="shared" ref="E33:O33" si="12">E$6</f>
        <v>45323</v>
      </c>
      <c r="F33" s="462">
        <f t="shared" si="12"/>
        <v>45352</v>
      </c>
      <c r="G33" s="462">
        <f t="shared" si="12"/>
        <v>45383</v>
      </c>
      <c r="H33" s="462">
        <f t="shared" si="12"/>
        <v>45413</v>
      </c>
      <c r="I33" s="462">
        <f t="shared" si="12"/>
        <v>45444</v>
      </c>
      <c r="J33" s="462">
        <f t="shared" si="12"/>
        <v>45474</v>
      </c>
      <c r="K33" s="462">
        <f t="shared" si="12"/>
        <v>45505</v>
      </c>
      <c r="L33" s="462">
        <f t="shared" si="12"/>
        <v>45536</v>
      </c>
      <c r="M33" s="462">
        <f t="shared" si="12"/>
        <v>45566</v>
      </c>
      <c r="N33" s="462">
        <f t="shared" si="12"/>
        <v>45597</v>
      </c>
      <c r="O33" s="463">
        <f t="shared" si="12"/>
        <v>45627</v>
      </c>
      <c r="P33" s="464" t="s">
        <v>18</v>
      </c>
    </row>
    <row r="34" spans="3:16" x14ac:dyDescent="0.25">
      <c r="C34" s="465" t="s">
        <v>634</v>
      </c>
      <c r="D34" s="229" cm="1">
        <f t="array" ref="D34:O34">TRANSPOSE(Table25[Ult NEP])</f>
        <v>655492.86</v>
      </c>
      <c r="E34" s="229">
        <v>901837.75</v>
      </c>
      <c r="F34" s="229">
        <v>904655.68</v>
      </c>
      <c r="G34" s="229">
        <v>282080.21000000002</v>
      </c>
      <c r="H34" s="229" t="str">
        <v>-</v>
      </c>
      <c r="I34" s="229" t="str">
        <v>-</v>
      </c>
      <c r="J34" s="229" t="str">
        <v>-</v>
      </c>
      <c r="K34" s="229" t="str">
        <v>-</v>
      </c>
      <c r="L34" s="229" t="str">
        <v>-</v>
      </c>
      <c r="M34" s="229" t="str">
        <v>-</v>
      </c>
      <c r="N34" s="229" t="str">
        <v>-</v>
      </c>
      <c r="O34" s="229" t="str">
        <v>-</v>
      </c>
      <c r="P34" s="466">
        <f>SUM(D34:O34)</f>
        <v>2744066.5</v>
      </c>
    </row>
    <row r="35" spans="3:16" x14ac:dyDescent="0.25">
      <c r="C35" s="467" t="s">
        <v>635</v>
      </c>
      <c r="D35" s="435" cm="1">
        <f t="array" ref="D35:O35">TRANSPOSE(Table25[Ult NUEP])</f>
        <v>1480746.1125653973</v>
      </c>
      <c r="E35" s="468">
        <v>3011581.6861059638</v>
      </c>
      <c r="F35" s="468">
        <v>5570851.7026776345</v>
      </c>
      <c r="G35" s="468">
        <v>5693797.7472927459</v>
      </c>
      <c r="H35" s="468" t="str">
        <v>-</v>
      </c>
      <c r="I35" s="468" t="str">
        <v>-</v>
      </c>
      <c r="J35" s="468" t="str">
        <v>-</v>
      </c>
      <c r="K35" s="468" t="str">
        <v>-</v>
      </c>
      <c r="L35" s="468" t="str">
        <v>-</v>
      </c>
      <c r="M35" s="468" t="str">
        <v>-</v>
      </c>
      <c r="N35" s="468" t="str">
        <v>-</v>
      </c>
      <c r="O35" s="468" t="str">
        <v>-</v>
      </c>
      <c r="P35" s="469">
        <f t="shared" ref="P35:P36" si="13">SUM(D35:O35)</f>
        <v>15756977.248641741</v>
      </c>
    </row>
    <row r="36" spans="3:16" x14ac:dyDescent="0.25">
      <c r="C36" s="465" t="s">
        <v>636</v>
      </c>
      <c r="D36" s="229" cm="1">
        <f t="array" ref="D36:O36">TRANSPOSE(Table25[Ult NWP])</f>
        <v>2136238.9725653972</v>
      </c>
      <c r="E36" s="229">
        <v>3913419.4361059638</v>
      </c>
      <c r="F36" s="229">
        <v>6475507.3826776342</v>
      </c>
      <c r="G36" s="229">
        <v>5975877.9572927458</v>
      </c>
      <c r="H36" s="229" t="str">
        <v>-</v>
      </c>
      <c r="I36" s="229" t="str">
        <v>-</v>
      </c>
      <c r="J36" s="229" t="str">
        <v>-</v>
      </c>
      <c r="K36" s="229" t="str">
        <v>-</v>
      </c>
      <c r="L36" s="229" t="str">
        <v>-</v>
      </c>
      <c r="M36" s="229" t="str">
        <v>-</v>
      </c>
      <c r="N36" s="229" t="str">
        <v>-</v>
      </c>
      <c r="O36" s="229" t="str">
        <v>-</v>
      </c>
      <c r="P36" s="466">
        <f t="shared" si="13"/>
        <v>18501043.748641741</v>
      </c>
    </row>
    <row r="37" spans="3:16" hidden="1" x14ac:dyDescent="0.25">
      <c r="C37" s="480" t="s">
        <v>565</v>
      </c>
      <c r="D37" s="481" cm="1">
        <f t="array" ref="D37:O37">TRANSPOSE(Table25[Total Target NWP])</f>
        <v>1235960.0527141613</v>
      </c>
      <c r="E37" s="481">
        <v>3209687.704195444</v>
      </c>
      <c r="F37" s="481">
        <v>5072820.0524703469</v>
      </c>
      <c r="G37" s="481">
        <v>5239479.5187660325</v>
      </c>
      <c r="H37" s="481" t="str">
        <v>-</v>
      </c>
      <c r="I37" s="481" t="str">
        <v>-</v>
      </c>
      <c r="J37" s="481" t="str">
        <v>-</v>
      </c>
      <c r="K37" s="481" t="str">
        <v>-</v>
      </c>
      <c r="L37" s="481" t="str">
        <v>-</v>
      </c>
      <c r="M37" s="481" t="str">
        <v>-</v>
      </c>
      <c r="N37" s="481" t="str">
        <v>-</v>
      </c>
      <c r="O37" s="481" t="str">
        <v>-</v>
      </c>
      <c r="P37" s="482"/>
    </row>
    <row r="38" spans="3:16" x14ac:dyDescent="0.25">
      <c r="C38" s="467" t="s">
        <v>561</v>
      </c>
      <c r="D38" s="470" cm="1">
        <f t="array" ref="D38:O38">TRANSPOSE(Table25[Net Earned Ultimate Loss Ratio])</f>
        <v>0.87349201188098435</v>
      </c>
      <c r="E38" s="470">
        <v>0.62500409281460412</v>
      </c>
      <c r="F38" s="470">
        <v>0.69814525075986356</v>
      </c>
      <c r="G38" s="470">
        <v>0.57360180639536218</v>
      </c>
      <c r="H38" s="470" t="str">
        <v>-</v>
      </c>
      <c r="I38" s="470" t="str">
        <v>-</v>
      </c>
      <c r="J38" s="470" t="str">
        <v>-</v>
      </c>
      <c r="K38" s="470" t="str">
        <v>-</v>
      </c>
      <c r="L38" s="470" t="str">
        <v>-</v>
      </c>
      <c r="M38" s="470" t="str">
        <v>-</v>
      </c>
      <c r="N38" s="470" t="str">
        <v>-</v>
      </c>
      <c r="O38" s="470" t="str">
        <v>-</v>
      </c>
      <c r="P38" s="471">
        <f>SUMPRODUCT(Table25[Net Earned Ultimate Loss Ratio],Table25[Ult NEP])/P34</f>
        <v>0.70319099279447206</v>
      </c>
    </row>
    <row r="39" spans="3:16" x14ac:dyDescent="0.25">
      <c r="C39" s="465" t="s">
        <v>562</v>
      </c>
      <c r="D39" s="472" cm="1">
        <f t="array" ref="D39:O39">TRANSPOSE(Table25[Net Unearned Ultimate Loss Ratio])</f>
        <v>0.71071103325769724</v>
      </c>
      <c r="E39" s="472">
        <v>0.71132804587729959</v>
      </c>
      <c r="F39" s="472">
        <v>0.71182165597298164</v>
      </c>
      <c r="G39" s="472">
        <v>0.71222551877853968</v>
      </c>
      <c r="H39" s="472" t="str">
        <v>-</v>
      </c>
      <c r="I39" s="472" t="str">
        <v>-</v>
      </c>
      <c r="J39" s="472" t="str">
        <v>-</v>
      </c>
      <c r="K39" s="472" t="str">
        <v>-</v>
      </c>
      <c r="L39" s="472" t="str">
        <v>-</v>
      </c>
      <c r="M39" s="472" t="str">
        <v>-</v>
      </c>
      <c r="N39" s="472" t="str">
        <v>-</v>
      </c>
      <c r="O39" s="472" t="str">
        <v>-</v>
      </c>
      <c r="P39" s="473">
        <f>IFERROR(((P40*P36)-(P38*P34))/P35,"-")</f>
        <v>0.71176888035194774</v>
      </c>
    </row>
    <row r="40" spans="3:16" x14ac:dyDescent="0.25">
      <c r="C40" s="467" t="s">
        <v>563</v>
      </c>
      <c r="D40" s="470" cm="1">
        <f t="array" ref="D40:O40">TRANSPOSE(Table25[Net Ultimate Loss Ratio])</f>
        <v>0.76065945691333348</v>
      </c>
      <c r="E40" s="470">
        <v>0.6914349061634969</v>
      </c>
      <c r="F40" s="470">
        <v>0.70991100450941824</v>
      </c>
      <c r="G40" s="470">
        <v>0.70568204413272528</v>
      </c>
      <c r="H40" s="470" t="str">
        <v>-</v>
      </c>
      <c r="I40" s="470" t="str">
        <v>-</v>
      </c>
      <c r="J40" s="470" t="str">
        <v>-</v>
      </c>
      <c r="K40" s="470" t="str">
        <v>-</v>
      </c>
      <c r="L40" s="470" t="str">
        <v>-</v>
      </c>
      <c r="M40" s="470" t="str">
        <v>-</v>
      </c>
      <c r="N40" s="470" t="str">
        <v>-</v>
      </c>
      <c r="O40" s="470" t="str">
        <v>-</v>
      </c>
      <c r="P40" s="471">
        <f>SUMPRODUCT(Table25[NWP],Table25[Total NLR (Net XOL)])/P36</f>
        <v>0.71049661192174285</v>
      </c>
    </row>
    <row r="41" spans="3:16" x14ac:dyDescent="0.25">
      <c r="C41" s="465" t="s">
        <v>564</v>
      </c>
      <c r="D41" s="472" cm="1">
        <f t="array" ref="D41:O41">TRANSPOSE(Table25[Total Target Loss Ratio])</f>
        <v>0.70345749358095044</v>
      </c>
      <c r="E41" s="472">
        <v>0.70345749358095044</v>
      </c>
      <c r="F41" s="472">
        <v>0.70345749358095044</v>
      </c>
      <c r="G41" s="472">
        <v>0.67640143613552928</v>
      </c>
      <c r="H41" s="472" t="str">
        <v>-</v>
      </c>
      <c r="I41" s="472" t="str">
        <v>-</v>
      </c>
      <c r="J41" s="472" t="str">
        <v>-</v>
      </c>
      <c r="K41" s="472" t="str">
        <v>-</v>
      </c>
      <c r="L41" s="472" t="str">
        <v>-</v>
      </c>
      <c r="M41" s="472" t="str">
        <v>-</v>
      </c>
      <c r="N41" s="472" t="str">
        <v>-</v>
      </c>
      <c r="O41" s="472" t="str">
        <v>-</v>
      </c>
      <c r="P41" s="473">
        <f>SUMPRODUCT(Table25[Total Target Loss Ratio],Table25[Total Target NWP])/SUM(Table25[Total Target NWP])</f>
        <v>0.69385184479445006</v>
      </c>
    </row>
    <row r="42" spans="3:16" ht="15.75" thickBot="1" x14ac:dyDescent="0.3">
      <c r="C42" s="474" t="s">
        <v>637</v>
      </c>
      <c r="D42" s="475">
        <f>IF(OR(D40="",D40="-"),"-",D40-D41)</f>
        <v>5.7201963332383032E-2</v>
      </c>
      <c r="E42" s="475">
        <f t="shared" ref="E42" si="14">IF(OR(E40="",E40="-"),"-",E40-E41)</f>
        <v>-1.2022587417453545E-2</v>
      </c>
      <c r="F42" s="475">
        <f t="shared" ref="F42" si="15">IF(OR(F40="",F40="-"),"-",F40-F41)</f>
        <v>6.4535109284677983E-3</v>
      </c>
      <c r="G42" s="475">
        <f t="shared" ref="G42" si="16">IF(OR(G40="",G40="-"),"-",G40-G41)</f>
        <v>2.9280607997196006E-2</v>
      </c>
      <c r="H42" s="475" t="str">
        <f t="shared" ref="H42" si="17">IF(OR(H40="",H40="-"),"-",H40-H41)</f>
        <v>-</v>
      </c>
      <c r="I42" s="475" t="str">
        <f t="shared" ref="I42" si="18">IF(OR(I40="",I40="-"),"-",I40-I41)</f>
        <v>-</v>
      </c>
      <c r="J42" s="475" t="str">
        <f t="shared" ref="J42" si="19">IF(OR(J40="",J40="-"),"-",J40-J41)</f>
        <v>-</v>
      </c>
      <c r="K42" s="475" t="str">
        <f t="shared" ref="K42" si="20">IF(OR(K40="",K40="-"),"-",K40-K41)</f>
        <v>-</v>
      </c>
      <c r="L42" s="475" t="str">
        <f t="shared" ref="L42" si="21">IF(OR(L40="",L40="-"),"-",L40-L41)</f>
        <v>-</v>
      </c>
      <c r="M42" s="475" t="str">
        <f t="shared" ref="M42" si="22">IF(OR(M40="",M40="-"),"-",M40-M41)</f>
        <v>-</v>
      </c>
      <c r="N42" s="475" t="str">
        <f t="shared" ref="N42" si="23">IF(OR(N40="",N40="-"),"-",N40-N41)</f>
        <v>-</v>
      </c>
      <c r="O42" s="475" t="str">
        <f t="shared" ref="O42" si="24">IF(OR(O40="",O40="-"),"-",O40-O41)</f>
        <v>-</v>
      </c>
      <c r="P42" s="476">
        <f t="shared" ref="P42" si="25">IF(OR(P40="",P40="-"),"-",P40-P41)</f>
        <v>1.6644767127292792E-2</v>
      </c>
    </row>
    <row r="43" spans="3:16" ht="15.75" thickBot="1" x14ac:dyDescent="0.3"/>
    <row r="44" spans="3:16" x14ac:dyDescent="0.25">
      <c r="C44" s="461" t="s">
        <v>638</v>
      </c>
      <c r="D44" s="462">
        <f>D$6</f>
        <v>45292</v>
      </c>
      <c r="E44" s="462">
        <f t="shared" ref="E44:O44" si="26">E$6</f>
        <v>45323</v>
      </c>
      <c r="F44" s="462">
        <f t="shared" si="26"/>
        <v>45352</v>
      </c>
      <c r="G44" s="462">
        <f t="shared" si="26"/>
        <v>45383</v>
      </c>
      <c r="H44" s="462">
        <f t="shared" si="26"/>
        <v>45413</v>
      </c>
      <c r="I44" s="462">
        <f t="shared" si="26"/>
        <v>45444</v>
      </c>
      <c r="J44" s="462">
        <f t="shared" si="26"/>
        <v>45474</v>
      </c>
      <c r="K44" s="462">
        <f t="shared" si="26"/>
        <v>45505</v>
      </c>
      <c r="L44" s="462">
        <f t="shared" si="26"/>
        <v>45536</v>
      </c>
      <c r="M44" s="462">
        <f t="shared" si="26"/>
        <v>45566</v>
      </c>
      <c r="N44" s="462">
        <f t="shared" si="26"/>
        <v>45597</v>
      </c>
      <c r="O44" s="463">
        <f t="shared" si="26"/>
        <v>45627</v>
      </c>
      <c r="P44" s="464" t="str">
        <f>P33</f>
        <v>Total</v>
      </c>
    </row>
    <row r="45" spans="3:16" x14ac:dyDescent="0.25">
      <c r="C45" s="465" t="s">
        <v>634</v>
      </c>
      <c r="D45" s="229">
        <f>D34</f>
        <v>655492.86</v>
      </c>
      <c r="E45" s="229">
        <f>IF(E34="-","-",D45+E34)</f>
        <v>1557330.6099999999</v>
      </c>
      <c r="F45" s="229">
        <f t="shared" ref="F45:O45" si="27">IF(F34="-","-",E45+F34)</f>
        <v>2461986.29</v>
      </c>
      <c r="G45" s="229">
        <f t="shared" si="27"/>
        <v>2744066.5</v>
      </c>
      <c r="H45" s="229" t="str">
        <f t="shared" si="27"/>
        <v>-</v>
      </c>
      <c r="I45" s="229" t="str">
        <f t="shared" si="27"/>
        <v>-</v>
      </c>
      <c r="J45" s="229" t="str">
        <f t="shared" si="27"/>
        <v>-</v>
      </c>
      <c r="K45" s="229" t="str">
        <f t="shared" si="27"/>
        <v>-</v>
      </c>
      <c r="L45" s="229" t="str">
        <f t="shared" si="27"/>
        <v>-</v>
      </c>
      <c r="M45" s="229" t="str">
        <f t="shared" si="27"/>
        <v>-</v>
      </c>
      <c r="N45" s="229" t="str">
        <f t="shared" si="27"/>
        <v>-</v>
      </c>
      <c r="O45" s="229" t="str">
        <f t="shared" si="27"/>
        <v>-</v>
      </c>
      <c r="P45" s="466">
        <f>P34</f>
        <v>2744066.5</v>
      </c>
    </row>
    <row r="46" spans="3:16" x14ac:dyDescent="0.25">
      <c r="C46" s="467" t="s">
        <v>635</v>
      </c>
      <c r="D46" s="435">
        <f>D35</f>
        <v>1480746.1125653973</v>
      </c>
      <c r="E46" s="468">
        <f t="shared" ref="E46:O46" si="28">IF(E35="-","-",D46+E35)</f>
        <v>4492327.7986713611</v>
      </c>
      <c r="F46" s="468">
        <f t="shared" si="28"/>
        <v>10063179.501348995</v>
      </c>
      <c r="G46" s="468">
        <f t="shared" si="28"/>
        <v>15756977.248641741</v>
      </c>
      <c r="H46" s="468" t="str">
        <f t="shared" si="28"/>
        <v>-</v>
      </c>
      <c r="I46" s="468" t="str">
        <f t="shared" si="28"/>
        <v>-</v>
      </c>
      <c r="J46" s="468" t="str">
        <f t="shared" si="28"/>
        <v>-</v>
      </c>
      <c r="K46" s="468" t="str">
        <f t="shared" si="28"/>
        <v>-</v>
      </c>
      <c r="L46" s="468" t="str">
        <f t="shared" si="28"/>
        <v>-</v>
      </c>
      <c r="M46" s="468" t="str">
        <f t="shared" si="28"/>
        <v>-</v>
      </c>
      <c r="N46" s="468" t="str">
        <f t="shared" si="28"/>
        <v>-</v>
      </c>
      <c r="O46" s="468" t="str">
        <f t="shared" si="28"/>
        <v>-</v>
      </c>
      <c r="P46" s="469">
        <f>P35</f>
        <v>15756977.248641741</v>
      </c>
    </row>
    <row r="47" spans="3:16" x14ac:dyDescent="0.25">
      <c r="C47" s="465" t="s">
        <v>636</v>
      </c>
      <c r="D47" s="229">
        <f>D36</f>
        <v>2136238.9725653972</v>
      </c>
      <c r="E47" s="229">
        <f t="shared" ref="E47:O47" si="29">IF(E36="-","-",D47+E36)</f>
        <v>6049658.4086713605</v>
      </c>
      <c r="F47" s="229">
        <f t="shared" si="29"/>
        <v>12525165.791348994</v>
      </c>
      <c r="G47" s="229">
        <f t="shared" si="29"/>
        <v>18501043.748641741</v>
      </c>
      <c r="H47" s="229" t="str">
        <f t="shared" si="29"/>
        <v>-</v>
      </c>
      <c r="I47" s="229" t="str">
        <f t="shared" si="29"/>
        <v>-</v>
      </c>
      <c r="J47" s="229" t="str">
        <f t="shared" si="29"/>
        <v>-</v>
      </c>
      <c r="K47" s="229" t="str">
        <f t="shared" si="29"/>
        <v>-</v>
      </c>
      <c r="L47" s="229" t="str">
        <f t="shared" si="29"/>
        <v>-</v>
      </c>
      <c r="M47" s="229" t="str">
        <f t="shared" si="29"/>
        <v>-</v>
      </c>
      <c r="N47" s="229" t="str">
        <f t="shared" si="29"/>
        <v>-</v>
      </c>
      <c r="O47" s="229" t="str">
        <f t="shared" si="29"/>
        <v>-</v>
      </c>
      <c r="P47" s="466">
        <f>P36</f>
        <v>18501043.748641741</v>
      </c>
    </row>
    <row r="48" spans="3:16" hidden="1" x14ac:dyDescent="0.25">
      <c r="C48" s="480" t="s">
        <v>565</v>
      </c>
      <c r="D48" s="481">
        <f>D37</f>
        <v>1235960.0527141613</v>
      </c>
      <c r="E48" s="481">
        <f>IF(E37="-","-",D48+E37)</f>
        <v>4445647.7569096051</v>
      </c>
      <c r="F48" s="481">
        <f t="shared" ref="F48:O48" si="30">IF(F37="-","-",E48+F37)</f>
        <v>9518467.809379952</v>
      </c>
      <c r="G48" s="481">
        <f t="shared" si="30"/>
        <v>14757947.328145985</v>
      </c>
      <c r="H48" s="481" t="str">
        <f t="shared" si="30"/>
        <v>-</v>
      </c>
      <c r="I48" s="481" t="str">
        <f t="shared" si="30"/>
        <v>-</v>
      </c>
      <c r="J48" s="481" t="str">
        <f t="shared" si="30"/>
        <v>-</v>
      </c>
      <c r="K48" s="481" t="str">
        <f t="shared" si="30"/>
        <v>-</v>
      </c>
      <c r="L48" s="481" t="str">
        <f t="shared" si="30"/>
        <v>-</v>
      </c>
      <c r="M48" s="481" t="str">
        <f t="shared" si="30"/>
        <v>-</v>
      </c>
      <c r="N48" s="481" t="str">
        <f t="shared" si="30"/>
        <v>-</v>
      </c>
      <c r="O48" s="481" t="str">
        <f t="shared" si="30"/>
        <v>-</v>
      </c>
      <c r="P48" s="482"/>
    </row>
    <row r="49" spans="3:16" hidden="1" x14ac:dyDescent="0.25">
      <c r="C49" s="480" t="s">
        <v>648</v>
      </c>
      <c r="D49" s="481">
        <f>IF(D34="-","-",SUMPRODUCT($D34:D34,$D38:D38))</f>
        <v>572567.77705502044</v>
      </c>
      <c r="E49" s="481">
        <f>IF(E34="-","-",SUMPRODUCT($D34:E34,$D38:E38))</f>
        <v>1136220.0618597344</v>
      </c>
      <c r="F49" s="481">
        <f>IF(F34="-","-",SUMPRODUCT($D34:F34,$D38:F38))</f>
        <v>1767801.1284246692</v>
      </c>
      <c r="G49" s="481">
        <f>IF(G34="-","-",SUMPRODUCT($D34:G34,$D38:G38))</f>
        <v>1929602.8464290523</v>
      </c>
      <c r="H49" s="481" t="str">
        <f>IF(H34="-","-",SUMPRODUCT($D34:H34,$D38:H38))</f>
        <v>-</v>
      </c>
      <c r="I49" s="481" t="str">
        <f>IF(I34="-","-",SUMPRODUCT($D34:I34,$D38:I38))</f>
        <v>-</v>
      </c>
      <c r="J49" s="481" t="str">
        <f>IF(J34="-","-",SUMPRODUCT($D34:J34,$D38:J38))</f>
        <v>-</v>
      </c>
      <c r="K49" s="481" t="str">
        <f>IF(K34="-","-",SUMPRODUCT($D34:K34,$D38:K38))</f>
        <v>-</v>
      </c>
      <c r="L49" s="481" t="str">
        <f>IF(L34="-","-",SUMPRODUCT($D34:L34,$D38:L38))</f>
        <v>-</v>
      </c>
      <c r="M49" s="481" t="str">
        <f>IF(M34="-","-",SUMPRODUCT($D34:M34,$D38:M38))</f>
        <v>-</v>
      </c>
      <c r="N49" s="481" t="str">
        <f>IF(N34="-","-",SUMPRODUCT($D34:N34,$D38:N38))</f>
        <v>-</v>
      </c>
      <c r="O49" s="481" t="str">
        <f>IF(O34="-","-",SUMPRODUCT($D34:O34,$D38:O38))</f>
        <v>-</v>
      </c>
      <c r="P49" s="482"/>
    </row>
    <row r="50" spans="3:16" hidden="1" x14ac:dyDescent="0.25">
      <c r="C50" s="480" t="s">
        <v>649</v>
      </c>
      <c r="D50" s="481">
        <f>IF(D35="-","-",SUMPRODUCT($D35:D35,$D39:D39))</f>
        <v>1052382.599653672</v>
      </c>
      <c r="E50" s="481">
        <f>IF(E35="-","-",SUMPRODUCT($D35:E35,$D39:E39))</f>
        <v>3194605.1154312901</v>
      </c>
      <c r="F50" s="481">
        <f>IF(F35="-","-",SUMPRODUCT($D35:F35,$D39:F39))</f>
        <v>7160057.9996111877</v>
      </c>
      <c r="G50" s="481">
        <f>IF(G35="-","-",SUMPRODUCT($D35:G35,$D39:G39))</f>
        <v>11215326.053996844</v>
      </c>
      <c r="H50" s="481" t="str">
        <f>IF(H35="-","-",SUMPRODUCT($D35:H35,$D39:H39))</f>
        <v>-</v>
      </c>
      <c r="I50" s="481" t="str">
        <f>IF(I35="-","-",SUMPRODUCT($D35:I35,$D39:I39))</f>
        <v>-</v>
      </c>
      <c r="J50" s="481" t="str">
        <f>IF(J35="-","-",SUMPRODUCT($D35:J35,$D39:J39))</f>
        <v>-</v>
      </c>
      <c r="K50" s="481" t="str">
        <f>IF(K35="-","-",SUMPRODUCT($D35:K35,$D39:K39))</f>
        <v>-</v>
      </c>
      <c r="L50" s="481" t="str">
        <f>IF(L35="-","-",SUMPRODUCT($D35:L35,$D39:L39))</f>
        <v>-</v>
      </c>
      <c r="M50" s="481" t="str">
        <f>IF(M35="-","-",SUMPRODUCT($D35:M35,$D39:M39))</f>
        <v>-</v>
      </c>
      <c r="N50" s="481" t="str">
        <f>IF(N35="-","-",SUMPRODUCT($D35:N35,$D39:N39))</f>
        <v>-</v>
      </c>
      <c r="O50" s="481" t="str">
        <f>IF(O35="-","-",SUMPRODUCT($D35:O35,$D39:O39))</f>
        <v>-</v>
      </c>
      <c r="P50" s="482"/>
    </row>
    <row r="51" spans="3:16" hidden="1" x14ac:dyDescent="0.25">
      <c r="C51" s="480" t="s">
        <v>650</v>
      </c>
      <c r="D51" s="481">
        <f>IF(D36="-","-",SUMPRODUCT($D36:D36,$D40:D40))</f>
        <v>1624950.3767086924</v>
      </c>
      <c r="E51" s="481">
        <f>IF(E36="-","-",SUMPRODUCT($D36:E36,$D40:E40))</f>
        <v>4330825.1772910245</v>
      </c>
      <c r="F51" s="481">
        <f>IF(F36="-","-",SUMPRODUCT($D36:F36,$D40:F40))</f>
        <v>8927859.1280358583</v>
      </c>
      <c r="G51" s="481">
        <f>IF(G36="-","-",SUMPRODUCT($D36:G36,$D40:G40))</f>
        <v>13144928.900425898</v>
      </c>
      <c r="H51" s="481" t="str">
        <f>IF(H36="-","-",SUMPRODUCT($D36:H36,$D40:H40))</f>
        <v>-</v>
      </c>
      <c r="I51" s="481" t="str">
        <f>IF(I36="-","-",SUMPRODUCT($D36:I36,$D40:I40))</f>
        <v>-</v>
      </c>
      <c r="J51" s="481" t="str">
        <f>IF(J36="-","-",SUMPRODUCT($D36:J36,$D40:J40))</f>
        <v>-</v>
      </c>
      <c r="K51" s="481" t="str">
        <f>IF(K36="-","-",SUMPRODUCT($D36:K36,$D40:K40))</f>
        <v>-</v>
      </c>
      <c r="L51" s="481" t="str">
        <f>IF(L36="-","-",SUMPRODUCT($D36:L36,$D40:L40))</f>
        <v>-</v>
      </c>
      <c r="M51" s="481" t="str">
        <f>IF(M36="-","-",SUMPRODUCT($D36:M36,$D40:M40))</f>
        <v>-</v>
      </c>
      <c r="N51" s="481" t="str">
        <f>IF(N36="-","-",SUMPRODUCT($D36:N36,$D40:N40))</f>
        <v>-</v>
      </c>
      <c r="O51" s="481" t="str">
        <f>IF(O36="-","-",SUMPRODUCT($D36:O36,$D40:O40))</f>
        <v>-</v>
      </c>
      <c r="P51" s="482"/>
    </row>
    <row r="52" spans="3:16" hidden="1" x14ac:dyDescent="0.25">
      <c r="C52" s="480" t="s">
        <v>651</v>
      </c>
      <c r="D52" s="481">
        <f>IF(D37="-","-",SUMPRODUCT($D37:D37,$D41:D41))</f>
        <v>869445.36084848328</v>
      </c>
      <c r="E52" s="481">
        <f>IF(E37="-","-",SUMPRODUCT($D37:E37,$D41:E41))</f>
        <v>3127324.2284194054</v>
      </c>
      <c r="F52" s="481">
        <f>IF(F37="-","-",SUMPRODUCT($D37:F37,$D41:F41))</f>
        <v>6695837.5079173818</v>
      </c>
      <c r="G52" s="481">
        <f>IF(G37="-","-",SUMPRODUCT($D37:G37,$D41:G41))</f>
        <v>10239828.979013417</v>
      </c>
      <c r="H52" s="481" t="str">
        <f>IF(H37="-","-",SUMPRODUCT($D37:H37,$D41:H41))</f>
        <v>-</v>
      </c>
      <c r="I52" s="481" t="str">
        <f>IF(I37="-","-",SUMPRODUCT($D37:I37,$D41:I41))</f>
        <v>-</v>
      </c>
      <c r="J52" s="481" t="str">
        <f>IF(J37="-","-",SUMPRODUCT($D37:J37,$D41:J41))</f>
        <v>-</v>
      </c>
      <c r="K52" s="481" t="str">
        <f>IF(K37="-","-",SUMPRODUCT($D37:K37,$D41:K41))</f>
        <v>-</v>
      </c>
      <c r="L52" s="481" t="str">
        <f>IF(L37="-","-",SUMPRODUCT($D37:L37,$D41:L41))</f>
        <v>-</v>
      </c>
      <c r="M52" s="481" t="str">
        <f>IF(M37="-","-",SUMPRODUCT($D37:M37,$D41:M41))</f>
        <v>-</v>
      </c>
      <c r="N52" s="481" t="str">
        <f>IF(N37="-","-",SUMPRODUCT($D37:N37,$D41:N41))</f>
        <v>-</v>
      </c>
      <c r="O52" s="481" t="str">
        <f>IF(O37="-","-",SUMPRODUCT($D37:O37,$D41:O41))</f>
        <v>-</v>
      </c>
      <c r="P52" s="482"/>
    </row>
    <row r="53" spans="3:16" x14ac:dyDescent="0.25">
      <c r="C53" s="467" t="s">
        <v>561</v>
      </c>
      <c r="D53" s="470">
        <f>IFERROR(D49/D45,"-")</f>
        <v>0.87349201188098446</v>
      </c>
      <c r="E53" s="470">
        <f t="shared" ref="E53:O53" si="31">IFERROR(E49/E45,"-")</f>
        <v>0.72959463749302045</v>
      </c>
      <c r="F53" s="470">
        <f t="shared" si="31"/>
        <v>0.71803857544010496</v>
      </c>
      <c r="G53" s="470">
        <f t="shared" si="31"/>
        <v>0.70319099279447206</v>
      </c>
      <c r="H53" s="470" t="str">
        <f t="shared" si="31"/>
        <v>-</v>
      </c>
      <c r="I53" s="470" t="str">
        <f t="shared" si="31"/>
        <v>-</v>
      </c>
      <c r="J53" s="470" t="str">
        <f t="shared" si="31"/>
        <v>-</v>
      </c>
      <c r="K53" s="470" t="str">
        <f t="shared" si="31"/>
        <v>-</v>
      </c>
      <c r="L53" s="470" t="str">
        <f t="shared" si="31"/>
        <v>-</v>
      </c>
      <c r="M53" s="470" t="str">
        <f t="shared" si="31"/>
        <v>-</v>
      </c>
      <c r="N53" s="470" t="str">
        <f t="shared" si="31"/>
        <v>-</v>
      </c>
      <c r="O53" s="470" t="str">
        <f t="shared" si="31"/>
        <v>-</v>
      </c>
      <c r="P53" s="471">
        <f>P38</f>
        <v>0.70319099279447206</v>
      </c>
    </row>
    <row r="54" spans="3:16" x14ac:dyDescent="0.25">
      <c r="C54" s="465" t="s">
        <v>562</v>
      </c>
      <c r="D54" s="472">
        <f>IFERROR(D50/D46,"-")</f>
        <v>0.71071103325769724</v>
      </c>
      <c r="E54" s="472">
        <f t="shared" ref="E54:O54" si="32">IFERROR(E50/E46,"-")</f>
        <v>0.71112466823461062</v>
      </c>
      <c r="F54" s="472">
        <f t="shared" si="32"/>
        <v>0.71151051202568372</v>
      </c>
      <c r="G54" s="472">
        <f t="shared" si="32"/>
        <v>0.71176888035194763</v>
      </c>
      <c r="H54" s="472" t="str">
        <f t="shared" si="32"/>
        <v>-</v>
      </c>
      <c r="I54" s="472" t="str">
        <f t="shared" si="32"/>
        <v>-</v>
      </c>
      <c r="J54" s="472" t="str">
        <f t="shared" si="32"/>
        <v>-</v>
      </c>
      <c r="K54" s="472" t="str">
        <f t="shared" si="32"/>
        <v>-</v>
      </c>
      <c r="L54" s="472" t="str">
        <f t="shared" si="32"/>
        <v>-</v>
      </c>
      <c r="M54" s="472" t="str">
        <f t="shared" si="32"/>
        <v>-</v>
      </c>
      <c r="N54" s="472" t="str">
        <f t="shared" si="32"/>
        <v>-</v>
      </c>
      <c r="O54" s="472" t="str">
        <f t="shared" si="32"/>
        <v>-</v>
      </c>
      <c r="P54" s="473">
        <f>P39</f>
        <v>0.71176888035194774</v>
      </c>
    </row>
    <row r="55" spans="3:16" x14ac:dyDescent="0.25">
      <c r="C55" s="467" t="s">
        <v>563</v>
      </c>
      <c r="D55" s="470">
        <f>IFERROR(D51/D47,"-")</f>
        <v>0.76065945691333348</v>
      </c>
      <c r="E55" s="470">
        <f t="shared" ref="E55:O55" si="33">IFERROR(E51/E47,"-")</f>
        <v>0.71587929180982801</v>
      </c>
      <c r="F55" s="470">
        <f t="shared" si="33"/>
        <v>0.71279368886296424</v>
      </c>
      <c r="G55" s="470">
        <f t="shared" si="33"/>
        <v>0.71049661192174285</v>
      </c>
      <c r="H55" s="470" t="str">
        <f t="shared" si="33"/>
        <v>-</v>
      </c>
      <c r="I55" s="470" t="str">
        <f t="shared" si="33"/>
        <v>-</v>
      </c>
      <c r="J55" s="470" t="str">
        <f t="shared" si="33"/>
        <v>-</v>
      </c>
      <c r="K55" s="470" t="str">
        <f t="shared" si="33"/>
        <v>-</v>
      </c>
      <c r="L55" s="470" t="str">
        <f t="shared" si="33"/>
        <v>-</v>
      </c>
      <c r="M55" s="470" t="str">
        <f t="shared" si="33"/>
        <v>-</v>
      </c>
      <c r="N55" s="470" t="str">
        <f t="shared" si="33"/>
        <v>-</v>
      </c>
      <c r="O55" s="470" t="str">
        <f t="shared" si="33"/>
        <v>-</v>
      </c>
      <c r="P55" s="471">
        <f>P40</f>
        <v>0.71049661192174285</v>
      </c>
    </row>
    <row r="56" spans="3:16" x14ac:dyDescent="0.25">
      <c r="C56" s="465" t="s">
        <v>564</v>
      </c>
      <c r="D56" s="472">
        <f>IFERROR(D52/D48,"-")</f>
        <v>0.70345749358095044</v>
      </c>
      <c r="E56" s="472">
        <f t="shared" ref="E56:O56" si="34">IFERROR(E52/E48,"-")</f>
        <v>0.70345749358095044</v>
      </c>
      <c r="F56" s="472">
        <f t="shared" si="34"/>
        <v>0.70345749358095055</v>
      </c>
      <c r="G56" s="472">
        <f t="shared" si="34"/>
        <v>0.69385184479445006</v>
      </c>
      <c r="H56" s="472" t="str">
        <f t="shared" si="34"/>
        <v>-</v>
      </c>
      <c r="I56" s="472" t="str">
        <f t="shared" si="34"/>
        <v>-</v>
      </c>
      <c r="J56" s="472" t="str">
        <f t="shared" si="34"/>
        <v>-</v>
      </c>
      <c r="K56" s="472" t="str">
        <f t="shared" si="34"/>
        <v>-</v>
      </c>
      <c r="L56" s="472" t="str">
        <f t="shared" si="34"/>
        <v>-</v>
      </c>
      <c r="M56" s="472" t="str">
        <f t="shared" si="34"/>
        <v>-</v>
      </c>
      <c r="N56" s="472" t="str">
        <f t="shared" si="34"/>
        <v>-</v>
      </c>
      <c r="O56" s="472" t="str">
        <f t="shared" si="34"/>
        <v>-</v>
      </c>
      <c r="P56" s="473">
        <f>P41</f>
        <v>0.69385184479445006</v>
      </c>
    </row>
    <row r="57" spans="3:16" ht="15.75" thickBot="1" x14ac:dyDescent="0.3">
      <c r="C57" s="474" t="s">
        <v>637</v>
      </c>
      <c r="D57" s="475">
        <f>IF(OR(D55="",D56="-"),"-",D55-D56)</f>
        <v>5.7201963332383032E-2</v>
      </c>
      <c r="E57" s="475">
        <f t="shared" ref="E57:P57" si="35">IF(OR(E55="",E56="-"),"-",E55-E56)</f>
        <v>1.2421798228877567E-2</v>
      </c>
      <c r="F57" s="475">
        <f t="shared" si="35"/>
        <v>9.3361952820136818E-3</v>
      </c>
      <c r="G57" s="475">
        <f t="shared" si="35"/>
        <v>1.6644767127292792E-2</v>
      </c>
      <c r="H57" s="475" t="str">
        <f t="shared" si="35"/>
        <v>-</v>
      </c>
      <c r="I57" s="475" t="str">
        <f t="shared" si="35"/>
        <v>-</v>
      </c>
      <c r="J57" s="475" t="str">
        <f t="shared" si="35"/>
        <v>-</v>
      </c>
      <c r="K57" s="475" t="str">
        <f t="shared" si="35"/>
        <v>-</v>
      </c>
      <c r="L57" s="475" t="str">
        <f t="shared" si="35"/>
        <v>-</v>
      </c>
      <c r="M57" s="475" t="str">
        <f t="shared" si="35"/>
        <v>-</v>
      </c>
      <c r="N57" s="475" t="str">
        <f t="shared" si="35"/>
        <v>-</v>
      </c>
      <c r="O57" s="475" t="str">
        <f t="shared" si="35"/>
        <v>-</v>
      </c>
      <c r="P57" s="476">
        <f t="shared" si="35"/>
        <v>1.6644767127292792E-2</v>
      </c>
    </row>
    <row r="58" spans="3:16" ht="15.75" thickBot="1" x14ac:dyDescent="0.3"/>
    <row r="59" spans="3:16" ht="24" thickBot="1" x14ac:dyDescent="0.4">
      <c r="C59" s="479" t="s">
        <v>645</v>
      </c>
    </row>
    <row r="60" spans="3:16" x14ac:dyDescent="0.25">
      <c r="C60" s="461" t="s">
        <v>633</v>
      </c>
      <c r="D60" s="462">
        <f>D$6</f>
        <v>45292</v>
      </c>
      <c r="E60" s="462">
        <f t="shared" ref="E60:O60" si="36">E$6</f>
        <v>45323</v>
      </c>
      <c r="F60" s="462">
        <f t="shared" si="36"/>
        <v>45352</v>
      </c>
      <c r="G60" s="462">
        <f t="shared" si="36"/>
        <v>45383</v>
      </c>
      <c r="H60" s="462">
        <f t="shared" si="36"/>
        <v>45413</v>
      </c>
      <c r="I60" s="462">
        <f t="shared" si="36"/>
        <v>45444</v>
      </c>
      <c r="J60" s="462">
        <f t="shared" si="36"/>
        <v>45474</v>
      </c>
      <c r="K60" s="462">
        <f t="shared" si="36"/>
        <v>45505</v>
      </c>
      <c r="L60" s="462">
        <f t="shared" si="36"/>
        <v>45536</v>
      </c>
      <c r="M60" s="462">
        <f t="shared" si="36"/>
        <v>45566</v>
      </c>
      <c r="N60" s="462">
        <f t="shared" si="36"/>
        <v>45597</v>
      </c>
      <c r="O60" s="463">
        <f t="shared" si="36"/>
        <v>45627</v>
      </c>
      <c r="P60" s="464" t="s">
        <v>18</v>
      </c>
    </row>
    <row r="61" spans="3:16" x14ac:dyDescent="0.25">
      <c r="C61" s="465" t="s">
        <v>634</v>
      </c>
      <c r="D61" s="229" cm="1">
        <f t="array" ref="D61:O61">TRANSPOSE(Table2528[Ult NEP])</f>
        <v>1847487.4676510305</v>
      </c>
      <c r="E61" s="229">
        <v>1495711.3488272435</v>
      </c>
      <c r="F61" s="229">
        <v>1657495.22</v>
      </c>
      <c r="G61" s="229">
        <v>768983.14000000095</v>
      </c>
      <c r="H61" s="229" t="str">
        <v>-</v>
      </c>
      <c r="I61" s="229" t="str">
        <v>-</v>
      </c>
      <c r="J61" s="229" t="str">
        <v>-</v>
      </c>
      <c r="K61" s="229" t="str">
        <v>-</v>
      </c>
      <c r="L61" s="229" t="str">
        <v>-</v>
      </c>
      <c r="M61" s="229" t="str">
        <v>-</v>
      </c>
      <c r="N61" s="229" t="str">
        <v>-</v>
      </c>
      <c r="O61" s="229" t="str">
        <v>-</v>
      </c>
      <c r="P61" s="466">
        <f>SUM(D61:O61)</f>
        <v>5769677.1764782742</v>
      </c>
    </row>
    <row r="62" spans="3:16" x14ac:dyDescent="0.25">
      <c r="C62" s="467" t="s">
        <v>635</v>
      </c>
      <c r="D62" s="435" cm="1">
        <f t="array" ref="D62:O62">TRANSPOSE(Table2528[Ult NUEP])</f>
        <v>-65113.715710469289</v>
      </c>
      <c r="E62" s="468">
        <v>-69337.325359063921</v>
      </c>
      <c r="F62" s="468">
        <v>-103517.71002206579</v>
      </c>
      <c r="G62" s="468">
        <v>537154.22090402024</v>
      </c>
      <c r="H62" s="468" t="str">
        <v>-</v>
      </c>
      <c r="I62" s="468" t="str">
        <v>-</v>
      </c>
      <c r="J62" s="468" t="str">
        <v>-</v>
      </c>
      <c r="K62" s="468" t="str">
        <v>-</v>
      </c>
      <c r="L62" s="468" t="str">
        <v>-</v>
      </c>
      <c r="M62" s="468" t="str">
        <v>-</v>
      </c>
      <c r="N62" s="468" t="str">
        <v>-</v>
      </c>
      <c r="O62" s="468" t="str">
        <v>-</v>
      </c>
      <c r="P62" s="469">
        <f t="shared" ref="P62:P63" si="37">SUM(D62:O62)</f>
        <v>299185.46981242124</v>
      </c>
    </row>
    <row r="63" spans="3:16" x14ac:dyDescent="0.25">
      <c r="C63" s="465" t="s">
        <v>636</v>
      </c>
      <c r="D63" s="229" cm="1">
        <f t="array" ref="D63:O63">TRANSPOSE(Table2528[Ult NWP])</f>
        <v>1782373.7519405612</v>
      </c>
      <c r="E63" s="229">
        <v>1426374.0234681796</v>
      </c>
      <c r="F63" s="229">
        <v>1553977.5099779342</v>
      </c>
      <c r="G63" s="229">
        <v>1306137.3609040212</v>
      </c>
      <c r="H63" s="229" t="str">
        <v>-</v>
      </c>
      <c r="I63" s="229" t="str">
        <v>-</v>
      </c>
      <c r="J63" s="229" t="str">
        <v>-</v>
      </c>
      <c r="K63" s="229" t="str">
        <v>-</v>
      </c>
      <c r="L63" s="229" t="str">
        <v>-</v>
      </c>
      <c r="M63" s="229" t="str">
        <v>-</v>
      </c>
      <c r="N63" s="229" t="str">
        <v>-</v>
      </c>
      <c r="O63" s="229" t="str">
        <v>-</v>
      </c>
      <c r="P63" s="466">
        <f t="shared" si="37"/>
        <v>6068862.6462906962</v>
      </c>
    </row>
    <row r="64" spans="3:16" hidden="1" x14ac:dyDescent="0.25">
      <c r="C64" s="480" t="s">
        <v>565</v>
      </c>
      <c r="D64" s="481" cm="1">
        <f t="array" ref="D64:O64">TRANSPOSE(Table2528[Total Target NWP])</f>
        <v>2026245.4879278806</v>
      </c>
      <c r="E64" s="481">
        <v>2073314.966746679</v>
      </c>
      <c r="F64" s="481">
        <v>1955902.6469528598</v>
      </c>
      <c r="G64" s="481">
        <v>1768843.0862598093</v>
      </c>
      <c r="H64" s="481" t="str">
        <v>-</v>
      </c>
      <c r="I64" s="481" t="str">
        <v>-</v>
      </c>
      <c r="J64" s="481" t="str">
        <v>-</v>
      </c>
      <c r="K64" s="481" t="str">
        <v>-</v>
      </c>
      <c r="L64" s="481" t="str">
        <v>-</v>
      </c>
      <c r="M64" s="481" t="str">
        <v>-</v>
      </c>
      <c r="N64" s="481" t="str">
        <v>-</v>
      </c>
      <c r="O64" s="481" t="str">
        <v>-</v>
      </c>
      <c r="P64" s="482"/>
    </row>
    <row r="65" spans="3:16" x14ac:dyDescent="0.25">
      <c r="C65" s="467" t="s">
        <v>561</v>
      </c>
      <c r="D65" s="470" cm="1">
        <f t="array" ref="D65:O65">TRANSPOSE(Table2528[Net Earned Ultimate Loss Ratio])</f>
        <v>0.63425113994193016</v>
      </c>
      <c r="E65" s="470">
        <v>0.85540463270373523</v>
      </c>
      <c r="F65" s="470">
        <v>0.64092839295778725</v>
      </c>
      <c r="G65" s="470">
        <v>0.71097588322455763</v>
      </c>
      <c r="H65" s="470" t="str">
        <v>-</v>
      </c>
      <c r="I65" s="470" t="str">
        <v>-</v>
      </c>
      <c r="J65" s="470" t="str">
        <v>-</v>
      </c>
      <c r="K65" s="470" t="str">
        <v>-</v>
      </c>
      <c r="L65" s="470" t="str">
        <v>-</v>
      </c>
      <c r="M65" s="470" t="str">
        <v>-</v>
      </c>
      <c r="N65" s="470" t="str">
        <v>-</v>
      </c>
      <c r="O65" s="470" t="str">
        <v>-</v>
      </c>
      <c r="P65" s="471">
        <f>SUMPRODUCT(Table2528[Net Earned Ultimate Loss Ratio],Table2528[Ult NEP])/P61</f>
        <v>0.70372631604926494</v>
      </c>
    </row>
    <row r="66" spans="3:16" x14ac:dyDescent="0.25">
      <c r="C66" s="465" t="s">
        <v>562</v>
      </c>
      <c r="D66" s="472" cm="1">
        <f t="array" ref="D66:O66">TRANSPOSE(Table2528[Net Unearned Ultimate Loss Ratio])</f>
        <v>0.71234807101188236</v>
      </c>
      <c r="E66" s="472">
        <v>0.71226925257133955</v>
      </c>
      <c r="F66" s="472">
        <v>0.71220619781890737</v>
      </c>
      <c r="G66" s="472">
        <v>0.71215460756691396</v>
      </c>
      <c r="H66" s="472" t="str">
        <v>-</v>
      </c>
      <c r="I66" s="472" t="str">
        <v>-</v>
      </c>
      <c r="J66" s="472" t="str">
        <v>-</v>
      </c>
      <c r="K66" s="472" t="str">
        <v>-</v>
      </c>
      <c r="L66" s="472" t="str">
        <v>-</v>
      </c>
      <c r="M66" s="472" t="str">
        <v>-</v>
      </c>
      <c r="N66" s="472" t="str">
        <v>-</v>
      </c>
      <c r="O66" s="472" t="str">
        <v>-</v>
      </c>
      <c r="P66" s="473">
        <f>IFERROR(((P67*P63)-(P65*P61))/P62,"-")</f>
        <v>0.71206808328988092</v>
      </c>
    </row>
    <row r="67" spans="3:16" x14ac:dyDescent="0.25">
      <c r="C67" s="467" t="s">
        <v>563</v>
      </c>
      <c r="D67" s="470" cm="1">
        <f t="array" ref="D67:O67">TRANSPOSE(Table2528[Net Ultimate Loss Ratio])</f>
        <v>0.63139810119962791</v>
      </c>
      <c r="E67" s="470">
        <v>0.86236257238809788</v>
      </c>
      <c r="F67" s="470">
        <v>0.63618024500374926</v>
      </c>
      <c r="G67" s="470">
        <v>0.71146063833127993</v>
      </c>
      <c r="H67" s="470" t="str">
        <v>-</v>
      </c>
      <c r="I67" s="470" t="str">
        <v>-</v>
      </c>
      <c r="J67" s="470" t="str">
        <v>-</v>
      </c>
      <c r="K67" s="470" t="str">
        <v>-</v>
      </c>
      <c r="L67" s="470" t="str">
        <v>-</v>
      </c>
      <c r="M67" s="470" t="str">
        <v>-</v>
      </c>
      <c r="N67" s="470" t="str">
        <v>-</v>
      </c>
      <c r="O67" s="470" t="str">
        <v>-</v>
      </c>
      <c r="P67" s="471">
        <f>SUMPRODUCT(Table2528[NWP],Table2528[Total NLR (Net XOL)])/P63</f>
        <v>0.70413755217313312</v>
      </c>
    </row>
    <row r="68" spans="3:16" x14ac:dyDescent="0.25">
      <c r="C68" s="465" t="s">
        <v>564</v>
      </c>
      <c r="D68" s="472" cm="1">
        <f t="array" ref="D68:O68">TRANSPOSE(Table2528[Total Target Loss Ratio])</f>
        <v>0.71390012291628391</v>
      </c>
      <c r="E68" s="472">
        <v>0.71390012291628391</v>
      </c>
      <c r="F68" s="472">
        <v>0.71390012291628391</v>
      </c>
      <c r="G68" s="472">
        <v>0.71390012291628391</v>
      </c>
      <c r="H68" s="472" t="str">
        <v>-</v>
      </c>
      <c r="I68" s="472" t="str">
        <v>-</v>
      </c>
      <c r="J68" s="472" t="str">
        <v>-</v>
      </c>
      <c r="K68" s="472" t="str">
        <v>-</v>
      </c>
      <c r="L68" s="472" t="str">
        <v>-</v>
      </c>
      <c r="M68" s="472" t="str">
        <v>-</v>
      </c>
      <c r="N68" s="472" t="str">
        <v>-</v>
      </c>
      <c r="O68" s="472" t="str">
        <v>-</v>
      </c>
      <c r="P68" s="473">
        <f>SUMPRODUCT(Table2528[Total Target Loss Ratio],Table2528[Total Target NWP])/SUM(Table2528[Total Target NWP])</f>
        <v>0.71390012291628391</v>
      </c>
    </row>
    <row r="69" spans="3:16" ht="15.75" thickBot="1" x14ac:dyDescent="0.3">
      <c r="C69" s="474" t="s">
        <v>637</v>
      </c>
      <c r="D69" s="475">
        <f>IF(OR(D67="",D67="-"),"-",D67-D68)</f>
        <v>-8.2502021716655993E-2</v>
      </c>
      <c r="E69" s="475">
        <f t="shared" ref="E69:P69" si="38">IF(OR(E67="",E67="-"),"-",E67-E68)</f>
        <v>0.14846244947181397</v>
      </c>
      <c r="F69" s="475">
        <f t="shared" si="38"/>
        <v>-7.7719877912534652E-2</v>
      </c>
      <c r="G69" s="475">
        <f t="shared" si="38"/>
        <v>-2.4394845850039815E-3</v>
      </c>
      <c r="H69" s="475" t="str">
        <f t="shared" si="38"/>
        <v>-</v>
      </c>
      <c r="I69" s="475" t="str">
        <f t="shared" si="38"/>
        <v>-</v>
      </c>
      <c r="J69" s="475" t="str">
        <f t="shared" si="38"/>
        <v>-</v>
      </c>
      <c r="K69" s="475" t="str">
        <f t="shared" si="38"/>
        <v>-</v>
      </c>
      <c r="L69" s="475" t="str">
        <f t="shared" si="38"/>
        <v>-</v>
      </c>
      <c r="M69" s="475" t="str">
        <f t="shared" si="38"/>
        <v>-</v>
      </c>
      <c r="N69" s="475" t="str">
        <f t="shared" si="38"/>
        <v>-</v>
      </c>
      <c r="O69" s="475" t="str">
        <f t="shared" si="38"/>
        <v>-</v>
      </c>
      <c r="P69" s="476">
        <f t="shared" si="38"/>
        <v>-9.7625707431507891E-3</v>
      </c>
    </row>
    <row r="70" spans="3:16" ht="15.75" thickBot="1" x14ac:dyDescent="0.3"/>
    <row r="71" spans="3:16" x14ac:dyDescent="0.25">
      <c r="C71" s="461" t="s">
        <v>638</v>
      </c>
      <c r="D71" s="462">
        <f>D$6</f>
        <v>45292</v>
      </c>
      <c r="E71" s="462">
        <f t="shared" ref="E71:O71" si="39">E$6</f>
        <v>45323</v>
      </c>
      <c r="F71" s="462">
        <f t="shared" si="39"/>
        <v>45352</v>
      </c>
      <c r="G71" s="462">
        <f t="shared" si="39"/>
        <v>45383</v>
      </c>
      <c r="H71" s="462">
        <f t="shared" si="39"/>
        <v>45413</v>
      </c>
      <c r="I71" s="462">
        <f t="shared" si="39"/>
        <v>45444</v>
      </c>
      <c r="J71" s="462">
        <f t="shared" si="39"/>
        <v>45474</v>
      </c>
      <c r="K71" s="462">
        <f t="shared" si="39"/>
        <v>45505</v>
      </c>
      <c r="L71" s="462">
        <f t="shared" si="39"/>
        <v>45536</v>
      </c>
      <c r="M71" s="462">
        <f t="shared" si="39"/>
        <v>45566</v>
      </c>
      <c r="N71" s="462">
        <f t="shared" si="39"/>
        <v>45597</v>
      </c>
      <c r="O71" s="463">
        <f t="shared" si="39"/>
        <v>45627</v>
      </c>
      <c r="P71" s="464" t="str">
        <f>P60</f>
        <v>Total</v>
      </c>
    </row>
    <row r="72" spans="3:16" x14ac:dyDescent="0.25">
      <c r="C72" s="465" t="s">
        <v>634</v>
      </c>
      <c r="D72" s="229">
        <f>D61</f>
        <v>1847487.4676510305</v>
      </c>
      <c r="E72" s="229">
        <f t="shared" ref="E72:O72" si="40">IF(E61="-","-",D72+E61)</f>
        <v>3343198.8164782738</v>
      </c>
      <c r="F72" s="229">
        <f t="shared" si="40"/>
        <v>5000694.0364782736</v>
      </c>
      <c r="G72" s="229">
        <f t="shared" si="40"/>
        <v>5769677.1764782742</v>
      </c>
      <c r="H72" s="229" t="str">
        <f t="shared" si="40"/>
        <v>-</v>
      </c>
      <c r="I72" s="229" t="str">
        <f t="shared" si="40"/>
        <v>-</v>
      </c>
      <c r="J72" s="229" t="str">
        <f t="shared" si="40"/>
        <v>-</v>
      </c>
      <c r="K72" s="229" t="str">
        <f t="shared" si="40"/>
        <v>-</v>
      </c>
      <c r="L72" s="229" t="str">
        <f t="shared" si="40"/>
        <v>-</v>
      </c>
      <c r="M72" s="229" t="str">
        <f t="shared" si="40"/>
        <v>-</v>
      </c>
      <c r="N72" s="229" t="str">
        <f t="shared" si="40"/>
        <v>-</v>
      </c>
      <c r="O72" s="229" t="str">
        <f t="shared" si="40"/>
        <v>-</v>
      </c>
      <c r="P72" s="466">
        <f>P61</f>
        <v>5769677.1764782742</v>
      </c>
    </row>
    <row r="73" spans="3:16" x14ac:dyDescent="0.25">
      <c r="C73" s="467" t="s">
        <v>635</v>
      </c>
      <c r="D73" s="435">
        <f>D62</f>
        <v>-65113.715710469289</v>
      </c>
      <c r="E73" s="468">
        <f t="shared" ref="E73:O73" si="41">IF(E62="-","-",D73+E62)</f>
        <v>-134451.04106953321</v>
      </c>
      <c r="F73" s="468">
        <f t="shared" si="41"/>
        <v>-237968.751091599</v>
      </c>
      <c r="G73" s="468">
        <f t="shared" si="41"/>
        <v>299185.46981242124</v>
      </c>
      <c r="H73" s="468" t="str">
        <f t="shared" si="41"/>
        <v>-</v>
      </c>
      <c r="I73" s="468" t="str">
        <f t="shared" si="41"/>
        <v>-</v>
      </c>
      <c r="J73" s="468" t="str">
        <f t="shared" si="41"/>
        <v>-</v>
      </c>
      <c r="K73" s="468" t="str">
        <f t="shared" si="41"/>
        <v>-</v>
      </c>
      <c r="L73" s="468" t="str">
        <f t="shared" si="41"/>
        <v>-</v>
      </c>
      <c r="M73" s="468" t="str">
        <f t="shared" si="41"/>
        <v>-</v>
      </c>
      <c r="N73" s="468" t="str">
        <f t="shared" si="41"/>
        <v>-</v>
      </c>
      <c r="O73" s="468" t="str">
        <f t="shared" si="41"/>
        <v>-</v>
      </c>
      <c r="P73" s="469">
        <f>P62</f>
        <v>299185.46981242124</v>
      </c>
    </row>
    <row r="74" spans="3:16" x14ac:dyDescent="0.25">
      <c r="C74" s="465" t="s">
        <v>636</v>
      </c>
      <c r="D74" s="229">
        <f>D63</f>
        <v>1782373.7519405612</v>
      </c>
      <c r="E74" s="229">
        <f t="shared" ref="E74:O74" si="42">IF(E63="-","-",D74+E63)</f>
        <v>3208747.7754087411</v>
      </c>
      <c r="F74" s="229">
        <f t="shared" si="42"/>
        <v>4762725.285386675</v>
      </c>
      <c r="G74" s="229">
        <f t="shared" si="42"/>
        <v>6068862.6462906962</v>
      </c>
      <c r="H74" s="229" t="str">
        <f t="shared" si="42"/>
        <v>-</v>
      </c>
      <c r="I74" s="229" t="str">
        <f t="shared" si="42"/>
        <v>-</v>
      </c>
      <c r="J74" s="229" t="str">
        <f t="shared" si="42"/>
        <v>-</v>
      </c>
      <c r="K74" s="229" t="str">
        <f t="shared" si="42"/>
        <v>-</v>
      </c>
      <c r="L74" s="229" t="str">
        <f t="shared" si="42"/>
        <v>-</v>
      </c>
      <c r="M74" s="229" t="str">
        <f t="shared" si="42"/>
        <v>-</v>
      </c>
      <c r="N74" s="229" t="str">
        <f t="shared" si="42"/>
        <v>-</v>
      </c>
      <c r="O74" s="229" t="str">
        <f t="shared" si="42"/>
        <v>-</v>
      </c>
      <c r="P74" s="466">
        <f>P63</f>
        <v>6068862.6462906962</v>
      </c>
    </row>
    <row r="75" spans="3:16" hidden="1" x14ac:dyDescent="0.25">
      <c r="C75" s="480" t="s">
        <v>565</v>
      </c>
      <c r="D75" s="481">
        <f>D64</f>
        <v>2026245.4879278806</v>
      </c>
      <c r="E75" s="481">
        <f>IF(E64="-","-",D75+E64)</f>
        <v>4099560.4546745596</v>
      </c>
      <c r="F75" s="481">
        <f t="shared" ref="F75:O75" si="43">IF(F64="-","-",E75+F64)</f>
        <v>6055463.1016274197</v>
      </c>
      <c r="G75" s="481">
        <f t="shared" si="43"/>
        <v>7824306.187887229</v>
      </c>
      <c r="H75" s="481" t="str">
        <f t="shared" si="43"/>
        <v>-</v>
      </c>
      <c r="I75" s="481" t="str">
        <f t="shared" si="43"/>
        <v>-</v>
      </c>
      <c r="J75" s="481" t="str">
        <f t="shared" si="43"/>
        <v>-</v>
      </c>
      <c r="K75" s="481" t="str">
        <f t="shared" si="43"/>
        <v>-</v>
      </c>
      <c r="L75" s="481" t="str">
        <f t="shared" si="43"/>
        <v>-</v>
      </c>
      <c r="M75" s="481" t="str">
        <f t="shared" si="43"/>
        <v>-</v>
      </c>
      <c r="N75" s="481" t="str">
        <f t="shared" si="43"/>
        <v>-</v>
      </c>
      <c r="O75" s="481" t="str">
        <f t="shared" si="43"/>
        <v>-</v>
      </c>
      <c r="P75" s="482"/>
    </row>
    <row r="76" spans="3:16" hidden="1" x14ac:dyDescent="0.25">
      <c r="C76" s="480" t="s">
        <v>648</v>
      </c>
      <c r="D76" s="481">
        <f>IF(D61="-","-",SUMPRODUCT($D61:D61,$D65:D65))</f>
        <v>1171771.032386096</v>
      </c>
      <c r="E76" s="481">
        <f>IF(E61="-","-",SUMPRODUCT($D61:E61,$D65:E65))</f>
        <v>2451209.4493604726</v>
      </c>
      <c r="F76" s="481">
        <f>IF(F61="-","-",SUMPRODUCT($D61:F61,$D65:F65))</f>
        <v>3513545.1970502865</v>
      </c>
      <c r="G76" s="481">
        <f>IF(G61="-","-",SUMPRODUCT($D61:G61,$D65:G65))</f>
        <v>4060273.6641965806</v>
      </c>
      <c r="H76" s="481" t="str">
        <f>IF(H61="-","-",SUMPRODUCT($D61:H61,$D65:H65))</f>
        <v>-</v>
      </c>
      <c r="I76" s="481" t="str">
        <f>IF(I61="-","-",SUMPRODUCT($D61:I61,$D65:I65))</f>
        <v>-</v>
      </c>
      <c r="J76" s="481" t="str">
        <f>IF(J61="-","-",SUMPRODUCT($D61:J61,$D65:J65))</f>
        <v>-</v>
      </c>
      <c r="K76" s="481" t="str">
        <f>IF(K61="-","-",SUMPRODUCT($D61:K61,$D65:K65))</f>
        <v>-</v>
      </c>
      <c r="L76" s="481" t="str">
        <f>IF(L61="-","-",SUMPRODUCT($D61:L61,$D65:L65))</f>
        <v>-</v>
      </c>
      <c r="M76" s="481" t="str">
        <f>IF(M61="-","-",SUMPRODUCT($D61:M61,$D65:M65))</f>
        <v>-</v>
      </c>
      <c r="N76" s="481" t="str">
        <f>IF(N61="-","-",SUMPRODUCT($D61:N61,$D65:N65))</f>
        <v>-</v>
      </c>
      <c r="O76" s="481" t="str">
        <f>IF(O61="-","-",SUMPRODUCT($D61:O61,$D65:O65))</f>
        <v>-</v>
      </c>
      <c r="P76" s="482"/>
    </row>
    <row r="77" spans="3:16" hidden="1" x14ac:dyDescent="0.25">
      <c r="C77" s="480" t="s">
        <v>649</v>
      </c>
      <c r="D77" s="481">
        <f>IF(D62="-","-",SUMPRODUCT($D62:D62,$D66:D66))</f>
        <v>-46383.629782768898</v>
      </c>
      <c r="E77" s="481">
        <f>IF(E62="-","-",SUMPRODUCT($D62:E62,$D66:E66))</f>
        <v>-95770.474691565149</v>
      </c>
      <c r="F77" s="481">
        <f>IF(F62="-","-",SUMPRODUCT($D62:F62,$D66:F66))</f>
        <v>-169496.42935330083</v>
      </c>
      <c r="G77" s="481">
        <f>IF(G62="-","-",SUMPRODUCT($D62:G62,$D66:G66))</f>
        <v>213040.42403751309</v>
      </c>
      <c r="H77" s="481" t="str">
        <f>IF(H62="-","-",SUMPRODUCT($D62:H62,$D66:H66))</f>
        <v>-</v>
      </c>
      <c r="I77" s="481" t="str">
        <f>IF(I62="-","-",SUMPRODUCT($D62:I62,$D66:I66))</f>
        <v>-</v>
      </c>
      <c r="J77" s="481" t="str">
        <f>IF(J62="-","-",SUMPRODUCT($D62:J62,$D66:J66))</f>
        <v>-</v>
      </c>
      <c r="K77" s="481" t="str">
        <f>IF(K62="-","-",SUMPRODUCT($D62:K62,$D66:K66))</f>
        <v>-</v>
      </c>
      <c r="L77" s="481" t="str">
        <f>IF(L62="-","-",SUMPRODUCT($D62:L62,$D66:L66))</f>
        <v>-</v>
      </c>
      <c r="M77" s="481" t="str">
        <f>IF(M62="-","-",SUMPRODUCT($D62:M62,$D66:M66))</f>
        <v>-</v>
      </c>
      <c r="N77" s="481" t="str">
        <f>IF(N62="-","-",SUMPRODUCT($D62:N62,$D66:N66))</f>
        <v>-</v>
      </c>
      <c r="O77" s="481" t="str">
        <f>IF(O62="-","-",SUMPRODUCT($D62:O62,$D66:O66))</f>
        <v>-</v>
      </c>
      <c r="P77" s="482"/>
    </row>
    <row r="78" spans="3:16" hidden="1" x14ac:dyDescent="0.25">
      <c r="C78" s="480" t="s">
        <v>650</v>
      </c>
      <c r="D78" s="481">
        <f>IF(D63="-","-",SUMPRODUCT($D63:D63,$D67:D67))</f>
        <v>1125387.4026033271</v>
      </c>
      <c r="E78" s="481">
        <f>IF(E63="-","-",SUMPRODUCT($D63:E63,$D67:E67))</f>
        <v>2355438.9746689075</v>
      </c>
      <c r="F78" s="481">
        <f>IF(F63="-","-",SUMPRODUCT($D63:F63,$D67:F67))</f>
        <v>3344048.767696986</v>
      </c>
      <c r="G78" s="481">
        <f>IF(G63="-","-",SUMPRODUCT($D63:G63,$D67:G67))</f>
        <v>4273314.088234094</v>
      </c>
      <c r="H78" s="481" t="str">
        <f>IF(H63="-","-",SUMPRODUCT($D63:H63,$D67:H67))</f>
        <v>-</v>
      </c>
      <c r="I78" s="481" t="str">
        <f>IF(I63="-","-",SUMPRODUCT($D63:I63,$D67:I67))</f>
        <v>-</v>
      </c>
      <c r="J78" s="481" t="str">
        <f>IF(J63="-","-",SUMPRODUCT($D63:J63,$D67:J67))</f>
        <v>-</v>
      </c>
      <c r="K78" s="481" t="str">
        <f>IF(K63="-","-",SUMPRODUCT($D63:K63,$D67:K67))</f>
        <v>-</v>
      </c>
      <c r="L78" s="481" t="str">
        <f>IF(L63="-","-",SUMPRODUCT($D63:L63,$D67:L67))</f>
        <v>-</v>
      </c>
      <c r="M78" s="481" t="str">
        <f>IF(M63="-","-",SUMPRODUCT($D63:M63,$D67:M67))</f>
        <v>-</v>
      </c>
      <c r="N78" s="481" t="str">
        <f>IF(N63="-","-",SUMPRODUCT($D63:N63,$D67:N67))</f>
        <v>-</v>
      </c>
      <c r="O78" s="481" t="str">
        <f>IF(O63="-","-",SUMPRODUCT($D63:O63,$D67:O67))</f>
        <v>-</v>
      </c>
      <c r="P78" s="482"/>
    </row>
    <row r="79" spans="3:16" hidden="1" x14ac:dyDescent="0.25">
      <c r="C79" s="480" t="s">
        <v>651</v>
      </c>
      <c r="D79" s="481">
        <f>IF(D64="-","-",SUMPRODUCT($D64:D64,$D68:D68))</f>
        <v>1446536.9028902797</v>
      </c>
      <c r="E79" s="481">
        <f>IF(E64="-","-",SUMPRODUCT($D64:E64,$D68:E68))</f>
        <v>2926676.7124949051</v>
      </c>
      <c r="F79" s="481">
        <f>IF(F64="-","-",SUMPRODUCT($D64:F64,$D68:F68))</f>
        <v>4322995.8525668364</v>
      </c>
      <c r="G79" s="481">
        <f>IF(G64="-","-",SUMPRODUCT($D64:G64,$D68:G68))</f>
        <v>5585773.1492673336</v>
      </c>
      <c r="H79" s="481" t="str">
        <f>IF(H64="-","-",SUMPRODUCT($D64:H64,$D68:H68))</f>
        <v>-</v>
      </c>
      <c r="I79" s="481" t="str">
        <f>IF(I64="-","-",SUMPRODUCT($D64:I64,$D68:I68))</f>
        <v>-</v>
      </c>
      <c r="J79" s="481" t="str">
        <f>IF(J64="-","-",SUMPRODUCT($D64:J64,$D68:J68))</f>
        <v>-</v>
      </c>
      <c r="K79" s="481" t="str">
        <f>IF(K64="-","-",SUMPRODUCT($D64:K64,$D68:K68))</f>
        <v>-</v>
      </c>
      <c r="L79" s="481" t="str">
        <f>IF(L64="-","-",SUMPRODUCT($D64:L64,$D68:L68))</f>
        <v>-</v>
      </c>
      <c r="M79" s="481" t="str">
        <f>IF(M64="-","-",SUMPRODUCT($D64:M64,$D68:M68))</f>
        <v>-</v>
      </c>
      <c r="N79" s="481" t="str">
        <f>IF(N64="-","-",SUMPRODUCT($D64:N64,$D68:N68))</f>
        <v>-</v>
      </c>
      <c r="O79" s="481" t="str">
        <f>IF(O64="-","-",SUMPRODUCT($D64:O64,$D68:O68))</f>
        <v>-</v>
      </c>
      <c r="P79" s="482"/>
    </row>
    <row r="80" spans="3:16" x14ac:dyDescent="0.25">
      <c r="C80" s="467" t="s">
        <v>561</v>
      </c>
      <c r="D80" s="470">
        <f>IFERROR(D76/D72,"-")</f>
        <v>0.63425113994193016</v>
      </c>
      <c r="E80" s="470">
        <f t="shared" ref="E80:O80" si="44">IFERROR(E76/E72,"-")</f>
        <v>0.73319284431387099</v>
      </c>
      <c r="F80" s="470">
        <f t="shared" si="44"/>
        <v>0.70261151180620762</v>
      </c>
      <c r="G80" s="470">
        <f t="shared" si="44"/>
        <v>0.70372631604926494</v>
      </c>
      <c r="H80" s="470" t="str">
        <f t="shared" si="44"/>
        <v>-</v>
      </c>
      <c r="I80" s="470" t="str">
        <f t="shared" si="44"/>
        <v>-</v>
      </c>
      <c r="J80" s="470" t="str">
        <f t="shared" si="44"/>
        <v>-</v>
      </c>
      <c r="K80" s="470" t="str">
        <f t="shared" si="44"/>
        <v>-</v>
      </c>
      <c r="L80" s="470" t="str">
        <f t="shared" si="44"/>
        <v>-</v>
      </c>
      <c r="M80" s="470" t="str">
        <f t="shared" si="44"/>
        <v>-</v>
      </c>
      <c r="N80" s="470" t="str">
        <f t="shared" si="44"/>
        <v>-</v>
      </c>
      <c r="O80" s="470" t="str">
        <f t="shared" si="44"/>
        <v>-</v>
      </c>
      <c r="P80" s="471">
        <f>P65</f>
        <v>0.70372631604926494</v>
      </c>
    </row>
    <row r="81" spans="3:16" x14ac:dyDescent="0.25">
      <c r="C81" s="465" t="s">
        <v>562</v>
      </c>
      <c r="D81" s="472">
        <f>IFERROR(D77/D73,"-")</f>
        <v>0.71234807101188236</v>
      </c>
      <c r="E81" s="472">
        <f t="shared" ref="E81:O81" si="45">IFERROR(E77/E73,"-")</f>
        <v>0.71230742380072853</v>
      </c>
      <c r="F81" s="472">
        <f t="shared" si="45"/>
        <v>0.71226338994424621</v>
      </c>
      <c r="G81" s="472">
        <f t="shared" si="45"/>
        <v>0.71206808328988014</v>
      </c>
      <c r="H81" s="472" t="str">
        <f t="shared" si="45"/>
        <v>-</v>
      </c>
      <c r="I81" s="472" t="str">
        <f t="shared" si="45"/>
        <v>-</v>
      </c>
      <c r="J81" s="472" t="str">
        <f t="shared" si="45"/>
        <v>-</v>
      </c>
      <c r="K81" s="472" t="str">
        <f t="shared" si="45"/>
        <v>-</v>
      </c>
      <c r="L81" s="472" t="str">
        <f t="shared" si="45"/>
        <v>-</v>
      </c>
      <c r="M81" s="472" t="str">
        <f t="shared" si="45"/>
        <v>-</v>
      </c>
      <c r="N81" s="472" t="str">
        <f t="shared" si="45"/>
        <v>-</v>
      </c>
      <c r="O81" s="472" t="str">
        <f t="shared" si="45"/>
        <v>-</v>
      </c>
      <c r="P81" s="473">
        <f>P66</f>
        <v>0.71206808328988092</v>
      </c>
    </row>
    <row r="82" spans="3:16" x14ac:dyDescent="0.25">
      <c r="C82" s="467" t="s">
        <v>563</v>
      </c>
      <c r="D82" s="470">
        <f>IFERROR(D78/D74,"-")</f>
        <v>0.63139810119962791</v>
      </c>
      <c r="E82" s="470">
        <f t="shared" ref="E82:O82" si="46">IFERROR(E78/E74,"-")</f>
        <v>0.73406797278382652</v>
      </c>
      <c r="F82" s="470">
        <f t="shared" si="46"/>
        <v>0.70212925737233445</v>
      </c>
      <c r="G82" s="470">
        <f t="shared" si="46"/>
        <v>0.70413755217313312</v>
      </c>
      <c r="H82" s="470" t="str">
        <f t="shared" si="46"/>
        <v>-</v>
      </c>
      <c r="I82" s="470" t="str">
        <f t="shared" si="46"/>
        <v>-</v>
      </c>
      <c r="J82" s="470" t="str">
        <f t="shared" si="46"/>
        <v>-</v>
      </c>
      <c r="K82" s="470" t="str">
        <f t="shared" si="46"/>
        <v>-</v>
      </c>
      <c r="L82" s="470" t="str">
        <f t="shared" si="46"/>
        <v>-</v>
      </c>
      <c r="M82" s="470" t="str">
        <f t="shared" si="46"/>
        <v>-</v>
      </c>
      <c r="N82" s="470" t="str">
        <f t="shared" si="46"/>
        <v>-</v>
      </c>
      <c r="O82" s="470" t="str">
        <f t="shared" si="46"/>
        <v>-</v>
      </c>
      <c r="P82" s="471">
        <f>P67</f>
        <v>0.70413755217313312</v>
      </c>
    </row>
    <row r="83" spans="3:16" x14ac:dyDescent="0.25">
      <c r="C83" s="465" t="s">
        <v>564</v>
      </c>
      <c r="D83" s="472">
        <f>IFERROR(D79/D75,"-")</f>
        <v>0.71390012291628391</v>
      </c>
      <c r="E83" s="472">
        <f t="shared" ref="E83:O83" si="47">IFERROR(E79/E75,"-")</f>
        <v>0.71390012291628402</v>
      </c>
      <c r="F83" s="472">
        <f t="shared" si="47"/>
        <v>0.71390012291628391</v>
      </c>
      <c r="G83" s="472">
        <f t="shared" si="47"/>
        <v>0.71390012291628391</v>
      </c>
      <c r="H83" s="472" t="str">
        <f t="shared" si="47"/>
        <v>-</v>
      </c>
      <c r="I83" s="472" t="str">
        <f t="shared" si="47"/>
        <v>-</v>
      </c>
      <c r="J83" s="472" t="str">
        <f t="shared" si="47"/>
        <v>-</v>
      </c>
      <c r="K83" s="472" t="str">
        <f t="shared" si="47"/>
        <v>-</v>
      </c>
      <c r="L83" s="472" t="str">
        <f t="shared" si="47"/>
        <v>-</v>
      </c>
      <c r="M83" s="472" t="str">
        <f t="shared" si="47"/>
        <v>-</v>
      </c>
      <c r="N83" s="472" t="str">
        <f t="shared" si="47"/>
        <v>-</v>
      </c>
      <c r="O83" s="472" t="str">
        <f t="shared" si="47"/>
        <v>-</v>
      </c>
      <c r="P83" s="473">
        <f>P68</f>
        <v>0.71390012291628391</v>
      </c>
    </row>
    <row r="84" spans="3:16" ht="15.75" thickBot="1" x14ac:dyDescent="0.3">
      <c r="C84" s="474" t="s">
        <v>637</v>
      </c>
      <c r="D84" s="475">
        <f>IF(OR(D82="",D83="-"),"-",D82-D83)</f>
        <v>-8.2502021716655993E-2</v>
      </c>
      <c r="E84" s="475">
        <f t="shared" ref="E84:O84" si="48">IF(OR(E82="",E83="-"),"-",E82-E83)</f>
        <v>2.0167849867542498E-2</v>
      </c>
      <c r="F84" s="475">
        <f t="shared" si="48"/>
        <v>-1.177086554394946E-2</v>
      </c>
      <c r="G84" s="475">
        <f t="shared" si="48"/>
        <v>-9.7625707431507891E-3</v>
      </c>
      <c r="H84" s="475" t="str">
        <f t="shared" si="48"/>
        <v>-</v>
      </c>
      <c r="I84" s="475" t="str">
        <f t="shared" si="48"/>
        <v>-</v>
      </c>
      <c r="J84" s="475" t="str">
        <f t="shared" si="48"/>
        <v>-</v>
      </c>
      <c r="K84" s="475" t="str">
        <f t="shared" si="48"/>
        <v>-</v>
      </c>
      <c r="L84" s="475" t="str">
        <f t="shared" si="48"/>
        <v>-</v>
      </c>
      <c r="M84" s="475" t="str">
        <f t="shared" si="48"/>
        <v>-</v>
      </c>
      <c r="N84" s="475" t="str">
        <f t="shared" si="48"/>
        <v>-</v>
      </c>
      <c r="O84" s="475" t="str">
        <f t="shared" si="48"/>
        <v>-</v>
      </c>
      <c r="P84" s="476">
        <f t="shared" ref="P84" si="49">IF(OR(P82="",P83="-"),"-",P82-P83)</f>
        <v>-9.7625707431507891E-3</v>
      </c>
    </row>
  </sheetData>
  <conditionalFormatting sqref="D15:P15 D30:P30">
    <cfRule type="cellIs" dxfId="432" priority="7" operator="equal">
      <formula>"-"</formula>
    </cfRule>
    <cfRule type="cellIs" dxfId="431" priority="8" operator="greaterThan">
      <formula>0</formula>
    </cfRule>
  </conditionalFormatting>
  <conditionalFormatting sqref="D42:P42 D57:P57">
    <cfRule type="cellIs" dxfId="430" priority="5" operator="equal">
      <formula>"-"</formula>
    </cfRule>
    <cfRule type="cellIs" dxfId="429" priority="6" operator="greaterThan">
      <formula>0</formula>
    </cfRule>
  </conditionalFormatting>
  <conditionalFormatting sqref="D69:P69">
    <cfRule type="cellIs" dxfId="428" priority="3" operator="equal">
      <formula>"-"</formula>
    </cfRule>
    <cfRule type="cellIs" dxfId="427" priority="4" operator="greaterThan">
      <formula>0</formula>
    </cfRule>
  </conditionalFormatting>
  <conditionalFormatting sqref="D84:P84">
    <cfRule type="cellIs" dxfId="426" priority="1" operator="equal">
      <formula>"-"</formula>
    </cfRule>
    <cfRule type="cellIs" dxfId="425" priority="2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CCD4-3AA9-4919-8D53-960FC6A98BE9}">
  <sheetPr codeName="Sheet3">
    <tabColor rgb="FF0043CE"/>
  </sheetPr>
  <dimension ref="A1"/>
  <sheetViews>
    <sheetView showGridLines="0" topLeftCell="B1" workbookViewId="0">
      <selection activeCell="G21" sqref="G21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9873-5292-4A66-A142-AB95EE0FD1D9}">
  <sheetPr codeName="Sheet4"/>
  <dimension ref="A1:AU148"/>
  <sheetViews>
    <sheetView showGridLines="0" tabSelected="1" zoomScale="55" zoomScaleNormal="55" workbookViewId="0">
      <pane xSplit="4" topLeftCell="E1" activePane="topRight" state="frozen"/>
      <selection pane="topRight" activeCell="G27" sqref="G27"/>
    </sheetView>
  </sheetViews>
  <sheetFormatPr defaultRowHeight="15" outlineLevelRow="1" outlineLevelCol="2" x14ac:dyDescent="0.25"/>
  <cols>
    <col min="2" max="2" width="36.5703125" hidden="1" customWidth="1"/>
    <col min="3" max="3" width="24.28515625" hidden="1" customWidth="1"/>
    <col min="4" max="4" width="57.7109375" customWidth="1"/>
    <col min="5" max="16" width="14.28515625" customWidth="1" outlineLevel="2"/>
    <col min="17" max="28" width="14.28515625" customWidth="1" outlineLevel="1"/>
    <col min="29" max="29" width="14.28515625" customWidth="1"/>
    <col min="30" max="31" width="15" bestFit="1" customWidth="1"/>
    <col min="32" max="40" width="14.28515625" customWidth="1"/>
    <col min="41" max="45" width="17.140625" customWidth="1"/>
    <col min="46" max="46" width="16.140625" customWidth="1"/>
    <col min="47" max="47" width="9.140625" customWidth="1"/>
    <col min="48" max="48" width="12" bestFit="1" customWidth="1"/>
  </cols>
  <sheetData>
    <row r="1" spans="2:47" ht="15.75" thickBot="1" x14ac:dyDescent="0.3"/>
    <row r="2" spans="2:47" ht="26.25" x14ac:dyDescent="0.4">
      <c r="D2" s="201" t="s">
        <v>1</v>
      </c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33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33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507" t="s">
        <v>484</v>
      </c>
      <c r="AP2" s="508"/>
      <c r="AQ2" s="508"/>
      <c r="AR2" s="508"/>
      <c r="AS2" s="509"/>
    </row>
    <row r="3" spans="2:47" ht="15.75" thickBot="1" x14ac:dyDescent="0.3">
      <c r="D3" s="306"/>
      <c r="E3" s="303" t="s">
        <v>341</v>
      </c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92"/>
      <c r="Q3" s="287" t="s">
        <v>341</v>
      </c>
      <c r="R3" s="287"/>
      <c r="S3" s="287"/>
      <c r="T3" s="287"/>
      <c r="U3" s="287"/>
      <c r="V3" s="287"/>
      <c r="W3" s="287"/>
      <c r="X3" s="287"/>
      <c r="Y3" s="287"/>
      <c r="Z3" s="287"/>
      <c r="AA3" s="287"/>
      <c r="AB3" s="292"/>
      <c r="AC3" s="287" t="s">
        <v>341</v>
      </c>
      <c r="AD3" s="287"/>
      <c r="AE3" s="287"/>
      <c r="AF3" s="287"/>
      <c r="AG3" s="287"/>
      <c r="AH3" s="287"/>
      <c r="AI3" s="287"/>
      <c r="AJ3" s="287"/>
      <c r="AK3" s="287"/>
      <c r="AL3" s="287"/>
      <c r="AM3" s="287"/>
      <c r="AN3" s="287"/>
      <c r="AO3" s="510" t="s">
        <v>485</v>
      </c>
      <c r="AP3" s="511"/>
      <c r="AQ3" s="511" t="s">
        <v>486</v>
      </c>
      <c r="AR3" s="511"/>
      <c r="AS3" s="512"/>
    </row>
    <row r="4" spans="2:47" x14ac:dyDescent="0.25">
      <c r="D4" s="354" t="s">
        <v>487</v>
      </c>
      <c r="E4" s="395">
        <f t="shared" ref="E4" si="0">EDATE(F4,-1)</f>
        <v>44927</v>
      </c>
      <c r="F4" s="206">
        <f t="shared" ref="F4" si="1">EDATE(G4,-1)</f>
        <v>44958</v>
      </c>
      <c r="G4" s="206">
        <f t="shared" ref="G4" si="2">EDATE(H4,-1)</f>
        <v>44986</v>
      </c>
      <c r="H4" s="206">
        <f t="shared" ref="H4" si="3">EDATE(I4,-1)</f>
        <v>45017</v>
      </c>
      <c r="I4" s="206">
        <f t="shared" ref="I4" si="4">EDATE(J4,-1)</f>
        <v>45047</v>
      </c>
      <c r="J4" s="206">
        <f t="shared" ref="J4" si="5">EDATE(K4,-1)</f>
        <v>45078</v>
      </c>
      <c r="K4" s="206">
        <f t="shared" ref="K4" si="6">EDATE(L4,-1)</f>
        <v>45108</v>
      </c>
      <c r="L4" s="206">
        <f t="shared" ref="L4" si="7">EDATE(M4,-1)</f>
        <v>45139</v>
      </c>
      <c r="M4" s="206">
        <f t="shared" ref="M4" si="8">EDATE(N4,-1)</f>
        <v>45170</v>
      </c>
      <c r="N4" s="206">
        <f t="shared" ref="N4" si="9">EDATE(O4,-1)</f>
        <v>45200</v>
      </c>
      <c r="O4" s="206">
        <f t="shared" ref="O4" si="10">EDATE(P4,-1)</f>
        <v>45231</v>
      </c>
      <c r="P4" s="293">
        <f t="shared" ref="P4" si="11">EDATE(Q4,-1)</f>
        <v>45261</v>
      </c>
      <c r="Q4" s="206">
        <f t="shared" ref="Q4" si="12">EDATE(R4,-1)</f>
        <v>45292</v>
      </c>
      <c r="R4" s="206">
        <f t="shared" ref="R4" si="13">EDATE(S4,-1)</f>
        <v>45323</v>
      </c>
      <c r="S4" s="206">
        <f t="shared" ref="S4" si="14">EDATE(T4,-1)</f>
        <v>45352</v>
      </c>
      <c r="T4" s="206">
        <f t="shared" ref="T4" si="15">EDATE(U4,-1)</f>
        <v>45383</v>
      </c>
      <c r="U4" s="206">
        <f t="shared" ref="U4" si="16">EDATE(V4,-1)</f>
        <v>45413</v>
      </c>
      <c r="V4" s="206">
        <f t="shared" ref="V4" si="17">EDATE(W4,-1)</f>
        <v>45444</v>
      </c>
      <c r="W4" s="206">
        <f t="shared" ref="W4" si="18">EDATE(X4,-1)</f>
        <v>45474</v>
      </c>
      <c r="X4" s="206">
        <f t="shared" ref="X4" si="19">EDATE(Y4,-1)</f>
        <v>45505</v>
      </c>
      <c r="Y4" s="206">
        <f t="shared" ref="Y4" si="20">EDATE(Z4,-1)</f>
        <v>45536</v>
      </c>
      <c r="Z4" s="206">
        <f t="shared" ref="Z4" si="21">EDATE(AA4,-1)</f>
        <v>45566</v>
      </c>
      <c r="AA4" s="206">
        <f t="shared" ref="AA4" si="22">EDATE(AB4,-1)</f>
        <v>45597</v>
      </c>
      <c r="AB4" s="293">
        <f t="shared" ref="AB4" si="23">EDATE(AC4,-1)</f>
        <v>45627</v>
      </c>
      <c r="AC4" s="206">
        <f t="shared" ref="AC4" si="24">EDATE(AD4,-1)</f>
        <v>45658</v>
      </c>
      <c r="AD4" s="206">
        <f t="shared" ref="AD4:AM4" si="25">EDATE(AE4,-1)</f>
        <v>45689</v>
      </c>
      <c r="AE4" s="206">
        <f t="shared" si="25"/>
        <v>45717</v>
      </c>
      <c r="AF4" s="206">
        <f t="shared" si="25"/>
        <v>45748</v>
      </c>
      <c r="AG4" s="206">
        <f t="shared" si="25"/>
        <v>45778</v>
      </c>
      <c r="AH4" s="206">
        <f t="shared" si="25"/>
        <v>45809</v>
      </c>
      <c r="AI4" s="206">
        <f t="shared" si="25"/>
        <v>45839</v>
      </c>
      <c r="AJ4" s="206">
        <f t="shared" si="25"/>
        <v>45870</v>
      </c>
      <c r="AK4" s="206">
        <f t="shared" si="25"/>
        <v>45901</v>
      </c>
      <c r="AL4" s="206">
        <f t="shared" si="25"/>
        <v>45931</v>
      </c>
      <c r="AM4" s="206">
        <f t="shared" si="25"/>
        <v>45962</v>
      </c>
      <c r="AN4" s="206">
        <v>45992</v>
      </c>
      <c r="AO4" s="351" t="s">
        <v>349</v>
      </c>
      <c r="AP4" s="352" t="s">
        <v>348</v>
      </c>
      <c r="AQ4" s="352" t="s">
        <v>772</v>
      </c>
      <c r="AR4" s="352" t="s">
        <v>490</v>
      </c>
      <c r="AS4" s="353" t="s">
        <v>773</v>
      </c>
      <c r="AU4">
        <f ca="1">MATCH(EOMONTH(TODAY(),-1)+1, $E$4:$AN$4, 0)</f>
        <v>32</v>
      </c>
    </row>
    <row r="5" spans="2:47" ht="15.75" x14ac:dyDescent="0.25">
      <c r="B5" t="str">
        <f>$D$2</f>
        <v>PC Annual Direct</v>
      </c>
      <c r="D5" s="223" t="s">
        <v>488</v>
      </c>
      <c r="E5" s="209">
        <v>3118.5534245087979</v>
      </c>
      <c r="F5" s="209">
        <v>3228.7589037424932</v>
      </c>
      <c r="G5" s="209">
        <v>4097.5218578292079</v>
      </c>
      <c r="H5" s="209">
        <v>3226.4726779845041</v>
      </c>
      <c r="I5" s="209">
        <v>3137.0273222462069</v>
      </c>
      <c r="J5" s="209">
        <v>2548.8989075097088</v>
      </c>
      <c r="K5" s="209">
        <v>2202.1557374933031</v>
      </c>
      <c r="L5" s="209">
        <v>2452.800546227802</v>
      </c>
      <c r="M5" s="209">
        <v>2305.8442627118066</v>
      </c>
      <c r="N5" s="209">
        <v>2692.3961746551986</v>
      </c>
      <c r="O5" s="209">
        <v>3437.4207655133077</v>
      </c>
      <c r="P5" s="238">
        <v>3451.3251363966006</v>
      </c>
      <c r="Q5" s="209">
        <v>3905.1666664672066</v>
      </c>
      <c r="R5" s="209">
        <v>5189.5437152705972</v>
      </c>
      <c r="S5" s="209">
        <v>7447.487671058786</v>
      </c>
      <c r="T5" s="209">
        <v>7282.2219180555767</v>
      </c>
      <c r="U5" s="209">
        <v>7038.6849313939729</v>
      </c>
      <c r="V5" s="209">
        <v>5950.1424659531849</v>
      </c>
      <c r="W5" s="209">
        <v>5167.3287670239697</v>
      </c>
      <c r="X5" s="209">
        <v>4486.8219177219817</v>
      </c>
      <c r="Y5" s="209">
        <v>4183.7068494535906</v>
      </c>
      <c r="Z5" s="209">
        <v>4064.71780819478</v>
      </c>
      <c r="AA5" s="209">
        <v>4331.0356165687917</v>
      </c>
      <c r="AB5" s="238">
        <v>4221.389041167974</v>
      </c>
      <c r="AC5" s="209">
        <v>4376.5150686055695</v>
      </c>
      <c r="AD5" s="209">
        <v>3577.1726028379871</v>
      </c>
      <c r="AE5" s="209">
        <v>4460.7452056019783</v>
      </c>
      <c r="AF5" s="209">
        <v>4430.989041217581</v>
      </c>
      <c r="AG5" s="209">
        <v>4333.095890529984</v>
      </c>
      <c r="AH5" s="209">
        <v>3764.6575343499853</v>
      </c>
      <c r="AI5" s="209">
        <v>3550.2465754399877</v>
      </c>
      <c r="AJ5" s="209">
        <v>1564.701369906001</v>
      </c>
      <c r="AK5" s="209">
        <v>0</v>
      </c>
      <c r="AL5" s="209">
        <v>0</v>
      </c>
      <c r="AM5" s="209">
        <v>0</v>
      </c>
      <c r="AN5" s="209">
        <v>0</v>
      </c>
      <c r="AO5" s="237">
        <f ca="1">IFERROR(AVERAGE(INDEX($E5:$AN5, $AU$4 - 3):INDEX($E5:$AN5, $AU$4)),"-")</f>
        <v>3303.1753425564893</v>
      </c>
      <c r="AP5" s="209">
        <f ca="1">IFERROR(AVERAGE(INDEX($E5:$AN5, $AU$4 - 11):INDEX($E5:$AN5, $AU$4)),"-")</f>
        <v>3904.9143836561848</v>
      </c>
      <c r="AQ5" s="209" cm="1">
        <f t="array" ref="AQ5">IFERROR(SUMPRODUCT((YEAR($E$4:$AN$4)=2024)*$E5:$AN5),"-")</f>
        <v>63268.247368330412</v>
      </c>
      <c r="AR5" s="209">
        <f ca="1">IFERROR(SUM(INDEX($E5:$AN5, $AU$4 - MONTH(TODAY())-11):INDEX($E5:$AN5, $AU$4-12)),"-")</f>
        <v>46467.398052945275</v>
      </c>
      <c r="AS5" s="238">
        <f ca="1">IFERROR(SUM(INDEX($E5:$AN5, $AU$4 - MONTH(TODAY())+1):INDEX($E5:$AN5, $AU$4)),"-")</f>
        <v>30058.123288489078</v>
      </c>
    </row>
    <row r="6" spans="2:47" ht="15.75" hidden="1" x14ac:dyDescent="0.25">
      <c r="B6" t="str">
        <f>$D$2&amp;"_W VYRs"</f>
        <v>PC Annual Direct_W VYRs</v>
      </c>
      <c r="D6" s="211" t="s">
        <v>306</v>
      </c>
      <c r="E6" s="31" t="str">
        <f>INDEX('Plan Figures'!$B$53:$AP$90,MATCH('Headline - Sales, NWP, GWP'!E$4,'Plan Figures'!$B$53:$B$90,0),MATCH('Headline - Sales, NWP, GWP'!$B6,'Plan Figures'!$B$1:$AP$1,0))</f>
        <v>-</v>
      </c>
      <c r="F6" s="31" t="str">
        <f>INDEX('Plan Figures'!$B$53:$AP$90,MATCH('Headline - Sales, NWP, GWP'!F$4,'Plan Figures'!$B$53:$B$90,0),MATCH('Headline - Sales, NWP, GWP'!$B6,'Plan Figures'!$B$1:$AP$1,0))</f>
        <v>-</v>
      </c>
      <c r="G6" s="31" t="str">
        <f>INDEX('Plan Figures'!$B$53:$AP$90,MATCH('Headline - Sales, NWP, GWP'!G$4,'Plan Figures'!$B$53:$B$90,0),MATCH('Headline - Sales, NWP, GWP'!$B6,'Plan Figures'!$B$1:$AP$1,0))</f>
        <v>-</v>
      </c>
      <c r="H6" s="31" t="str">
        <f>INDEX('Plan Figures'!$B$53:$AP$90,MATCH('Headline - Sales, NWP, GWP'!H$4,'Plan Figures'!$B$53:$B$90,0),MATCH('Headline - Sales, NWP, GWP'!$B6,'Plan Figures'!$B$1:$AP$1,0))</f>
        <v>-</v>
      </c>
      <c r="I6" s="31" t="str">
        <f>INDEX('Plan Figures'!$B$53:$AP$90,MATCH('Headline - Sales, NWP, GWP'!I$4,'Plan Figures'!$B$53:$B$90,0),MATCH('Headline - Sales, NWP, GWP'!$B6,'Plan Figures'!$B$1:$AP$1,0))</f>
        <v>-</v>
      </c>
      <c r="J6" s="31" t="str">
        <f>INDEX('Plan Figures'!$B$53:$AP$90,MATCH('Headline - Sales, NWP, GWP'!J$4,'Plan Figures'!$B$53:$B$90,0),MATCH('Headline - Sales, NWP, GWP'!$B6,'Plan Figures'!$B$1:$AP$1,0))</f>
        <v>-</v>
      </c>
      <c r="K6" s="31" t="str">
        <f>INDEX('Plan Figures'!$B$53:$AP$90,MATCH('Headline - Sales, NWP, GWP'!K$4,'Plan Figures'!$B$53:$B$90,0),MATCH('Headline - Sales, NWP, GWP'!$B6,'Plan Figures'!$B$1:$AP$1,0))</f>
        <v>-</v>
      </c>
      <c r="L6" s="31" t="str">
        <f>INDEX('Plan Figures'!$B$53:$AP$90,MATCH('Headline - Sales, NWP, GWP'!L$4,'Plan Figures'!$B$53:$B$90,0),MATCH('Headline - Sales, NWP, GWP'!$B6,'Plan Figures'!$B$1:$AP$1,0))</f>
        <v>-</v>
      </c>
      <c r="M6" s="31" t="str">
        <f>INDEX('Plan Figures'!$B$53:$AP$90,MATCH('Headline - Sales, NWP, GWP'!M$4,'Plan Figures'!$B$53:$B$90,0),MATCH('Headline - Sales, NWP, GWP'!$B6,'Plan Figures'!$B$1:$AP$1,0))</f>
        <v>-</v>
      </c>
      <c r="N6" s="31" t="str">
        <f>INDEX('Plan Figures'!$B$53:$AP$90,MATCH('Headline - Sales, NWP, GWP'!N$4,'Plan Figures'!$B$53:$B$90,0),MATCH('Headline - Sales, NWP, GWP'!$B6,'Plan Figures'!$B$1:$AP$1,0))</f>
        <v>-</v>
      </c>
      <c r="O6" s="31">
        <f>INDEX('Plan Figures'!$B$53:$AP$90,MATCH('Headline - Sales, NWP, GWP'!O$4,'Plan Figures'!$B$53:$B$90,0),MATCH('Headline - Sales, NWP, GWP'!$B6,'Plan Figures'!$B$1:$AP$1,0))</f>
        <v>1805.3047307239087</v>
      </c>
      <c r="P6" s="240">
        <f>INDEX('Plan Figures'!$B$53:$AP$90,MATCH('Headline - Sales, NWP, GWP'!P$4,'Plan Figures'!$B$53:$B$90,0),MATCH('Headline - Sales, NWP, GWP'!$B6,'Plan Figures'!$B$1:$AP$1,0))</f>
        <v>1821.9811234360554</v>
      </c>
      <c r="Q6" s="31">
        <f>INDEX('Plan Figures'!$B$53:$AP$90,MATCH('Headline - Sales, NWP, GWP'!Q$4,'Plan Figures'!$B$53:$B$90,0),MATCH('Headline - Sales, NWP, GWP'!$B6,'Plan Figures'!$B$1:$AP$1,0))</f>
        <v>4503.2861954105474</v>
      </c>
      <c r="R6" s="31">
        <f>INDEX('Plan Figures'!$B$53:$AP$90,MATCH('Headline - Sales, NWP, GWP'!R$4,'Plan Figures'!$B$53:$B$90,0),MATCH('Headline - Sales, NWP, GWP'!$B6,'Plan Figures'!$B$1:$AP$1,0))</f>
        <v>4495.9690465412996</v>
      </c>
      <c r="S6" s="31">
        <f>INDEX('Plan Figures'!$B$53:$AP$90,MATCH('Headline - Sales, NWP, GWP'!S$4,'Plan Figures'!$B$53:$B$90,0),MATCH('Headline - Sales, NWP, GWP'!$B6,'Plan Figures'!$B$1:$AP$1,0))</f>
        <v>4488.6665027596146</v>
      </c>
      <c r="T6" s="31">
        <f>INDEX('Plan Figures'!$B$53:$AP$90,MATCH('Headline - Sales, NWP, GWP'!T$4,'Plan Figures'!$B$53:$B$90,0),MATCH('Headline - Sales, NWP, GWP'!$B6,'Plan Figures'!$B$1:$AP$1,0))</f>
        <v>4481.3785349136224</v>
      </c>
      <c r="U6" s="31">
        <f>INDEX('Plan Figures'!$B$53:$AP$90,MATCH('Headline - Sales, NWP, GWP'!U$4,'Plan Figures'!$B$53:$B$90,0),MATCH('Headline - Sales, NWP, GWP'!$B6,'Plan Figures'!$B$1:$AP$1,0))</f>
        <v>4474.5260451073691</v>
      </c>
      <c r="V6" s="31">
        <f>INDEX('Plan Figures'!$B$53:$AP$90,MATCH('Headline - Sales, NWP, GWP'!V$4,'Plan Figures'!$B$53:$B$90,0),MATCH('Headline - Sales, NWP, GWP'!$B6,'Plan Figures'!$B$1:$AP$1,0))</f>
        <v>4552.1675911210768</v>
      </c>
      <c r="W6" s="31">
        <f>INDEX('Plan Figures'!$B$53:$AP$90,MATCH('Headline - Sales, NWP, GWP'!W$4,'Plan Figures'!$B$53:$B$90,0),MATCH('Headline - Sales, NWP, GWP'!$B6,'Plan Figures'!$B$1:$AP$1,0))</f>
        <v>4412.6803697813466</v>
      </c>
      <c r="X6" s="31">
        <f>INDEX('Plan Figures'!$B$53:$AP$90,MATCH('Headline - Sales, NWP, GWP'!X$4,'Plan Figures'!$B$53:$B$90,0),MATCH('Headline - Sales, NWP, GWP'!$B6,'Plan Figures'!$B$1:$AP$1,0))</f>
        <v>4272.1923251271</v>
      </c>
      <c r="Y6" s="31">
        <f>INDEX('Plan Figures'!$B$53:$AP$90,MATCH('Headline - Sales, NWP, GWP'!Y$4,'Plan Figures'!$B$53:$B$90,0),MATCH('Headline - Sales, NWP, GWP'!$B6,'Plan Figures'!$B$1:$AP$1,0))</f>
        <v>5421.0660928297339</v>
      </c>
      <c r="Z6" s="31">
        <f>INDEX('Plan Figures'!$B$53:$AP$90,MATCH('Headline - Sales, NWP, GWP'!Z$4,'Plan Figures'!$B$53:$B$90,0),MATCH('Headline - Sales, NWP, GWP'!$B6,'Plan Figures'!$B$1:$AP$1,0))</f>
        <v>5584.1779144489374</v>
      </c>
      <c r="AA6" s="31">
        <f>INDEX('Plan Figures'!$B$53:$AP$90,MATCH('Headline - Sales, NWP, GWP'!AA$4,'Plan Figures'!$B$53:$B$90,0),MATCH('Headline - Sales, NWP, GWP'!$B6,'Plan Figures'!$B$1:$AP$1,0))</f>
        <v>4540.374957976539</v>
      </c>
      <c r="AB6" s="240">
        <f>INDEX('Plan Figures'!$B$53:$AP$90,MATCH('Headline - Sales, NWP, GWP'!AB$4,'Plan Figures'!$B$53:$B$90,0),MATCH('Headline - Sales, NWP, GWP'!$B6,'Plan Figures'!$B$1:$AP$1,0))</f>
        <v>3970.7359201666245</v>
      </c>
      <c r="AC6" s="31">
        <f>INDEX('Plan Figures'!$B$53:$AP$90,MATCH('Headline - Sales, NWP, GWP'!AC$4,'Plan Figures'!$B$53:$B$90,0),MATCH('Headline - Sales, NWP, GWP'!$B6,'Plan Figures'!$B$1:$AP$1,0))</f>
        <v>7217.0898047463661</v>
      </c>
      <c r="AD6" s="31">
        <f>INDEX('Plan Figures'!$B$53:$AP$90,MATCH('Headline - Sales, NWP, GWP'!AD$4,'Plan Figures'!$B$53:$B$90,0),MATCH('Headline - Sales, NWP, GWP'!$B6,'Plan Figures'!$B$1:$AP$1,0))</f>
        <v>7190.2763448333644</v>
      </c>
      <c r="AE6" s="31">
        <f>INDEX('Plan Figures'!$B$53:$AP$90,MATCH('Headline - Sales, NWP, GWP'!AE$4,'Plan Figures'!$B$53:$B$90,0),MATCH('Headline - Sales, NWP, GWP'!$B6,'Plan Figures'!$B$1:$AP$1,0))</f>
        <v>7200.9757875271871</v>
      </c>
      <c r="AF6" s="31">
        <f>INDEX('Plan Figures'!$B$53:$AP$90,MATCH('Headline - Sales, NWP, GWP'!AF$4,'Plan Figures'!$B$53:$B$90,0),MATCH('Headline - Sales, NWP, GWP'!$B6,'Plan Figures'!$B$1:$AP$1,0))</f>
        <v>6341.4836958703108</v>
      </c>
      <c r="AG6" s="31">
        <f>INDEX('Plan Figures'!$B$53:$AP$90,MATCH('Headline - Sales, NWP, GWP'!AG$4,'Plan Figures'!$B$53:$B$90,0),MATCH('Headline - Sales, NWP, GWP'!$B6,'Plan Figures'!$B$1:$AP$1,0))</f>
        <v>6327.932231107442</v>
      </c>
      <c r="AH6" s="31">
        <f>INDEX('Plan Figures'!$B$53:$AP$90,MATCH('Headline - Sales, NWP, GWP'!AH$4,'Plan Figures'!$B$53:$B$90,0),MATCH('Headline - Sales, NWP, GWP'!$B6,'Plan Figures'!$B$1:$AP$1,0))</f>
        <v>6298.8858444112948</v>
      </c>
      <c r="AI6" s="31">
        <f>INDEX('Plan Figures'!$B$53:$AP$90,MATCH('Headline - Sales, NWP, GWP'!AI$4,'Plan Figures'!$B$53:$B$90,0),MATCH('Headline - Sales, NWP, GWP'!$B6,'Plan Figures'!$B$1:$AP$1,0))</f>
        <v>6312.6232636596178</v>
      </c>
      <c r="AJ6" s="31">
        <f>INDEX('Plan Figures'!$B$53:$AP$90,MATCH('Headline - Sales, NWP, GWP'!AJ$4,'Plan Figures'!$B$53:$B$90,0),MATCH('Headline - Sales, NWP, GWP'!$B6,'Plan Figures'!$B$1:$AP$1,0))</f>
        <v>6315.7757878176863</v>
      </c>
      <c r="AK6" s="31">
        <f>INDEX('Plan Figures'!$B$53:$AP$90,MATCH('Headline - Sales, NWP, GWP'!AK$4,'Plan Figures'!$B$53:$B$90,0),MATCH('Headline - Sales, NWP, GWP'!$B6,'Plan Figures'!$B$1:$AP$1,0))</f>
        <v>6320.8797710179078</v>
      </c>
      <c r="AL6" s="31">
        <f>INDEX('Plan Figures'!$B$53:$AP$90,MATCH('Headline - Sales, NWP, GWP'!AL$4,'Plan Figures'!$B$53:$B$90,0),MATCH('Headline - Sales, NWP, GWP'!$B6,'Plan Figures'!$B$1:$AP$1,0))</f>
        <v>6334.8631272626699</v>
      </c>
      <c r="AM6" s="31">
        <f>INDEX('Plan Figures'!$B$53:$AP$90,MATCH('Headline - Sales, NWP, GWP'!AM$4,'Plan Figures'!$B$53:$B$90,0),MATCH('Headline - Sales, NWP, GWP'!$B6,'Plan Figures'!$B$1:$AP$1,0))</f>
        <v>5889.6529600246777</v>
      </c>
      <c r="AN6" s="31">
        <f>INDEX('Plan Figures'!$B$53:$AP$90,MATCH('Headline - Sales, NWP, GWP'!AN$4,'Plan Figures'!$B$53:$B$90,0),MATCH('Headline - Sales, NWP, GWP'!$B6,'Plan Figures'!$B$1:$AP$1,0))</f>
        <v>4984.4107780443683</v>
      </c>
      <c r="AO6" s="239">
        <f t="shared" ref="AO6:AO7" si="26">AVERAGE(Z6:AC6)</f>
        <v>5328.0946493346164</v>
      </c>
      <c r="AP6" s="31">
        <f t="shared" ref="AP6:AP7" si="27">AVERAGE(R6:AC6)</f>
        <v>4825.9187587933029</v>
      </c>
      <c r="AQ6" s="31">
        <f>SUMIFS(AC6:AN6,AC$4:AN$4,"&lt;"&amp;'Title Sheet'!$C$13)</f>
        <v>53205.042759973265</v>
      </c>
      <c r="AR6" s="31"/>
      <c r="AS6" s="240"/>
    </row>
    <row r="7" spans="2:47" ht="15.75" hidden="1" x14ac:dyDescent="0.25">
      <c r="B7" t="str">
        <f t="shared" ref="B7:B25" si="28">$D$2</f>
        <v>PC Annual Direct</v>
      </c>
      <c r="D7" s="213" t="s">
        <v>0</v>
      </c>
      <c r="E7" s="214" t="str">
        <f t="shared" ref="E7:AB7" si="29">IFERROR(IF(E5=0,"-",(E5/E6)-1),"-")</f>
        <v>-</v>
      </c>
      <c r="F7" s="214" t="str">
        <f t="shared" si="29"/>
        <v>-</v>
      </c>
      <c r="G7" s="214" t="str">
        <f t="shared" si="29"/>
        <v>-</v>
      </c>
      <c r="H7" s="214" t="str">
        <f t="shared" si="29"/>
        <v>-</v>
      </c>
      <c r="I7" s="214" t="str">
        <f t="shared" si="29"/>
        <v>-</v>
      </c>
      <c r="J7" s="214" t="str">
        <f t="shared" si="29"/>
        <v>-</v>
      </c>
      <c r="K7" s="214" t="str">
        <f t="shared" si="29"/>
        <v>-</v>
      </c>
      <c r="L7" s="214" t="str">
        <f t="shared" si="29"/>
        <v>-</v>
      </c>
      <c r="M7" s="214" t="str">
        <f t="shared" si="29"/>
        <v>-</v>
      </c>
      <c r="N7" s="214" t="str">
        <f t="shared" si="29"/>
        <v>-</v>
      </c>
      <c r="O7" s="214">
        <f t="shared" si="29"/>
        <v>0.90406677998065033</v>
      </c>
      <c r="P7" s="294">
        <f t="shared" si="29"/>
        <v>0.8942705234441628</v>
      </c>
      <c r="Q7" s="214">
        <f t="shared" si="29"/>
        <v>-0.13281845811907422</v>
      </c>
      <c r="R7" s="214">
        <f t="shared" si="29"/>
        <v>0.1542658905231693</v>
      </c>
      <c r="S7" s="214">
        <f t="shared" si="29"/>
        <v>0.65917598611527484</v>
      </c>
      <c r="T7" s="214">
        <f t="shared" si="29"/>
        <v>0.62499593848657997</v>
      </c>
      <c r="U7" s="214">
        <f t="shared" si="29"/>
        <v>0.5730570926255667</v>
      </c>
      <c r="V7" s="214">
        <f t="shared" si="29"/>
        <v>0.30710092430666069</v>
      </c>
      <c r="W7" s="214">
        <f t="shared" si="29"/>
        <v>0.17101814181026143</v>
      </c>
      <c r="X7" s="214">
        <f t="shared" si="29"/>
        <v>5.0238747757802793E-2</v>
      </c>
      <c r="Y7" s="214">
        <f t="shared" si="29"/>
        <v>-0.22825016743713156</v>
      </c>
      <c r="Z7" s="214">
        <f t="shared" si="29"/>
        <v>-0.27210094834596654</v>
      </c>
      <c r="AA7" s="214">
        <f t="shared" si="29"/>
        <v>-4.6106179191209629E-2</v>
      </c>
      <c r="AB7" s="294">
        <f t="shared" si="29"/>
        <v>6.3125104776756702E-2</v>
      </c>
      <c r="AC7" s="214">
        <f t="shared" ref="AC7" si="30">IFERROR(IF(AC5=0,"-",(AC5/AC6)-1),"-")</f>
        <v>-0.39359004986645363</v>
      </c>
      <c r="AD7" s="214">
        <f t="shared" ref="AD7:AN7" si="31">IFERROR(IF(AD5=0,"-",(AD5/AD6)-1),"-")</f>
        <v>-0.50249859236517447</v>
      </c>
      <c r="AE7" s="214">
        <f t="shared" si="31"/>
        <v>-0.3805360082825946</v>
      </c>
      <c r="AF7" s="214">
        <f t="shared" si="31"/>
        <v>-0.3012693474079069</v>
      </c>
      <c r="AG7" s="214">
        <f t="shared" si="31"/>
        <v>-0.31524300003894712</v>
      </c>
      <c r="AH7" s="214">
        <f t="shared" si="31"/>
        <v>-0.40232961394431543</v>
      </c>
      <c r="AI7" s="214">
        <f t="shared" si="31"/>
        <v>-0.4375956829424662</v>
      </c>
      <c r="AJ7" s="214">
        <f t="shared" si="31"/>
        <v>-0.7522550795859303</v>
      </c>
      <c r="AK7" s="214" t="str">
        <f t="shared" si="31"/>
        <v>-</v>
      </c>
      <c r="AL7" s="214" t="str">
        <f t="shared" si="31"/>
        <v>-</v>
      </c>
      <c r="AM7" s="214" t="str">
        <f t="shared" si="31"/>
        <v>-</v>
      </c>
      <c r="AN7" s="214" t="str">
        <f t="shared" si="31"/>
        <v>-</v>
      </c>
      <c r="AO7" s="241">
        <f t="shared" si="26"/>
        <v>-0.16216801815671827</v>
      </c>
      <c r="AP7" s="242">
        <f t="shared" si="27"/>
        <v>0.13857754013010923</v>
      </c>
      <c r="AQ7" s="242">
        <f t="shared" ref="AQ7" si="32">IFERROR(IF(AQ5=0,"-",(AQ5/AQ6)-1),"-")</f>
        <v>0.18914005301632431</v>
      </c>
      <c r="AR7" s="242"/>
      <c r="AS7" s="243"/>
    </row>
    <row r="8" spans="2:47" ht="15.75" x14ac:dyDescent="0.25">
      <c r="B8" t="str">
        <f t="shared" si="28"/>
        <v>PC Annual Direct</v>
      </c>
      <c r="D8" s="208" t="s">
        <v>5</v>
      </c>
      <c r="E8" s="283">
        <v>2208005.6496426212</v>
      </c>
      <c r="F8" s="283">
        <v>2104308.2696422241</v>
      </c>
      <c r="G8" s="283">
        <v>2456511.1425000848</v>
      </c>
      <c r="H8" s="283">
        <v>2119678.9700000095</v>
      </c>
      <c r="I8" s="283">
        <v>2503083.7114287056</v>
      </c>
      <c r="J8" s="283">
        <v>2326402.3532152595</v>
      </c>
      <c r="K8" s="283">
        <v>2586552.0971442568</v>
      </c>
      <c r="L8" s="283">
        <v>2889602.6789283464</v>
      </c>
      <c r="M8" s="283">
        <v>2786376.2885710821</v>
      </c>
      <c r="N8" s="283">
        <v>3276141.9724995322</v>
      </c>
      <c r="O8" s="283">
        <v>3859445.6228565644</v>
      </c>
      <c r="P8" s="314">
        <v>3907503.0424986864</v>
      </c>
      <c r="Q8" s="283">
        <v>4603605.0449992958</v>
      </c>
      <c r="R8" s="283">
        <v>6559876.9246424157</v>
      </c>
      <c r="S8" s="283">
        <v>9490679.516430432</v>
      </c>
      <c r="T8" s="283">
        <v>8447883.3864311483</v>
      </c>
      <c r="U8" s="283">
        <v>7902950.3367846571</v>
      </c>
      <c r="V8" s="283">
        <v>6592604.4128562771</v>
      </c>
      <c r="W8" s="283">
        <v>5758898.2246453585</v>
      </c>
      <c r="X8" s="283">
        <v>5049238.0975014018</v>
      </c>
      <c r="Y8" s="283">
        <v>4624546.0832145568</v>
      </c>
      <c r="Z8" s="283">
        <v>4470377.7921425188</v>
      </c>
      <c r="AA8" s="283">
        <v>4825949.0414281022</v>
      </c>
      <c r="AB8" s="314">
        <v>4706820.47035731</v>
      </c>
      <c r="AC8" s="283">
        <v>4624004.8835720457</v>
      </c>
      <c r="AD8" s="283">
        <v>3762028.6049991315</v>
      </c>
      <c r="AE8" s="283">
        <v>4764039.7289272519</v>
      </c>
      <c r="AF8" s="283">
        <v>4680704.3510695305</v>
      </c>
      <c r="AG8" s="283">
        <v>4575589.0100000594</v>
      </c>
      <c r="AH8" s="283">
        <v>3990446.8135739006</v>
      </c>
      <c r="AI8" s="283">
        <v>3838700.4739286243</v>
      </c>
      <c r="AJ8" s="283">
        <v>1790845.5453566599</v>
      </c>
      <c r="AK8" s="283">
        <v>0</v>
      </c>
      <c r="AL8" s="283">
        <v>0</v>
      </c>
      <c r="AM8" s="283">
        <v>0</v>
      </c>
      <c r="AN8" s="283">
        <v>0</v>
      </c>
      <c r="AO8" s="282">
        <f ca="1">IFERROR(AVERAGE(INDEX($E8:$AN8, $AU$4 - 3):INDEX($E8:$AN8, $AU$4)),"-")</f>
        <v>3548895.460714811</v>
      </c>
      <c r="AP8" s="283">
        <f ca="1">IFERROR(AVERAGE(INDEX($E8:$AN8, $AU$4 - 11):INDEX($E8:$AN8, $AU$4)),"-")</f>
        <v>4221171.0665474739</v>
      </c>
      <c r="AQ8" s="283" cm="1">
        <f t="array" ref="AQ8">IFERROR(SUMPRODUCT((YEAR($E$4:$AN$4)=2024)*$E8:$AN8),"-")</f>
        <v>73033429.33143349</v>
      </c>
      <c r="AR8" s="283">
        <f ca="1">IFERROR(SUM(INDEX($E8:$AN8, $AU$4 - MONTH(TODAY())-11):INDEX($E8:$AN8, $AU$4-12)),"-")</f>
        <v>54405735.944291003</v>
      </c>
      <c r="AS8" s="314">
        <f ca="1">IFERROR(SUM(INDEX($E8:$AN8, $AU$4 - MONTH(TODAY())+1):INDEX($E8:$AN8, $AU$4)),"-")</f>
        <v>32026359.411427204</v>
      </c>
    </row>
    <row r="9" spans="2:47" ht="15.75" x14ac:dyDescent="0.25">
      <c r="B9" t="str">
        <f>$D$2&amp;"_NWP"</f>
        <v>PC Annual Direct_NWP</v>
      </c>
      <c r="D9" s="211" t="s">
        <v>6</v>
      </c>
      <c r="E9" s="385" t="str">
        <f>INDEX('Plan Figures'!$B$53:$AP$90,MATCH('Headline - Sales, NWP, GWP'!E$4,'Plan Figures'!$B$53:$B$90,0),MATCH('Headline - Sales, NWP, GWP'!$B9,'Plan Figures'!$B$1:$AP$1,0))</f>
        <v>-</v>
      </c>
      <c r="F9" s="385" t="str">
        <f>INDEX('Plan Figures'!$B$53:$AP$90,MATCH('Headline - Sales, NWP, GWP'!F$4,'Plan Figures'!$B$53:$B$90,0),MATCH('Headline - Sales, NWP, GWP'!$B9,'Plan Figures'!$B$1:$AP$1,0))</f>
        <v>-</v>
      </c>
      <c r="G9" s="385" t="str">
        <f>INDEX('Plan Figures'!$B$53:$AP$90,MATCH('Headline - Sales, NWP, GWP'!G$4,'Plan Figures'!$B$53:$B$90,0),MATCH('Headline - Sales, NWP, GWP'!$B9,'Plan Figures'!$B$1:$AP$1,0))</f>
        <v>-</v>
      </c>
      <c r="H9" s="385" t="str">
        <f>INDEX('Plan Figures'!$B$53:$AP$90,MATCH('Headline - Sales, NWP, GWP'!H$4,'Plan Figures'!$B$53:$B$90,0),MATCH('Headline - Sales, NWP, GWP'!$B9,'Plan Figures'!$B$1:$AP$1,0))</f>
        <v>-</v>
      </c>
      <c r="I9" s="385" t="str">
        <f>INDEX('Plan Figures'!$B$53:$AP$90,MATCH('Headline - Sales, NWP, GWP'!I$4,'Plan Figures'!$B$53:$B$90,0),MATCH('Headline - Sales, NWP, GWP'!$B9,'Plan Figures'!$B$1:$AP$1,0))</f>
        <v>-</v>
      </c>
      <c r="J9" s="385" t="str">
        <f>INDEX('Plan Figures'!$B$53:$AP$90,MATCH('Headline - Sales, NWP, GWP'!J$4,'Plan Figures'!$B$53:$B$90,0),MATCH('Headline - Sales, NWP, GWP'!$B9,'Plan Figures'!$B$1:$AP$1,0))</f>
        <v>-</v>
      </c>
      <c r="K9" s="385" t="str">
        <f>INDEX('Plan Figures'!$B$53:$AP$90,MATCH('Headline - Sales, NWP, GWP'!K$4,'Plan Figures'!$B$53:$B$90,0),MATCH('Headline - Sales, NWP, GWP'!$B9,'Plan Figures'!$B$1:$AP$1,0))</f>
        <v>-</v>
      </c>
      <c r="L9" s="385" t="str">
        <f>INDEX('Plan Figures'!$B$53:$AP$90,MATCH('Headline - Sales, NWP, GWP'!L$4,'Plan Figures'!$B$53:$B$90,0),MATCH('Headline - Sales, NWP, GWP'!$B9,'Plan Figures'!$B$1:$AP$1,0))</f>
        <v>-</v>
      </c>
      <c r="M9" s="385" t="str">
        <f>INDEX('Plan Figures'!$B$53:$AP$90,MATCH('Headline - Sales, NWP, GWP'!M$4,'Plan Figures'!$B$53:$B$90,0),MATCH('Headline - Sales, NWP, GWP'!$B9,'Plan Figures'!$B$1:$AP$1,0))</f>
        <v>-</v>
      </c>
      <c r="N9" s="385" t="str">
        <f>INDEX('Plan Figures'!$B$53:$AP$90,MATCH('Headline - Sales, NWP, GWP'!N$4,'Plan Figures'!$B$53:$B$90,0),MATCH('Headline - Sales, NWP, GWP'!$B9,'Plan Figures'!$B$1:$AP$1,0))</f>
        <v>-</v>
      </c>
      <c r="O9" s="385">
        <f>INDEX('Plan Figures'!$B$53:$AP$90,MATCH('Headline - Sales, NWP, GWP'!O$4,'Plan Figures'!$B$53:$B$90,0),MATCH('Headline - Sales, NWP, GWP'!$B9,'Plan Figures'!$B$1:$AP$1,0))</f>
        <v>3242495.1725031096</v>
      </c>
      <c r="P9" s="386">
        <f>INDEX('Plan Figures'!$B$53:$AP$90,MATCH('Headline - Sales, NWP, GWP'!P$4,'Plan Figures'!$B$53:$B$90,0),MATCH('Headline - Sales, NWP, GWP'!$B9,'Plan Figures'!$B$1:$AP$1,0))</f>
        <v>3275084.0647190744</v>
      </c>
      <c r="Q9" s="385">
        <f>INDEX('Plan Figures'!$B$53:$AP$90,MATCH('Headline - Sales, NWP, GWP'!Q$4,'Plan Figures'!$B$53:$B$90,0),MATCH('Headline - Sales, NWP, GWP'!$B9,'Plan Figures'!$B$1:$AP$1,0))</f>
        <v>3508147.9372798749</v>
      </c>
      <c r="R9" s="385">
        <f>INDEX('Plan Figures'!$B$53:$AP$90,MATCH('Headline - Sales, NWP, GWP'!R$4,'Plan Figures'!$B$53:$B$90,0),MATCH('Headline - Sales, NWP, GWP'!$B9,'Plan Figures'!$B$1:$AP$1,0))</f>
        <v>6166782.3693075832</v>
      </c>
      <c r="S9" s="385">
        <f>INDEX('Plan Figures'!$B$53:$AP$90,MATCH('Headline - Sales, NWP, GWP'!S$4,'Plan Figures'!$B$53:$B$90,0),MATCH('Headline - Sales, NWP, GWP'!$B9,'Plan Figures'!$B$1:$AP$1,0))</f>
        <v>8513534.1356691141</v>
      </c>
      <c r="T9" s="385">
        <f>INDEX('Plan Figures'!$B$53:$AP$90,MATCH('Headline - Sales, NWP, GWP'!T$4,'Plan Figures'!$B$53:$B$90,0),MATCH('Headline - Sales, NWP, GWP'!$B9,'Plan Figures'!$B$1:$AP$1,0))</f>
        <v>8526374.6400824934</v>
      </c>
      <c r="U9" s="385">
        <f>INDEX('Plan Figures'!$B$53:$AP$90,MATCH('Headline - Sales, NWP, GWP'!U$4,'Plan Figures'!$B$53:$B$90,0),MATCH('Headline - Sales, NWP, GWP'!$B9,'Plan Figures'!$B$1:$AP$1,0))</f>
        <v>8435282.4547571167</v>
      </c>
      <c r="V9" s="385">
        <f>INDEX('Plan Figures'!$B$53:$AP$90,MATCH('Headline - Sales, NWP, GWP'!V$4,'Plan Figures'!$B$53:$B$90,0),MATCH('Headline - Sales, NWP, GWP'!$B9,'Plan Figures'!$B$1:$AP$1,0))</f>
        <v>8388512.1352420198</v>
      </c>
      <c r="W9" s="385">
        <f>INDEX('Plan Figures'!$B$53:$AP$90,MATCH('Headline - Sales, NWP, GWP'!W$4,'Plan Figures'!$B$53:$B$90,0),MATCH('Headline - Sales, NWP, GWP'!$B9,'Plan Figures'!$B$1:$AP$1,0))</f>
        <v>6025664.4935123501</v>
      </c>
      <c r="X9" s="385">
        <f>INDEX('Plan Figures'!$B$53:$AP$90,MATCH('Headline - Sales, NWP, GWP'!X$4,'Plan Figures'!$B$53:$B$90,0),MATCH('Headline - Sales, NWP, GWP'!$B9,'Plan Figures'!$B$1:$AP$1,0))</f>
        <v>5789208.3939690767</v>
      </c>
      <c r="Y9" s="385">
        <f>INDEX('Plan Figures'!$B$53:$AP$90,MATCH('Headline - Sales, NWP, GWP'!Y$4,'Plan Figures'!$B$53:$B$90,0),MATCH('Headline - Sales, NWP, GWP'!$B9,'Plan Figures'!$B$1:$AP$1,0))</f>
        <v>7283386.1676862948</v>
      </c>
      <c r="Z9" s="385">
        <f>INDEX('Plan Figures'!$B$53:$AP$90,MATCH('Headline - Sales, NWP, GWP'!Z$4,'Plan Figures'!$B$53:$B$90,0),MATCH('Headline - Sales, NWP, GWP'!$B9,'Plan Figures'!$B$1:$AP$1,0))</f>
        <v>7583243.8294645967</v>
      </c>
      <c r="AA9" s="385">
        <f>INDEX('Plan Figures'!$B$53:$AP$90,MATCH('Headline - Sales, NWP, GWP'!AA$4,'Plan Figures'!$B$53:$B$90,0),MATCH('Headline - Sales, NWP, GWP'!$B9,'Plan Figures'!$B$1:$AP$1,0))</f>
        <v>6329332.0374195743</v>
      </c>
      <c r="AB9" s="386">
        <f>INDEX('Plan Figures'!$B$53:$AP$90,MATCH('Headline - Sales, NWP, GWP'!AB$4,'Plan Figures'!$B$53:$B$90,0),MATCH('Headline - Sales, NWP, GWP'!$B9,'Plan Figures'!$B$1:$AP$1,0))</f>
        <v>5528395.9751686584</v>
      </c>
      <c r="AC9" s="385">
        <f>INDEX('Plan Figures'!$B$53:$AP$90,MATCH('Headline - Sales, NWP, GWP'!AC$4,'Plan Figures'!$B$53:$B$90,0),MATCH('Headline - Sales, NWP, GWP'!$B9,'Plan Figures'!$B$1:$AP$1,0))</f>
        <v>10081387.875720963</v>
      </c>
      <c r="AD9" s="385">
        <f>INDEX('Plan Figures'!$B$53:$AP$90,MATCH('Headline - Sales, NWP, GWP'!AD$4,'Plan Figures'!$B$53:$B$90,0),MATCH('Headline - Sales, NWP, GWP'!$B9,'Plan Figures'!$B$1:$AP$1,0))</f>
        <v>10046982.38031761</v>
      </c>
      <c r="AE9" s="385">
        <f>INDEX('Plan Figures'!$B$53:$AP$90,MATCH('Headline - Sales, NWP, GWP'!AE$4,'Plan Figures'!$B$53:$B$90,0),MATCH('Headline - Sales, NWP, GWP'!$B9,'Plan Figures'!$B$1:$AP$1,0))</f>
        <v>10046982.38031761</v>
      </c>
      <c r="AF9" s="385">
        <f>INDEX('Plan Figures'!$B$53:$AP$90,MATCH('Headline - Sales, NWP, GWP'!AF$4,'Plan Figures'!$B$53:$B$90,0),MATCH('Headline - Sales, NWP, GWP'!$B9,'Plan Figures'!$B$1:$AP$1,0))</f>
        <v>4295053.5499066357</v>
      </c>
      <c r="AG9" s="385">
        <f>INDEX('Plan Figures'!$B$53:$AP$90,MATCH('Headline - Sales, NWP, GWP'!AG$4,'Plan Figures'!$B$53:$B$90,0),MATCH('Headline - Sales, NWP, GWP'!$B9,'Plan Figures'!$B$1:$AP$1,0))</f>
        <v>4464067.9125272501</v>
      </c>
      <c r="AH9" s="385">
        <f>INDEX('Plan Figures'!$B$53:$AP$90,MATCH('Headline - Sales, NWP, GWP'!AH$4,'Plan Figures'!$B$53:$B$90,0),MATCH('Headline - Sales, NWP, GWP'!$B9,'Plan Figures'!$B$1:$AP$1,0))</f>
        <v>4408220.2782361265</v>
      </c>
      <c r="AI9" s="385">
        <f>INDEX('Plan Figures'!$B$53:$AP$90,MATCH('Headline - Sales, NWP, GWP'!AI$4,'Plan Figures'!$B$53:$B$90,0),MATCH('Headline - Sales, NWP, GWP'!$B9,'Plan Figures'!$B$1:$AP$1,0))</f>
        <v>4681841.3670253903</v>
      </c>
      <c r="AJ9" s="385">
        <f>INDEX('Plan Figures'!$B$53:$AP$90,MATCH('Headline - Sales, NWP, GWP'!AJ$4,'Plan Figures'!$B$53:$B$90,0),MATCH('Headline - Sales, NWP, GWP'!$B9,'Plan Figures'!$B$1:$AP$1,0))</f>
        <v>4833453.9461687803</v>
      </c>
      <c r="AK9" s="385">
        <f>INDEX('Plan Figures'!$B$53:$AP$90,MATCH('Headline - Sales, NWP, GWP'!AK$4,'Plan Figures'!$B$53:$B$90,0),MATCH('Headline - Sales, NWP, GWP'!$B9,'Plan Figures'!$B$1:$AP$1,0))</f>
        <v>4841905.0065684775</v>
      </c>
      <c r="AL9" s="385">
        <f>INDEX('Plan Figures'!$B$53:$AP$90,MATCH('Headline - Sales, NWP, GWP'!AL$4,'Plan Figures'!$B$53:$B$90,0),MATCH('Headline - Sales, NWP, GWP'!$B9,'Plan Figures'!$B$1:$AP$1,0))</f>
        <v>4746176.9808992464</v>
      </c>
      <c r="AM9" s="385">
        <f>INDEX('Plan Figures'!$B$53:$AP$90,MATCH('Headline - Sales, NWP, GWP'!AM$4,'Plan Figures'!$B$53:$B$90,0),MATCH('Headline - Sales, NWP, GWP'!$B9,'Plan Figures'!$B$1:$AP$1,0))</f>
        <v>5110888.4012968009</v>
      </c>
      <c r="AN9" s="385">
        <f>INDEX('Plan Figures'!$B$53:$AP$90,MATCH('Headline - Sales, NWP, GWP'!AN$4,'Plan Figures'!$B$53:$B$90,0),MATCH('Headline - Sales, NWP, GWP'!$B9,'Plan Figures'!$B$1:$AP$1,0))</f>
        <v>4919656.5722469334</v>
      </c>
      <c r="AO9" s="423">
        <f ca="1">IFERROR(AVERAGE(INDEX($E9:$AN9, $AU$4 - 3):INDEX($E9:$AN9, $AU$4)),"-")</f>
        <v>4596895.8759893868</v>
      </c>
      <c r="AP9" s="385">
        <f ca="1">IFERROR(AVERAGE(INDEX($E9:$AN9, $AU$4 - 11):INDEX($E9:$AN9, $AU$4)),"-")</f>
        <v>6631862.3083299575</v>
      </c>
      <c r="AQ9" s="385" t="str" cm="1">
        <f t="array" ref="AQ9">IFERROR(SUMPRODUCT((YEAR($E$4:$AN$4)=2024)*$E9:$AN9),"-")</f>
        <v>-</v>
      </c>
      <c r="AR9" s="385" t="s">
        <v>491</v>
      </c>
      <c r="AS9" s="386">
        <f ca="1">IFERROR(SUM(INDEX($E9:$AN9, $AU$4 - MONTH(TODAY())+1):INDEX($E9:$AN9, $AU$4)),"-")</f>
        <v>52857989.690220363</v>
      </c>
    </row>
    <row r="10" spans="2:47" ht="15.75" x14ac:dyDescent="0.25">
      <c r="B10" t="str">
        <f t="shared" si="28"/>
        <v>PC Annual Direct</v>
      </c>
      <c r="D10" s="213" t="s">
        <v>0</v>
      </c>
      <c r="E10" s="214" t="str">
        <f t="shared" ref="E10:AB10" si="33">IFERROR(IF(E8=0,"-",(E8/E9)-1),"-")</f>
        <v>-</v>
      </c>
      <c r="F10" s="214" t="str">
        <f t="shared" si="33"/>
        <v>-</v>
      </c>
      <c r="G10" s="214" t="str">
        <f t="shared" si="33"/>
        <v>-</v>
      </c>
      <c r="H10" s="214" t="str">
        <f t="shared" si="33"/>
        <v>-</v>
      </c>
      <c r="I10" s="214" t="str">
        <f t="shared" si="33"/>
        <v>-</v>
      </c>
      <c r="J10" s="214" t="str">
        <f t="shared" si="33"/>
        <v>-</v>
      </c>
      <c r="K10" s="214" t="str">
        <f t="shared" si="33"/>
        <v>-</v>
      </c>
      <c r="L10" s="214" t="str">
        <f t="shared" si="33"/>
        <v>-</v>
      </c>
      <c r="M10" s="214" t="str">
        <f t="shared" si="33"/>
        <v>-</v>
      </c>
      <c r="N10" s="214" t="str">
        <f t="shared" si="33"/>
        <v>-</v>
      </c>
      <c r="O10" s="214">
        <f t="shared" si="33"/>
        <v>0.1902702756769834</v>
      </c>
      <c r="P10" s="294">
        <f t="shared" si="33"/>
        <v>0.19310007477132007</v>
      </c>
      <c r="Q10" s="214">
        <f t="shared" si="33"/>
        <v>0.31226080749855978</v>
      </c>
      <c r="R10" s="214">
        <f t="shared" si="33"/>
        <v>6.3743867027201473E-2</v>
      </c>
      <c r="S10" s="214">
        <f t="shared" si="33"/>
        <v>0.11477552861007245</v>
      </c>
      <c r="T10" s="214">
        <f t="shared" si="33"/>
        <v>-9.2057007772515798E-3</v>
      </c>
      <c r="U10" s="214">
        <f t="shared" si="33"/>
        <v>-6.3107799985079205E-2</v>
      </c>
      <c r="V10" s="214">
        <f t="shared" si="33"/>
        <v>-0.21409133031360017</v>
      </c>
      <c r="W10" s="214">
        <f t="shared" si="33"/>
        <v>-4.4271676452316666E-2</v>
      </c>
      <c r="X10" s="214">
        <f t="shared" si="33"/>
        <v>-0.12781890823597586</v>
      </c>
      <c r="Y10" s="214">
        <f t="shared" si="33"/>
        <v>-0.36505548700246504</v>
      </c>
      <c r="Z10" s="214">
        <f t="shared" si="33"/>
        <v>-0.41049267402257028</v>
      </c>
      <c r="AA10" s="214">
        <f t="shared" si="33"/>
        <v>-0.23752632775517823</v>
      </c>
      <c r="AB10" s="294">
        <f t="shared" si="33"/>
        <v>-0.14861010472143033</v>
      </c>
      <c r="AC10" s="214">
        <f t="shared" ref="AC10" si="34">IFERROR(IF(AC8=0,"-",(AC8/AC9)-1),"-")</f>
        <v>-0.5413325089189307</v>
      </c>
      <c r="AD10" s="214">
        <f t="shared" ref="AD10:AN10" si="35">IFERROR(IF(AD8=0,"-",(AD8/AD9)-1),"-")</f>
        <v>-0.62555636482760457</v>
      </c>
      <c r="AE10" s="214">
        <f t="shared" si="35"/>
        <v>-0.52582381967144953</v>
      </c>
      <c r="AF10" s="214">
        <f t="shared" si="35"/>
        <v>8.9789521057607846E-2</v>
      </c>
      <c r="AG10" s="214">
        <f t="shared" si="35"/>
        <v>2.4981944642879172E-2</v>
      </c>
      <c r="AH10" s="214">
        <f t="shared" si="35"/>
        <v>-9.477145838759915E-2</v>
      </c>
      <c r="AI10" s="214">
        <f t="shared" si="35"/>
        <v>-0.18008745427281658</v>
      </c>
      <c r="AJ10" s="214">
        <f t="shared" si="35"/>
        <v>-0.62948947785544385</v>
      </c>
      <c r="AK10" s="214" t="str">
        <f t="shared" si="35"/>
        <v>-</v>
      </c>
      <c r="AL10" s="214" t="str">
        <f t="shared" si="35"/>
        <v>-</v>
      </c>
      <c r="AM10" s="214" t="str">
        <f t="shared" si="35"/>
        <v>-</v>
      </c>
      <c r="AN10" s="215" t="str">
        <f t="shared" si="35"/>
        <v>-</v>
      </c>
      <c r="AO10" s="242">
        <f ca="1">IFERROR(IF(AO8=0,"-",(AO8/AO9)-1),"-")</f>
        <v>-0.22798002033252829</v>
      </c>
      <c r="AP10" s="242">
        <f ca="1">IFERROR(IF(AP8=0,"-",(AP8/AP9)-1),"-")</f>
        <v>-0.36350140122097108</v>
      </c>
      <c r="AQ10" s="242"/>
      <c r="AR10" s="242"/>
      <c r="AS10" s="243">
        <f ca="1">IFERROR(IF(AS8=0,"-",(AS8/AS9)-1),"-")</f>
        <v>-0.39410561016185164</v>
      </c>
    </row>
    <row r="11" spans="2:47" ht="15.75" x14ac:dyDescent="0.25">
      <c r="B11" t="str">
        <f t="shared" si="28"/>
        <v>PC Annual Direct</v>
      </c>
      <c r="D11" s="208" t="s">
        <v>12</v>
      </c>
      <c r="E11" s="283">
        <f t="shared" ref="E11:AB11" si="36">IFERROR(E8/E5,"-")</f>
        <v>708.02239021779894</v>
      </c>
      <c r="F11" s="283">
        <f t="shared" si="36"/>
        <v>651.73905279923349</v>
      </c>
      <c r="G11" s="283">
        <f t="shared" si="36"/>
        <v>599.51141878752526</v>
      </c>
      <c r="H11" s="283">
        <f t="shared" si="36"/>
        <v>656.96479764524747</v>
      </c>
      <c r="I11" s="283">
        <f t="shared" si="36"/>
        <v>797.91581465615718</v>
      </c>
      <c r="J11" s="283">
        <f t="shared" si="36"/>
        <v>912.70875685225587</v>
      </c>
      <c r="K11" s="283">
        <f t="shared" si="36"/>
        <v>1174.5545753673666</v>
      </c>
      <c r="L11" s="283">
        <f t="shared" si="36"/>
        <v>1178.0830216188222</v>
      </c>
      <c r="M11" s="283">
        <f t="shared" si="36"/>
        <v>1208.3974332655675</v>
      </c>
      <c r="N11" s="283">
        <f t="shared" si="36"/>
        <v>1216.8127422477455</v>
      </c>
      <c r="O11" s="283">
        <f t="shared" si="36"/>
        <v>1122.7736975284829</v>
      </c>
      <c r="P11" s="314">
        <f t="shared" si="36"/>
        <v>1132.1747120523</v>
      </c>
      <c r="Q11" s="283">
        <f t="shared" si="36"/>
        <v>1178.8498259317389</v>
      </c>
      <c r="R11" s="283">
        <f t="shared" si="36"/>
        <v>1264.0565885088349</v>
      </c>
      <c r="S11" s="283">
        <f t="shared" si="36"/>
        <v>1274.3464555586397</v>
      </c>
      <c r="T11" s="283">
        <f t="shared" si="36"/>
        <v>1160.0694789986317</v>
      </c>
      <c r="U11" s="283">
        <f t="shared" si="36"/>
        <v>1122.7879090788513</v>
      </c>
      <c r="V11" s="283">
        <f t="shared" si="36"/>
        <v>1107.9742124796626</v>
      </c>
      <c r="W11" s="283">
        <f t="shared" si="36"/>
        <v>1114.4826436042877</v>
      </c>
      <c r="X11" s="283">
        <f t="shared" si="36"/>
        <v>1125.3484515527566</v>
      </c>
      <c r="Y11" s="283">
        <f t="shared" si="36"/>
        <v>1105.3704883310697</v>
      </c>
      <c r="Z11" s="283">
        <f t="shared" si="36"/>
        <v>1099.8002821081202</v>
      </c>
      <c r="AA11" s="283">
        <f t="shared" si="36"/>
        <v>1114.2713818759587</v>
      </c>
      <c r="AB11" s="314">
        <f t="shared" si="36"/>
        <v>1114.9932935475256</v>
      </c>
      <c r="AC11" s="283">
        <f t="shared" ref="AC11" si="37">IFERROR(AC8/AC5,"-")</f>
        <v>1056.5495173869767</v>
      </c>
      <c r="AD11" s="283">
        <f t="shared" ref="AD11:AN11" si="38">IFERROR(AD8/AD5,"-")</f>
        <v>1051.6765676932914</v>
      </c>
      <c r="AE11" s="283">
        <f t="shared" si="38"/>
        <v>1067.9918958259227</v>
      </c>
      <c r="AF11" s="283">
        <f t="shared" si="38"/>
        <v>1056.3565622774213</v>
      </c>
      <c r="AG11" s="283">
        <f t="shared" si="38"/>
        <v>1055.9630171120943</v>
      </c>
      <c r="AH11" s="283">
        <f t="shared" si="38"/>
        <v>1059.9760475325415</v>
      </c>
      <c r="AI11" s="283">
        <f t="shared" si="38"/>
        <v>1081.2489759117332</v>
      </c>
      <c r="AJ11" s="283">
        <f t="shared" si="38"/>
        <v>1144.528649236272</v>
      </c>
      <c r="AK11" s="283" t="str">
        <f t="shared" si="38"/>
        <v>-</v>
      </c>
      <c r="AL11" s="283" t="str">
        <f t="shared" si="38"/>
        <v>-</v>
      </c>
      <c r="AM11" s="283" t="str">
        <f t="shared" si="38"/>
        <v>-</v>
      </c>
      <c r="AN11" s="283" t="str">
        <f t="shared" si="38"/>
        <v>-</v>
      </c>
      <c r="AO11" s="282">
        <f ca="1">IFERROR(AO8/AO5,"-")</f>
        <v>1074.3890628488848</v>
      </c>
      <c r="AP11" s="283">
        <f t="shared" ref="AP11:AS11" ca="1" si="39">IFERROR(AP8/AP5,"-")</f>
        <v>1080.9894025372143</v>
      </c>
      <c r="AQ11" s="283">
        <f t="shared" si="39"/>
        <v>1154.345700557388</v>
      </c>
      <c r="AR11" s="283">
        <f t="shared" ca="1" si="39"/>
        <v>1170.8367204529234</v>
      </c>
      <c r="AS11" s="314">
        <f t="shared" ca="1" si="39"/>
        <v>1065.4810050530291</v>
      </c>
    </row>
    <row r="12" spans="2:47" ht="15.75" hidden="1" x14ac:dyDescent="0.25">
      <c r="B12" t="str">
        <f t="shared" si="28"/>
        <v>PC Annual Direct</v>
      </c>
      <c r="D12" s="211" t="s">
        <v>13</v>
      </c>
      <c r="E12" s="385" t="str">
        <f t="shared" ref="E12:AB12" si="40">IFERROR(E9/E6,"-")</f>
        <v>-</v>
      </c>
      <c r="F12" s="385" t="str">
        <f t="shared" si="40"/>
        <v>-</v>
      </c>
      <c r="G12" s="385" t="str">
        <f t="shared" si="40"/>
        <v>-</v>
      </c>
      <c r="H12" s="385" t="str">
        <f t="shared" si="40"/>
        <v>-</v>
      </c>
      <c r="I12" s="385" t="str">
        <f t="shared" si="40"/>
        <v>-</v>
      </c>
      <c r="J12" s="385" t="str">
        <f t="shared" si="40"/>
        <v>-</v>
      </c>
      <c r="K12" s="385" t="str">
        <f t="shared" si="40"/>
        <v>-</v>
      </c>
      <c r="L12" s="385" t="str">
        <f t="shared" si="40"/>
        <v>-</v>
      </c>
      <c r="M12" s="385" t="str">
        <f t="shared" si="40"/>
        <v>-</v>
      </c>
      <c r="N12" s="385" t="str">
        <f t="shared" si="40"/>
        <v>-</v>
      </c>
      <c r="O12" s="385">
        <f t="shared" si="40"/>
        <v>1796.0929904631128</v>
      </c>
      <c r="P12" s="386">
        <f t="shared" si="40"/>
        <v>1797.5400637206533</v>
      </c>
      <c r="Q12" s="385">
        <f t="shared" si="40"/>
        <v>779.01953929891204</v>
      </c>
      <c r="R12" s="385">
        <f t="shared" si="40"/>
        <v>1371.6247388428135</v>
      </c>
      <c r="S12" s="385">
        <f t="shared" si="40"/>
        <v>1896.6733506343201</v>
      </c>
      <c r="T12" s="385">
        <f t="shared" si="40"/>
        <v>1902.6231713422615</v>
      </c>
      <c r="U12" s="385">
        <f t="shared" si="40"/>
        <v>1885.1789820243871</v>
      </c>
      <c r="V12" s="385">
        <f t="shared" si="40"/>
        <v>1842.7511657531384</v>
      </c>
      <c r="W12" s="385">
        <f t="shared" si="40"/>
        <v>1365.5338679812262</v>
      </c>
      <c r="X12" s="385">
        <f t="shared" si="40"/>
        <v>1355.0907715272028</v>
      </c>
      <c r="Y12" s="385">
        <f t="shared" si="40"/>
        <v>1343.5339180460815</v>
      </c>
      <c r="Z12" s="385">
        <f t="shared" si="40"/>
        <v>1357.9875042740168</v>
      </c>
      <c r="AA12" s="385">
        <f t="shared" si="40"/>
        <v>1394.0108682654484</v>
      </c>
      <c r="AB12" s="386">
        <f t="shared" si="40"/>
        <v>1392.2849784824446</v>
      </c>
      <c r="AC12" s="385">
        <f t="shared" ref="AC12" si="41">IFERROR(AC9/AC6,"-")</f>
        <v>1396.8771552615117</v>
      </c>
      <c r="AD12" s="385">
        <f t="shared" ref="AD12:AN12" si="42">IFERROR(AD9/AD6,"-")</f>
        <v>1397.301285580902</v>
      </c>
      <c r="AE12" s="385">
        <f t="shared" si="42"/>
        <v>1395.2251301441663</v>
      </c>
      <c r="AF12" s="385">
        <f t="shared" si="42"/>
        <v>677.29473982621016</v>
      </c>
      <c r="AG12" s="385">
        <f t="shared" si="42"/>
        <v>705.45444380430729</v>
      </c>
      <c r="AH12" s="385">
        <f t="shared" si="42"/>
        <v>699.84127147618221</v>
      </c>
      <c r="AI12" s="385">
        <f t="shared" si="42"/>
        <v>741.66335792248526</v>
      </c>
      <c r="AJ12" s="385">
        <f t="shared" si="42"/>
        <v>765.29853315753974</v>
      </c>
      <c r="AK12" s="385">
        <f t="shared" si="42"/>
        <v>766.01757697864616</v>
      </c>
      <c r="AL12" s="385">
        <f t="shared" si="42"/>
        <v>749.21539511621563</v>
      </c>
      <c r="AM12" s="385">
        <f t="shared" si="42"/>
        <v>867.77411775979863</v>
      </c>
      <c r="AN12" s="385">
        <f t="shared" si="42"/>
        <v>987.0086538447697</v>
      </c>
      <c r="AO12" s="423">
        <f t="shared" ref="AO12:AP12" ca="1" si="43">IFERROR(AO9/AO6,0)</f>
        <v>862.76543089628797</v>
      </c>
      <c r="AP12" s="385">
        <f t="shared" ca="1" si="43"/>
        <v>1374.2175614220705</v>
      </c>
      <c r="AQ12" s="385">
        <f>SUMIFS(AB12:AM12,AB$4:AM$4,"&lt;"&amp;'Title Sheet'!$C$13)</f>
        <v>9171.2408956557501</v>
      </c>
      <c r="AR12" s="385">
        <f>SUMIFS(AC12:AN12,AC$4:AN$4,"&lt;"&amp;'Title Sheet'!$C$13)</f>
        <v>7778.9559171733063</v>
      </c>
      <c r="AS12" s="386"/>
    </row>
    <row r="13" spans="2:47" ht="15.75" hidden="1" x14ac:dyDescent="0.25">
      <c r="B13" t="str">
        <f t="shared" si="28"/>
        <v>PC Annual Direct</v>
      </c>
      <c r="D13" s="213" t="s">
        <v>0</v>
      </c>
      <c r="E13" s="387" t="str">
        <f t="shared" ref="E13:AB13" si="44">IFERROR(IF(E11=0,"-",(E11/E12)-1),"-")</f>
        <v>-</v>
      </c>
      <c r="F13" s="387" t="str">
        <f t="shared" si="44"/>
        <v>-</v>
      </c>
      <c r="G13" s="387" t="str">
        <f t="shared" si="44"/>
        <v>-</v>
      </c>
      <c r="H13" s="387" t="str">
        <f t="shared" si="44"/>
        <v>-</v>
      </c>
      <c r="I13" s="387" t="str">
        <f t="shared" si="44"/>
        <v>-</v>
      </c>
      <c r="J13" s="387" t="str">
        <f t="shared" si="44"/>
        <v>-</v>
      </c>
      <c r="K13" s="387" t="str">
        <f t="shared" si="44"/>
        <v>-</v>
      </c>
      <c r="L13" s="387" t="str">
        <f t="shared" si="44"/>
        <v>-</v>
      </c>
      <c r="M13" s="387" t="str">
        <f t="shared" si="44"/>
        <v>-</v>
      </c>
      <c r="N13" s="387" t="str">
        <f t="shared" si="44"/>
        <v>-</v>
      </c>
      <c r="O13" s="387">
        <f t="shared" si="44"/>
        <v>-0.37487997364825643</v>
      </c>
      <c r="P13" s="388">
        <f t="shared" si="44"/>
        <v>-0.37015328064017738</v>
      </c>
      <c r="Q13" s="387">
        <f t="shared" si="44"/>
        <v>0.51324808488457041</v>
      </c>
      <c r="R13" s="387">
        <f t="shared" si="44"/>
        <v>-7.8423891963868786E-2</v>
      </c>
      <c r="S13" s="387">
        <f t="shared" si="44"/>
        <v>-0.32811495709978233</v>
      </c>
      <c r="T13" s="387">
        <f t="shared" si="44"/>
        <v>-0.39027890731498527</v>
      </c>
      <c r="U13" s="387">
        <f t="shared" si="44"/>
        <v>-0.40441309828674576</v>
      </c>
      <c r="V13" s="387">
        <f t="shared" si="44"/>
        <v>-0.39873910646702537</v>
      </c>
      <c r="W13" s="387">
        <f t="shared" si="44"/>
        <v>-0.18384840556762383</v>
      </c>
      <c r="X13" s="387">
        <f t="shared" si="44"/>
        <v>-0.16954017015075973</v>
      </c>
      <c r="Y13" s="387">
        <f t="shared" si="44"/>
        <v>-0.17726640653879122</v>
      </c>
      <c r="Z13" s="387">
        <f t="shared" si="44"/>
        <v>-0.19012488800765814</v>
      </c>
      <c r="AA13" s="387">
        <f t="shared" si="44"/>
        <v>-0.20067238552993949</v>
      </c>
      <c r="AB13" s="388">
        <f t="shared" si="44"/>
        <v>-0.19916302281531462</v>
      </c>
      <c r="AC13" s="387">
        <f t="shared" ref="AC13" si="45">IFERROR(IF(AC11=0,"-",(AC11/AC12)-1),"-")</f>
        <v>-0.24363462212310405</v>
      </c>
      <c r="AD13" s="387">
        <f t="shared" ref="AD13:AN13" si="46">IFERROR(IF(AD11=0,"-",(AD11/AD12)-1),"-")</f>
        <v>-0.2473516065963709</v>
      </c>
      <c r="AE13" s="387">
        <f t="shared" si="46"/>
        <v>-0.23453794462864297</v>
      </c>
      <c r="AF13" s="387">
        <f t="shared" si="46"/>
        <v>0.55967040663637246</v>
      </c>
      <c r="AG13" s="387">
        <f t="shared" si="46"/>
        <v>0.49685500798265281</v>
      </c>
      <c r="AH13" s="387">
        <f t="shared" si="46"/>
        <v>0.51459493850187399</v>
      </c>
      <c r="AI13" s="387">
        <f t="shared" si="46"/>
        <v>0.45787029163808257</v>
      </c>
      <c r="AJ13" s="387">
        <f t="shared" si="46"/>
        <v>0.49553226570821907</v>
      </c>
      <c r="AK13" s="387" t="str">
        <f t="shared" si="46"/>
        <v>-</v>
      </c>
      <c r="AL13" s="387" t="str">
        <f t="shared" si="46"/>
        <v>-</v>
      </c>
      <c r="AM13" s="387" t="str">
        <f t="shared" si="46"/>
        <v>-</v>
      </c>
      <c r="AN13" s="387" t="str">
        <f t="shared" si="46"/>
        <v>-</v>
      </c>
      <c r="AO13" s="426">
        <f t="shared" ref="AO13:AP13" ca="1" si="47">AO11-AO12</f>
        <v>211.62363195259684</v>
      </c>
      <c r="AP13" s="427">
        <f t="shared" ca="1" si="47"/>
        <v>-293.22815888485616</v>
      </c>
      <c r="AQ13" s="427">
        <f t="shared" ref="AQ13:AR13" si="48">IFERROR(IF(AQ11=0,"-",(AQ11/AQ12)-1),"-")</f>
        <v>-0.87413418601792692</v>
      </c>
      <c r="AR13" s="427">
        <f t="shared" ca="1" si="48"/>
        <v>-0.84948664924709094</v>
      </c>
      <c r="AS13" s="428"/>
    </row>
    <row r="14" spans="2:47" ht="15.75" x14ac:dyDescent="0.25">
      <c r="B14" t="str">
        <f t="shared" si="28"/>
        <v>PC Annual Direct</v>
      </c>
      <c r="D14" s="208" t="s">
        <v>7</v>
      </c>
      <c r="E14" s="283">
        <v>2828288.6696430603</v>
      </c>
      <c r="F14" s="283">
        <v>2781869.6696423157</v>
      </c>
      <c r="G14" s="283">
        <v>3074378.0625007381</v>
      </c>
      <c r="H14" s="283">
        <v>2685427.7499998505</v>
      </c>
      <c r="I14" s="283">
        <v>3109545.0714287567</v>
      </c>
      <c r="J14" s="283">
        <v>2901704.9732156345</v>
      </c>
      <c r="K14" s="283">
        <v>3171588.8571442924</v>
      </c>
      <c r="L14" s="283">
        <v>3538078.5089283949</v>
      </c>
      <c r="M14" s="283">
        <v>3473652.9285714957</v>
      </c>
      <c r="N14" s="283">
        <v>4069277.5624997821</v>
      </c>
      <c r="O14" s="283">
        <v>4883834.6428560773</v>
      </c>
      <c r="P14" s="314">
        <v>4778675.8124983786</v>
      </c>
      <c r="Q14" s="283">
        <v>5503586.6249990603</v>
      </c>
      <c r="R14" s="283">
        <v>7534195.2946429998</v>
      </c>
      <c r="S14" s="283">
        <v>10295453.946430229</v>
      </c>
      <c r="T14" s="283">
        <v>9179937.9464304857</v>
      </c>
      <c r="U14" s="283">
        <v>8542704.7767849267</v>
      </c>
      <c r="V14" s="283">
        <v>7164884.3928561416</v>
      </c>
      <c r="W14" s="283">
        <v>6217113.5446457798</v>
      </c>
      <c r="X14" s="283">
        <v>5449021.4375014352</v>
      </c>
      <c r="Y14" s="283">
        <v>5022813.9732144745</v>
      </c>
      <c r="Z14" s="283">
        <v>4839571.7321430463</v>
      </c>
      <c r="AA14" s="283">
        <v>5250812.0714279171</v>
      </c>
      <c r="AB14" s="314">
        <v>5109251.0803583972</v>
      </c>
      <c r="AC14" s="283">
        <v>5009135.8035720056</v>
      </c>
      <c r="AD14" s="283">
        <v>4067956.8750001779</v>
      </c>
      <c r="AE14" s="283">
        <v>5009476.5089269523</v>
      </c>
      <c r="AF14" s="283">
        <v>4865261.7410692358</v>
      </c>
      <c r="AG14" s="283">
        <v>4761935.9999995707</v>
      </c>
      <c r="AH14" s="283">
        <v>4150039.8035740457</v>
      </c>
      <c r="AI14" s="283">
        <v>3997287.8839285988</v>
      </c>
      <c r="AJ14" s="283">
        <v>1864612.4553566219</v>
      </c>
      <c r="AK14" s="283">
        <v>0</v>
      </c>
      <c r="AL14" s="283">
        <v>0</v>
      </c>
      <c r="AM14" s="283">
        <v>0</v>
      </c>
      <c r="AN14" s="283">
        <v>0</v>
      </c>
      <c r="AO14" s="282">
        <f ca="1">IFERROR(AVERAGE(INDEX($E14:$AN14, $AU$4 - 3):INDEX($E14:$AN14, $AU$4)),"-")</f>
        <v>3693469.0357147092</v>
      </c>
      <c r="AP14" s="283">
        <f ca="1">IFERROR(AVERAGE(INDEX($E14:$AN14, $AU$4 - 11):INDEX($E14:$AN14, $AU$4)),"-")</f>
        <v>4495679.6607142529</v>
      </c>
      <c r="AQ14" s="283" cm="1">
        <f t="array" ref="AQ14">IFERROR(SUMPRODUCT((YEAR($E$4:$AN$4)=2024)*$E14:$AN14),"-")</f>
        <v>80109346.8214349</v>
      </c>
      <c r="AR14" s="283">
        <f ca="1">IFERROR(SUM(INDEX($E14:$AN14, $AU$4 - MONTH(TODAY())-11):INDEX($E14:$AN14, $AU$4-12)),"-")</f>
        <v>59886897.964291058</v>
      </c>
      <c r="AS14" s="314">
        <f ca="1">IFERROR(SUM(INDEX($E14:$AN14, $AU$4 - MONTH(TODAY())+1):INDEX($E14:$AN14, $AU$4)),"-")</f>
        <v>33725707.071427204</v>
      </c>
    </row>
    <row r="15" spans="2:47" ht="15.75" hidden="1" x14ac:dyDescent="0.25">
      <c r="B15" t="str">
        <f>$D$2&amp;"_GWP"</f>
        <v>PC Annual Direct_GWP</v>
      </c>
      <c r="D15" s="211" t="s">
        <v>23</v>
      </c>
      <c r="E15" s="31" t="str">
        <f>INDEX('Plan Figures'!$B$53:$AP$79,MATCH('Headline - Sales, NWP, GWP'!E$4,'Plan Figures'!$B$53:$B$79,0),MATCH('Headline - Sales, NWP, GWP'!$B15,'Plan Figures'!$B$1:$AP$1,0))</f>
        <v>-</v>
      </c>
      <c r="F15" s="31" t="str">
        <f>INDEX('Plan Figures'!$B$53:$AP$79,MATCH('Headline - Sales, NWP, GWP'!F$4,'Plan Figures'!$B$53:$B$79,0),MATCH('Headline - Sales, NWP, GWP'!$B15,'Plan Figures'!$B$1:$AP$1,0))</f>
        <v>-</v>
      </c>
      <c r="G15" s="31" t="str">
        <f>INDEX('Plan Figures'!$B$53:$AP$79,MATCH('Headline - Sales, NWP, GWP'!G$4,'Plan Figures'!$B$53:$B$79,0),MATCH('Headline - Sales, NWP, GWP'!$B15,'Plan Figures'!$B$1:$AP$1,0))</f>
        <v>-</v>
      </c>
      <c r="H15" s="31" t="str">
        <f>INDEX('Plan Figures'!$B$53:$AP$79,MATCH('Headline - Sales, NWP, GWP'!H$4,'Plan Figures'!$B$53:$B$79,0),MATCH('Headline - Sales, NWP, GWP'!$B15,'Plan Figures'!$B$1:$AP$1,0))</f>
        <v>-</v>
      </c>
      <c r="I15" s="31" t="str">
        <f>INDEX('Plan Figures'!$B$53:$AP$79,MATCH('Headline - Sales, NWP, GWP'!I$4,'Plan Figures'!$B$53:$B$79,0),MATCH('Headline - Sales, NWP, GWP'!$B15,'Plan Figures'!$B$1:$AP$1,0))</f>
        <v>-</v>
      </c>
      <c r="J15" s="31" t="str">
        <f>INDEX('Plan Figures'!$B$53:$AP$79,MATCH('Headline - Sales, NWP, GWP'!J$4,'Plan Figures'!$B$53:$B$79,0),MATCH('Headline - Sales, NWP, GWP'!$B15,'Plan Figures'!$B$1:$AP$1,0))</f>
        <v>-</v>
      </c>
      <c r="K15" s="31" t="str">
        <f>INDEX('Plan Figures'!$B$53:$AP$79,MATCH('Headline - Sales, NWP, GWP'!K$4,'Plan Figures'!$B$53:$B$79,0),MATCH('Headline - Sales, NWP, GWP'!$B15,'Plan Figures'!$B$1:$AP$1,0))</f>
        <v>-</v>
      </c>
      <c r="L15" s="31" t="str">
        <f>INDEX('Plan Figures'!$B$53:$AP$79,MATCH('Headline - Sales, NWP, GWP'!L$4,'Plan Figures'!$B$53:$B$79,0),MATCH('Headline - Sales, NWP, GWP'!$B15,'Plan Figures'!$B$1:$AP$1,0))</f>
        <v>-</v>
      </c>
      <c r="M15" s="31" t="str">
        <f>INDEX('Plan Figures'!$B$53:$AP$79,MATCH('Headline - Sales, NWP, GWP'!M$4,'Plan Figures'!$B$53:$B$79,0),MATCH('Headline - Sales, NWP, GWP'!$B15,'Plan Figures'!$B$1:$AP$1,0))</f>
        <v>-</v>
      </c>
      <c r="N15" s="31" t="str">
        <f>INDEX('Plan Figures'!$B$53:$AP$79,MATCH('Headline - Sales, NWP, GWP'!N$4,'Plan Figures'!$B$53:$B$79,0),MATCH('Headline - Sales, NWP, GWP'!$B15,'Plan Figures'!$B$1:$AP$1,0))</f>
        <v>-</v>
      </c>
      <c r="O15" s="31">
        <f>INDEX('Plan Figures'!$B$53:$AP$79,MATCH('Headline - Sales, NWP, GWP'!O$4,'Plan Figures'!$B$53:$B$79,0),MATCH('Headline - Sales, NWP, GWP'!$B15,'Plan Figures'!$B$1:$AP$1,0))</f>
        <v>2954887.0314119942</v>
      </c>
      <c r="P15" s="240">
        <f>INDEX('Plan Figures'!$B$53:$AP$79,MATCH('Headline - Sales, NWP, GWP'!P$4,'Plan Figures'!$B$53:$B$79,0),MATCH('Headline - Sales, NWP, GWP'!$B15,'Plan Figures'!$B$1:$AP$1,0))</f>
        <v>3044708.365990527</v>
      </c>
      <c r="Q15" s="31">
        <f>INDEX('Plan Figures'!$B$53:$AP$79,MATCH('Headline - Sales, NWP, GWP'!Q$4,'Plan Figures'!$B$53:$B$79,0),MATCH('Headline - Sales, NWP, GWP'!$B15,'Plan Figures'!$B$1:$AP$1,0))</f>
        <v>7845398.4416597756</v>
      </c>
      <c r="R15" s="31">
        <f>INDEX('Plan Figures'!$B$53:$AP$79,MATCH('Headline - Sales, NWP, GWP'!R$4,'Plan Figures'!$B$53:$B$79,0),MATCH('Headline - Sales, NWP, GWP'!$B15,'Plan Figures'!$B$1:$AP$1,0))</f>
        <v>7845398.4416597756</v>
      </c>
      <c r="S15" s="31">
        <f>INDEX('Plan Figures'!$B$53:$AP$79,MATCH('Headline - Sales, NWP, GWP'!S$4,'Plan Figures'!$B$53:$B$79,0),MATCH('Headline - Sales, NWP, GWP'!$B15,'Plan Figures'!$B$1:$AP$1,0))</f>
        <v>7845398.4416597756</v>
      </c>
      <c r="T15" s="31">
        <f>INDEX('Plan Figures'!$B$53:$AP$79,MATCH('Headline - Sales, NWP, GWP'!T$4,'Plan Figures'!$B$53:$B$79,0),MATCH('Headline - Sales, NWP, GWP'!$B15,'Plan Figures'!$B$1:$AP$1,0))</f>
        <v>7845398.4416597756</v>
      </c>
      <c r="U15" s="31">
        <f>INDEX('Plan Figures'!$B$53:$AP$79,MATCH('Headline - Sales, NWP, GWP'!U$4,'Plan Figures'!$B$53:$B$79,0),MATCH('Headline - Sales, NWP, GWP'!$B15,'Plan Figures'!$B$1:$AP$1,0))</f>
        <v>7846231.6185190007</v>
      </c>
      <c r="V15" s="31">
        <f>INDEX('Plan Figures'!$B$53:$AP$79,MATCH('Headline - Sales, NWP, GWP'!V$4,'Plan Figures'!$B$53:$B$79,0),MATCH('Headline - Sales, NWP, GWP'!$B15,'Plan Figures'!$B$1:$AP$1,0))</f>
        <v>7978793.7698578034</v>
      </c>
      <c r="W15" s="31">
        <f>INDEX('Plan Figures'!$B$53:$AP$79,MATCH('Headline - Sales, NWP, GWP'!W$4,'Plan Figures'!$B$53:$B$79,0),MATCH('Headline - Sales, NWP, GWP'!$B15,'Plan Figures'!$B$1:$AP$1,0))</f>
        <v>6201132.0250373501</v>
      </c>
      <c r="X15" s="31">
        <f>INDEX('Plan Figures'!$B$53:$AP$79,MATCH('Headline - Sales, NWP, GWP'!X$4,'Plan Figures'!$B$53:$B$79,0),MATCH('Headline - Sales, NWP, GWP'!$B15,'Plan Figures'!$B$1:$AP$1,0))</f>
        <v>5905644.0222835969</v>
      </c>
      <c r="Y15" s="31">
        <f>INDEX('Plan Figures'!$B$53:$AP$79,MATCH('Headline - Sales, NWP, GWP'!Y$4,'Plan Figures'!$B$53:$B$79,0),MATCH('Headline - Sales, NWP, GWP'!$B15,'Plan Figures'!$B$1:$AP$1,0))</f>
        <v>7243071.157288434</v>
      </c>
      <c r="Z15" s="31">
        <f>INDEX('Plan Figures'!$B$53:$AP$79,MATCH('Headline - Sales, NWP, GWP'!Z$4,'Plan Figures'!$B$53:$B$79,0),MATCH('Headline - Sales, NWP, GWP'!$B15,'Plan Figures'!$B$1:$AP$1,0))</f>
        <v>7441623.0130220624</v>
      </c>
      <c r="AA15" s="31">
        <f>INDEX('Plan Figures'!$B$53:$AP$79,MATCH('Headline - Sales, NWP, GWP'!AA$4,'Plan Figures'!$B$53:$B$79,0),MATCH('Headline - Sales, NWP, GWP'!$B15,'Plan Figures'!$B$1:$AP$1,0))</f>
        <v>6089948.8885620777</v>
      </c>
      <c r="AB15" s="240">
        <f>INDEX('Plan Figures'!$B$53:$AP$79,MATCH('Headline - Sales, NWP, GWP'!AB$4,'Plan Figures'!$B$53:$B$79,0),MATCH('Headline - Sales, NWP, GWP'!$B15,'Plan Figures'!$B$1:$AP$1,0))</f>
        <v>5285089.0859930776</v>
      </c>
      <c r="AC15" s="31">
        <f>INDEX('Plan Figures'!$B$53:$AP$79,MATCH('Headline - Sales, NWP, GWP'!AC$4,'Plan Figures'!$B$53:$B$79,0),MATCH('Headline - Sales, NWP, GWP'!$B15,'Plan Figures'!$B$1:$AP$1,0))</f>
        <v>9598643.9836839736</v>
      </c>
      <c r="AD15" s="31" t="e">
        <f>INDEX('Plan Figures'!$B$53:$AP$79,MATCH('Headline - Sales, NWP, GWP'!AD$4,'Plan Figures'!$B$53:$B$79,0),MATCH('Headline - Sales, NWP, GWP'!$B15,'Plan Figures'!$B$1:$AP$1,0))</f>
        <v>#N/A</v>
      </c>
      <c r="AE15" s="31" t="e">
        <f>INDEX('Plan Figures'!$B$53:$AP$79,MATCH('Headline - Sales, NWP, GWP'!AE$4,'Plan Figures'!$B$53:$B$79,0),MATCH('Headline - Sales, NWP, GWP'!$B15,'Plan Figures'!$B$1:$AP$1,0))</f>
        <v>#N/A</v>
      </c>
      <c r="AF15" s="31" t="e">
        <f>INDEX('Plan Figures'!$B$53:$AP$79,MATCH('Headline - Sales, NWP, GWP'!AF$4,'Plan Figures'!$B$53:$B$79,0),MATCH('Headline - Sales, NWP, GWP'!$B15,'Plan Figures'!$B$1:$AP$1,0))</f>
        <v>#N/A</v>
      </c>
      <c r="AG15" s="31" t="e">
        <f>INDEX('Plan Figures'!$B$53:$AP$79,MATCH('Headline - Sales, NWP, GWP'!AG$4,'Plan Figures'!$B$53:$B$79,0),MATCH('Headline - Sales, NWP, GWP'!$B15,'Plan Figures'!$B$1:$AP$1,0))</f>
        <v>#N/A</v>
      </c>
      <c r="AH15" s="31" t="e">
        <f>INDEX('Plan Figures'!$B$53:$AP$79,MATCH('Headline - Sales, NWP, GWP'!AH$4,'Plan Figures'!$B$53:$B$79,0),MATCH('Headline - Sales, NWP, GWP'!$B15,'Plan Figures'!$B$1:$AP$1,0))</f>
        <v>#N/A</v>
      </c>
      <c r="AI15" s="31" t="e">
        <f>INDEX('Plan Figures'!$B$53:$AP$79,MATCH('Headline - Sales, NWP, GWP'!AI$4,'Plan Figures'!$B$53:$B$79,0),MATCH('Headline - Sales, NWP, GWP'!$B15,'Plan Figures'!$B$1:$AP$1,0))</f>
        <v>#N/A</v>
      </c>
      <c r="AJ15" s="31" t="e">
        <f>INDEX('Plan Figures'!$B$53:$AP$79,MATCH('Headline - Sales, NWP, GWP'!AJ$4,'Plan Figures'!$B$53:$B$79,0),MATCH('Headline - Sales, NWP, GWP'!$B15,'Plan Figures'!$B$1:$AP$1,0))</f>
        <v>#N/A</v>
      </c>
      <c r="AK15" s="31" t="e">
        <f>INDEX('Plan Figures'!$B$53:$AP$79,MATCH('Headline - Sales, NWP, GWP'!AK$4,'Plan Figures'!$B$53:$B$79,0),MATCH('Headline - Sales, NWP, GWP'!$B15,'Plan Figures'!$B$1:$AP$1,0))</f>
        <v>#N/A</v>
      </c>
      <c r="AL15" s="31" t="e">
        <f>INDEX('Plan Figures'!$B$53:$AP$79,MATCH('Headline - Sales, NWP, GWP'!AL$4,'Plan Figures'!$B$53:$B$79,0),MATCH('Headline - Sales, NWP, GWP'!$B15,'Plan Figures'!$B$1:$AP$1,0))</f>
        <v>#N/A</v>
      </c>
      <c r="AM15" s="31" t="e">
        <f>INDEX('Plan Figures'!$B$53:$AP$79,MATCH('Headline - Sales, NWP, GWP'!AM$4,'Plan Figures'!$B$53:$B$79,0),MATCH('Headline - Sales, NWP, GWP'!$B15,'Plan Figures'!$B$1:$AP$1,0))</f>
        <v>#N/A</v>
      </c>
      <c r="AN15" s="31" t="e">
        <f>INDEX('Plan Figures'!$B$53:$AP$79,MATCH('Headline - Sales, NWP, GWP'!AN$4,'Plan Figures'!$B$53:$B$79,0),MATCH('Headline - Sales, NWP, GWP'!$B15,'Plan Figures'!$B$1:$AP$1,0))</f>
        <v>#N/A</v>
      </c>
      <c r="AO15" s="239">
        <f t="shared" ref="AO15:AO16" si="49">AVERAGE(Z15:AC15)</f>
        <v>7103826.242815298</v>
      </c>
      <c r="AP15" s="31">
        <f t="shared" ref="AP15:AP16" si="50">AVERAGE(R15:AC15)</f>
        <v>7260531.0741022257</v>
      </c>
      <c r="AQ15" s="31" t="e">
        <f>SUMIFS(AC15:AN15,AC$4:AN$4,"&lt;"&amp;'Title Sheet'!$C$13)</f>
        <v>#N/A</v>
      </c>
      <c r="AR15" s="31"/>
      <c r="AS15" s="240"/>
    </row>
    <row r="16" spans="2:47" ht="15.75" hidden="1" x14ac:dyDescent="0.25">
      <c r="B16" t="str">
        <f t="shared" si="28"/>
        <v>PC Annual Direct</v>
      </c>
      <c r="D16" s="213" t="s">
        <v>0</v>
      </c>
      <c r="E16" s="214" t="str">
        <f t="shared" ref="E16:AB16" si="51">IFERROR(IF(E14=0,"-",(E14/E15)-1),"-")</f>
        <v>-</v>
      </c>
      <c r="F16" s="214" t="str">
        <f t="shared" si="51"/>
        <v>-</v>
      </c>
      <c r="G16" s="214" t="str">
        <f t="shared" si="51"/>
        <v>-</v>
      </c>
      <c r="H16" s="214" t="str">
        <f t="shared" si="51"/>
        <v>-</v>
      </c>
      <c r="I16" s="214" t="str">
        <f t="shared" si="51"/>
        <v>-</v>
      </c>
      <c r="J16" s="214" t="str">
        <f t="shared" si="51"/>
        <v>-</v>
      </c>
      <c r="K16" s="214" t="str">
        <f t="shared" si="51"/>
        <v>-</v>
      </c>
      <c r="L16" s="214" t="str">
        <f t="shared" si="51"/>
        <v>-</v>
      </c>
      <c r="M16" s="214" t="str">
        <f t="shared" si="51"/>
        <v>-</v>
      </c>
      <c r="N16" s="214" t="str">
        <f t="shared" si="51"/>
        <v>-</v>
      </c>
      <c r="O16" s="214">
        <f t="shared" si="51"/>
        <v>0.65279910566406141</v>
      </c>
      <c r="P16" s="294">
        <f t="shared" si="51"/>
        <v>0.56950198116716666</v>
      </c>
      <c r="Q16" s="214">
        <f t="shared" si="51"/>
        <v>-0.29849495013860383</v>
      </c>
      <c r="R16" s="214">
        <f t="shared" si="51"/>
        <v>-3.9666965206541782E-2</v>
      </c>
      <c r="S16" s="214">
        <f t="shared" si="51"/>
        <v>0.31229204265272714</v>
      </c>
      <c r="T16" s="214">
        <f t="shared" si="51"/>
        <v>0.17010474543704301</v>
      </c>
      <c r="U16" s="214">
        <f t="shared" si="51"/>
        <v>8.87653069815173E-2</v>
      </c>
      <c r="V16" s="214">
        <f t="shared" si="51"/>
        <v>-0.10200907561697348</v>
      </c>
      <c r="W16" s="214">
        <f t="shared" si="51"/>
        <v>2.5771938968406349E-3</v>
      </c>
      <c r="X16" s="214">
        <f t="shared" si="51"/>
        <v>-7.7319693340675566E-2</v>
      </c>
      <c r="Y16" s="214">
        <f t="shared" si="51"/>
        <v>-0.30653532677775741</v>
      </c>
      <c r="Z16" s="214">
        <f t="shared" si="51"/>
        <v>-0.34966179774569317</v>
      </c>
      <c r="AA16" s="214">
        <f t="shared" si="51"/>
        <v>-0.13779045316951621</v>
      </c>
      <c r="AB16" s="294">
        <f t="shared" si="51"/>
        <v>-3.3270584993675634E-2</v>
      </c>
      <c r="AC16" s="214">
        <f t="shared" ref="AC16" si="52">IFERROR(IF(AC14=0,"-",(AC14/AC15)-1),"-")</f>
        <v>-0.47814130703392421</v>
      </c>
      <c r="AD16" s="214" t="str">
        <f t="shared" ref="AD16:AN16" si="53">IFERROR(IF(AD14=0,"-",(AD14/AD15)-1),"-")</f>
        <v>-</v>
      </c>
      <c r="AE16" s="214" t="str">
        <f t="shared" si="53"/>
        <v>-</v>
      </c>
      <c r="AF16" s="214" t="str">
        <f t="shared" si="53"/>
        <v>-</v>
      </c>
      <c r="AG16" s="214" t="str">
        <f t="shared" si="53"/>
        <v>-</v>
      </c>
      <c r="AH16" s="214" t="str">
        <f t="shared" si="53"/>
        <v>-</v>
      </c>
      <c r="AI16" s="214" t="str">
        <f t="shared" si="53"/>
        <v>-</v>
      </c>
      <c r="AJ16" s="214" t="str">
        <f t="shared" si="53"/>
        <v>-</v>
      </c>
      <c r="AK16" s="214" t="str">
        <f t="shared" si="53"/>
        <v>-</v>
      </c>
      <c r="AL16" s="214" t="str">
        <f t="shared" si="53"/>
        <v>-</v>
      </c>
      <c r="AM16" s="214" t="str">
        <f t="shared" si="53"/>
        <v>-</v>
      </c>
      <c r="AN16" s="214" t="str">
        <f t="shared" si="53"/>
        <v>-</v>
      </c>
      <c r="AO16" s="241">
        <f t="shared" si="49"/>
        <v>-0.24971603573570231</v>
      </c>
      <c r="AP16" s="242">
        <f t="shared" si="50"/>
        <v>-7.9221326243052448E-2</v>
      </c>
      <c r="AQ16" s="242" t="str">
        <f t="shared" ref="AQ16" si="54">IFERROR(IF(AQ14=0,"-",(AQ14/AQ15)-1),"-")</f>
        <v>-</v>
      </c>
      <c r="AR16" s="242"/>
      <c r="AS16" s="243"/>
    </row>
    <row r="17" spans="2:45" ht="15.75" thickBot="1" x14ac:dyDescent="0.3">
      <c r="B17" t="str">
        <f t="shared" si="28"/>
        <v>PC Annual Direct</v>
      </c>
      <c r="D17" s="216" t="s">
        <v>17</v>
      </c>
      <c r="E17" s="217"/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95"/>
      <c r="Q17" s="217"/>
      <c r="R17" s="217"/>
      <c r="S17" s="217"/>
      <c r="T17" s="217"/>
      <c r="U17" s="217"/>
      <c r="V17" s="217"/>
      <c r="W17" s="217"/>
      <c r="X17" s="217"/>
      <c r="Y17" s="217"/>
      <c r="Z17" s="217"/>
      <c r="AA17" s="217"/>
      <c r="AB17" s="295"/>
      <c r="AC17" s="217"/>
      <c r="AD17" s="217"/>
      <c r="AE17" s="217"/>
      <c r="AF17" s="217"/>
      <c r="AG17" s="217"/>
      <c r="AH17" s="217"/>
      <c r="AI17" s="217"/>
      <c r="AJ17" s="217"/>
      <c r="AK17" s="217"/>
      <c r="AL17" s="217"/>
      <c r="AM17" s="217"/>
      <c r="AN17" s="217"/>
      <c r="AO17" s="244"/>
      <c r="AP17" s="245"/>
      <c r="AQ17" s="245"/>
      <c r="AR17" s="245"/>
      <c r="AS17" s="246"/>
    </row>
    <row r="18" spans="2:45" ht="15.75" x14ac:dyDescent="0.25">
      <c r="B18" t="str">
        <f t="shared" si="28"/>
        <v>PC Annual Direct</v>
      </c>
      <c r="D18" s="408" t="s">
        <v>14</v>
      </c>
      <c r="E18" s="409">
        <v>0.16131066283910109</v>
      </c>
      <c r="F18" s="409">
        <v>0.14115774160281983</v>
      </c>
      <c r="G18" s="409">
        <v>0.17813316673070206</v>
      </c>
      <c r="H18" s="409">
        <v>0.16582588751451816</v>
      </c>
      <c r="I18" s="409">
        <v>0.15246700372868802</v>
      </c>
      <c r="J18" s="409">
        <v>0.17008354555544306</v>
      </c>
      <c r="K18" s="409">
        <v>0.16880046693129111</v>
      </c>
      <c r="L18" s="409">
        <v>0.16301404238051573</v>
      </c>
      <c r="M18" s="409">
        <v>0.16369566611660677</v>
      </c>
      <c r="N18" s="409">
        <v>0.16277483652241811</v>
      </c>
      <c r="O18" s="409">
        <v>0.16097235215559391</v>
      </c>
      <c r="P18" s="410">
        <v>0.15771854370795851</v>
      </c>
      <c r="Q18" s="409">
        <v>0.20340143006288255</v>
      </c>
      <c r="R18" s="409">
        <v>0.14021842926632433</v>
      </c>
      <c r="S18" s="409">
        <v>9.5560662513664157E-2</v>
      </c>
      <c r="T18" s="409">
        <v>9.1843377909451296E-2</v>
      </c>
      <c r="U18" s="409">
        <v>9.0753339868083371E-2</v>
      </c>
      <c r="V18" s="409">
        <v>9.1414623612478763E-2</v>
      </c>
      <c r="W18" s="409">
        <v>8.9695167378867818E-2</v>
      </c>
      <c r="X18" s="409">
        <v>8.811036174234517E-2</v>
      </c>
      <c r="Y18" s="409">
        <v>8.7690119990257887E-2</v>
      </c>
      <c r="Z18" s="409">
        <v>8.5153505890497513E-2</v>
      </c>
      <c r="AA18" s="409">
        <v>8.3313033117342408E-2</v>
      </c>
      <c r="AB18" s="410">
        <v>7.8855224310648023E-2</v>
      </c>
      <c r="AC18" s="409">
        <v>7.6886773507982883E-2</v>
      </c>
      <c r="AD18" s="409">
        <v>7.5204403439266251E-2</v>
      </c>
      <c r="AE18" s="409">
        <v>4.8994496642978197E-2</v>
      </c>
      <c r="AF18" s="409">
        <v>3.7933702197723899E-2</v>
      </c>
      <c r="AG18" s="409">
        <v>3.9132611189971168E-2</v>
      </c>
      <c r="AH18" s="409">
        <v>3.8455773330826164E-2</v>
      </c>
      <c r="AI18" s="409">
        <v>3.9673752455406747E-2</v>
      </c>
      <c r="AJ18" s="409">
        <v>3.9561523783692328E-2</v>
      </c>
      <c r="AK18" s="409">
        <v>0</v>
      </c>
      <c r="AL18" s="409">
        <v>0</v>
      </c>
      <c r="AM18" s="409">
        <v>0</v>
      </c>
      <c r="AN18" s="409">
        <v>0</v>
      </c>
      <c r="AO18" s="411">
        <f t="shared" ref="AO18:AS18" ca="1" si="55">IFERROR((AO14-AO8)/AO14,"-")</f>
        <v>3.9143031551616171E-2</v>
      </c>
      <c r="AP18" s="409">
        <f t="shared" ca="1" si="55"/>
        <v>6.1060532529839173E-2</v>
      </c>
      <c r="AQ18" s="409">
        <f t="shared" si="55"/>
        <v>8.832823847351734E-2</v>
      </c>
      <c r="AR18" s="409">
        <f t="shared" ca="1" si="55"/>
        <v>9.1525228494358221E-2</v>
      </c>
      <c r="AS18" s="410">
        <f t="shared" ca="1" si="55"/>
        <v>5.0387310083698927E-2</v>
      </c>
    </row>
    <row r="19" spans="2:45" ht="15.75" x14ac:dyDescent="0.25">
      <c r="D19" s="211" t="s">
        <v>15</v>
      </c>
      <c r="E19" s="221" t="str">
        <f>IFERROR(INDEX('MICL Direct'!$C$3:$P$6,4,MATCH(E$4,'MICL Direct'!$C$3:$P$3,0)),"-")</f>
        <v>-</v>
      </c>
      <c r="F19" s="221" t="str">
        <f>IFERROR(INDEX('MICL Direct'!$C$3:$P$6,4,MATCH(F$4,'MICL Direct'!$C$3:$P$3,0)),"-")</f>
        <v>-</v>
      </c>
      <c r="G19" s="221" t="str">
        <f>IFERROR(INDEX('MICL Direct'!$C$3:$P$6,4,MATCH(G$4,'MICL Direct'!$C$3:$P$3,0)),"-")</f>
        <v>-</v>
      </c>
      <c r="H19" s="221" t="str">
        <f>IFERROR(INDEX('MICL Direct'!$C$3:$P$6,4,MATCH(H$4,'MICL Direct'!$C$3:$P$3,0)),"-")</f>
        <v>-</v>
      </c>
      <c r="I19" s="221" t="str">
        <f>IFERROR(INDEX('MICL Direct'!$C$3:$P$6,4,MATCH(I$4,'MICL Direct'!$C$3:$P$3,0)),"-")</f>
        <v>-</v>
      </c>
      <c r="J19" s="221" t="str">
        <f>IFERROR(INDEX('MICL Direct'!$C$3:$P$6,4,MATCH(J$4,'MICL Direct'!$C$3:$P$3,0)),"-")</f>
        <v>-</v>
      </c>
      <c r="K19" s="221" t="str">
        <f>IFERROR(INDEX('MICL Direct'!$C$3:$P$6,4,MATCH(K$4,'MICL Direct'!$C$3:$P$3,0)),"-")</f>
        <v>-</v>
      </c>
      <c r="L19" s="221" t="str">
        <f>IFERROR(INDEX('MICL Direct'!$C$3:$P$6,4,MATCH(L$4,'MICL Direct'!$C$3:$P$3,0)),"-")</f>
        <v>-</v>
      </c>
      <c r="M19" s="221" t="str">
        <f>IFERROR(INDEX('MICL Direct'!$C$3:$P$6,4,MATCH(M$4,'MICL Direct'!$C$3:$P$3,0)),"-")</f>
        <v>-</v>
      </c>
      <c r="N19" s="221" t="str">
        <f>IFERROR(INDEX('MICL Direct'!$C$3:$P$6,4,MATCH(N$4,'MICL Direct'!$C$3:$P$3,0)),"-")</f>
        <v>-</v>
      </c>
      <c r="O19" s="221" t="str">
        <f>IFERROR(INDEX('MICL Direct'!$C$3:$P$6,4,MATCH(O$4,'MICL Direct'!$C$3:$P$3,0)),"-")</f>
        <v>-</v>
      </c>
      <c r="P19" s="297">
        <f>IFERROR(INDEX('MICL Direct'!$C$3:$P$6,4,MATCH(P$4,'MICL Direct'!$C$3:$P$3,0)),"-")</f>
        <v>0.67289436299502936</v>
      </c>
      <c r="Q19" s="221">
        <f>IFERROR(INDEX('MICL Direct'!$C$3:$P$6,4,MATCH(Q$4,'MICL Direct'!$C$3:$P$3,0)),"-")</f>
        <v>0.6650524498714776</v>
      </c>
      <c r="R19" s="221">
        <f>IFERROR(INDEX('MICL Direct'!$C$3:$P$6,4,MATCH(R$4,'MICL Direct'!$C$3:$P$3,0)),"-")</f>
        <v>0.65579656166768108</v>
      </c>
      <c r="S19" s="221">
        <f>IFERROR(INDEX('MICL Direct'!$C$3:$P$6,4,MATCH(S$4,'MICL Direct'!$C$3:$P$3,0)),"-")</f>
        <v>0.64019795168924731</v>
      </c>
      <c r="T19" s="221" t="str">
        <f>IFERROR(INDEX('MICL Direct'!$C$3:$P$6,4,MATCH(T$4,'MICL Direct'!$C$3:$P$3,0)),"-")</f>
        <v>-</v>
      </c>
      <c r="U19" s="221" t="str">
        <f>IFERROR(INDEX('MICL Direct'!$C$3:$P$6,4,MATCH(U$4,'MICL Direct'!$C$3:$P$3,0)),"-")</f>
        <v>-</v>
      </c>
      <c r="V19" s="221" t="str">
        <f>IFERROR(INDEX('MICL Direct'!$C$3:$P$6,4,MATCH(V$4,'MICL Direct'!$C$3:$P$3,0)),"-")</f>
        <v>-</v>
      </c>
      <c r="W19" s="221" t="str">
        <f>IFERROR(INDEX('MICL Direct'!$C$3:$P$6,4,MATCH(W$4,'MICL Direct'!$C$3:$P$3,0)),"-")</f>
        <v>-</v>
      </c>
      <c r="X19" s="221" t="str">
        <f>IFERROR(INDEX('MICL Direct'!$C$3:$P$6,4,MATCH(X$4,'MICL Direct'!$C$3:$P$3,0)),"-")</f>
        <v>-</v>
      </c>
      <c r="Y19" s="221" t="str">
        <f>IFERROR(INDEX('MICL Direct'!$C$3:$P$6,4,MATCH(Y$4,'MICL Direct'!$C$3:$P$3,0)),"-")</f>
        <v>-</v>
      </c>
      <c r="Z19" s="221" t="str">
        <f>IFERROR(INDEX('MICL Direct'!$C$3:$P$6,4,MATCH(Z$4,'MICL Direct'!$C$3:$P$3,0)),"-")</f>
        <v>-</v>
      </c>
      <c r="AA19" s="221" t="str">
        <f>IFERROR(INDEX('MICL Direct'!$C$3:$P$6,4,MATCH(AA$4,'MICL Direct'!$C$3:$P$3,0)),"-")</f>
        <v>-</v>
      </c>
      <c r="AB19" s="297" t="str">
        <f>IFERROR(INDEX('MICL Direct'!$C$3:$P$6,4,MATCH(AB$4,'MICL Direct'!$C$3:$P$3,0)),"-")</f>
        <v>-</v>
      </c>
      <c r="AC19" s="221" t="str">
        <f>IFERROR(INDEX('MICL Direct'!$C$3:$P$6,4,MATCH(AC$4,'MICL Direct'!$C$3:$P$3,0)),"-")</f>
        <v>-</v>
      </c>
      <c r="AD19" s="221" t="str">
        <f>IFERROR(INDEX('MICL Direct'!$C$3:$P$6,4,MATCH(AD$4,'MICL Direct'!$C$3:$P$3,0)),"-")</f>
        <v>-</v>
      </c>
      <c r="AE19" s="221" t="str">
        <f>IFERROR(INDEX('MICL Direct'!$C$3:$P$6,4,MATCH(AE$4,'MICL Direct'!$C$3:$P$3,0)),"-")</f>
        <v>-</v>
      </c>
      <c r="AF19" s="221" t="str">
        <f>IFERROR(INDEX('MICL Direct'!$C$3:$P$6,4,MATCH(AF$4,'MICL Direct'!$C$3:$P$3,0)),"-")</f>
        <v>-</v>
      </c>
      <c r="AG19" s="221" t="str">
        <f>IFERROR(INDEX('MICL Direct'!$C$3:$P$6,4,MATCH(AG$4,'MICL Direct'!$C$3:$P$3,0)),"-")</f>
        <v>-</v>
      </c>
      <c r="AH19" s="221" t="str">
        <f>IFERROR(INDEX('MICL Direct'!$C$3:$P$6,4,MATCH(AH$4,'MICL Direct'!$C$3:$P$3,0)),"-")</f>
        <v>-</v>
      </c>
      <c r="AI19" s="221" t="str">
        <f>IFERROR(INDEX('MICL Direct'!$C$3:$P$6,4,MATCH(AI$4,'MICL Direct'!$C$3:$P$3,0)),"-")</f>
        <v>-</v>
      </c>
      <c r="AJ19" s="221" t="str">
        <f>IFERROR(INDEX('MICL Direct'!$C$3:$P$6,4,MATCH(AJ$4,'MICL Direct'!$C$3:$P$3,0)),"-")</f>
        <v>-</v>
      </c>
      <c r="AK19" s="221" t="str">
        <f>IFERROR(INDEX('MICL Direct'!$C$3:$P$6,4,MATCH(AK$4,'MICL Direct'!$C$3:$P$3,0)),"-")</f>
        <v>-</v>
      </c>
      <c r="AL19" s="221" t="str">
        <f>IFERROR(INDEX('MICL Direct'!$C$3:$P$6,4,MATCH(AL$4,'MICL Direct'!$C$3:$P$3,0)),"-")</f>
        <v>-</v>
      </c>
      <c r="AM19" s="221" t="str">
        <f>IFERROR(INDEX('MICL Direct'!$C$3:$P$6,4,MATCH(AM$4,'MICL Direct'!$C$3:$P$3,0)),"-")</f>
        <v>-</v>
      </c>
      <c r="AN19" s="221" t="str">
        <f>IFERROR(INDEX('MICL Direct'!$C$3:$P$6,4,MATCH(AN$4,'MICL Direct'!$C$3:$P$3,0)),"-")</f>
        <v>-</v>
      </c>
      <c r="AO19" s="394" t="s">
        <v>491</v>
      </c>
      <c r="AP19" s="221" t="s">
        <v>491</v>
      </c>
      <c r="AQ19" s="221" t="s">
        <v>491</v>
      </c>
      <c r="AR19" s="221" t="s">
        <v>491</v>
      </c>
      <c r="AS19" s="297" t="s">
        <v>491</v>
      </c>
    </row>
    <row r="20" spans="2:45" ht="15.75" x14ac:dyDescent="0.25">
      <c r="D20" s="223" t="s">
        <v>198</v>
      </c>
      <c r="E20" s="224">
        <v>0.35427846908911959</v>
      </c>
      <c r="F20" s="224">
        <v>0.36015835929246781</v>
      </c>
      <c r="G20" s="224">
        <v>0.36546802460305555</v>
      </c>
      <c r="H20" s="224">
        <v>0.32843077792293179</v>
      </c>
      <c r="I20" s="224">
        <v>0.33412414578844757</v>
      </c>
      <c r="J20" s="224">
        <v>0.2754322875522478</v>
      </c>
      <c r="K20" s="224">
        <v>0.29071481206673427</v>
      </c>
      <c r="L20" s="224">
        <v>0.32653638746020042</v>
      </c>
      <c r="M20" s="224">
        <v>0.33967981661495494</v>
      </c>
      <c r="N20" s="224">
        <v>0.39858588160883979</v>
      </c>
      <c r="O20" s="224">
        <v>0.4722614991169371</v>
      </c>
      <c r="P20" s="298">
        <v>0.46342257599815018</v>
      </c>
      <c r="Q20" s="224">
        <v>0.50794436911058072</v>
      </c>
      <c r="R20" s="224">
        <v>0.60278253679864324</v>
      </c>
      <c r="S20" s="224">
        <v>0.67960300014823261</v>
      </c>
      <c r="T20" s="224">
        <v>0.66651470312018835</v>
      </c>
      <c r="U20" s="224">
        <v>0.63667796676400135</v>
      </c>
      <c r="V20" s="224">
        <v>0.60250515751673128</v>
      </c>
      <c r="W20" s="224">
        <v>0.58144987991743957</v>
      </c>
      <c r="X20" s="224">
        <v>0.61159443214884746</v>
      </c>
      <c r="Y20" s="224">
        <v>0.66480186474564107</v>
      </c>
      <c r="Z20" s="224">
        <v>0.72890721132831726</v>
      </c>
      <c r="AA20" s="224">
        <v>0.73048800746525433</v>
      </c>
      <c r="AB20" s="298">
        <v>0.75056047681190141</v>
      </c>
      <c r="AC20" s="224">
        <v>0.71672710233194881</v>
      </c>
      <c r="AD20" s="224">
        <v>0.68192099820494745</v>
      </c>
      <c r="AE20" s="224">
        <v>0.71774013700970163</v>
      </c>
      <c r="AF20" s="224">
        <v>0.74962433134057616</v>
      </c>
      <c r="AG20" s="224">
        <v>0.71836609705913013</v>
      </c>
      <c r="AH20" s="224">
        <v>0.70333931119878323</v>
      </c>
      <c r="AI20" s="224">
        <v>0.71433872491374095</v>
      </c>
      <c r="AJ20" s="224">
        <v>0.72802213863473786</v>
      </c>
      <c r="AK20" s="224" t="s">
        <v>491</v>
      </c>
      <c r="AL20" s="224" t="s">
        <v>491</v>
      </c>
      <c r="AM20" s="224" t="s">
        <v>491</v>
      </c>
      <c r="AN20" s="224" t="s">
        <v>491</v>
      </c>
      <c r="AO20" s="412">
        <v>0.71418304757689188</v>
      </c>
      <c r="AP20" s="224">
        <v>0.71653086495058815</v>
      </c>
      <c r="AQ20" s="224">
        <v>0.79417470703513371</v>
      </c>
      <c r="AR20" s="224">
        <v>0.61754082382590814</v>
      </c>
      <c r="AS20" s="298">
        <v>0.71604631286840958</v>
      </c>
    </row>
    <row r="21" spans="2:45" ht="15.75" x14ac:dyDescent="0.25">
      <c r="B21" t="str">
        <f t="shared" si="28"/>
        <v>PC Annual Direct</v>
      </c>
      <c r="D21" s="211" t="s">
        <v>199</v>
      </c>
      <c r="E21" s="173">
        <v>13281.377143199999</v>
      </c>
      <c r="F21" s="173">
        <v>11548.78285716</v>
      </c>
      <c r="G21" s="173">
        <v>10906.392857160001</v>
      </c>
      <c r="H21" s="173">
        <v>10906.392857160001</v>
      </c>
      <c r="I21" s="173">
        <v>10906.392857160001</v>
      </c>
      <c r="J21" s="173">
        <v>10906.392857160001</v>
      </c>
      <c r="K21" s="173">
        <v>13028.867143199999</v>
      </c>
      <c r="L21" s="173">
        <v>13028.867143199999</v>
      </c>
      <c r="M21" s="173">
        <v>13028.867143199999</v>
      </c>
      <c r="N21" s="173">
        <v>13028.867143199999</v>
      </c>
      <c r="O21" s="173">
        <v>13028.867143199999</v>
      </c>
      <c r="P21" s="299">
        <v>13028.867143199999</v>
      </c>
      <c r="Q21" s="173">
        <v>13028.867143199999</v>
      </c>
      <c r="R21" s="173">
        <v>13028.867143199999</v>
      </c>
      <c r="S21" s="173">
        <v>13028.867143199999</v>
      </c>
      <c r="T21" s="173">
        <v>13028.867143199999</v>
      </c>
      <c r="U21" s="173">
        <v>13028.867143199999</v>
      </c>
      <c r="V21" s="173">
        <v>13028.867143199999</v>
      </c>
      <c r="W21" s="173">
        <v>11571.86142852</v>
      </c>
      <c r="X21" s="173">
        <v>12177.2575</v>
      </c>
      <c r="Y21" s="173">
        <v>11571.86142852</v>
      </c>
      <c r="Z21" s="173">
        <v>11571.86142852</v>
      </c>
      <c r="AA21" s="173">
        <v>11571.86142852</v>
      </c>
      <c r="AB21" s="299">
        <v>11957.857142999999</v>
      </c>
      <c r="AC21" s="173">
        <v>10992.642142999999</v>
      </c>
      <c r="AD21" s="173">
        <v>6174.2025000000003</v>
      </c>
      <c r="AE21" s="173">
        <v>9090.8003571000008</v>
      </c>
      <c r="AF21" s="173">
        <v>14029.196786</v>
      </c>
      <c r="AG21" s="173">
        <v>12029.512143</v>
      </c>
      <c r="AH21" s="173">
        <v>8221.1978571</v>
      </c>
      <c r="AI21" s="173">
        <v>7910.8939286000004</v>
      </c>
      <c r="AJ21" s="173">
        <v>8561.4621428999999</v>
      </c>
      <c r="AK21" s="173">
        <v>0</v>
      </c>
      <c r="AL21" s="173">
        <v>0</v>
      </c>
      <c r="AM21" s="173">
        <v>0</v>
      </c>
      <c r="AN21" s="173">
        <v>0</v>
      </c>
      <c r="AO21" s="402">
        <f ca="1">IFERROR(AVERAGE(INDEX($E21:$AN21, $AU$4 - 3):INDEX($E21:$AN21, $AU$4)),"-")</f>
        <v>9180.7665178999996</v>
      </c>
      <c r="AP21" s="173">
        <f ca="1">IFERROR(AVERAGE(INDEX($E21:$AN21, $AU$4 - 11):INDEX($E21:$AN21, $AU$4)),"-")</f>
        <v>10306.945773854999</v>
      </c>
      <c r="AQ21" s="173">
        <f>MAX(Q21:AB21)</f>
        <v>13028.867143199999</v>
      </c>
      <c r="AR21" s="173">
        <f ca="1">IFERROR(MAX(INDEX($E21:$AN21, $AU$4 - MONTH(TODAY())-11):INDEX($E21:$AN21, $AU$4-12)),"-")</f>
        <v>13028.867143199999</v>
      </c>
      <c r="AS21" s="299">
        <f ca="1">IFERROR(MAX(INDEX($E21:$AN21, $AU$4 - MONTH(TODAY())+1):INDEX($E21:$AN21, $AU$4)),"-")</f>
        <v>14029.196786</v>
      </c>
    </row>
    <row r="22" spans="2:45" ht="15.75" x14ac:dyDescent="0.25">
      <c r="B22" t="str">
        <f t="shared" si="28"/>
        <v>PC Annual Direct</v>
      </c>
      <c r="D22" s="223" t="s">
        <v>200</v>
      </c>
      <c r="E22" s="229">
        <v>48.068571428399999</v>
      </c>
      <c r="F22" s="229">
        <v>78.094285714799994</v>
      </c>
      <c r="G22" s="229">
        <v>78.094285714799994</v>
      </c>
      <c r="H22" s="229">
        <v>78.094285714799994</v>
      </c>
      <c r="I22" s="229">
        <v>78.094285714799994</v>
      </c>
      <c r="J22" s="229">
        <v>78.094285714799994</v>
      </c>
      <c r="K22" s="229">
        <v>78.094285714799994</v>
      </c>
      <c r="L22" s="229">
        <v>78.094285714799994</v>
      </c>
      <c r="M22" s="229">
        <v>78.094285714799994</v>
      </c>
      <c r="N22" s="229">
        <v>78.094285714799994</v>
      </c>
      <c r="O22" s="229">
        <v>81.355714285199994</v>
      </c>
      <c r="P22" s="300">
        <v>81.355714285199994</v>
      </c>
      <c r="Q22" s="229">
        <v>81.355714285199994</v>
      </c>
      <c r="R22" s="229">
        <v>88.392857143200004</v>
      </c>
      <c r="S22" s="229">
        <v>88.392857143200004</v>
      </c>
      <c r="T22" s="229">
        <v>333.154285716</v>
      </c>
      <c r="U22" s="229">
        <v>333.154285716</v>
      </c>
      <c r="V22" s="229">
        <v>333.154285716</v>
      </c>
      <c r="W22" s="229">
        <v>333.154285716</v>
      </c>
      <c r="X22" s="229">
        <v>333.154285716</v>
      </c>
      <c r="Y22" s="229">
        <v>333.154285716</v>
      </c>
      <c r="Z22" s="229">
        <v>333.154285716</v>
      </c>
      <c r="AA22" s="229">
        <v>333.154285716</v>
      </c>
      <c r="AB22" s="300">
        <v>0.89285714289999996</v>
      </c>
      <c r="AC22" s="229">
        <v>333.154285716</v>
      </c>
      <c r="AD22" s="229">
        <v>349.99785714000001</v>
      </c>
      <c r="AE22" s="229">
        <v>349.99571429000002</v>
      </c>
      <c r="AF22" s="229">
        <v>349.99571429000002</v>
      </c>
      <c r="AG22" s="229">
        <v>349.99571429000002</v>
      </c>
      <c r="AH22" s="229">
        <v>349.99571429000002</v>
      </c>
      <c r="AI22" s="229">
        <v>349.99571429000002</v>
      </c>
      <c r="AJ22" s="229">
        <v>349.99571429000002</v>
      </c>
      <c r="AK22" s="229">
        <v>0</v>
      </c>
      <c r="AL22" s="229">
        <v>0</v>
      </c>
      <c r="AM22" s="229">
        <v>0</v>
      </c>
      <c r="AN22" s="229">
        <v>0</v>
      </c>
      <c r="AO22" s="413">
        <f ca="1">IFERROR(AVERAGE(INDEX($E22:$AN22, $AU$4 - 3):INDEX($E22:$AN22, $AU$4)),"-")</f>
        <v>349.99571429000002</v>
      </c>
      <c r="AP22" s="229">
        <f ca="1">IFERROR(AVERAGE(INDEX($E22:$AN22, $AU$4 - 11):INDEX($E22:$AN22, $AU$4)),"-")</f>
        <v>315.29017857390841</v>
      </c>
      <c r="AQ22" s="229">
        <f>MIN(Q22:AB22)</f>
        <v>0.89285714289999996</v>
      </c>
      <c r="AR22" s="229">
        <f ca="1">IFERROR(MIN(INDEX($E22:$AN22, $AU$4 - MONTH(TODAY())-11):INDEX($E22:$AN22, $AU$4-12)),"-")</f>
        <v>81.355714285199994</v>
      </c>
      <c r="AS22" s="300">
        <f ca="1">IFERROR(MIN(INDEX($E22:$AN22, $AU$4 - MONTH(TODAY())+1):INDEX($E22:$AN22, $AU$4)),"-")</f>
        <v>333.154285716</v>
      </c>
    </row>
    <row r="23" spans="2:45" ht="15.75" x14ac:dyDescent="0.25">
      <c r="B23" t="str">
        <f t="shared" si="28"/>
        <v>PC Annual Direct</v>
      </c>
      <c r="D23" s="211" t="s">
        <v>201</v>
      </c>
      <c r="E23" s="221">
        <v>0.78978925954681889</v>
      </c>
      <c r="F23" s="221">
        <v>0.86844514675587881</v>
      </c>
      <c r="G23" s="221">
        <v>0.91689565799909845</v>
      </c>
      <c r="H23" s="221">
        <v>0.90749257539941341</v>
      </c>
      <c r="I23" s="221">
        <v>0.62447655017467185</v>
      </c>
      <c r="J23" s="221">
        <v>0.71324915815362722</v>
      </c>
      <c r="K23" s="221">
        <v>0.84462691186283834</v>
      </c>
      <c r="L23" s="221">
        <v>0.71428555521745396</v>
      </c>
      <c r="M23" s="221">
        <v>0.67350602341789634</v>
      </c>
      <c r="N23" s="221">
        <v>0.49584084711120441</v>
      </c>
      <c r="O23" s="221">
        <v>0.29062488073112575</v>
      </c>
      <c r="P23" s="297">
        <v>0.25265657842669165</v>
      </c>
      <c r="Q23" s="221">
        <v>0.16670223209421292</v>
      </c>
      <c r="R23" s="221">
        <v>8.1124665885591807E-2</v>
      </c>
      <c r="S23" s="221">
        <v>2.6720420199327272E-2</v>
      </c>
      <c r="T23" s="221">
        <v>7.0033570212341854E-3</v>
      </c>
      <c r="U23" s="221">
        <v>7.8139596438943811E-3</v>
      </c>
      <c r="V23" s="221">
        <v>7.5628441264206283E-3</v>
      </c>
      <c r="W23" s="221">
        <v>8.1279906686079016E-3</v>
      </c>
      <c r="X23" s="221">
        <v>1.0252245541172449E-2</v>
      </c>
      <c r="Y23" s="221">
        <v>8.3657869108518315E-3</v>
      </c>
      <c r="Z23" s="221">
        <v>9.1027229308281096E-3</v>
      </c>
      <c r="AA23" s="221">
        <v>7.3885330976224102E-3</v>
      </c>
      <c r="AB23" s="297">
        <v>5.9222212774501827E-3</v>
      </c>
      <c r="AC23" s="221">
        <v>6.1692921369519357E-3</v>
      </c>
      <c r="AD23" s="221">
        <v>7.2683101674693102E-3</v>
      </c>
      <c r="AE23" s="221">
        <v>7.3978670556115395E-3</v>
      </c>
      <c r="AF23" s="221">
        <v>7.4475471938725462E-3</v>
      </c>
      <c r="AG23" s="221">
        <v>7.3850200430450336E-3</v>
      </c>
      <c r="AH23" s="221">
        <v>6.1094534602790197E-3</v>
      </c>
      <c r="AI23" s="221">
        <v>9.5767996046264275E-3</v>
      </c>
      <c r="AJ23" s="221">
        <v>4.473697112197533E-3</v>
      </c>
      <c r="AK23" s="221" t="s">
        <v>491</v>
      </c>
      <c r="AL23" s="221" t="s">
        <v>491</v>
      </c>
      <c r="AM23" s="221" t="s">
        <v>491</v>
      </c>
      <c r="AN23" s="221" t="s">
        <v>491</v>
      </c>
      <c r="AO23" s="403">
        <f ca="1">IFERROR(AVERAGE(INDEX($E23:$AN23, $AU$4 - 3):INDEX($E23:$AN23, $AU$4)),"-")</f>
        <v>6.8862425550370032E-3</v>
      </c>
      <c r="AP23" s="404">
        <f ca="1">IFERROR(AVERAGE(INDEX($E23:$AN23, $AU$4 - 11):INDEX($E23:$AN23, $AU$4)),"-")</f>
        <v>7.2172709159004896E-3</v>
      </c>
      <c r="AQ23" s="221">
        <v>0.38091777475194466</v>
      </c>
      <c r="AR23" s="404">
        <v>0.55077325334289562</v>
      </c>
      <c r="AS23" s="415">
        <v>6.1680497554882259E-2</v>
      </c>
    </row>
    <row r="24" spans="2:45" ht="15.75" x14ac:dyDescent="0.25">
      <c r="B24" t="str">
        <f t="shared" si="28"/>
        <v>PC Annual Direct</v>
      </c>
      <c r="D24" s="223" t="s">
        <v>202</v>
      </c>
      <c r="E24" s="224">
        <v>36.1701141233494</v>
      </c>
      <c r="F24" s="224">
        <v>1.5970372664135499</v>
      </c>
      <c r="G24" s="224">
        <v>1.5970372664135499</v>
      </c>
      <c r="H24" s="224">
        <v>1.5970372664135499</v>
      </c>
      <c r="I24" s="224">
        <v>1.5970372664135499</v>
      </c>
      <c r="J24" s="224">
        <v>1.5970372664135499</v>
      </c>
      <c r="K24" s="224">
        <v>1.5970372664135499</v>
      </c>
      <c r="L24" s="224">
        <v>1.5970372664135499</v>
      </c>
      <c r="M24" s="224">
        <v>1.5970372664135499</v>
      </c>
      <c r="N24" s="224">
        <v>1.5970372664135499</v>
      </c>
      <c r="O24" s="224">
        <v>0.34432560903149101</v>
      </c>
      <c r="P24" s="298">
        <v>0.34432560903149101</v>
      </c>
      <c r="Q24" s="224">
        <v>0.34432560903149101</v>
      </c>
      <c r="R24" s="224">
        <v>0.27155867905078801</v>
      </c>
      <c r="S24" s="224">
        <v>0.27155867905078801</v>
      </c>
      <c r="T24" s="224">
        <v>0.25747920416771702</v>
      </c>
      <c r="U24" s="224">
        <v>0.25747920416771702</v>
      </c>
      <c r="V24" s="224">
        <v>0.25747920416771702</v>
      </c>
      <c r="W24" s="224">
        <v>0.25747920416771702</v>
      </c>
      <c r="X24" s="224">
        <v>0.25747920416771702</v>
      </c>
      <c r="Y24" s="224">
        <v>0.25747920416771702</v>
      </c>
      <c r="Z24" s="224">
        <v>0.25747920416771702</v>
      </c>
      <c r="AA24" s="224">
        <v>0.25747920416771702</v>
      </c>
      <c r="AB24" s="298">
        <v>0.25747920416771702</v>
      </c>
      <c r="AC24" s="224">
        <v>0.25747920416771702</v>
      </c>
      <c r="AD24" s="224">
        <v>0.197021829773881</v>
      </c>
      <c r="AE24" s="224">
        <v>0.197021829773881</v>
      </c>
      <c r="AF24" s="224">
        <v>0.19446542737758701</v>
      </c>
      <c r="AG24" s="224">
        <v>0.176227816754086</v>
      </c>
      <c r="AH24" s="224">
        <v>0.17227507217502999</v>
      </c>
      <c r="AI24" s="224">
        <v>0.17867078995955801</v>
      </c>
      <c r="AJ24" s="224">
        <v>0.164289643408222</v>
      </c>
      <c r="AK24" s="224">
        <v>0</v>
      </c>
      <c r="AL24" s="224">
        <v>0</v>
      </c>
      <c r="AM24" s="224">
        <v>0</v>
      </c>
      <c r="AN24" s="224">
        <v>0</v>
      </c>
      <c r="AO24" s="414">
        <f ca="1">IFERROR(AVERAGE(INDEX($E24:$AN24, $AU$4 - 3):INDEX($E24:$AN24, $AU$4)),"-")</f>
        <v>0.172865830574224</v>
      </c>
      <c r="AP24" s="405">
        <f ca="1">IFERROR(AVERAGE(INDEX($E24:$AN24, $AU$4 - 11):INDEX($E24:$AN24, $AU$4)),"-")</f>
        <v>0.21394736917173585</v>
      </c>
      <c r="AQ24" s="224">
        <f>MAX(Q24:AB24)</f>
        <v>0.34432560903149101</v>
      </c>
      <c r="AR24" s="405">
        <f ca="1">IFERROR(MAX(INDEX($E24:$AN24, $AU$4 - MONTH(TODAY())-11):INDEX($E24:$AN24, $AU$4-12)),"-")</f>
        <v>0.34432560903149101</v>
      </c>
      <c r="AS24" s="416">
        <f ca="1">IFERROR(MAX(INDEX($E24:$AN24, $AU$4 - MONTH(TODAY())+1):INDEX($E24:$AN24, $AU$4)),"-")</f>
        <v>0.25747920416771702</v>
      </c>
    </row>
    <row r="25" spans="2:45" ht="16.5" thickBot="1" x14ac:dyDescent="0.3">
      <c r="B25" t="str">
        <f t="shared" si="28"/>
        <v>PC Annual Direct</v>
      </c>
      <c r="D25" s="226" t="s">
        <v>203</v>
      </c>
      <c r="E25" s="227">
        <v>0.167241751132198</v>
      </c>
      <c r="F25" s="227">
        <v>0.167241751132198</v>
      </c>
      <c r="G25" s="227">
        <v>0.16269447203135401</v>
      </c>
      <c r="H25" s="227">
        <v>0.16269447203135401</v>
      </c>
      <c r="I25" s="227">
        <v>0.11110960612313101</v>
      </c>
      <c r="J25" s="227">
        <v>0.11108791534092299</v>
      </c>
      <c r="K25" s="227">
        <v>8.5046459002527303E-2</v>
      </c>
      <c r="L25" s="227">
        <v>8.5046459002527303E-2</v>
      </c>
      <c r="M25" s="227">
        <v>8.5046459002527303E-2</v>
      </c>
      <c r="N25" s="227">
        <v>8.5046459002527303E-2</v>
      </c>
      <c r="O25" s="227">
        <v>8.5046459002527303E-2</v>
      </c>
      <c r="P25" s="312">
        <v>8.5046459002527303E-2</v>
      </c>
      <c r="Q25" s="227">
        <v>8.5046459002527303E-2</v>
      </c>
      <c r="R25" s="227">
        <v>4.88660874813516E-2</v>
      </c>
      <c r="S25" s="227">
        <v>-0.5</v>
      </c>
      <c r="T25" s="227">
        <v>4.8862468365599397E-2</v>
      </c>
      <c r="U25" s="227">
        <v>4.8864259244639302E-2</v>
      </c>
      <c r="V25" s="227">
        <v>4.8861794836557899E-2</v>
      </c>
      <c r="W25" s="227">
        <v>4.8863729570241703E-2</v>
      </c>
      <c r="X25" s="227">
        <v>4.8862641977371397E-2</v>
      </c>
      <c r="Y25" s="227">
        <v>4.8861496369821102E-2</v>
      </c>
      <c r="Z25" s="227">
        <v>4.8862684405650302E-2</v>
      </c>
      <c r="AA25" s="227">
        <v>4.8865212899752701E-2</v>
      </c>
      <c r="AB25" s="301">
        <v>0</v>
      </c>
      <c r="AC25" s="227">
        <v>4.8861548558889897E-2</v>
      </c>
      <c r="AD25" s="227">
        <v>4.8864398378961602E-2</v>
      </c>
      <c r="AE25" s="227">
        <v>8.7960095436656602E-5</v>
      </c>
      <c r="AF25" s="227">
        <v>0</v>
      </c>
      <c r="AG25" s="227">
        <v>9.0693546505704603E-5</v>
      </c>
      <c r="AH25" s="227">
        <v>8.8254089829264997E-5</v>
      </c>
      <c r="AI25" s="227">
        <v>8.9942645502771895E-5</v>
      </c>
      <c r="AJ25" s="227">
        <v>9.25195722953909E-5</v>
      </c>
      <c r="AK25" s="227">
        <v>0</v>
      </c>
      <c r="AL25" s="227">
        <v>0</v>
      </c>
      <c r="AM25" s="227">
        <v>0</v>
      </c>
      <c r="AN25" s="227">
        <v>0</v>
      </c>
      <c r="AO25" s="406">
        <f ca="1">IFERROR(AVERAGE(INDEX($E25:$AN25, $AU$4 - 3):INDEX($E25:$AN25, $AU$4)),"-")</f>
        <v>9.0352463533283105E-5</v>
      </c>
      <c r="AP25" s="407">
        <f ca="1">IFERROR(AVERAGE(INDEX($E25:$AN25, $AU$4 - 11):INDEX($E25:$AN25, $AU$4)),"-")</f>
        <v>2.0397059213553784E-2</v>
      </c>
      <c r="AQ25" s="227">
        <f>MIN(Q25:AB25)</f>
        <v>-0.5</v>
      </c>
      <c r="AR25" s="407">
        <f ca="1">IFERROR(MIN(INDEX($E25:$AN25, $AU$4 - MONTH(TODAY())-11):INDEX($E25:$AN25, $AU$4-12)),"-")</f>
        <v>-0.5</v>
      </c>
      <c r="AS25" s="417">
        <f ca="1">IFERROR(MIN(INDEX($E25:$AN25, $AU$4 - MONTH(TODAY())+1):INDEX($E25:$AN25, $AU$4)),"-")</f>
        <v>0</v>
      </c>
    </row>
    <row r="27" spans="2:45" ht="15.75" thickBot="1" x14ac:dyDescent="0.3"/>
    <row r="28" spans="2:45" ht="21" x14ac:dyDescent="0.25">
      <c r="C28" s="290"/>
      <c r="D28" s="362" t="s">
        <v>183</v>
      </c>
      <c r="E28" s="202"/>
      <c r="F28" s="202"/>
      <c r="G28" s="202"/>
      <c r="H28" s="202"/>
      <c r="I28" s="202"/>
      <c r="J28" s="202"/>
      <c r="K28" s="202"/>
      <c r="L28" s="202"/>
      <c r="M28" s="202"/>
      <c r="N28" s="202"/>
      <c r="O28" s="202"/>
      <c r="P28" s="233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33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507" t="s">
        <v>484</v>
      </c>
      <c r="AP28" s="508"/>
      <c r="AQ28" s="508"/>
      <c r="AR28" s="508"/>
      <c r="AS28" s="509"/>
    </row>
    <row r="29" spans="2:45" ht="15.75" thickBot="1" x14ac:dyDescent="0.3">
      <c r="C29" s="290"/>
      <c r="D29" s="306"/>
      <c r="E29" s="287" t="s">
        <v>341</v>
      </c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92"/>
      <c r="Q29" s="287" t="s">
        <v>341</v>
      </c>
      <c r="R29" s="287"/>
      <c r="S29" s="287"/>
      <c r="T29" s="287"/>
      <c r="U29" s="287"/>
      <c r="V29" s="287"/>
      <c r="W29" s="287"/>
      <c r="X29" s="287"/>
      <c r="Y29" s="287"/>
      <c r="Z29" s="287"/>
      <c r="AA29" s="287"/>
      <c r="AB29" s="292"/>
      <c r="AC29" s="287" t="s">
        <v>341</v>
      </c>
      <c r="AD29" s="287"/>
      <c r="AE29" s="287"/>
      <c r="AF29" s="287"/>
      <c r="AG29" s="287"/>
      <c r="AH29" s="287"/>
      <c r="AI29" s="287"/>
      <c r="AJ29" s="287"/>
      <c r="AK29" s="287"/>
      <c r="AL29" s="287"/>
      <c r="AM29" s="287"/>
      <c r="AN29" s="287"/>
      <c r="AO29" s="510" t="s">
        <v>485</v>
      </c>
      <c r="AP29" s="511"/>
      <c r="AQ29" s="511" t="s">
        <v>486</v>
      </c>
      <c r="AR29" s="511"/>
      <c r="AS29" s="512"/>
    </row>
    <row r="30" spans="2:45" x14ac:dyDescent="0.25">
      <c r="C30" s="290"/>
      <c r="D30" s="354" t="s">
        <v>487</v>
      </c>
      <c r="E30" s="206">
        <f t="shared" ref="E30:R30" si="56">E$4</f>
        <v>44927</v>
      </c>
      <c r="F30" s="206">
        <f t="shared" si="56"/>
        <v>44958</v>
      </c>
      <c r="G30" s="206">
        <f t="shared" si="56"/>
        <v>44986</v>
      </c>
      <c r="H30" s="206">
        <f t="shared" si="56"/>
        <v>45017</v>
      </c>
      <c r="I30" s="206">
        <f t="shared" si="56"/>
        <v>45047</v>
      </c>
      <c r="J30" s="206">
        <f t="shared" si="56"/>
        <v>45078</v>
      </c>
      <c r="K30" s="206">
        <f t="shared" si="56"/>
        <v>45108</v>
      </c>
      <c r="L30" s="206">
        <f t="shared" si="56"/>
        <v>45139</v>
      </c>
      <c r="M30" s="206">
        <f t="shared" si="56"/>
        <v>45170</v>
      </c>
      <c r="N30" s="206">
        <f t="shared" si="56"/>
        <v>45200</v>
      </c>
      <c r="O30" s="206">
        <f t="shared" si="56"/>
        <v>45231</v>
      </c>
      <c r="P30" s="293">
        <f t="shared" si="56"/>
        <v>45261</v>
      </c>
      <c r="Q30" s="206">
        <f t="shared" si="56"/>
        <v>45292</v>
      </c>
      <c r="R30" s="206">
        <f t="shared" si="56"/>
        <v>45323</v>
      </c>
      <c r="S30" s="206">
        <f t="shared" ref="S30:AB30" si="57">S$4</f>
        <v>45352</v>
      </c>
      <c r="T30" s="206">
        <f t="shared" si="57"/>
        <v>45383</v>
      </c>
      <c r="U30" s="206">
        <f t="shared" si="57"/>
        <v>45413</v>
      </c>
      <c r="V30" s="206">
        <f t="shared" si="57"/>
        <v>45444</v>
      </c>
      <c r="W30" s="206">
        <f t="shared" si="57"/>
        <v>45474</v>
      </c>
      <c r="X30" s="206">
        <f t="shared" si="57"/>
        <v>45505</v>
      </c>
      <c r="Y30" s="206">
        <f t="shared" si="57"/>
        <v>45536</v>
      </c>
      <c r="Z30" s="206">
        <f t="shared" si="57"/>
        <v>45566</v>
      </c>
      <c r="AA30" s="206">
        <f t="shared" si="57"/>
        <v>45597</v>
      </c>
      <c r="AB30" s="293">
        <f t="shared" si="57"/>
        <v>45627</v>
      </c>
      <c r="AC30" s="206">
        <f t="shared" ref="AC30:AN30" si="58">AC$4</f>
        <v>45658</v>
      </c>
      <c r="AD30" s="206">
        <f t="shared" si="58"/>
        <v>45689</v>
      </c>
      <c r="AE30" s="206">
        <f t="shared" si="58"/>
        <v>45717</v>
      </c>
      <c r="AF30" s="206">
        <f t="shared" si="58"/>
        <v>45748</v>
      </c>
      <c r="AG30" s="206">
        <f t="shared" si="58"/>
        <v>45778</v>
      </c>
      <c r="AH30" s="206">
        <f t="shared" si="58"/>
        <v>45809</v>
      </c>
      <c r="AI30" s="206">
        <f t="shared" si="58"/>
        <v>45839</v>
      </c>
      <c r="AJ30" s="206">
        <f t="shared" si="58"/>
        <v>45870</v>
      </c>
      <c r="AK30" s="206">
        <f t="shared" si="58"/>
        <v>45901</v>
      </c>
      <c r="AL30" s="206">
        <f t="shared" si="58"/>
        <v>45931</v>
      </c>
      <c r="AM30" s="206">
        <f t="shared" si="58"/>
        <v>45962</v>
      </c>
      <c r="AN30" s="206">
        <f t="shared" si="58"/>
        <v>45992</v>
      </c>
      <c r="AO30" s="351" t="s">
        <v>349</v>
      </c>
      <c r="AP30" s="352" t="s">
        <v>348</v>
      </c>
      <c r="AQ30" s="352" t="s">
        <v>772</v>
      </c>
      <c r="AR30" s="352" t="s">
        <v>490</v>
      </c>
      <c r="AS30" s="353" t="s">
        <v>773</v>
      </c>
    </row>
    <row r="31" spans="2:45" ht="15.75" x14ac:dyDescent="0.25">
      <c r="D31" s="208" t="s">
        <v>3</v>
      </c>
      <c r="E31" s="209">
        <f>E54+E78</f>
        <v>2252</v>
      </c>
      <c r="F31" s="209">
        <f t="shared" ref="F31:AN31" si="59">F54+F78</f>
        <v>2428</v>
      </c>
      <c r="G31" s="209">
        <f t="shared" si="59"/>
        <v>2967</v>
      </c>
      <c r="H31" s="209">
        <f t="shared" si="59"/>
        <v>2138</v>
      </c>
      <c r="I31" s="209">
        <f t="shared" si="59"/>
        <v>1834</v>
      </c>
      <c r="J31" s="209">
        <f t="shared" si="59"/>
        <v>1286</v>
      </c>
      <c r="K31" s="209">
        <f t="shared" si="59"/>
        <v>801</v>
      </c>
      <c r="L31" s="209">
        <f t="shared" si="59"/>
        <v>1021</v>
      </c>
      <c r="M31" s="209">
        <f t="shared" si="59"/>
        <v>961</v>
      </c>
      <c r="N31" s="209">
        <f t="shared" si="59"/>
        <v>1217</v>
      </c>
      <c r="O31" s="209">
        <f t="shared" si="59"/>
        <v>1985</v>
      </c>
      <c r="P31" s="238">
        <f t="shared" si="59"/>
        <v>1807</v>
      </c>
      <c r="Q31" s="209">
        <f t="shared" si="59"/>
        <v>2257</v>
      </c>
      <c r="R31" s="209">
        <f t="shared" si="59"/>
        <v>3859</v>
      </c>
      <c r="S31" s="209">
        <f t="shared" si="59"/>
        <v>6028</v>
      </c>
      <c r="T31" s="209">
        <f t="shared" si="59"/>
        <v>6160</v>
      </c>
      <c r="U31" s="209">
        <f t="shared" si="59"/>
        <v>5987</v>
      </c>
      <c r="V31" s="209">
        <f t="shared" si="59"/>
        <v>5088</v>
      </c>
      <c r="W31" s="209">
        <f t="shared" si="59"/>
        <v>4339</v>
      </c>
      <c r="X31" s="209">
        <f t="shared" si="59"/>
        <v>3785</v>
      </c>
      <c r="Y31" s="209">
        <f t="shared" si="59"/>
        <v>3625</v>
      </c>
      <c r="Z31" s="209">
        <f t="shared" si="59"/>
        <v>3599</v>
      </c>
      <c r="AA31" s="209">
        <f t="shared" si="59"/>
        <v>4066</v>
      </c>
      <c r="AB31" s="238">
        <f t="shared" si="59"/>
        <v>4076</v>
      </c>
      <c r="AC31" s="209">
        <f t="shared" si="59"/>
        <v>4362</v>
      </c>
      <c r="AD31" s="209">
        <f t="shared" si="59"/>
        <v>3587</v>
      </c>
      <c r="AE31" s="209">
        <f t="shared" si="59"/>
        <v>4473</v>
      </c>
      <c r="AF31" s="209">
        <f t="shared" si="59"/>
        <v>4444</v>
      </c>
      <c r="AG31" s="209">
        <f t="shared" si="59"/>
        <v>4345</v>
      </c>
      <c r="AH31" s="209">
        <f t="shared" si="59"/>
        <v>3775</v>
      </c>
      <c r="AI31" s="209">
        <f t="shared" si="59"/>
        <v>3560</v>
      </c>
      <c r="AJ31" s="209">
        <f t="shared" si="59"/>
        <v>1569</v>
      </c>
      <c r="AK31" s="209">
        <f t="shared" si="59"/>
        <v>0</v>
      </c>
      <c r="AL31" s="209">
        <f t="shared" si="59"/>
        <v>0</v>
      </c>
      <c r="AM31" s="209">
        <f t="shared" si="59"/>
        <v>0</v>
      </c>
      <c r="AN31" s="209">
        <f t="shared" si="59"/>
        <v>0</v>
      </c>
      <c r="AO31" s="237">
        <f ca="1">IFERROR(AVERAGE(INDEX($E31:$AN31, $AU$4 - 3):INDEX($E31:$AN31, $AU$4)),"-")</f>
        <v>3312.25</v>
      </c>
      <c r="AP31" s="209">
        <f ca="1">IFERROR(AVERAGE(INDEX($E31:$AN31, $AU$4 - 11):INDEX($E31:$AN31, $AU$4)),"-")</f>
        <v>3790.0833333333335</v>
      </c>
      <c r="AQ31" s="209" cm="1">
        <f t="array" ref="AQ31">IFERROR(SUMPRODUCT((YEAR($E$4:$AN$4)=2024)*$E31:$AN31),"-")</f>
        <v>52869</v>
      </c>
      <c r="AR31" s="209">
        <f ca="1">IFERROR(SUM(INDEX($E31:$AN31, $AU$4 - MONTH(TODAY())-11):INDEX($E31:$AN31, $AU$4-12)),"-")</f>
        <v>37503</v>
      </c>
      <c r="AS31" s="238">
        <f ca="1">IFERROR(SUM(INDEX($E31:$AN31, $AU$4 - MONTH(TODAY())+1):INDEX($E31:$AN31, $AU$4)),"-")</f>
        <v>30115</v>
      </c>
    </row>
    <row r="32" spans="2:45" ht="15.75" hidden="1" x14ac:dyDescent="0.25">
      <c r="D32" s="211" t="s">
        <v>4</v>
      </c>
      <c r="E32" s="31" t="str">
        <f>INDEX('Plan Figures'!$B$53:$AP$79,MATCH('Headline - Sales, NWP, GWP'!E$4,'Plan Figures'!$B$53:$B$79,0),MATCH('Headline - Sales, NWP, GWP'!$B55,'Plan Figures'!$B$1:$AP$1,0))</f>
        <v>-</v>
      </c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40"/>
      <c r="Q32" s="31"/>
      <c r="R32" s="31">
        <f>INDEX('Plan Figures'!$B$53:$AP$79,MATCH('Headline - Sales, NWP, GWP'!R$4,'Plan Figures'!$B$53:$B$79,0),MATCH('Headline - Sales, NWP, GWP'!$B55,'Plan Figures'!$B$1:$AP$1,0))</f>
        <v>1287.2420434782211</v>
      </c>
      <c r="S32" s="31">
        <f>INDEX('Plan Figures'!$B$53:$AP$79,MATCH('Headline - Sales, NWP, GWP'!S$4,'Plan Figures'!$B$53:$B$79,0),MATCH('Headline - Sales, NWP, GWP'!$B55,'Plan Figures'!$B$1:$AP$1,0))</f>
        <v>1284.672698082057</v>
      </c>
      <c r="T32" s="31">
        <f>INDEX('Plan Figures'!$B$53:$AP$79,MATCH('Headline - Sales, NWP, GWP'!T$4,'Plan Figures'!$B$53:$B$79,0),MATCH('Headline - Sales, NWP, GWP'!$B55,'Plan Figures'!$B$1:$AP$1,0))</f>
        <v>1282.1084811198173</v>
      </c>
      <c r="U32" s="31">
        <f>INDEX('Plan Figures'!$B$53:$AP$79,MATCH('Headline - Sales, NWP, GWP'!U$4,'Plan Figures'!$B$53:$B$79,0),MATCH('Headline - Sales, NWP, GWP'!$B55,'Plan Figures'!$B$1:$AP$1,0))</f>
        <v>1279.6651976654666</v>
      </c>
      <c r="V32" s="31">
        <f>INDEX('Plan Figures'!$B$53:$AP$79,MATCH('Headline - Sales, NWP, GWP'!V$4,'Plan Figures'!$B$53:$B$79,0),MATCH('Headline - Sales, NWP, GWP'!$B55,'Plan Figures'!$B$1:$AP$1,0))</f>
        <v>1309.3442611530033</v>
      </c>
      <c r="W32" s="31">
        <f>INDEX('Plan Figures'!$B$53:$AP$79,MATCH('Headline - Sales, NWP, GWP'!W$4,'Plan Figures'!$B$53:$B$79,0),MATCH('Headline - Sales, NWP, GWP'!$B55,'Plan Figures'!$B$1:$AP$1,0))</f>
        <v>1239.8652970555206</v>
      </c>
      <c r="X32" s="31">
        <f>INDEX('Plan Figures'!$B$53:$AP$79,MATCH('Headline - Sales, NWP, GWP'!X$4,'Plan Figures'!$B$53:$B$79,0),MATCH('Headline - Sales, NWP, GWP'!$B55,'Plan Figures'!$B$1:$AP$1,0))</f>
        <v>1217.6367128916372</v>
      </c>
      <c r="Y32" s="31">
        <f>INDEX('Plan Figures'!$B$53:$AP$79,MATCH('Headline - Sales, NWP, GWP'!Y$4,'Plan Figures'!$B$53:$B$79,0),MATCH('Headline - Sales, NWP, GWP'!$B55,'Plan Figures'!$B$1:$AP$1,0))</f>
        <v>1687.1014417855563</v>
      </c>
      <c r="Z32" s="31">
        <f>INDEX('Plan Figures'!$B$53:$AP$79,MATCH('Headline - Sales, NWP, GWP'!Z$4,'Plan Figures'!$B$53:$B$79,0),MATCH('Headline - Sales, NWP, GWP'!$B55,'Plan Figures'!$B$1:$AP$1,0))</f>
        <v>1740.3784971974296</v>
      </c>
      <c r="AA32" s="31">
        <f>INDEX('Plan Figures'!$B$53:$AP$79,MATCH('Headline - Sales, NWP, GWP'!AA$4,'Plan Figures'!$B$53:$B$79,0),MATCH('Headline - Sales, NWP, GWP'!$B55,'Plan Figures'!$B$1:$AP$1,0))</f>
        <v>1515.053836492194</v>
      </c>
      <c r="AB32" s="240">
        <f>INDEX('Plan Figures'!$B$53:$AP$79,MATCH('Headline - Sales, NWP, GWP'!AB$4,'Plan Figures'!$B$53:$B$79,0),MATCH('Headline - Sales, NWP, GWP'!$B55,'Plan Figures'!$B$1:$AP$1,0))</f>
        <v>1376.6957992311532</v>
      </c>
      <c r="AC32" s="31">
        <f>INDEX('Plan Figures'!$B$53:$AP$79,MATCH('Headline - Sales, NWP, GWP'!AC$4,'Plan Figures'!$B$53:$B$79,0),MATCH('Headline - Sales, NWP, GWP'!$B55,'Plan Figures'!$B$1:$AP$1,0))</f>
        <v>2611.1625013686235</v>
      </c>
      <c r="AD32" s="31" t="e">
        <f>INDEX('Plan Figures'!$B$53:$AP$79,MATCH('Headline - Sales, NWP, GWP'!AD$4,'Plan Figures'!$B$53:$B$79,0),MATCH('Headline - Sales, NWP, GWP'!$B55,'Plan Figures'!$B$1:$AP$1,0))</f>
        <v>#N/A</v>
      </c>
      <c r="AE32" s="31" t="e">
        <f>INDEX('Plan Figures'!$B$53:$AP$79,MATCH('Headline - Sales, NWP, GWP'!AE$4,'Plan Figures'!$B$53:$B$79,0),MATCH('Headline - Sales, NWP, GWP'!$B55,'Plan Figures'!$B$1:$AP$1,0))</f>
        <v>#N/A</v>
      </c>
      <c r="AF32" s="31" t="e">
        <f>INDEX('Plan Figures'!$B$53:$AP$79,MATCH('Headline - Sales, NWP, GWP'!AF$4,'Plan Figures'!$B$53:$B$79,0),MATCH('Headline - Sales, NWP, GWP'!$B55,'Plan Figures'!$B$1:$AP$1,0))</f>
        <v>#N/A</v>
      </c>
      <c r="AG32" s="31" t="e">
        <f>INDEX('Plan Figures'!$B$53:$AP$79,MATCH('Headline - Sales, NWP, GWP'!AG$4,'Plan Figures'!$B$53:$B$79,0),MATCH('Headline - Sales, NWP, GWP'!$B55,'Plan Figures'!$B$1:$AP$1,0))</f>
        <v>#N/A</v>
      </c>
      <c r="AH32" s="31" t="e">
        <f>INDEX('Plan Figures'!$B$53:$AP$79,MATCH('Headline - Sales, NWP, GWP'!AH$4,'Plan Figures'!$B$53:$B$79,0),MATCH('Headline - Sales, NWP, GWP'!$B55,'Plan Figures'!$B$1:$AP$1,0))</f>
        <v>#N/A</v>
      </c>
      <c r="AI32" s="31" t="e">
        <f>INDEX('Plan Figures'!$B$53:$AP$79,MATCH('Headline - Sales, NWP, GWP'!AI$4,'Plan Figures'!$B$53:$B$79,0),MATCH('Headline - Sales, NWP, GWP'!$B55,'Plan Figures'!$B$1:$AP$1,0))</f>
        <v>#N/A</v>
      </c>
      <c r="AJ32" s="31" t="e">
        <f>INDEX('Plan Figures'!$B$53:$AP$79,MATCH('Headline - Sales, NWP, GWP'!AJ$4,'Plan Figures'!$B$53:$B$79,0),MATCH('Headline - Sales, NWP, GWP'!$B55,'Plan Figures'!$B$1:$AP$1,0))</f>
        <v>#N/A</v>
      </c>
      <c r="AK32" s="31" t="e">
        <f>INDEX('Plan Figures'!$B$53:$AP$79,MATCH('Headline - Sales, NWP, GWP'!AK$4,'Plan Figures'!$B$53:$B$79,0),MATCH('Headline - Sales, NWP, GWP'!$B55,'Plan Figures'!$B$1:$AP$1,0))</f>
        <v>#N/A</v>
      </c>
      <c r="AL32" s="31" t="e">
        <f>INDEX('Plan Figures'!$B$53:$AP$79,MATCH('Headline - Sales, NWP, GWP'!AL$4,'Plan Figures'!$B$53:$B$79,0),MATCH('Headline - Sales, NWP, GWP'!$B55,'Plan Figures'!$B$1:$AP$1,0))</f>
        <v>#N/A</v>
      </c>
      <c r="AM32" s="31" t="e">
        <f>INDEX('Plan Figures'!$B$53:$AP$79,MATCH('Headline - Sales, NWP, GWP'!AM$4,'Plan Figures'!$B$53:$B$79,0),MATCH('Headline - Sales, NWP, GWP'!$B55,'Plan Figures'!$B$1:$AP$1,0))</f>
        <v>#N/A</v>
      </c>
      <c r="AN32" s="31" t="e">
        <f>INDEX('Plan Figures'!$B$53:$AP$79,MATCH('Headline - Sales, NWP, GWP'!AN$4,'Plan Figures'!$B$53:$B$79,0),MATCH('Headline - Sales, NWP, GWP'!$B55,'Plan Figures'!$B$1:$AP$1,0))</f>
        <v>#N/A</v>
      </c>
      <c r="AO32" s="239">
        <f t="shared" ref="AO32:AO33" si="60">AVERAGE(Z32:AC32)</f>
        <v>1810.8226585723501</v>
      </c>
      <c r="AP32" s="31">
        <f t="shared" ref="AP32:AP33" si="61">AVERAGE(R32:AC32)</f>
        <v>1485.9105639600566</v>
      </c>
      <c r="AQ32" s="31" t="e">
        <f>SUMIFS(AC32:AN32,AC$4:AN$4,"&lt;"&amp;'Title Sheet'!$C$13)</f>
        <v>#N/A</v>
      </c>
      <c r="AR32" s="31"/>
      <c r="AS32" s="240"/>
    </row>
    <row r="33" spans="4:45" ht="15.75" hidden="1" x14ac:dyDescent="0.25">
      <c r="D33" s="213" t="s">
        <v>0</v>
      </c>
      <c r="E33" s="214" t="str">
        <f t="shared" ref="E33:AC33" si="62">IFERROR(IF(E31=0,"-",(E31/E32)-1),"-")</f>
        <v>-</v>
      </c>
      <c r="F33" s="214" t="str">
        <f t="shared" si="62"/>
        <v>-</v>
      </c>
      <c r="G33" s="214" t="str">
        <f t="shared" si="62"/>
        <v>-</v>
      </c>
      <c r="H33" s="214" t="str">
        <f t="shared" si="62"/>
        <v>-</v>
      </c>
      <c r="I33" s="214" t="str">
        <f t="shared" si="62"/>
        <v>-</v>
      </c>
      <c r="J33" s="214" t="str">
        <f t="shared" si="62"/>
        <v>-</v>
      </c>
      <c r="K33" s="214" t="str">
        <f t="shared" si="62"/>
        <v>-</v>
      </c>
      <c r="L33" s="214" t="str">
        <f t="shared" si="62"/>
        <v>-</v>
      </c>
      <c r="M33" s="214" t="str">
        <f t="shared" si="62"/>
        <v>-</v>
      </c>
      <c r="N33" s="214" t="str">
        <f t="shared" si="62"/>
        <v>-</v>
      </c>
      <c r="O33" s="214" t="str">
        <f t="shared" si="62"/>
        <v>-</v>
      </c>
      <c r="P33" s="294" t="str">
        <f t="shared" si="62"/>
        <v>-</v>
      </c>
      <c r="Q33" s="214" t="str">
        <f t="shared" si="62"/>
        <v>-</v>
      </c>
      <c r="R33" s="214">
        <f t="shared" si="62"/>
        <v>1.9978821928257586</v>
      </c>
      <c r="S33" s="214">
        <f t="shared" si="62"/>
        <v>3.6922457439933609</v>
      </c>
      <c r="T33" s="214">
        <f t="shared" si="62"/>
        <v>3.8045856420977282</v>
      </c>
      <c r="U33" s="214">
        <f t="shared" si="62"/>
        <v>3.6785674963437875</v>
      </c>
      <c r="V33" s="214">
        <f t="shared" si="62"/>
        <v>2.8859146146327683</v>
      </c>
      <c r="W33" s="214">
        <f t="shared" si="62"/>
        <v>2.4995737120027655</v>
      </c>
      <c r="X33" s="214">
        <f t="shared" si="62"/>
        <v>2.1084805179792929</v>
      </c>
      <c r="Y33" s="214">
        <f t="shared" si="62"/>
        <v>1.1486556233177385</v>
      </c>
      <c r="Z33" s="214">
        <f t="shared" si="62"/>
        <v>1.0679409713436185</v>
      </c>
      <c r="AA33" s="214">
        <f t="shared" si="62"/>
        <v>1.6837330146722804</v>
      </c>
      <c r="AB33" s="294">
        <f t="shared" si="62"/>
        <v>1.9607121647907504</v>
      </c>
      <c r="AC33" s="214">
        <f t="shared" si="62"/>
        <v>0.67052031335226614</v>
      </c>
      <c r="AD33" s="214" t="str">
        <f t="shared" ref="AD33:AN33" si="63">IFERROR(IF(AD31=0,"-",(AD31/AD32)-1),"-")</f>
        <v>-</v>
      </c>
      <c r="AE33" s="214" t="str">
        <f t="shared" si="63"/>
        <v>-</v>
      </c>
      <c r="AF33" s="214" t="str">
        <f t="shared" si="63"/>
        <v>-</v>
      </c>
      <c r="AG33" s="214" t="str">
        <f t="shared" si="63"/>
        <v>-</v>
      </c>
      <c r="AH33" s="214" t="str">
        <f t="shared" si="63"/>
        <v>-</v>
      </c>
      <c r="AI33" s="214" t="str">
        <f t="shared" si="63"/>
        <v>-</v>
      </c>
      <c r="AJ33" s="214" t="str">
        <f t="shared" si="63"/>
        <v>-</v>
      </c>
      <c r="AK33" s="214" t="str">
        <f t="shared" si="63"/>
        <v>-</v>
      </c>
      <c r="AL33" s="214" t="str">
        <f t="shared" si="63"/>
        <v>-</v>
      </c>
      <c r="AM33" s="214" t="str">
        <f t="shared" si="63"/>
        <v>-</v>
      </c>
      <c r="AN33" s="214" t="str">
        <f t="shared" si="63"/>
        <v>-</v>
      </c>
      <c r="AO33" s="241">
        <f t="shared" si="60"/>
        <v>1.345726616039729</v>
      </c>
      <c r="AP33" s="242">
        <f t="shared" si="61"/>
        <v>2.2665676672793427</v>
      </c>
      <c r="AQ33" s="242" t="str">
        <f t="shared" ref="AQ33" si="64">IFERROR(IF(AQ31=0,"-",(AQ31/AQ32)-1),"-")</f>
        <v>-</v>
      </c>
      <c r="AR33" s="242"/>
      <c r="AS33" s="243"/>
    </row>
    <row r="34" spans="4:45" ht="15.75" x14ac:dyDescent="0.25">
      <c r="D34" s="208" t="s">
        <v>5</v>
      </c>
      <c r="E34" s="283">
        <f>E57+E81</f>
        <v>1251631.410713979</v>
      </c>
      <c r="F34" s="283">
        <f t="shared" ref="F34:AN34" si="65">F57+F81</f>
        <v>1234099.5296420897</v>
      </c>
      <c r="G34" s="283">
        <f t="shared" si="65"/>
        <v>1281072.9224997568</v>
      </c>
      <c r="H34" s="283">
        <f t="shared" si="65"/>
        <v>1005631.3864284693</v>
      </c>
      <c r="I34" s="283">
        <f t="shared" si="65"/>
        <v>1183750.4414288495</v>
      </c>
      <c r="J34" s="283">
        <f t="shared" si="65"/>
        <v>1026995.4625008103</v>
      </c>
      <c r="K34" s="283">
        <f t="shared" si="65"/>
        <v>1079247.5071442397</v>
      </c>
      <c r="L34" s="283">
        <f t="shared" si="65"/>
        <v>1285177.8196425999</v>
      </c>
      <c r="M34" s="283">
        <f t="shared" si="65"/>
        <v>1213786.6928566091</v>
      </c>
      <c r="N34" s="283">
        <f t="shared" si="65"/>
        <v>1466026.2349993496</v>
      </c>
      <c r="O34" s="283">
        <f t="shared" si="65"/>
        <v>2004835.294285018</v>
      </c>
      <c r="P34" s="314">
        <f t="shared" si="65"/>
        <v>1781237.5742841216</v>
      </c>
      <c r="Q34" s="283">
        <f t="shared" si="65"/>
        <v>2440645.3285708595</v>
      </c>
      <c r="R34" s="283">
        <f t="shared" si="65"/>
        <v>4787809.1285713613</v>
      </c>
      <c r="S34" s="283">
        <f t="shared" si="65"/>
        <v>7564646.4317875393</v>
      </c>
      <c r="T34" s="283">
        <f t="shared" si="65"/>
        <v>6890279.8942885501</v>
      </c>
      <c r="U34" s="283">
        <f t="shared" si="65"/>
        <v>6401289.433570358</v>
      </c>
      <c r="V34" s="283">
        <f t="shared" si="65"/>
        <v>5351590.4328564126</v>
      </c>
      <c r="W34" s="283">
        <f t="shared" si="65"/>
        <v>4586543.4385737991</v>
      </c>
      <c r="X34" s="283">
        <f t="shared" si="65"/>
        <v>4066060.6371442708</v>
      </c>
      <c r="Y34" s="283">
        <f t="shared" si="65"/>
        <v>3856743.7407145808</v>
      </c>
      <c r="Z34" s="283">
        <f t="shared" si="65"/>
        <v>3837884.1317853793</v>
      </c>
      <c r="AA34" s="283">
        <f t="shared" si="65"/>
        <v>4462352.5378567688</v>
      </c>
      <c r="AB34" s="314">
        <f t="shared" si="65"/>
        <v>4505953.8671429632</v>
      </c>
      <c r="AC34" s="283">
        <f t="shared" si="65"/>
        <v>4593565.3960720561</v>
      </c>
      <c r="AD34" s="283">
        <f t="shared" si="65"/>
        <v>3762028.6049991283</v>
      </c>
      <c r="AE34" s="283">
        <f t="shared" si="65"/>
        <v>4764039.72892725</v>
      </c>
      <c r="AF34" s="283">
        <f t="shared" si="65"/>
        <v>4680704.3510695351</v>
      </c>
      <c r="AG34" s="283">
        <f t="shared" si="65"/>
        <v>4575589.0100000594</v>
      </c>
      <c r="AH34" s="283">
        <f t="shared" si="65"/>
        <v>3990446.8135739006</v>
      </c>
      <c r="AI34" s="283">
        <f t="shared" si="65"/>
        <v>3838700.4739286248</v>
      </c>
      <c r="AJ34" s="283">
        <f t="shared" si="65"/>
        <v>1790845.5453566601</v>
      </c>
      <c r="AK34" s="283">
        <f t="shared" si="65"/>
        <v>0</v>
      </c>
      <c r="AL34" s="283">
        <f t="shared" si="65"/>
        <v>0</v>
      </c>
      <c r="AM34" s="283">
        <f t="shared" si="65"/>
        <v>0</v>
      </c>
      <c r="AN34" s="283">
        <f t="shared" si="65"/>
        <v>0</v>
      </c>
      <c r="AO34" s="282">
        <f ca="1">IFERROR(AVERAGE(INDEX($E34:$AN34, $AU$4 - 3):INDEX($E34:$AN34, $AU$4)),"-")</f>
        <v>3548895.4607148115</v>
      </c>
      <c r="AP34" s="283">
        <f ca="1">IFERROR(AVERAGE(INDEX($E34:$AN34, $AU$4 - 11):INDEX($E34:$AN34, $AU$4)),"-")</f>
        <v>4054904.5167855751</v>
      </c>
      <c r="AQ34" s="283" cm="1">
        <f t="array" ref="AQ34">IFERROR(SUMPRODUCT((YEAR($E$4:$AN$4)=2024)*$E34:$AN34),"-")</f>
        <v>58751799.002862841</v>
      </c>
      <c r="AR34" s="283">
        <f ca="1">IFERROR(SUM(INDEX($E34:$AN34, $AU$4 - MONTH(TODAY())-11):INDEX($E34:$AN34, $AU$4-12)),"-")</f>
        <v>42088864.72536315</v>
      </c>
      <c r="AS34" s="314">
        <f ca="1">IFERROR(SUM(INDEX($E34:$AN34, $AU$4 - MONTH(TODAY())+1):INDEX($E34:$AN34, $AU$4)),"-")</f>
        <v>31995919.923927218</v>
      </c>
    </row>
    <row r="35" spans="4:45" ht="15.75" x14ac:dyDescent="0.25">
      <c r="D35" s="211" t="s">
        <v>6</v>
      </c>
      <c r="E35" s="385" t="str">
        <f>IFERROR(E58+E82,"-")</f>
        <v>-</v>
      </c>
      <c r="F35" s="385" t="str">
        <f t="shared" ref="F35:AN35" si="66">IFERROR(F58+F82,"-")</f>
        <v>-</v>
      </c>
      <c r="G35" s="385" t="str">
        <f t="shared" si="66"/>
        <v>-</v>
      </c>
      <c r="H35" s="385" t="str">
        <f t="shared" si="66"/>
        <v>-</v>
      </c>
      <c r="I35" s="385" t="str">
        <f t="shared" si="66"/>
        <v>-</v>
      </c>
      <c r="J35" s="385" t="str">
        <f t="shared" si="66"/>
        <v>-</v>
      </c>
      <c r="K35" s="385" t="str">
        <f t="shared" si="66"/>
        <v>-</v>
      </c>
      <c r="L35" s="385" t="str">
        <f t="shared" si="66"/>
        <v>-</v>
      </c>
      <c r="M35" s="385" t="str">
        <f t="shared" si="66"/>
        <v>-</v>
      </c>
      <c r="N35" s="385" t="str">
        <f t="shared" si="66"/>
        <v>-</v>
      </c>
      <c r="O35" s="385">
        <f t="shared" si="66"/>
        <v>1319275.9606993492</v>
      </c>
      <c r="P35" s="386">
        <f t="shared" si="66"/>
        <v>1240503.5958342575</v>
      </c>
      <c r="Q35" s="385">
        <f t="shared" si="66"/>
        <v>1356607.1235178201</v>
      </c>
      <c r="R35" s="385">
        <f t="shared" si="66"/>
        <v>3965261.4789138865</v>
      </c>
      <c r="S35" s="385">
        <f t="shared" si="66"/>
        <v>6436685.8970246492</v>
      </c>
      <c r="T35" s="385">
        <f t="shared" si="66"/>
        <v>6648153.0149620771</v>
      </c>
      <c r="U35" s="385">
        <f t="shared" si="66"/>
        <v>6729202.9775032355</v>
      </c>
      <c r="V35" s="385">
        <f t="shared" si="66"/>
        <v>6855950.1774229826</v>
      </c>
      <c r="W35" s="385">
        <f t="shared" si="66"/>
        <v>4592730.2203269666</v>
      </c>
      <c r="X35" s="385">
        <f t="shared" si="66"/>
        <v>4534684.263722715</v>
      </c>
      <c r="Y35" s="385">
        <f t="shared" si="66"/>
        <v>6212386.6543353209</v>
      </c>
      <c r="Z35" s="385">
        <f t="shared" si="66"/>
        <v>6765082.2561243922</v>
      </c>
      <c r="AA35" s="385">
        <f t="shared" si="66"/>
        <v>5813942.7746251374</v>
      </c>
      <c r="AB35" s="386">
        <f t="shared" si="66"/>
        <v>5279872.9807677912</v>
      </c>
      <c r="AC35" s="385">
        <f t="shared" si="66"/>
        <v>10046982.38031761</v>
      </c>
      <c r="AD35" s="385">
        <f t="shared" si="66"/>
        <v>10046982.38031761</v>
      </c>
      <c r="AE35" s="385">
        <f t="shared" si="66"/>
        <v>10046982.38031761</v>
      </c>
      <c r="AF35" s="385">
        <f t="shared" si="66"/>
        <v>4295053.5499066357</v>
      </c>
      <c r="AG35" s="385">
        <f t="shared" si="66"/>
        <v>4464067.9125272501</v>
      </c>
      <c r="AH35" s="385">
        <f t="shared" si="66"/>
        <v>4408220.2782361265</v>
      </c>
      <c r="AI35" s="385">
        <f t="shared" si="66"/>
        <v>4681841.3670253903</v>
      </c>
      <c r="AJ35" s="385">
        <f t="shared" si="66"/>
        <v>4833453.9461687803</v>
      </c>
      <c r="AK35" s="385">
        <f t="shared" si="66"/>
        <v>4841905.0065684775</v>
      </c>
      <c r="AL35" s="385">
        <f t="shared" si="66"/>
        <v>4746176.9808992464</v>
      </c>
      <c r="AM35" s="385">
        <f t="shared" si="66"/>
        <v>5110888.4012968009</v>
      </c>
      <c r="AN35" s="385">
        <f t="shared" si="66"/>
        <v>4919656.5722469334</v>
      </c>
      <c r="AO35" s="423">
        <f ca="1">IFERROR(AVERAGE(INDEX($E35:$AN35, $AU$4 - 3):INDEX($E35:$AN35, $AU$4)),"-")</f>
        <v>4596895.8759893868</v>
      </c>
      <c r="AP35" s="385">
        <f ca="1">IFERROR(AVERAGE(INDEX($E35:$AN35, $AU$4 - 11):INDEX($E35:$AN35, $AU$4)),"-")</f>
        <v>6407905.7383891381</v>
      </c>
      <c r="AQ35" s="385" t="str" cm="1">
        <f t="array" ref="AQ35">IFERROR(SUMPRODUCT((YEAR($E$4:$AN$4)=2024)*$E35:$AN35),"-")</f>
        <v>-</v>
      </c>
      <c r="AR35" s="385" t="s">
        <v>491</v>
      </c>
      <c r="AS35" s="386">
        <f ca="1">IFERROR(SUM(INDEX($E35:$AN35, $AU$4 - MONTH(TODAY())+1):INDEX($E35:$AN35, $AU$4)),"-")</f>
        <v>52823584.194817014</v>
      </c>
    </row>
    <row r="36" spans="4:45" ht="15.75" x14ac:dyDescent="0.25">
      <c r="D36" s="213" t="s">
        <v>0</v>
      </c>
      <c r="E36" s="214" t="str">
        <f t="shared" ref="E36" si="67">IFERROR(IF(E34=0,"-",(E34/E35)-1),"-")</f>
        <v>-</v>
      </c>
      <c r="F36" s="214" t="str">
        <f t="shared" ref="F36:AN36" si="68">IFERROR(IF(F34=0,"-",(F34/F35)-1),"-")</f>
        <v>-</v>
      </c>
      <c r="G36" s="214" t="str">
        <f t="shared" si="68"/>
        <v>-</v>
      </c>
      <c r="H36" s="214" t="str">
        <f t="shared" si="68"/>
        <v>-</v>
      </c>
      <c r="I36" s="214" t="str">
        <f t="shared" si="68"/>
        <v>-</v>
      </c>
      <c r="J36" s="214" t="str">
        <f t="shared" si="68"/>
        <v>-</v>
      </c>
      <c r="K36" s="214" t="str">
        <f t="shared" si="68"/>
        <v>-</v>
      </c>
      <c r="L36" s="214" t="str">
        <f t="shared" si="68"/>
        <v>-</v>
      </c>
      <c r="M36" s="214" t="str">
        <f t="shared" si="68"/>
        <v>-</v>
      </c>
      <c r="N36" s="214" t="str">
        <f t="shared" si="68"/>
        <v>-</v>
      </c>
      <c r="O36" s="214">
        <f t="shared" si="68"/>
        <v>0.5196481661215544</v>
      </c>
      <c r="P36" s="294">
        <f t="shared" si="68"/>
        <v>0.4358987593955439</v>
      </c>
      <c r="Q36" s="214">
        <f t="shared" si="68"/>
        <v>0.79908043106984294</v>
      </c>
      <c r="R36" s="214">
        <f t="shared" si="68"/>
        <v>0.20743843855734245</v>
      </c>
      <c r="S36" s="214">
        <f t="shared" si="68"/>
        <v>0.17523933166977868</v>
      </c>
      <c r="T36" s="214">
        <f t="shared" si="68"/>
        <v>3.6420172457154898E-2</v>
      </c>
      <c r="U36" s="214">
        <f t="shared" si="68"/>
        <v>-4.8729923146789145E-2</v>
      </c>
      <c r="V36" s="214">
        <f t="shared" si="68"/>
        <v>-0.21942396103176309</v>
      </c>
      <c r="W36" s="214">
        <f t="shared" si="68"/>
        <v>-1.3470814649172436E-3</v>
      </c>
      <c r="X36" s="214">
        <f t="shared" si="68"/>
        <v>-0.10334206293642401</v>
      </c>
      <c r="Y36" s="214">
        <f t="shared" si="68"/>
        <v>-0.37918485192431672</v>
      </c>
      <c r="Z36" s="214">
        <f t="shared" si="68"/>
        <v>-0.43269217040029873</v>
      </c>
      <c r="AA36" s="214">
        <f t="shared" si="68"/>
        <v>-0.23247394911889452</v>
      </c>
      <c r="AB36" s="294">
        <f t="shared" si="68"/>
        <v>-0.14657911590749784</v>
      </c>
      <c r="AC36" s="214">
        <f t="shared" si="68"/>
        <v>-0.54279153459341067</v>
      </c>
      <c r="AD36" s="214">
        <f t="shared" si="68"/>
        <v>-0.62555636482760502</v>
      </c>
      <c r="AE36" s="214">
        <f t="shared" si="68"/>
        <v>-0.52582381967144975</v>
      </c>
      <c r="AF36" s="214">
        <f t="shared" si="68"/>
        <v>8.9789521057608734E-2</v>
      </c>
      <c r="AG36" s="214">
        <f t="shared" si="68"/>
        <v>2.4981944642879172E-2</v>
      </c>
      <c r="AH36" s="214">
        <f t="shared" si="68"/>
        <v>-9.477145838759915E-2</v>
      </c>
      <c r="AI36" s="214">
        <f t="shared" si="68"/>
        <v>-0.18008745427281647</v>
      </c>
      <c r="AJ36" s="214">
        <f t="shared" si="68"/>
        <v>-0.62948947785544385</v>
      </c>
      <c r="AK36" s="214" t="str">
        <f t="shared" si="68"/>
        <v>-</v>
      </c>
      <c r="AL36" s="214" t="str">
        <f t="shared" si="68"/>
        <v>-</v>
      </c>
      <c r="AM36" s="214" t="str">
        <f t="shared" si="68"/>
        <v>-</v>
      </c>
      <c r="AN36" s="215" t="str">
        <f t="shared" si="68"/>
        <v>-</v>
      </c>
      <c r="AO36" s="242">
        <f ca="1">IFERROR(IF(AO34=0,"-",(AO34/AO35)-1),"-")</f>
        <v>-0.22798002033252818</v>
      </c>
      <c r="AP36" s="242">
        <f ca="1">IFERROR(IF(AP34=0,"-",(AP34/AP35)-1),"-")</f>
        <v>-0.36720284562036587</v>
      </c>
      <c r="AQ36" s="242"/>
      <c r="AR36" s="242"/>
      <c r="AS36" s="243">
        <f ca="1">IFERROR(IF(AS34=0,"-",(AS34/AS35)-1),"-")</f>
        <v>-0.39428722204983169</v>
      </c>
    </row>
    <row r="37" spans="4:45" ht="15.75" x14ac:dyDescent="0.25">
      <c r="D37" s="208" t="s">
        <v>12</v>
      </c>
      <c r="E37" s="283">
        <f>IFERROR(E34/E31,"-")</f>
        <v>555.78659445558571</v>
      </c>
      <c r="F37" s="283">
        <f t="shared" ref="F37:AS37" si="69">IFERROR(F34/F31,"-")</f>
        <v>508.27822472903199</v>
      </c>
      <c r="G37" s="283">
        <f t="shared" si="69"/>
        <v>431.77381951457932</v>
      </c>
      <c r="H37" s="283">
        <f t="shared" si="69"/>
        <v>470.3607981424085</v>
      </c>
      <c r="I37" s="283">
        <f t="shared" si="69"/>
        <v>645.44735083361479</v>
      </c>
      <c r="J37" s="283">
        <f t="shared" si="69"/>
        <v>798.59678266003914</v>
      </c>
      <c r="K37" s="283">
        <f t="shared" si="69"/>
        <v>1347.3751649740821</v>
      </c>
      <c r="L37" s="283">
        <f t="shared" si="69"/>
        <v>1258.7441916186092</v>
      </c>
      <c r="M37" s="283">
        <f t="shared" si="69"/>
        <v>1263.0454660318512</v>
      </c>
      <c r="N37" s="283">
        <f t="shared" si="69"/>
        <v>1204.6230361539438</v>
      </c>
      <c r="O37" s="283">
        <f t="shared" si="69"/>
        <v>1009.9925915793541</v>
      </c>
      <c r="P37" s="314">
        <f t="shared" si="69"/>
        <v>985.74298521534126</v>
      </c>
      <c r="Q37" s="283">
        <f t="shared" si="69"/>
        <v>1081.3670042405226</v>
      </c>
      <c r="R37" s="283">
        <f t="shared" si="69"/>
        <v>1240.6864805834055</v>
      </c>
      <c r="S37" s="283">
        <f t="shared" si="69"/>
        <v>1254.9181207344955</v>
      </c>
      <c r="T37" s="283">
        <f t="shared" si="69"/>
        <v>1118.5519308909984</v>
      </c>
      <c r="U37" s="283">
        <f t="shared" si="69"/>
        <v>1069.1981682930279</v>
      </c>
      <c r="V37" s="283">
        <f t="shared" si="69"/>
        <v>1051.8062957658044</v>
      </c>
      <c r="W37" s="283">
        <f t="shared" si="69"/>
        <v>1057.050804004102</v>
      </c>
      <c r="X37" s="283">
        <f t="shared" si="69"/>
        <v>1074.2564431028457</v>
      </c>
      <c r="Y37" s="283">
        <f t="shared" si="69"/>
        <v>1063.9293077833327</v>
      </c>
      <c r="Z37" s="283">
        <f t="shared" si="69"/>
        <v>1066.3751408128312</v>
      </c>
      <c r="AA37" s="283">
        <f t="shared" si="69"/>
        <v>1097.4797190990578</v>
      </c>
      <c r="AB37" s="314">
        <f t="shared" si="69"/>
        <v>1105.4842657367426</v>
      </c>
      <c r="AC37" s="283">
        <f t="shared" si="69"/>
        <v>1053.0869775497606</v>
      </c>
      <c r="AD37" s="283">
        <f t="shared" si="69"/>
        <v>1048.7952620571866</v>
      </c>
      <c r="AE37" s="283">
        <f t="shared" si="69"/>
        <v>1065.0658906611334</v>
      </c>
      <c r="AF37" s="283">
        <f t="shared" si="69"/>
        <v>1053.2638053711826</v>
      </c>
      <c r="AG37" s="283">
        <f t="shared" si="69"/>
        <v>1053.0699677790701</v>
      </c>
      <c r="AH37" s="283">
        <f t="shared" si="69"/>
        <v>1057.0720035957352</v>
      </c>
      <c r="AI37" s="283">
        <f t="shared" si="69"/>
        <v>1078.2866499799509</v>
      </c>
      <c r="AJ37" s="283">
        <f t="shared" si="69"/>
        <v>1141.3929543382155</v>
      </c>
      <c r="AK37" s="283" t="str">
        <f t="shared" si="69"/>
        <v>-</v>
      </c>
      <c r="AL37" s="283" t="str">
        <f t="shared" si="69"/>
        <v>-</v>
      </c>
      <c r="AM37" s="283" t="str">
        <f t="shared" si="69"/>
        <v>-</v>
      </c>
      <c r="AN37" s="283" t="str">
        <f t="shared" si="69"/>
        <v>-</v>
      </c>
      <c r="AO37" s="282">
        <f t="shared" ca="1" si="69"/>
        <v>1071.4455311992788</v>
      </c>
      <c r="AP37" s="283">
        <f t="shared" ca="1" si="69"/>
        <v>1069.872126853563</v>
      </c>
      <c r="AQ37" s="283">
        <f t="shared" si="69"/>
        <v>1111.2712365065131</v>
      </c>
      <c r="AR37" s="283">
        <f t="shared" ca="1" si="69"/>
        <v>1122.279943614195</v>
      </c>
      <c r="AS37" s="314">
        <f t="shared" ca="1" si="69"/>
        <v>1062.4579088137878</v>
      </c>
    </row>
    <row r="38" spans="4:45" ht="15.75" hidden="1" x14ac:dyDescent="0.25">
      <c r="D38" s="211" t="s">
        <v>13</v>
      </c>
      <c r="E38" s="31">
        <f t="shared" ref="E38:R38" si="70">IFERROR(E35/E32,0)</f>
        <v>0</v>
      </c>
      <c r="F38" s="31">
        <f t="shared" si="70"/>
        <v>0</v>
      </c>
      <c r="G38" s="31">
        <f t="shared" si="70"/>
        <v>0</v>
      </c>
      <c r="H38" s="31">
        <f t="shared" si="70"/>
        <v>0</v>
      </c>
      <c r="I38" s="31">
        <f t="shared" si="70"/>
        <v>0</v>
      </c>
      <c r="J38" s="31">
        <f t="shared" si="70"/>
        <v>0</v>
      </c>
      <c r="K38" s="31">
        <f t="shared" si="70"/>
        <v>0</v>
      </c>
      <c r="L38" s="31">
        <f t="shared" si="70"/>
        <v>0</v>
      </c>
      <c r="M38" s="31">
        <f t="shared" si="70"/>
        <v>0</v>
      </c>
      <c r="N38" s="31">
        <f t="shared" si="70"/>
        <v>0</v>
      </c>
      <c r="O38" s="31">
        <f t="shared" si="70"/>
        <v>0</v>
      </c>
      <c r="P38" s="240">
        <f t="shared" si="70"/>
        <v>0</v>
      </c>
      <c r="Q38" s="31">
        <f t="shared" si="70"/>
        <v>0</v>
      </c>
      <c r="R38" s="31">
        <f t="shared" si="70"/>
        <v>3080.4319195475182</v>
      </c>
      <c r="S38" s="31">
        <f t="shared" ref="S38:AP38" si="71">IFERROR(S35/S32,0)</f>
        <v>5010.3702730152618</v>
      </c>
      <c r="T38" s="31">
        <f t="shared" si="71"/>
        <v>5185.3280068434278</v>
      </c>
      <c r="U38" s="31">
        <f t="shared" si="71"/>
        <v>5258.5652792461115</v>
      </c>
      <c r="V38" s="31">
        <f t="shared" si="71"/>
        <v>5236.1707923824861</v>
      </c>
      <c r="W38" s="31">
        <f t="shared" si="71"/>
        <v>3704.217088125587</v>
      </c>
      <c r="X38" s="31">
        <f t="shared" si="71"/>
        <v>3724.1684779311317</v>
      </c>
      <c r="Y38" s="31">
        <f t="shared" si="71"/>
        <v>3682.2840052583888</v>
      </c>
      <c r="Z38" s="31">
        <f t="shared" si="71"/>
        <v>3887.132751305739</v>
      </c>
      <c r="AA38" s="31">
        <f t="shared" si="71"/>
        <v>3837.4496236293267</v>
      </c>
      <c r="AB38" s="240">
        <f t="shared" si="71"/>
        <v>3835.1776650415113</v>
      </c>
      <c r="AC38" s="31">
        <f t="shared" si="71"/>
        <v>3847.7047579580171</v>
      </c>
      <c r="AD38" s="31">
        <f t="shared" ref="AD38:AN38" si="72">IFERROR(AD35/AD32,0)</f>
        <v>0</v>
      </c>
      <c r="AE38" s="31">
        <f t="shared" si="72"/>
        <v>0</v>
      </c>
      <c r="AF38" s="31">
        <f t="shared" si="72"/>
        <v>0</v>
      </c>
      <c r="AG38" s="31">
        <f t="shared" si="72"/>
        <v>0</v>
      </c>
      <c r="AH38" s="31">
        <f t="shared" si="72"/>
        <v>0</v>
      </c>
      <c r="AI38" s="31">
        <f t="shared" si="72"/>
        <v>0</v>
      </c>
      <c r="AJ38" s="31">
        <f t="shared" si="72"/>
        <v>0</v>
      </c>
      <c r="AK38" s="31">
        <f t="shared" si="72"/>
        <v>0</v>
      </c>
      <c r="AL38" s="31">
        <f t="shared" si="72"/>
        <v>0</v>
      </c>
      <c r="AM38" s="31">
        <f t="shared" si="72"/>
        <v>0</v>
      </c>
      <c r="AN38" s="31">
        <f t="shared" si="72"/>
        <v>0</v>
      </c>
      <c r="AO38" s="239">
        <f t="shared" ca="1" si="71"/>
        <v>2538.5676804008917</v>
      </c>
      <c r="AP38" s="31">
        <f t="shared" ca="1" si="71"/>
        <v>4312.4437592741897</v>
      </c>
      <c r="AQ38" s="31">
        <f>SUMIFS(AC38:AN38,AC$4:AN$4,"&lt;"&amp;'Title Sheet'!$C$13)</f>
        <v>3847.7047579580171</v>
      </c>
      <c r="AR38" s="31"/>
      <c r="AS38" s="240"/>
    </row>
    <row r="39" spans="4:45" ht="15.75" hidden="1" x14ac:dyDescent="0.25">
      <c r="D39" s="213" t="s">
        <v>0</v>
      </c>
      <c r="E39" s="214" t="str">
        <f t="shared" ref="E39:AC39" si="73">IFERROR(IF(E37=0,"-",(E37/E38)-1),"-")</f>
        <v>-</v>
      </c>
      <c r="F39" s="214" t="str">
        <f t="shared" si="73"/>
        <v>-</v>
      </c>
      <c r="G39" s="214" t="str">
        <f t="shared" si="73"/>
        <v>-</v>
      </c>
      <c r="H39" s="214" t="str">
        <f t="shared" si="73"/>
        <v>-</v>
      </c>
      <c r="I39" s="214" t="str">
        <f t="shared" si="73"/>
        <v>-</v>
      </c>
      <c r="J39" s="214" t="str">
        <f t="shared" si="73"/>
        <v>-</v>
      </c>
      <c r="K39" s="214" t="str">
        <f t="shared" si="73"/>
        <v>-</v>
      </c>
      <c r="L39" s="214" t="str">
        <f t="shared" si="73"/>
        <v>-</v>
      </c>
      <c r="M39" s="214" t="str">
        <f t="shared" si="73"/>
        <v>-</v>
      </c>
      <c r="N39" s="214" t="str">
        <f t="shared" si="73"/>
        <v>-</v>
      </c>
      <c r="O39" s="214" t="str">
        <f t="shared" si="73"/>
        <v>-</v>
      </c>
      <c r="P39" s="294" t="str">
        <f t="shared" si="73"/>
        <v>-</v>
      </c>
      <c r="Q39" s="214" t="str">
        <f t="shared" si="73"/>
        <v>-</v>
      </c>
      <c r="R39" s="214">
        <f t="shared" si="73"/>
        <v>-0.59723619512238768</v>
      </c>
      <c r="S39" s="214">
        <f t="shared" si="73"/>
        <v>-0.74953585217180363</v>
      </c>
      <c r="T39" s="214">
        <f t="shared" si="73"/>
        <v>-0.78428521215730806</v>
      </c>
      <c r="U39" s="214">
        <f t="shared" si="73"/>
        <v>-0.79667492718730448</v>
      </c>
      <c r="V39" s="214">
        <f t="shared" si="73"/>
        <v>-0.79912681662409513</v>
      </c>
      <c r="W39" s="214">
        <f t="shared" si="73"/>
        <v>-0.71463583832798738</v>
      </c>
      <c r="X39" s="214">
        <f t="shared" si="73"/>
        <v>-0.71154461741762498</v>
      </c>
      <c r="Y39" s="214">
        <f t="shared" si="73"/>
        <v>-0.7110681016825382</v>
      </c>
      <c r="Z39" s="214">
        <f t="shared" si="73"/>
        <v>-0.72566536595524767</v>
      </c>
      <c r="AA39" s="214">
        <f t="shared" si="73"/>
        <v>-0.71400804525451989</v>
      </c>
      <c r="AB39" s="294">
        <f t="shared" si="73"/>
        <v>-0.71175148525361021</v>
      </c>
      <c r="AC39" s="214">
        <f t="shared" si="73"/>
        <v>-0.72630774869830828</v>
      </c>
      <c r="AD39" s="214" t="str">
        <f t="shared" ref="AD39:AN39" si="74">IFERROR(IF(AD37=0,"-",(AD37/AD38)-1),"-")</f>
        <v>-</v>
      </c>
      <c r="AE39" s="214" t="str">
        <f t="shared" si="74"/>
        <v>-</v>
      </c>
      <c r="AF39" s="214" t="str">
        <f t="shared" si="74"/>
        <v>-</v>
      </c>
      <c r="AG39" s="214" t="str">
        <f t="shared" si="74"/>
        <v>-</v>
      </c>
      <c r="AH39" s="214" t="str">
        <f t="shared" si="74"/>
        <v>-</v>
      </c>
      <c r="AI39" s="214" t="str">
        <f t="shared" si="74"/>
        <v>-</v>
      </c>
      <c r="AJ39" s="214" t="str">
        <f t="shared" si="74"/>
        <v>-</v>
      </c>
      <c r="AK39" s="214" t="str">
        <f t="shared" si="74"/>
        <v>-</v>
      </c>
      <c r="AL39" s="214" t="str">
        <f t="shared" si="74"/>
        <v>-</v>
      </c>
      <c r="AM39" s="214" t="str">
        <f t="shared" si="74"/>
        <v>-</v>
      </c>
      <c r="AN39" s="214" t="str">
        <f t="shared" si="74"/>
        <v>-</v>
      </c>
      <c r="AO39" s="241">
        <f t="shared" ref="AO39:AP39" ca="1" si="75">AO37-AO38</f>
        <v>-1467.122149201613</v>
      </c>
      <c r="AP39" s="242">
        <f t="shared" ca="1" si="75"/>
        <v>-3242.5716324206269</v>
      </c>
      <c r="AQ39" s="242">
        <f t="shared" ref="AQ39" si="76">IFERROR(IF(AQ37=0,"-",(AQ37/AQ38)-1),"-")</f>
        <v>-0.71118593904375693</v>
      </c>
      <c r="AR39" s="242"/>
      <c r="AS39" s="243"/>
    </row>
    <row r="40" spans="4:45" ht="15.75" thickBot="1" x14ac:dyDescent="0.3">
      <c r="D40" s="254" t="s">
        <v>17</v>
      </c>
      <c r="E40" s="217"/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95"/>
      <c r="Q40" s="217"/>
      <c r="R40" s="217"/>
      <c r="S40" s="217"/>
      <c r="T40" s="217"/>
      <c r="U40" s="217"/>
      <c r="V40" s="217"/>
      <c r="W40" s="217"/>
      <c r="X40" s="217"/>
      <c r="Y40" s="217"/>
      <c r="Z40" s="217"/>
      <c r="AA40" s="217"/>
      <c r="AB40" s="295"/>
      <c r="AC40" s="217"/>
      <c r="AD40" s="217"/>
      <c r="AE40" s="217"/>
      <c r="AF40" s="217"/>
      <c r="AG40" s="217"/>
      <c r="AH40" s="217"/>
      <c r="AI40" s="217"/>
      <c r="AJ40" s="217"/>
      <c r="AK40" s="217"/>
      <c r="AL40" s="217"/>
      <c r="AM40" s="217"/>
      <c r="AN40" s="217"/>
      <c r="AO40" s="376"/>
      <c r="AP40" s="245"/>
      <c r="AQ40" s="277"/>
      <c r="AR40" s="277"/>
      <c r="AS40" s="246"/>
    </row>
    <row r="41" spans="4:45" ht="15.75" x14ac:dyDescent="0.25">
      <c r="D41" s="208" t="s">
        <v>7</v>
      </c>
      <c r="E41" s="251">
        <f>E64+E88</f>
        <v>1513695.9107143201</v>
      </c>
      <c r="F41" s="251">
        <f t="shared" ref="F41:AN41" si="77">F64+F88</f>
        <v>1492680.16964199</v>
      </c>
      <c r="G41" s="251">
        <f t="shared" si="77"/>
        <v>1549691.8125002205</v>
      </c>
      <c r="H41" s="251">
        <f t="shared" si="77"/>
        <v>1216045.1964284205</v>
      </c>
      <c r="I41" s="251">
        <f t="shared" si="77"/>
        <v>1403824.3214288896</v>
      </c>
      <c r="J41" s="251">
        <f t="shared" si="77"/>
        <v>1206893.5625010105</v>
      </c>
      <c r="K41" s="251">
        <f t="shared" si="77"/>
        <v>1259112.6071441497</v>
      </c>
      <c r="L41" s="251">
        <f t="shared" si="77"/>
        <v>1499623.6696426403</v>
      </c>
      <c r="M41" s="251">
        <f t="shared" si="77"/>
        <v>1419445.6428570296</v>
      </c>
      <c r="N41" s="251">
        <f t="shared" si="77"/>
        <v>1718625.874999661</v>
      </c>
      <c r="O41" s="251">
        <f t="shared" si="77"/>
        <v>2348721.2142845793</v>
      </c>
      <c r="P41" s="296">
        <f t="shared" si="77"/>
        <v>2081476.4642837904</v>
      </c>
      <c r="Q41" s="251">
        <f t="shared" si="77"/>
        <v>2861238.9285705523</v>
      </c>
      <c r="R41" s="251">
        <f t="shared" si="77"/>
        <v>5482953.6785717485</v>
      </c>
      <c r="S41" s="251">
        <f t="shared" si="77"/>
        <v>8262276.4017873313</v>
      </c>
      <c r="T41" s="251">
        <f t="shared" si="77"/>
        <v>7487349.2142878473</v>
      </c>
      <c r="U41" s="251">
        <f t="shared" si="77"/>
        <v>6963336.5535705993</v>
      </c>
      <c r="V41" s="251">
        <f t="shared" si="77"/>
        <v>5816501.142856231</v>
      </c>
      <c r="W41" s="251">
        <f t="shared" si="77"/>
        <v>4982879.4285741784</v>
      </c>
      <c r="X41" s="251">
        <f t="shared" si="77"/>
        <v>4414749.607144272</v>
      </c>
      <c r="Y41" s="251">
        <f t="shared" si="77"/>
        <v>4188453.4107144699</v>
      </c>
      <c r="Z41" s="251">
        <f t="shared" si="77"/>
        <v>4173824.9017858789</v>
      </c>
      <c r="AA41" s="251">
        <f t="shared" si="77"/>
        <v>4855761.5178565774</v>
      </c>
      <c r="AB41" s="296">
        <f t="shared" si="77"/>
        <v>4897815.1071440354</v>
      </c>
      <c r="AC41" s="251">
        <f t="shared" si="77"/>
        <v>4977446.1160720121</v>
      </c>
      <c r="AD41" s="251">
        <f t="shared" si="77"/>
        <v>4067956.8750001779</v>
      </c>
      <c r="AE41" s="251">
        <f t="shared" si="77"/>
        <v>5009476.5089269495</v>
      </c>
      <c r="AF41" s="251">
        <f t="shared" si="77"/>
        <v>4865261.7410692312</v>
      </c>
      <c r="AG41" s="251">
        <f t="shared" si="77"/>
        <v>4761935.9999995707</v>
      </c>
      <c r="AH41" s="251">
        <f t="shared" si="77"/>
        <v>4150039.8035740498</v>
      </c>
      <c r="AI41" s="251">
        <f t="shared" si="77"/>
        <v>3997287.8839286002</v>
      </c>
      <c r="AJ41" s="251">
        <f t="shared" si="77"/>
        <v>1864612.4553566205</v>
      </c>
      <c r="AK41" s="251">
        <f t="shared" si="77"/>
        <v>0</v>
      </c>
      <c r="AL41" s="251">
        <f t="shared" si="77"/>
        <v>0</v>
      </c>
      <c r="AM41" s="251">
        <f t="shared" si="77"/>
        <v>0</v>
      </c>
      <c r="AN41" s="251">
        <f t="shared" si="77"/>
        <v>0</v>
      </c>
      <c r="AO41" s="418">
        <f ca="1">IFERROR(AVERAGE(INDEX($E41:$AN41, $AU$4 - 3):INDEX($E41:$AN41, $AU$4)),"-")</f>
        <v>3693469.0357147101</v>
      </c>
      <c r="AP41" s="419">
        <f ca="1">IFERROR(AVERAGE(INDEX($E41:$AN41, $AU$4 - 11):INDEX($E41:$AN41, $AU$4)),"-")</f>
        <v>4317489.360119014</v>
      </c>
      <c r="AQ41" s="419" cm="1">
        <f t="array" ref="AQ41">IFERROR(SUMPRODUCT((YEAR($E$4:$AN$4)=2024)*$E41:$AN41),"-")</f>
        <v>64387139.892863721</v>
      </c>
      <c r="AR41" s="419">
        <f ca="1">IFERROR(SUM(INDEX($E41:$AN41, $AU$4 - MONTH(TODAY())-11):INDEX($E41:$AN41, $AU$4-12)),"-")</f>
        <v>46271284.95536276</v>
      </c>
      <c r="AS41" s="420">
        <f ca="1">IFERROR(SUM(INDEX($E41:$AN41, $AU$4 - MONTH(TODAY())+1):INDEX($E41:$AN41, $AU$4)),"-")</f>
        <v>33694017.383927219</v>
      </c>
    </row>
    <row r="42" spans="4:45" ht="15.75" x14ac:dyDescent="0.25">
      <c r="D42" s="211" t="s">
        <v>14</v>
      </c>
      <c r="E42" s="221">
        <f t="shared" ref="E42:AS42" si="78">IFERROR((E64+E88)/E41,"-")</f>
        <v>1</v>
      </c>
      <c r="F42" s="221">
        <f t="shared" si="78"/>
        <v>1</v>
      </c>
      <c r="G42" s="221">
        <f t="shared" si="78"/>
        <v>1</v>
      </c>
      <c r="H42" s="221">
        <f t="shared" si="78"/>
        <v>1</v>
      </c>
      <c r="I42" s="221">
        <f t="shared" si="78"/>
        <v>1</v>
      </c>
      <c r="J42" s="221">
        <f t="shared" si="78"/>
        <v>1</v>
      </c>
      <c r="K42" s="221">
        <f t="shared" si="78"/>
        <v>1</v>
      </c>
      <c r="L42" s="221">
        <f t="shared" si="78"/>
        <v>1</v>
      </c>
      <c r="M42" s="221">
        <f t="shared" si="78"/>
        <v>1</v>
      </c>
      <c r="N42" s="221">
        <f t="shared" si="78"/>
        <v>1</v>
      </c>
      <c r="O42" s="221">
        <f t="shared" si="78"/>
        <v>1</v>
      </c>
      <c r="P42" s="297">
        <f t="shared" si="78"/>
        <v>1</v>
      </c>
      <c r="Q42" s="221">
        <f t="shared" si="78"/>
        <v>1</v>
      </c>
      <c r="R42" s="221">
        <f t="shared" si="78"/>
        <v>1</v>
      </c>
      <c r="S42" s="221">
        <f t="shared" si="78"/>
        <v>1</v>
      </c>
      <c r="T42" s="221">
        <f t="shared" si="78"/>
        <v>1</v>
      </c>
      <c r="U42" s="221">
        <f t="shared" si="78"/>
        <v>1</v>
      </c>
      <c r="V42" s="221">
        <f t="shared" si="78"/>
        <v>1</v>
      </c>
      <c r="W42" s="221">
        <f t="shared" si="78"/>
        <v>1</v>
      </c>
      <c r="X42" s="221">
        <f t="shared" si="78"/>
        <v>1</v>
      </c>
      <c r="Y42" s="221">
        <f t="shared" si="78"/>
        <v>1</v>
      </c>
      <c r="Z42" s="221">
        <f t="shared" si="78"/>
        <v>1</v>
      </c>
      <c r="AA42" s="221">
        <f t="shared" si="78"/>
        <v>1</v>
      </c>
      <c r="AB42" s="297">
        <f t="shared" si="78"/>
        <v>1</v>
      </c>
      <c r="AC42" s="221">
        <f t="shared" si="78"/>
        <v>1</v>
      </c>
      <c r="AD42" s="221">
        <f t="shared" si="78"/>
        <v>1</v>
      </c>
      <c r="AE42" s="221">
        <f t="shared" si="78"/>
        <v>1</v>
      </c>
      <c r="AF42" s="221">
        <f t="shared" si="78"/>
        <v>1</v>
      </c>
      <c r="AG42" s="221">
        <f t="shared" si="78"/>
        <v>1</v>
      </c>
      <c r="AH42" s="221">
        <f t="shared" si="78"/>
        <v>1</v>
      </c>
      <c r="AI42" s="221">
        <f t="shared" si="78"/>
        <v>1</v>
      </c>
      <c r="AJ42" s="221">
        <f t="shared" si="78"/>
        <v>1</v>
      </c>
      <c r="AK42" s="221" t="str">
        <f t="shared" si="78"/>
        <v>-</v>
      </c>
      <c r="AL42" s="221" t="str">
        <f t="shared" si="78"/>
        <v>-</v>
      </c>
      <c r="AM42" s="221" t="str">
        <f t="shared" si="78"/>
        <v>-</v>
      </c>
      <c r="AN42" s="221" t="str">
        <f t="shared" si="78"/>
        <v>-</v>
      </c>
      <c r="AO42" s="403">
        <f t="shared" ca="1" si="78"/>
        <v>1</v>
      </c>
      <c r="AP42" s="404">
        <f t="shared" ca="1" si="78"/>
        <v>1</v>
      </c>
      <c r="AQ42" s="404">
        <f t="shared" si="78"/>
        <v>1</v>
      </c>
      <c r="AR42" s="404">
        <f t="shared" ca="1" si="78"/>
        <v>1</v>
      </c>
      <c r="AS42" s="415">
        <f t="shared" ca="1" si="78"/>
        <v>0.99999999999999978</v>
      </c>
    </row>
    <row r="43" spans="4:45" ht="15.75" x14ac:dyDescent="0.25">
      <c r="D43" s="223" t="s">
        <v>493</v>
      </c>
      <c r="E43" s="224">
        <f t="shared" ref="E43" si="79">IFERROR(E34/E$8,"-")</f>
        <v>0.56686060151909623</v>
      </c>
      <c r="F43" s="224">
        <f t="shared" ref="F43:AS43" si="80">IFERROR(F34/F$8,"-")</f>
        <v>0.58646327985581326</v>
      </c>
      <c r="G43" s="224">
        <f t="shared" si="80"/>
        <v>0.52150096139843283</v>
      </c>
      <c r="H43" s="224">
        <f t="shared" si="80"/>
        <v>0.47442626957254042</v>
      </c>
      <c r="I43" s="224">
        <f t="shared" si="80"/>
        <v>0.47291684094464048</v>
      </c>
      <c r="J43" s="224">
        <f t="shared" si="80"/>
        <v>0.44145221099928261</v>
      </c>
      <c r="K43" s="224">
        <f t="shared" si="80"/>
        <v>0.41725334213674187</v>
      </c>
      <c r="L43" s="224">
        <f t="shared" si="80"/>
        <v>0.4447593536005538</v>
      </c>
      <c r="M43" s="224">
        <f t="shared" si="80"/>
        <v>0.43561477961006728</v>
      </c>
      <c r="N43" s="224">
        <f t="shared" si="80"/>
        <v>0.44748556299006936</v>
      </c>
      <c r="O43" s="224">
        <f t="shared" si="80"/>
        <v>0.51946198760047335</v>
      </c>
      <c r="P43" s="298">
        <f t="shared" si="80"/>
        <v>0.45585059177461162</v>
      </c>
      <c r="Q43" s="224">
        <f t="shared" si="80"/>
        <v>0.53015958248243533</v>
      </c>
      <c r="R43" s="224">
        <f t="shared" si="80"/>
        <v>0.72986264583498239</v>
      </c>
      <c r="S43" s="224">
        <f t="shared" si="80"/>
        <v>0.7970605707095566</v>
      </c>
      <c r="T43" s="224">
        <f t="shared" si="80"/>
        <v>0.81562204153475948</v>
      </c>
      <c r="U43" s="224">
        <f t="shared" si="80"/>
        <v>0.80998730357386317</v>
      </c>
      <c r="V43" s="224">
        <f t="shared" si="80"/>
        <v>0.81175664391757596</v>
      </c>
      <c r="W43" s="224">
        <f t="shared" si="80"/>
        <v>0.79642724348653426</v>
      </c>
      <c r="X43" s="224">
        <f t="shared" si="80"/>
        <v>0.80528201653955411</v>
      </c>
      <c r="Y43" s="224">
        <f t="shared" si="80"/>
        <v>0.83397238806056595</v>
      </c>
      <c r="Z43" s="224">
        <f t="shared" si="80"/>
        <v>0.85851449479977748</v>
      </c>
      <c r="AA43" s="224">
        <f t="shared" si="80"/>
        <v>0.92465803089712328</v>
      </c>
      <c r="AB43" s="298">
        <f t="shared" si="80"/>
        <v>0.95732435420484641</v>
      </c>
      <c r="AC43" s="224">
        <f t="shared" si="80"/>
        <v>0.99341707280454361</v>
      </c>
      <c r="AD43" s="224">
        <f t="shared" si="80"/>
        <v>0.99999999999999911</v>
      </c>
      <c r="AE43" s="224">
        <f t="shared" si="80"/>
        <v>0.99999999999999956</v>
      </c>
      <c r="AF43" s="224">
        <f t="shared" si="80"/>
        <v>1.0000000000000009</v>
      </c>
      <c r="AG43" s="224">
        <f t="shared" si="80"/>
        <v>1</v>
      </c>
      <c r="AH43" s="224">
        <f t="shared" si="80"/>
        <v>1</v>
      </c>
      <c r="AI43" s="224">
        <f t="shared" si="80"/>
        <v>1.0000000000000002</v>
      </c>
      <c r="AJ43" s="224">
        <f t="shared" si="80"/>
        <v>1.0000000000000002</v>
      </c>
      <c r="AK43" s="224" t="str">
        <f t="shared" si="80"/>
        <v>-</v>
      </c>
      <c r="AL43" s="224" t="str">
        <f t="shared" si="80"/>
        <v>-</v>
      </c>
      <c r="AM43" s="224" t="str">
        <f t="shared" si="80"/>
        <v>-</v>
      </c>
      <c r="AN43" s="224" t="str">
        <f t="shared" si="80"/>
        <v>-</v>
      </c>
      <c r="AO43" s="414">
        <f t="shared" ca="1" si="80"/>
        <v>1.0000000000000002</v>
      </c>
      <c r="AP43" s="405">
        <f t="shared" ca="1" si="80"/>
        <v>0.96061127418418291</v>
      </c>
      <c r="AQ43" s="405">
        <f t="shared" si="80"/>
        <v>0.80445077741373627</v>
      </c>
      <c r="AR43" s="405">
        <f t="shared" ca="1" si="80"/>
        <v>0.77361079663475618</v>
      </c>
      <c r="AS43" s="416">
        <f t="shared" ca="1" si="80"/>
        <v>0.99904954893221098</v>
      </c>
    </row>
    <row r="44" spans="4:45" ht="15.75" x14ac:dyDescent="0.25">
      <c r="D44" s="211" t="s">
        <v>199</v>
      </c>
      <c r="E44" s="173">
        <f>MAX(E68,E92)</f>
        <v>7797.1314285999997</v>
      </c>
      <c r="F44" s="173">
        <f t="shared" ref="F44:AN44" si="81">MAX(F68,F92)</f>
        <v>7059.6260714</v>
      </c>
      <c r="G44" s="173">
        <f t="shared" si="81"/>
        <v>5358.3832143</v>
      </c>
      <c r="H44" s="173">
        <f t="shared" si="81"/>
        <v>3687.8485713999999</v>
      </c>
      <c r="I44" s="173">
        <f t="shared" si="81"/>
        <v>4438.9724999999999</v>
      </c>
      <c r="J44" s="173">
        <f t="shared" si="81"/>
        <v>6645.7557143000004</v>
      </c>
      <c r="K44" s="173">
        <f t="shared" si="81"/>
        <v>6484.6410714000003</v>
      </c>
      <c r="L44" s="173">
        <f t="shared" si="81"/>
        <v>7953.1503571000003</v>
      </c>
      <c r="M44" s="173">
        <f t="shared" si="81"/>
        <v>8411.4500000000007</v>
      </c>
      <c r="N44" s="173">
        <f t="shared" si="81"/>
        <v>7534.0403570999997</v>
      </c>
      <c r="O44" s="173">
        <f t="shared" si="81"/>
        <v>8186.4639286000001</v>
      </c>
      <c r="P44" s="299">
        <f t="shared" si="81"/>
        <v>4542.6003571000001</v>
      </c>
      <c r="Q44" s="173">
        <f t="shared" si="81"/>
        <v>5955.3278571000001</v>
      </c>
      <c r="R44" s="173">
        <f t="shared" si="81"/>
        <v>10774.406786</v>
      </c>
      <c r="S44" s="173">
        <f t="shared" si="81"/>
        <v>10238.006786</v>
      </c>
      <c r="T44" s="173">
        <f t="shared" si="81"/>
        <v>12354.197142999999</v>
      </c>
      <c r="U44" s="173">
        <f t="shared" si="81"/>
        <v>9489.2539285999992</v>
      </c>
      <c r="V44" s="173">
        <f t="shared" si="81"/>
        <v>9971.4500000000007</v>
      </c>
      <c r="W44" s="173">
        <f t="shared" si="81"/>
        <v>6495.58</v>
      </c>
      <c r="X44" s="173">
        <f t="shared" si="81"/>
        <v>12177.2575</v>
      </c>
      <c r="Y44" s="173">
        <f t="shared" si="81"/>
        <v>6716.7107143000003</v>
      </c>
      <c r="Z44" s="173">
        <f t="shared" si="81"/>
        <v>8122.25</v>
      </c>
      <c r="AA44" s="173">
        <f t="shared" si="81"/>
        <v>6710.1357142999996</v>
      </c>
      <c r="AB44" s="299">
        <f t="shared" si="81"/>
        <v>11957.857142999999</v>
      </c>
      <c r="AC44" s="173">
        <f t="shared" si="81"/>
        <v>10992.642142999999</v>
      </c>
      <c r="AD44" s="173">
        <f t="shared" si="81"/>
        <v>6174.2025000000003</v>
      </c>
      <c r="AE44" s="173">
        <f t="shared" si="81"/>
        <v>9090.8003571000008</v>
      </c>
      <c r="AF44" s="173">
        <f t="shared" si="81"/>
        <v>14029.196786</v>
      </c>
      <c r="AG44" s="173">
        <f t="shared" si="81"/>
        <v>12029.512143</v>
      </c>
      <c r="AH44" s="173">
        <f t="shared" si="81"/>
        <v>8221.1978571</v>
      </c>
      <c r="AI44" s="173">
        <f t="shared" si="81"/>
        <v>7910.8939286000004</v>
      </c>
      <c r="AJ44" s="173">
        <f t="shared" si="81"/>
        <v>8561.4621428999999</v>
      </c>
      <c r="AK44" s="173">
        <f t="shared" si="81"/>
        <v>0</v>
      </c>
      <c r="AL44" s="173">
        <f t="shared" si="81"/>
        <v>0</v>
      </c>
      <c r="AM44" s="173">
        <f t="shared" si="81"/>
        <v>0</v>
      </c>
      <c r="AN44" s="173">
        <f t="shared" si="81"/>
        <v>0</v>
      </c>
      <c r="AO44" s="402">
        <f ca="1">IFERROR(AVERAGE(INDEX($E44:$AN44, $AU$4 - 3):INDEX($E44:$AN44, $AU$4)),"-")</f>
        <v>9180.7665178999996</v>
      </c>
      <c r="AP44" s="173">
        <f ca="1">IFERROR(AVERAGE(INDEX($E44:$AN44, $AU$4 - 11):INDEX($E44:$AN44, $AU$4)),"-")</f>
        <v>9209.7384524416648</v>
      </c>
      <c r="AQ44" s="173">
        <f>MAX(Q44:AB44)</f>
        <v>12354.197142999999</v>
      </c>
      <c r="AR44" s="173">
        <f ca="1">IFERROR(MAX(INDEX($E44:$AN44, $AU$4 - MONTH(TODAY())-11):INDEX($E44:$AN44, $AU$4-12)),"-")</f>
        <v>12354.197142999999</v>
      </c>
      <c r="AS44" s="299">
        <f ca="1">IFERROR(MAX(INDEX($E44:$AN44, $AU$4 - MONTH(TODAY())+1):INDEX($E44:$AN44, $AU$4)),"-")</f>
        <v>14029.196786</v>
      </c>
    </row>
    <row r="45" spans="4:45" ht="15.75" x14ac:dyDescent="0.25">
      <c r="D45" s="223" t="s">
        <v>200</v>
      </c>
      <c r="E45" s="229">
        <f>MIN(E69,E93)</f>
        <v>0</v>
      </c>
      <c r="F45" s="229">
        <f t="shared" ref="F45:AN45" si="82">MIN(F69,F93)</f>
        <v>0</v>
      </c>
      <c r="G45" s="229">
        <f t="shared" si="82"/>
        <v>0</v>
      </c>
      <c r="H45" s="229">
        <f t="shared" si="82"/>
        <v>0</v>
      </c>
      <c r="I45" s="229">
        <f t="shared" si="82"/>
        <v>0</v>
      </c>
      <c r="J45" s="229">
        <f t="shared" si="82"/>
        <v>0</v>
      </c>
      <c r="K45" s="229">
        <f t="shared" si="82"/>
        <v>0</v>
      </c>
      <c r="L45" s="229">
        <f t="shared" si="82"/>
        <v>0</v>
      </c>
      <c r="M45" s="229">
        <f t="shared" si="82"/>
        <v>0</v>
      </c>
      <c r="N45" s="229">
        <f t="shared" si="82"/>
        <v>0</v>
      </c>
      <c r="O45" s="229">
        <f t="shared" si="82"/>
        <v>0</v>
      </c>
      <c r="P45" s="300">
        <f t="shared" si="82"/>
        <v>0</v>
      </c>
      <c r="Q45" s="229">
        <f t="shared" si="82"/>
        <v>349.99892856999998</v>
      </c>
      <c r="R45" s="229">
        <f t="shared" si="82"/>
        <v>349.99892856999998</v>
      </c>
      <c r="S45" s="229">
        <f t="shared" si="82"/>
        <v>349.99785714000001</v>
      </c>
      <c r="T45" s="229">
        <f t="shared" si="82"/>
        <v>349.99785714000001</v>
      </c>
      <c r="U45" s="229">
        <f t="shared" si="82"/>
        <v>349.99785714000001</v>
      </c>
      <c r="V45" s="229">
        <f t="shared" si="82"/>
        <v>349.99785714000001</v>
      </c>
      <c r="W45" s="229">
        <f t="shared" si="82"/>
        <v>349.99785714000001</v>
      </c>
      <c r="X45" s="229">
        <f t="shared" si="82"/>
        <v>349.99785714000001</v>
      </c>
      <c r="Y45" s="229">
        <f t="shared" si="82"/>
        <v>349.99785714000001</v>
      </c>
      <c r="Z45" s="229">
        <f t="shared" si="82"/>
        <v>349.99785714000001</v>
      </c>
      <c r="AA45" s="229">
        <f t="shared" si="82"/>
        <v>349.99785714000001</v>
      </c>
      <c r="AB45" s="300">
        <f t="shared" si="82"/>
        <v>0.89285714289999996</v>
      </c>
      <c r="AC45" s="229">
        <f t="shared" si="82"/>
        <v>349.99785714000001</v>
      </c>
      <c r="AD45" s="229">
        <f t="shared" si="82"/>
        <v>349.99785714000001</v>
      </c>
      <c r="AE45" s="229">
        <f t="shared" si="82"/>
        <v>349.99571429000002</v>
      </c>
      <c r="AF45" s="229">
        <f t="shared" si="82"/>
        <v>349.99571429000002</v>
      </c>
      <c r="AG45" s="229">
        <f t="shared" si="82"/>
        <v>349.99571429000002</v>
      </c>
      <c r="AH45" s="229">
        <f t="shared" si="82"/>
        <v>349.99571429000002</v>
      </c>
      <c r="AI45" s="229">
        <f t="shared" si="82"/>
        <v>349.99571429000002</v>
      </c>
      <c r="AJ45" s="229">
        <f t="shared" si="82"/>
        <v>349.99571429000002</v>
      </c>
      <c r="AK45" s="229">
        <f t="shared" si="82"/>
        <v>0</v>
      </c>
      <c r="AL45" s="229">
        <f t="shared" si="82"/>
        <v>0</v>
      </c>
      <c r="AM45" s="229">
        <f t="shared" si="82"/>
        <v>0</v>
      </c>
      <c r="AN45" s="229">
        <f t="shared" si="82"/>
        <v>0</v>
      </c>
      <c r="AO45" s="413">
        <f ca="1">IFERROR(AVERAGE(INDEX($E45:$AN45, $AU$4 - 3):INDEX($E45:$AN45, $AU$4)),"-")</f>
        <v>349.99571429000002</v>
      </c>
      <c r="AP45" s="421">
        <f ca="1">IFERROR(AVERAGE(INDEX($E45:$AN45, $AU$4 - 11):INDEX($E45:$AN45, $AU$4)),"-")</f>
        <v>320.90470238190846</v>
      </c>
      <c r="AQ45" s="421">
        <f>MIN(Q45:AB45)</f>
        <v>0.89285714289999996</v>
      </c>
      <c r="AR45" s="421">
        <f ca="1">IFERROR(MIN(INDEX($E45:$AN45, $AU$4 - MONTH(TODAY())-11):INDEX($E45:$AN45, $AU$4-12)),"-")</f>
        <v>349.99785714000001</v>
      </c>
      <c r="AS45" s="422">
        <f ca="1">IFERROR(MIN(INDEX($E45:$AN45, $AU$4 - MONTH(TODAY())+1):INDEX($E45:$AN45, $AU$4)),"-")</f>
        <v>349.99571429000002</v>
      </c>
    </row>
    <row r="46" spans="4:45" ht="15.75" x14ac:dyDescent="0.25">
      <c r="D46" s="211" t="s">
        <v>201</v>
      </c>
      <c r="E46" s="221">
        <v>0.5119893428063943</v>
      </c>
      <c r="F46" s="221">
        <v>0.56054365733113676</v>
      </c>
      <c r="G46" s="221">
        <v>0.60667340748230536</v>
      </c>
      <c r="H46" s="221">
        <v>0.47333956969130025</v>
      </c>
      <c r="I46" s="221">
        <v>1.4721919302071973E-2</v>
      </c>
      <c r="J46" s="221">
        <v>0</v>
      </c>
      <c r="K46" s="221">
        <v>4.9937578027465668E-3</v>
      </c>
      <c r="L46" s="221">
        <v>5.8765915768854062E-3</v>
      </c>
      <c r="M46" s="221">
        <v>3.1217481789802288E-3</v>
      </c>
      <c r="N46" s="221">
        <v>4.9301561216105174E-3</v>
      </c>
      <c r="O46" s="221">
        <v>3.0226700251889168E-3</v>
      </c>
      <c r="P46" s="297">
        <v>6.6408411732152743E-3</v>
      </c>
      <c r="Q46" s="221">
        <v>4.8737261852015946E-3</v>
      </c>
      <c r="R46" s="221">
        <v>1.295672454003628E-3</v>
      </c>
      <c r="S46" s="221">
        <v>6.6357000663570006E-4</v>
      </c>
      <c r="T46" s="221">
        <v>1.1363636363636363E-3</v>
      </c>
      <c r="U46" s="221">
        <v>2.3383998663771507E-3</v>
      </c>
      <c r="V46" s="221">
        <v>4.3238993710691823E-3</v>
      </c>
      <c r="W46" s="221">
        <v>4.3788891449642771E-3</v>
      </c>
      <c r="X46" s="221">
        <v>6.3408190224570676E-3</v>
      </c>
      <c r="Y46" s="221">
        <v>4.1379310344827587E-3</v>
      </c>
      <c r="Z46" s="221">
        <v>4.7235343150875244E-3</v>
      </c>
      <c r="AA46" s="221">
        <v>5.1647811116576486E-3</v>
      </c>
      <c r="AB46" s="297">
        <v>3.4347399411187437E-3</v>
      </c>
      <c r="AC46" s="221">
        <v>3.6680421824850985E-3</v>
      </c>
      <c r="AD46" s="221">
        <v>7.2483969891274048E-3</v>
      </c>
      <c r="AE46" s="221">
        <v>7.3775989268947016E-3</v>
      </c>
      <c r="AF46" s="221">
        <v>7.4257425742574254E-3</v>
      </c>
      <c r="AG46" s="221">
        <v>7.3647871116225543E-3</v>
      </c>
      <c r="AH46" s="221">
        <v>6.0927152317880795E-3</v>
      </c>
      <c r="AI46" s="221">
        <v>9.5505617977528091E-3</v>
      </c>
      <c r="AJ46" s="221">
        <v>4.4614404079031233E-3</v>
      </c>
      <c r="AK46" s="221" t="s">
        <v>491</v>
      </c>
      <c r="AL46" s="221" t="s">
        <v>491</v>
      </c>
      <c r="AM46" s="221" t="s">
        <v>491</v>
      </c>
      <c r="AN46" s="221" t="s">
        <v>491</v>
      </c>
      <c r="AO46" s="403">
        <f ca="1">IFERROR(AVERAGE(INDEX($E46:$AN46, $AU$4 - 3):INDEX($E46:$AN46, $AU$4)),"-")</f>
        <v>6.8673761372666422E-3</v>
      </c>
      <c r="AP46" s="404">
        <f ca="1">IFERROR(AVERAGE(INDEX($E46:$AN46, $AU$4 - 11):INDEX($E46:$AN46, $AU$4)),"-")</f>
        <v>5.8875226353481561E-3</v>
      </c>
      <c r="AQ46" s="404">
        <v>0.10195010308498365</v>
      </c>
      <c r="AR46" s="404">
        <v>0.1462816308028691</v>
      </c>
      <c r="AS46" s="415">
        <v>1.2518678399468703E-2</v>
      </c>
    </row>
    <row r="47" spans="4:45" ht="15.75" x14ac:dyDescent="0.25">
      <c r="D47" s="223" t="s">
        <v>202</v>
      </c>
      <c r="E47" s="224">
        <f>MAX(E71,E95)</f>
        <v>0.24359243867967401</v>
      </c>
      <c r="F47" s="224">
        <f t="shared" ref="F47:AN47" si="83">MAX(F71,F95)</f>
        <v>0.244563878171077</v>
      </c>
      <c r="G47" s="224">
        <f t="shared" si="83"/>
        <v>0.2440091140132</v>
      </c>
      <c r="H47" s="224">
        <f t="shared" si="83"/>
        <v>0.24465574842884899</v>
      </c>
      <c r="I47" s="224">
        <f t="shared" si="83"/>
        <v>0.218633760403629</v>
      </c>
      <c r="J47" s="224">
        <f t="shared" si="83"/>
        <v>0.18861940027281601</v>
      </c>
      <c r="K47" s="224">
        <f t="shared" si="83"/>
        <v>0.18841531596470801</v>
      </c>
      <c r="L47" s="224">
        <f t="shared" si="83"/>
        <v>0.18846102292165701</v>
      </c>
      <c r="M47" s="224">
        <f t="shared" si="83"/>
        <v>0.18865590111483499</v>
      </c>
      <c r="N47" s="224">
        <f t="shared" si="83"/>
        <v>0.188662742847614</v>
      </c>
      <c r="O47" s="224">
        <f t="shared" si="83"/>
        <v>0.188662742847614</v>
      </c>
      <c r="P47" s="298">
        <f t="shared" si="83"/>
        <v>0.18852139121614001</v>
      </c>
      <c r="Q47" s="224">
        <f t="shared" si="83"/>
        <v>0.188662742847614</v>
      </c>
      <c r="R47" s="224">
        <f t="shared" si="83"/>
        <v>0.18852139121614001</v>
      </c>
      <c r="S47" s="224">
        <f t="shared" si="83"/>
        <v>0.18852703741155399</v>
      </c>
      <c r="T47" s="224">
        <f t="shared" si="83"/>
        <v>0.167662221164705</v>
      </c>
      <c r="U47" s="224">
        <f t="shared" si="83"/>
        <v>0.167662221164705</v>
      </c>
      <c r="V47" s="224">
        <f t="shared" si="83"/>
        <v>0.16766874866357401</v>
      </c>
      <c r="W47" s="224">
        <f t="shared" si="83"/>
        <v>0.167662221164705</v>
      </c>
      <c r="X47" s="224">
        <f t="shared" si="83"/>
        <v>0.167662221164705</v>
      </c>
      <c r="Y47" s="224">
        <f t="shared" si="83"/>
        <v>0.197021829773881</v>
      </c>
      <c r="Z47" s="224">
        <f t="shared" si="83"/>
        <v>0.197021829773881</v>
      </c>
      <c r="AA47" s="224">
        <f t="shared" si="83"/>
        <v>0.197021829773881</v>
      </c>
      <c r="AB47" s="298">
        <f t="shared" si="83"/>
        <v>0.197021829773881</v>
      </c>
      <c r="AC47" s="224">
        <f t="shared" si="83"/>
        <v>0.197021829773881</v>
      </c>
      <c r="AD47" s="224">
        <f t="shared" si="83"/>
        <v>0.197021829773881</v>
      </c>
      <c r="AE47" s="224">
        <f t="shared" si="83"/>
        <v>0.197021829773881</v>
      </c>
      <c r="AF47" s="224">
        <f t="shared" si="83"/>
        <v>0.19446542737758701</v>
      </c>
      <c r="AG47" s="224">
        <f t="shared" si="83"/>
        <v>0.176227816754086</v>
      </c>
      <c r="AH47" s="224">
        <f t="shared" si="83"/>
        <v>0.17227507217502999</v>
      </c>
      <c r="AI47" s="224">
        <f t="shared" si="83"/>
        <v>0.17867078995955801</v>
      </c>
      <c r="AJ47" s="224">
        <f t="shared" si="83"/>
        <v>0.164289643408222</v>
      </c>
      <c r="AK47" s="224">
        <f t="shared" si="83"/>
        <v>0</v>
      </c>
      <c r="AL47" s="224">
        <f t="shared" si="83"/>
        <v>0</v>
      </c>
      <c r="AM47" s="224">
        <f t="shared" si="83"/>
        <v>0</v>
      </c>
      <c r="AN47" s="224">
        <f t="shared" si="83"/>
        <v>0</v>
      </c>
      <c r="AO47" s="414">
        <f ca="1">IFERROR(AVERAGE(INDEX($E47:$AN47, $AU$4 - 3):INDEX($E47:$AN47, $AU$4)),"-")</f>
        <v>0.172865830574224</v>
      </c>
      <c r="AP47" s="405">
        <f ca="1">IFERROR(AVERAGE(INDEX($E47:$AN47, $AU$4 - 11):INDEX($E47:$AN47, $AU$4)),"-")</f>
        <v>0.18875679650763752</v>
      </c>
      <c r="AQ47" s="405">
        <f>MAX(Q47:AB47)</f>
        <v>0.197021829773881</v>
      </c>
      <c r="AR47" s="405">
        <f ca="1">IFERROR(MAX(INDEX($E47:$AN47, $AU$4 - MONTH(TODAY())-11):INDEX($E47:$AN47, $AU$4-12)),"-")</f>
        <v>0.188662742847614</v>
      </c>
      <c r="AS47" s="416">
        <f ca="1">IFERROR(MAX(INDEX($E47:$AN47, $AU$4 - MONTH(TODAY())+1):INDEX($E47:$AN47, $AU$4)),"-")</f>
        <v>0.197021829773881</v>
      </c>
    </row>
    <row r="48" spans="4:45" ht="16.5" thickBot="1" x14ac:dyDescent="0.3">
      <c r="D48" s="226" t="s">
        <v>203</v>
      </c>
      <c r="E48" s="227">
        <f>MIN(E72,E96)</f>
        <v>0</v>
      </c>
      <c r="F48" s="227">
        <f t="shared" ref="F48:AN48" si="84">MIN(F72,F96)</f>
        <v>0</v>
      </c>
      <c r="G48" s="227">
        <f t="shared" si="84"/>
        <v>0</v>
      </c>
      <c r="H48" s="227">
        <f t="shared" si="84"/>
        <v>0</v>
      </c>
      <c r="I48" s="227">
        <f t="shared" si="84"/>
        <v>0</v>
      </c>
      <c r="J48" s="227">
        <f t="shared" si="84"/>
        <v>0</v>
      </c>
      <c r="K48" s="227">
        <f t="shared" si="84"/>
        <v>0</v>
      </c>
      <c r="L48" s="227">
        <f t="shared" si="84"/>
        <v>0</v>
      </c>
      <c r="M48" s="227">
        <f t="shared" si="84"/>
        <v>0</v>
      </c>
      <c r="N48" s="227">
        <f t="shared" si="84"/>
        <v>0</v>
      </c>
      <c r="O48" s="227">
        <f t="shared" si="84"/>
        <v>0</v>
      </c>
      <c r="P48" s="301">
        <f t="shared" si="84"/>
        <v>0</v>
      </c>
      <c r="Q48" s="227">
        <f t="shared" si="84"/>
        <v>0.111089510935605</v>
      </c>
      <c r="R48" s="227">
        <f t="shared" si="84"/>
        <v>4.88660874813516E-2</v>
      </c>
      <c r="S48" s="227">
        <f t="shared" si="84"/>
        <v>4.8869680851424797E-2</v>
      </c>
      <c r="T48" s="227">
        <f t="shared" si="84"/>
        <v>4.8862468365599397E-2</v>
      </c>
      <c r="U48" s="227">
        <f t="shared" si="84"/>
        <v>4.8864259244639302E-2</v>
      </c>
      <c r="V48" s="227">
        <f t="shared" si="84"/>
        <v>4.8861794836557899E-2</v>
      </c>
      <c r="W48" s="227">
        <f t="shared" si="84"/>
        <v>4.8863729570241703E-2</v>
      </c>
      <c r="X48" s="227">
        <f t="shared" si="84"/>
        <v>4.8862641977371397E-2</v>
      </c>
      <c r="Y48" s="227">
        <f t="shared" si="84"/>
        <v>4.8861496369821102E-2</v>
      </c>
      <c r="Z48" s="227">
        <f t="shared" si="84"/>
        <v>4.8862684405650302E-2</v>
      </c>
      <c r="AA48" s="227">
        <f t="shared" si="84"/>
        <v>4.8865212899752701E-2</v>
      </c>
      <c r="AB48" s="301">
        <f t="shared" si="84"/>
        <v>0</v>
      </c>
      <c r="AC48" s="227">
        <f t="shared" si="84"/>
        <v>4.8861548558889897E-2</v>
      </c>
      <c r="AD48" s="227">
        <f t="shared" si="84"/>
        <v>4.8864398378961602E-2</v>
      </c>
      <c r="AE48" s="227">
        <f t="shared" si="84"/>
        <v>8.7960095436656602E-5</v>
      </c>
      <c r="AF48" s="227">
        <f t="shared" si="84"/>
        <v>0</v>
      </c>
      <c r="AG48" s="227">
        <f t="shared" si="84"/>
        <v>9.0693546505704603E-5</v>
      </c>
      <c r="AH48" s="227">
        <f t="shared" si="84"/>
        <v>8.8254089829264997E-5</v>
      </c>
      <c r="AI48" s="227">
        <f t="shared" si="84"/>
        <v>8.9942645502771895E-5</v>
      </c>
      <c r="AJ48" s="227">
        <f t="shared" si="84"/>
        <v>9.25195722953909E-5</v>
      </c>
      <c r="AK48" s="227">
        <f t="shared" si="84"/>
        <v>0</v>
      </c>
      <c r="AL48" s="227">
        <f t="shared" si="84"/>
        <v>0</v>
      </c>
      <c r="AM48" s="227">
        <f t="shared" si="84"/>
        <v>0</v>
      </c>
      <c r="AN48" s="227">
        <f t="shared" si="84"/>
        <v>0</v>
      </c>
      <c r="AO48" s="406">
        <f ca="1">IFERROR(AVERAGE(INDEX($E48:$AN48, $AU$4 - 3):INDEX($E48:$AN48, $AU$4)),"-")</f>
        <v>9.0352463533283105E-5</v>
      </c>
      <c r="AP48" s="407">
        <f ca="1">IFERROR(AVERAGE(INDEX($E48:$AN48, $AU$4 - 11):INDEX($E48:$AN48, $AU$4)),"-")</f>
        <v>2.0397059213553784E-2</v>
      </c>
      <c r="AQ48" s="407">
        <f>MIN(Q48:AB48)</f>
        <v>0</v>
      </c>
      <c r="AR48" s="407">
        <f ca="1">IFERROR(MIN(INDEX($E48:$AN48, $AU$4 - MONTH(TODAY())-11):INDEX($E48:$AN48, $AU$4-12)),"-")</f>
        <v>4.8861794836557899E-2</v>
      </c>
      <c r="AS48" s="417">
        <f ca="1">IFERROR(MIN(INDEX($E48:$AN48, $AU$4 - MONTH(TODAY())+1):INDEX($E48:$AN48, $AU$4)),"-")</f>
        <v>0</v>
      </c>
    </row>
    <row r="50" spans="2:45" ht="15.75" thickBot="1" x14ac:dyDescent="0.3"/>
    <row r="51" spans="2:45" ht="21" outlineLevel="1" x14ac:dyDescent="0.25">
      <c r="C51" s="290"/>
      <c r="D51" s="363" t="s">
        <v>350</v>
      </c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33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33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3"/>
      <c r="AO51" s="507" t="s">
        <v>484</v>
      </c>
      <c r="AP51" s="508"/>
      <c r="AQ51" s="508"/>
      <c r="AR51" s="508"/>
      <c r="AS51" s="509"/>
    </row>
    <row r="52" spans="2:45" ht="15.75" outlineLevel="1" thickBot="1" x14ac:dyDescent="0.3">
      <c r="C52" s="290"/>
      <c r="D52" s="204"/>
      <c r="E52" s="287" t="s">
        <v>341</v>
      </c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92"/>
      <c r="Q52" s="287" t="s">
        <v>341</v>
      </c>
      <c r="R52" s="287"/>
      <c r="S52" s="287"/>
      <c r="T52" s="287"/>
      <c r="U52" s="287"/>
      <c r="V52" s="287"/>
      <c r="W52" s="287"/>
      <c r="X52" s="287"/>
      <c r="Y52" s="287"/>
      <c r="Z52" s="287"/>
      <c r="AA52" s="287"/>
      <c r="AB52" s="292"/>
      <c r="AC52" s="287" t="s">
        <v>341</v>
      </c>
      <c r="AD52" s="287"/>
      <c r="AE52" s="287"/>
      <c r="AF52" s="287"/>
      <c r="AG52" s="287"/>
      <c r="AH52" s="287"/>
      <c r="AI52" s="287"/>
      <c r="AJ52" s="287"/>
      <c r="AK52" s="287"/>
      <c r="AL52" s="287"/>
      <c r="AM52" s="287"/>
      <c r="AN52" s="288"/>
      <c r="AO52" s="510" t="s">
        <v>485</v>
      </c>
      <c r="AP52" s="511"/>
      <c r="AQ52" s="511" t="s">
        <v>486</v>
      </c>
      <c r="AR52" s="511"/>
      <c r="AS52" s="512"/>
    </row>
    <row r="53" spans="2:45" outlineLevel="1" x14ac:dyDescent="0.25">
      <c r="C53" s="290"/>
      <c r="D53" s="205" t="s">
        <v>487</v>
      </c>
      <c r="E53" s="206">
        <f t="shared" ref="E53:AN53" si="85">E$4</f>
        <v>44927</v>
      </c>
      <c r="F53" s="206">
        <f t="shared" si="85"/>
        <v>44958</v>
      </c>
      <c r="G53" s="206">
        <f t="shared" si="85"/>
        <v>44986</v>
      </c>
      <c r="H53" s="206">
        <f t="shared" si="85"/>
        <v>45017</v>
      </c>
      <c r="I53" s="206">
        <f t="shared" si="85"/>
        <v>45047</v>
      </c>
      <c r="J53" s="206">
        <f t="shared" si="85"/>
        <v>45078</v>
      </c>
      <c r="K53" s="206">
        <f t="shared" si="85"/>
        <v>45108</v>
      </c>
      <c r="L53" s="206">
        <f t="shared" si="85"/>
        <v>45139</v>
      </c>
      <c r="M53" s="206">
        <f t="shared" si="85"/>
        <v>45170</v>
      </c>
      <c r="N53" s="206">
        <f t="shared" si="85"/>
        <v>45200</v>
      </c>
      <c r="O53" s="206">
        <f t="shared" si="85"/>
        <v>45231</v>
      </c>
      <c r="P53" s="293">
        <f t="shared" si="85"/>
        <v>45261</v>
      </c>
      <c r="Q53" s="206">
        <f t="shared" si="85"/>
        <v>45292</v>
      </c>
      <c r="R53" s="206">
        <f t="shared" si="85"/>
        <v>45323</v>
      </c>
      <c r="S53" s="206">
        <f t="shared" si="85"/>
        <v>45352</v>
      </c>
      <c r="T53" s="206">
        <f t="shared" si="85"/>
        <v>45383</v>
      </c>
      <c r="U53" s="206">
        <f t="shared" si="85"/>
        <v>45413</v>
      </c>
      <c r="V53" s="206">
        <f t="shared" si="85"/>
        <v>45444</v>
      </c>
      <c r="W53" s="206">
        <f t="shared" si="85"/>
        <v>45474</v>
      </c>
      <c r="X53" s="206">
        <f t="shared" si="85"/>
        <v>45505</v>
      </c>
      <c r="Y53" s="206">
        <f t="shared" si="85"/>
        <v>45536</v>
      </c>
      <c r="Z53" s="206">
        <f t="shared" si="85"/>
        <v>45566</v>
      </c>
      <c r="AA53" s="206">
        <f t="shared" si="85"/>
        <v>45597</v>
      </c>
      <c r="AB53" s="293">
        <f t="shared" si="85"/>
        <v>45627</v>
      </c>
      <c r="AC53" s="206">
        <f t="shared" si="85"/>
        <v>45658</v>
      </c>
      <c r="AD53" s="206">
        <f t="shared" si="85"/>
        <v>45689</v>
      </c>
      <c r="AE53" s="206">
        <f t="shared" si="85"/>
        <v>45717</v>
      </c>
      <c r="AF53" s="206">
        <f t="shared" si="85"/>
        <v>45748</v>
      </c>
      <c r="AG53" s="206">
        <f t="shared" si="85"/>
        <v>45778</v>
      </c>
      <c r="AH53" s="206">
        <f t="shared" si="85"/>
        <v>45809</v>
      </c>
      <c r="AI53" s="206">
        <f t="shared" si="85"/>
        <v>45839</v>
      </c>
      <c r="AJ53" s="206">
        <f t="shared" si="85"/>
        <v>45870</v>
      </c>
      <c r="AK53" s="206">
        <f t="shared" si="85"/>
        <v>45901</v>
      </c>
      <c r="AL53" s="206">
        <f t="shared" si="85"/>
        <v>45931</v>
      </c>
      <c r="AM53" s="206">
        <f t="shared" si="85"/>
        <v>45962</v>
      </c>
      <c r="AN53" s="207">
        <f t="shared" si="85"/>
        <v>45992</v>
      </c>
      <c r="AO53" s="351" t="s">
        <v>349</v>
      </c>
      <c r="AP53" s="352" t="s">
        <v>348</v>
      </c>
      <c r="AQ53" s="352" t="s">
        <v>772</v>
      </c>
      <c r="AR53" s="352" t="s">
        <v>490</v>
      </c>
      <c r="AS53" s="353" t="s">
        <v>773</v>
      </c>
    </row>
    <row r="54" spans="2:45" ht="15.75" outlineLevel="1" x14ac:dyDescent="0.25">
      <c r="B54" t="str">
        <f>$D$2</f>
        <v>PC Annual Direct</v>
      </c>
      <c r="C54" t="s">
        <v>72</v>
      </c>
      <c r="D54" s="208" t="s">
        <v>3</v>
      </c>
      <c r="E54" s="209">
        <v>2252</v>
      </c>
      <c r="F54" s="209">
        <v>2428</v>
      </c>
      <c r="G54" s="209">
        <v>2967</v>
      </c>
      <c r="H54" s="209">
        <v>2138</v>
      </c>
      <c r="I54" s="209">
        <v>1834</v>
      </c>
      <c r="J54" s="209">
        <v>1286</v>
      </c>
      <c r="K54" s="209">
        <v>801</v>
      </c>
      <c r="L54" s="209">
        <v>1021</v>
      </c>
      <c r="M54" s="209">
        <v>961</v>
      </c>
      <c r="N54" s="209">
        <v>1217</v>
      </c>
      <c r="O54" s="209">
        <v>1985</v>
      </c>
      <c r="P54" s="238">
        <v>1807</v>
      </c>
      <c r="Q54" s="209">
        <v>1833</v>
      </c>
      <c r="R54" s="209">
        <v>1675</v>
      </c>
      <c r="S54" s="209">
        <v>2129</v>
      </c>
      <c r="T54" s="209">
        <v>2006</v>
      </c>
      <c r="U54" s="209">
        <v>2071</v>
      </c>
      <c r="V54" s="209">
        <v>1684</v>
      </c>
      <c r="W54" s="209">
        <v>1375</v>
      </c>
      <c r="X54" s="209">
        <v>1172</v>
      </c>
      <c r="Y54" s="209">
        <v>1126</v>
      </c>
      <c r="Z54" s="209">
        <v>1121</v>
      </c>
      <c r="AA54" s="209">
        <v>1258</v>
      </c>
      <c r="AB54" s="238">
        <v>1174</v>
      </c>
      <c r="AC54" s="209">
        <v>1057</v>
      </c>
      <c r="AD54" s="209">
        <v>804</v>
      </c>
      <c r="AE54" s="209">
        <v>876</v>
      </c>
      <c r="AF54" s="209">
        <v>871</v>
      </c>
      <c r="AG54" s="209">
        <v>945</v>
      </c>
      <c r="AH54" s="209">
        <v>767</v>
      </c>
      <c r="AI54" s="209">
        <v>757</v>
      </c>
      <c r="AJ54" s="209">
        <v>338</v>
      </c>
      <c r="AK54" s="209">
        <v>0</v>
      </c>
      <c r="AL54" s="209">
        <v>0</v>
      </c>
      <c r="AM54" s="209">
        <v>0</v>
      </c>
      <c r="AN54" s="210">
        <v>0</v>
      </c>
      <c r="AO54" s="237">
        <f ca="1">IFERROR(AVERAGE(INDEX($E54:$AN54, $AU$4 - 3):INDEX($E54:$AN54, $AU$4)),"-")</f>
        <v>701.75</v>
      </c>
      <c r="AP54" s="209">
        <f ca="1">IFERROR(AVERAGE(INDEX($E54:$AN54, $AU$4 - 11):INDEX($E54:$AN54, $AU$4)),"-")</f>
        <v>924.5</v>
      </c>
      <c r="AQ54" s="209" cm="1">
        <f t="array" ref="AQ54">IFERROR(SUMPRODUCT((YEAR($E$4:$AN$4)=2024)*$E54:$AN54),"-")</f>
        <v>18624</v>
      </c>
      <c r="AR54" s="209">
        <f ca="1">IFERROR(SUM(INDEX($E54:$AN54, $AU$4 - MONTH(TODAY())-11):INDEX($E54:$AN54, $AU$4-12)),"-")</f>
        <v>13945</v>
      </c>
      <c r="AS54" s="238">
        <f ca="1">IFERROR(SUM(INDEX($E54:$AN54, $AU$4 - MONTH(TODAY())+1):INDEX($E54:$AN54, $AU$4)),"-")</f>
        <v>6415</v>
      </c>
    </row>
    <row r="55" spans="2:45" ht="15.75" hidden="1" outlineLevel="1" x14ac:dyDescent="0.25">
      <c r="B55" t="str">
        <f>$D$28&amp;"_W VYRs"</f>
        <v>PC Annual Direct - Annual_W VYRs</v>
      </c>
      <c r="C55" t="str">
        <f t="shared" ref="C55:C72" si="86">$C54</f>
        <v>Boom Annual</v>
      </c>
      <c r="D55" s="211" t="s">
        <v>4</v>
      </c>
      <c r="E55" s="31" t="e">
        <f>INDEX('Plan Figures'!$B$53:$AP$79,MATCH('Headline - Sales, NWP, GWP'!E$4,'Plan Figures'!$B$53:$B$79,0),MATCH('Headline - Sales, NWP, GWP'!#REF!,'Plan Figures'!$B$1:$AP$1,0))</f>
        <v>#REF!</v>
      </c>
      <c r="F55" s="31" t="e">
        <f>INDEX('Plan Figures'!$B$53:$AP$79,MATCH('Headline - Sales, NWP, GWP'!F$4,'Plan Figures'!$B$53:$B$79,0),MATCH('Headline - Sales, NWP, GWP'!#REF!,'Plan Figures'!$B$1:$AP$1,0))</f>
        <v>#REF!</v>
      </c>
      <c r="G55" s="31" t="e">
        <f>INDEX('Plan Figures'!$B$53:$AP$79,MATCH('Headline - Sales, NWP, GWP'!G$4,'Plan Figures'!$B$53:$B$79,0),MATCH('Headline - Sales, NWP, GWP'!#REF!,'Plan Figures'!$B$1:$AP$1,0))</f>
        <v>#REF!</v>
      </c>
      <c r="H55" s="31" t="e">
        <f>INDEX('Plan Figures'!$B$53:$AP$79,MATCH('Headline - Sales, NWP, GWP'!H$4,'Plan Figures'!$B$53:$B$79,0),MATCH('Headline - Sales, NWP, GWP'!#REF!,'Plan Figures'!$B$1:$AP$1,0))</f>
        <v>#REF!</v>
      </c>
      <c r="I55" s="31" t="e">
        <f>INDEX('Plan Figures'!$B$53:$AP$79,MATCH('Headline - Sales, NWP, GWP'!I$4,'Plan Figures'!$B$53:$B$79,0),MATCH('Headline - Sales, NWP, GWP'!#REF!,'Plan Figures'!$B$1:$AP$1,0))</f>
        <v>#REF!</v>
      </c>
      <c r="J55" s="31" t="e">
        <f>INDEX('Plan Figures'!$B$53:$AP$79,MATCH('Headline - Sales, NWP, GWP'!J$4,'Plan Figures'!$B$53:$B$79,0),MATCH('Headline - Sales, NWP, GWP'!#REF!,'Plan Figures'!$B$1:$AP$1,0))</f>
        <v>#REF!</v>
      </c>
      <c r="K55" s="31" t="e">
        <f>INDEX('Plan Figures'!$B$53:$AP$79,MATCH('Headline - Sales, NWP, GWP'!K$4,'Plan Figures'!$B$53:$B$79,0),MATCH('Headline - Sales, NWP, GWP'!#REF!,'Plan Figures'!$B$1:$AP$1,0))</f>
        <v>#REF!</v>
      </c>
      <c r="L55" s="31" t="e">
        <f>INDEX('Plan Figures'!$B$53:$AP$79,MATCH('Headline - Sales, NWP, GWP'!L$4,'Plan Figures'!$B$53:$B$79,0),MATCH('Headline - Sales, NWP, GWP'!#REF!,'Plan Figures'!$B$1:$AP$1,0))</f>
        <v>#REF!</v>
      </c>
      <c r="M55" s="31" t="e">
        <f>INDEX('Plan Figures'!$B$53:$AP$79,MATCH('Headline - Sales, NWP, GWP'!M$4,'Plan Figures'!$B$53:$B$79,0),MATCH('Headline - Sales, NWP, GWP'!#REF!,'Plan Figures'!$B$1:$AP$1,0))</f>
        <v>#REF!</v>
      </c>
      <c r="N55" s="31" t="e">
        <f>INDEX('Plan Figures'!$B$53:$AP$79,MATCH('Headline - Sales, NWP, GWP'!N$4,'Plan Figures'!$B$53:$B$79,0),MATCH('Headline - Sales, NWP, GWP'!#REF!,'Plan Figures'!$B$1:$AP$1,0))</f>
        <v>#REF!</v>
      </c>
      <c r="O55" s="31" t="e">
        <f>INDEX('Plan Figures'!$B$53:$AP$79,MATCH('Headline - Sales, NWP, GWP'!O$4,'Plan Figures'!$B$53:$B$79,0),MATCH('Headline - Sales, NWP, GWP'!#REF!,'Plan Figures'!$B$1:$AP$1,0))</f>
        <v>#REF!</v>
      </c>
      <c r="P55" s="240" t="e">
        <f>INDEX('Plan Figures'!$B$53:$AP$79,MATCH('Headline - Sales, NWP, GWP'!P$4,'Plan Figures'!$B$53:$B$79,0),MATCH('Headline - Sales, NWP, GWP'!#REF!,'Plan Figures'!$B$1:$AP$1,0))</f>
        <v>#REF!</v>
      </c>
      <c r="Q55" s="31" t="e">
        <f>INDEX('Plan Figures'!$B$53:$AP$79,MATCH('Headline - Sales, NWP, GWP'!Q$4,'Plan Figures'!$B$53:$B$79,0),MATCH('Headline - Sales, NWP, GWP'!#REF!,'Plan Figures'!$B$1:$AP$1,0))</f>
        <v>#REF!</v>
      </c>
      <c r="R55" s="31" t="e">
        <f>INDEX('Plan Figures'!$B$53:$AP$79,MATCH('Headline - Sales, NWP, GWP'!R$4,'Plan Figures'!$B$53:$B$79,0),MATCH('Headline - Sales, NWP, GWP'!#REF!,'Plan Figures'!$B$1:$AP$1,0))</f>
        <v>#REF!</v>
      </c>
      <c r="S55" s="31" t="e">
        <f>INDEX('Plan Figures'!$B$53:$AP$79,MATCH('Headline - Sales, NWP, GWP'!S$4,'Plan Figures'!$B$53:$B$79,0),MATCH('Headline - Sales, NWP, GWP'!#REF!,'Plan Figures'!$B$1:$AP$1,0))</f>
        <v>#REF!</v>
      </c>
      <c r="T55" s="31" t="e">
        <f>INDEX('Plan Figures'!$B$53:$AP$79,MATCH('Headline - Sales, NWP, GWP'!T$4,'Plan Figures'!$B$53:$B$79,0),MATCH('Headline - Sales, NWP, GWP'!#REF!,'Plan Figures'!$B$1:$AP$1,0))</f>
        <v>#REF!</v>
      </c>
      <c r="U55" s="31" t="e">
        <f>INDEX('Plan Figures'!$B$53:$AP$79,MATCH('Headline - Sales, NWP, GWP'!U$4,'Plan Figures'!$B$53:$B$79,0),MATCH('Headline - Sales, NWP, GWP'!#REF!,'Plan Figures'!$B$1:$AP$1,0))</f>
        <v>#REF!</v>
      </c>
      <c r="V55" s="31" t="e">
        <f>INDEX('Plan Figures'!$B$53:$AP$79,MATCH('Headline - Sales, NWP, GWP'!V$4,'Plan Figures'!$B$53:$B$79,0),MATCH('Headline - Sales, NWP, GWP'!#REF!,'Plan Figures'!$B$1:$AP$1,0))</f>
        <v>#REF!</v>
      </c>
      <c r="W55" s="31" t="e">
        <f>INDEX('Plan Figures'!$B$53:$AP$79,MATCH('Headline - Sales, NWP, GWP'!W$4,'Plan Figures'!$B$53:$B$79,0),MATCH('Headline - Sales, NWP, GWP'!#REF!,'Plan Figures'!$B$1:$AP$1,0))</f>
        <v>#REF!</v>
      </c>
      <c r="X55" s="31" t="e">
        <f>INDEX('Plan Figures'!$B$53:$AP$79,MATCH('Headline - Sales, NWP, GWP'!X$4,'Plan Figures'!$B$53:$B$79,0),MATCH('Headline - Sales, NWP, GWP'!#REF!,'Plan Figures'!$B$1:$AP$1,0))</f>
        <v>#REF!</v>
      </c>
      <c r="Y55" s="31" t="e">
        <f>INDEX('Plan Figures'!$B$53:$AP$79,MATCH('Headline - Sales, NWP, GWP'!Y$4,'Plan Figures'!$B$53:$B$79,0),MATCH('Headline - Sales, NWP, GWP'!#REF!,'Plan Figures'!$B$1:$AP$1,0))</f>
        <v>#REF!</v>
      </c>
      <c r="Z55" s="31" t="e">
        <f>INDEX('Plan Figures'!$B$53:$AP$79,MATCH('Headline - Sales, NWP, GWP'!Z$4,'Plan Figures'!$B$53:$B$79,0),MATCH('Headline - Sales, NWP, GWP'!#REF!,'Plan Figures'!$B$1:$AP$1,0))</f>
        <v>#REF!</v>
      </c>
      <c r="AA55" s="31" t="e">
        <f>INDEX('Plan Figures'!$B$53:$AP$79,MATCH('Headline - Sales, NWP, GWP'!AA$4,'Plan Figures'!$B$53:$B$79,0),MATCH('Headline - Sales, NWP, GWP'!#REF!,'Plan Figures'!$B$1:$AP$1,0))</f>
        <v>#REF!</v>
      </c>
      <c r="AB55" s="240" t="e">
        <f>INDEX('Plan Figures'!$B$53:$AP$79,MATCH('Headline - Sales, NWP, GWP'!AB$4,'Plan Figures'!$B$53:$B$79,0),MATCH('Headline - Sales, NWP, GWP'!#REF!,'Plan Figures'!$B$1:$AP$1,0))</f>
        <v>#REF!</v>
      </c>
      <c r="AC55" s="31" t="e">
        <f>INDEX('Plan Figures'!$B$53:$AP$79,MATCH('Headline - Sales, NWP, GWP'!AC$4,'Plan Figures'!$B$53:$B$79,0),MATCH('Headline - Sales, NWP, GWP'!#REF!,'Plan Figures'!$B$1:$AP$1,0))</f>
        <v>#REF!</v>
      </c>
      <c r="AD55" s="31" t="e">
        <f>INDEX('Plan Figures'!$B$53:$AP$79,MATCH('Headline - Sales, NWP, GWP'!AD$4,'Plan Figures'!$B$53:$B$79,0),MATCH('Headline - Sales, NWP, GWP'!#REF!,'Plan Figures'!$B$1:$AP$1,0))</f>
        <v>#N/A</v>
      </c>
      <c r="AE55" s="31" t="e">
        <f>INDEX('Plan Figures'!$B$53:$AP$79,MATCH('Headline - Sales, NWP, GWP'!AE$4,'Plan Figures'!$B$53:$B$79,0),MATCH('Headline - Sales, NWP, GWP'!#REF!,'Plan Figures'!$B$1:$AP$1,0))</f>
        <v>#N/A</v>
      </c>
      <c r="AF55" s="31" t="e">
        <f>INDEX('Plan Figures'!$B$53:$AP$79,MATCH('Headline - Sales, NWP, GWP'!AF$4,'Plan Figures'!$B$53:$B$79,0),MATCH('Headline - Sales, NWP, GWP'!#REF!,'Plan Figures'!$B$1:$AP$1,0))</f>
        <v>#N/A</v>
      </c>
      <c r="AG55" s="31" t="e">
        <f>INDEX('Plan Figures'!$B$53:$AP$79,MATCH('Headline - Sales, NWP, GWP'!AG$4,'Plan Figures'!$B$53:$B$79,0),MATCH('Headline - Sales, NWP, GWP'!#REF!,'Plan Figures'!$B$1:$AP$1,0))</f>
        <v>#N/A</v>
      </c>
      <c r="AH55" s="31" t="e">
        <f>INDEX('Plan Figures'!$B$53:$AP$79,MATCH('Headline - Sales, NWP, GWP'!AH$4,'Plan Figures'!$B$53:$B$79,0),MATCH('Headline - Sales, NWP, GWP'!#REF!,'Plan Figures'!$B$1:$AP$1,0))</f>
        <v>#N/A</v>
      </c>
      <c r="AI55" s="31" t="e">
        <f>INDEX('Plan Figures'!$B$53:$AP$79,MATCH('Headline - Sales, NWP, GWP'!AI$4,'Plan Figures'!$B$53:$B$79,0),MATCH('Headline - Sales, NWP, GWP'!#REF!,'Plan Figures'!$B$1:$AP$1,0))</f>
        <v>#N/A</v>
      </c>
      <c r="AJ55" s="31" t="e">
        <f>INDEX('Plan Figures'!$B$53:$AP$79,MATCH('Headline - Sales, NWP, GWP'!AJ$4,'Plan Figures'!$B$53:$B$79,0),MATCH('Headline - Sales, NWP, GWP'!#REF!,'Plan Figures'!$B$1:$AP$1,0))</f>
        <v>#N/A</v>
      </c>
      <c r="AK55" s="31" t="e">
        <f>INDEX('Plan Figures'!$B$53:$AP$79,MATCH('Headline - Sales, NWP, GWP'!AK$4,'Plan Figures'!$B$53:$B$79,0),MATCH('Headline - Sales, NWP, GWP'!#REF!,'Plan Figures'!$B$1:$AP$1,0))</f>
        <v>#N/A</v>
      </c>
      <c r="AL55" s="31" t="e">
        <f>INDEX('Plan Figures'!$B$53:$AP$79,MATCH('Headline - Sales, NWP, GWP'!AL$4,'Plan Figures'!$B$53:$B$79,0),MATCH('Headline - Sales, NWP, GWP'!#REF!,'Plan Figures'!$B$1:$AP$1,0))</f>
        <v>#N/A</v>
      </c>
      <c r="AM55" s="31" t="e">
        <f>INDEX('Plan Figures'!$B$53:$AP$79,MATCH('Headline - Sales, NWP, GWP'!AM$4,'Plan Figures'!$B$53:$B$79,0),MATCH('Headline - Sales, NWP, GWP'!#REF!,'Plan Figures'!$B$1:$AP$1,0))</f>
        <v>#N/A</v>
      </c>
      <c r="AN55" s="212" t="e">
        <f>INDEX('Plan Figures'!$B$53:$AP$79,MATCH('Headline - Sales, NWP, GWP'!AN$4,'Plan Figures'!$B$53:$B$79,0),MATCH('Headline - Sales, NWP, GWP'!#REF!,'Plan Figures'!$B$1:$AP$1,0))</f>
        <v>#N/A</v>
      </c>
      <c r="AO55" s="239" t="e">
        <f t="shared" ref="AO55:AO56" si="87">AVERAGE(Z55:AC55)</f>
        <v>#REF!</v>
      </c>
      <c r="AP55" s="31" t="e">
        <f t="shared" ref="AP55:AP56" si="88">AVERAGE(R55:AC55)</f>
        <v>#REF!</v>
      </c>
      <c r="AQ55" s="31" t="e">
        <f>SUMIFS(AC55:AN55,AC$4:AN$4,"&lt;"&amp;'Title Sheet'!$C$13)</f>
        <v>#REF!</v>
      </c>
      <c r="AR55" s="31"/>
      <c r="AS55" s="240"/>
    </row>
    <row r="56" spans="2:45" ht="15.75" hidden="1" outlineLevel="1" x14ac:dyDescent="0.25">
      <c r="B56" t="str">
        <f t="shared" ref="B56:B72" si="89">$D$2</f>
        <v>PC Annual Direct</v>
      </c>
      <c r="C56" t="str">
        <f t="shared" si="86"/>
        <v>Boom Annual</v>
      </c>
      <c r="D56" s="213" t="s">
        <v>0</v>
      </c>
      <c r="E56" s="214" t="str">
        <f t="shared" ref="E56" si="90">IFERROR(IF(E54=0,"-",(E54/E55)-1),"-")</f>
        <v>-</v>
      </c>
      <c r="F56" s="214" t="str">
        <f t="shared" ref="F56:AN56" si="91">IFERROR(IF(F54=0,"-",(F54/F55)-1),"-")</f>
        <v>-</v>
      </c>
      <c r="G56" s="214" t="str">
        <f t="shared" si="91"/>
        <v>-</v>
      </c>
      <c r="H56" s="214" t="str">
        <f t="shared" si="91"/>
        <v>-</v>
      </c>
      <c r="I56" s="214" t="str">
        <f t="shared" si="91"/>
        <v>-</v>
      </c>
      <c r="J56" s="214" t="str">
        <f t="shared" si="91"/>
        <v>-</v>
      </c>
      <c r="K56" s="214" t="str">
        <f t="shared" si="91"/>
        <v>-</v>
      </c>
      <c r="L56" s="214" t="str">
        <f t="shared" si="91"/>
        <v>-</v>
      </c>
      <c r="M56" s="214" t="str">
        <f t="shared" si="91"/>
        <v>-</v>
      </c>
      <c r="N56" s="214" t="str">
        <f t="shared" si="91"/>
        <v>-</v>
      </c>
      <c r="O56" s="214" t="str">
        <f t="shared" si="91"/>
        <v>-</v>
      </c>
      <c r="P56" s="294" t="str">
        <f t="shared" si="91"/>
        <v>-</v>
      </c>
      <c r="Q56" s="214" t="str">
        <f t="shared" si="91"/>
        <v>-</v>
      </c>
      <c r="R56" s="214" t="str">
        <f t="shared" si="91"/>
        <v>-</v>
      </c>
      <c r="S56" s="214" t="str">
        <f t="shared" si="91"/>
        <v>-</v>
      </c>
      <c r="T56" s="214" t="str">
        <f t="shared" si="91"/>
        <v>-</v>
      </c>
      <c r="U56" s="214" t="str">
        <f t="shared" si="91"/>
        <v>-</v>
      </c>
      <c r="V56" s="214" t="str">
        <f t="shared" si="91"/>
        <v>-</v>
      </c>
      <c r="W56" s="214" t="str">
        <f t="shared" si="91"/>
        <v>-</v>
      </c>
      <c r="X56" s="214" t="str">
        <f t="shared" si="91"/>
        <v>-</v>
      </c>
      <c r="Y56" s="214" t="str">
        <f t="shared" si="91"/>
        <v>-</v>
      </c>
      <c r="Z56" s="214" t="str">
        <f t="shared" si="91"/>
        <v>-</v>
      </c>
      <c r="AA56" s="214" t="str">
        <f t="shared" si="91"/>
        <v>-</v>
      </c>
      <c r="AB56" s="294" t="str">
        <f t="shared" si="91"/>
        <v>-</v>
      </c>
      <c r="AC56" s="214" t="str">
        <f t="shared" si="91"/>
        <v>-</v>
      </c>
      <c r="AD56" s="214" t="str">
        <f t="shared" si="91"/>
        <v>-</v>
      </c>
      <c r="AE56" s="214" t="str">
        <f t="shared" si="91"/>
        <v>-</v>
      </c>
      <c r="AF56" s="214" t="str">
        <f t="shared" si="91"/>
        <v>-</v>
      </c>
      <c r="AG56" s="214" t="str">
        <f t="shared" si="91"/>
        <v>-</v>
      </c>
      <c r="AH56" s="214" t="str">
        <f t="shared" si="91"/>
        <v>-</v>
      </c>
      <c r="AI56" s="214" t="str">
        <f t="shared" si="91"/>
        <v>-</v>
      </c>
      <c r="AJ56" s="214" t="str">
        <f t="shared" si="91"/>
        <v>-</v>
      </c>
      <c r="AK56" s="214" t="str">
        <f t="shared" si="91"/>
        <v>-</v>
      </c>
      <c r="AL56" s="214" t="str">
        <f t="shared" si="91"/>
        <v>-</v>
      </c>
      <c r="AM56" s="214" t="str">
        <f t="shared" si="91"/>
        <v>-</v>
      </c>
      <c r="AN56" s="215" t="str">
        <f t="shared" si="91"/>
        <v>-</v>
      </c>
      <c r="AO56" s="241" t="e">
        <f t="shared" si="87"/>
        <v>#DIV/0!</v>
      </c>
      <c r="AP56" s="242" t="e">
        <f t="shared" si="88"/>
        <v>#DIV/0!</v>
      </c>
      <c r="AQ56" s="242" t="str">
        <f t="shared" ref="AQ56" si="92">IFERROR(IF(AQ54=0,"-",(AQ54/AQ55)-1),"-")</f>
        <v>-</v>
      </c>
      <c r="AR56" s="242"/>
      <c r="AS56" s="243"/>
    </row>
    <row r="57" spans="2:45" ht="15.75" outlineLevel="1" x14ac:dyDescent="0.25">
      <c r="B57" t="str">
        <f t="shared" si="89"/>
        <v>PC Annual Direct</v>
      </c>
      <c r="C57" t="str">
        <f t="shared" si="86"/>
        <v>Boom Annual</v>
      </c>
      <c r="D57" s="208" t="s">
        <v>5</v>
      </c>
      <c r="E57" s="283">
        <v>1251631.410713979</v>
      </c>
      <c r="F57" s="283">
        <v>1234099.5296420897</v>
      </c>
      <c r="G57" s="283">
        <v>1281072.9224997568</v>
      </c>
      <c r="H57" s="283">
        <v>1005631.3864284693</v>
      </c>
      <c r="I57" s="283">
        <v>1183750.4414288495</v>
      </c>
      <c r="J57" s="283">
        <v>1026995.4625008103</v>
      </c>
      <c r="K57" s="283">
        <v>1079247.5071442397</v>
      </c>
      <c r="L57" s="283">
        <v>1285177.8196425999</v>
      </c>
      <c r="M57" s="283">
        <v>1213786.6928566091</v>
      </c>
      <c r="N57" s="283">
        <v>1466026.2349993496</v>
      </c>
      <c r="O57" s="283">
        <v>2004835.294285018</v>
      </c>
      <c r="P57" s="314">
        <v>1781237.5742841216</v>
      </c>
      <c r="Q57" s="283">
        <v>1817178.5557138096</v>
      </c>
      <c r="R57" s="283">
        <v>1654975.3714281805</v>
      </c>
      <c r="S57" s="283">
        <v>2203997.4610720593</v>
      </c>
      <c r="T57" s="283">
        <v>1859363.4200003503</v>
      </c>
      <c r="U57" s="283">
        <v>1794117.3739291502</v>
      </c>
      <c r="V57" s="283">
        <v>1473286.4889283297</v>
      </c>
      <c r="W57" s="283">
        <v>1217372.1214287796</v>
      </c>
      <c r="X57" s="283">
        <v>1020562.1964285398</v>
      </c>
      <c r="Y57" s="283">
        <v>1049421.5464291505</v>
      </c>
      <c r="Z57" s="283">
        <v>999169.43999983091</v>
      </c>
      <c r="AA57" s="283">
        <v>1148504.8989284094</v>
      </c>
      <c r="AB57" s="314">
        <v>1076742.5664288828</v>
      </c>
      <c r="AC57" s="283">
        <v>945350.11642922333</v>
      </c>
      <c r="AD57" s="283">
        <v>699707.71499971999</v>
      </c>
      <c r="AE57" s="283">
        <v>793185.78392824007</v>
      </c>
      <c r="AF57" s="283">
        <v>779905.83928563015</v>
      </c>
      <c r="AG57" s="283">
        <v>831693.69285696046</v>
      </c>
      <c r="AH57" s="283">
        <v>700220.38107181026</v>
      </c>
      <c r="AI57" s="283">
        <v>700374.55392886966</v>
      </c>
      <c r="AJ57" s="283">
        <v>307625.26357118029</v>
      </c>
      <c r="AK57" s="283">
        <v>0</v>
      </c>
      <c r="AL57" s="283">
        <v>0</v>
      </c>
      <c r="AM57" s="283">
        <v>0</v>
      </c>
      <c r="AN57" s="424">
        <v>0</v>
      </c>
      <c r="AO57" s="282">
        <f ca="1">IFERROR(AVERAGE(INDEX($E57:$AN57, $AU$4 - 3):INDEX($E57:$AN57, $AU$4)),"-")</f>
        <v>634978.4728572052</v>
      </c>
      <c r="AP57" s="283">
        <f ca="1">IFERROR(AVERAGE(INDEX($E57:$AN57, $AU$4 - 11):INDEX($E57:$AN57, $AU$4)),"-")</f>
        <v>835991.81648815889</v>
      </c>
      <c r="AQ57" s="283" cm="1">
        <f t="array" ref="AQ57">IFERROR(SUMPRODUCT((YEAR($E$4:$AN$4)=2024)*$E57:$AN57),"-")</f>
        <v>17314691.440715473</v>
      </c>
      <c r="AR57" s="283">
        <f ca="1">IFERROR(SUM(INDEX($E57:$AN57, $AU$4 - MONTH(TODAY())-11):INDEX($E57:$AN57, $AU$4-12)),"-")</f>
        <v>13040852.988929199</v>
      </c>
      <c r="AS57" s="314">
        <f ca="1">IFERROR(SUM(INDEX($E57:$AN57, $AU$4 - MONTH(TODAY())+1):INDEX($E57:$AN57, $AU$4)),"-")</f>
        <v>5758063.3460716344</v>
      </c>
    </row>
    <row r="58" spans="2:45" ht="15.75" outlineLevel="1" x14ac:dyDescent="0.25">
      <c r="B58" t="str">
        <f>$D$28&amp;"_NWP"</f>
        <v>PC Annual Direct - Annual_NWP</v>
      </c>
      <c r="C58" t="str">
        <f t="shared" si="86"/>
        <v>Boom Annual</v>
      </c>
      <c r="D58" s="211" t="s">
        <v>6</v>
      </c>
      <c r="E58" s="385" t="str">
        <f>INDEX('Plan Figures'!$B$53:$AP$90,MATCH('Headline - Sales, NWP, GWP'!E$4,'Plan Figures'!$B$53:$B$90,0),MATCH('Headline - Sales, NWP, GWP'!$B58,'Plan Figures'!$B$1:$AP$1,0))</f>
        <v>-</v>
      </c>
      <c r="F58" s="385" t="str">
        <f>INDEX('Plan Figures'!$B$53:$AP$90,MATCH('Headline - Sales, NWP, GWP'!F$4,'Plan Figures'!$B$53:$B$90,0),MATCH('Headline - Sales, NWP, GWP'!$B58,'Plan Figures'!$B$1:$AP$1,0))</f>
        <v>-</v>
      </c>
      <c r="G58" s="385" t="str">
        <f>INDEX('Plan Figures'!$B$53:$AP$90,MATCH('Headline - Sales, NWP, GWP'!G$4,'Plan Figures'!$B$53:$B$90,0),MATCH('Headline - Sales, NWP, GWP'!$B58,'Plan Figures'!$B$1:$AP$1,0))</f>
        <v>-</v>
      </c>
      <c r="H58" s="385" t="str">
        <f>INDEX('Plan Figures'!$B$53:$AP$90,MATCH('Headline - Sales, NWP, GWP'!H$4,'Plan Figures'!$B$53:$B$90,0),MATCH('Headline - Sales, NWP, GWP'!$B58,'Plan Figures'!$B$1:$AP$1,0))</f>
        <v>-</v>
      </c>
      <c r="I58" s="385" t="str">
        <f>INDEX('Plan Figures'!$B$53:$AP$90,MATCH('Headline - Sales, NWP, GWP'!I$4,'Plan Figures'!$B$53:$B$90,0),MATCH('Headline - Sales, NWP, GWP'!$B58,'Plan Figures'!$B$1:$AP$1,0))</f>
        <v>-</v>
      </c>
      <c r="J58" s="385" t="str">
        <f>INDEX('Plan Figures'!$B$53:$AP$90,MATCH('Headline - Sales, NWP, GWP'!J$4,'Plan Figures'!$B$53:$B$90,0),MATCH('Headline - Sales, NWP, GWP'!$B58,'Plan Figures'!$B$1:$AP$1,0))</f>
        <v>-</v>
      </c>
      <c r="K58" s="385" t="str">
        <f>INDEX('Plan Figures'!$B$53:$AP$90,MATCH('Headline - Sales, NWP, GWP'!K$4,'Plan Figures'!$B$53:$B$90,0),MATCH('Headline - Sales, NWP, GWP'!$B58,'Plan Figures'!$B$1:$AP$1,0))</f>
        <v>-</v>
      </c>
      <c r="L58" s="385" t="str">
        <f>INDEX('Plan Figures'!$B$53:$AP$90,MATCH('Headline - Sales, NWP, GWP'!L$4,'Plan Figures'!$B$53:$B$90,0),MATCH('Headline - Sales, NWP, GWP'!$B58,'Plan Figures'!$B$1:$AP$1,0))</f>
        <v>-</v>
      </c>
      <c r="M58" s="385" t="str">
        <f>INDEX('Plan Figures'!$B$53:$AP$90,MATCH('Headline - Sales, NWP, GWP'!M$4,'Plan Figures'!$B$53:$B$90,0),MATCH('Headline - Sales, NWP, GWP'!$B58,'Plan Figures'!$B$1:$AP$1,0))</f>
        <v>-</v>
      </c>
      <c r="N58" s="385" t="str">
        <f>INDEX('Plan Figures'!$B$53:$AP$90,MATCH('Headline - Sales, NWP, GWP'!N$4,'Plan Figures'!$B$53:$B$90,0),MATCH('Headline - Sales, NWP, GWP'!$B58,'Plan Figures'!$B$1:$AP$1,0))</f>
        <v>-</v>
      </c>
      <c r="O58" s="385">
        <f>INDEX('Plan Figures'!$B$53:$AP$90,MATCH('Headline - Sales, NWP, GWP'!O$4,'Plan Figures'!$B$53:$B$90,0),MATCH('Headline - Sales, NWP, GWP'!$B58,'Plan Figures'!$B$1:$AP$1,0))</f>
        <v>1319275.9606993492</v>
      </c>
      <c r="P58" s="386">
        <f>INDEX('Plan Figures'!$B$53:$AP$90,MATCH('Headline - Sales, NWP, GWP'!P$4,'Plan Figures'!$B$53:$B$90,0),MATCH('Headline - Sales, NWP, GWP'!$B58,'Plan Figures'!$B$1:$AP$1,0))</f>
        <v>1240503.5958342575</v>
      </c>
      <c r="Q58" s="385">
        <f>INDEX('Plan Figures'!$B$53:$AP$90,MATCH('Headline - Sales, NWP, GWP'!Q$4,'Plan Figures'!$B$53:$B$90,0),MATCH('Headline - Sales, NWP, GWP'!$B58,'Plan Figures'!$B$1:$AP$1,0))</f>
        <v>1356607.1235178201</v>
      </c>
      <c r="R58" s="385">
        <f>INDEX('Plan Figures'!$B$53:$AP$90,MATCH('Headline - Sales, NWP, GWP'!R$4,'Plan Figures'!$B$53:$B$90,0),MATCH('Headline - Sales, NWP, GWP'!$B58,'Plan Figures'!$B$1:$AP$1,0))</f>
        <v>1463623.9511227065</v>
      </c>
      <c r="S58" s="385">
        <f>INDEX('Plan Figures'!$B$53:$AP$90,MATCH('Headline - Sales, NWP, GWP'!S$4,'Plan Figures'!$B$53:$B$90,0),MATCH('Headline - Sales, NWP, GWP'!$B58,'Plan Figures'!$B$1:$AP$1,0))</f>
        <v>1523003.1635342271</v>
      </c>
      <c r="T58" s="385">
        <f>INDEX('Plan Figures'!$B$53:$AP$90,MATCH('Headline - Sales, NWP, GWP'!T$4,'Plan Figures'!$B$53:$B$90,0),MATCH('Headline - Sales, NWP, GWP'!$B58,'Plan Figures'!$B$1:$AP$1,0))</f>
        <v>1573039.0196804823</v>
      </c>
      <c r="U58" s="385">
        <f>INDEX('Plan Figures'!$B$53:$AP$90,MATCH('Headline - Sales, NWP, GWP'!U$4,'Plan Figures'!$B$53:$B$90,0),MATCH('Headline - Sales, NWP, GWP'!$B58,'Plan Figures'!$B$1:$AP$1,0))</f>
        <v>1592216.48947306</v>
      </c>
      <c r="V58" s="385">
        <f>INDEX('Plan Figures'!$B$53:$AP$90,MATCH('Headline - Sales, NWP, GWP'!V$4,'Plan Figures'!$B$53:$B$90,0),MATCH('Headline - Sales, NWP, GWP'!$B58,'Plan Figures'!$B$1:$AP$1,0))</f>
        <v>1622206.5168777078</v>
      </c>
      <c r="W58" s="385">
        <f>INDEX('Plan Figures'!$B$53:$AP$90,MATCH('Headline - Sales, NWP, GWP'!W$4,'Plan Figures'!$B$53:$B$90,0),MATCH('Headline - Sales, NWP, GWP'!$B58,'Plan Figures'!$B$1:$AP$1,0))</f>
        <v>1197760.6132163431</v>
      </c>
      <c r="X58" s="385">
        <f>INDEX('Plan Figures'!$B$53:$AP$90,MATCH('Headline - Sales, NWP, GWP'!X$4,'Plan Figures'!$B$53:$B$90,0),MATCH('Headline - Sales, NWP, GWP'!$B58,'Plan Figures'!$B$1:$AP$1,0))</f>
        <v>1182622.523835581</v>
      </c>
      <c r="Y58" s="385">
        <f>INDEX('Plan Figures'!$B$53:$AP$90,MATCH('Headline - Sales, NWP, GWP'!Y$4,'Plan Figures'!$B$53:$B$90,0),MATCH('Headline - Sales, NWP, GWP'!$B58,'Plan Figures'!$B$1:$AP$1,0))</f>
        <v>1620158.7490814915</v>
      </c>
      <c r="Z58" s="385">
        <f>INDEX('Plan Figures'!$B$53:$AP$90,MATCH('Headline - Sales, NWP, GWP'!Z$4,'Plan Figures'!$B$53:$B$90,0),MATCH('Headline - Sales, NWP, GWP'!$B58,'Plan Figures'!$B$1:$AP$1,0))</f>
        <v>1764298.9426401989</v>
      </c>
      <c r="AA58" s="385">
        <f>INDEX('Plan Figures'!$B$53:$AP$90,MATCH('Headline - Sales, NWP, GWP'!AA$4,'Plan Figures'!$B$53:$B$90,0),MATCH('Headline - Sales, NWP, GWP'!$B58,'Plan Figures'!$B$1:$AP$1,0))</f>
        <v>1516246.6177784707</v>
      </c>
      <c r="AB58" s="386">
        <f>INDEX('Plan Figures'!$B$53:$AP$90,MATCH('Headline - Sales, NWP, GWP'!AB$4,'Plan Figures'!$B$53:$B$90,0),MATCH('Headline - Sales, NWP, GWP'!$B58,'Plan Figures'!$B$1:$AP$1,0))</f>
        <v>1376963.9399151581</v>
      </c>
      <c r="AC58" s="385">
        <f>INDEX('Plan Figures'!$B$53:$AP$90,MATCH('Headline - Sales, NWP, GWP'!AC$4,'Plan Figures'!$B$53:$B$90,0),MATCH('Headline - Sales, NWP, GWP'!$B58,'Plan Figures'!$B$1:$AP$1,0))</f>
        <v>2620201.7535369839</v>
      </c>
      <c r="AD58" s="385">
        <f>INDEX('Plan Figures'!$B$53:$AP$90,MATCH('Headline - Sales, NWP, GWP'!AD$4,'Plan Figures'!$B$53:$B$90,0),MATCH('Headline - Sales, NWP, GWP'!$B58,'Plan Figures'!$B$1:$AP$1,0))</f>
        <v>2620201.7535369839</v>
      </c>
      <c r="AE58" s="385">
        <f>INDEX('Plan Figures'!$B$53:$AP$90,MATCH('Headline - Sales, NWP, GWP'!AE$4,'Plan Figures'!$B$53:$B$90,0),MATCH('Headline - Sales, NWP, GWP'!$B58,'Plan Figures'!$B$1:$AP$1,0))</f>
        <v>2620201.7535369839</v>
      </c>
      <c r="AF58" s="385">
        <f>INDEX('Plan Figures'!$B$53:$AP$90,MATCH('Headline - Sales, NWP, GWP'!AF$4,'Plan Figures'!$B$53:$B$90,0),MATCH('Headline - Sales, NWP, GWP'!$B58,'Plan Figures'!$B$1:$AP$1,0))</f>
        <v>733066.35144239874</v>
      </c>
      <c r="AG58" s="385">
        <f>INDEX('Plan Figures'!$B$53:$AP$90,MATCH('Headline - Sales, NWP, GWP'!AG$4,'Plan Figures'!$B$53:$B$90,0),MATCH('Headline - Sales, NWP, GWP'!$B58,'Plan Figures'!$B$1:$AP$1,0))</f>
        <v>761913.19600626908</v>
      </c>
      <c r="AH58" s="385">
        <f>INDEX('Plan Figures'!$B$53:$AP$90,MATCH('Headline - Sales, NWP, GWP'!AH$4,'Plan Figures'!$B$53:$B$90,0),MATCH('Headline - Sales, NWP, GWP'!$B58,'Plan Figures'!$B$1:$AP$1,0))</f>
        <v>752381.29587259714</v>
      </c>
      <c r="AI58" s="385">
        <f>INDEX('Plan Figures'!$B$53:$AP$90,MATCH('Headline - Sales, NWP, GWP'!AI$4,'Plan Figures'!$B$53:$B$90,0),MATCH('Headline - Sales, NWP, GWP'!$B58,'Plan Figures'!$B$1:$AP$1,0))</f>
        <v>799082.09038092231</v>
      </c>
      <c r="AJ58" s="385">
        <f>INDEX('Plan Figures'!$B$53:$AP$90,MATCH('Headline - Sales, NWP, GWP'!AJ$4,'Plan Figures'!$B$53:$B$90,0),MATCH('Headline - Sales, NWP, GWP'!$B58,'Plan Figures'!$B$1:$AP$1,0))</f>
        <v>824958.85278539406</v>
      </c>
      <c r="AK58" s="385">
        <f>INDEX('Plan Figures'!$B$53:$AP$90,MATCH('Headline - Sales, NWP, GWP'!AK$4,'Plan Figures'!$B$53:$B$90,0),MATCH('Headline - Sales, NWP, GWP'!$B58,'Plan Figures'!$B$1:$AP$1,0))</f>
        <v>826401.2534309366</v>
      </c>
      <c r="AL58" s="385">
        <f>INDEX('Plan Figures'!$B$53:$AP$90,MATCH('Headline - Sales, NWP, GWP'!AL$4,'Plan Figures'!$B$53:$B$90,0),MATCH('Headline - Sales, NWP, GWP'!$B58,'Plan Figures'!$B$1:$AP$1,0))</f>
        <v>810062.69241121365</v>
      </c>
      <c r="AM58" s="385">
        <f>INDEX('Plan Figures'!$B$53:$AP$90,MATCH('Headline - Sales, NWP, GWP'!AM$4,'Plan Figures'!$B$53:$B$90,0),MATCH('Headline - Sales, NWP, GWP'!$B58,'Plan Figures'!$B$1:$AP$1,0))</f>
        <v>872310.5007734684</v>
      </c>
      <c r="AN58" s="425">
        <f>INDEX('Plan Figures'!$B$53:$AP$90,MATCH('Headline - Sales, NWP, GWP'!AN$4,'Plan Figures'!$B$53:$B$90,0),MATCH('Headline - Sales, NWP, GWP'!$B58,'Plan Figures'!$B$1:$AP$1,0))</f>
        <v>839671.64829529834</v>
      </c>
      <c r="AO58" s="423">
        <f ca="1">IFERROR(AVERAGE(INDEX($E58:$AN58, $AU$4 - 3):INDEX($E58:$AN58, $AU$4)),"-")</f>
        <v>784583.85876129568</v>
      </c>
      <c r="AP58" s="385">
        <f ca="1">IFERROR(AVERAGE(INDEX($E58:$AN58, $AU$4 - 11):INDEX($E58:$AN58, $AU$4)),"-")</f>
        <v>1500806.2747094876</v>
      </c>
      <c r="AQ58" s="385" t="str" cm="1">
        <f t="array" ref="AQ58">IFERROR(SUMPRODUCT((YEAR($E$4:$AN$4)=2024)*$E58:$AN58),"-")</f>
        <v>-</v>
      </c>
      <c r="AR58" s="385" t="s">
        <v>491</v>
      </c>
      <c r="AS58" s="386">
        <f ca="1">IFERROR(SUM(INDEX($E58:$AN58, $AU$4 - MONTH(TODAY())+1):INDEX($E58:$AN58, $AU$4)),"-")</f>
        <v>11732007.04709853</v>
      </c>
    </row>
    <row r="59" spans="2:45" ht="15.75" outlineLevel="1" x14ac:dyDescent="0.25">
      <c r="B59" t="str">
        <f t="shared" si="89"/>
        <v>PC Annual Direct</v>
      </c>
      <c r="C59" t="str">
        <f t="shared" si="86"/>
        <v>Boom Annual</v>
      </c>
      <c r="D59" s="213" t="s">
        <v>0</v>
      </c>
      <c r="E59" s="214" t="str">
        <f t="shared" ref="E59" si="93">IFERROR(IF(E57=0,"-",(E57/E58)-1),"-")</f>
        <v>-</v>
      </c>
      <c r="F59" s="214" t="str">
        <f t="shared" ref="F59:AN59" si="94">IFERROR(IF(F57=0,"-",(F57/F58)-1),"-")</f>
        <v>-</v>
      </c>
      <c r="G59" s="214" t="str">
        <f t="shared" si="94"/>
        <v>-</v>
      </c>
      <c r="H59" s="214" t="str">
        <f t="shared" si="94"/>
        <v>-</v>
      </c>
      <c r="I59" s="214" t="str">
        <f t="shared" si="94"/>
        <v>-</v>
      </c>
      <c r="J59" s="214" t="str">
        <f t="shared" si="94"/>
        <v>-</v>
      </c>
      <c r="K59" s="214" t="str">
        <f t="shared" si="94"/>
        <v>-</v>
      </c>
      <c r="L59" s="214" t="str">
        <f t="shared" si="94"/>
        <v>-</v>
      </c>
      <c r="M59" s="214" t="str">
        <f t="shared" si="94"/>
        <v>-</v>
      </c>
      <c r="N59" s="214" t="str">
        <f t="shared" si="94"/>
        <v>-</v>
      </c>
      <c r="O59" s="214">
        <f t="shared" si="94"/>
        <v>0.5196481661215544</v>
      </c>
      <c r="P59" s="294">
        <f t="shared" si="94"/>
        <v>0.4358987593955439</v>
      </c>
      <c r="Q59" s="214">
        <f t="shared" si="94"/>
        <v>0.33950244268339147</v>
      </c>
      <c r="R59" s="214">
        <f t="shared" si="94"/>
        <v>0.13073810397725016</v>
      </c>
      <c r="S59" s="214">
        <f t="shared" si="94"/>
        <v>0.44713912212601126</v>
      </c>
      <c r="T59" s="214">
        <f t="shared" si="94"/>
        <v>0.18201989698769627</v>
      </c>
      <c r="U59" s="214">
        <f t="shared" si="94"/>
        <v>0.12680491992826215</v>
      </c>
      <c r="V59" s="214">
        <f t="shared" si="94"/>
        <v>-9.18009059882261E-2</v>
      </c>
      <c r="W59" s="214">
        <f t="shared" si="94"/>
        <v>1.6373478970704847E-2</v>
      </c>
      <c r="X59" s="214">
        <f t="shared" si="94"/>
        <v>-0.13703470392347472</v>
      </c>
      <c r="Y59" s="214">
        <f t="shared" si="94"/>
        <v>-0.35227239489704709</v>
      </c>
      <c r="Z59" s="214">
        <f t="shared" si="94"/>
        <v>-0.43367338955346424</v>
      </c>
      <c r="AA59" s="214">
        <f t="shared" si="94"/>
        <v>-0.24253423851909939</v>
      </c>
      <c r="AB59" s="294">
        <f t="shared" si="94"/>
        <v>-0.21803139848729336</v>
      </c>
      <c r="AC59" s="214">
        <f t="shared" si="94"/>
        <v>-0.63920712778964262</v>
      </c>
      <c r="AD59" s="214">
        <f t="shared" si="94"/>
        <v>-0.73295655036670682</v>
      </c>
      <c r="AE59" s="214">
        <f t="shared" si="94"/>
        <v>-0.69728064533293033</v>
      </c>
      <c r="AF59" s="214">
        <f t="shared" si="94"/>
        <v>6.3895290993876586E-2</v>
      </c>
      <c r="AG59" s="214">
        <f t="shared" si="94"/>
        <v>9.1585888282891936E-2</v>
      </c>
      <c r="AH59" s="214">
        <f t="shared" si="94"/>
        <v>-6.9327766502078836E-2</v>
      </c>
      <c r="AI59" s="214">
        <f t="shared" si="94"/>
        <v>-0.12352615286997459</v>
      </c>
      <c r="AJ59" s="214">
        <f t="shared" si="94"/>
        <v>-0.62710229421441666</v>
      </c>
      <c r="AK59" s="214" t="str">
        <f t="shared" si="94"/>
        <v>-</v>
      </c>
      <c r="AL59" s="214" t="str">
        <f t="shared" si="94"/>
        <v>-</v>
      </c>
      <c r="AM59" s="214" t="str">
        <f t="shared" si="94"/>
        <v>-</v>
      </c>
      <c r="AN59" s="215" t="str">
        <f t="shared" si="94"/>
        <v>-</v>
      </c>
      <c r="AO59" s="242">
        <f ca="1">IFERROR(IF(AO57=0,"-",(AO57/AO58)-1),"-")</f>
        <v>-0.19068119262648109</v>
      </c>
      <c r="AP59" s="242">
        <f ca="1">IFERROR(IF(AP57=0,"-",(AP57/AP58)-1),"-")</f>
        <v>-0.44297153431745706</v>
      </c>
      <c r="AQ59" s="242"/>
      <c r="AR59" s="242"/>
      <c r="AS59" s="243">
        <f ca="1">IFERROR(IF(AS57=0,"-",(AS57/AS58)-1),"-")</f>
        <v>-0.50920048692813613</v>
      </c>
    </row>
    <row r="60" spans="2:45" ht="15.75" outlineLevel="1" x14ac:dyDescent="0.25">
      <c r="B60" t="str">
        <f t="shared" si="89"/>
        <v>PC Annual Direct</v>
      </c>
      <c r="C60" t="str">
        <f t="shared" si="86"/>
        <v>Boom Annual</v>
      </c>
      <c r="D60" s="208" t="s">
        <v>12</v>
      </c>
      <c r="E60" s="283">
        <f>IFERROR(E57/E54,"-")</f>
        <v>555.78659445558571</v>
      </c>
      <c r="F60" s="283">
        <f t="shared" ref="F60:AS60" si="95">IFERROR(F57/F54,"-")</f>
        <v>508.27822472903199</v>
      </c>
      <c r="G60" s="283">
        <f t="shared" si="95"/>
        <v>431.77381951457932</v>
      </c>
      <c r="H60" s="283">
        <f t="shared" si="95"/>
        <v>470.3607981424085</v>
      </c>
      <c r="I60" s="283">
        <f t="shared" si="95"/>
        <v>645.44735083361479</v>
      </c>
      <c r="J60" s="283">
        <f t="shared" si="95"/>
        <v>798.59678266003914</v>
      </c>
      <c r="K60" s="283">
        <f t="shared" si="95"/>
        <v>1347.3751649740821</v>
      </c>
      <c r="L60" s="283">
        <f t="shared" si="95"/>
        <v>1258.7441916186092</v>
      </c>
      <c r="M60" s="283">
        <f t="shared" si="95"/>
        <v>1263.0454660318512</v>
      </c>
      <c r="N60" s="283">
        <f t="shared" si="95"/>
        <v>1204.6230361539438</v>
      </c>
      <c r="O60" s="283">
        <f t="shared" si="95"/>
        <v>1009.9925915793541</v>
      </c>
      <c r="P60" s="314">
        <f t="shared" si="95"/>
        <v>985.74298521534126</v>
      </c>
      <c r="Q60" s="283">
        <f t="shared" si="95"/>
        <v>991.36855194424959</v>
      </c>
      <c r="R60" s="283">
        <f t="shared" si="95"/>
        <v>988.04499786757049</v>
      </c>
      <c r="S60" s="283">
        <f t="shared" si="95"/>
        <v>1035.2266139370874</v>
      </c>
      <c r="T60" s="283">
        <f t="shared" si="95"/>
        <v>926.90100697923742</v>
      </c>
      <c r="U60" s="283">
        <f t="shared" si="95"/>
        <v>866.30486428254471</v>
      </c>
      <c r="V60" s="283">
        <f t="shared" si="95"/>
        <v>874.87321195268987</v>
      </c>
      <c r="W60" s="283">
        <f t="shared" si="95"/>
        <v>885.36154285729424</v>
      </c>
      <c r="X60" s="283">
        <f t="shared" si="95"/>
        <v>870.78685702093844</v>
      </c>
      <c r="Y60" s="283">
        <f t="shared" si="95"/>
        <v>931.99071618929884</v>
      </c>
      <c r="Z60" s="283">
        <f t="shared" si="95"/>
        <v>891.31975022286429</v>
      </c>
      <c r="AA60" s="283">
        <f t="shared" si="95"/>
        <v>912.96096894150196</v>
      </c>
      <c r="AB60" s="314">
        <f t="shared" si="95"/>
        <v>917.15721160892906</v>
      </c>
      <c r="AC60" s="283">
        <f t="shared" si="95"/>
        <v>894.37097107778936</v>
      </c>
      <c r="AD60" s="283">
        <f t="shared" si="95"/>
        <v>870.283227611592</v>
      </c>
      <c r="AE60" s="283">
        <f t="shared" si="95"/>
        <v>905.4632236623745</v>
      </c>
      <c r="AF60" s="283">
        <f t="shared" si="95"/>
        <v>895.41428161381191</v>
      </c>
      <c r="AG60" s="283">
        <f t="shared" si="95"/>
        <v>880.09914588038146</v>
      </c>
      <c r="AH60" s="283">
        <f t="shared" si="95"/>
        <v>912.93400400496773</v>
      </c>
      <c r="AI60" s="283">
        <f t="shared" si="95"/>
        <v>925.19756133272085</v>
      </c>
      <c r="AJ60" s="283">
        <f t="shared" si="95"/>
        <v>910.13391589106595</v>
      </c>
      <c r="AK60" s="283" t="str">
        <f t="shared" si="95"/>
        <v>-</v>
      </c>
      <c r="AL60" s="283" t="str">
        <f t="shared" si="95"/>
        <v>-</v>
      </c>
      <c r="AM60" s="283" t="str">
        <f t="shared" si="95"/>
        <v>-</v>
      </c>
      <c r="AN60" s="424" t="str">
        <f t="shared" si="95"/>
        <v>-</v>
      </c>
      <c r="AO60" s="282">
        <f t="shared" ca="1" si="95"/>
        <v>904.84997913388702</v>
      </c>
      <c r="AP60" s="283">
        <f t="shared" ca="1" si="95"/>
        <v>904.26372794825193</v>
      </c>
      <c r="AQ60" s="283">
        <f t="shared" si="95"/>
        <v>929.69777924803873</v>
      </c>
      <c r="AR60" s="283">
        <f t="shared" ca="1" si="95"/>
        <v>935.16335524770159</v>
      </c>
      <c r="AS60" s="314">
        <f t="shared" ca="1" si="95"/>
        <v>897.59366267679411</v>
      </c>
    </row>
    <row r="61" spans="2:45" ht="15.75" hidden="1" outlineLevel="1" x14ac:dyDescent="0.25">
      <c r="B61" t="str">
        <f t="shared" si="89"/>
        <v>PC Annual Direct</v>
      </c>
      <c r="C61" t="str">
        <f t="shared" si="86"/>
        <v>Boom Annual</v>
      </c>
      <c r="D61" s="211" t="s">
        <v>13</v>
      </c>
      <c r="E61" s="31">
        <f t="shared" ref="E61" si="96">IFERROR(E58/E55,0)</f>
        <v>0</v>
      </c>
      <c r="F61" s="31">
        <f t="shared" ref="F61:AP61" si="97">IFERROR(F58/F55,0)</f>
        <v>0</v>
      </c>
      <c r="G61" s="31">
        <f t="shared" si="97"/>
        <v>0</v>
      </c>
      <c r="H61" s="31">
        <f t="shared" si="97"/>
        <v>0</v>
      </c>
      <c r="I61" s="31">
        <f t="shared" si="97"/>
        <v>0</v>
      </c>
      <c r="J61" s="31">
        <f t="shared" si="97"/>
        <v>0</v>
      </c>
      <c r="K61" s="31">
        <f t="shared" si="97"/>
        <v>0</v>
      </c>
      <c r="L61" s="31">
        <f t="shared" si="97"/>
        <v>0</v>
      </c>
      <c r="M61" s="31">
        <f t="shared" si="97"/>
        <v>0</v>
      </c>
      <c r="N61" s="31">
        <f t="shared" si="97"/>
        <v>0</v>
      </c>
      <c r="O61" s="31">
        <f t="shared" si="97"/>
        <v>0</v>
      </c>
      <c r="P61" s="240">
        <f t="shared" si="97"/>
        <v>0</v>
      </c>
      <c r="Q61" s="31">
        <f t="shared" si="97"/>
        <v>0</v>
      </c>
      <c r="R61" s="31">
        <f t="shared" si="97"/>
        <v>0</v>
      </c>
      <c r="S61" s="31">
        <f t="shared" si="97"/>
        <v>0</v>
      </c>
      <c r="T61" s="31">
        <f t="shared" si="97"/>
        <v>0</v>
      </c>
      <c r="U61" s="31">
        <f t="shared" si="97"/>
        <v>0</v>
      </c>
      <c r="V61" s="31">
        <f t="shared" si="97"/>
        <v>0</v>
      </c>
      <c r="W61" s="31">
        <f t="shared" si="97"/>
        <v>0</v>
      </c>
      <c r="X61" s="31">
        <f t="shared" si="97"/>
        <v>0</v>
      </c>
      <c r="Y61" s="31">
        <f t="shared" si="97"/>
        <v>0</v>
      </c>
      <c r="Z61" s="31">
        <f t="shared" si="97"/>
        <v>0</v>
      </c>
      <c r="AA61" s="31">
        <f t="shared" si="97"/>
        <v>0</v>
      </c>
      <c r="AB61" s="240">
        <f t="shared" si="97"/>
        <v>0</v>
      </c>
      <c r="AC61" s="31">
        <f t="shared" si="97"/>
        <v>0</v>
      </c>
      <c r="AD61" s="31">
        <f t="shared" si="97"/>
        <v>0</v>
      </c>
      <c r="AE61" s="31">
        <f t="shared" si="97"/>
        <v>0</v>
      </c>
      <c r="AF61" s="31">
        <f t="shared" si="97"/>
        <v>0</v>
      </c>
      <c r="AG61" s="31">
        <f t="shared" si="97"/>
        <v>0</v>
      </c>
      <c r="AH61" s="31">
        <f t="shared" si="97"/>
        <v>0</v>
      </c>
      <c r="AI61" s="31">
        <f t="shared" si="97"/>
        <v>0</v>
      </c>
      <c r="AJ61" s="31">
        <f t="shared" si="97"/>
        <v>0</v>
      </c>
      <c r="AK61" s="31">
        <f t="shared" si="97"/>
        <v>0</v>
      </c>
      <c r="AL61" s="31">
        <f t="shared" si="97"/>
        <v>0</v>
      </c>
      <c r="AM61" s="31">
        <f t="shared" si="97"/>
        <v>0</v>
      </c>
      <c r="AN61" s="212">
        <f t="shared" si="97"/>
        <v>0</v>
      </c>
      <c r="AO61" s="239">
        <f t="shared" ca="1" si="97"/>
        <v>0</v>
      </c>
      <c r="AP61" s="31">
        <f t="shared" ca="1" si="97"/>
        <v>0</v>
      </c>
      <c r="AQ61" s="31">
        <f>SUMIFS(AC61:AN61,AC$4:AN$4,"&lt;"&amp;'Title Sheet'!$C$13)</f>
        <v>0</v>
      </c>
      <c r="AR61" s="31"/>
      <c r="AS61" s="240"/>
    </row>
    <row r="62" spans="2:45" ht="15.75" hidden="1" outlineLevel="1" x14ac:dyDescent="0.25">
      <c r="B62" t="str">
        <f t="shared" si="89"/>
        <v>PC Annual Direct</v>
      </c>
      <c r="C62" t="str">
        <f t="shared" si="86"/>
        <v>Boom Annual</v>
      </c>
      <c r="D62" s="213" t="s">
        <v>0</v>
      </c>
      <c r="E62" s="214" t="str">
        <f t="shared" ref="E62" si="98">IFERROR(IF(E60=0,"-",(E60/E61)-1),"-")</f>
        <v>-</v>
      </c>
      <c r="F62" s="214" t="str">
        <f t="shared" ref="F62:AN62" si="99">IFERROR(IF(F60=0,"-",(F60/F61)-1),"-")</f>
        <v>-</v>
      </c>
      <c r="G62" s="214" t="str">
        <f t="shared" si="99"/>
        <v>-</v>
      </c>
      <c r="H62" s="214" t="str">
        <f t="shared" si="99"/>
        <v>-</v>
      </c>
      <c r="I62" s="214" t="str">
        <f t="shared" si="99"/>
        <v>-</v>
      </c>
      <c r="J62" s="214" t="str">
        <f t="shared" si="99"/>
        <v>-</v>
      </c>
      <c r="K62" s="214" t="str">
        <f t="shared" si="99"/>
        <v>-</v>
      </c>
      <c r="L62" s="214" t="str">
        <f t="shared" si="99"/>
        <v>-</v>
      </c>
      <c r="M62" s="214" t="str">
        <f t="shared" si="99"/>
        <v>-</v>
      </c>
      <c r="N62" s="214" t="str">
        <f t="shared" si="99"/>
        <v>-</v>
      </c>
      <c r="O62" s="214" t="str">
        <f t="shared" si="99"/>
        <v>-</v>
      </c>
      <c r="P62" s="294" t="str">
        <f t="shared" si="99"/>
        <v>-</v>
      </c>
      <c r="Q62" s="214" t="str">
        <f t="shared" si="99"/>
        <v>-</v>
      </c>
      <c r="R62" s="214" t="str">
        <f t="shared" si="99"/>
        <v>-</v>
      </c>
      <c r="S62" s="214" t="str">
        <f t="shared" si="99"/>
        <v>-</v>
      </c>
      <c r="T62" s="214" t="str">
        <f t="shared" si="99"/>
        <v>-</v>
      </c>
      <c r="U62" s="214" t="str">
        <f t="shared" si="99"/>
        <v>-</v>
      </c>
      <c r="V62" s="214" t="str">
        <f t="shared" si="99"/>
        <v>-</v>
      </c>
      <c r="W62" s="214" t="str">
        <f t="shared" si="99"/>
        <v>-</v>
      </c>
      <c r="X62" s="214" t="str">
        <f t="shared" si="99"/>
        <v>-</v>
      </c>
      <c r="Y62" s="214" t="str">
        <f t="shared" si="99"/>
        <v>-</v>
      </c>
      <c r="Z62" s="214" t="str">
        <f t="shared" si="99"/>
        <v>-</v>
      </c>
      <c r="AA62" s="214" t="str">
        <f t="shared" si="99"/>
        <v>-</v>
      </c>
      <c r="AB62" s="294" t="str">
        <f t="shared" si="99"/>
        <v>-</v>
      </c>
      <c r="AC62" s="214" t="str">
        <f t="shared" si="99"/>
        <v>-</v>
      </c>
      <c r="AD62" s="214" t="str">
        <f t="shared" si="99"/>
        <v>-</v>
      </c>
      <c r="AE62" s="214" t="str">
        <f t="shared" si="99"/>
        <v>-</v>
      </c>
      <c r="AF62" s="214" t="str">
        <f t="shared" si="99"/>
        <v>-</v>
      </c>
      <c r="AG62" s="214" t="str">
        <f t="shared" si="99"/>
        <v>-</v>
      </c>
      <c r="AH62" s="214" t="str">
        <f t="shared" si="99"/>
        <v>-</v>
      </c>
      <c r="AI62" s="214" t="str">
        <f t="shared" si="99"/>
        <v>-</v>
      </c>
      <c r="AJ62" s="214" t="str">
        <f t="shared" si="99"/>
        <v>-</v>
      </c>
      <c r="AK62" s="214" t="str">
        <f t="shared" si="99"/>
        <v>-</v>
      </c>
      <c r="AL62" s="214" t="str">
        <f t="shared" si="99"/>
        <v>-</v>
      </c>
      <c r="AM62" s="214" t="str">
        <f t="shared" si="99"/>
        <v>-</v>
      </c>
      <c r="AN62" s="215" t="str">
        <f t="shared" si="99"/>
        <v>-</v>
      </c>
      <c r="AO62" s="241">
        <f t="shared" ref="AO62:AP62" ca="1" si="100">AO60-AO61</f>
        <v>904.84997913388702</v>
      </c>
      <c r="AP62" s="242">
        <f t="shared" ca="1" si="100"/>
        <v>904.26372794825193</v>
      </c>
      <c r="AQ62" s="242" t="str">
        <f t="shared" ref="AQ62" si="101">IFERROR(IF(AQ60=0,"-",(AQ60/AQ61)-1),"-")</f>
        <v>-</v>
      </c>
      <c r="AR62" s="242"/>
      <c r="AS62" s="243"/>
    </row>
    <row r="63" spans="2:45" ht="15.75" outlineLevel="1" thickBot="1" x14ac:dyDescent="0.3">
      <c r="B63" t="str">
        <f t="shared" si="89"/>
        <v>PC Annual Direct</v>
      </c>
      <c r="C63" t="str">
        <f t="shared" si="86"/>
        <v>Boom Annual</v>
      </c>
      <c r="D63" s="254" t="s">
        <v>17</v>
      </c>
      <c r="E63" s="217"/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95"/>
      <c r="Q63" s="217"/>
      <c r="R63" s="217"/>
      <c r="S63" s="217"/>
      <c r="T63" s="217"/>
      <c r="U63" s="217"/>
      <c r="V63" s="217"/>
      <c r="W63" s="217"/>
      <c r="X63" s="217"/>
      <c r="Y63" s="217"/>
      <c r="Z63" s="217"/>
      <c r="AA63" s="217"/>
      <c r="AB63" s="295"/>
      <c r="AC63" s="217"/>
      <c r="AD63" s="217"/>
      <c r="AE63" s="217"/>
      <c r="AF63" s="217"/>
      <c r="AG63" s="217"/>
      <c r="AH63" s="217"/>
      <c r="AI63" s="217"/>
      <c r="AJ63" s="217"/>
      <c r="AK63" s="217"/>
      <c r="AL63" s="217"/>
      <c r="AM63" s="217"/>
      <c r="AN63" s="218"/>
      <c r="AO63" s="376"/>
      <c r="AP63" s="245"/>
      <c r="AQ63" s="277"/>
      <c r="AR63" s="277"/>
      <c r="AS63" s="246"/>
    </row>
    <row r="64" spans="2:45" ht="15.75" outlineLevel="1" x14ac:dyDescent="0.25">
      <c r="B64" t="str">
        <f t="shared" si="89"/>
        <v>PC Annual Direct</v>
      </c>
      <c r="C64" t="str">
        <f t="shared" si="86"/>
        <v>Boom Annual</v>
      </c>
      <c r="D64" s="208" t="s">
        <v>7</v>
      </c>
      <c r="E64" s="251">
        <v>1513695.9107143201</v>
      </c>
      <c r="F64" s="251">
        <v>1492680.16964199</v>
      </c>
      <c r="G64" s="251">
        <v>1549691.8125002205</v>
      </c>
      <c r="H64" s="251">
        <v>1216045.1964284205</v>
      </c>
      <c r="I64" s="251">
        <v>1403824.3214288896</v>
      </c>
      <c r="J64" s="251">
        <v>1206893.5625010105</v>
      </c>
      <c r="K64" s="251">
        <v>1259112.6071441497</v>
      </c>
      <c r="L64" s="251">
        <v>1499623.6696426403</v>
      </c>
      <c r="M64" s="251">
        <v>1419445.6428570296</v>
      </c>
      <c r="N64" s="251">
        <v>1718625.874999661</v>
      </c>
      <c r="O64" s="251">
        <v>2348721.2142845793</v>
      </c>
      <c r="P64" s="296">
        <v>2081476.4642837904</v>
      </c>
      <c r="Q64" s="251">
        <v>2127274.2857133523</v>
      </c>
      <c r="R64" s="251">
        <v>1923453.0714276298</v>
      </c>
      <c r="S64" s="251">
        <v>2484761.4910724103</v>
      </c>
      <c r="T64" s="251">
        <v>2092261.5000006307</v>
      </c>
      <c r="U64" s="251">
        <v>2021003.3839293607</v>
      </c>
      <c r="V64" s="251">
        <v>1658264.2589286412</v>
      </c>
      <c r="W64" s="251">
        <v>1371489.3214288102</v>
      </c>
      <c r="X64" s="251">
        <v>1148388.9464283502</v>
      </c>
      <c r="Y64" s="251">
        <v>1180372.4464291504</v>
      </c>
      <c r="Z64" s="251">
        <v>1126032.7500000596</v>
      </c>
      <c r="AA64" s="251">
        <v>1295605.0089280591</v>
      </c>
      <c r="AB64" s="296">
        <v>1213622.4464291527</v>
      </c>
      <c r="AC64" s="251">
        <v>1066308.1964291625</v>
      </c>
      <c r="AD64" s="251">
        <v>787991.1249999</v>
      </c>
      <c r="AE64" s="251">
        <v>877920.88392810023</v>
      </c>
      <c r="AF64" s="251">
        <v>852387.58928559977</v>
      </c>
      <c r="AG64" s="251">
        <v>909058.64285679976</v>
      </c>
      <c r="AH64" s="251">
        <v>765098.49107190955</v>
      </c>
      <c r="AI64" s="251">
        <v>763108.6339288801</v>
      </c>
      <c r="AJ64" s="251">
        <v>335212.80357119994</v>
      </c>
      <c r="AK64" s="251">
        <v>0</v>
      </c>
      <c r="AL64" s="251">
        <v>0</v>
      </c>
      <c r="AM64" s="251">
        <v>0</v>
      </c>
      <c r="AN64" s="252">
        <v>0</v>
      </c>
      <c r="AO64" s="418">
        <f ca="1">IFERROR(AVERAGE(INDEX($E64:$AN64, $AU$4 - 3):INDEX($E64:$AN64, $AU$4)),"-")</f>
        <v>693119.64285719732</v>
      </c>
      <c r="AP64" s="419">
        <f ca="1">IFERROR(AVERAGE(INDEX($E64:$AN64, $AU$4 - 11):INDEX($E64:$AN64, $AU$4)),"-")</f>
        <v>931059.91815483104</v>
      </c>
      <c r="AQ64" s="419" cm="1">
        <f t="array" ref="AQ64">IFERROR(SUMPRODUCT((YEAR($E$4:$AN$4)=2024)*$E64:$AN64),"-")</f>
        <v>19642528.910715606</v>
      </c>
      <c r="AR64" s="419">
        <f ca="1">IFERROR(SUM(INDEX($E64:$AN64, $AU$4 - MONTH(TODAY())-11):INDEX($E64:$AN64, $AU$4-12)),"-")</f>
        <v>14826896.258929186</v>
      </c>
      <c r="AS64" s="420">
        <f ca="1">IFERROR(SUM(INDEX($E64:$AN64, $AU$4 - MONTH(TODAY())+1):INDEX($E64:$AN64, $AU$4)),"-")</f>
        <v>6357086.366071552</v>
      </c>
    </row>
    <row r="65" spans="1:45" ht="15.75" outlineLevel="1" x14ac:dyDescent="0.25">
      <c r="B65" t="str">
        <f t="shared" si="89"/>
        <v>PC Annual Direct</v>
      </c>
      <c r="C65" t="str">
        <f t="shared" si="86"/>
        <v>Boom Annual</v>
      </c>
      <c r="D65" s="211" t="s">
        <v>14</v>
      </c>
      <c r="E65" s="221">
        <v>0.17145960305717142</v>
      </c>
      <c r="F65" s="221">
        <v>0.1719252558044306</v>
      </c>
      <c r="G65" s="221">
        <v>0.17143952614154073</v>
      </c>
      <c r="H65" s="221">
        <v>0.17152116599987605</v>
      </c>
      <c r="I65" s="221">
        <v>0.14375355727889924</v>
      </c>
      <c r="J65" s="221">
        <v>0.14608127466920043</v>
      </c>
      <c r="K65" s="221">
        <v>0.14210319155308562</v>
      </c>
      <c r="L65" s="221">
        <v>0.14202295836714388</v>
      </c>
      <c r="M65" s="221">
        <v>0.14407135703259752</v>
      </c>
      <c r="N65" s="221">
        <v>0.14641973198521735</v>
      </c>
      <c r="O65" s="221">
        <v>0.14555580624910133</v>
      </c>
      <c r="P65" s="297">
        <v>0.14341918110632501</v>
      </c>
      <c r="Q65" s="221">
        <v>0.14577139021616761</v>
      </c>
      <c r="R65" s="221">
        <v>0.13958110233496873</v>
      </c>
      <c r="S65" s="221">
        <v>0.11299435821470891</v>
      </c>
      <c r="T65" s="221">
        <v>0.11131403985601694</v>
      </c>
      <c r="U65" s="221">
        <v>0.11226404260594755</v>
      </c>
      <c r="V65" s="221">
        <v>0.11154903026120765</v>
      </c>
      <c r="W65" s="221">
        <v>0.11237214726504141</v>
      </c>
      <c r="X65" s="221">
        <v>0.11130963111180145</v>
      </c>
      <c r="Y65" s="221">
        <v>0.11094032260423496</v>
      </c>
      <c r="Z65" s="221">
        <v>0.11266396115052901</v>
      </c>
      <c r="AA65" s="221">
        <v>0.11353777500548241</v>
      </c>
      <c r="AB65" s="297">
        <v>0.11278621321071677</v>
      </c>
      <c r="AC65" s="221">
        <v>0.11343632207367681</v>
      </c>
      <c r="AD65" s="221">
        <v>0.11203604609149781</v>
      </c>
      <c r="AE65" s="221">
        <v>9.6517922686527202E-2</v>
      </c>
      <c r="AF65" s="221">
        <v>8.5033793207522121E-2</v>
      </c>
      <c r="AG65" s="221">
        <v>8.5104465600495893E-2</v>
      </c>
      <c r="AH65" s="221">
        <v>8.4797069602379149E-2</v>
      </c>
      <c r="AI65" s="221">
        <v>8.2208583694070345E-2</v>
      </c>
      <c r="AJ65" s="221">
        <v>8.2298586766720416E-2</v>
      </c>
      <c r="AK65" s="221">
        <v>0</v>
      </c>
      <c r="AL65" s="221">
        <v>0</v>
      </c>
      <c r="AM65" s="221">
        <v>0</v>
      </c>
      <c r="AN65" s="222">
        <v>0</v>
      </c>
      <c r="AO65" s="403">
        <f ca="1">IFERROR((AO88+AO112)/AO64,"-")</f>
        <v>4.3287611652288316</v>
      </c>
      <c r="AP65" s="404">
        <f ca="1">IFERROR((AP88+AP112)/AP64,"-")</f>
        <v>3.6373035285747313</v>
      </c>
      <c r="AQ65" s="404">
        <f>IFERROR((AQ88+AQ112)/AQ64,"-")</f>
        <v>2.277945532651783</v>
      </c>
      <c r="AR65" s="404">
        <f ca="1">IFERROR((AR88+AR112)/AR64,"-")</f>
        <v>2.1207667570680448</v>
      </c>
      <c r="AS65" s="415">
        <f ca="1">IFERROR((AS88+AS112)/AS64,"-")</f>
        <v>4.3002296089220646</v>
      </c>
    </row>
    <row r="66" spans="1:45" ht="15.75" outlineLevel="1" x14ac:dyDescent="0.25">
      <c r="B66" t="str">
        <f t="shared" si="89"/>
        <v>PC Annual Direct</v>
      </c>
      <c r="C66" t="str">
        <f t="shared" si="86"/>
        <v>Boom Annual</v>
      </c>
      <c r="D66" s="223" t="s">
        <v>493</v>
      </c>
      <c r="E66" s="224">
        <f>IFERROR(E57/E$8,"-")</f>
        <v>0.56686060151909623</v>
      </c>
      <c r="F66" s="224">
        <f t="shared" ref="F66:AS66" si="102">IFERROR(F57/F$8,"-")</f>
        <v>0.58646327985581326</v>
      </c>
      <c r="G66" s="224">
        <f t="shared" si="102"/>
        <v>0.52150096139843283</v>
      </c>
      <c r="H66" s="224">
        <f t="shared" si="102"/>
        <v>0.47442626957254042</v>
      </c>
      <c r="I66" s="224">
        <f t="shared" si="102"/>
        <v>0.47291684094464048</v>
      </c>
      <c r="J66" s="224">
        <f t="shared" si="102"/>
        <v>0.44145221099928261</v>
      </c>
      <c r="K66" s="224">
        <f t="shared" si="102"/>
        <v>0.41725334213674187</v>
      </c>
      <c r="L66" s="224">
        <f t="shared" si="102"/>
        <v>0.4447593536005538</v>
      </c>
      <c r="M66" s="224">
        <f t="shared" si="102"/>
        <v>0.43561477961006728</v>
      </c>
      <c r="N66" s="224">
        <f t="shared" si="102"/>
        <v>0.44748556299006936</v>
      </c>
      <c r="O66" s="224">
        <f t="shared" si="102"/>
        <v>0.51946198760047335</v>
      </c>
      <c r="P66" s="298">
        <f t="shared" si="102"/>
        <v>0.45585059177461162</v>
      </c>
      <c r="Q66" s="224">
        <f t="shared" si="102"/>
        <v>0.39472946483272603</v>
      </c>
      <c r="R66" s="224">
        <f t="shared" si="102"/>
        <v>0.25228756430036142</v>
      </c>
      <c r="S66" s="224">
        <f t="shared" si="102"/>
        <v>0.23222757203596012</v>
      </c>
      <c r="T66" s="224">
        <f t="shared" si="102"/>
        <v>0.22009813996566635</v>
      </c>
      <c r="U66" s="224">
        <f t="shared" si="102"/>
        <v>0.22701868257710614</v>
      </c>
      <c r="V66" s="224">
        <f t="shared" si="102"/>
        <v>0.22347563977223703</v>
      </c>
      <c r="W66" s="224">
        <f t="shared" si="102"/>
        <v>0.211389761364249</v>
      </c>
      <c r="X66" s="224">
        <f t="shared" si="102"/>
        <v>0.20212201855435605</v>
      </c>
      <c r="Y66" s="224">
        <f t="shared" si="102"/>
        <v>0.22692422727458036</v>
      </c>
      <c r="Z66" s="224">
        <f t="shared" si="102"/>
        <v>0.22350894856270276</v>
      </c>
      <c r="AA66" s="224">
        <f t="shared" si="102"/>
        <v>0.23798529347681263</v>
      </c>
      <c r="AB66" s="298">
        <f t="shared" si="102"/>
        <v>0.22876219163446099</v>
      </c>
      <c r="AC66" s="224">
        <f t="shared" si="102"/>
        <v>0.20444401341093307</v>
      </c>
      <c r="AD66" s="224">
        <f t="shared" si="102"/>
        <v>0.18599213043460672</v>
      </c>
      <c r="AE66" s="224">
        <f t="shared" si="102"/>
        <v>0.16649436802804468</v>
      </c>
      <c r="AF66" s="224">
        <f t="shared" si="102"/>
        <v>0.16662146993057217</v>
      </c>
      <c r="AG66" s="224">
        <f t="shared" si="102"/>
        <v>0.18176756938599031</v>
      </c>
      <c r="AH66" s="224">
        <f t="shared" si="102"/>
        <v>0.17547417965575715</v>
      </c>
      <c r="AI66" s="224">
        <f t="shared" si="102"/>
        <v>0.18245095148361196</v>
      </c>
      <c r="AJ66" s="224">
        <f t="shared" si="102"/>
        <v>0.17177654676518431</v>
      </c>
      <c r="AK66" s="224" t="str">
        <f t="shared" si="102"/>
        <v>-</v>
      </c>
      <c r="AL66" s="224" t="str">
        <f t="shared" si="102"/>
        <v>-</v>
      </c>
      <c r="AM66" s="224" t="str">
        <f t="shared" si="102"/>
        <v>-</v>
      </c>
      <c r="AN66" s="225" t="str">
        <f t="shared" si="102"/>
        <v>-</v>
      </c>
      <c r="AO66" s="414">
        <f t="shared" ca="1" si="102"/>
        <v>0.17892284511793119</v>
      </c>
      <c r="AP66" s="405">
        <f t="shared" ca="1" si="102"/>
        <v>0.19804736726102945</v>
      </c>
      <c r="AQ66" s="405">
        <f t="shared" si="102"/>
        <v>0.23707898696827664</v>
      </c>
      <c r="AR66" s="405">
        <f t="shared" ca="1" si="102"/>
        <v>0.23969628868328219</v>
      </c>
      <c r="AS66" s="416">
        <f t="shared" ca="1" si="102"/>
        <v>0.17979137972257694</v>
      </c>
    </row>
    <row r="67" spans="1:45" ht="15.75" outlineLevel="1" x14ac:dyDescent="0.25">
      <c r="D67" s="371" t="s">
        <v>492</v>
      </c>
      <c r="E67" s="429">
        <f>IFERROR(E57/E$34,"-")</f>
        <v>1</v>
      </c>
      <c r="F67" s="429">
        <f t="shared" ref="F67:AS67" si="103">IFERROR(F57/F$34,"-")</f>
        <v>1</v>
      </c>
      <c r="G67" s="429">
        <f t="shared" si="103"/>
        <v>1</v>
      </c>
      <c r="H67" s="429">
        <f t="shared" si="103"/>
        <v>1</v>
      </c>
      <c r="I67" s="429">
        <f t="shared" si="103"/>
        <v>1</v>
      </c>
      <c r="J67" s="429">
        <f t="shared" si="103"/>
        <v>1</v>
      </c>
      <c r="K67" s="429">
        <f t="shared" si="103"/>
        <v>1</v>
      </c>
      <c r="L67" s="429">
        <f t="shared" si="103"/>
        <v>1</v>
      </c>
      <c r="M67" s="429">
        <f t="shared" si="103"/>
        <v>1</v>
      </c>
      <c r="N67" s="429">
        <f t="shared" si="103"/>
        <v>1</v>
      </c>
      <c r="O67" s="429">
        <f t="shared" si="103"/>
        <v>1</v>
      </c>
      <c r="P67" s="430">
        <f t="shared" si="103"/>
        <v>1</v>
      </c>
      <c r="Q67" s="429">
        <f t="shared" si="103"/>
        <v>0.7445483923622257</v>
      </c>
      <c r="R67" s="429">
        <f t="shared" si="103"/>
        <v>0.34566444212491199</v>
      </c>
      <c r="S67" s="429">
        <f t="shared" si="103"/>
        <v>0.29135498677249494</v>
      </c>
      <c r="T67" s="429">
        <f t="shared" si="103"/>
        <v>0.26985310444958888</v>
      </c>
      <c r="U67" s="429">
        <f t="shared" si="103"/>
        <v>0.28027437167896818</v>
      </c>
      <c r="V67" s="429">
        <f t="shared" si="103"/>
        <v>0.27529881208453438</v>
      </c>
      <c r="W67" s="429">
        <f t="shared" si="103"/>
        <v>0.2654225644502618</v>
      </c>
      <c r="X67" s="429">
        <f t="shared" si="103"/>
        <v>0.25099532139425113</v>
      </c>
      <c r="Y67" s="429">
        <f t="shared" si="103"/>
        <v>0.27210040826687459</v>
      </c>
      <c r="Z67" s="429">
        <f t="shared" si="103"/>
        <v>0.2603438263611722</v>
      </c>
      <c r="AA67" s="429">
        <f t="shared" si="103"/>
        <v>0.25737654951843558</v>
      </c>
      <c r="AB67" s="430">
        <f t="shared" si="103"/>
        <v>0.23895996234679609</v>
      </c>
      <c r="AC67" s="429">
        <f t="shared" si="103"/>
        <v>0.20579877174222649</v>
      </c>
      <c r="AD67" s="429">
        <f t="shared" si="103"/>
        <v>0.18599213043460686</v>
      </c>
      <c r="AE67" s="429">
        <f t="shared" si="103"/>
        <v>0.16649436802804474</v>
      </c>
      <c r="AF67" s="429">
        <f t="shared" si="103"/>
        <v>0.166621469930572</v>
      </c>
      <c r="AG67" s="429">
        <f t="shared" si="103"/>
        <v>0.18176756938599031</v>
      </c>
      <c r="AH67" s="429">
        <f t="shared" si="103"/>
        <v>0.17547417965575715</v>
      </c>
      <c r="AI67" s="429">
        <f t="shared" si="103"/>
        <v>0.18245095148361193</v>
      </c>
      <c r="AJ67" s="429">
        <f t="shared" si="103"/>
        <v>0.17177654676518428</v>
      </c>
      <c r="AK67" s="429" t="str">
        <f t="shared" si="103"/>
        <v>-</v>
      </c>
      <c r="AL67" s="429" t="str">
        <f t="shared" si="103"/>
        <v>-</v>
      </c>
      <c r="AM67" s="429" t="str">
        <f t="shared" si="103"/>
        <v>-</v>
      </c>
      <c r="AN67" s="431" t="str">
        <f t="shared" si="103"/>
        <v>-</v>
      </c>
      <c r="AO67" s="432">
        <f t="shared" ca="1" si="103"/>
        <v>0.17892284511793116</v>
      </c>
      <c r="AP67" s="433">
        <f t="shared" ca="1" si="103"/>
        <v>0.20616806463074763</v>
      </c>
      <c r="AQ67" s="433">
        <f t="shared" si="103"/>
        <v>0.29470912779831249</v>
      </c>
      <c r="AR67" s="433">
        <f t="shared" ca="1" si="103"/>
        <v>0.309840929994737</v>
      </c>
      <c r="AS67" s="434">
        <f t="shared" ca="1" si="103"/>
        <v>0.17996242520177189</v>
      </c>
    </row>
    <row r="68" spans="1:45" ht="15.75" outlineLevel="1" x14ac:dyDescent="0.25">
      <c r="B68" t="str">
        <f t="shared" si="89"/>
        <v>PC Annual Direct</v>
      </c>
      <c r="C68" t="str">
        <f>$C66</f>
        <v>Boom Annual</v>
      </c>
      <c r="D68" s="223" t="s">
        <v>199</v>
      </c>
      <c r="E68" s="229">
        <v>7797.1314285999997</v>
      </c>
      <c r="F68" s="229">
        <v>7059.6260714</v>
      </c>
      <c r="G68" s="229">
        <v>5358.3832143</v>
      </c>
      <c r="H68" s="229">
        <v>3687.8485713999999</v>
      </c>
      <c r="I68" s="229">
        <v>4438.9724999999999</v>
      </c>
      <c r="J68" s="229">
        <v>6645.7557143000004</v>
      </c>
      <c r="K68" s="229">
        <v>6484.6410714000003</v>
      </c>
      <c r="L68" s="229">
        <v>7953.1503571000003</v>
      </c>
      <c r="M68" s="229">
        <v>8411.4500000000007</v>
      </c>
      <c r="N68" s="229">
        <v>7534.0403570999997</v>
      </c>
      <c r="O68" s="229">
        <v>8186.4639286000001</v>
      </c>
      <c r="P68" s="300">
        <v>4542.6003571000001</v>
      </c>
      <c r="Q68" s="229">
        <v>5152.4285713999998</v>
      </c>
      <c r="R68" s="229">
        <v>5795.5574999999999</v>
      </c>
      <c r="S68" s="229">
        <v>6806.08</v>
      </c>
      <c r="T68" s="229">
        <v>8657.8785714000005</v>
      </c>
      <c r="U68" s="229">
        <v>5870.3742856999997</v>
      </c>
      <c r="V68" s="229">
        <v>7328.7010713999998</v>
      </c>
      <c r="W68" s="229">
        <v>6168.2632143000001</v>
      </c>
      <c r="X68" s="229">
        <v>5874.47</v>
      </c>
      <c r="Y68" s="229">
        <v>6716.7107143000003</v>
      </c>
      <c r="Z68" s="229">
        <v>5057.1089285999997</v>
      </c>
      <c r="AA68" s="229">
        <v>5520.9482142999996</v>
      </c>
      <c r="AB68" s="300">
        <v>4790.8517856999997</v>
      </c>
      <c r="AC68" s="229">
        <v>6472.5192857000002</v>
      </c>
      <c r="AD68" s="229">
        <v>5272.1914286000001</v>
      </c>
      <c r="AE68" s="229">
        <v>7779.5228570999998</v>
      </c>
      <c r="AF68" s="229">
        <v>14029.196786</v>
      </c>
      <c r="AG68" s="229">
        <v>5117.9399999999996</v>
      </c>
      <c r="AH68" s="229">
        <v>8050.9867856999999</v>
      </c>
      <c r="AI68" s="229">
        <v>7737.4896429</v>
      </c>
      <c r="AJ68" s="229">
        <v>3904.4410714000001</v>
      </c>
      <c r="AK68" s="229">
        <v>0</v>
      </c>
      <c r="AL68" s="229">
        <v>0</v>
      </c>
      <c r="AM68" s="229">
        <v>0</v>
      </c>
      <c r="AN68" s="230">
        <v>0</v>
      </c>
      <c r="AO68" s="441">
        <f ca="1">IFERROR(AVERAGE(INDEX($E68:$AN68, $AU$4 - 3):INDEX($E68:$AN68, $AU$4)),"-")</f>
        <v>6202.7143750000005</v>
      </c>
      <c r="AP68" s="229">
        <f ca="1">IFERROR(AVERAGE(INDEX($E68:$AN68, $AU$4 - 11):INDEX($E68:$AN68, $AU$4)),"-")</f>
        <v>6704.1589583583327</v>
      </c>
      <c r="AQ68" s="229">
        <f>MAX(Q68:AB68)</f>
        <v>8657.8785714000005</v>
      </c>
      <c r="AR68" s="229">
        <f ca="1">IFERROR(MAX(INDEX($E68:$AN68, $AU$4 - MONTH(TODAY())-11):INDEX($E68:$AN68, $AU$4-12)),"-")</f>
        <v>8657.8785714000005</v>
      </c>
      <c r="AS68" s="300">
        <f ca="1">IFERROR(MAX(INDEX($E68:$AN68, $AU$4 - MONTH(TODAY())+1):INDEX($E68:$AN68, $AU$4)),"-")</f>
        <v>14029.196786</v>
      </c>
    </row>
    <row r="69" spans="1:45" ht="15.75" outlineLevel="1" x14ac:dyDescent="0.25">
      <c r="B69" t="str">
        <f t="shared" si="89"/>
        <v>PC Annual Direct</v>
      </c>
      <c r="C69" t="str">
        <f t="shared" si="86"/>
        <v>Boom Annual</v>
      </c>
      <c r="D69" s="371" t="s">
        <v>200</v>
      </c>
      <c r="E69" s="435">
        <v>88.433571428999997</v>
      </c>
      <c r="F69" s="435">
        <v>88.433571428999997</v>
      </c>
      <c r="G69" s="435">
        <v>88.433571428999997</v>
      </c>
      <c r="H69" s="435">
        <v>88.433571428999997</v>
      </c>
      <c r="I69" s="435">
        <v>342.40571428999999</v>
      </c>
      <c r="J69" s="435">
        <v>351.50571429000001</v>
      </c>
      <c r="K69" s="435">
        <v>349.99892856999998</v>
      </c>
      <c r="L69" s="435">
        <v>100.03749999999999</v>
      </c>
      <c r="M69" s="435">
        <v>349.99892856999998</v>
      </c>
      <c r="N69" s="435">
        <v>349.99892856999998</v>
      </c>
      <c r="O69" s="435">
        <v>349.99892856999998</v>
      </c>
      <c r="P69" s="436">
        <v>349.99892856999998</v>
      </c>
      <c r="Q69" s="435">
        <v>349.99892856999998</v>
      </c>
      <c r="R69" s="435">
        <v>349.99892856999998</v>
      </c>
      <c r="S69" s="435">
        <v>349.99785714000001</v>
      </c>
      <c r="T69" s="435">
        <v>349.99821429000002</v>
      </c>
      <c r="U69" s="435">
        <v>349.99785714000001</v>
      </c>
      <c r="V69" s="435">
        <v>349.99785714000001</v>
      </c>
      <c r="W69" s="435">
        <v>349.99785714000001</v>
      </c>
      <c r="X69" s="435">
        <v>349.99785714000001</v>
      </c>
      <c r="Y69" s="435">
        <v>349.99785714000001</v>
      </c>
      <c r="Z69" s="435">
        <v>349.99785714000001</v>
      </c>
      <c r="AA69" s="435">
        <v>349.99785714000001</v>
      </c>
      <c r="AB69" s="436">
        <v>0.89285714289999996</v>
      </c>
      <c r="AC69" s="435">
        <v>349.99785714000001</v>
      </c>
      <c r="AD69" s="435">
        <v>349.99785714000001</v>
      </c>
      <c r="AE69" s="435">
        <v>349.99714286</v>
      </c>
      <c r="AF69" s="435">
        <v>349.99571429000002</v>
      </c>
      <c r="AG69" s="435">
        <v>349.99607142999997</v>
      </c>
      <c r="AH69" s="435">
        <v>349.99571429000002</v>
      </c>
      <c r="AI69" s="435">
        <v>349.99607142999997</v>
      </c>
      <c r="AJ69" s="435">
        <v>349.99571429000002</v>
      </c>
      <c r="AK69" s="435">
        <v>0</v>
      </c>
      <c r="AL69" s="435">
        <v>0</v>
      </c>
      <c r="AM69" s="435">
        <v>0</v>
      </c>
      <c r="AN69" s="437">
        <v>0</v>
      </c>
      <c r="AO69" s="438">
        <f ca="1">IFERROR(AVERAGE(INDEX($E69:$AN69, $AU$4 - 3):INDEX($E69:$AN69, $AU$4)),"-")</f>
        <v>349.99589286000003</v>
      </c>
      <c r="AP69" s="439">
        <f ca="1">IFERROR(AVERAGE(INDEX($E69:$AN69, $AU$4 - 11):INDEX($E69:$AN69, $AU$4)),"-")</f>
        <v>320.90488095274168</v>
      </c>
      <c r="AQ69" s="439">
        <f>MIN(Q69:AB69)</f>
        <v>0.89285714289999996</v>
      </c>
      <c r="AR69" s="439">
        <f ca="1">IFERROR(MIN(INDEX($E69:$AN69, $AU$4 - MONTH(TODAY())-11):INDEX($E69:$AN69, $AU$4-12)),"-")</f>
        <v>349.99785714000001</v>
      </c>
      <c r="AS69" s="440">
        <f ca="1">IFERROR(MIN(INDEX($E69:$AN69, $AU$4 - MONTH(TODAY())+1):INDEX($E69:$AN69, $AU$4)),"-")</f>
        <v>349.99571429000002</v>
      </c>
    </row>
    <row r="70" spans="1:45" ht="15.75" outlineLevel="1" x14ac:dyDescent="0.25">
      <c r="B70" t="str">
        <f t="shared" si="89"/>
        <v>PC Annual Direct</v>
      </c>
      <c r="C70" t="str">
        <f t="shared" si="86"/>
        <v>Boom Annual</v>
      </c>
      <c r="D70" s="223" t="s">
        <v>201</v>
      </c>
      <c r="E70" s="224">
        <v>0.5119893428063943</v>
      </c>
      <c r="F70" s="224">
        <v>0.56054365733113676</v>
      </c>
      <c r="G70" s="224">
        <v>0.60667340748230536</v>
      </c>
      <c r="H70" s="224">
        <v>0.47333956969130025</v>
      </c>
      <c r="I70" s="224">
        <v>1.4721919302071973E-2</v>
      </c>
      <c r="J70" s="224">
        <v>0</v>
      </c>
      <c r="K70" s="224">
        <v>4.9937578027465668E-3</v>
      </c>
      <c r="L70" s="224">
        <v>5.8765915768854062E-3</v>
      </c>
      <c r="M70" s="224">
        <v>3.1217481789802288E-3</v>
      </c>
      <c r="N70" s="224">
        <v>4.9301561216105174E-3</v>
      </c>
      <c r="O70" s="224">
        <v>3.0226700251889168E-3</v>
      </c>
      <c r="P70" s="298">
        <v>6.6408411732152743E-3</v>
      </c>
      <c r="Q70" s="224">
        <v>6.0010911074740861E-3</v>
      </c>
      <c r="R70" s="224">
        <v>2.3880597014925373E-3</v>
      </c>
      <c r="S70" s="224">
        <v>9.3940817285110385E-4</v>
      </c>
      <c r="T70" s="224">
        <v>4.9850448654037882E-4</v>
      </c>
      <c r="U70" s="224">
        <v>3.8628681796233702E-3</v>
      </c>
      <c r="V70" s="224">
        <v>3.5629453681710215E-3</v>
      </c>
      <c r="W70" s="224">
        <v>2.9090909090909089E-3</v>
      </c>
      <c r="X70" s="224">
        <v>4.2662116040955633E-3</v>
      </c>
      <c r="Y70" s="224">
        <v>5.3285968028419185E-3</v>
      </c>
      <c r="Z70" s="224">
        <v>3.5682426404995541E-3</v>
      </c>
      <c r="AA70" s="224">
        <v>3.1796502384737681E-3</v>
      </c>
      <c r="AB70" s="298">
        <v>4.2589437819420782E-3</v>
      </c>
      <c r="AC70" s="224">
        <v>1.8921475875118259E-3</v>
      </c>
      <c r="AD70" s="224">
        <v>2.4875621890547263E-3</v>
      </c>
      <c r="AE70" s="224">
        <v>5.7077625570776253E-3</v>
      </c>
      <c r="AF70" s="224">
        <v>1.3777267508610792E-2</v>
      </c>
      <c r="AG70" s="224">
        <v>1.9047619047619049E-2</v>
      </c>
      <c r="AH70" s="224">
        <v>1.5645371577574969E-2</v>
      </c>
      <c r="AI70" s="224">
        <v>1.5852047556142668E-2</v>
      </c>
      <c r="AJ70" s="224">
        <v>1.1834319526627219E-2</v>
      </c>
      <c r="AK70" s="224" t="s">
        <v>491</v>
      </c>
      <c r="AL70" s="224" t="s">
        <v>491</v>
      </c>
      <c r="AM70" s="224" t="s">
        <v>491</v>
      </c>
      <c r="AN70" s="225" t="s">
        <v>491</v>
      </c>
      <c r="AO70" s="414">
        <f ca="1">IFERROR(AVERAGE(INDEX($E70:$AN70, $AU$4 - 3):INDEX($E70:$AN70, $AU$4)),"-")</f>
        <v>1.5594839426990975E-2</v>
      </c>
      <c r="AP70" s="405">
        <f ca="1">IFERROR(AVERAGE(INDEX($E70:$AN70, $AU$4 - 11):INDEX($E70:$AN70, $AU$4)),"-")</f>
        <v>8.5482942511646825E-3</v>
      </c>
      <c r="AQ70" s="405">
        <v>0</v>
      </c>
      <c r="AR70" s="405">
        <v>0</v>
      </c>
      <c r="AS70" s="416">
        <v>1.9797349961028839E-2</v>
      </c>
    </row>
    <row r="71" spans="1:45" ht="15.75" outlineLevel="1" x14ac:dyDescent="0.25">
      <c r="B71" t="str">
        <f t="shared" si="89"/>
        <v>PC Annual Direct</v>
      </c>
      <c r="C71" t="str">
        <f t="shared" si="86"/>
        <v>Boom Annual</v>
      </c>
      <c r="D71" s="371" t="s">
        <v>202</v>
      </c>
      <c r="E71" s="429">
        <v>0.24359243867967401</v>
      </c>
      <c r="F71" s="429">
        <v>0.244563878171077</v>
      </c>
      <c r="G71" s="429">
        <v>0.2440091140132</v>
      </c>
      <c r="H71" s="429">
        <v>0.24465574842884899</v>
      </c>
      <c r="I71" s="429">
        <v>0.218633760403629</v>
      </c>
      <c r="J71" s="429">
        <v>0.18861940027281601</v>
      </c>
      <c r="K71" s="429">
        <v>0.18841531596470801</v>
      </c>
      <c r="L71" s="429">
        <v>0.18846102292165701</v>
      </c>
      <c r="M71" s="429">
        <v>0.18865590111483499</v>
      </c>
      <c r="N71" s="429">
        <v>0.188662742847614</v>
      </c>
      <c r="O71" s="429">
        <v>0.188662742847614</v>
      </c>
      <c r="P71" s="430">
        <v>0.18852139121614001</v>
      </c>
      <c r="Q71" s="429">
        <v>0.188662742847614</v>
      </c>
      <c r="R71" s="429">
        <v>0.18852139121614001</v>
      </c>
      <c r="S71" s="429">
        <v>0.18852703741155399</v>
      </c>
      <c r="T71" s="429">
        <v>0.167662221164705</v>
      </c>
      <c r="U71" s="429">
        <v>0.167662221164705</v>
      </c>
      <c r="V71" s="429">
        <v>0.167662221164705</v>
      </c>
      <c r="W71" s="429">
        <v>0.167662221164705</v>
      </c>
      <c r="X71" s="429">
        <v>0.167662221164705</v>
      </c>
      <c r="Y71" s="429">
        <v>0.197021829773881</v>
      </c>
      <c r="Z71" s="429">
        <v>0.197021829773881</v>
      </c>
      <c r="AA71" s="429">
        <v>0.197021829773881</v>
      </c>
      <c r="AB71" s="430">
        <v>0.197021829773881</v>
      </c>
      <c r="AC71" s="429">
        <v>0.197021829773881</v>
      </c>
      <c r="AD71" s="429">
        <v>0.197021829773881</v>
      </c>
      <c r="AE71" s="429">
        <v>0.197021829773881</v>
      </c>
      <c r="AF71" s="429">
        <v>0.19446542737758701</v>
      </c>
      <c r="AG71" s="429">
        <v>0.176227816754086</v>
      </c>
      <c r="AH71" s="429">
        <v>0.17227507217502999</v>
      </c>
      <c r="AI71" s="429">
        <v>0.17867078995955801</v>
      </c>
      <c r="AJ71" s="429">
        <v>0.16373835031318101</v>
      </c>
      <c r="AK71" s="429">
        <v>0</v>
      </c>
      <c r="AL71" s="429">
        <v>0</v>
      </c>
      <c r="AM71" s="429">
        <v>0</v>
      </c>
      <c r="AN71" s="431">
        <v>0</v>
      </c>
      <c r="AO71" s="432">
        <f ca="1">IFERROR(AVERAGE(INDEX($E71:$AN71, $AU$4 - 3):INDEX($E71:$AN71, $AU$4)),"-")</f>
        <v>0.17272800730046373</v>
      </c>
      <c r="AP71" s="433">
        <f ca="1">IFERROR(AVERAGE(INDEX($E71:$AN71, $AU$4 - 11):INDEX($E71:$AN71, $AU$4)),"-")</f>
        <v>0.1887108554163841</v>
      </c>
      <c r="AQ71" s="433">
        <f>MAX(Q71:AB71)</f>
        <v>0.197021829773881</v>
      </c>
      <c r="AR71" s="433">
        <f ca="1">IFERROR(MAX(INDEX($E71:$AN71, $AU$4 - MONTH(TODAY())-11):INDEX($E71:$AN71, $AU$4-12)),"-")</f>
        <v>0.188662742847614</v>
      </c>
      <c r="AS71" s="434">
        <f ca="1">IFERROR(MAX(INDEX($E71:$AN71, $AU$4 - MONTH(TODAY())+1):INDEX($E71:$AN71, $AU$4)),"-")</f>
        <v>0.197021829773881</v>
      </c>
    </row>
    <row r="72" spans="1:45" ht="16.5" outlineLevel="1" thickBot="1" x14ac:dyDescent="0.3">
      <c r="B72" t="str">
        <f t="shared" si="89"/>
        <v>PC Annual Direct</v>
      </c>
      <c r="C72" t="str">
        <f t="shared" si="86"/>
        <v>Boom Annual</v>
      </c>
      <c r="D72" s="368" t="s">
        <v>203</v>
      </c>
      <c r="E72" s="442">
        <v>0.207645422959298</v>
      </c>
      <c r="F72" s="443">
        <v>0.20762972463936599</v>
      </c>
      <c r="G72" s="443">
        <v>0.207628279960825</v>
      </c>
      <c r="H72" s="443">
        <v>0.176454851990584</v>
      </c>
      <c r="I72" s="443">
        <v>0.11110960612313101</v>
      </c>
      <c r="J72" s="443">
        <v>0.11108791534092299</v>
      </c>
      <c r="K72" s="443">
        <v>0.11109566957508001</v>
      </c>
      <c r="L72" s="443">
        <v>0.11109901855596301</v>
      </c>
      <c r="M72" s="443">
        <v>0.11109392880339</v>
      </c>
      <c r="N72" s="443">
        <v>0.11109535057157</v>
      </c>
      <c r="O72" s="443">
        <v>0.111096636714415</v>
      </c>
      <c r="P72" s="444">
        <v>0.111090889236338</v>
      </c>
      <c r="Q72" s="443">
        <v>0.111089510935605</v>
      </c>
      <c r="R72" s="443">
        <v>5.0192158832867997E-2</v>
      </c>
      <c r="S72" s="443">
        <v>4.8875761486211901E-2</v>
      </c>
      <c r="T72" s="443">
        <v>4.8868416297400498E-2</v>
      </c>
      <c r="U72" s="443">
        <v>4.8873226374849303E-2</v>
      </c>
      <c r="V72" s="443">
        <v>4.8873780752466199E-2</v>
      </c>
      <c r="W72" s="443">
        <v>4.8871441958596301E-2</v>
      </c>
      <c r="X72" s="443">
        <v>4.8866517576094101E-2</v>
      </c>
      <c r="Y72" s="443">
        <v>4.8866493768360102E-2</v>
      </c>
      <c r="Z72" s="443">
        <v>4.8870590792255302E-2</v>
      </c>
      <c r="AA72" s="443">
        <v>4.8870050514530999E-2</v>
      </c>
      <c r="AB72" s="444">
        <v>0</v>
      </c>
      <c r="AC72" s="443">
        <v>4.8866010192463401E-2</v>
      </c>
      <c r="AD72" s="443">
        <v>4.8882295046080299E-2</v>
      </c>
      <c r="AE72" s="443">
        <v>9.7824942265844998E-5</v>
      </c>
      <c r="AF72" s="443">
        <v>9.5716569563641899E-5</v>
      </c>
      <c r="AG72" s="443">
        <v>1.02792598142276E-4</v>
      </c>
      <c r="AH72" s="443">
        <v>9.6644369429688099E-5</v>
      </c>
      <c r="AI72" s="443">
        <v>1.00200380882987E-4</v>
      </c>
      <c r="AJ72" s="443">
        <v>1.5967445348517E-3</v>
      </c>
      <c r="AK72" s="443">
        <v>0</v>
      </c>
      <c r="AL72" s="443">
        <v>0</v>
      </c>
      <c r="AM72" s="443">
        <v>0</v>
      </c>
      <c r="AN72" s="443">
        <v>0</v>
      </c>
      <c r="AO72" s="445">
        <f ca="1">IFERROR(AVERAGE(INDEX($E72:$AN72, $AU$4 - 3):INDEX($E72:$AN72, $AU$4)),"-")</f>
        <v>4.7409547082666277E-4</v>
      </c>
      <c r="AP72" s="383">
        <f ca="1">IFERROR(AVERAGE(INDEX($E72:$AN72, $AU$4 - 11):INDEX($E72:$AN72, $AU$4)),"-")</f>
        <v>2.0537113642402186E-2</v>
      </c>
      <c r="AQ72" s="383">
        <f>MIN(Q72:AB72)</f>
        <v>0</v>
      </c>
      <c r="AR72" s="383">
        <f ca="1">IFERROR(MIN(INDEX($E72:$AN72, $AU$4 - MONTH(TODAY())-11):INDEX($E72:$AN72, $AU$4-12)),"-")</f>
        <v>4.8866517576094101E-2</v>
      </c>
      <c r="AS72" s="384">
        <f ca="1">IFERROR(MIN(INDEX($E72:$AN72, $AU$4 - MONTH(TODAY())+1):INDEX($E72:$AN72, $AU$4)),"-")</f>
        <v>9.5716569563641899E-5</v>
      </c>
    </row>
    <row r="73" spans="1:45" outlineLevel="1" x14ac:dyDescent="0.25"/>
    <row r="74" spans="1:45" ht="15.75" outlineLevel="1" thickBot="1" x14ac:dyDescent="0.3">
      <c r="D74" s="291"/>
      <c r="E74" s="291"/>
    </row>
    <row r="75" spans="1:45" ht="21" outlineLevel="1" x14ac:dyDescent="0.25">
      <c r="A75" s="290"/>
      <c r="C75" s="290"/>
      <c r="D75" s="364" t="s">
        <v>351</v>
      </c>
      <c r="F75" s="202"/>
      <c r="G75" s="202"/>
      <c r="H75" s="202"/>
      <c r="I75" s="202"/>
      <c r="J75" s="202"/>
      <c r="K75" s="202"/>
      <c r="L75" s="202"/>
      <c r="M75" s="202"/>
      <c r="N75" s="202"/>
      <c r="O75" s="202"/>
      <c r="P75" s="233"/>
      <c r="Q75" s="202"/>
      <c r="R75" s="202"/>
      <c r="S75" s="202"/>
      <c r="T75" s="202"/>
      <c r="U75" s="202"/>
      <c r="V75" s="202"/>
      <c r="W75" s="202"/>
      <c r="X75" s="202"/>
      <c r="Y75" s="202"/>
      <c r="Z75" s="202"/>
      <c r="AA75" s="202"/>
      <c r="AB75" s="233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33"/>
      <c r="AO75" s="507" t="s">
        <v>484</v>
      </c>
      <c r="AP75" s="508"/>
      <c r="AQ75" s="508"/>
      <c r="AR75" s="508"/>
      <c r="AS75" s="509"/>
    </row>
    <row r="76" spans="1:45" ht="15.75" outlineLevel="1" thickBot="1" x14ac:dyDescent="0.3">
      <c r="A76" s="290"/>
      <c r="C76" s="290"/>
      <c r="D76" s="306"/>
      <c r="E76" s="287" t="s">
        <v>341</v>
      </c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92"/>
      <c r="Q76" s="287" t="s">
        <v>341</v>
      </c>
      <c r="R76" s="287"/>
      <c r="S76" s="287"/>
      <c r="T76" s="287"/>
      <c r="U76" s="287"/>
      <c r="V76" s="287"/>
      <c r="W76" s="287"/>
      <c r="X76" s="287"/>
      <c r="Y76" s="287"/>
      <c r="Z76" s="287"/>
      <c r="AA76" s="287"/>
      <c r="AB76" s="292"/>
      <c r="AC76" s="287" t="s">
        <v>341</v>
      </c>
      <c r="AD76" s="287"/>
      <c r="AE76" s="287"/>
      <c r="AF76" s="287"/>
      <c r="AG76" s="287"/>
      <c r="AH76" s="287"/>
      <c r="AI76" s="287"/>
      <c r="AJ76" s="287"/>
      <c r="AK76" s="287"/>
      <c r="AL76" s="287"/>
      <c r="AM76" s="287"/>
      <c r="AN76" s="292"/>
      <c r="AO76" s="510" t="s">
        <v>485</v>
      </c>
      <c r="AP76" s="511"/>
      <c r="AQ76" s="511" t="s">
        <v>486</v>
      </c>
      <c r="AR76" s="511"/>
      <c r="AS76" s="512"/>
    </row>
    <row r="77" spans="1:45" outlineLevel="1" x14ac:dyDescent="0.25">
      <c r="A77" s="290"/>
      <c r="C77" s="290"/>
      <c r="D77" s="354" t="s">
        <v>487</v>
      </c>
      <c r="E77" s="304">
        <f t="shared" ref="E77:AN77" si="104">E$4</f>
        <v>44927</v>
      </c>
      <c r="F77" s="206">
        <f t="shared" si="104"/>
        <v>44958</v>
      </c>
      <c r="G77" s="206">
        <f t="shared" si="104"/>
        <v>44986</v>
      </c>
      <c r="H77" s="206">
        <f t="shared" si="104"/>
        <v>45017</v>
      </c>
      <c r="I77" s="206">
        <f t="shared" si="104"/>
        <v>45047</v>
      </c>
      <c r="J77" s="206">
        <f t="shared" si="104"/>
        <v>45078</v>
      </c>
      <c r="K77" s="206">
        <f t="shared" si="104"/>
        <v>45108</v>
      </c>
      <c r="L77" s="206">
        <f t="shared" si="104"/>
        <v>45139</v>
      </c>
      <c r="M77" s="206">
        <f t="shared" si="104"/>
        <v>45170</v>
      </c>
      <c r="N77" s="206">
        <f t="shared" si="104"/>
        <v>45200</v>
      </c>
      <c r="O77" s="206">
        <f t="shared" si="104"/>
        <v>45231</v>
      </c>
      <c r="P77" s="293">
        <f t="shared" si="104"/>
        <v>45261</v>
      </c>
      <c r="Q77" s="206">
        <f t="shared" si="104"/>
        <v>45292</v>
      </c>
      <c r="R77" s="206">
        <f t="shared" si="104"/>
        <v>45323</v>
      </c>
      <c r="S77" s="206">
        <f t="shared" si="104"/>
        <v>45352</v>
      </c>
      <c r="T77" s="206">
        <f t="shared" si="104"/>
        <v>45383</v>
      </c>
      <c r="U77" s="206">
        <f t="shared" si="104"/>
        <v>45413</v>
      </c>
      <c r="V77" s="206">
        <f t="shared" si="104"/>
        <v>45444</v>
      </c>
      <c r="W77" s="206">
        <f t="shared" si="104"/>
        <v>45474</v>
      </c>
      <c r="X77" s="206">
        <f t="shared" si="104"/>
        <v>45505</v>
      </c>
      <c r="Y77" s="206">
        <f t="shared" si="104"/>
        <v>45536</v>
      </c>
      <c r="Z77" s="206">
        <f t="shared" si="104"/>
        <v>45566</v>
      </c>
      <c r="AA77" s="206">
        <f t="shared" si="104"/>
        <v>45597</v>
      </c>
      <c r="AB77" s="293">
        <f t="shared" si="104"/>
        <v>45627</v>
      </c>
      <c r="AC77" s="206">
        <f t="shared" si="104"/>
        <v>45658</v>
      </c>
      <c r="AD77" s="206">
        <f t="shared" si="104"/>
        <v>45689</v>
      </c>
      <c r="AE77" s="206">
        <f t="shared" si="104"/>
        <v>45717</v>
      </c>
      <c r="AF77" s="206">
        <f t="shared" si="104"/>
        <v>45748</v>
      </c>
      <c r="AG77" s="206">
        <f t="shared" si="104"/>
        <v>45778</v>
      </c>
      <c r="AH77" s="206">
        <f t="shared" si="104"/>
        <v>45809</v>
      </c>
      <c r="AI77" s="206">
        <f t="shared" si="104"/>
        <v>45839</v>
      </c>
      <c r="AJ77" s="206">
        <f t="shared" si="104"/>
        <v>45870</v>
      </c>
      <c r="AK77" s="206">
        <f t="shared" si="104"/>
        <v>45901</v>
      </c>
      <c r="AL77" s="206">
        <f t="shared" si="104"/>
        <v>45931</v>
      </c>
      <c r="AM77" s="206">
        <f t="shared" si="104"/>
        <v>45962</v>
      </c>
      <c r="AN77" s="293">
        <f t="shared" si="104"/>
        <v>45992</v>
      </c>
      <c r="AO77" s="351" t="s">
        <v>349</v>
      </c>
      <c r="AP77" s="352" t="s">
        <v>348</v>
      </c>
      <c r="AQ77" s="352" t="s">
        <v>772</v>
      </c>
      <c r="AR77" s="352" t="s">
        <v>490</v>
      </c>
      <c r="AS77" s="353" t="s">
        <v>773</v>
      </c>
    </row>
    <row r="78" spans="1:45" ht="15.75" outlineLevel="1" x14ac:dyDescent="0.25">
      <c r="B78" t="str">
        <f>$D$2</f>
        <v>PC Annual Direct</v>
      </c>
      <c r="C78" t="s">
        <v>353</v>
      </c>
      <c r="D78" s="208" t="s">
        <v>3</v>
      </c>
      <c r="E78" s="209">
        <v>0</v>
      </c>
      <c r="F78" s="209">
        <v>0</v>
      </c>
      <c r="G78" s="209">
        <v>0</v>
      </c>
      <c r="H78" s="209">
        <v>0</v>
      </c>
      <c r="I78" s="209">
        <v>0</v>
      </c>
      <c r="J78" s="209">
        <v>0</v>
      </c>
      <c r="K78" s="209">
        <v>0</v>
      </c>
      <c r="L78" s="209">
        <v>0</v>
      </c>
      <c r="M78" s="209">
        <v>0</v>
      </c>
      <c r="N78" s="209">
        <v>0</v>
      </c>
      <c r="O78" s="209">
        <v>0</v>
      </c>
      <c r="P78" s="238">
        <v>0</v>
      </c>
      <c r="Q78" s="209">
        <v>424</v>
      </c>
      <c r="R78" s="209">
        <v>2184</v>
      </c>
      <c r="S78" s="209">
        <v>3899</v>
      </c>
      <c r="T78" s="209">
        <v>4154</v>
      </c>
      <c r="U78" s="209">
        <v>3916</v>
      </c>
      <c r="V78" s="209">
        <v>3404</v>
      </c>
      <c r="W78" s="209">
        <v>2964</v>
      </c>
      <c r="X78" s="209">
        <v>2613</v>
      </c>
      <c r="Y78" s="209">
        <v>2499</v>
      </c>
      <c r="Z78" s="209">
        <v>2478</v>
      </c>
      <c r="AA78" s="209">
        <v>2808</v>
      </c>
      <c r="AB78" s="238">
        <v>2902</v>
      </c>
      <c r="AC78" s="209">
        <v>3305</v>
      </c>
      <c r="AD78" s="209">
        <v>2783</v>
      </c>
      <c r="AE78" s="209">
        <v>3597</v>
      </c>
      <c r="AF78" s="209">
        <v>3573</v>
      </c>
      <c r="AG78" s="209">
        <v>3400</v>
      </c>
      <c r="AH78" s="209">
        <v>3008</v>
      </c>
      <c r="AI78" s="209">
        <v>2803</v>
      </c>
      <c r="AJ78" s="209">
        <v>1231</v>
      </c>
      <c r="AK78" s="209">
        <v>0</v>
      </c>
      <c r="AL78" s="209">
        <v>0</v>
      </c>
      <c r="AM78" s="209">
        <v>0</v>
      </c>
      <c r="AN78" s="238">
        <v>0</v>
      </c>
      <c r="AO78" s="237">
        <f ca="1">IFERROR(AVERAGE(INDEX($E78:$AN78, $AU$4 - 3):INDEX($E78:$AN78, $AU$4)),"-")</f>
        <v>2610.5</v>
      </c>
      <c r="AP78" s="209">
        <f ca="1">IFERROR(AVERAGE(INDEX($E78:$AN78, $AU$4 - 11):INDEX($E78:$AN78, $AU$4)),"-")</f>
        <v>2865.5833333333335</v>
      </c>
      <c r="AQ78" s="209" cm="1">
        <f t="array" ref="AQ78">IFERROR(SUMPRODUCT((YEAR($E$4:$AN$4)=2024)*$E78:$AN78),"-")</f>
        <v>34245</v>
      </c>
      <c r="AR78" s="209">
        <f ca="1">IFERROR(SUM(INDEX($E78:$AN78, $AU$4 - MONTH(TODAY())-11):INDEX($E78:$AN78, $AU$4-12)),"-")</f>
        <v>23558</v>
      </c>
      <c r="AS78" s="238">
        <f ca="1">IFERROR(SUM(INDEX($E78:$AN78, $AU$4 - MONTH(TODAY())+1):INDEX($E78:$AN78, $AU$4)),"-")</f>
        <v>23700</v>
      </c>
    </row>
    <row r="79" spans="1:45" ht="15.75" hidden="1" outlineLevel="1" x14ac:dyDescent="0.25">
      <c r="B79" t="str">
        <f>"PC Annual Direct - Premium Finance_W VYRs"</f>
        <v>PC Annual Direct - Premium Finance_W VYRs</v>
      </c>
      <c r="C79" t="str">
        <f t="shared" ref="C79:C96" si="105">$C78</f>
        <v>Boom Premium Finance</v>
      </c>
      <c r="D79" s="211" t="s">
        <v>4</v>
      </c>
      <c r="E79" s="31" t="e">
        <f>INDEX('Plan Figures'!$B$53:$AP$79,MATCH('Headline - Sales, NWP, GWP'!E$4,'Plan Figures'!$B$53:$B$79,0),MATCH('Headline - Sales, NWP, GWP'!#REF!,'Plan Figures'!$B$1:$AP$1,0))</f>
        <v>#REF!</v>
      </c>
      <c r="F79" s="31" t="e">
        <f>INDEX('Plan Figures'!$B$53:$AP$79,MATCH('Headline - Sales, NWP, GWP'!F$4,'Plan Figures'!$B$53:$B$79,0),MATCH('Headline - Sales, NWP, GWP'!#REF!,'Plan Figures'!$B$1:$AP$1,0))</f>
        <v>#REF!</v>
      </c>
      <c r="G79" s="31" t="e">
        <f>INDEX('Plan Figures'!$B$53:$AP$79,MATCH('Headline - Sales, NWP, GWP'!G$4,'Plan Figures'!$B$53:$B$79,0),MATCH('Headline - Sales, NWP, GWP'!#REF!,'Plan Figures'!$B$1:$AP$1,0))</f>
        <v>#REF!</v>
      </c>
      <c r="H79" s="31" t="e">
        <f>INDEX('Plan Figures'!$B$53:$AP$79,MATCH('Headline - Sales, NWP, GWP'!H$4,'Plan Figures'!$B$53:$B$79,0),MATCH('Headline - Sales, NWP, GWP'!#REF!,'Plan Figures'!$B$1:$AP$1,0))</f>
        <v>#REF!</v>
      </c>
      <c r="I79" s="31" t="e">
        <f>INDEX('Plan Figures'!$B$53:$AP$79,MATCH('Headline - Sales, NWP, GWP'!I$4,'Plan Figures'!$B$53:$B$79,0),MATCH('Headline - Sales, NWP, GWP'!#REF!,'Plan Figures'!$B$1:$AP$1,0))</f>
        <v>#REF!</v>
      </c>
      <c r="J79" s="31" t="e">
        <f>INDEX('Plan Figures'!$B$53:$AP$79,MATCH('Headline - Sales, NWP, GWP'!J$4,'Plan Figures'!$B$53:$B$79,0),MATCH('Headline - Sales, NWP, GWP'!#REF!,'Plan Figures'!$B$1:$AP$1,0))</f>
        <v>#REF!</v>
      </c>
      <c r="K79" s="31" t="e">
        <f>INDEX('Plan Figures'!$B$53:$AP$79,MATCH('Headline - Sales, NWP, GWP'!K$4,'Plan Figures'!$B$53:$B$79,0),MATCH('Headline - Sales, NWP, GWP'!#REF!,'Plan Figures'!$B$1:$AP$1,0))</f>
        <v>#REF!</v>
      </c>
      <c r="L79" s="31" t="e">
        <f>INDEX('Plan Figures'!$B$53:$AP$79,MATCH('Headline - Sales, NWP, GWP'!L$4,'Plan Figures'!$B$53:$B$79,0),MATCH('Headline - Sales, NWP, GWP'!#REF!,'Plan Figures'!$B$1:$AP$1,0))</f>
        <v>#REF!</v>
      </c>
      <c r="M79" s="31" t="e">
        <f>INDEX('Plan Figures'!$B$53:$AP$79,MATCH('Headline - Sales, NWP, GWP'!M$4,'Plan Figures'!$B$53:$B$79,0),MATCH('Headline - Sales, NWP, GWP'!#REF!,'Plan Figures'!$B$1:$AP$1,0))</f>
        <v>#REF!</v>
      </c>
      <c r="N79" s="31" t="e">
        <f>INDEX('Plan Figures'!$B$53:$AP$79,MATCH('Headline - Sales, NWP, GWP'!N$4,'Plan Figures'!$B$53:$B$79,0),MATCH('Headline - Sales, NWP, GWP'!#REF!,'Plan Figures'!$B$1:$AP$1,0))</f>
        <v>#REF!</v>
      </c>
      <c r="O79" s="31" t="e">
        <f>INDEX('Plan Figures'!$B$53:$AP$79,MATCH('Headline - Sales, NWP, GWP'!O$4,'Plan Figures'!$B$53:$B$79,0),MATCH('Headline - Sales, NWP, GWP'!#REF!,'Plan Figures'!$B$1:$AP$1,0))</f>
        <v>#REF!</v>
      </c>
      <c r="P79" s="240" t="e">
        <f>INDEX('Plan Figures'!$B$53:$AP$79,MATCH('Headline - Sales, NWP, GWP'!P$4,'Plan Figures'!$B$53:$B$79,0),MATCH('Headline - Sales, NWP, GWP'!#REF!,'Plan Figures'!$B$1:$AP$1,0))</f>
        <v>#REF!</v>
      </c>
      <c r="Q79" s="31" t="e">
        <f>INDEX('Plan Figures'!$B$53:$AP$79,MATCH('Headline - Sales, NWP, GWP'!Q$4,'Plan Figures'!$B$53:$B$79,0),MATCH('Headline - Sales, NWP, GWP'!#REF!,'Plan Figures'!$B$1:$AP$1,0))</f>
        <v>#REF!</v>
      </c>
      <c r="R79" s="31" t="e">
        <f>INDEX('Plan Figures'!$B$53:$AP$79,MATCH('Headline - Sales, NWP, GWP'!R$4,'Plan Figures'!$B$53:$B$79,0),MATCH('Headline - Sales, NWP, GWP'!#REF!,'Plan Figures'!$B$1:$AP$1,0))</f>
        <v>#REF!</v>
      </c>
      <c r="S79" s="31" t="e">
        <f>INDEX('Plan Figures'!$B$53:$AP$79,MATCH('Headline - Sales, NWP, GWP'!S$4,'Plan Figures'!$B$53:$B$79,0),MATCH('Headline - Sales, NWP, GWP'!#REF!,'Plan Figures'!$B$1:$AP$1,0))</f>
        <v>#REF!</v>
      </c>
      <c r="T79" s="31" t="e">
        <f>INDEX('Plan Figures'!$B$53:$AP$79,MATCH('Headline - Sales, NWP, GWP'!T$4,'Plan Figures'!$B$53:$B$79,0),MATCH('Headline - Sales, NWP, GWP'!#REF!,'Plan Figures'!$B$1:$AP$1,0))</f>
        <v>#REF!</v>
      </c>
      <c r="U79" s="31" t="e">
        <f>INDEX('Plan Figures'!$B$53:$AP$79,MATCH('Headline - Sales, NWP, GWP'!U$4,'Plan Figures'!$B$53:$B$79,0),MATCH('Headline - Sales, NWP, GWP'!#REF!,'Plan Figures'!$B$1:$AP$1,0))</f>
        <v>#REF!</v>
      </c>
      <c r="V79" s="31" t="e">
        <f>INDEX('Plan Figures'!$B$53:$AP$79,MATCH('Headline - Sales, NWP, GWP'!V$4,'Plan Figures'!$B$53:$B$79,0),MATCH('Headline - Sales, NWP, GWP'!#REF!,'Plan Figures'!$B$1:$AP$1,0))</f>
        <v>#REF!</v>
      </c>
      <c r="W79" s="31" t="e">
        <f>INDEX('Plan Figures'!$B$53:$AP$79,MATCH('Headline - Sales, NWP, GWP'!W$4,'Plan Figures'!$B$53:$B$79,0),MATCH('Headline - Sales, NWP, GWP'!#REF!,'Plan Figures'!$B$1:$AP$1,0))</f>
        <v>#REF!</v>
      </c>
      <c r="X79" s="31" t="e">
        <f>INDEX('Plan Figures'!$B$53:$AP$79,MATCH('Headline - Sales, NWP, GWP'!X$4,'Plan Figures'!$B$53:$B$79,0),MATCH('Headline - Sales, NWP, GWP'!#REF!,'Plan Figures'!$B$1:$AP$1,0))</f>
        <v>#REF!</v>
      </c>
      <c r="Y79" s="31" t="e">
        <f>INDEX('Plan Figures'!$B$53:$AP$79,MATCH('Headline - Sales, NWP, GWP'!Y$4,'Plan Figures'!$B$53:$B$79,0),MATCH('Headline - Sales, NWP, GWP'!#REF!,'Plan Figures'!$B$1:$AP$1,0))</f>
        <v>#REF!</v>
      </c>
      <c r="Z79" s="31" t="e">
        <f>INDEX('Plan Figures'!$B$53:$AP$79,MATCH('Headline - Sales, NWP, GWP'!Z$4,'Plan Figures'!$B$53:$B$79,0),MATCH('Headline - Sales, NWP, GWP'!#REF!,'Plan Figures'!$B$1:$AP$1,0))</f>
        <v>#REF!</v>
      </c>
      <c r="AA79" s="31" t="e">
        <f>INDEX('Plan Figures'!$B$53:$AP$79,MATCH('Headline - Sales, NWP, GWP'!AA$4,'Plan Figures'!$B$53:$B$79,0),MATCH('Headline - Sales, NWP, GWP'!#REF!,'Plan Figures'!$B$1:$AP$1,0))</f>
        <v>#REF!</v>
      </c>
      <c r="AB79" s="240" t="e">
        <f>INDEX('Plan Figures'!$B$53:$AP$79,MATCH('Headline - Sales, NWP, GWP'!AB$4,'Plan Figures'!$B$53:$B$79,0),MATCH('Headline - Sales, NWP, GWP'!#REF!,'Plan Figures'!$B$1:$AP$1,0))</f>
        <v>#REF!</v>
      </c>
      <c r="AC79" s="31" t="e">
        <f>INDEX('Plan Figures'!$B$53:$AP$79,MATCH('Headline - Sales, NWP, GWP'!AC$4,'Plan Figures'!$B$53:$B$79,0),MATCH('Headline - Sales, NWP, GWP'!#REF!,'Plan Figures'!$B$1:$AP$1,0))</f>
        <v>#REF!</v>
      </c>
      <c r="AD79" s="31" t="e">
        <f>INDEX('Plan Figures'!$B$53:$AP$79,MATCH('Headline - Sales, NWP, GWP'!AD$4,'Plan Figures'!$B$53:$B$79,0),MATCH('Headline - Sales, NWP, GWP'!#REF!,'Plan Figures'!$B$1:$AP$1,0))</f>
        <v>#N/A</v>
      </c>
      <c r="AE79" s="31" t="e">
        <f>INDEX('Plan Figures'!$B$53:$AP$79,MATCH('Headline - Sales, NWP, GWP'!AE$4,'Plan Figures'!$B$53:$B$79,0),MATCH('Headline - Sales, NWP, GWP'!#REF!,'Plan Figures'!$B$1:$AP$1,0))</f>
        <v>#N/A</v>
      </c>
      <c r="AF79" s="31" t="e">
        <f>INDEX('Plan Figures'!$B$53:$AP$79,MATCH('Headline - Sales, NWP, GWP'!AF$4,'Plan Figures'!$B$53:$B$79,0),MATCH('Headline - Sales, NWP, GWP'!#REF!,'Plan Figures'!$B$1:$AP$1,0))</f>
        <v>#N/A</v>
      </c>
      <c r="AG79" s="31" t="e">
        <f>INDEX('Plan Figures'!$B$53:$AP$79,MATCH('Headline - Sales, NWP, GWP'!AG$4,'Plan Figures'!$B$53:$B$79,0),MATCH('Headline - Sales, NWP, GWP'!#REF!,'Plan Figures'!$B$1:$AP$1,0))</f>
        <v>#N/A</v>
      </c>
      <c r="AH79" s="31" t="e">
        <f>INDEX('Plan Figures'!$B$53:$AP$79,MATCH('Headline - Sales, NWP, GWP'!AH$4,'Plan Figures'!$B$53:$B$79,0),MATCH('Headline - Sales, NWP, GWP'!#REF!,'Plan Figures'!$B$1:$AP$1,0))</f>
        <v>#N/A</v>
      </c>
      <c r="AI79" s="31" t="e">
        <f>INDEX('Plan Figures'!$B$53:$AP$79,MATCH('Headline - Sales, NWP, GWP'!AI$4,'Plan Figures'!$B$53:$B$79,0),MATCH('Headline - Sales, NWP, GWP'!#REF!,'Plan Figures'!$B$1:$AP$1,0))</f>
        <v>#N/A</v>
      </c>
      <c r="AJ79" s="31" t="e">
        <f>INDEX('Plan Figures'!$B$53:$AP$79,MATCH('Headline - Sales, NWP, GWP'!AJ$4,'Plan Figures'!$B$53:$B$79,0),MATCH('Headline - Sales, NWP, GWP'!#REF!,'Plan Figures'!$B$1:$AP$1,0))</f>
        <v>#N/A</v>
      </c>
      <c r="AK79" s="31" t="e">
        <f>INDEX('Plan Figures'!$B$53:$AP$79,MATCH('Headline - Sales, NWP, GWP'!AK$4,'Plan Figures'!$B$53:$B$79,0),MATCH('Headline - Sales, NWP, GWP'!#REF!,'Plan Figures'!$B$1:$AP$1,0))</f>
        <v>#N/A</v>
      </c>
      <c r="AL79" s="31" t="e">
        <f>INDEX('Plan Figures'!$B$53:$AP$79,MATCH('Headline - Sales, NWP, GWP'!AL$4,'Plan Figures'!$B$53:$B$79,0),MATCH('Headline - Sales, NWP, GWP'!#REF!,'Plan Figures'!$B$1:$AP$1,0))</f>
        <v>#N/A</v>
      </c>
      <c r="AM79" s="31" t="e">
        <f>INDEX('Plan Figures'!$B$53:$AP$79,MATCH('Headline - Sales, NWP, GWP'!AM$4,'Plan Figures'!$B$53:$B$79,0),MATCH('Headline - Sales, NWP, GWP'!#REF!,'Plan Figures'!$B$1:$AP$1,0))</f>
        <v>#N/A</v>
      </c>
      <c r="AN79" s="240" t="e">
        <f>INDEX('Plan Figures'!$B$53:$AP$79,MATCH('Headline - Sales, NWP, GWP'!AN$4,'Plan Figures'!$B$53:$B$79,0),MATCH('Headline - Sales, NWP, GWP'!#REF!,'Plan Figures'!$B$1:$AP$1,0))</f>
        <v>#N/A</v>
      </c>
      <c r="AO79" s="239" t="e">
        <f t="shared" ref="AO79:AO80" si="106">AVERAGE(Z79:AC79)</f>
        <v>#REF!</v>
      </c>
      <c r="AP79" s="31" t="e">
        <f t="shared" ref="AP79:AP80" si="107">AVERAGE(R79:AC79)</f>
        <v>#REF!</v>
      </c>
      <c r="AQ79" s="31" t="e">
        <f>SUMIFS(AC79:AN79,AC$4:AN$4,"&lt;"&amp;'Title Sheet'!$C$13)</f>
        <v>#REF!</v>
      </c>
      <c r="AR79" s="31"/>
      <c r="AS79" s="240"/>
    </row>
    <row r="80" spans="1:45" ht="15.75" hidden="1" outlineLevel="1" x14ac:dyDescent="0.25">
      <c r="B80" t="str">
        <f t="shared" ref="B80:B96" si="108">$D$2</f>
        <v>PC Annual Direct</v>
      </c>
      <c r="C80" t="str">
        <f t="shared" si="105"/>
        <v>Boom Premium Finance</v>
      </c>
      <c r="D80" s="213" t="s">
        <v>0</v>
      </c>
      <c r="E80" s="214" t="str">
        <f t="shared" ref="E80" si="109">IFERROR(IF(E78=0,"-",(E78/E79)-1),"-")</f>
        <v>-</v>
      </c>
      <c r="F80" s="214" t="str">
        <f t="shared" ref="F80:AN80" si="110">IFERROR(IF(F78=0,"-",(F78/F79)-1),"-")</f>
        <v>-</v>
      </c>
      <c r="G80" s="214" t="str">
        <f t="shared" si="110"/>
        <v>-</v>
      </c>
      <c r="H80" s="214" t="str">
        <f t="shared" si="110"/>
        <v>-</v>
      </c>
      <c r="I80" s="214" t="str">
        <f t="shared" si="110"/>
        <v>-</v>
      </c>
      <c r="J80" s="214" t="str">
        <f t="shared" si="110"/>
        <v>-</v>
      </c>
      <c r="K80" s="214" t="str">
        <f t="shared" si="110"/>
        <v>-</v>
      </c>
      <c r="L80" s="214" t="str">
        <f t="shared" si="110"/>
        <v>-</v>
      </c>
      <c r="M80" s="214" t="str">
        <f t="shared" si="110"/>
        <v>-</v>
      </c>
      <c r="N80" s="214" t="str">
        <f t="shared" si="110"/>
        <v>-</v>
      </c>
      <c r="O80" s="214" t="str">
        <f t="shared" si="110"/>
        <v>-</v>
      </c>
      <c r="P80" s="294" t="str">
        <f t="shared" si="110"/>
        <v>-</v>
      </c>
      <c r="Q80" s="214" t="str">
        <f t="shared" si="110"/>
        <v>-</v>
      </c>
      <c r="R80" s="214" t="str">
        <f t="shared" si="110"/>
        <v>-</v>
      </c>
      <c r="S80" s="214" t="str">
        <f t="shared" si="110"/>
        <v>-</v>
      </c>
      <c r="T80" s="214" t="str">
        <f t="shared" si="110"/>
        <v>-</v>
      </c>
      <c r="U80" s="214" t="str">
        <f t="shared" si="110"/>
        <v>-</v>
      </c>
      <c r="V80" s="214" t="str">
        <f t="shared" si="110"/>
        <v>-</v>
      </c>
      <c r="W80" s="214" t="str">
        <f t="shared" si="110"/>
        <v>-</v>
      </c>
      <c r="X80" s="214" t="str">
        <f t="shared" si="110"/>
        <v>-</v>
      </c>
      <c r="Y80" s="214" t="str">
        <f t="shared" si="110"/>
        <v>-</v>
      </c>
      <c r="Z80" s="214" t="str">
        <f t="shared" si="110"/>
        <v>-</v>
      </c>
      <c r="AA80" s="214" t="str">
        <f t="shared" si="110"/>
        <v>-</v>
      </c>
      <c r="AB80" s="294" t="str">
        <f t="shared" si="110"/>
        <v>-</v>
      </c>
      <c r="AC80" s="214" t="str">
        <f t="shared" si="110"/>
        <v>-</v>
      </c>
      <c r="AD80" s="214" t="str">
        <f t="shared" si="110"/>
        <v>-</v>
      </c>
      <c r="AE80" s="214" t="str">
        <f t="shared" si="110"/>
        <v>-</v>
      </c>
      <c r="AF80" s="214" t="str">
        <f t="shared" si="110"/>
        <v>-</v>
      </c>
      <c r="AG80" s="214" t="str">
        <f t="shared" si="110"/>
        <v>-</v>
      </c>
      <c r="AH80" s="214" t="str">
        <f t="shared" si="110"/>
        <v>-</v>
      </c>
      <c r="AI80" s="214" t="str">
        <f t="shared" si="110"/>
        <v>-</v>
      </c>
      <c r="AJ80" s="214" t="str">
        <f t="shared" si="110"/>
        <v>-</v>
      </c>
      <c r="AK80" s="214" t="str">
        <f t="shared" si="110"/>
        <v>-</v>
      </c>
      <c r="AL80" s="214" t="str">
        <f t="shared" si="110"/>
        <v>-</v>
      </c>
      <c r="AM80" s="214" t="str">
        <f t="shared" si="110"/>
        <v>-</v>
      </c>
      <c r="AN80" s="294" t="str">
        <f t="shared" si="110"/>
        <v>-</v>
      </c>
      <c r="AO80" s="241" t="e">
        <f t="shared" si="106"/>
        <v>#DIV/0!</v>
      </c>
      <c r="AP80" s="242" t="e">
        <f t="shared" si="107"/>
        <v>#DIV/0!</v>
      </c>
      <c r="AQ80" s="242" t="str">
        <f t="shared" ref="AQ80" si="111">IFERROR(IF(AQ78=0,"-",(AQ78/AQ79)-1),"-")</f>
        <v>-</v>
      </c>
      <c r="AR80" s="242"/>
      <c r="AS80" s="243"/>
    </row>
    <row r="81" spans="1:45" ht="15.75" outlineLevel="1" x14ac:dyDescent="0.25">
      <c r="B81" t="str">
        <f t="shared" si="108"/>
        <v>PC Annual Direct</v>
      </c>
      <c r="C81" t="str">
        <f t="shared" si="105"/>
        <v>Boom Premium Finance</v>
      </c>
      <c r="D81" s="208" t="s">
        <v>5</v>
      </c>
      <c r="E81" s="283">
        <v>0</v>
      </c>
      <c r="F81" s="283">
        <v>0</v>
      </c>
      <c r="G81" s="283">
        <v>0</v>
      </c>
      <c r="H81" s="283">
        <v>0</v>
      </c>
      <c r="I81" s="283">
        <v>0</v>
      </c>
      <c r="J81" s="283">
        <v>0</v>
      </c>
      <c r="K81" s="283">
        <v>0</v>
      </c>
      <c r="L81" s="283">
        <v>0</v>
      </c>
      <c r="M81" s="283">
        <v>0</v>
      </c>
      <c r="N81" s="283">
        <v>0</v>
      </c>
      <c r="O81" s="283">
        <v>0</v>
      </c>
      <c r="P81" s="314">
        <v>0</v>
      </c>
      <c r="Q81" s="283">
        <v>623466.77285704995</v>
      </c>
      <c r="R81" s="283">
        <v>3132833.7571431808</v>
      </c>
      <c r="S81" s="283">
        <v>5360648.9707154799</v>
      </c>
      <c r="T81" s="283">
        <v>5030916.4742882</v>
      </c>
      <c r="U81" s="283">
        <v>4607172.0596412076</v>
      </c>
      <c r="V81" s="283">
        <v>3878303.9439280829</v>
      </c>
      <c r="W81" s="283">
        <v>3369171.3171450193</v>
      </c>
      <c r="X81" s="283">
        <v>3045498.4407157311</v>
      </c>
      <c r="Y81" s="283">
        <v>2807322.1942854305</v>
      </c>
      <c r="Z81" s="283">
        <v>2838714.6917855483</v>
      </c>
      <c r="AA81" s="283">
        <v>3313847.6389283589</v>
      </c>
      <c r="AB81" s="314">
        <v>3429211.3007140802</v>
      </c>
      <c r="AC81" s="283">
        <v>3648215.2796428325</v>
      </c>
      <c r="AD81" s="283">
        <v>3062320.8899994083</v>
      </c>
      <c r="AE81" s="283">
        <v>3970853.9449990103</v>
      </c>
      <c r="AF81" s="283">
        <v>3900798.5117839053</v>
      </c>
      <c r="AG81" s="283">
        <v>3743895.3171430994</v>
      </c>
      <c r="AH81" s="283">
        <v>3290226.4325020905</v>
      </c>
      <c r="AI81" s="283">
        <v>3138325.919999755</v>
      </c>
      <c r="AJ81" s="283">
        <v>1483220.2817854797</v>
      </c>
      <c r="AK81" s="283">
        <v>0</v>
      </c>
      <c r="AL81" s="283">
        <v>0</v>
      </c>
      <c r="AM81" s="283">
        <v>0</v>
      </c>
      <c r="AN81" s="314">
        <v>0</v>
      </c>
      <c r="AO81" s="282">
        <f ca="1">IFERROR(AVERAGE(INDEX($E81:$AN81, $AU$4 - 3):INDEX($E81:$AN81, $AU$4)),"-")</f>
        <v>2913916.9878576063</v>
      </c>
      <c r="AP81" s="283">
        <f ca="1">IFERROR(AVERAGE(INDEX($E81:$AN81, $AU$4 - 11):INDEX($E81:$AN81, $AU$4)),"-")</f>
        <v>3218912.7002974167</v>
      </c>
      <c r="AQ81" s="283" cm="1">
        <f t="array" ref="AQ81">IFERROR(SUMPRODUCT((YEAR($E$4:$AN$4)=2024)*$E81:$AN81),"-")</f>
        <v>41437107.562147371</v>
      </c>
      <c r="AR81" s="283">
        <f ca="1">IFERROR(SUM(INDEX($E81:$AN81, $AU$4 - MONTH(TODAY())-11):INDEX($E81:$AN81, $AU$4-12)),"-")</f>
        <v>29048011.736433949</v>
      </c>
      <c r="AS81" s="314">
        <f ca="1">IFERROR(SUM(INDEX($E81:$AN81, $AU$4 - MONTH(TODAY())+1):INDEX($E81:$AN81, $AU$4)),"-")</f>
        <v>26237856.577855583</v>
      </c>
    </row>
    <row r="82" spans="1:45" ht="15.75" outlineLevel="1" x14ac:dyDescent="0.25">
      <c r="B82" t="str">
        <f>"PC Annual Direct - Premium Finance_NWP"</f>
        <v>PC Annual Direct - Premium Finance_NWP</v>
      </c>
      <c r="C82" t="str">
        <f t="shared" si="105"/>
        <v>Boom Premium Finance</v>
      </c>
      <c r="D82" s="211" t="s">
        <v>6</v>
      </c>
      <c r="E82" s="385" t="str">
        <f>INDEX('Plan Figures'!$B$53:$AP$90,MATCH('Headline - Sales, NWP, GWP'!E$4,'Plan Figures'!$B$53:$B$90,0),MATCH('Headline - Sales, NWP, GWP'!$B82,'Plan Figures'!$B$1:$AP$1,0))</f>
        <v>-</v>
      </c>
      <c r="F82" s="385" t="str">
        <f>INDEX('Plan Figures'!$B$53:$AP$90,MATCH('Headline - Sales, NWP, GWP'!F$4,'Plan Figures'!$B$53:$B$90,0),MATCH('Headline - Sales, NWP, GWP'!$B82,'Plan Figures'!$B$1:$AP$1,0))</f>
        <v>-</v>
      </c>
      <c r="G82" s="385" t="str">
        <f>INDEX('Plan Figures'!$B$53:$AP$90,MATCH('Headline - Sales, NWP, GWP'!G$4,'Plan Figures'!$B$53:$B$90,0),MATCH('Headline - Sales, NWP, GWP'!$B82,'Plan Figures'!$B$1:$AP$1,0))</f>
        <v>-</v>
      </c>
      <c r="H82" s="385" t="str">
        <f>INDEX('Plan Figures'!$B$53:$AP$90,MATCH('Headline - Sales, NWP, GWP'!H$4,'Plan Figures'!$B$53:$B$90,0),MATCH('Headline - Sales, NWP, GWP'!$B82,'Plan Figures'!$B$1:$AP$1,0))</f>
        <v>-</v>
      </c>
      <c r="I82" s="385" t="str">
        <f>INDEX('Plan Figures'!$B$53:$AP$90,MATCH('Headline - Sales, NWP, GWP'!I$4,'Plan Figures'!$B$53:$B$90,0),MATCH('Headline - Sales, NWP, GWP'!$B82,'Plan Figures'!$B$1:$AP$1,0))</f>
        <v>-</v>
      </c>
      <c r="J82" s="385" t="str">
        <f>INDEX('Plan Figures'!$B$53:$AP$90,MATCH('Headline - Sales, NWP, GWP'!J$4,'Plan Figures'!$B$53:$B$90,0),MATCH('Headline - Sales, NWP, GWP'!$B82,'Plan Figures'!$B$1:$AP$1,0))</f>
        <v>-</v>
      </c>
      <c r="K82" s="385" t="str">
        <f>INDEX('Plan Figures'!$B$53:$AP$90,MATCH('Headline - Sales, NWP, GWP'!K$4,'Plan Figures'!$B$53:$B$90,0),MATCH('Headline - Sales, NWP, GWP'!$B82,'Plan Figures'!$B$1:$AP$1,0))</f>
        <v>-</v>
      </c>
      <c r="L82" s="385" t="str">
        <f>INDEX('Plan Figures'!$B$53:$AP$90,MATCH('Headline - Sales, NWP, GWP'!L$4,'Plan Figures'!$B$53:$B$90,0),MATCH('Headline - Sales, NWP, GWP'!$B82,'Plan Figures'!$B$1:$AP$1,0))</f>
        <v>-</v>
      </c>
      <c r="M82" s="385" t="str">
        <f>INDEX('Plan Figures'!$B$53:$AP$90,MATCH('Headline - Sales, NWP, GWP'!M$4,'Plan Figures'!$B$53:$B$90,0),MATCH('Headline - Sales, NWP, GWP'!$B82,'Plan Figures'!$B$1:$AP$1,0))</f>
        <v>-</v>
      </c>
      <c r="N82" s="385" t="str">
        <f>INDEX('Plan Figures'!$B$53:$AP$90,MATCH('Headline - Sales, NWP, GWP'!N$4,'Plan Figures'!$B$53:$B$90,0),MATCH('Headline - Sales, NWP, GWP'!$B82,'Plan Figures'!$B$1:$AP$1,0))</f>
        <v>-</v>
      </c>
      <c r="O82" s="385">
        <f>INDEX('Plan Figures'!$B$53:$AP$90,MATCH('Headline - Sales, NWP, GWP'!O$4,'Plan Figures'!$B$53:$B$90,0),MATCH('Headline - Sales, NWP, GWP'!$B82,'Plan Figures'!$B$1:$AP$1,0))</f>
        <v>0</v>
      </c>
      <c r="P82" s="386">
        <f>INDEX('Plan Figures'!$B$53:$AP$90,MATCH('Headline - Sales, NWP, GWP'!P$4,'Plan Figures'!$B$53:$B$90,0),MATCH('Headline - Sales, NWP, GWP'!$B82,'Plan Figures'!$B$1:$AP$1,0))</f>
        <v>0</v>
      </c>
      <c r="Q82" s="385">
        <f>INDEX('Plan Figures'!$B$53:$AP$90,MATCH('Headline - Sales, NWP, GWP'!Q$4,'Plan Figures'!$B$53:$B$90,0),MATCH('Headline - Sales, NWP, GWP'!$B82,'Plan Figures'!$B$1:$AP$1,0))</f>
        <v>0</v>
      </c>
      <c r="R82" s="385">
        <f>INDEX('Plan Figures'!$B$53:$AP$90,MATCH('Headline - Sales, NWP, GWP'!R$4,'Plan Figures'!$B$53:$B$90,0),MATCH('Headline - Sales, NWP, GWP'!$B82,'Plan Figures'!$B$1:$AP$1,0))</f>
        <v>2501637.5277911797</v>
      </c>
      <c r="S82" s="385">
        <f>INDEX('Plan Figures'!$B$53:$AP$90,MATCH('Headline - Sales, NWP, GWP'!S$4,'Plan Figures'!$B$53:$B$90,0),MATCH('Headline - Sales, NWP, GWP'!$B82,'Plan Figures'!$B$1:$AP$1,0))</f>
        <v>4913682.7334904224</v>
      </c>
      <c r="T82" s="385">
        <f>INDEX('Plan Figures'!$B$53:$AP$90,MATCH('Headline - Sales, NWP, GWP'!T$4,'Plan Figures'!$B$53:$B$90,0),MATCH('Headline - Sales, NWP, GWP'!$B82,'Plan Figures'!$B$1:$AP$1,0))</f>
        <v>5075113.9952815948</v>
      </c>
      <c r="U82" s="385">
        <f>INDEX('Plan Figures'!$B$53:$AP$90,MATCH('Headline - Sales, NWP, GWP'!U$4,'Plan Figures'!$B$53:$B$90,0),MATCH('Headline - Sales, NWP, GWP'!$B82,'Plan Figures'!$B$1:$AP$1,0))</f>
        <v>5136986.4880301757</v>
      </c>
      <c r="V82" s="385">
        <f>INDEX('Plan Figures'!$B$53:$AP$90,MATCH('Headline - Sales, NWP, GWP'!V$4,'Plan Figures'!$B$53:$B$90,0),MATCH('Headline - Sales, NWP, GWP'!$B82,'Plan Figures'!$B$1:$AP$1,0))</f>
        <v>5233743.6605452746</v>
      </c>
      <c r="W82" s="385">
        <f>INDEX('Plan Figures'!$B$53:$AP$90,MATCH('Headline - Sales, NWP, GWP'!W$4,'Plan Figures'!$B$53:$B$90,0),MATCH('Headline - Sales, NWP, GWP'!$B82,'Plan Figures'!$B$1:$AP$1,0))</f>
        <v>3394969.6071106233</v>
      </c>
      <c r="X82" s="385">
        <f>INDEX('Plan Figures'!$B$53:$AP$90,MATCH('Headline - Sales, NWP, GWP'!X$4,'Plan Figures'!$B$53:$B$90,0),MATCH('Headline - Sales, NWP, GWP'!$B82,'Plan Figures'!$B$1:$AP$1,0))</f>
        <v>3352061.7398871342</v>
      </c>
      <c r="Y82" s="385">
        <f>INDEX('Plan Figures'!$B$53:$AP$90,MATCH('Headline - Sales, NWP, GWP'!Y$4,'Plan Figures'!$B$53:$B$90,0),MATCH('Headline - Sales, NWP, GWP'!$B82,'Plan Figures'!$B$1:$AP$1,0))</f>
        <v>4592227.9052538294</v>
      </c>
      <c r="Z82" s="385">
        <f>INDEX('Plan Figures'!$B$53:$AP$90,MATCH('Headline - Sales, NWP, GWP'!Z$4,'Plan Figures'!$B$53:$B$90,0),MATCH('Headline - Sales, NWP, GWP'!$B82,'Plan Figures'!$B$1:$AP$1,0))</f>
        <v>5000783.3134841928</v>
      </c>
      <c r="AA82" s="385">
        <f>INDEX('Plan Figures'!$B$53:$AP$90,MATCH('Headline - Sales, NWP, GWP'!AA$4,'Plan Figures'!$B$53:$B$90,0),MATCH('Headline - Sales, NWP, GWP'!$B82,'Plan Figures'!$B$1:$AP$1,0))</f>
        <v>4297696.1568466667</v>
      </c>
      <c r="AB82" s="386">
        <f>INDEX('Plan Figures'!$B$53:$AP$90,MATCH('Headline - Sales, NWP, GWP'!AB$4,'Plan Figures'!$B$53:$B$90,0),MATCH('Headline - Sales, NWP, GWP'!$B82,'Plan Figures'!$B$1:$AP$1,0))</f>
        <v>3902909.0408526328</v>
      </c>
      <c r="AC82" s="385">
        <f>INDEX('Plan Figures'!$B$53:$AP$90,MATCH('Headline - Sales, NWP, GWP'!AC$4,'Plan Figures'!$B$53:$B$90,0),MATCH('Headline - Sales, NWP, GWP'!$B82,'Plan Figures'!$B$1:$AP$1,0))</f>
        <v>7426780.6267806264</v>
      </c>
      <c r="AD82" s="385">
        <f>INDEX('Plan Figures'!$B$53:$AP$90,MATCH('Headline - Sales, NWP, GWP'!AD$4,'Plan Figures'!$B$53:$B$90,0),MATCH('Headline - Sales, NWP, GWP'!$B82,'Plan Figures'!$B$1:$AP$1,0))</f>
        <v>7426780.6267806264</v>
      </c>
      <c r="AE82" s="385">
        <f>INDEX('Plan Figures'!$B$53:$AP$90,MATCH('Headline - Sales, NWP, GWP'!AE$4,'Plan Figures'!$B$53:$B$90,0),MATCH('Headline - Sales, NWP, GWP'!$B82,'Plan Figures'!$B$1:$AP$1,0))</f>
        <v>7426780.6267806264</v>
      </c>
      <c r="AF82" s="385">
        <f>INDEX('Plan Figures'!$B$53:$AP$90,MATCH('Headline - Sales, NWP, GWP'!AF$4,'Plan Figures'!$B$53:$B$90,0),MATCH('Headline - Sales, NWP, GWP'!$B82,'Plan Figures'!$B$1:$AP$1,0))</f>
        <v>3561987.1984642372</v>
      </c>
      <c r="AG82" s="385">
        <f>INDEX('Plan Figures'!$B$53:$AP$90,MATCH('Headline - Sales, NWP, GWP'!AG$4,'Plan Figures'!$B$53:$B$90,0),MATCH('Headline - Sales, NWP, GWP'!$B82,'Plan Figures'!$B$1:$AP$1,0))</f>
        <v>3702154.7165209809</v>
      </c>
      <c r="AH82" s="385">
        <f>INDEX('Plan Figures'!$B$53:$AP$90,MATCH('Headline - Sales, NWP, GWP'!AH$4,'Plan Figures'!$B$53:$B$90,0),MATCH('Headline - Sales, NWP, GWP'!$B82,'Plan Figures'!$B$1:$AP$1,0))</f>
        <v>3655838.9823635295</v>
      </c>
      <c r="AI82" s="385">
        <f>INDEX('Plan Figures'!$B$53:$AP$90,MATCH('Headline - Sales, NWP, GWP'!AI$4,'Plan Figures'!$B$53:$B$90,0),MATCH('Headline - Sales, NWP, GWP'!$B82,'Plan Figures'!$B$1:$AP$1,0))</f>
        <v>3882759.2766444683</v>
      </c>
      <c r="AJ82" s="385">
        <f>INDEX('Plan Figures'!$B$53:$AP$90,MATCH('Headline - Sales, NWP, GWP'!AJ$4,'Plan Figures'!$B$53:$B$90,0),MATCH('Headline - Sales, NWP, GWP'!$B82,'Plan Figures'!$B$1:$AP$1,0))</f>
        <v>4008495.0933833867</v>
      </c>
      <c r="AK82" s="385">
        <f>INDEX('Plan Figures'!$B$53:$AP$90,MATCH('Headline - Sales, NWP, GWP'!AK$4,'Plan Figures'!$B$53:$B$90,0),MATCH('Headline - Sales, NWP, GWP'!$B82,'Plan Figures'!$B$1:$AP$1,0))</f>
        <v>4015503.753137541</v>
      </c>
      <c r="AL82" s="385">
        <f>INDEX('Plan Figures'!$B$53:$AP$90,MATCH('Headline - Sales, NWP, GWP'!AL$4,'Plan Figures'!$B$53:$B$90,0),MATCH('Headline - Sales, NWP, GWP'!$B82,'Plan Figures'!$B$1:$AP$1,0))</f>
        <v>3936114.2884880332</v>
      </c>
      <c r="AM82" s="385">
        <f>INDEX('Plan Figures'!$B$53:$AP$90,MATCH('Headline - Sales, NWP, GWP'!AM$4,'Plan Figures'!$B$53:$B$90,0),MATCH('Headline - Sales, NWP, GWP'!$B82,'Plan Figures'!$B$1:$AP$1,0))</f>
        <v>4238577.9005233329</v>
      </c>
      <c r="AN82" s="386">
        <f>INDEX('Plan Figures'!$B$53:$AP$90,MATCH('Headline - Sales, NWP, GWP'!AN$4,'Plan Figures'!$B$53:$B$90,0),MATCH('Headline - Sales, NWP, GWP'!$B82,'Plan Figures'!$B$1:$AP$1,0))</f>
        <v>4079984.9239516351</v>
      </c>
      <c r="AO82" s="423">
        <f ca="1">IFERROR(AVERAGE(INDEX($E82:$AN82, $AU$4 - 3):INDEX($E82:$AN82, $AU$4)),"-")</f>
        <v>3812312.0172280911</v>
      </c>
      <c r="AP82" s="385">
        <f ca="1">IFERROR(AVERAGE(INDEX($E82:$AN82, $AU$4 - 11):INDEX($E82:$AN82, $AU$4)),"-")</f>
        <v>4907099.4636796499</v>
      </c>
      <c r="AQ82" s="385" t="str" cm="1">
        <f t="array" ref="AQ82">IFERROR(SUMPRODUCT((YEAR($E$4:$AN$4)=2024)*$E82:$AN82),"-")</f>
        <v>-</v>
      </c>
      <c r="AR82" s="385" t="s">
        <v>491</v>
      </c>
      <c r="AS82" s="386">
        <f ca="1">IFERROR(SUM(INDEX($E82:$AN82, $AU$4 - MONTH(TODAY())+1):INDEX($E82:$AN82, $AU$4)),"-")</f>
        <v>41091577.147718482</v>
      </c>
    </row>
    <row r="83" spans="1:45" ht="15.75" outlineLevel="1" x14ac:dyDescent="0.25">
      <c r="B83" t="str">
        <f t="shared" si="108"/>
        <v>PC Annual Direct</v>
      </c>
      <c r="C83" t="str">
        <f t="shared" si="105"/>
        <v>Boom Premium Finance</v>
      </c>
      <c r="D83" s="213" t="s">
        <v>0</v>
      </c>
      <c r="E83" s="214" t="str">
        <f t="shared" ref="E83:AN83" si="112">IFERROR(IF(E81=0,"-",(E81/E82)-1),"-")</f>
        <v>-</v>
      </c>
      <c r="F83" s="214" t="str">
        <f t="shared" si="112"/>
        <v>-</v>
      </c>
      <c r="G83" s="214" t="str">
        <f t="shared" si="112"/>
        <v>-</v>
      </c>
      <c r="H83" s="214" t="str">
        <f t="shared" si="112"/>
        <v>-</v>
      </c>
      <c r="I83" s="214" t="str">
        <f t="shared" si="112"/>
        <v>-</v>
      </c>
      <c r="J83" s="214" t="str">
        <f t="shared" si="112"/>
        <v>-</v>
      </c>
      <c r="K83" s="214" t="str">
        <f t="shared" si="112"/>
        <v>-</v>
      </c>
      <c r="L83" s="214" t="str">
        <f t="shared" si="112"/>
        <v>-</v>
      </c>
      <c r="M83" s="214" t="str">
        <f t="shared" si="112"/>
        <v>-</v>
      </c>
      <c r="N83" s="214" t="str">
        <f t="shared" si="112"/>
        <v>-</v>
      </c>
      <c r="O83" s="214" t="str">
        <f t="shared" si="112"/>
        <v>-</v>
      </c>
      <c r="P83" s="294" t="str">
        <f t="shared" si="112"/>
        <v>-</v>
      </c>
      <c r="Q83" s="214" t="str">
        <f t="shared" si="112"/>
        <v>-</v>
      </c>
      <c r="R83" s="214">
        <f t="shared" si="112"/>
        <v>0.25231322377439525</v>
      </c>
      <c r="S83" s="214">
        <f t="shared" si="112"/>
        <v>9.096359318819025E-2</v>
      </c>
      <c r="T83" s="214">
        <f t="shared" si="112"/>
        <v>-8.7086755163501284E-3</v>
      </c>
      <c r="U83" s="214">
        <f t="shared" si="112"/>
        <v>-0.10313720497873657</v>
      </c>
      <c r="V83" s="214">
        <f t="shared" si="112"/>
        <v>-0.2589809139555711</v>
      </c>
      <c r="W83" s="214">
        <f t="shared" si="112"/>
        <v>-7.5989752342908723E-3</v>
      </c>
      <c r="X83" s="214">
        <f t="shared" si="112"/>
        <v>-9.1455146999089965E-2</v>
      </c>
      <c r="Y83" s="214">
        <f t="shared" si="112"/>
        <v>-0.38867968833305122</v>
      </c>
      <c r="Z83" s="214">
        <f t="shared" si="112"/>
        <v>-0.43234599185067824</v>
      </c>
      <c r="AA83" s="214">
        <f t="shared" si="112"/>
        <v>-0.22892463357395265</v>
      </c>
      <c r="AB83" s="294">
        <f t="shared" si="112"/>
        <v>-0.12137042784760066</v>
      </c>
      <c r="AC83" s="214">
        <f t="shared" si="112"/>
        <v>-0.50877567778324595</v>
      </c>
      <c r="AD83" s="214">
        <f t="shared" si="112"/>
        <v>-0.58766509421904545</v>
      </c>
      <c r="AE83" s="214">
        <f t="shared" si="112"/>
        <v>-0.46533307706972049</v>
      </c>
      <c r="AF83" s="214">
        <f t="shared" si="112"/>
        <v>9.5118621837200212E-2</v>
      </c>
      <c r="AG83" s="214">
        <f t="shared" si="112"/>
        <v>1.1274677537340461E-2</v>
      </c>
      <c r="AH83" s="214">
        <f t="shared" si="112"/>
        <v>-0.10000783722292594</v>
      </c>
      <c r="AI83" s="214">
        <f t="shared" si="112"/>
        <v>-0.19172791914312604</v>
      </c>
      <c r="AJ83" s="214">
        <f t="shared" si="112"/>
        <v>-0.62998076653910495</v>
      </c>
      <c r="AK83" s="214" t="str">
        <f t="shared" si="112"/>
        <v>-</v>
      </c>
      <c r="AL83" s="214" t="str">
        <f t="shared" si="112"/>
        <v>-</v>
      </c>
      <c r="AM83" s="214" t="str">
        <f t="shared" si="112"/>
        <v>-</v>
      </c>
      <c r="AN83" s="215" t="str">
        <f t="shared" si="112"/>
        <v>-</v>
      </c>
      <c r="AO83" s="242">
        <f ca="1">IFERROR(IF(AO81=0,"-",(AO81/AO82)-1),"-")</f>
        <v>-0.23565621735854203</v>
      </c>
      <c r="AP83" s="242">
        <f ca="1">IFERROR(IF(AP81=0,"-",(AP81/AP82)-1),"-")</f>
        <v>-0.3440294568874146</v>
      </c>
      <c r="AQ83" s="242"/>
      <c r="AR83" s="242"/>
      <c r="AS83" s="243">
        <f ca="1">IFERROR(IF(AS81=0,"-",(AS81/AS82)-1),"-")</f>
        <v>-0.36147847322739268</v>
      </c>
    </row>
    <row r="84" spans="1:45" ht="15.75" outlineLevel="1" x14ac:dyDescent="0.25">
      <c r="B84" t="str">
        <f t="shared" si="108"/>
        <v>PC Annual Direct</v>
      </c>
      <c r="C84" t="str">
        <f t="shared" si="105"/>
        <v>Boom Premium Finance</v>
      </c>
      <c r="D84" s="208" t="s">
        <v>12</v>
      </c>
      <c r="E84" s="283" t="str">
        <f>IFERROR(E81/E78,"-")</f>
        <v>-</v>
      </c>
      <c r="F84" s="283" t="str">
        <f t="shared" ref="F84:AS84" si="113">IFERROR(F81/F78,"-")</f>
        <v>-</v>
      </c>
      <c r="G84" s="283" t="str">
        <f t="shared" si="113"/>
        <v>-</v>
      </c>
      <c r="H84" s="283" t="str">
        <f t="shared" si="113"/>
        <v>-</v>
      </c>
      <c r="I84" s="283" t="str">
        <f t="shared" si="113"/>
        <v>-</v>
      </c>
      <c r="J84" s="283" t="str">
        <f t="shared" si="113"/>
        <v>-</v>
      </c>
      <c r="K84" s="283" t="str">
        <f t="shared" si="113"/>
        <v>-</v>
      </c>
      <c r="L84" s="283" t="str">
        <f t="shared" si="113"/>
        <v>-</v>
      </c>
      <c r="M84" s="283" t="str">
        <f t="shared" si="113"/>
        <v>-</v>
      </c>
      <c r="N84" s="283" t="str">
        <f t="shared" si="113"/>
        <v>-</v>
      </c>
      <c r="O84" s="283" t="str">
        <f t="shared" si="113"/>
        <v>-</v>
      </c>
      <c r="P84" s="314" t="str">
        <f t="shared" si="113"/>
        <v>-</v>
      </c>
      <c r="Q84" s="283">
        <f t="shared" si="113"/>
        <v>1470.4405020213442</v>
      </c>
      <c r="R84" s="283">
        <f t="shared" si="113"/>
        <v>1434.4476909996249</v>
      </c>
      <c r="S84" s="283">
        <f t="shared" si="113"/>
        <v>1374.8779099039446</v>
      </c>
      <c r="T84" s="283">
        <f t="shared" si="113"/>
        <v>1211.1017030063072</v>
      </c>
      <c r="U84" s="283">
        <f t="shared" si="113"/>
        <v>1176.499504504905</v>
      </c>
      <c r="V84" s="283">
        <f t="shared" si="113"/>
        <v>1139.337233821411</v>
      </c>
      <c r="W84" s="283">
        <f t="shared" si="113"/>
        <v>1136.6974754200469</v>
      </c>
      <c r="X84" s="283">
        <f t="shared" si="113"/>
        <v>1165.5179642999353</v>
      </c>
      <c r="Y84" s="283">
        <f t="shared" si="113"/>
        <v>1123.3782290057745</v>
      </c>
      <c r="Z84" s="283">
        <f t="shared" si="113"/>
        <v>1145.56686512734</v>
      </c>
      <c r="AA84" s="283">
        <f t="shared" si="113"/>
        <v>1180.1451705585323</v>
      </c>
      <c r="AB84" s="314">
        <f t="shared" si="113"/>
        <v>1181.6717094121573</v>
      </c>
      <c r="AC84" s="283">
        <f t="shared" si="113"/>
        <v>1103.8472858223397</v>
      </c>
      <c r="AD84" s="283">
        <f t="shared" si="113"/>
        <v>1100.3668307579619</v>
      </c>
      <c r="AE84" s="283">
        <f t="shared" si="113"/>
        <v>1103.9349304973618</v>
      </c>
      <c r="AF84" s="283">
        <f t="shared" si="113"/>
        <v>1091.7432162843284</v>
      </c>
      <c r="AG84" s="283">
        <f t="shared" si="113"/>
        <v>1101.1456815126762</v>
      </c>
      <c r="AH84" s="283">
        <f t="shared" si="113"/>
        <v>1093.825276762663</v>
      </c>
      <c r="AI84" s="283">
        <f t="shared" si="113"/>
        <v>1119.6310809845718</v>
      </c>
      <c r="AJ84" s="283">
        <f t="shared" si="113"/>
        <v>1204.8905619703328</v>
      </c>
      <c r="AK84" s="283" t="str">
        <f t="shared" si="113"/>
        <v>-</v>
      </c>
      <c r="AL84" s="283" t="str">
        <f t="shared" si="113"/>
        <v>-</v>
      </c>
      <c r="AM84" s="283" t="str">
        <f t="shared" si="113"/>
        <v>-</v>
      </c>
      <c r="AN84" s="314" t="str">
        <f t="shared" si="113"/>
        <v>-</v>
      </c>
      <c r="AO84" s="282">
        <f t="shared" ca="1" si="113"/>
        <v>1116.2294533068784</v>
      </c>
      <c r="AP84" s="283">
        <f t="shared" ca="1" si="113"/>
        <v>1123.3010266545205</v>
      </c>
      <c r="AQ84" s="283">
        <f t="shared" si="113"/>
        <v>1210.0192016979813</v>
      </c>
      <c r="AR84" s="283">
        <f t="shared" ca="1" si="113"/>
        <v>1233.0423523403492</v>
      </c>
      <c r="AS84" s="314">
        <f t="shared" ca="1" si="113"/>
        <v>1107.0825560276617</v>
      </c>
    </row>
    <row r="85" spans="1:45" ht="15.75" hidden="1" outlineLevel="1" x14ac:dyDescent="0.25">
      <c r="B85" t="str">
        <f t="shared" si="108"/>
        <v>PC Annual Direct</v>
      </c>
      <c r="C85" t="str">
        <f t="shared" si="105"/>
        <v>Boom Premium Finance</v>
      </c>
      <c r="D85" s="211" t="s">
        <v>13</v>
      </c>
      <c r="E85" s="31">
        <f t="shared" ref="E85" si="114">IFERROR(E82/E79,0)</f>
        <v>0</v>
      </c>
      <c r="F85" s="31">
        <f t="shared" ref="F85:AP85" si="115">IFERROR(F82/F79,0)</f>
        <v>0</v>
      </c>
      <c r="G85" s="31">
        <f t="shared" si="115"/>
        <v>0</v>
      </c>
      <c r="H85" s="31">
        <f t="shared" si="115"/>
        <v>0</v>
      </c>
      <c r="I85" s="31">
        <f t="shared" si="115"/>
        <v>0</v>
      </c>
      <c r="J85" s="31">
        <f t="shared" si="115"/>
        <v>0</v>
      </c>
      <c r="K85" s="31">
        <f t="shared" si="115"/>
        <v>0</v>
      </c>
      <c r="L85" s="31">
        <f t="shared" si="115"/>
        <v>0</v>
      </c>
      <c r="M85" s="31">
        <f t="shared" si="115"/>
        <v>0</v>
      </c>
      <c r="N85" s="31">
        <f t="shared" si="115"/>
        <v>0</v>
      </c>
      <c r="O85" s="31">
        <f t="shared" si="115"/>
        <v>0</v>
      </c>
      <c r="P85" s="240">
        <f t="shared" si="115"/>
        <v>0</v>
      </c>
      <c r="Q85" s="31">
        <f t="shared" si="115"/>
        <v>0</v>
      </c>
      <c r="R85" s="31">
        <f t="shared" si="115"/>
        <v>0</v>
      </c>
      <c r="S85" s="31">
        <f t="shared" si="115"/>
        <v>0</v>
      </c>
      <c r="T85" s="31">
        <f t="shared" si="115"/>
        <v>0</v>
      </c>
      <c r="U85" s="31">
        <f t="shared" si="115"/>
        <v>0</v>
      </c>
      <c r="V85" s="31">
        <f t="shared" si="115"/>
        <v>0</v>
      </c>
      <c r="W85" s="31">
        <f t="shared" si="115"/>
        <v>0</v>
      </c>
      <c r="X85" s="31">
        <f t="shared" si="115"/>
        <v>0</v>
      </c>
      <c r="Y85" s="31">
        <f t="shared" si="115"/>
        <v>0</v>
      </c>
      <c r="Z85" s="31">
        <f t="shared" si="115"/>
        <v>0</v>
      </c>
      <c r="AA85" s="31">
        <f t="shared" si="115"/>
        <v>0</v>
      </c>
      <c r="AB85" s="240">
        <f t="shared" si="115"/>
        <v>0</v>
      </c>
      <c r="AC85" s="31">
        <f t="shared" si="115"/>
        <v>0</v>
      </c>
      <c r="AD85" s="31">
        <f t="shared" si="115"/>
        <v>0</v>
      </c>
      <c r="AE85" s="31">
        <f t="shared" si="115"/>
        <v>0</v>
      </c>
      <c r="AF85" s="31">
        <f t="shared" si="115"/>
        <v>0</v>
      </c>
      <c r="AG85" s="31">
        <f t="shared" si="115"/>
        <v>0</v>
      </c>
      <c r="AH85" s="31">
        <f t="shared" si="115"/>
        <v>0</v>
      </c>
      <c r="AI85" s="31">
        <f t="shared" si="115"/>
        <v>0</v>
      </c>
      <c r="AJ85" s="31">
        <f t="shared" si="115"/>
        <v>0</v>
      </c>
      <c r="AK85" s="31">
        <f t="shared" si="115"/>
        <v>0</v>
      </c>
      <c r="AL85" s="31">
        <f t="shared" si="115"/>
        <v>0</v>
      </c>
      <c r="AM85" s="31">
        <f t="shared" si="115"/>
        <v>0</v>
      </c>
      <c r="AN85" s="240">
        <f t="shared" si="115"/>
        <v>0</v>
      </c>
      <c r="AO85" s="239">
        <f t="shared" ca="1" si="115"/>
        <v>0</v>
      </c>
      <c r="AP85" s="31">
        <f t="shared" ca="1" si="115"/>
        <v>0</v>
      </c>
      <c r="AQ85" s="31">
        <f>SUMIFS(AC85:AN85,AC$4:AN$4,"&lt;"&amp;'Title Sheet'!$C$13)</f>
        <v>0</v>
      </c>
      <c r="AR85" s="31"/>
      <c r="AS85" s="240"/>
    </row>
    <row r="86" spans="1:45" ht="15.75" hidden="1" outlineLevel="1" x14ac:dyDescent="0.25">
      <c r="B86" t="str">
        <f t="shared" si="108"/>
        <v>PC Annual Direct</v>
      </c>
      <c r="C86" t="str">
        <f t="shared" si="105"/>
        <v>Boom Premium Finance</v>
      </c>
      <c r="D86" s="213" t="s">
        <v>0</v>
      </c>
      <c r="E86" s="214" t="str">
        <f t="shared" ref="E86" si="116">IFERROR(IF(E84=0,"-",(E84/E85)-1),"-")</f>
        <v>-</v>
      </c>
      <c r="F86" s="214" t="str">
        <f t="shared" ref="F86:AN86" si="117">IFERROR(IF(F84=0,"-",(F84/F85)-1),"-")</f>
        <v>-</v>
      </c>
      <c r="G86" s="214" t="str">
        <f t="shared" si="117"/>
        <v>-</v>
      </c>
      <c r="H86" s="214" t="str">
        <f t="shared" si="117"/>
        <v>-</v>
      </c>
      <c r="I86" s="214" t="str">
        <f t="shared" si="117"/>
        <v>-</v>
      </c>
      <c r="J86" s="214" t="str">
        <f t="shared" si="117"/>
        <v>-</v>
      </c>
      <c r="K86" s="214" t="str">
        <f t="shared" si="117"/>
        <v>-</v>
      </c>
      <c r="L86" s="214" t="str">
        <f t="shared" si="117"/>
        <v>-</v>
      </c>
      <c r="M86" s="214" t="str">
        <f t="shared" si="117"/>
        <v>-</v>
      </c>
      <c r="N86" s="214" t="str">
        <f t="shared" si="117"/>
        <v>-</v>
      </c>
      <c r="O86" s="214" t="str">
        <f t="shared" si="117"/>
        <v>-</v>
      </c>
      <c r="P86" s="294" t="str">
        <f t="shared" si="117"/>
        <v>-</v>
      </c>
      <c r="Q86" s="214" t="str">
        <f t="shared" si="117"/>
        <v>-</v>
      </c>
      <c r="R86" s="214" t="str">
        <f t="shared" si="117"/>
        <v>-</v>
      </c>
      <c r="S86" s="214" t="str">
        <f t="shared" si="117"/>
        <v>-</v>
      </c>
      <c r="T86" s="214" t="str">
        <f t="shared" si="117"/>
        <v>-</v>
      </c>
      <c r="U86" s="214" t="str">
        <f t="shared" si="117"/>
        <v>-</v>
      </c>
      <c r="V86" s="214" t="str">
        <f t="shared" si="117"/>
        <v>-</v>
      </c>
      <c r="W86" s="214" t="str">
        <f t="shared" si="117"/>
        <v>-</v>
      </c>
      <c r="X86" s="214" t="str">
        <f t="shared" si="117"/>
        <v>-</v>
      </c>
      <c r="Y86" s="214" t="str">
        <f t="shared" si="117"/>
        <v>-</v>
      </c>
      <c r="Z86" s="214" t="str">
        <f t="shared" si="117"/>
        <v>-</v>
      </c>
      <c r="AA86" s="214" t="str">
        <f t="shared" si="117"/>
        <v>-</v>
      </c>
      <c r="AB86" s="294" t="str">
        <f t="shared" si="117"/>
        <v>-</v>
      </c>
      <c r="AC86" s="214" t="str">
        <f t="shared" si="117"/>
        <v>-</v>
      </c>
      <c r="AD86" s="214" t="str">
        <f t="shared" si="117"/>
        <v>-</v>
      </c>
      <c r="AE86" s="214" t="str">
        <f t="shared" si="117"/>
        <v>-</v>
      </c>
      <c r="AF86" s="214" t="str">
        <f t="shared" si="117"/>
        <v>-</v>
      </c>
      <c r="AG86" s="214" t="str">
        <f t="shared" si="117"/>
        <v>-</v>
      </c>
      <c r="AH86" s="214" t="str">
        <f t="shared" si="117"/>
        <v>-</v>
      </c>
      <c r="AI86" s="214" t="str">
        <f t="shared" si="117"/>
        <v>-</v>
      </c>
      <c r="AJ86" s="214" t="str">
        <f t="shared" si="117"/>
        <v>-</v>
      </c>
      <c r="AK86" s="214" t="str">
        <f t="shared" si="117"/>
        <v>-</v>
      </c>
      <c r="AL86" s="214" t="str">
        <f t="shared" si="117"/>
        <v>-</v>
      </c>
      <c r="AM86" s="214" t="str">
        <f t="shared" si="117"/>
        <v>-</v>
      </c>
      <c r="AN86" s="294" t="str">
        <f t="shared" si="117"/>
        <v>-</v>
      </c>
      <c r="AO86" s="241">
        <f t="shared" ref="AO86:AP86" ca="1" si="118">AO84-AO85</f>
        <v>1116.2294533068784</v>
      </c>
      <c r="AP86" s="242">
        <f t="shared" ca="1" si="118"/>
        <v>1123.3010266545205</v>
      </c>
      <c r="AQ86" s="242" t="str">
        <f t="shared" ref="AQ86" si="119">IFERROR(IF(AQ84=0,"-",(AQ84/AQ85)-1),"-")</f>
        <v>-</v>
      </c>
      <c r="AR86" s="242"/>
      <c r="AS86" s="243"/>
    </row>
    <row r="87" spans="1:45" ht="15.75" outlineLevel="1" thickBot="1" x14ac:dyDescent="0.3">
      <c r="B87" t="str">
        <f t="shared" si="108"/>
        <v>PC Annual Direct</v>
      </c>
      <c r="C87" t="str">
        <f t="shared" si="105"/>
        <v>Boom Premium Finance</v>
      </c>
      <c r="D87" s="254" t="s">
        <v>17</v>
      </c>
      <c r="E87" s="217"/>
      <c r="F87" s="217"/>
      <c r="G87" s="217"/>
      <c r="H87" s="217"/>
      <c r="I87" s="217"/>
      <c r="J87" s="217"/>
      <c r="K87" s="217"/>
      <c r="L87" s="217"/>
      <c r="M87" s="217"/>
      <c r="N87" s="217"/>
      <c r="O87" s="217"/>
      <c r="P87" s="295"/>
      <c r="Q87" s="217"/>
      <c r="R87" s="217"/>
      <c r="S87" s="217"/>
      <c r="T87" s="217"/>
      <c r="U87" s="217"/>
      <c r="V87" s="217"/>
      <c r="W87" s="217"/>
      <c r="X87" s="217"/>
      <c r="Y87" s="217"/>
      <c r="Z87" s="217"/>
      <c r="AA87" s="217"/>
      <c r="AB87" s="295"/>
      <c r="AC87" s="217"/>
      <c r="AD87" s="217"/>
      <c r="AE87" s="217"/>
      <c r="AF87" s="217"/>
      <c r="AG87" s="217"/>
      <c r="AH87" s="217"/>
      <c r="AI87" s="217"/>
      <c r="AJ87" s="217"/>
      <c r="AK87" s="217"/>
      <c r="AL87" s="217"/>
      <c r="AM87" s="217"/>
      <c r="AN87" s="295"/>
      <c r="AO87" s="376"/>
      <c r="AP87" s="245"/>
      <c r="AQ87" s="277"/>
      <c r="AR87" s="277"/>
      <c r="AS87" s="246"/>
    </row>
    <row r="88" spans="1:45" ht="15.75" outlineLevel="1" x14ac:dyDescent="0.25">
      <c r="B88" t="str">
        <f t="shared" si="108"/>
        <v>PC Annual Direct</v>
      </c>
      <c r="C88" t="str">
        <f t="shared" si="105"/>
        <v>Boom Premium Finance</v>
      </c>
      <c r="D88" s="208" t="s">
        <v>7</v>
      </c>
      <c r="E88" s="251">
        <v>0</v>
      </c>
      <c r="F88" s="251">
        <v>0</v>
      </c>
      <c r="G88" s="251">
        <v>0</v>
      </c>
      <c r="H88" s="251">
        <v>0</v>
      </c>
      <c r="I88" s="251">
        <v>0</v>
      </c>
      <c r="J88" s="251">
        <v>0</v>
      </c>
      <c r="K88" s="251">
        <v>0</v>
      </c>
      <c r="L88" s="251">
        <v>0</v>
      </c>
      <c r="M88" s="251">
        <v>0</v>
      </c>
      <c r="N88" s="251">
        <v>0</v>
      </c>
      <c r="O88" s="251">
        <v>0</v>
      </c>
      <c r="P88" s="296">
        <v>0</v>
      </c>
      <c r="Q88" s="251">
        <v>733964.64285719988</v>
      </c>
      <c r="R88" s="251">
        <v>3559500.6071441188</v>
      </c>
      <c r="S88" s="251">
        <v>5777514.9107149206</v>
      </c>
      <c r="T88" s="251">
        <v>5395087.7142872168</v>
      </c>
      <c r="U88" s="251">
        <v>4942333.1696412386</v>
      </c>
      <c r="V88" s="251">
        <v>4158236.8839275893</v>
      </c>
      <c r="W88" s="251">
        <v>3611390.1071453677</v>
      </c>
      <c r="X88" s="251">
        <v>3266360.6607159213</v>
      </c>
      <c r="Y88" s="251">
        <v>3008080.9642853192</v>
      </c>
      <c r="Z88" s="251">
        <v>3047792.1517858193</v>
      </c>
      <c r="AA88" s="251">
        <v>3560156.5089285178</v>
      </c>
      <c r="AB88" s="296">
        <v>3684192.6607148829</v>
      </c>
      <c r="AC88" s="251">
        <v>3911137.9196428498</v>
      </c>
      <c r="AD88" s="251">
        <v>3279965.750000278</v>
      </c>
      <c r="AE88" s="251">
        <v>4131555.6249988489</v>
      </c>
      <c r="AF88" s="251">
        <v>4012874.1517836316</v>
      </c>
      <c r="AG88" s="251">
        <v>3852877.3571427707</v>
      </c>
      <c r="AH88" s="251">
        <v>3384941.3125021402</v>
      </c>
      <c r="AI88" s="251">
        <v>3234179.2499997201</v>
      </c>
      <c r="AJ88" s="251">
        <v>1529399.6517854205</v>
      </c>
      <c r="AK88" s="251">
        <v>0</v>
      </c>
      <c r="AL88" s="251">
        <v>0</v>
      </c>
      <c r="AM88" s="251">
        <v>0</v>
      </c>
      <c r="AN88" s="296">
        <v>0</v>
      </c>
      <c r="AO88" s="418">
        <f ca="1">IFERROR(AVERAGE(INDEX($E88:$AN88, $AU$4 - 3):INDEX($E88:$AN88, $AU$4)),"-")</f>
        <v>3000349.3928575129</v>
      </c>
      <c r="AP88" s="419">
        <f ca="1">IFERROR(AVERAGE(INDEX($E88:$AN88, $AU$4 - 11):INDEX($E88:$AN88, $AU$4)),"-")</f>
        <v>3386429.441964183</v>
      </c>
      <c r="AQ88" s="419" cm="1">
        <f t="array" ref="AQ88">IFERROR(SUMPRODUCT((YEAR($E$4:$AN$4)=2024)*$E88:$AN88),"-")</f>
        <v>44744610.982148111</v>
      </c>
      <c r="AR88" s="419">
        <f ca="1">IFERROR(SUM(INDEX($E88:$AN88, $AU$4 - MONTH(TODAY())-11):INDEX($E88:$AN88, $AU$4-12)),"-")</f>
        <v>31444388.696433574</v>
      </c>
      <c r="AS88" s="420">
        <f ca="1">IFERROR(SUM(INDEX($E88:$AN88, $AU$4 - MONTH(TODAY())+1):INDEX($E88:$AN88, $AU$4)),"-")</f>
        <v>27336931.017855659</v>
      </c>
    </row>
    <row r="89" spans="1:45" ht="15.75" outlineLevel="1" x14ac:dyDescent="0.25">
      <c r="B89" t="str">
        <f t="shared" si="108"/>
        <v>PC Annual Direct</v>
      </c>
      <c r="C89" t="str">
        <f t="shared" si="105"/>
        <v>Boom Premium Finance</v>
      </c>
      <c r="D89" s="211" t="s">
        <v>14</v>
      </c>
      <c r="E89" s="221">
        <v>0</v>
      </c>
      <c r="F89" s="221">
        <v>0</v>
      </c>
      <c r="G89" s="221">
        <v>0</v>
      </c>
      <c r="H89" s="221">
        <v>0</v>
      </c>
      <c r="I89" s="221">
        <v>0</v>
      </c>
      <c r="J89" s="221">
        <v>0</v>
      </c>
      <c r="K89" s="221">
        <v>0</v>
      </c>
      <c r="L89" s="221">
        <v>0</v>
      </c>
      <c r="M89" s="221">
        <v>0</v>
      </c>
      <c r="N89" s="221">
        <v>0</v>
      </c>
      <c r="O89" s="221">
        <v>0</v>
      </c>
      <c r="P89" s="297">
        <v>0</v>
      </c>
      <c r="Q89" s="221">
        <v>0.15054930925555279</v>
      </c>
      <c r="R89" s="221">
        <v>0.11986705358178491</v>
      </c>
      <c r="S89" s="221">
        <v>7.2153156926747952E-2</v>
      </c>
      <c r="T89" s="221">
        <v>6.750052256511517E-2</v>
      </c>
      <c r="U89" s="221">
        <v>6.7814349720247455E-2</v>
      </c>
      <c r="V89" s="221">
        <v>6.7320104124299923E-2</v>
      </c>
      <c r="W89" s="221">
        <v>6.7070790696664051E-2</v>
      </c>
      <c r="X89" s="221">
        <v>6.7617217736078636E-2</v>
      </c>
      <c r="Y89" s="221">
        <v>6.6739815976857436E-2</v>
      </c>
      <c r="Z89" s="221">
        <v>6.8599645116141944E-2</v>
      </c>
      <c r="AA89" s="221">
        <v>6.9184843245638755E-2</v>
      </c>
      <c r="AB89" s="297">
        <v>6.9209561899328934E-2</v>
      </c>
      <c r="AC89" s="221">
        <v>6.722407785201015E-2</v>
      </c>
      <c r="AD89" s="221">
        <v>6.6355833136626963E-2</v>
      </c>
      <c r="AE89" s="221">
        <v>3.8896167590599676E-2</v>
      </c>
      <c r="AF89" s="221">
        <v>2.7929019391229829E-2</v>
      </c>
      <c r="AG89" s="221">
        <v>2.8285883483321991E-2</v>
      </c>
      <c r="AH89" s="221">
        <v>2.7981247311504188E-2</v>
      </c>
      <c r="AI89" s="221">
        <v>2.9637605893358673E-2</v>
      </c>
      <c r="AJ89" s="221">
        <v>3.0194442601075653E-2</v>
      </c>
      <c r="AK89" s="221">
        <v>0</v>
      </c>
      <c r="AL89" s="221">
        <v>0</v>
      </c>
      <c r="AM89" s="221">
        <v>0</v>
      </c>
      <c r="AN89" s="297">
        <v>0</v>
      </c>
      <c r="AO89" s="403">
        <f ca="1">IFERROR((AO112+AO135)/AO88,"-")</f>
        <v>4.6691424167146742E-4</v>
      </c>
      <c r="AP89" s="404">
        <f ca="1">IFERROR((AP112+AP135)/AP88,"-")</f>
        <v>5.8934853638886611E-4</v>
      </c>
      <c r="AQ89" s="404">
        <f>IFERROR((AQ112+AQ135)/AQ88,"-")</f>
        <v>0</v>
      </c>
      <c r="AR89" s="404">
        <f ca="1">IFERROR((AR112+AR135)/AR88,"-")</f>
        <v>0</v>
      </c>
      <c r="AS89" s="415">
        <f ca="1">IFERROR((AS112+AS135)/AS88,"-")</f>
        <v>0</v>
      </c>
    </row>
    <row r="90" spans="1:45" ht="15.75" outlineLevel="1" x14ac:dyDescent="0.25">
      <c r="B90" t="str">
        <f t="shared" si="108"/>
        <v>PC Annual Direct</v>
      </c>
      <c r="C90" t="str">
        <f t="shared" si="105"/>
        <v>Boom Premium Finance</v>
      </c>
      <c r="D90" s="223" t="s">
        <v>493</v>
      </c>
      <c r="E90" s="224">
        <f>IFERROR(E81/E$8,"-")</f>
        <v>0</v>
      </c>
      <c r="F90" s="224">
        <f t="shared" ref="F90:AS90" si="120">IFERROR(F81/F$8,"-")</f>
        <v>0</v>
      </c>
      <c r="G90" s="224">
        <f t="shared" si="120"/>
        <v>0</v>
      </c>
      <c r="H90" s="224">
        <f t="shared" si="120"/>
        <v>0</v>
      </c>
      <c r="I90" s="224">
        <f t="shared" si="120"/>
        <v>0</v>
      </c>
      <c r="J90" s="224">
        <f t="shared" si="120"/>
        <v>0</v>
      </c>
      <c r="K90" s="224">
        <f t="shared" si="120"/>
        <v>0</v>
      </c>
      <c r="L90" s="224">
        <f t="shared" si="120"/>
        <v>0</v>
      </c>
      <c r="M90" s="224">
        <f t="shared" si="120"/>
        <v>0</v>
      </c>
      <c r="N90" s="224">
        <f t="shared" si="120"/>
        <v>0</v>
      </c>
      <c r="O90" s="224">
        <f t="shared" si="120"/>
        <v>0</v>
      </c>
      <c r="P90" s="298">
        <f t="shared" si="120"/>
        <v>0</v>
      </c>
      <c r="Q90" s="224">
        <f t="shared" si="120"/>
        <v>0.1354301176497093</v>
      </c>
      <c r="R90" s="224">
        <f t="shared" si="120"/>
        <v>0.47757508153462103</v>
      </c>
      <c r="S90" s="224">
        <f t="shared" si="120"/>
        <v>0.56483299867359649</v>
      </c>
      <c r="T90" s="224">
        <f t="shared" si="120"/>
        <v>0.59552390156909307</v>
      </c>
      <c r="U90" s="224">
        <f t="shared" si="120"/>
        <v>0.58296862099675695</v>
      </c>
      <c r="V90" s="224">
        <f t="shared" si="120"/>
        <v>0.5882810041453389</v>
      </c>
      <c r="W90" s="224">
        <f t="shared" si="120"/>
        <v>0.58503748212228524</v>
      </c>
      <c r="X90" s="224">
        <f t="shared" si="120"/>
        <v>0.60315999798519815</v>
      </c>
      <c r="Y90" s="224">
        <f t="shared" si="120"/>
        <v>0.60704816078598567</v>
      </c>
      <c r="Z90" s="224">
        <f t="shared" si="120"/>
        <v>0.63500554623707473</v>
      </c>
      <c r="AA90" s="224">
        <f t="shared" si="120"/>
        <v>0.68667273742031065</v>
      </c>
      <c r="AB90" s="298">
        <f t="shared" si="120"/>
        <v>0.72856216257038542</v>
      </c>
      <c r="AC90" s="224">
        <f t="shared" si="120"/>
        <v>0.78897305939361051</v>
      </c>
      <c r="AD90" s="224">
        <f t="shared" si="120"/>
        <v>0.81400786956539239</v>
      </c>
      <c r="AE90" s="224">
        <f t="shared" si="120"/>
        <v>0.83350563197195504</v>
      </c>
      <c r="AF90" s="224">
        <f t="shared" si="120"/>
        <v>0.83337853006942886</v>
      </c>
      <c r="AG90" s="224">
        <f t="shared" si="120"/>
        <v>0.81823243061400985</v>
      </c>
      <c r="AH90" s="224">
        <f t="shared" si="120"/>
        <v>0.82452582034424293</v>
      </c>
      <c r="AI90" s="224">
        <f t="shared" si="120"/>
        <v>0.8175490485163881</v>
      </c>
      <c r="AJ90" s="224">
        <f t="shared" si="120"/>
        <v>0.82822345323481572</v>
      </c>
      <c r="AK90" s="224" t="str">
        <f t="shared" si="120"/>
        <v>-</v>
      </c>
      <c r="AL90" s="224" t="str">
        <f t="shared" si="120"/>
        <v>-</v>
      </c>
      <c r="AM90" s="224" t="str">
        <f t="shared" si="120"/>
        <v>-</v>
      </c>
      <c r="AN90" s="298" t="str">
        <f t="shared" si="120"/>
        <v>-</v>
      </c>
      <c r="AO90" s="414">
        <f t="shared" ca="1" si="120"/>
        <v>0.82107715488206889</v>
      </c>
      <c r="AP90" s="405">
        <f t="shared" ca="1" si="120"/>
        <v>0.76256390692315357</v>
      </c>
      <c r="AQ90" s="405">
        <f t="shared" si="120"/>
        <v>0.56737179044545971</v>
      </c>
      <c r="AR90" s="405">
        <f t="shared" ca="1" si="120"/>
        <v>0.53391450795147388</v>
      </c>
      <c r="AS90" s="416">
        <f t="shared" ca="1" si="120"/>
        <v>0.81925816920963401</v>
      </c>
    </row>
    <row r="91" spans="1:45" s="446" customFormat="1" ht="15.75" outlineLevel="1" x14ac:dyDescent="0.25">
      <c r="A91"/>
      <c r="B91"/>
      <c r="C91"/>
      <c r="D91" s="371" t="s">
        <v>492</v>
      </c>
      <c r="E91" s="429">
        <f>IFERROR(E81/E$34,"-")</f>
        <v>0</v>
      </c>
      <c r="F91" s="429">
        <f t="shared" ref="F91:AS91" si="121">IFERROR(F81/F$34,"-")</f>
        <v>0</v>
      </c>
      <c r="G91" s="429">
        <f t="shared" si="121"/>
        <v>0</v>
      </c>
      <c r="H91" s="429">
        <f t="shared" si="121"/>
        <v>0</v>
      </c>
      <c r="I91" s="429">
        <f t="shared" si="121"/>
        <v>0</v>
      </c>
      <c r="J91" s="429">
        <f t="shared" si="121"/>
        <v>0</v>
      </c>
      <c r="K91" s="429">
        <f t="shared" si="121"/>
        <v>0</v>
      </c>
      <c r="L91" s="429">
        <f t="shared" si="121"/>
        <v>0</v>
      </c>
      <c r="M91" s="429">
        <f t="shared" si="121"/>
        <v>0</v>
      </c>
      <c r="N91" s="429">
        <f t="shared" si="121"/>
        <v>0</v>
      </c>
      <c r="O91" s="429">
        <f t="shared" si="121"/>
        <v>0</v>
      </c>
      <c r="P91" s="430">
        <f t="shared" si="121"/>
        <v>0</v>
      </c>
      <c r="Q91" s="429">
        <f t="shared" si="121"/>
        <v>0.2554516076377743</v>
      </c>
      <c r="R91" s="429">
        <f t="shared" si="121"/>
        <v>0.65433555787508801</v>
      </c>
      <c r="S91" s="429">
        <f t="shared" si="121"/>
        <v>0.70864501322750506</v>
      </c>
      <c r="T91" s="429">
        <f t="shared" si="121"/>
        <v>0.73014689555041112</v>
      </c>
      <c r="U91" s="429">
        <f t="shared" si="121"/>
        <v>0.71972562832103182</v>
      </c>
      <c r="V91" s="429">
        <f t="shared" si="121"/>
        <v>0.72470118791546556</v>
      </c>
      <c r="W91" s="429">
        <f t="shared" si="121"/>
        <v>0.7345774355497382</v>
      </c>
      <c r="X91" s="429">
        <f t="shared" si="121"/>
        <v>0.74900467860574893</v>
      </c>
      <c r="Y91" s="429">
        <f t="shared" si="121"/>
        <v>0.72789959173312546</v>
      </c>
      <c r="Z91" s="429">
        <f t="shared" si="121"/>
        <v>0.73965617363882785</v>
      </c>
      <c r="AA91" s="429">
        <f t="shared" si="121"/>
        <v>0.74262345048156431</v>
      </c>
      <c r="AB91" s="430">
        <f t="shared" si="121"/>
        <v>0.76104003765320383</v>
      </c>
      <c r="AC91" s="429">
        <f t="shared" si="121"/>
        <v>0.7942012282577734</v>
      </c>
      <c r="AD91" s="429">
        <f t="shared" si="121"/>
        <v>0.81400786956539317</v>
      </c>
      <c r="AE91" s="429">
        <f t="shared" si="121"/>
        <v>0.83350563197195537</v>
      </c>
      <c r="AF91" s="429">
        <f t="shared" si="121"/>
        <v>0.83337853006942808</v>
      </c>
      <c r="AG91" s="429">
        <f t="shared" si="121"/>
        <v>0.81823243061400985</v>
      </c>
      <c r="AH91" s="429">
        <f t="shared" si="121"/>
        <v>0.82452582034424293</v>
      </c>
      <c r="AI91" s="429">
        <f t="shared" si="121"/>
        <v>0.81754904851638799</v>
      </c>
      <c r="AJ91" s="429">
        <f t="shared" si="121"/>
        <v>0.82822345323481561</v>
      </c>
      <c r="AK91" s="429" t="str">
        <f t="shared" si="121"/>
        <v>-</v>
      </c>
      <c r="AL91" s="429" t="str">
        <f t="shared" si="121"/>
        <v>-</v>
      </c>
      <c r="AM91" s="429" t="str">
        <f t="shared" si="121"/>
        <v>-</v>
      </c>
      <c r="AN91" s="430" t="str">
        <f t="shared" si="121"/>
        <v>-</v>
      </c>
      <c r="AO91" s="432">
        <f t="shared" ca="1" si="121"/>
        <v>0.82107715488206878</v>
      </c>
      <c r="AP91" s="433">
        <f t="shared" ca="1" si="121"/>
        <v>0.79383193536925245</v>
      </c>
      <c r="AQ91" s="433">
        <f t="shared" si="121"/>
        <v>0.70529087220168762</v>
      </c>
      <c r="AR91" s="433">
        <f t="shared" ca="1" si="121"/>
        <v>0.690159070005263</v>
      </c>
      <c r="AS91" s="434">
        <f t="shared" ca="1" si="121"/>
        <v>0.82003757479822814</v>
      </c>
    </row>
    <row r="92" spans="1:45" s="446" customFormat="1" ht="15.75" outlineLevel="1" x14ac:dyDescent="0.25">
      <c r="A92"/>
      <c r="B92" t="str">
        <f t="shared" si="108"/>
        <v>PC Annual Direct</v>
      </c>
      <c r="C92" t="str">
        <f>$C90</f>
        <v>Boom Premium Finance</v>
      </c>
      <c r="D92" s="223" t="s">
        <v>199</v>
      </c>
      <c r="E92" s="229">
        <v>0</v>
      </c>
      <c r="F92" s="229">
        <v>0</v>
      </c>
      <c r="G92" s="229">
        <v>0</v>
      </c>
      <c r="H92" s="229">
        <v>0</v>
      </c>
      <c r="I92" s="229">
        <v>0</v>
      </c>
      <c r="J92" s="229">
        <v>0</v>
      </c>
      <c r="K92" s="229">
        <v>0</v>
      </c>
      <c r="L92" s="229">
        <v>0</v>
      </c>
      <c r="M92" s="229">
        <v>0</v>
      </c>
      <c r="N92" s="229">
        <v>0</v>
      </c>
      <c r="O92" s="229">
        <v>0</v>
      </c>
      <c r="P92" s="300">
        <v>0</v>
      </c>
      <c r="Q92" s="229">
        <v>5955.3278571000001</v>
      </c>
      <c r="R92" s="229">
        <v>10774.406786</v>
      </c>
      <c r="S92" s="229">
        <v>10238.006786</v>
      </c>
      <c r="T92" s="229">
        <v>12354.197142999999</v>
      </c>
      <c r="U92" s="229">
        <v>9489.2539285999992</v>
      </c>
      <c r="V92" s="229">
        <v>9971.4500000000007</v>
      </c>
      <c r="W92" s="229">
        <v>6495.58</v>
      </c>
      <c r="X92" s="229">
        <v>12177.2575</v>
      </c>
      <c r="Y92" s="229">
        <v>6181.3164286000001</v>
      </c>
      <c r="Z92" s="229">
        <v>8122.25</v>
      </c>
      <c r="AA92" s="229">
        <v>6710.1357142999996</v>
      </c>
      <c r="AB92" s="300">
        <v>11957.857142999999</v>
      </c>
      <c r="AC92" s="229">
        <v>10992.642142999999</v>
      </c>
      <c r="AD92" s="229">
        <v>6174.2025000000003</v>
      </c>
      <c r="AE92" s="229">
        <v>9090.8003571000008</v>
      </c>
      <c r="AF92" s="229">
        <v>8482.9542856999997</v>
      </c>
      <c r="AG92" s="229">
        <v>12029.512143</v>
      </c>
      <c r="AH92" s="229">
        <v>8221.1978571</v>
      </c>
      <c r="AI92" s="229">
        <v>7910.8939286000004</v>
      </c>
      <c r="AJ92" s="229">
        <v>8561.4621428999999</v>
      </c>
      <c r="AK92" s="229">
        <v>0</v>
      </c>
      <c r="AL92" s="229">
        <v>0</v>
      </c>
      <c r="AM92" s="229">
        <v>0</v>
      </c>
      <c r="AN92" s="300">
        <v>0</v>
      </c>
      <c r="AO92" s="441">
        <f ca="1">IFERROR(AVERAGE(INDEX($E92:$AN92, $AU$4 - 3):INDEX($E92:$AN92, $AU$4)),"-")</f>
        <v>9180.7665178999996</v>
      </c>
      <c r="AP92" s="229">
        <f ca="1">IFERROR(AVERAGE(INDEX($E92:$AN92, $AU$4 - 11):INDEX($E92:$AN92, $AU$4)),"-")</f>
        <v>8702.9353869416664</v>
      </c>
      <c r="AQ92" s="229">
        <f>MAX(Q92:AB92)</f>
        <v>12354.197142999999</v>
      </c>
      <c r="AR92" s="229">
        <f ca="1">IFERROR(MAX(INDEX($E92:$AN92, $AU$4 - MONTH(TODAY())-11):INDEX($E92:$AN92, $AU$4-12)),"-")</f>
        <v>12354.197142999999</v>
      </c>
      <c r="AS92" s="300">
        <f ca="1">IFERROR(MAX(INDEX($E92:$AN92, $AU$4 - MONTH(TODAY())+1):INDEX($E92:$AN92, $AU$4)),"-")</f>
        <v>12029.512143</v>
      </c>
    </row>
    <row r="93" spans="1:45" s="446" customFormat="1" ht="15.75" outlineLevel="1" x14ac:dyDescent="0.25">
      <c r="A93"/>
      <c r="B93" t="str">
        <f t="shared" si="108"/>
        <v>PC Annual Direct</v>
      </c>
      <c r="C93" t="str">
        <f t="shared" si="105"/>
        <v>Boom Premium Finance</v>
      </c>
      <c r="D93" s="371" t="s">
        <v>200</v>
      </c>
      <c r="E93" s="435">
        <v>0</v>
      </c>
      <c r="F93" s="435">
        <v>0</v>
      </c>
      <c r="G93" s="435">
        <v>0</v>
      </c>
      <c r="H93" s="435">
        <v>0</v>
      </c>
      <c r="I93" s="435">
        <v>0</v>
      </c>
      <c r="J93" s="435">
        <v>0</v>
      </c>
      <c r="K93" s="435">
        <v>0</v>
      </c>
      <c r="L93" s="435">
        <v>0</v>
      </c>
      <c r="M93" s="435">
        <v>0</v>
      </c>
      <c r="N93" s="435">
        <v>0</v>
      </c>
      <c r="O93" s="435">
        <v>0</v>
      </c>
      <c r="P93" s="436">
        <v>0</v>
      </c>
      <c r="Q93" s="435">
        <v>428.55178570999999</v>
      </c>
      <c r="R93" s="435">
        <v>349.99892856999998</v>
      </c>
      <c r="S93" s="435">
        <v>349.99892856999998</v>
      </c>
      <c r="T93" s="435">
        <v>349.99785714000001</v>
      </c>
      <c r="U93" s="435">
        <v>349.99821429000002</v>
      </c>
      <c r="V93" s="435">
        <v>349.99821429000002</v>
      </c>
      <c r="W93" s="435">
        <v>349.99785714000001</v>
      </c>
      <c r="X93" s="435">
        <v>349.99785714000001</v>
      </c>
      <c r="Y93" s="435">
        <v>349.99821429000002</v>
      </c>
      <c r="Z93" s="435">
        <v>349.99821429000002</v>
      </c>
      <c r="AA93" s="435">
        <v>349.99821429000002</v>
      </c>
      <c r="AB93" s="436">
        <v>349.99821429000002</v>
      </c>
      <c r="AC93" s="435">
        <v>349.99821429000002</v>
      </c>
      <c r="AD93" s="435">
        <v>349.99821429000002</v>
      </c>
      <c r="AE93" s="435">
        <v>349.99571429000002</v>
      </c>
      <c r="AF93" s="435">
        <v>349.99571429000002</v>
      </c>
      <c r="AG93" s="435">
        <v>349.99571429000002</v>
      </c>
      <c r="AH93" s="435">
        <v>349.99571429000002</v>
      </c>
      <c r="AI93" s="435">
        <v>349.99571429000002</v>
      </c>
      <c r="AJ93" s="435">
        <v>349.99642856999998</v>
      </c>
      <c r="AK93" s="435">
        <v>0</v>
      </c>
      <c r="AL93" s="435">
        <v>0</v>
      </c>
      <c r="AM93" s="435">
        <v>0</v>
      </c>
      <c r="AN93" s="436">
        <v>0</v>
      </c>
      <c r="AO93" s="438">
        <f ca="1">IFERROR(AVERAGE(INDEX($E93:$AN93, $AU$4 - 3):INDEX($E93:$AN93, $AU$4)),"-")</f>
        <v>349.99589286000003</v>
      </c>
      <c r="AP93" s="439">
        <f ca="1">IFERROR(AVERAGE(INDEX($E93:$AN93, $AU$4 - 11):INDEX($E93:$AN93, $AU$4)),"-")</f>
        <v>349.99702381333344</v>
      </c>
      <c r="AQ93" s="439">
        <f>MIN(Q93:AB93)</f>
        <v>349.99785714000001</v>
      </c>
      <c r="AR93" s="439">
        <f ca="1">IFERROR(MIN(INDEX($E93:$AN93, $AU$4 - MONTH(TODAY())-11):INDEX($E93:$AN93, $AU$4-12)),"-")</f>
        <v>349.99785714000001</v>
      </c>
      <c r="AS93" s="440">
        <f ca="1">IFERROR(MIN(INDEX($E93:$AN93, $AU$4 - MONTH(TODAY())+1):INDEX($E93:$AN93, $AU$4)),"-")</f>
        <v>349.99571429000002</v>
      </c>
    </row>
    <row r="94" spans="1:45" s="446" customFormat="1" ht="15.75" outlineLevel="1" x14ac:dyDescent="0.25">
      <c r="A94"/>
      <c r="B94" t="str">
        <f t="shared" si="108"/>
        <v>PC Annual Direct</v>
      </c>
      <c r="C94" t="str">
        <f t="shared" si="105"/>
        <v>Boom Premium Finance</v>
      </c>
      <c r="D94" s="223" t="s">
        <v>201</v>
      </c>
      <c r="E94" s="224" t="s">
        <v>491</v>
      </c>
      <c r="F94" s="224" t="s">
        <v>491</v>
      </c>
      <c r="G94" s="224" t="s">
        <v>491</v>
      </c>
      <c r="H94" s="224" t="s">
        <v>491</v>
      </c>
      <c r="I94" s="224" t="s">
        <v>491</v>
      </c>
      <c r="J94" s="224" t="s">
        <v>491</v>
      </c>
      <c r="K94" s="224" t="s">
        <v>491</v>
      </c>
      <c r="L94" s="224" t="s">
        <v>491</v>
      </c>
      <c r="M94" s="224" t="s">
        <v>491</v>
      </c>
      <c r="N94" s="224" t="s">
        <v>491</v>
      </c>
      <c r="O94" s="224" t="s">
        <v>491</v>
      </c>
      <c r="P94" s="298" t="s">
        <v>491</v>
      </c>
      <c r="Q94" s="224">
        <v>0</v>
      </c>
      <c r="R94" s="224">
        <v>4.5787545787545788E-4</v>
      </c>
      <c r="S94" s="224">
        <v>5.1295203898435492E-4</v>
      </c>
      <c r="T94" s="224">
        <v>1.4443909484833895E-3</v>
      </c>
      <c r="U94" s="224">
        <v>1.5321756894790602E-3</v>
      </c>
      <c r="V94" s="224">
        <v>4.7003525264394828E-3</v>
      </c>
      <c r="W94" s="224">
        <v>5.0607287449392713E-3</v>
      </c>
      <c r="X94" s="224">
        <v>7.2713356295445852E-3</v>
      </c>
      <c r="Y94" s="224">
        <v>3.6014405762304922E-3</v>
      </c>
      <c r="Z94" s="224">
        <v>5.2461662631154158E-3</v>
      </c>
      <c r="AA94" s="224">
        <v>6.0541310541310537E-3</v>
      </c>
      <c r="AB94" s="298">
        <v>3.1013094417643005E-3</v>
      </c>
      <c r="AC94" s="224">
        <v>4.2360060514372161E-3</v>
      </c>
      <c r="AD94" s="224">
        <v>8.6237872799137614E-3</v>
      </c>
      <c r="AE94" s="224">
        <v>7.7842646649986099E-3</v>
      </c>
      <c r="AF94" s="224">
        <v>5.8774139378673382E-3</v>
      </c>
      <c r="AG94" s="224">
        <v>4.1176470588235297E-3</v>
      </c>
      <c r="AH94" s="224">
        <v>3.6569148936170214E-3</v>
      </c>
      <c r="AI94" s="224">
        <v>7.84873349982162E-3</v>
      </c>
      <c r="AJ94" s="224">
        <v>2.437043054427295E-3</v>
      </c>
      <c r="AK94" s="224" t="s">
        <v>491</v>
      </c>
      <c r="AL94" s="224" t="s">
        <v>491</v>
      </c>
      <c r="AM94" s="224" t="s">
        <v>491</v>
      </c>
      <c r="AN94" s="298" t="s">
        <v>491</v>
      </c>
      <c r="AO94" s="414">
        <f ca="1">IFERROR(AVERAGE(INDEX($E94:$AN94, $AU$4 - 3):INDEX($E94:$AN94, $AU$4)),"-")</f>
        <v>4.5150846266723667E-3</v>
      </c>
      <c r="AP94" s="405">
        <f ca="1">IFERROR(AVERAGE(INDEX($E94:$AN94, $AU$4 - 11):INDEX($E94:$AN94, $AU$4)),"-")</f>
        <v>5.21540481467897E-3</v>
      </c>
      <c r="AQ94" s="405">
        <v>0</v>
      </c>
      <c r="AR94" s="405">
        <v>0</v>
      </c>
      <c r="AS94" s="416">
        <v>1.0548523206751054E-2</v>
      </c>
    </row>
    <row r="95" spans="1:45" s="446" customFormat="1" ht="15.75" outlineLevel="1" x14ac:dyDescent="0.25">
      <c r="A95"/>
      <c r="B95" t="str">
        <f t="shared" si="108"/>
        <v>PC Annual Direct</v>
      </c>
      <c r="C95" t="str">
        <f t="shared" si="105"/>
        <v>Boom Premium Finance</v>
      </c>
      <c r="D95" s="371" t="s">
        <v>202</v>
      </c>
      <c r="E95" s="429">
        <v>0</v>
      </c>
      <c r="F95" s="429">
        <v>0</v>
      </c>
      <c r="G95" s="429">
        <v>0</v>
      </c>
      <c r="H95" s="429">
        <v>0</v>
      </c>
      <c r="I95" s="429">
        <v>0</v>
      </c>
      <c r="J95" s="429">
        <v>0</v>
      </c>
      <c r="K95" s="429">
        <v>0</v>
      </c>
      <c r="L95" s="429">
        <v>0</v>
      </c>
      <c r="M95" s="429">
        <v>0</v>
      </c>
      <c r="N95" s="429">
        <v>0</v>
      </c>
      <c r="O95" s="429">
        <v>0</v>
      </c>
      <c r="P95" s="430">
        <v>0</v>
      </c>
      <c r="Q95" s="429">
        <v>0.186908566644507</v>
      </c>
      <c r="R95" s="429">
        <v>0.188339914011148</v>
      </c>
      <c r="S95" s="429">
        <v>0.18824666454260999</v>
      </c>
      <c r="T95" s="429">
        <v>0.16698428878621799</v>
      </c>
      <c r="U95" s="429">
        <v>0.167662221164705</v>
      </c>
      <c r="V95" s="429">
        <v>0.16766874866357401</v>
      </c>
      <c r="W95" s="429">
        <v>0.16752814749053799</v>
      </c>
      <c r="X95" s="429">
        <v>0.167662221164705</v>
      </c>
      <c r="Y95" s="429">
        <v>0.19268482062421399</v>
      </c>
      <c r="Z95" s="429">
        <v>0.197021829773881</v>
      </c>
      <c r="AA95" s="429">
        <v>0.19467491543832199</v>
      </c>
      <c r="AB95" s="430">
        <v>0.19658394735670401</v>
      </c>
      <c r="AC95" s="429">
        <v>0.19446542737758701</v>
      </c>
      <c r="AD95" s="429">
        <v>0.193554620593265</v>
      </c>
      <c r="AE95" s="429">
        <v>0.194229662437755</v>
      </c>
      <c r="AF95" s="429">
        <v>0.14624705207846</v>
      </c>
      <c r="AG95" s="429">
        <v>0.15187459021356201</v>
      </c>
      <c r="AH95" s="429">
        <v>0.15164234572317301</v>
      </c>
      <c r="AI95" s="429">
        <v>0.16164850822701499</v>
      </c>
      <c r="AJ95" s="429">
        <v>0.164289643408222</v>
      </c>
      <c r="AK95" s="429">
        <v>0</v>
      </c>
      <c r="AL95" s="429">
        <v>0</v>
      </c>
      <c r="AM95" s="429">
        <v>0</v>
      </c>
      <c r="AN95" s="430">
        <v>0</v>
      </c>
      <c r="AO95" s="432">
        <f ca="1">IFERROR(AVERAGE(INDEX($E95:$AN95, $AU$4 - 3):INDEX($E95:$AN95, $AU$4)),"-")</f>
        <v>0.157363771892993</v>
      </c>
      <c r="AP95" s="433">
        <f ca="1">IFERROR(AVERAGE(INDEX($E95:$AN95, $AU$4 - 11):INDEX($E95:$AN95, $AU$4)),"-")</f>
        <v>0.17824311360434666</v>
      </c>
      <c r="AQ95" s="433">
        <f>MAX(Q95:AB95)</f>
        <v>0.197021829773881</v>
      </c>
      <c r="AR95" s="433">
        <f ca="1">IFERROR(MAX(INDEX($E95:$AN95, $AU$4 - MONTH(TODAY())-11):INDEX($E95:$AN95, $AU$4-12)),"-")</f>
        <v>0.188339914011148</v>
      </c>
      <c r="AS95" s="434">
        <f ca="1">IFERROR(MAX(INDEX($E95:$AN95, $AU$4 - MONTH(TODAY())+1):INDEX($E95:$AN95, $AU$4)),"-")</f>
        <v>0.19446542737758701</v>
      </c>
    </row>
    <row r="96" spans="1:45" s="446" customFormat="1" ht="16.5" outlineLevel="1" thickBot="1" x14ac:dyDescent="0.3">
      <c r="A96"/>
      <c r="B96" t="str">
        <f t="shared" si="108"/>
        <v>PC Annual Direct</v>
      </c>
      <c r="C96" t="str">
        <f t="shared" si="105"/>
        <v>Boom Premium Finance</v>
      </c>
      <c r="D96" s="368" t="s">
        <v>203</v>
      </c>
      <c r="E96" s="442">
        <v>0</v>
      </c>
      <c r="F96" s="443">
        <v>0</v>
      </c>
      <c r="G96" s="443">
        <v>0</v>
      </c>
      <c r="H96" s="443">
        <v>0</v>
      </c>
      <c r="I96" s="443">
        <v>0</v>
      </c>
      <c r="J96" s="443">
        <v>0</v>
      </c>
      <c r="K96" s="443">
        <v>0</v>
      </c>
      <c r="L96" s="443">
        <v>0</v>
      </c>
      <c r="M96" s="443">
        <v>0</v>
      </c>
      <c r="N96" s="443">
        <v>0</v>
      </c>
      <c r="O96" s="443">
        <v>0</v>
      </c>
      <c r="P96" s="444">
        <v>0</v>
      </c>
      <c r="Q96" s="443">
        <v>0.176460972958564</v>
      </c>
      <c r="R96" s="443">
        <v>4.88660874813516E-2</v>
      </c>
      <c r="S96" s="443">
        <v>4.8869680851424797E-2</v>
      </c>
      <c r="T96" s="443">
        <v>4.8862468365599397E-2</v>
      </c>
      <c r="U96" s="443">
        <v>4.8864259244639302E-2</v>
      </c>
      <c r="V96" s="443">
        <v>4.8861794836557899E-2</v>
      </c>
      <c r="W96" s="443">
        <v>4.8863729570241703E-2</v>
      </c>
      <c r="X96" s="443">
        <v>4.8862641977371397E-2</v>
      </c>
      <c r="Y96" s="443">
        <v>4.8861496369821102E-2</v>
      </c>
      <c r="Z96" s="443">
        <v>4.8862684405650302E-2</v>
      </c>
      <c r="AA96" s="443">
        <v>4.8865212899752701E-2</v>
      </c>
      <c r="AB96" s="444">
        <v>4.8863316535010699E-2</v>
      </c>
      <c r="AC96" s="443">
        <v>4.8861548558889897E-2</v>
      </c>
      <c r="AD96" s="443">
        <v>4.8864398378961602E-2</v>
      </c>
      <c r="AE96" s="443">
        <v>8.7960095436656602E-5</v>
      </c>
      <c r="AF96" s="443">
        <v>0</v>
      </c>
      <c r="AG96" s="443">
        <v>9.0693546505704603E-5</v>
      </c>
      <c r="AH96" s="443">
        <v>8.8254089829264997E-5</v>
      </c>
      <c r="AI96" s="443">
        <v>8.9942645502771895E-5</v>
      </c>
      <c r="AJ96" s="443">
        <v>9.25195722953909E-5</v>
      </c>
      <c r="AK96" s="443">
        <v>0</v>
      </c>
      <c r="AL96" s="443">
        <v>0</v>
      </c>
      <c r="AM96" s="443">
        <v>0</v>
      </c>
      <c r="AN96" s="444">
        <v>0</v>
      </c>
      <c r="AO96" s="445">
        <f ca="1">IFERROR(AVERAGE(INDEX($E96:$AN96, $AU$4 - 3):INDEX($E96:$AN96, $AU$4)),"-")</f>
        <v>9.0352463533283105E-5</v>
      </c>
      <c r="AP96" s="383">
        <f ca="1">IFERROR(AVERAGE(INDEX($E96:$AN96, $AU$4 - 11):INDEX($E96:$AN96, $AU$4)),"-")</f>
        <v>2.4469002258138011E-2</v>
      </c>
      <c r="AQ96" s="383">
        <f>MIN(Q96:AB96)</f>
        <v>4.8861496369821102E-2</v>
      </c>
      <c r="AR96" s="383">
        <f ca="1">IFERROR(MIN(INDEX($E96:$AN96, $AU$4 - MONTH(TODAY())-11):INDEX($E96:$AN96, $AU$4-12)),"-")</f>
        <v>4.8861794836557899E-2</v>
      </c>
      <c r="AS96" s="384">
        <f ca="1">IFERROR(MIN(INDEX($E96:$AN96, $AU$4 - MONTH(TODAY())+1):INDEX($E96:$AN96, $AU$4)),"-")</f>
        <v>0</v>
      </c>
    </row>
    <row r="98" spans="2:45" ht="15.75" thickBot="1" x14ac:dyDescent="0.3"/>
    <row r="99" spans="2:45" ht="21" x14ac:dyDescent="0.25">
      <c r="D99" s="362" t="s">
        <v>204</v>
      </c>
      <c r="E99" s="202" t="s">
        <v>301</v>
      </c>
      <c r="F99" s="202"/>
      <c r="G99" s="202"/>
      <c r="H99" s="202"/>
      <c r="I99" s="202"/>
      <c r="J99" s="202"/>
      <c r="K99" s="202"/>
      <c r="L99" s="202"/>
      <c r="M99" s="202"/>
      <c r="N99" s="202"/>
      <c r="O99" s="202"/>
      <c r="P99" s="233"/>
      <c r="Q99" s="202"/>
      <c r="R99" s="202"/>
      <c r="S99" s="202"/>
      <c r="T99" s="202"/>
      <c r="U99" s="202"/>
      <c r="V99" s="202"/>
      <c r="W99" s="202"/>
      <c r="X99" s="202"/>
      <c r="Y99" s="202"/>
      <c r="Z99" s="202"/>
      <c r="AA99" s="202"/>
      <c r="AB99" s="233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507" t="s">
        <v>484</v>
      </c>
      <c r="AP99" s="508"/>
      <c r="AQ99" s="508"/>
      <c r="AR99" s="508"/>
      <c r="AS99" s="509"/>
    </row>
    <row r="100" spans="2:45" ht="15.75" thickBot="1" x14ac:dyDescent="0.3">
      <c r="D100" s="306"/>
      <c r="E100" s="287" t="s">
        <v>341</v>
      </c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92"/>
      <c r="Q100" s="287" t="s">
        <v>341</v>
      </c>
      <c r="R100" s="287"/>
      <c r="S100" s="287"/>
      <c r="T100" s="287"/>
      <c r="U100" s="287"/>
      <c r="V100" s="287"/>
      <c r="W100" s="287"/>
      <c r="X100" s="287"/>
      <c r="Y100" s="287"/>
      <c r="Z100" s="287"/>
      <c r="AA100" s="287"/>
      <c r="AB100" s="292"/>
      <c r="AC100" s="287" t="s">
        <v>341</v>
      </c>
      <c r="AD100" s="287"/>
      <c r="AE100" s="287"/>
      <c r="AF100" s="287"/>
      <c r="AG100" s="287"/>
      <c r="AH100" s="287"/>
      <c r="AI100" s="287"/>
      <c r="AJ100" s="287"/>
      <c r="AK100" s="287"/>
      <c r="AL100" s="287"/>
      <c r="AM100" s="287"/>
      <c r="AN100" s="287"/>
      <c r="AO100" s="510" t="s">
        <v>485</v>
      </c>
      <c r="AP100" s="511"/>
      <c r="AQ100" s="511" t="s">
        <v>486</v>
      </c>
      <c r="AR100" s="511"/>
      <c r="AS100" s="512"/>
    </row>
    <row r="101" spans="2:45" x14ac:dyDescent="0.25">
      <c r="D101" s="354" t="s">
        <v>487</v>
      </c>
      <c r="E101" s="206">
        <f t="shared" ref="E101:R101" si="122">E$4</f>
        <v>44927</v>
      </c>
      <c r="F101" s="206">
        <f t="shared" si="122"/>
        <v>44958</v>
      </c>
      <c r="G101" s="206">
        <f t="shared" si="122"/>
        <v>44986</v>
      </c>
      <c r="H101" s="206">
        <f t="shared" si="122"/>
        <v>45017</v>
      </c>
      <c r="I101" s="206">
        <f t="shared" si="122"/>
        <v>45047</v>
      </c>
      <c r="J101" s="206">
        <f t="shared" si="122"/>
        <v>45078</v>
      </c>
      <c r="K101" s="206">
        <f t="shared" si="122"/>
        <v>45108</v>
      </c>
      <c r="L101" s="206">
        <f t="shared" si="122"/>
        <v>45139</v>
      </c>
      <c r="M101" s="206">
        <f t="shared" si="122"/>
        <v>45170</v>
      </c>
      <c r="N101" s="206">
        <f t="shared" si="122"/>
        <v>45200</v>
      </c>
      <c r="O101" s="206">
        <f t="shared" si="122"/>
        <v>45231</v>
      </c>
      <c r="P101" s="293">
        <f t="shared" si="122"/>
        <v>45261</v>
      </c>
      <c r="Q101" s="206">
        <f t="shared" si="122"/>
        <v>45292</v>
      </c>
      <c r="R101" s="206">
        <f t="shared" si="122"/>
        <v>45323</v>
      </c>
      <c r="S101" s="206">
        <f t="shared" ref="S101:AN101" si="123">S$4</f>
        <v>45352</v>
      </c>
      <c r="T101" s="206">
        <f t="shared" si="123"/>
        <v>45383</v>
      </c>
      <c r="U101" s="206">
        <f t="shared" si="123"/>
        <v>45413</v>
      </c>
      <c r="V101" s="206">
        <f t="shared" si="123"/>
        <v>45444</v>
      </c>
      <c r="W101" s="206">
        <f t="shared" si="123"/>
        <v>45474</v>
      </c>
      <c r="X101" s="206">
        <f t="shared" si="123"/>
        <v>45505</v>
      </c>
      <c r="Y101" s="206">
        <f t="shared" si="123"/>
        <v>45536</v>
      </c>
      <c r="Z101" s="206">
        <f t="shared" si="123"/>
        <v>45566</v>
      </c>
      <c r="AA101" s="206">
        <f t="shared" si="123"/>
        <v>45597</v>
      </c>
      <c r="AB101" s="293">
        <f t="shared" si="123"/>
        <v>45627</v>
      </c>
      <c r="AC101" s="206">
        <f t="shared" si="123"/>
        <v>45658</v>
      </c>
      <c r="AD101" s="206">
        <f t="shared" si="123"/>
        <v>45689</v>
      </c>
      <c r="AE101" s="206">
        <f t="shared" si="123"/>
        <v>45717</v>
      </c>
      <c r="AF101" s="206">
        <f t="shared" si="123"/>
        <v>45748</v>
      </c>
      <c r="AG101" s="206">
        <f t="shared" si="123"/>
        <v>45778</v>
      </c>
      <c r="AH101" s="206">
        <f t="shared" si="123"/>
        <v>45809</v>
      </c>
      <c r="AI101" s="206">
        <f t="shared" si="123"/>
        <v>45839</v>
      </c>
      <c r="AJ101" s="206">
        <f t="shared" si="123"/>
        <v>45870</v>
      </c>
      <c r="AK101" s="206">
        <f t="shared" si="123"/>
        <v>45901</v>
      </c>
      <c r="AL101" s="206">
        <f t="shared" si="123"/>
        <v>45931</v>
      </c>
      <c r="AM101" s="206">
        <f t="shared" si="123"/>
        <v>45962</v>
      </c>
      <c r="AN101" s="206">
        <f t="shared" si="123"/>
        <v>45992</v>
      </c>
      <c r="AO101" s="351" t="s">
        <v>349</v>
      </c>
      <c r="AP101" s="352" t="s">
        <v>348</v>
      </c>
      <c r="AQ101" s="352" t="s">
        <v>772</v>
      </c>
      <c r="AR101" s="352" t="s">
        <v>490</v>
      </c>
      <c r="AS101" s="353" t="s">
        <v>773</v>
      </c>
    </row>
    <row r="102" spans="2:45" ht="15.75" x14ac:dyDescent="0.25">
      <c r="B102" t="str">
        <f>$D$2</f>
        <v>PC Annual Direct</v>
      </c>
      <c r="C102" t="s">
        <v>73</v>
      </c>
      <c r="D102" s="208" t="s">
        <v>304</v>
      </c>
      <c r="E102" s="209">
        <v>10646</v>
      </c>
      <c r="F102" s="209">
        <v>10915</v>
      </c>
      <c r="G102" s="209">
        <v>13954</v>
      </c>
      <c r="H102" s="209">
        <v>13811</v>
      </c>
      <c r="I102" s="209">
        <v>15955</v>
      </c>
      <c r="J102" s="209">
        <v>15983</v>
      </c>
      <c r="K102" s="209">
        <v>17131</v>
      </c>
      <c r="L102" s="209">
        <v>17502</v>
      </c>
      <c r="M102" s="209">
        <v>17006</v>
      </c>
      <c r="N102" s="209">
        <v>18052</v>
      </c>
      <c r="O102" s="209">
        <v>18399</v>
      </c>
      <c r="P102" s="238">
        <v>20134</v>
      </c>
      <c r="Q102" s="209">
        <v>20196</v>
      </c>
      <c r="R102" s="209">
        <v>17536</v>
      </c>
      <c r="S102" s="209">
        <v>17526</v>
      </c>
      <c r="T102" s="209">
        <v>14337</v>
      </c>
      <c r="U102" s="209">
        <v>13005</v>
      </c>
      <c r="V102" s="209">
        <v>11015</v>
      </c>
      <c r="W102" s="209">
        <v>10230</v>
      </c>
      <c r="X102" s="209">
        <v>8665</v>
      </c>
      <c r="Y102" s="209">
        <v>7157</v>
      </c>
      <c r="Z102" s="209">
        <v>5791</v>
      </c>
      <c r="AA102" s="209">
        <v>3476</v>
      </c>
      <c r="AB102" s="238">
        <v>1896</v>
      </c>
      <c r="AC102" s="209">
        <v>322</v>
      </c>
      <c r="AD102" s="209">
        <v>0</v>
      </c>
      <c r="AE102" s="209">
        <v>0</v>
      </c>
      <c r="AF102" s="209">
        <v>0</v>
      </c>
      <c r="AG102" s="209">
        <v>0</v>
      </c>
      <c r="AH102" s="209">
        <v>0</v>
      </c>
      <c r="AI102" s="209">
        <v>0</v>
      </c>
      <c r="AJ102" s="209">
        <v>0</v>
      </c>
      <c r="AK102" s="209">
        <v>0</v>
      </c>
      <c r="AL102" s="209">
        <v>0</v>
      </c>
      <c r="AM102" s="209">
        <v>0</v>
      </c>
      <c r="AN102" s="209">
        <v>0</v>
      </c>
      <c r="AO102" s="237">
        <f ca="1">IFERROR(AVERAGE(INDEX($E102:$AN102, $AU$4 - 3):INDEX($E102:$AN102, $AU$4)),"-")</f>
        <v>0</v>
      </c>
      <c r="AP102" s="209">
        <f ca="1">IFERROR(AVERAGE(INDEX($E102:$AN102, $AU$4 - 11):INDEX($E102:$AN102, $AU$4)),"-")</f>
        <v>1553.5</v>
      </c>
      <c r="AQ102" s="209" cm="1">
        <f t="array" ref="AQ102">IFERROR(SUMPRODUCT((YEAR($E$4:$AN$4)=2024)*$E102:$AN102),"-")</f>
        <v>130830</v>
      </c>
      <c r="AR102" s="209">
        <f ca="1">IFERROR(SUM(INDEX($E102:$AN102, $AU$4 - MONTH(TODAY())-11):INDEX($E102:$AN102, $AU$4-12)),"-")</f>
        <v>112510</v>
      </c>
      <c r="AS102" s="238">
        <f ca="1">IFERROR(SUM(INDEX($E102:$AN102, $AU$4 - MONTH(TODAY())+1):INDEX($E102:$AN102, $AU$4)),"-")</f>
        <v>322</v>
      </c>
    </row>
    <row r="103" spans="2:45" ht="15.75" hidden="1" x14ac:dyDescent="0.25">
      <c r="B103" t="str">
        <f>$D$125&amp;"_W VYRs"</f>
        <v>PC Annual Direct - Subscription_W VYRs</v>
      </c>
      <c r="C103" t="str">
        <f>$C102</f>
        <v>Boom Subscription</v>
      </c>
      <c r="D103" s="211" t="s">
        <v>305</v>
      </c>
      <c r="E103" s="31" t="str">
        <f>IFERROR(INDEX('Plan Figures'!$B$53:$AP$90,MATCH('Headline - Sales, NWP, GWP'!E$4,'Plan Figures'!$B$53:$B$90,0),MATCH('Headline - Sales, NWP, GWP'!$B103,'Plan Figures'!$B$1:$AP$1,0))*12,"-")</f>
        <v>-</v>
      </c>
      <c r="F103" s="31" t="str">
        <f>IFERROR(INDEX('Plan Figures'!$B$53:$AP$90,MATCH('Headline - Sales, NWP, GWP'!F$4,'Plan Figures'!$B$53:$B$90,0),MATCH('Headline - Sales, NWP, GWP'!$B103,'Plan Figures'!$B$1:$AP$1,0))*12,"-")</f>
        <v>-</v>
      </c>
      <c r="G103" s="31" t="str">
        <f>IFERROR(INDEX('Plan Figures'!$B$53:$AP$90,MATCH('Headline - Sales, NWP, GWP'!G$4,'Plan Figures'!$B$53:$B$90,0),MATCH('Headline - Sales, NWP, GWP'!$B103,'Plan Figures'!$B$1:$AP$1,0))*12,"-")</f>
        <v>-</v>
      </c>
      <c r="H103" s="31" t="str">
        <f>IFERROR(INDEX('Plan Figures'!$B$53:$AP$90,MATCH('Headline - Sales, NWP, GWP'!H$4,'Plan Figures'!$B$53:$B$90,0),MATCH('Headline - Sales, NWP, GWP'!$B103,'Plan Figures'!$B$1:$AP$1,0))*12,"-")</f>
        <v>-</v>
      </c>
      <c r="I103" s="31" t="str">
        <f>IFERROR(INDEX('Plan Figures'!$B$53:$AP$90,MATCH('Headline - Sales, NWP, GWP'!I$4,'Plan Figures'!$B$53:$B$90,0),MATCH('Headline - Sales, NWP, GWP'!$B103,'Plan Figures'!$B$1:$AP$1,0))*12,"-")</f>
        <v>-</v>
      </c>
      <c r="J103" s="31" t="str">
        <f>IFERROR(INDEX('Plan Figures'!$B$53:$AP$90,MATCH('Headline - Sales, NWP, GWP'!J$4,'Plan Figures'!$B$53:$B$90,0),MATCH('Headline - Sales, NWP, GWP'!$B103,'Plan Figures'!$B$1:$AP$1,0))*12,"-")</f>
        <v>-</v>
      </c>
      <c r="K103" s="31" t="str">
        <f>IFERROR(INDEX('Plan Figures'!$B$53:$AP$90,MATCH('Headline - Sales, NWP, GWP'!K$4,'Plan Figures'!$B$53:$B$90,0),MATCH('Headline - Sales, NWP, GWP'!$B103,'Plan Figures'!$B$1:$AP$1,0))*12,"-")</f>
        <v>-</v>
      </c>
      <c r="L103" s="31" t="str">
        <f>IFERROR(INDEX('Plan Figures'!$B$53:$AP$90,MATCH('Headline - Sales, NWP, GWP'!L$4,'Plan Figures'!$B$53:$B$90,0),MATCH('Headline - Sales, NWP, GWP'!$B103,'Plan Figures'!$B$1:$AP$1,0))*12,"-")</f>
        <v>-</v>
      </c>
      <c r="M103" s="31" t="str">
        <f>IFERROR(INDEX('Plan Figures'!$B$53:$AP$90,MATCH('Headline - Sales, NWP, GWP'!M$4,'Plan Figures'!$B$53:$B$90,0),MATCH('Headline - Sales, NWP, GWP'!$B103,'Plan Figures'!$B$1:$AP$1,0))*12,"-")</f>
        <v>-</v>
      </c>
      <c r="N103" s="31" t="str">
        <f>IFERROR(INDEX('Plan Figures'!$B$53:$AP$90,MATCH('Headline - Sales, NWP, GWP'!N$4,'Plan Figures'!$B$53:$B$90,0),MATCH('Headline - Sales, NWP, GWP'!$B103,'Plan Figures'!$B$1:$AP$1,0))*12,"-")</f>
        <v>-</v>
      </c>
      <c r="O103" s="31">
        <f>IFERROR(INDEX('Plan Figures'!$B$53:$AP$90,MATCH('Headline - Sales, NWP, GWP'!O$4,'Plan Figures'!$B$53:$B$90,0),MATCH('Headline - Sales, NWP, GWP'!$B103,'Plan Figures'!$B$1:$AP$1,0))*12,"-")</f>
        <v>7427.717167901149</v>
      </c>
      <c r="P103" s="240">
        <f>IFERROR(INDEX('Plan Figures'!$B$53:$AP$90,MATCH('Headline - Sales, NWP, GWP'!P$4,'Plan Figures'!$B$53:$B$90,0),MATCH('Headline - Sales, NWP, GWP'!$B103,'Plan Figures'!$B$1:$AP$1,0))*12,"-")</f>
        <v>9210.019416846244</v>
      </c>
      <c r="Q103" s="31">
        <f>IFERROR(INDEX('Plan Figures'!$B$53:$AP$90,MATCH('Headline - Sales, NWP, GWP'!Q$4,'Plan Figures'!$B$53:$B$90,0),MATCH('Headline - Sales, NWP, GWP'!$B103,'Plan Figures'!$B$1:$AP$1,0))*12,"-")</f>
        <v>10048.735343006636</v>
      </c>
      <c r="R103" s="31">
        <f>IFERROR(INDEX('Plan Figures'!$B$53:$AP$90,MATCH('Headline - Sales, NWP, GWP'!R$4,'Plan Figures'!$B$53:$B$90,0),MATCH('Headline - Sales, NWP, GWP'!$B103,'Plan Figures'!$B$1:$AP$1,0))*12,"-")</f>
        <v>10048.735343006636</v>
      </c>
      <c r="S103" s="31">
        <f>IFERROR(INDEX('Plan Figures'!$B$53:$AP$90,MATCH('Headline - Sales, NWP, GWP'!S$4,'Plan Figures'!$B$53:$B$90,0),MATCH('Headline - Sales, NWP, GWP'!$B103,'Plan Figures'!$B$1:$AP$1,0))*12,"-")</f>
        <v>10048.735343006636</v>
      </c>
      <c r="T103" s="31">
        <f>IFERROR(INDEX('Plan Figures'!$B$53:$AP$90,MATCH('Headline - Sales, NWP, GWP'!T$4,'Plan Figures'!$B$53:$B$90,0),MATCH('Headline - Sales, NWP, GWP'!$B103,'Plan Figures'!$B$1:$AP$1,0))*12,"-")</f>
        <v>10048.735343006636</v>
      </c>
      <c r="U103" s="31">
        <f>IFERROR(INDEX('Plan Figures'!$B$53:$AP$90,MATCH('Headline - Sales, NWP, GWP'!U$4,'Plan Figures'!$B$53:$B$90,0),MATCH('Headline - Sales, NWP, GWP'!$B103,'Plan Figures'!$B$1:$AP$1,0))*12,"-")</f>
        <v>10044.966814095142</v>
      </c>
      <c r="V103" s="31">
        <f>IFERROR(INDEX('Plan Figures'!$B$53:$AP$90,MATCH('Headline - Sales, NWP, GWP'!V$4,'Plan Figures'!$B$53:$B$90,0),MATCH('Headline - Sales, NWP, GWP'!$B103,'Plan Figures'!$B$1:$AP$1,0))*12,"-")</f>
        <v>9712.2057112102266</v>
      </c>
      <c r="W103" s="31">
        <f>IFERROR(INDEX('Plan Figures'!$B$53:$AP$90,MATCH('Headline - Sales, NWP, GWP'!W$4,'Plan Figures'!$B$53:$B$90,0),MATCH('Headline - Sales, NWP, GWP'!$B103,'Plan Figures'!$B$1:$AP$1,0))*12,"-")</f>
        <v>11508.674734515973</v>
      </c>
      <c r="X103" s="31">
        <f>IFERROR(INDEX('Plan Figures'!$B$53:$AP$90,MATCH('Headline - Sales, NWP, GWP'!X$4,'Plan Figures'!$B$53:$B$90,0),MATCH('Headline - Sales, NWP, GWP'!$B103,'Plan Figures'!$B$1:$AP$1,0))*12,"-")</f>
        <v>10221.815378594922</v>
      </c>
      <c r="Y103" s="31">
        <f>IFERROR(INDEX('Plan Figures'!$B$53:$AP$90,MATCH('Headline - Sales, NWP, GWP'!Y$4,'Plan Figures'!$B$53:$B$90,0),MATCH('Headline - Sales, NWP, GWP'!$B103,'Plan Figures'!$B$1:$AP$1,0))*12,"-")</f>
        <v>8912.531829287951</v>
      </c>
      <c r="Z103" s="31">
        <f>IFERROR(INDEX('Plan Figures'!$B$53:$AP$90,MATCH('Headline - Sales, NWP, GWP'!Z$4,'Plan Figures'!$B$53:$B$90,0),MATCH('Headline - Sales, NWP, GWP'!$B103,'Plan Figures'!$B$1:$AP$1,0))*12,"-")</f>
        <v>6921.1187844028191</v>
      </c>
      <c r="AA103" s="31">
        <f>IFERROR(INDEX('Plan Figures'!$B$53:$AP$90,MATCH('Headline - Sales, NWP, GWP'!AA$4,'Plan Figures'!$B$53:$B$90,0),MATCH('Headline - Sales, NWP, GWP'!$B103,'Plan Figures'!$B$1:$AP$1,0))*12,"-")</f>
        <v>4395.865264717384</v>
      </c>
      <c r="AB103" s="240">
        <f>IFERROR(INDEX('Plan Figures'!$B$53:$AP$90,MATCH('Headline - Sales, NWP, GWP'!AB$4,'Plan Figures'!$B$53:$B$90,0),MATCH('Headline - Sales, NWP, GWP'!$B103,'Plan Figures'!$B$1:$AP$1,0))*12,"-")</f>
        <v>2183.8270913578708</v>
      </c>
      <c r="AC103" s="31">
        <f>IFERROR(INDEX('Plan Figures'!$B$53:$AP$90,MATCH('Headline - Sales, NWP, GWP'!AC$4,'Plan Figures'!$B$53:$B$90,0),MATCH('Headline - Sales, NWP, GWP'!$B103,'Plan Figures'!$B$1:$AP$1,0))*12,"-")</f>
        <v>345.76659478935483</v>
      </c>
      <c r="AD103" s="31">
        <f>IFERROR(INDEX('Plan Figures'!$B$53:$AP$90,MATCH('Headline - Sales, NWP, GWP'!AD$4,'Plan Figures'!$B$53:$B$90,0),MATCH('Headline - Sales, NWP, GWP'!$B103,'Plan Figures'!$B$1:$AP$1,0))*12,"-")</f>
        <v>0</v>
      </c>
      <c r="AE103" s="31">
        <f>IFERROR(INDEX('Plan Figures'!$B$53:$AP$90,MATCH('Headline - Sales, NWP, GWP'!AE$4,'Plan Figures'!$B$53:$B$90,0),MATCH('Headline - Sales, NWP, GWP'!$B103,'Plan Figures'!$B$1:$AP$1,0))*12,"-")</f>
        <v>0</v>
      </c>
      <c r="AF103" s="31">
        <f>IFERROR(INDEX('Plan Figures'!$B$53:$AP$90,MATCH('Headline - Sales, NWP, GWP'!AF$4,'Plan Figures'!$B$53:$B$90,0),MATCH('Headline - Sales, NWP, GWP'!$B103,'Plan Figures'!$B$1:$AP$1,0))*12,"-")</f>
        <v>0</v>
      </c>
      <c r="AG103" s="31">
        <f>IFERROR(INDEX('Plan Figures'!$B$53:$AP$90,MATCH('Headline - Sales, NWP, GWP'!AG$4,'Plan Figures'!$B$53:$B$90,0),MATCH('Headline - Sales, NWP, GWP'!$B103,'Plan Figures'!$B$1:$AP$1,0))*12,"-")</f>
        <v>0</v>
      </c>
      <c r="AH103" s="31">
        <f>IFERROR(INDEX('Plan Figures'!$B$53:$AP$90,MATCH('Headline - Sales, NWP, GWP'!AH$4,'Plan Figures'!$B$53:$B$90,0),MATCH('Headline - Sales, NWP, GWP'!$B103,'Plan Figures'!$B$1:$AP$1,0))*12,"-")</f>
        <v>0</v>
      </c>
      <c r="AI103" s="31">
        <f>IFERROR(INDEX('Plan Figures'!$B$53:$AP$90,MATCH('Headline - Sales, NWP, GWP'!AI$4,'Plan Figures'!$B$53:$B$90,0),MATCH('Headline - Sales, NWP, GWP'!$B103,'Plan Figures'!$B$1:$AP$1,0))*12,"-")</f>
        <v>0</v>
      </c>
      <c r="AJ103" s="31">
        <f>IFERROR(INDEX('Plan Figures'!$B$53:$AP$90,MATCH('Headline - Sales, NWP, GWP'!AJ$4,'Plan Figures'!$B$53:$B$90,0),MATCH('Headline - Sales, NWP, GWP'!$B103,'Plan Figures'!$B$1:$AP$1,0))*12,"-")</f>
        <v>0</v>
      </c>
      <c r="AK103" s="31">
        <f>IFERROR(INDEX('Plan Figures'!$B$53:$AP$90,MATCH('Headline - Sales, NWP, GWP'!AK$4,'Plan Figures'!$B$53:$B$90,0),MATCH('Headline - Sales, NWP, GWP'!$B103,'Plan Figures'!$B$1:$AP$1,0))*12,"-")</f>
        <v>0</v>
      </c>
      <c r="AL103" s="31">
        <f>IFERROR(INDEX('Plan Figures'!$B$53:$AP$90,MATCH('Headline - Sales, NWP, GWP'!AL$4,'Plan Figures'!$B$53:$B$90,0),MATCH('Headline - Sales, NWP, GWP'!$B103,'Plan Figures'!$B$1:$AP$1,0))*12,"-")</f>
        <v>0</v>
      </c>
      <c r="AM103" s="31">
        <f>IFERROR(INDEX('Plan Figures'!$B$53:$AP$90,MATCH('Headline - Sales, NWP, GWP'!AM$4,'Plan Figures'!$B$53:$B$90,0),MATCH('Headline - Sales, NWP, GWP'!$B103,'Plan Figures'!$B$1:$AP$1,0))*12,"-")</f>
        <v>0</v>
      </c>
      <c r="AN103" s="31">
        <f>IFERROR(INDEX('Plan Figures'!$B$53:$AP$90,MATCH('Headline - Sales, NWP, GWP'!AN$4,'Plan Figures'!$B$53:$B$90,0),MATCH('Headline - Sales, NWP, GWP'!$B103,'Plan Figures'!$B$1:$AP$1,0))*12,"-")</f>
        <v>0</v>
      </c>
      <c r="AO103" s="239">
        <f ca="1">IFERROR(AVERAGE(INDEX($E103:$AN103, $AU$4 - 3):INDEX($E103:$AN103, $AU$4)),"-")</f>
        <v>0</v>
      </c>
      <c r="AP103" s="31">
        <f ca="1">IFERROR(AVERAGE(INDEX($E103:$AN103, $AU$4 - 11):INDEX($E103:$AN103, $AU$4)),"-")</f>
        <v>1896.5924637129483</v>
      </c>
      <c r="AQ103" s="31" t="str" cm="1">
        <f t="array" ref="AQ103">IFERROR(SUMPRODUCT((YEAR($E$4:$AN$4)=2024)*$E103:$AN103),"-")</f>
        <v>-</v>
      </c>
      <c r="AR103" s="31">
        <f ca="1">IFERROR(SUM(INDEX($E103:$AN103, $AU$4 - MONTH(TODAY())-11):INDEX($E103:$AN103, $AU$4-12)),"-")</f>
        <v>81682.60401044281</v>
      </c>
      <c r="AS103" s="240">
        <f ca="1">IFERROR(SUM(INDEX($E103:$AN103, $AU$4 - MONTH(TODAY())+1):INDEX($E103:$AN103, $AU$4)),"-")</f>
        <v>345.76659478935483</v>
      </c>
    </row>
    <row r="104" spans="2:45" ht="15.75" hidden="1" x14ac:dyDescent="0.25">
      <c r="B104" t="str">
        <f t="shared" ref="B104:B122" si="124">$D$2</f>
        <v>PC Annual Direct</v>
      </c>
      <c r="C104" t="str">
        <f>$C103</f>
        <v>Boom Subscription</v>
      </c>
      <c r="D104" s="213" t="s">
        <v>0</v>
      </c>
      <c r="E104" s="214" t="str">
        <f t="shared" ref="E104" si="125">IFERROR(IF(E102=0,"-",(E102/E103)-1),"-")</f>
        <v>-</v>
      </c>
      <c r="F104" s="214" t="str">
        <f t="shared" ref="F104:AN104" si="126">IFERROR(IF(F102=0,"-",(F102/F103)-1),"-")</f>
        <v>-</v>
      </c>
      <c r="G104" s="214" t="str">
        <f t="shared" si="126"/>
        <v>-</v>
      </c>
      <c r="H104" s="214" t="str">
        <f t="shared" si="126"/>
        <v>-</v>
      </c>
      <c r="I104" s="214" t="str">
        <f t="shared" si="126"/>
        <v>-</v>
      </c>
      <c r="J104" s="214" t="str">
        <f t="shared" si="126"/>
        <v>-</v>
      </c>
      <c r="K104" s="214" t="str">
        <f t="shared" si="126"/>
        <v>-</v>
      </c>
      <c r="L104" s="214" t="str">
        <f t="shared" si="126"/>
        <v>-</v>
      </c>
      <c r="M104" s="214" t="str">
        <f t="shared" si="126"/>
        <v>-</v>
      </c>
      <c r="N104" s="214" t="str">
        <f t="shared" si="126"/>
        <v>-</v>
      </c>
      <c r="O104" s="214">
        <f t="shared" si="126"/>
        <v>1.4770733166188945</v>
      </c>
      <c r="P104" s="294">
        <f t="shared" si="126"/>
        <v>1.1860974541674114</v>
      </c>
      <c r="Q104" s="214">
        <f t="shared" si="126"/>
        <v>1.0098051456848545</v>
      </c>
      <c r="R104" s="214">
        <f t="shared" si="126"/>
        <v>0.74509521859425676</v>
      </c>
      <c r="S104" s="214">
        <f t="shared" si="126"/>
        <v>0.74410006849241239</v>
      </c>
      <c r="T104" s="214">
        <f t="shared" si="126"/>
        <v>0.4267467010142485</v>
      </c>
      <c r="U104" s="214">
        <f t="shared" si="126"/>
        <v>0.29467824440707235</v>
      </c>
      <c r="V104" s="214">
        <f t="shared" si="126"/>
        <v>0.13413989854910446</v>
      </c>
      <c r="W104" s="214">
        <f t="shared" si="126"/>
        <v>-0.11110529787422574</v>
      </c>
      <c r="X104" s="214">
        <f t="shared" si="126"/>
        <v>-0.15230321825758897</v>
      </c>
      <c r="Y104" s="214">
        <f t="shared" si="126"/>
        <v>-0.19697341484032671</v>
      </c>
      <c r="Z104" s="214">
        <f t="shared" si="126"/>
        <v>-0.16328556402609551</v>
      </c>
      <c r="AA104" s="214">
        <f t="shared" si="126"/>
        <v>-0.20925692880091573</v>
      </c>
      <c r="AB104" s="294">
        <f t="shared" si="126"/>
        <v>-0.13179939588481993</v>
      </c>
      <c r="AC104" s="214">
        <f t="shared" si="126"/>
        <v>-6.8735948317487749E-2</v>
      </c>
      <c r="AD104" s="214" t="str">
        <f t="shared" si="126"/>
        <v>-</v>
      </c>
      <c r="AE104" s="214" t="str">
        <f t="shared" si="126"/>
        <v>-</v>
      </c>
      <c r="AF104" s="214" t="str">
        <f t="shared" si="126"/>
        <v>-</v>
      </c>
      <c r="AG104" s="214" t="str">
        <f t="shared" si="126"/>
        <v>-</v>
      </c>
      <c r="AH104" s="214" t="str">
        <f t="shared" si="126"/>
        <v>-</v>
      </c>
      <c r="AI104" s="214" t="str">
        <f t="shared" si="126"/>
        <v>-</v>
      </c>
      <c r="AJ104" s="214" t="str">
        <f t="shared" si="126"/>
        <v>-</v>
      </c>
      <c r="AK104" s="214" t="str">
        <f t="shared" si="126"/>
        <v>-</v>
      </c>
      <c r="AL104" s="214" t="str">
        <f t="shared" si="126"/>
        <v>-</v>
      </c>
      <c r="AM104" s="214" t="str">
        <f t="shared" si="126"/>
        <v>-</v>
      </c>
      <c r="AN104" s="214" t="str">
        <f t="shared" si="126"/>
        <v>-</v>
      </c>
      <c r="AO104" s="241" t="str">
        <f ca="1">IFERROR(AVERAGE(INDEX($E104:$AN104, $AU$4 - 3):INDEX($E104:$AN104, $AU$4)),"-")</f>
        <v>-</v>
      </c>
      <c r="AP104" s="242">
        <f ca="1">IFERROR(AVERAGE(INDEX($E104:$AN104, $AU$4 - 11):INDEX($E104:$AN104, $AU$4)),"-")</f>
        <v>-0.15401025037392913</v>
      </c>
      <c r="AQ104" s="242" t="str" cm="1">
        <f t="array" ref="AQ104">IFERROR(SUMPRODUCT((YEAR($E$4:$AN$4)=2024)*$E104:$AN104),"-")</f>
        <v>-</v>
      </c>
      <c r="AR104" s="242">
        <f ca="1">IFERROR(SUM(INDEX($E104:$AN104, $AU$4 - MONTH(TODAY())-11):INDEX($E104:$AN104, $AU$4-12)),"-")</f>
        <v>3.0911567606101347</v>
      </c>
      <c r="AS104" s="243">
        <f ca="1">IFERROR(SUM(INDEX($E104:$AN104, $AU$4 - MONTH(TODAY())+1):INDEX($E104:$AN104, $AU$4)),"-")</f>
        <v>-6.8735948317487749E-2</v>
      </c>
    </row>
    <row r="105" spans="2:45" ht="15.75" x14ac:dyDescent="0.25">
      <c r="B105" t="str">
        <f>$D$2</f>
        <v>PC Annual Direct</v>
      </c>
      <c r="C105" t="s">
        <v>73</v>
      </c>
      <c r="D105" s="208" t="s">
        <v>316</v>
      </c>
      <c r="E105" s="209">
        <v>872.72328746079984</v>
      </c>
      <c r="F105" s="209">
        <v>807.4109584704986</v>
      </c>
      <c r="G105" s="209">
        <v>1138.6284150960025</v>
      </c>
      <c r="H105" s="209">
        <v>1094.3142079597014</v>
      </c>
      <c r="I105" s="209">
        <v>1308.0382511398011</v>
      </c>
      <c r="J105" s="209">
        <v>1266.4125686641009</v>
      </c>
      <c r="K105" s="209">
        <v>1403.3442620537007</v>
      </c>
      <c r="L105" s="209">
        <v>1434.5901636761987</v>
      </c>
      <c r="M105" s="209">
        <v>1347.4699457362001</v>
      </c>
      <c r="N105" s="209">
        <v>1478.7213112219983</v>
      </c>
      <c r="O105" s="209">
        <v>1457.8442627073018</v>
      </c>
      <c r="P105" s="238">
        <v>1649.2622947993984</v>
      </c>
      <c r="Q105" s="209">
        <v>1654.3333330499975</v>
      </c>
      <c r="R105" s="209">
        <v>1341.5519118592008</v>
      </c>
      <c r="S105" s="209">
        <v>1436.0027393867981</v>
      </c>
      <c r="T105" s="209">
        <v>1139.0986302156018</v>
      </c>
      <c r="U105" s="209">
        <v>1068.0876709559996</v>
      </c>
      <c r="V105" s="209">
        <v>876.08219184120208</v>
      </c>
      <c r="W105" s="209">
        <v>840.21643813799972</v>
      </c>
      <c r="X105" s="209">
        <v>712.1917806319999</v>
      </c>
      <c r="Y105" s="209">
        <v>568.6383562036001</v>
      </c>
      <c r="Z105" s="209">
        <v>475.57808206879906</v>
      </c>
      <c r="AA105" s="209">
        <v>276.17534248479984</v>
      </c>
      <c r="AB105" s="238">
        <v>156.55616434400034</v>
      </c>
      <c r="AC105" s="209">
        <v>26.465753417599984</v>
      </c>
      <c r="AD105" s="209">
        <v>0</v>
      </c>
      <c r="AE105" s="209">
        <v>0</v>
      </c>
      <c r="AF105" s="209">
        <v>0</v>
      </c>
      <c r="AG105" s="209">
        <v>0</v>
      </c>
      <c r="AH105" s="209">
        <v>0</v>
      </c>
      <c r="AI105" s="209">
        <v>0</v>
      </c>
      <c r="AJ105" s="209">
        <v>0</v>
      </c>
      <c r="AK105" s="209">
        <v>0</v>
      </c>
      <c r="AL105" s="209">
        <v>0</v>
      </c>
      <c r="AM105" s="209">
        <v>0</v>
      </c>
      <c r="AN105" s="209">
        <v>0</v>
      </c>
      <c r="AO105" s="237">
        <f ca="1">IFERROR(AVERAGE(INDEX($E105:$AN105, $AU$4 - 3):INDEX($E105:$AN105, $AU$4)),"-")</f>
        <v>0</v>
      </c>
      <c r="AP105" s="209">
        <f ca="1">IFERROR(AVERAGE(INDEX($E105:$AN105, $AU$4 - 11):INDEX($E105:$AN105, $AU$4)),"-")</f>
        <v>125.28447487656659</v>
      </c>
      <c r="AQ105" s="209" cm="1">
        <f t="array" ref="AQ105">IFERROR(SUMPRODUCT((YEAR($E$4:$AN$4)=2024)*$E105:$AN105),"-")</f>
        <v>10544.512641179997</v>
      </c>
      <c r="AR105" s="209">
        <f ca="1">IFERROR(SUM(INDEX($E105:$AN105, $AU$4 - MONTH(TODAY())-11):INDEX($E105:$AN105, $AU$4-12)),"-")</f>
        <v>9067.5646960787981</v>
      </c>
      <c r="AS105" s="238">
        <f ca="1">IFERROR(SUM(INDEX($E105:$AN105, $AU$4 - MONTH(TODAY())+1):INDEX($E105:$AN105, $AU$4)),"-")</f>
        <v>26.465753417599984</v>
      </c>
    </row>
    <row r="106" spans="2:45" ht="15.75" hidden="1" x14ac:dyDescent="0.25">
      <c r="B106" t="str">
        <f>$D$125&amp;"_W VYRs"</f>
        <v>PC Annual Direct - Subscription_W VYRs</v>
      </c>
      <c r="C106" t="str">
        <f>$C105</f>
        <v>Boom Subscription</v>
      </c>
      <c r="D106" s="211" t="s">
        <v>317</v>
      </c>
      <c r="E106" s="31" t="str">
        <f>IFERROR(INDEX('Plan Figures'!$B$53:$AP$90,MATCH('Headline - Sales, NWP, GWP'!E$4,'Plan Figures'!$B$53:$B$90,0),MATCH('Headline - Sales, NWP, GWP'!$B106,'Plan Figures'!$B$1:$AP$1,0)),"-")</f>
        <v>-</v>
      </c>
      <c r="F106" s="31" t="str">
        <f>IFERROR(INDEX('Plan Figures'!$B$53:$AP$90,MATCH('Headline - Sales, NWP, GWP'!F$4,'Plan Figures'!$B$53:$B$90,0),MATCH('Headline - Sales, NWP, GWP'!$B106,'Plan Figures'!$B$1:$AP$1,0)),"-")</f>
        <v>-</v>
      </c>
      <c r="G106" s="31" t="str">
        <f>IFERROR(INDEX('Plan Figures'!$B$53:$AP$90,MATCH('Headline - Sales, NWP, GWP'!G$4,'Plan Figures'!$B$53:$B$90,0),MATCH('Headline - Sales, NWP, GWP'!$B106,'Plan Figures'!$B$1:$AP$1,0)),"-")</f>
        <v>-</v>
      </c>
      <c r="H106" s="31" t="str">
        <f>IFERROR(INDEX('Plan Figures'!$B$53:$AP$90,MATCH('Headline - Sales, NWP, GWP'!H$4,'Plan Figures'!$B$53:$B$90,0),MATCH('Headline - Sales, NWP, GWP'!$B106,'Plan Figures'!$B$1:$AP$1,0)),"-")</f>
        <v>-</v>
      </c>
      <c r="I106" s="31" t="str">
        <f>IFERROR(INDEX('Plan Figures'!$B$53:$AP$90,MATCH('Headline - Sales, NWP, GWP'!I$4,'Plan Figures'!$B$53:$B$90,0),MATCH('Headline - Sales, NWP, GWP'!$B106,'Plan Figures'!$B$1:$AP$1,0)),"-")</f>
        <v>-</v>
      </c>
      <c r="J106" s="31" t="str">
        <f>IFERROR(INDEX('Plan Figures'!$B$53:$AP$90,MATCH('Headline - Sales, NWP, GWP'!J$4,'Plan Figures'!$B$53:$B$90,0),MATCH('Headline - Sales, NWP, GWP'!$B106,'Plan Figures'!$B$1:$AP$1,0)),"-")</f>
        <v>-</v>
      </c>
      <c r="K106" s="31" t="str">
        <f>IFERROR(INDEX('Plan Figures'!$B$53:$AP$90,MATCH('Headline - Sales, NWP, GWP'!K$4,'Plan Figures'!$B$53:$B$90,0),MATCH('Headline - Sales, NWP, GWP'!$B106,'Plan Figures'!$B$1:$AP$1,0)),"-")</f>
        <v>-</v>
      </c>
      <c r="L106" s="31" t="str">
        <f>IFERROR(INDEX('Plan Figures'!$B$53:$AP$90,MATCH('Headline - Sales, NWP, GWP'!L$4,'Plan Figures'!$B$53:$B$90,0),MATCH('Headline - Sales, NWP, GWP'!$B106,'Plan Figures'!$B$1:$AP$1,0)),"-")</f>
        <v>-</v>
      </c>
      <c r="M106" s="31" t="str">
        <f>IFERROR(INDEX('Plan Figures'!$B$53:$AP$90,MATCH('Headline - Sales, NWP, GWP'!M$4,'Plan Figures'!$B$53:$B$90,0),MATCH('Headline - Sales, NWP, GWP'!$B106,'Plan Figures'!$B$1:$AP$1,0)),"-")</f>
        <v>-</v>
      </c>
      <c r="N106" s="31" t="str">
        <f>IFERROR(INDEX('Plan Figures'!$B$53:$AP$90,MATCH('Headline - Sales, NWP, GWP'!N$4,'Plan Figures'!$B$53:$B$90,0),MATCH('Headline - Sales, NWP, GWP'!$B106,'Plan Figures'!$B$1:$AP$1,0)),"-")</f>
        <v>-</v>
      </c>
      <c r="O106" s="31">
        <f>IFERROR(INDEX('Plan Figures'!$B$53:$AP$90,MATCH('Headline - Sales, NWP, GWP'!O$4,'Plan Figures'!$B$53:$B$90,0),MATCH('Headline - Sales, NWP, GWP'!$B106,'Plan Figures'!$B$1:$AP$1,0)),"-")</f>
        <v>618.97643065842908</v>
      </c>
      <c r="P106" s="240">
        <f>IFERROR(INDEX('Plan Figures'!$B$53:$AP$90,MATCH('Headline - Sales, NWP, GWP'!P$4,'Plan Figures'!$B$53:$B$90,0),MATCH('Headline - Sales, NWP, GWP'!$B106,'Plan Figures'!$B$1:$AP$1,0)),"-")</f>
        <v>767.50161807052041</v>
      </c>
      <c r="Q106" s="31">
        <f>IFERROR(INDEX('Plan Figures'!$B$53:$AP$90,MATCH('Headline - Sales, NWP, GWP'!Q$4,'Plan Figures'!$B$53:$B$90,0),MATCH('Headline - Sales, NWP, GWP'!$B106,'Plan Figures'!$B$1:$AP$1,0)),"-")</f>
        <v>837.39461191721966</v>
      </c>
      <c r="R106" s="31">
        <f>IFERROR(INDEX('Plan Figures'!$B$53:$AP$90,MATCH('Headline - Sales, NWP, GWP'!R$4,'Plan Figures'!$B$53:$B$90,0),MATCH('Headline - Sales, NWP, GWP'!$B106,'Plan Figures'!$B$1:$AP$1,0)),"-")</f>
        <v>837.39461191721966</v>
      </c>
      <c r="S106" s="31">
        <f>IFERROR(INDEX('Plan Figures'!$B$53:$AP$90,MATCH('Headline - Sales, NWP, GWP'!S$4,'Plan Figures'!$B$53:$B$90,0),MATCH('Headline - Sales, NWP, GWP'!$B106,'Plan Figures'!$B$1:$AP$1,0)),"-")</f>
        <v>837.39461191721966</v>
      </c>
      <c r="T106" s="31">
        <f>IFERROR(INDEX('Plan Figures'!$B$53:$AP$90,MATCH('Headline - Sales, NWP, GWP'!T$4,'Plan Figures'!$B$53:$B$90,0),MATCH('Headline - Sales, NWP, GWP'!$B106,'Plan Figures'!$B$1:$AP$1,0)),"-")</f>
        <v>837.39461191721966</v>
      </c>
      <c r="U106" s="31">
        <f>IFERROR(INDEX('Plan Figures'!$B$53:$AP$90,MATCH('Headline - Sales, NWP, GWP'!U$4,'Plan Figures'!$B$53:$B$90,0),MATCH('Headline - Sales, NWP, GWP'!$B106,'Plan Figures'!$B$1:$AP$1,0)),"-")</f>
        <v>837.08056784126177</v>
      </c>
      <c r="V106" s="31">
        <f>IFERROR(INDEX('Plan Figures'!$B$53:$AP$90,MATCH('Headline - Sales, NWP, GWP'!V$4,'Plan Figures'!$B$53:$B$90,0),MATCH('Headline - Sales, NWP, GWP'!$B106,'Plan Figures'!$B$1:$AP$1,0)),"-")</f>
        <v>809.35047593418562</v>
      </c>
      <c r="W106" s="31">
        <f>IFERROR(INDEX('Plan Figures'!$B$53:$AP$90,MATCH('Headline - Sales, NWP, GWP'!W$4,'Plan Figures'!$B$53:$B$90,0),MATCH('Headline - Sales, NWP, GWP'!$B106,'Plan Figures'!$B$1:$AP$1,0)),"-")</f>
        <v>959.05622787633104</v>
      </c>
      <c r="X106" s="31">
        <f>IFERROR(INDEX('Plan Figures'!$B$53:$AP$90,MATCH('Headline - Sales, NWP, GWP'!X$4,'Plan Figures'!$B$53:$B$90,0),MATCH('Headline - Sales, NWP, GWP'!$B106,'Plan Figures'!$B$1:$AP$1,0)),"-")</f>
        <v>851.81794821624351</v>
      </c>
      <c r="Y106" s="31">
        <f>IFERROR(INDEX('Plan Figures'!$B$53:$AP$90,MATCH('Headline - Sales, NWP, GWP'!Y$4,'Plan Figures'!$B$53:$B$90,0),MATCH('Headline - Sales, NWP, GWP'!$B106,'Plan Figures'!$B$1:$AP$1,0)),"-")</f>
        <v>742.71098577399596</v>
      </c>
      <c r="Z106" s="31">
        <f>IFERROR(INDEX('Plan Figures'!$B$53:$AP$90,MATCH('Headline - Sales, NWP, GWP'!Z$4,'Plan Figures'!$B$53:$B$90,0),MATCH('Headline - Sales, NWP, GWP'!$B106,'Plan Figures'!$B$1:$AP$1,0)),"-")</f>
        <v>576.75989870023488</v>
      </c>
      <c r="AA106" s="31">
        <f>IFERROR(INDEX('Plan Figures'!$B$53:$AP$90,MATCH('Headline - Sales, NWP, GWP'!AA$4,'Plan Figures'!$B$53:$B$90,0),MATCH('Headline - Sales, NWP, GWP'!$B106,'Plan Figures'!$B$1:$AP$1,0)),"-")</f>
        <v>366.32210539311529</v>
      </c>
      <c r="AB106" s="240">
        <f>IFERROR(INDEX('Plan Figures'!$B$53:$AP$90,MATCH('Headline - Sales, NWP, GWP'!AB$4,'Plan Figures'!$B$53:$B$90,0),MATCH('Headline - Sales, NWP, GWP'!$B106,'Plan Figures'!$B$1:$AP$1,0)),"-")</f>
        <v>181.98559094648922</v>
      </c>
      <c r="AC106" s="31">
        <f>IFERROR(INDEX('Plan Figures'!$B$53:$AP$90,MATCH('Headline - Sales, NWP, GWP'!AC$4,'Plan Figures'!$B$53:$B$90,0),MATCH('Headline - Sales, NWP, GWP'!$B106,'Plan Figures'!$B$1:$AP$1,0)),"-")</f>
        <v>28.813882899112901</v>
      </c>
      <c r="AD106" s="31">
        <f>IFERROR(INDEX('Plan Figures'!$B$53:$AP$90,MATCH('Headline - Sales, NWP, GWP'!AD$4,'Plan Figures'!$B$53:$B$90,0),MATCH('Headline - Sales, NWP, GWP'!$B106,'Plan Figures'!$B$1:$AP$1,0)),"-")</f>
        <v>0</v>
      </c>
      <c r="AE106" s="31">
        <f>IFERROR(INDEX('Plan Figures'!$B$53:$AP$90,MATCH('Headline - Sales, NWP, GWP'!AE$4,'Plan Figures'!$B$53:$B$90,0),MATCH('Headline - Sales, NWP, GWP'!$B106,'Plan Figures'!$B$1:$AP$1,0)),"-")</f>
        <v>0</v>
      </c>
      <c r="AF106" s="31">
        <f>IFERROR(INDEX('Plan Figures'!$B$53:$AP$90,MATCH('Headline - Sales, NWP, GWP'!AF$4,'Plan Figures'!$B$53:$B$90,0),MATCH('Headline - Sales, NWP, GWP'!$B106,'Plan Figures'!$B$1:$AP$1,0)),"-")</f>
        <v>0</v>
      </c>
      <c r="AG106" s="31">
        <f>IFERROR(INDEX('Plan Figures'!$B$53:$AP$90,MATCH('Headline - Sales, NWP, GWP'!AG$4,'Plan Figures'!$B$53:$B$90,0),MATCH('Headline - Sales, NWP, GWP'!$B106,'Plan Figures'!$B$1:$AP$1,0)),"-")</f>
        <v>0</v>
      </c>
      <c r="AH106" s="31">
        <f>IFERROR(INDEX('Plan Figures'!$B$53:$AP$90,MATCH('Headline - Sales, NWP, GWP'!AH$4,'Plan Figures'!$B$53:$B$90,0),MATCH('Headline - Sales, NWP, GWP'!$B106,'Plan Figures'!$B$1:$AP$1,0)),"-")</f>
        <v>0</v>
      </c>
      <c r="AI106" s="31">
        <f>IFERROR(INDEX('Plan Figures'!$B$53:$AP$90,MATCH('Headline - Sales, NWP, GWP'!AI$4,'Plan Figures'!$B$53:$B$90,0),MATCH('Headline - Sales, NWP, GWP'!$B106,'Plan Figures'!$B$1:$AP$1,0)),"-")</f>
        <v>0</v>
      </c>
      <c r="AJ106" s="31">
        <f>IFERROR(INDEX('Plan Figures'!$B$53:$AP$90,MATCH('Headline - Sales, NWP, GWP'!AJ$4,'Plan Figures'!$B$53:$B$90,0),MATCH('Headline - Sales, NWP, GWP'!$B106,'Plan Figures'!$B$1:$AP$1,0)),"-")</f>
        <v>0</v>
      </c>
      <c r="AK106" s="31">
        <f>IFERROR(INDEX('Plan Figures'!$B$53:$AP$90,MATCH('Headline - Sales, NWP, GWP'!AK$4,'Plan Figures'!$B$53:$B$90,0),MATCH('Headline - Sales, NWP, GWP'!$B106,'Plan Figures'!$B$1:$AP$1,0)),"-")</f>
        <v>0</v>
      </c>
      <c r="AL106" s="31">
        <f>IFERROR(INDEX('Plan Figures'!$B$53:$AP$90,MATCH('Headline - Sales, NWP, GWP'!AL$4,'Plan Figures'!$B$53:$B$90,0),MATCH('Headline - Sales, NWP, GWP'!$B106,'Plan Figures'!$B$1:$AP$1,0)),"-")</f>
        <v>0</v>
      </c>
      <c r="AM106" s="31">
        <f>IFERROR(INDEX('Plan Figures'!$B$53:$AP$90,MATCH('Headline - Sales, NWP, GWP'!AM$4,'Plan Figures'!$B$53:$B$90,0),MATCH('Headline - Sales, NWP, GWP'!$B106,'Plan Figures'!$B$1:$AP$1,0)),"-")</f>
        <v>0</v>
      </c>
      <c r="AN106" s="31">
        <f>IFERROR(INDEX('Plan Figures'!$B$53:$AP$90,MATCH('Headline - Sales, NWP, GWP'!AN$4,'Plan Figures'!$B$53:$B$90,0),MATCH('Headline - Sales, NWP, GWP'!$B106,'Plan Figures'!$B$1:$AP$1,0)),"-")</f>
        <v>0</v>
      </c>
      <c r="AO106" s="239">
        <f ca="1">IFERROR(AVERAGE(INDEX($E106:$AN106, $AU$4 - 3):INDEX($E106:$AN106, $AU$4)),"-")</f>
        <v>0</v>
      </c>
      <c r="AP106" s="31">
        <f ca="1">IFERROR(AVERAGE(INDEX($E106:$AN106, $AU$4 - 11):INDEX($E106:$AN106, $AU$4)),"-")</f>
        <v>158.04937197607902</v>
      </c>
      <c r="AQ106" s="31" t="str" cm="1">
        <f t="array" ref="AQ106">IFERROR(SUMPRODUCT((YEAR($E$4:$AN$4)=2024)*$E106:$AN106),"-")</f>
        <v>-</v>
      </c>
      <c r="AR106" s="31">
        <f ca="1">IFERROR(SUM(INDEX($E106:$AN106, $AU$4 - MONTH(TODAY())-11):INDEX($E106:$AN106, $AU$4-12)),"-")</f>
        <v>6806.8836675369002</v>
      </c>
      <c r="AS106" s="240">
        <f ca="1">IFERROR(SUM(INDEX($E106:$AN106, $AU$4 - MONTH(TODAY())+1):INDEX($E106:$AN106, $AU$4)),"-")</f>
        <v>28.813882899112901</v>
      </c>
    </row>
    <row r="107" spans="2:45" ht="15.75" hidden="1" x14ac:dyDescent="0.25">
      <c r="B107" t="str">
        <f t="shared" si="124"/>
        <v>PC Annual Direct</v>
      </c>
      <c r="C107" t="str">
        <f>$C106</f>
        <v>Boom Subscription</v>
      </c>
      <c r="D107" s="213" t="s">
        <v>0</v>
      </c>
      <c r="E107" s="214" t="str">
        <f t="shared" ref="E107" si="127">IFERROR(IF(E105=0,"-",(E105/E106)-1),"-")</f>
        <v>-</v>
      </c>
      <c r="F107" s="214" t="str">
        <f t="shared" ref="F107:AN107" si="128">IFERROR(IF(F105=0,"-",(F105/F106)-1),"-")</f>
        <v>-</v>
      </c>
      <c r="G107" s="214" t="str">
        <f t="shared" si="128"/>
        <v>-</v>
      </c>
      <c r="H107" s="214" t="str">
        <f t="shared" si="128"/>
        <v>-</v>
      </c>
      <c r="I107" s="214" t="str">
        <f t="shared" si="128"/>
        <v>-</v>
      </c>
      <c r="J107" s="214" t="str">
        <f t="shared" si="128"/>
        <v>-</v>
      </c>
      <c r="K107" s="214" t="str">
        <f t="shared" si="128"/>
        <v>-</v>
      </c>
      <c r="L107" s="214" t="str">
        <f t="shared" si="128"/>
        <v>-</v>
      </c>
      <c r="M107" s="214" t="str">
        <f t="shared" si="128"/>
        <v>-</v>
      </c>
      <c r="N107" s="214" t="str">
        <f t="shared" si="128"/>
        <v>-</v>
      </c>
      <c r="O107" s="214">
        <f t="shared" si="128"/>
        <v>1.3552500394183618</v>
      </c>
      <c r="P107" s="294">
        <f t="shared" si="128"/>
        <v>1.1488714238096356</v>
      </c>
      <c r="Q107" s="214">
        <f t="shared" si="128"/>
        <v>0.97557198184305483</v>
      </c>
      <c r="R107" s="214">
        <f t="shared" si="128"/>
        <v>0.60205462605940374</v>
      </c>
      <c r="S107" s="214">
        <f t="shared" si="128"/>
        <v>0.71484592681944981</v>
      </c>
      <c r="T107" s="214">
        <f t="shared" si="128"/>
        <v>0.36028894144378243</v>
      </c>
      <c r="U107" s="214">
        <f t="shared" si="128"/>
        <v>0.27596758542666877</v>
      </c>
      <c r="V107" s="214">
        <f t="shared" si="128"/>
        <v>8.2450950350022367E-2</v>
      </c>
      <c r="W107" s="214">
        <f t="shared" si="128"/>
        <v>-0.12391326627582833</v>
      </c>
      <c r="X107" s="214">
        <f t="shared" si="128"/>
        <v>-0.16391550316194792</v>
      </c>
      <c r="Y107" s="214">
        <f t="shared" si="128"/>
        <v>-0.23437465300044114</v>
      </c>
      <c r="Z107" s="214">
        <f t="shared" si="128"/>
        <v>-0.17543143491677471</v>
      </c>
      <c r="AA107" s="214">
        <f t="shared" si="128"/>
        <v>-0.246086058092441</v>
      </c>
      <c r="AB107" s="294">
        <f t="shared" si="128"/>
        <v>-0.13973318695306003</v>
      </c>
      <c r="AC107" s="214">
        <f t="shared" si="128"/>
        <v>-8.1492990366293538E-2</v>
      </c>
      <c r="AD107" s="214" t="str">
        <f t="shared" si="128"/>
        <v>-</v>
      </c>
      <c r="AE107" s="214" t="str">
        <f t="shared" si="128"/>
        <v>-</v>
      </c>
      <c r="AF107" s="214" t="str">
        <f t="shared" si="128"/>
        <v>-</v>
      </c>
      <c r="AG107" s="214" t="str">
        <f t="shared" si="128"/>
        <v>-</v>
      </c>
      <c r="AH107" s="214" t="str">
        <f t="shared" si="128"/>
        <v>-</v>
      </c>
      <c r="AI107" s="214" t="str">
        <f t="shared" si="128"/>
        <v>-</v>
      </c>
      <c r="AJ107" s="214" t="str">
        <f t="shared" si="128"/>
        <v>-</v>
      </c>
      <c r="AK107" s="214" t="str">
        <f t="shared" si="128"/>
        <v>-</v>
      </c>
      <c r="AL107" s="214" t="str">
        <f t="shared" si="128"/>
        <v>-</v>
      </c>
      <c r="AM107" s="214" t="str">
        <f t="shared" si="128"/>
        <v>-</v>
      </c>
      <c r="AN107" s="214" t="str">
        <f t="shared" si="128"/>
        <v>-</v>
      </c>
      <c r="AO107" s="241" t="str">
        <f ca="1">IFERROR(AVERAGE(INDEX($E107:$AN107, $AU$4 - 3):INDEX($E107:$AN107, $AU$4)),"-")</f>
        <v>-</v>
      </c>
      <c r="AP107" s="242">
        <f ca="1">IFERROR(AVERAGE(INDEX($E107:$AN107, $AU$4 - 11):INDEX($E107:$AN107, $AU$4)),"-")</f>
        <v>-0.17542366466580209</v>
      </c>
      <c r="AQ107" s="242" t="str" cm="1">
        <f t="array" ref="AQ107">IFERROR(SUMPRODUCT((YEAR($E$4:$AN$4)=2024)*$E107:$AN107),"-")</f>
        <v>-</v>
      </c>
      <c r="AR107" s="242">
        <f ca="1">IFERROR(SUM(INDEX($E107:$AN107, $AU$4 - MONTH(TODAY())-11):INDEX($E107:$AN107, $AU$4-12)),"-")</f>
        <v>2.7233512425046054</v>
      </c>
      <c r="AS107" s="243">
        <f ca="1">IFERROR(SUM(INDEX($E107:$AN107, $AU$4 - MONTH(TODAY())+1):INDEX($E107:$AN107, $AU$4)),"-")</f>
        <v>-8.1492990366293538E-2</v>
      </c>
    </row>
    <row r="108" spans="2:45" ht="15.75" x14ac:dyDescent="0.25">
      <c r="B108" t="str">
        <f t="shared" si="124"/>
        <v>PC Annual Direct</v>
      </c>
      <c r="C108" t="str">
        <f>$C104</f>
        <v>Boom Subscription</v>
      </c>
      <c r="D108" s="208" t="s">
        <v>5</v>
      </c>
      <c r="E108" s="283">
        <v>956374.23892864131</v>
      </c>
      <c r="F108" s="283">
        <v>870208.7400001334</v>
      </c>
      <c r="G108" s="283">
        <v>1175438.2200003252</v>
      </c>
      <c r="H108" s="283">
        <v>1114047.5835715409</v>
      </c>
      <c r="I108" s="283">
        <v>1319333.2699998543</v>
      </c>
      <c r="J108" s="283">
        <v>1299406.8907144468</v>
      </c>
      <c r="K108" s="283">
        <v>1507304.5900000148</v>
      </c>
      <c r="L108" s="283">
        <v>1604424.8592857479</v>
      </c>
      <c r="M108" s="283">
        <v>1572589.5957144734</v>
      </c>
      <c r="N108" s="283">
        <v>1810115.7375001849</v>
      </c>
      <c r="O108" s="283">
        <v>1854610.3285715433</v>
      </c>
      <c r="P108" s="314">
        <v>2126265.4682145691</v>
      </c>
      <c r="Q108" s="283">
        <v>2162959.7164284387</v>
      </c>
      <c r="R108" s="283">
        <v>1772067.7960710539</v>
      </c>
      <c r="S108" s="283">
        <v>1926033.0846428927</v>
      </c>
      <c r="T108" s="283">
        <v>1557603.4921425986</v>
      </c>
      <c r="U108" s="283">
        <v>1501660.9032142994</v>
      </c>
      <c r="V108" s="283">
        <v>1241013.9799998626</v>
      </c>
      <c r="W108" s="283">
        <v>1172354.7860715501</v>
      </c>
      <c r="X108" s="283">
        <v>983177.46035712806</v>
      </c>
      <c r="Y108" s="283">
        <v>767802.34249997535</v>
      </c>
      <c r="Z108" s="283">
        <v>632493.66035714059</v>
      </c>
      <c r="AA108" s="283">
        <v>363596.5035713262</v>
      </c>
      <c r="AB108" s="314">
        <v>200866.603214345</v>
      </c>
      <c r="AC108" s="283">
        <v>30439.487499985004</v>
      </c>
      <c r="AD108" s="283">
        <v>0</v>
      </c>
      <c r="AE108" s="283">
        <v>0</v>
      </c>
      <c r="AF108" s="283">
        <v>0</v>
      </c>
      <c r="AG108" s="283">
        <v>0</v>
      </c>
      <c r="AH108" s="283">
        <v>0</v>
      </c>
      <c r="AI108" s="283">
        <v>0</v>
      </c>
      <c r="AJ108" s="283">
        <v>0</v>
      </c>
      <c r="AK108" s="283">
        <v>0</v>
      </c>
      <c r="AL108" s="283">
        <v>0</v>
      </c>
      <c r="AM108" s="283">
        <v>0</v>
      </c>
      <c r="AN108" s="283">
        <v>0</v>
      </c>
      <c r="AO108" s="282">
        <f ca="1">IFERROR(AVERAGE(INDEX($E108:$AN108, $AU$4 - 3):INDEX($E108:$AN108, $AU$4)),"-")</f>
        <v>0</v>
      </c>
      <c r="AP108" s="283">
        <f ca="1">IFERROR(AVERAGE(INDEX($E108:$AN108, $AU$4 - 11):INDEX($E108:$AN108, $AU$4)),"-")</f>
        <v>166266.54976189768</v>
      </c>
      <c r="AQ108" s="283" cm="1">
        <f t="array" ref="AQ108">IFERROR(SUMPRODUCT((YEAR($E$4:$AN$4)=2024)*$E108:$AN108),"-")</f>
        <v>14281630.328570612</v>
      </c>
      <c r="AR108" s="283">
        <f ca="1">IFERROR(SUM(INDEX($E108:$AN108, $AU$4 - MONTH(TODAY())-11):INDEX($E108:$AN108, $AU$4-12)),"-")</f>
        <v>12316871.218927825</v>
      </c>
      <c r="AS108" s="314">
        <f ca="1">IFERROR(SUM(INDEX($E108:$AN108, $AU$4 - MONTH(TODAY())+1):INDEX($E108:$AN108, $AU$4)),"-")</f>
        <v>30439.487499985004</v>
      </c>
    </row>
    <row r="109" spans="2:45" ht="15.75" x14ac:dyDescent="0.25">
      <c r="B109" t="str">
        <f>$D$125&amp;"_NWP"</f>
        <v>PC Annual Direct - Subscription_NWP</v>
      </c>
      <c r="C109" t="str">
        <f t="shared" ref="C109:C122" si="129">$C108</f>
        <v>Boom Subscription</v>
      </c>
      <c r="D109" s="211" t="s">
        <v>6</v>
      </c>
      <c r="E109" s="385" t="str">
        <f>INDEX('Plan Figures'!$B$53:$AP$90,MATCH('Headline - Sales, NWP, GWP'!E$4,'Plan Figures'!$B$53:$B$90,0),MATCH('Headline - Sales, NWP, GWP'!$B109,'Plan Figures'!$B$1:$AP$1,0))</f>
        <v>-</v>
      </c>
      <c r="F109" s="385" t="str">
        <f>INDEX('Plan Figures'!$B$53:$AP$90,MATCH('Headline - Sales, NWP, GWP'!F$4,'Plan Figures'!$B$53:$B$90,0),MATCH('Headline - Sales, NWP, GWP'!$B109,'Plan Figures'!$B$1:$AP$1,0))</f>
        <v>-</v>
      </c>
      <c r="G109" s="385" t="str">
        <f>INDEX('Plan Figures'!$B$53:$AP$90,MATCH('Headline - Sales, NWP, GWP'!G$4,'Plan Figures'!$B$53:$B$90,0),MATCH('Headline - Sales, NWP, GWP'!$B109,'Plan Figures'!$B$1:$AP$1,0))</f>
        <v>-</v>
      </c>
      <c r="H109" s="385" t="str">
        <f>INDEX('Plan Figures'!$B$53:$AP$90,MATCH('Headline - Sales, NWP, GWP'!H$4,'Plan Figures'!$B$53:$B$90,0),MATCH('Headline - Sales, NWP, GWP'!$B109,'Plan Figures'!$B$1:$AP$1,0))</f>
        <v>-</v>
      </c>
      <c r="I109" s="385" t="str">
        <f>INDEX('Plan Figures'!$B$53:$AP$90,MATCH('Headline - Sales, NWP, GWP'!I$4,'Plan Figures'!$B$53:$B$90,0),MATCH('Headline - Sales, NWP, GWP'!$B109,'Plan Figures'!$B$1:$AP$1,0))</f>
        <v>-</v>
      </c>
      <c r="J109" s="385" t="str">
        <f>INDEX('Plan Figures'!$B$53:$AP$90,MATCH('Headline - Sales, NWP, GWP'!J$4,'Plan Figures'!$B$53:$B$90,0),MATCH('Headline - Sales, NWP, GWP'!$B109,'Plan Figures'!$B$1:$AP$1,0))</f>
        <v>-</v>
      </c>
      <c r="K109" s="385" t="str">
        <f>INDEX('Plan Figures'!$B$53:$AP$90,MATCH('Headline - Sales, NWP, GWP'!K$4,'Plan Figures'!$B$53:$B$90,0),MATCH('Headline - Sales, NWP, GWP'!$B109,'Plan Figures'!$B$1:$AP$1,0))</f>
        <v>-</v>
      </c>
      <c r="L109" s="385" t="str">
        <f>INDEX('Plan Figures'!$B$53:$AP$90,MATCH('Headline - Sales, NWP, GWP'!L$4,'Plan Figures'!$B$53:$B$90,0),MATCH('Headline - Sales, NWP, GWP'!$B109,'Plan Figures'!$B$1:$AP$1,0))</f>
        <v>-</v>
      </c>
      <c r="M109" s="385" t="str">
        <f>INDEX('Plan Figures'!$B$53:$AP$90,MATCH('Headline - Sales, NWP, GWP'!M$4,'Plan Figures'!$B$53:$B$90,0),MATCH('Headline - Sales, NWP, GWP'!$B109,'Plan Figures'!$B$1:$AP$1,0))</f>
        <v>-</v>
      </c>
      <c r="N109" s="385" t="str">
        <f>INDEX('Plan Figures'!$B$53:$AP$90,MATCH('Headline - Sales, NWP, GWP'!N$4,'Plan Figures'!$B$53:$B$90,0),MATCH('Headline - Sales, NWP, GWP'!$B109,'Plan Figures'!$B$1:$AP$1,0))</f>
        <v>-</v>
      </c>
      <c r="O109" s="385">
        <f>INDEX('Plan Figures'!$B$53:$AP$90,MATCH('Headline - Sales, NWP, GWP'!O$4,'Plan Figures'!$B$53:$B$90,0),MATCH('Headline - Sales, NWP, GWP'!$B109,'Plan Figures'!$B$1:$AP$1,0))</f>
        <v>1923219.2118037604</v>
      </c>
      <c r="P109" s="386">
        <f>INDEX('Plan Figures'!$B$53:$AP$90,MATCH('Headline - Sales, NWP, GWP'!P$4,'Plan Figures'!$B$53:$B$90,0),MATCH('Headline - Sales, NWP, GWP'!$B109,'Plan Figures'!$B$1:$AP$1,0))</f>
        <v>2034580.4688848169</v>
      </c>
      <c r="Q109" s="385">
        <f>INDEX('Plan Figures'!$B$53:$AP$90,MATCH('Headline - Sales, NWP, GWP'!Q$4,'Plan Figures'!$B$53:$B$90,0),MATCH('Headline - Sales, NWP, GWP'!$B109,'Plan Figures'!$B$1:$AP$1,0))</f>
        <v>2151540.8137620548</v>
      </c>
      <c r="R109" s="385">
        <f>INDEX('Plan Figures'!$B$53:$AP$90,MATCH('Headline - Sales, NWP, GWP'!R$4,'Plan Figures'!$B$53:$B$90,0),MATCH('Headline - Sales, NWP, GWP'!$B109,'Plan Figures'!$B$1:$AP$1,0))</f>
        <v>2201520.8903936967</v>
      </c>
      <c r="S109" s="385">
        <f>INDEX('Plan Figures'!$B$53:$AP$90,MATCH('Headline - Sales, NWP, GWP'!S$4,'Plan Figures'!$B$53:$B$90,0),MATCH('Headline - Sales, NWP, GWP'!$B109,'Plan Figures'!$B$1:$AP$1,0))</f>
        <v>2076848.2386444649</v>
      </c>
      <c r="T109" s="385">
        <f>INDEX('Plan Figures'!$B$53:$AP$90,MATCH('Headline - Sales, NWP, GWP'!T$4,'Plan Figures'!$B$53:$B$90,0),MATCH('Headline - Sales, NWP, GWP'!$B109,'Plan Figures'!$B$1:$AP$1,0))</f>
        <v>1878221.6251204163</v>
      </c>
      <c r="U109" s="385">
        <f>INDEX('Plan Figures'!$B$53:$AP$90,MATCH('Headline - Sales, NWP, GWP'!U$4,'Plan Figures'!$B$53:$B$90,0),MATCH('Headline - Sales, NWP, GWP'!$B109,'Plan Figures'!$B$1:$AP$1,0))</f>
        <v>1706079.4772538822</v>
      </c>
      <c r="V109" s="385">
        <f>INDEX('Plan Figures'!$B$53:$AP$90,MATCH('Headline - Sales, NWP, GWP'!V$4,'Plan Figures'!$B$53:$B$90,0),MATCH('Headline - Sales, NWP, GWP'!$B109,'Plan Figures'!$B$1:$AP$1,0))</f>
        <v>1532561.9578190371</v>
      </c>
      <c r="W109" s="385">
        <f>INDEX('Plan Figures'!$B$53:$AP$90,MATCH('Headline - Sales, NWP, GWP'!W$4,'Plan Figures'!$B$53:$B$90,0),MATCH('Headline - Sales, NWP, GWP'!$B109,'Plan Figures'!$B$1:$AP$1,0))</f>
        <v>1432934.2731853833</v>
      </c>
      <c r="X109" s="385">
        <f>INDEX('Plan Figures'!$B$53:$AP$90,MATCH('Headline - Sales, NWP, GWP'!X$4,'Plan Figures'!$B$53:$B$90,0),MATCH('Headline - Sales, NWP, GWP'!$B109,'Plan Figures'!$B$1:$AP$1,0))</f>
        <v>1254524.1302463615</v>
      </c>
      <c r="Y109" s="385">
        <f>INDEX('Plan Figures'!$B$53:$AP$90,MATCH('Headline - Sales, NWP, GWP'!Y$4,'Plan Figures'!$B$53:$B$90,0),MATCH('Headline - Sales, NWP, GWP'!$B109,'Plan Figures'!$B$1:$AP$1,0))</f>
        <v>1070999.5133509741</v>
      </c>
      <c r="Z109" s="385">
        <f>INDEX('Plan Figures'!$B$53:$AP$90,MATCH('Headline - Sales, NWP, GWP'!Z$4,'Plan Figures'!$B$53:$B$90,0),MATCH('Headline - Sales, NWP, GWP'!$B109,'Plan Figures'!$B$1:$AP$1,0))</f>
        <v>818161.57334020454</v>
      </c>
      <c r="AA109" s="385">
        <f>INDEX('Plan Figures'!$B$53:$AP$90,MATCH('Headline - Sales, NWP, GWP'!AA$4,'Plan Figures'!$B$53:$B$90,0),MATCH('Headline - Sales, NWP, GWP'!$B109,'Plan Figures'!$B$1:$AP$1,0))</f>
        <v>515389.26279443718</v>
      </c>
      <c r="AB109" s="386">
        <f>INDEX('Plan Figures'!$B$53:$AP$90,MATCH('Headline - Sales, NWP, GWP'!AB$4,'Plan Figures'!$B$53:$B$90,0),MATCH('Headline - Sales, NWP, GWP'!$B109,'Plan Figures'!$B$1:$AP$1,0))</f>
        <v>248522.99440086706</v>
      </c>
      <c r="AC109" s="385">
        <f>INDEX('Plan Figures'!$B$53:$AP$90,MATCH('Headline - Sales, NWP, GWP'!AC$4,'Plan Figures'!$B$53:$B$90,0),MATCH('Headline - Sales, NWP, GWP'!$B109,'Plan Figures'!$B$1:$AP$1,0))</f>
        <v>34405.495403353423</v>
      </c>
      <c r="AD109" s="385">
        <f>INDEX('Plan Figures'!$B$53:$AP$90,MATCH('Headline - Sales, NWP, GWP'!AD$4,'Plan Figures'!$B$53:$B$90,0),MATCH('Headline - Sales, NWP, GWP'!$B109,'Plan Figures'!$B$1:$AP$1,0))</f>
        <v>0</v>
      </c>
      <c r="AE109" s="385">
        <f>INDEX('Plan Figures'!$B$53:$AP$90,MATCH('Headline - Sales, NWP, GWP'!AE$4,'Plan Figures'!$B$53:$B$90,0),MATCH('Headline - Sales, NWP, GWP'!$B109,'Plan Figures'!$B$1:$AP$1,0))</f>
        <v>0</v>
      </c>
      <c r="AF109" s="385">
        <f>INDEX('Plan Figures'!$B$53:$AP$90,MATCH('Headline - Sales, NWP, GWP'!AF$4,'Plan Figures'!$B$53:$B$90,0),MATCH('Headline - Sales, NWP, GWP'!$B109,'Plan Figures'!$B$1:$AP$1,0))</f>
        <v>0</v>
      </c>
      <c r="AG109" s="385">
        <f>INDEX('Plan Figures'!$B$53:$AP$90,MATCH('Headline - Sales, NWP, GWP'!AG$4,'Plan Figures'!$B$53:$B$90,0),MATCH('Headline - Sales, NWP, GWP'!$B109,'Plan Figures'!$B$1:$AP$1,0))</f>
        <v>0</v>
      </c>
      <c r="AH109" s="385">
        <f>INDEX('Plan Figures'!$B$53:$AP$90,MATCH('Headline - Sales, NWP, GWP'!AH$4,'Plan Figures'!$B$53:$B$90,0),MATCH('Headline - Sales, NWP, GWP'!$B109,'Plan Figures'!$B$1:$AP$1,0))</f>
        <v>0</v>
      </c>
      <c r="AI109" s="385">
        <f>INDEX('Plan Figures'!$B$53:$AP$90,MATCH('Headline - Sales, NWP, GWP'!AI$4,'Plan Figures'!$B$53:$B$90,0),MATCH('Headline - Sales, NWP, GWP'!$B109,'Plan Figures'!$B$1:$AP$1,0))</f>
        <v>0</v>
      </c>
      <c r="AJ109" s="385">
        <f>INDEX('Plan Figures'!$B$53:$AP$90,MATCH('Headline - Sales, NWP, GWP'!AJ$4,'Plan Figures'!$B$53:$B$90,0),MATCH('Headline - Sales, NWP, GWP'!$B109,'Plan Figures'!$B$1:$AP$1,0))</f>
        <v>0</v>
      </c>
      <c r="AK109" s="385">
        <f>INDEX('Plan Figures'!$B$53:$AP$90,MATCH('Headline - Sales, NWP, GWP'!AK$4,'Plan Figures'!$B$53:$B$90,0),MATCH('Headline - Sales, NWP, GWP'!$B109,'Plan Figures'!$B$1:$AP$1,0))</f>
        <v>0</v>
      </c>
      <c r="AL109" s="385">
        <f>INDEX('Plan Figures'!$B$53:$AP$90,MATCH('Headline - Sales, NWP, GWP'!AL$4,'Plan Figures'!$B$53:$B$90,0),MATCH('Headline - Sales, NWP, GWP'!$B109,'Plan Figures'!$B$1:$AP$1,0))</f>
        <v>0</v>
      </c>
      <c r="AM109" s="385">
        <f>INDEX('Plan Figures'!$B$53:$AP$90,MATCH('Headline - Sales, NWP, GWP'!AM$4,'Plan Figures'!$B$53:$B$90,0),MATCH('Headline - Sales, NWP, GWP'!$B109,'Plan Figures'!$B$1:$AP$1,0))</f>
        <v>0</v>
      </c>
      <c r="AN109" s="385">
        <f>INDEX('Plan Figures'!$B$53:$AP$90,MATCH('Headline - Sales, NWP, GWP'!AN$4,'Plan Figures'!$B$53:$B$90,0),MATCH('Headline - Sales, NWP, GWP'!$B109,'Plan Figures'!$B$1:$AP$1,0))</f>
        <v>0</v>
      </c>
      <c r="AO109" s="423">
        <f ca="1">IFERROR(AVERAGE(INDEX($E109:$AN109, $AU$4 - 3):INDEX($E109:$AN109, $AU$4)),"-")</f>
        <v>0</v>
      </c>
      <c r="AP109" s="385">
        <f ca="1">IFERROR(AVERAGE(INDEX($E109:$AN109, $AU$4 - 11):INDEX($E109:$AN109, $AU$4)),"-")</f>
        <v>223956.56994081973</v>
      </c>
      <c r="AQ109" s="385" t="str" cm="1">
        <f t="array" ref="AQ109">IFERROR(SUMPRODUCT((YEAR($E$4:$AN$4)=2024)*$E109:$AN109),"-")</f>
        <v>-</v>
      </c>
      <c r="AR109" s="385" t="s">
        <v>491</v>
      </c>
      <c r="AS109" s="386">
        <f ca="1">IFERROR(SUM(INDEX($E109:$AN109, $AU$4 - MONTH(TODAY())+1):INDEX($E109:$AN109, $AU$4)),"-")</f>
        <v>34405.495403353423</v>
      </c>
    </row>
    <row r="110" spans="2:45" ht="15.75" x14ac:dyDescent="0.25">
      <c r="B110" t="str">
        <f t="shared" si="124"/>
        <v>PC Annual Direct</v>
      </c>
      <c r="C110" t="str">
        <f t="shared" si="129"/>
        <v>Boom Subscription</v>
      </c>
      <c r="D110" s="213" t="s">
        <v>0</v>
      </c>
      <c r="E110" s="214" t="str">
        <f t="shared" ref="E110" si="130">IFERROR(IF(E108=0,"-",(E108/E109)-1),"-")</f>
        <v>-</v>
      </c>
      <c r="F110" s="214" t="str">
        <f t="shared" ref="F110:AN110" si="131">IFERROR(IF(F108=0,"-",(F108/F109)-1),"-")</f>
        <v>-</v>
      </c>
      <c r="G110" s="214" t="str">
        <f t="shared" si="131"/>
        <v>-</v>
      </c>
      <c r="H110" s="214" t="str">
        <f t="shared" si="131"/>
        <v>-</v>
      </c>
      <c r="I110" s="214" t="str">
        <f t="shared" si="131"/>
        <v>-</v>
      </c>
      <c r="J110" s="214" t="str">
        <f t="shared" si="131"/>
        <v>-</v>
      </c>
      <c r="K110" s="214" t="str">
        <f t="shared" si="131"/>
        <v>-</v>
      </c>
      <c r="L110" s="214" t="str">
        <f t="shared" si="131"/>
        <v>-</v>
      </c>
      <c r="M110" s="214" t="str">
        <f t="shared" si="131"/>
        <v>-</v>
      </c>
      <c r="N110" s="214" t="str">
        <f t="shared" si="131"/>
        <v>-</v>
      </c>
      <c r="O110" s="214">
        <f t="shared" si="131"/>
        <v>-3.5673979758069185E-2</v>
      </c>
      <c r="P110" s="294">
        <f t="shared" si="131"/>
        <v>4.5063343884356843E-2</v>
      </c>
      <c r="Q110" s="214">
        <f t="shared" si="131"/>
        <v>5.3073139925323698E-3</v>
      </c>
      <c r="R110" s="214">
        <f t="shared" si="131"/>
        <v>-0.19507109662077471</v>
      </c>
      <c r="S110" s="214">
        <f t="shared" si="131"/>
        <v>-7.2617320416251241E-2</v>
      </c>
      <c r="T110" s="214">
        <f t="shared" si="131"/>
        <v>-0.17070303562140188</v>
      </c>
      <c r="U110" s="214">
        <f t="shared" si="131"/>
        <v>-0.11981773227154491</v>
      </c>
      <c r="V110" s="214">
        <f t="shared" si="131"/>
        <v>-0.19023568758947373</v>
      </c>
      <c r="W110" s="214">
        <f t="shared" si="131"/>
        <v>-0.18185027184433966</v>
      </c>
      <c r="X110" s="214">
        <f t="shared" si="131"/>
        <v>-0.21629450031857644</v>
      </c>
      <c r="Y110" s="214">
        <f t="shared" si="131"/>
        <v>-0.28309739366953279</v>
      </c>
      <c r="Z110" s="214">
        <f t="shared" si="131"/>
        <v>-0.22693306436412197</v>
      </c>
      <c r="AA110" s="214">
        <f t="shared" si="131"/>
        <v>-0.29452060836520266</v>
      </c>
      <c r="AB110" s="294">
        <f t="shared" si="131"/>
        <v>-0.19175847812960278</v>
      </c>
      <c r="AC110" s="214">
        <f t="shared" si="131"/>
        <v>-0.11527251262837102</v>
      </c>
      <c r="AD110" s="214" t="str">
        <f t="shared" si="131"/>
        <v>-</v>
      </c>
      <c r="AE110" s="214" t="str">
        <f t="shared" si="131"/>
        <v>-</v>
      </c>
      <c r="AF110" s="214" t="str">
        <f t="shared" si="131"/>
        <v>-</v>
      </c>
      <c r="AG110" s="214" t="str">
        <f t="shared" si="131"/>
        <v>-</v>
      </c>
      <c r="AH110" s="214" t="str">
        <f t="shared" si="131"/>
        <v>-</v>
      </c>
      <c r="AI110" s="214" t="str">
        <f t="shared" si="131"/>
        <v>-</v>
      </c>
      <c r="AJ110" s="214" t="str">
        <f t="shared" si="131"/>
        <v>-</v>
      </c>
      <c r="AK110" s="214" t="str">
        <f t="shared" si="131"/>
        <v>-</v>
      </c>
      <c r="AL110" s="214" t="str">
        <f t="shared" si="131"/>
        <v>-</v>
      </c>
      <c r="AM110" s="214" t="str">
        <f t="shared" si="131"/>
        <v>-</v>
      </c>
      <c r="AN110" s="215" t="str">
        <f t="shared" si="131"/>
        <v>-</v>
      </c>
      <c r="AO110" s="242" t="str">
        <f ca="1">IFERROR(IF(AO108=0,"-",(AO108/AO109)-1),"-")</f>
        <v>-</v>
      </c>
      <c r="AP110" s="242">
        <f ca="1">IFERROR(IF(AP108=0,"-",(AP108/AP109)-1),"-")</f>
        <v>-0.25759467647752676</v>
      </c>
      <c r="AQ110" s="242"/>
      <c r="AR110" s="242"/>
      <c r="AS110" s="243">
        <f ca="1">IFERROR(IF(AS108=0,"-",(AS108/AS109)-1),"-")</f>
        <v>-0.11527251262837102</v>
      </c>
    </row>
    <row r="111" spans="2:45" ht="15.75" x14ac:dyDescent="0.25">
      <c r="B111" t="str">
        <f t="shared" si="124"/>
        <v>PC Annual Direct</v>
      </c>
      <c r="C111" t="str">
        <f t="shared" si="129"/>
        <v>Boom Subscription</v>
      </c>
      <c r="D111" s="208" t="s">
        <v>302</v>
      </c>
      <c r="E111" s="283">
        <f>IFERROR(E108/E102,"-")</f>
        <v>89.834138542987162</v>
      </c>
      <c r="F111" s="283">
        <f t="shared" ref="F111:AN111" si="132">IFERROR(F108/F102,"-")</f>
        <v>79.725949610639802</v>
      </c>
      <c r="G111" s="283">
        <f t="shared" si="132"/>
        <v>84.236650422841137</v>
      </c>
      <c r="H111" s="283">
        <f t="shared" si="132"/>
        <v>80.663788543301777</v>
      </c>
      <c r="I111" s="283">
        <f t="shared" si="132"/>
        <v>82.690897524277929</v>
      </c>
      <c r="J111" s="283">
        <f t="shared" si="132"/>
        <v>81.299311187789954</v>
      </c>
      <c r="K111" s="283">
        <f t="shared" si="132"/>
        <v>87.986958729788967</v>
      </c>
      <c r="L111" s="283">
        <f t="shared" si="132"/>
        <v>91.670943851316864</v>
      </c>
      <c r="M111" s="283">
        <f t="shared" si="132"/>
        <v>92.472632936285635</v>
      </c>
      <c r="N111" s="283">
        <f t="shared" si="132"/>
        <v>100.27230985487397</v>
      </c>
      <c r="O111" s="283">
        <f t="shared" si="132"/>
        <v>100.79951783094425</v>
      </c>
      <c r="P111" s="314">
        <f t="shared" si="132"/>
        <v>105.60571511942828</v>
      </c>
      <c r="Q111" s="283">
        <f t="shared" si="132"/>
        <v>107.09842129275296</v>
      </c>
      <c r="R111" s="283">
        <f t="shared" si="132"/>
        <v>101.05313618105919</v>
      </c>
      <c r="S111" s="283">
        <f t="shared" si="132"/>
        <v>109.89575970802765</v>
      </c>
      <c r="T111" s="283">
        <f t="shared" si="132"/>
        <v>108.64221888418767</v>
      </c>
      <c r="U111" s="283">
        <f t="shared" si="132"/>
        <v>115.46796641401764</v>
      </c>
      <c r="V111" s="283">
        <f t="shared" si="132"/>
        <v>112.66581752154903</v>
      </c>
      <c r="W111" s="283">
        <f t="shared" si="132"/>
        <v>114.5996858329961</v>
      </c>
      <c r="X111" s="283">
        <f t="shared" si="132"/>
        <v>113.46537338224213</v>
      </c>
      <c r="Y111" s="283">
        <f t="shared" si="132"/>
        <v>107.27991372082931</v>
      </c>
      <c r="Z111" s="283">
        <f t="shared" si="132"/>
        <v>109.22011057799008</v>
      </c>
      <c r="AA111" s="283">
        <f t="shared" si="132"/>
        <v>104.6019860677003</v>
      </c>
      <c r="AB111" s="314">
        <f t="shared" si="132"/>
        <v>105.94230127338871</v>
      </c>
      <c r="AC111" s="283">
        <f t="shared" si="132"/>
        <v>94.53256987572982</v>
      </c>
      <c r="AD111" s="283" t="str">
        <f t="shared" si="132"/>
        <v>-</v>
      </c>
      <c r="AE111" s="283" t="str">
        <f t="shared" si="132"/>
        <v>-</v>
      </c>
      <c r="AF111" s="283" t="str">
        <f t="shared" si="132"/>
        <v>-</v>
      </c>
      <c r="AG111" s="283" t="str">
        <f t="shared" si="132"/>
        <v>-</v>
      </c>
      <c r="AH111" s="283" t="str">
        <f t="shared" si="132"/>
        <v>-</v>
      </c>
      <c r="AI111" s="283" t="str">
        <f t="shared" si="132"/>
        <v>-</v>
      </c>
      <c r="AJ111" s="283" t="str">
        <f t="shared" si="132"/>
        <v>-</v>
      </c>
      <c r="AK111" s="283" t="str">
        <f t="shared" si="132"/>
        <v>-</v>
      </c>
      <c r="AL111" s="283" t="str">
        <f t="shared" si="132"/>
        <v>-</v>
      </c>
      <c r="AM111" s="283" t="str">
        <f t="shared" si="132"/>
        <v>-</v>
      </c>
      <c r="AN111" s="283" t="str">
        <f t="shared" si="132"/>
        <v>-</v>
      </c>
      <c r="AO111" s="282" t="str">
        <f t="shared" ref="AO111:AS111" ca="1" si="133">IFERROR(AO108/AO105,"-")</f>
        <v>-</v>
      </c>
      <c r="AP111" s="283">
        <f t="shared" ca="1" si="133"/>
        <v>1327.1121575574919</v>
      </c>
      <c r="AQ111" s="283">
        <f t="shared" si="133"/>
        <v>1354.4135053521456</v>
      </c>
      <c r="AR111" s="283">
        <f t="shared" ca="1" si="133"/>
        <v>1358.3439028843286</v>
      </c>
      <c r="AS111" s="314">
        <f t="shared" ca="1" si="133"/>
        <v>1150.1462671280858</v>
      </c>
    </row>
    <row r="112" spans="2:45" ht="15.75" hidden="1" x14ac:dyDescent="0.25">
      <c r="B112" t="str">
        <f t="shared" si="124"/>
        <v>PC Annual Direct</v>
      </c>
      <c r="C112" t="str">
        <f t="shared" si="129"/>
        <v>Boom Subscription</v>
      </c>
      <c r="D112" s="211" t="s">
        <v>303</v>
      </c>
      <c r="E112" s="31">
        <f t="shared" ref="E112" si="134">IFERROR(E109/E103,0)</f>
        <v>0</v>
      </c>
      <c r="F112" s="31">
        <f t="shared" ref="F112:AN112" si="135">IFERROR(F109/F103,0)</f>
        <v>0</v>
      </c>
      <c r="G112" s="31">
        <f t="shared" si="135"/>
        <v>0</v>
      </c>
      <c r="H112" s="31">
        <f t="shared" si="135"/>
        <v>0</v>
      </c>
      <c r="I112" s="31">
        <f t="shared" si="135"/>
        <v>0</v>
      </c>
      <c r="J112" s="31">
        <f t="shared" si="135"/>
        <v>0</v>
      </c>
      <c r="K112" s="31">
        <f t="shared" si="135"/>
        <v>0</v>
      </c>
      <c r="L112" s="31">
        <f t="shared" si="135"/>
        <v>0</v>
      </c>
      <c r="M112" s="31">
        <f t="shared" si="135"/>
        <v>0</v>
      </c>
      <c r="N112" s="31">
        <f t="shared" si="135"/>
        <v>0</v>
      </c>
      <c r="O112" s="31">
        <f t="shared" si="135"/>
        <v>258.92466936072157</v>
      </c>
      <c r="P112" s="240">
        <f t="shared" si="135"/>
        <v>220.90946574589432</v>
      </c>
      <c r="Q112" s="31">
        <f t="shared" si="135"/>
        <v>214.11060599375904</v>
      </c>
      <c r="R112" s="31">
        <f t="shared" si="135"/>
        <v>219.08437382877574</v>
      </c>
      <c r="S112" s="31">
        <f t="shared" si="135"/>
        <v>206.67757362023036</v>
      </c>
      <c r="T112" s="31">
        <f t="shared" si="135"/>
        <v>186.91124415248478</v>
      </c>
      <c r="U112" s="31">
        <f t="shared" si="135"/>
        <v>169.84421241291747</v>
      </c>
      <c r="V112" s="31">
        <f t="shared" si="135"/>
        <v>157.79751823523375</v>
      </c>
      <c r="W112" s="31">
        <f t="shared" si="135"/>
        <v>124.50906001260353</v>
      </c>
      <c r="X112" s="31">
        <f t="shared" si="135"/>
        <v>122.73007130156238</v>
      </c>
      <c r="Y112" s="31">
        <f t="shared" si="135"/>
        <v>120.16781918595846</v>
      </c>
      <c r="Z112" s="31">
        <f t="shared" si="135"/>
        <v>118.21232936848067</v>
      </c>
      <c r="AA112" s="31">
        <f t="shared" si="135"/>
        <v>117.24409911539276</v>
      </c>
      <c r="AB112" s="240">
        <f t="shared" si="135"/>
        <v>113.80158959670163</v>
      </c>
      <c r="AC112" s="31">
        <f t="shared" si="135"/>
        <v>99.504972203325963</v>
      </c>
      <c r="AD112" s="31">
        <f t="shared" si="135"/>
        <v>0</v>
      </c>
      <c r="AE112" s="31">
        <f t="shared" si="135"/>
        <v>0</v>
      </c>
      <c r="AF112" s="31">
        <f t="shared" si="135"/>
        <v>0</v>
      </c>
      <c r="AG112" s="31">
        <f t="shared" si="135"/>
        <v>0</v>
      </c>
      <c r="AH112" s="31">
        <f t="shared" si="135"/>
        <v>0</v>
      </c>
      <c r="AI112" s="31">
        <f t="shared" si="135"/>
        <v>0</v>
      </c>
      <c r="AJ112" s="31">
        <f t="shared" si="135"/>
        <v>0</v>
      </c>
      <c r="AK112" s="31">
        <f t="shared" si="135"/>
        <v>0</v>
      </c>
      <c r="AL112" s="31">
        <f t="shared" si="135"/>
        <v>0</v>
      </c>
      <c r="AM112" s="31">
        <f t="shared" si="135"/>
        <v>0</v>
      </c>
      <c r="AN112" s="31">
        <f t="shared" si="135"/>
        <v>0</v>
      </c>
      <c r="AO112" s="239">
        <f t="shared" ref="AO112:AP112" ca="1" si="136">IFERROR(AO109/AO103,0)</f>
        <v>0</v>
      </c>
      <c r="AP112" s="31">
        <f t="shared" ca="1" si="136"/>
        <v>118.08365488407627</v>
      </c>
      <c r="AQ112" s="31">
        <f>SUMIFS(AC99:AN99,AC$4:AN$4,"&lt;"&amp;'Title Sheet'!$C$13)</f>
        <v>0</v>
      </c>
      <c r="AR112" s="31"/>
      <c r="AS112" s="240"/>
    </row>
    <row r="113" spans="2:46" ht="15.75" hidden="1" x14ac:dyDescent="0.25">
      <c r="B113" t="str">
        <f t="shared" si="124"/>
        <v>PC Annual Direct</v>
      </c>
      <c r="C113" t="str">
        <f t="shared" si="129"/>
        <v>Boom Subscription</v>
      </c>
      <c r="D113" s="213" t="s">
        <v>0</v>
      </c>
      <c r="E113" s="214" t="str">
        <f t="shared" ref="E113" si="137">IFERROR(IF(E111=0,"-",(E111/E112)-1),"-")</f>
        <v>-</v>
      </c>
      <c r="F113" s="214" t="str">
        <f t="shared" ref="F113:AN113" si="138">IFERROR(IF(F111=0,"-",(F111/F112)-1),"-")</f>
        <v>-</v>
      </c>
      <c r="G113" s="214" t="str">
        <f t="shared" si="138"/>
        <v>-</v>
      </c>
      <c r="H113" s="214" t="str">
        <f t="shared" si="138"/>
        <v>-</v>
      </c>
      <c r="I113" s="214" t="str">
        <f t="shared" si="138"/>
        <v>-</v>
      </c>
      <c r="J113" s="214" t="str">
        <f t="shared" si="138"/>
        <v>-</v>
      </c>
      <c r="K113" s="214" t="str">
        <f t="shared" si="138"/>
        <v>-</v>
      </c>
      <c r="L113" s="214" t="str">
        <f t="shared" si="138"/>
        <v>-</v>
      </c>
      <c r="M113" s="214" t="str">
        <f t="shared" si="138"/>
        <v>-</v>
      </c>
      <c r="N113" s="214" t="str">
        <f t="shared" si="138"/>
        <v>-</v>
      </c>
      <c r="O113" s="214">
        <f t="shared" si="138"/>
        <v>-0.61069944366515672</v>
      </c>
      <c r="P113" s="294">
        <f t="shared" si="138"/>
        <v>-0.52195024888203101</v>
      </c>
      <c r="Q113" s="214">
        <f t="shared" si="138"/>
        <v>-0.49979861672114134</v>
      </c>
      <c r="R113" s="214">
        <f t="shared" si="138"/>
        <v>-0.53874786040177947</v>
      </c>
      <c r="S113" s="214">
        <f t="shared" si="138"/>
        <v>-0.46827438612202354</v>
      </c>
      <c r="T113" s="214">
        <f t="shared" si="138"/>
        <v>-0.41874968851228744</v>
      </c>
      <c r="U113" s="214">
        <f t="shared" si="138"/>
        <v>-0.3201536586168906</v>
      </c>
      <c r="V113" s="214">
        <f t="shared" si="138"/>
        <v>-0.28601020610733219</v>
      </c>
      <c r="W113" s="214">
        <f t="shared" si="138"/>
        <v>-7.9587575222271667E-2</v>
      </c>
      <c r="X113" s="214">
        <f t="shared" si="138"/>
        <v>-7.5488409817311863E-2</v>
      </c>
      <c r="Y113" s="214">
        <f t="shared" si="138"/>
        <v>-0.10724922489593702</v>
      </c>
      <c r="Z113" s="214">
        <f t="shared" si="138"/>
        <v>-7.60683664599896E-2</v>
      </c>
      <c r="AA113" s="214">
        <f t="shared" si="138"/>
        <v>-0.10782728634598471</v>
      </c>
      <c r="AB113" s="294">
        <f t="shared" si="138"/>
        <v>-6.9061322879278242E-2</v>
      </c>
      <c r="AC113" s="214">
        <f t="shared" si="138"/>
        <v>-4.9971395574440858E-2</v>
      </c>
      <c r="AD113" s="214" t="str">
        <f t="shared" si="138"/>
        <v>-</v>
      </c>
      <c r="AE113" s="214" t="str">
        <f t="shared" si="138"/>
        <v>-</v>
      </c>
      <c r="AF113" s="214" t="str">
        <f t="shared" si="138"/>
        <v>-</v>
      </c>
      <c r="AG113" s="214" t="str">
        <f t="shared" si="138"/>
        <v>-</v>
      </c>
      <c r="AH113" s="214" t="str">
        <f t="shared" si="138"/>
        <v>-</v>
      </c>
      <c r="AI113" s="214" t="str">
        <f t="shared" si="138"/>
        <v>-</v>
      </c>
      <c r="AJ113" s="214" t="str">
        <f t="shared" si="138"/>
        <v>-</v>
      </c>
      <c r="AK113" s="214" t="str">
        <f t="shared" si="138"/>
        <v>-</v>
      </c>
      <c r="AL113" s="214" t="str">
        <f t="shared" si="138"/>
        <v>-</v>
      </c>
      <c r="AM113" s="214" t="str">
        <f t="shared" si="138"/>
        <v>-</v>
      </c>
      <c r="AN113" s="214" t="str">
        <f t="shared" si="138"/>
        <v>-</v>
      </c>
      <c r="AO113" s="241" t="e">
        <f t="shared" ref="AO113:AP113" ca="1" si="139">AO111-AO112</f>
        <v>#VALUE!</v>
      </c>
      <c r="AP113" s="242">
        <f t="shared" ca="1" si="139"/>
        <v>1209.0285026734157</v>
      </c>
      <c r="AQ113" s="242" t="str">
        <f t="shared" ref="AQ113" si="140">IFERROR(IF(AQ111=0,"-",(AQ111/AQ112)-1),"-")</f>
        <v>-</v>
      </c>
      <c r="AR113" s="242"/>
      <c r="AS113" s="243"/>
    </row>
    <row r="114" spans="2:46" ht="15.75" thickBot="1" x14ac:dyDescent="0.3">
      <c r="B114" t="str">
        <f t="shared" si="124"/>
        <v>PC Annual Direct</v>
      </c>
      <c r="C114" t="str">
        <f t="shared" si="129"/>
        <v>Boom Subscription</v>
      </c>
      <c r="D114" s="254" t="s">
        <v>17</v>
      </c>
      <c r="E114" s="217"/>
      <c r="F114" s="217"/>
      <c r="G114" s="217"/>
      <c r="H114" s="217"/>
      <c r="I114" s="217"/>
      <c r="J114" s="217"/>
      <c r="K114" s="217"/>
      <c r="L114" s="217"/>
      <c r="M114" s="217"/>
      <c r="N114" s="217"/>
      <c r="O114" s="217"/>
      <c r="P114" s="295"/>
      <c r="Q114" s="217"/>
      <c r="R114" s="217"/>
      <c r="S114" s="217"/>
      <c r="T114" s="217"/>
      <c r="U114" s="217"/>
      <c r="V114" s="217"/>
      <c r="W114" s="217"/>
      <c r="X114" s="217"/>
      <c r="Y114" s="217"/>
      <c r="Z114" s="217"/>
      <c r="AA114" s="217"/>
      <c r="AB114" s="295"/>
      <c r="AC114" s="217"/>
      <c r="AD114" s="217"/>
      <c r="AE114" s="217"/>
      <c r="AF114" s="217"/>
      <c r="AG114" s="217"/>
      <c r="AH114" s="217"/>
      <c r="AI114" s="217"/>
      <c r="AJ114" s="217"/>
      <c r="AK114" s="217"/>
      <c r="AL114" s="217"/>
      <c r="AM114" s="217"/>
      <c r="AN114" s="217"/>
      <c r="AO114" s="244"/>
      <c r="AP114" s="245"/>
      <c r="AQ114" s="245"/>
      <c r="AR114" s="245"/>
      <c r="AS114" s="246"/>
    </row>
    <row r="115" spans="2:46" ht="15.75" x14ac:dyDescent="0.25">
      <c r="B115" t="str">
        <f t="shared" si="124"/>
        <v>PC Annual Direct</v>
      </c>
      <c r="C115" t="str">
        <f t="shared" si="129"/>
        <v>Boom Subscription</v>
      </c>
      <c r="D115" s="208" t="s">
        <v>7</v>
      </c>
      <c r="E115" s="251">
        <v>1314592.7589287423</v>
      </c>
      <c r="F115" s="251">
        <v>1289189.5000003267</v>
      </c>
      <c r="G115" s="251">
        <v>1524686.2500005194</v>
      </c>
      <c r="H115" s="251">
        <v>1469382.5535714312</v>
      </c>
      <c r="I115" s="251">
        <v>1705720.7499998671</v>
      </c>
      <c r="J115" s="251">
        <v>1694811.4107146254</v>
      </c>
      <c r="K115" s="251">
        <v>1912476.2500001402</v>
      </c>
      <c r="L115" s="251">
        <v>2038454.8392857539</v>
      </c>
      <c r="M115" s="251">
        <v>2054207.2857144666</v>
      </c>
      <c r="N115" s="251">
        <v>2350651.6875001243</v>
      </c>
      <c r="O115" s="251">
        <v>2535113.4285715013</v>
      </c>
      <c r="P115" s="296">
        <v>2697199.3482145886</v>
      </c>
      <c r="Q115" s="251">
        <v>2642347.6964285038</v>
      </c>
      <c r="R115" s="251">
        <v>2051241.6160712375</v>
      </c>
      <c r="S115" s="251">
        <v>2033177.5446428959</v>
      </c>
      <c r="T115" s="251">
        <v>1692588.7321426247</v>
      </c>
      <c r="U115" s="251">
        <v>1579368.2232143241</v>
      </c>
      <c r="V115" s="251">
        <v>1348383.2499999111</v>
      </c>
      <c r="W115" s="251">
        <v>1234234.1160715991</v>
      </c>
      <c r="X115" s="251">
        <v>1034271.8303571729</v>
      </c>
      <c r="Y115" s="251">
        <v>834360.56250000617</v>
      </c>
      <c r="Z115" s="251">
        <v>665746.83035716868</v>
      </c>
      <c r="AA115" s="251">
        <v>395050.55357133178</v>
      </c>
      <c r="AB115" s="296">
        <v>211435.97321435693</v>
      </c>
      <c r="AC115" s="251">
        <v>31689.68749999399</v>
      </c>
      <c r="AD115" s="251">
        <v>0</v>
      </c>
      <c r="AE115" s="251">
        <v>0</v>
      </c>
      <c r="AF115" s="251">
        <v>0</v>
      </c>
      <c r="AG115" s="251">
        <v>0</v>
      </c>
      <c r="AH115" s="251">
        <v>0</v>
      </c>
      <c r="AI115" s="251">
        <v>0</v>
      </c>
      <c r="AJ115" s="251">
        <v>0</v>
      </c>
      <c r="AK115" s="251">
        <v>0</v>
      </c>
      <c r="AL115" s="251">
        <v>0</v>
      </c>
      <c r="AM115" s="251">
        <v>0</v>
      </c>
      <c r="AN115" s="251">
        <v>0</v>
      </c>
      <c r="AO115" s="418">
        <f ca="1">IFERROR(AVERAGE(INDEX($E115:$AN115, $AU$4 - 3):INDEX($E115:$AN115, $AU$4)),"-")</f>
        <v>0</v>
      </c>
      <c r="AP115" s="419">
        <f ca="1">IFERROR(AVERAGE(INDEX($E115:$AN115, $AU$4 - 11):INDEX($E115:$AN115, $AU$4)),"-")</f>
        <v>178190.30059523814</v>
      </c>
      <c r="AQ115" s="419" cm="1">
        <f t="array" ref="AQ115">IFERROR(SUMPRODUCT((YEAR($E$4:$AN$4)=2024)*$E115:$AN115),"-")</f>
        <v>15722206.928571131</v>
      </c>
      <c r="AR115" s="419">
        <f ca="1">IFERROR(SUM(INDEX($E115:$AN115, $AU$4 - MONTH(TODAY())-11):INDEX($E115:$AN115, $AU$4-12)),"-")</f>
        <v>13615613.008928269</v>
      </c>
      <c r="AS115" s="420">
        <f ca="1">IFERROR(SUM(INDEX($E115:$AN115, $AU$4 - MONTH(TODAY())+1):INDEX($E115:$AN115, $AU$4)),"-")</f>
        <v>31689.68749999399</v>
      </c>
    </row>
    <row r="116" spans="2:46" ht="15.75" x14ac:dyDescent="0.25">
      <c r="B116" t="str">
        <f t="shared" si="124"/>
        <v>PC Annual Direct</v>
      </c>
      <c r="C116" t="str">
        <f t="shared" si="129"/>
        <v>Boom Subscription</v>
      </c>
      <c r="D116" s="211" t="s">
        <v>14</v>
      </c>
      <c r="E116" s="221">
        <v>0.14962460325765611</v>
      </c>
      <c r="F116" s="221">
        <v>0.1055337636555039</v>
      </c>
      <c r="G116" s="221">
        <v>0.18493658613376865</v>
      </c>
      <c r="H116" s="221">
        <v>0.16111253629933731</v>
      </c>
      <c r="I116" s="221">
        <v>0.15963825262724443</v>
      </c>
      <c r="J116" s="221">
        <v>0.18717582262820406</v>
      </c>
      <c r="K116" s="221">
        <v>0.18637709095739136</v>
      </c>
      <c r="L116" s="221">
        <v>0.17845648723199944</v>
      </c>
      <c r="M116" s="221">
        <v>0.17725595295673874</v>
      </c>
      <c r="N116" s="221">
        <v>0.17473250170753521</v>
      </c>
      <c r="O116" s="221">
        <v>0.17525540869005971</v>
      </c>
      <c r="P116" s="297">
        <v>0.16875361485657819</v>
      </c>
      <c r="Q116" s="221">
        <v>0.26447836177829825</v>
      </c>
      <c r="R116" s="221">
        <v>0.17613160593541563</v>
      </c>
      <c r="S116" s="221">
        <v>0.14077001329968528</v>
      </c>
      <c r="T116" s="221">
        <v>0.14536738034912891</v>
      </c>
      <c r="U116" s="221">
        <v>0.13501086501921211</v>
      </c>
      <c r="V116" s="221">
        <v>0.14095732797041241</v>
      </c>
      <c r="W116" s="221">
        <v>0.13069566616216544</v>
      </c>
      <c r="X116" s="221">
        <v>0.12707131350049322</v>
      </c>
      <c r="Y116" s="221">
        <v>0.13032913453412537</v>
      </c>
      <c r="Z116" s="221">
        <v>0.11440644780714238</v>
      </c>
      <c r="AA116" s="221">
        <v>0.11151003232818339</v>
      </c>
      <c r="AB116" s="297">
        <v>5.2166619673700038E-2</v>
      </c>
      <c r="AC116" s="221">
        <v>3.9620775686388145E-2</v>
      </c>
      <c r="AD116" s="221">
        <v>0</v>
      </c>
      <c r="AE116" s="221">
        <v>0</v>
      </c>
      <c r="AF116" s="221">
        <v>0</v>
      </c>
      <c r="AG116" s="221">
        <v>0</v>
      </c>
      <c r="AH116" s="221">
        <v>0</v>
      </c>
      <c r="AI116" s="221">
        <v>0</v>
      </c>
      <c r="AJ116" s="221">
        <v>0</v>
      </c>
      <c r="AK116" s="221">
        <v>0</v>
      </c>
      <c r="AL116" s="221">
        <v>0</v>
      </c>
      <c r="AM116" s="221">
        <v>0</v>
      </c>
      <c r="AN116" s="221">
        <v>0</v>
      </c>
      <c r="AO116" s="403" t="str">
        <f ca="1">IFERROR((AO138+AO161)/AO115,"-")</f>
        <v>-</v>
      </c>
      <c r="AP116" s="404">
        <f ca="1">IFERROR((AP138+AP161)/AP115,"-")</f>
        <v>0.29457892053314938</v>
      </c>
      <c r="AQ116" s="404">
        <f>IFERROR((AQ138+AQ161)/AQ115,"-")</f>
        <v>0</v>
      </c>
      <c r="AR116" s="404">
        <f ca="1">IFERROR((AR138+AR161)/AR115,"-")</f>
        <v>0</v>
      </c>
      <c r="AS116" s="415">
        <f ca="1">IFERROR((AS138+AS161)/AS115,"-")</f>
        <v>0</v>
      </c>
    </row>
    <row r="117" spans="2:46" ht="15.75" x14ac:dyDescent="0.25">
      <c r="B117" t="str">
        <f t="shared" si="124"/>
        <v>PC Annual Direct</v>
      </c>
      <c r="C117" t="str">
        <f t="shared" si="129"/>
        <v>Boom Subscription</v>
      </c>
      <c r="D117" s="223" t="s">
        <v>493</v>
      </c>
      <c r="E117" s="224">
        <f>IFERROR(E108/E$8,"-")</f>
        <v>0.43313939848090344</v>
      </c>
      <c r="F117" s="224">
        <f t="shared" ref="F117:AS117" si="141">IFERROR(F108/F$8,"-")</f>
        <v>0.41353672014418635</v>
      </c>
      <c r="G117" s="224">
        <f t="shared" si="141"/>
        <v>0.47849903860156606</v>
      </c>
      <c r="H117" s="224">
        <f t="shared" si="141"/>
        <v>0.52557373042745992</v>
      </c>
      <c r="I117" s="224">
        <f t="shared" si="141"/>
        <v>0.52708315905535885</v>
      </c>
      <c r="J117" s="224">
        <f t="shared" si="141"/>
        <v>0.55854778900071633</v>
      </c>
      <c r="K117" s="224">
        <f t="shared" si="141"/>
        <v>0.5827466578632573</v>
      </c>
      <c r="L117" s="224">
        <f t="shared" si="141"/>
        <v>0.5552406463994467</v>
      </c>
      <c r="M117" s="224">
        <f t="shared" si="141"/>
        <v>0.56438522038993288</v>
      </c>
      <c r="N117" s="224">
        <f t="shared" si="141"/>
        <v>0.5525144370099313</v>
      </c>
      <c r="O117" s="224">
        <f t="shared" si="141"/>
        <v>0.48053801239952582</v>
      </c>
      <c r="P117" s="298">
        <f t="shared" si="141"/>
        <v>0.54414940822538949</v>
      </c>
      <c r="Q117" s="224">
        <f t="shared" si="141"/>
        <v>0.46984041751756517</v>
      </c>
      <c r="R117" s="224">
        <f t="shared" si="141"/>
        <v>0.2701373541650175</v>
      </c>
      <c r="S117" s="224">
        <f t="shared" si="141"/>
        <v>0.20293942929044334</v>
      </c>
      <c r="T117" s="224">
        <f t="shared" si="141"/>
        <v>0.18437795846524063</v>
      </c>
      <c r="U117" s="224">
        <f t="shared" si="141"/>
        <v>0.19001269642613688</v>
      </c>
      <c r="V117" s="224">
        <f t="shared" si="141"/>
        <v>0.18824335608242379</v>
      </c>
      <c r="W117" s="224">
        <f t="shared" si="141"/>
        <v>0.20357275651346407</v>
      </c>
      <c r="X117" s="224">
        <f t="shared" si="141"/>
        <v>0.19471798346044528</v>
      </c>
      <c r="Y117" s="224">
        <f t="shared" si="141"/>
        <v>0.16602761193943388</v>
      </c>
      <c r="Z117" s="224">
        <f t="shared" si="141"/>
        <v>0.14148550520022274</v>
      </c>
      <c r="AA117" s="224">
        <f t="shared" si="141"/>
        <v>7.5341969102875189E-2</v>
      </c>
      <c r="AB117" s="298">
        <f t="shared" si="141"/>
        <v>4.2675645795153212E-2</v>
      </c>
      <c r="AC117" s="224">
        <f t="shared" si="141"/>
        <v>6.5829271954554007E-3</v>
      </c>
      <c r="AD117" s="224">
        <f t="shared" si="141"/>
        <v>0</v>
      </c>
      <c r="AE117" s="224">
        <f t="shared" si="141"/>
        <v>0</v>
      </c>
      <c r="AF117" s="224">
        <f t="shared" si="141"/>
        <v>0</v>
      </c>
      <c r="AG117" s="224">
        <f t="shared" si="141"/>
        <v>0</v>
      </c>
      <c r="AH117" s="224">
        <f t="shared" si="141"/>
        <v>0</v>
      </c>
      <c r="AI117" s="224">
        <f t="shared" si="141"/>
        <v>0</v>
      </c>
      <c r="AJ117" s="224">
        <f t="shared" si="141"/>
        <v>0</v>
      </c>
      <c r="AK117" s="224" t="str">
        <f t="shared" si="141"/>
        <v>-</v>
      </c>
      <c r="AL117" s="224" t="str">
        <f t="shared" si="141"/>
        <v>-</v>
      </c>
      <c r="AM117" s="224" t="str">
        <f t="shared" si="141"/>
        <v>-</v>
      </c>
      <c r="AN117" s="224" t="str">
        <f t="shared" si="141"/>
        <v>-</v>
      </c>
      <c r="AO117" s="414">
        <f t="shared" ca="1" si="141"/>
        <v>0</v>
      </c>
      <c r="AP117" s="405">
        <f t="shared" ca="1" si="141"/>
        <v>3.9388725815816865E-2</v>
      </c>
      <c r="AQ117" s="405">
        <f t="shared" si="141"/>
        <v>0.1955492225862632</v>
      </c>
      <c r="AR117" s="405">
        <f t="shared" ca="1" si="141"/>
        <v>0.22638920336524332</v>
      </c>
      <c r="AS117" s="416">
        <f t="shared" ca="1" si="141"/>
        <v>9.5045106778899149E-4</v>
      </c>
    </row>
    <row r="118" spans="2:46" ht="15.75" x14ac:dyDescent="0.25">
      <c r="B118" t="str">
        <f t="shared" si="124"/>
        <v>PC Annual Direct</v>
      </c>
      <c r="C118" t="str">
        <f t="shared" si="129"/>
        <v>Boom Subscription</v>
      </c>
      <c r="D118" s="211" t="s">
        <v>199</v>
      </c>
      <c r="E118" s="173">
        <v>13281.377143199999</v>
      </c>
      <c r="F118" s="173">
        <v>11548.78285716</v>
      </c>
      <c r="G118" s="173">
        <v>10906.392857160001</v>
      </c>
      <c r="H118" s="173">
        <v>10906.392857160001</v>
      </c>
      <c r="I118" s="173">
        <v>10906.392857160001</v>
      </c>
      <c r="J118" s="173">
        <v>10906.392857160001</v>
      </c>
      <c r="K118" s="173">
        <v>13028.867143199999</v>
      </c>
      <c r="L118" s="173">
        <v>13028.867143199999</v>
      </c>
      <c r="M118" s="173">
        <v>13028.867143199999</v>
      </c>
      <c r="N118" s="173">
        <v>13028.867143199999</v>
      </c>
      <c r="O118" s="173">
        <v>13028.867143199999</v>
      </c>
      <c r="P118" s="299">
        <v>13028.867143199999</v>
      </c>
      <c r="Q118" s="173">
        <v>13028.867143199999</v>
      </c>
      <c r="R118" s="173">
        <v>13028.867143199999</v>
      </c>
      <c r="S118" s="173">
        <v>13028.867143199999</v>
      </c>
      <c r="T118" s="173">
        <v>13028.867143199999</v>
      </c>
      <c r="U118" s="173">
        <v>13028.867143199999</v>
      </c>
      <c r="V118" s="173">
        <v>13028.867143199999</v>
      </c>
      <c r="W118" s="173">
        <v>11571.86142852</v>
      </c>
      <c r="X118" s="173">
        <v>11571.86142852</v>
      </c>
      <c r="Y118" s="173">
        <v>11571.86142852</v>
      </c>
      <c r="Z118" s="173">
        <v>11571.86142852</v>
      </c>
      <c r="AA118" s="173">
        <v>11571.86142852</v>
      </c>
      <c r="AB118" s="299">
        <v>7082.0228571600001</v>
      </c>
      <c r="AC118" s="173">
        <v>3918.58285716</v>
      </c>
      <c r="AD118" s="173">
        <v>0</v>
      </c>
      <c r="AE118" s="173">
        <v>0</v>
      </c>
      <c r="AF118" s="173">
        <v>0</v>
      </c>
      <c r="AG118" s="173">
        <v>0</v>
      </c>
      <c r="AH118" s="173">
        <v>0</v>
      </c>
      <c r="AI118" s="173">
        <v>0</v>
      </c>
      <c r="AJ118" s="173">
        <v>0</v>
      </c>
      <c r="AK118" s="173">
        <v>0</v>
      </c>
      <c r="AL118" s="173">
        <v>0</v>
      </c>
      <c r="AM118" s="173">
        <v>0</v>
      </c>
      <c r="AN118" s="173">
        <v>0</v>
      </c>
      <c r="AO118" s="402">
        <f ca="1">IFERROR(AVERAGE(INDEX($E118:$AN118, $AU$4 - 3):INDEX($E118:$AN118, $AU$4)),"-")</f>
        <v>0</v>
      </c>
      <c r="AP118" s="173">
        <f ca="1">IFERROR(AVERAGE(INDEX($E118:$AN118, $AU$4 - 11):INDEX($E118:$AN118, $AU$4)),"-")</f>
        <v>3809.68249999</v>
      </c>
      <c r="AQ118" s="173">
        <f>MAX(Q118:AB118)</f>
        <v>13028.867143199999</v>
      </c>
      <c r="AR118" s="173">
        <f ca="1">IFERROR(MAX(INDEX($E118:$AN118, $AU$4 - MONTH(TODAY())-11):INDEX($E118:$AN118, $AU$4-12)),"-")</f>
        <v>13028.867143199999</v>
      </c>
      <c r="AS118" s="299">
        <f ca="1">IFERROR(MAX(INDEX($E118:$AN118, $AU$4 - MONTH(TODAY())+1):INDEX($E118:$AN118, $AU$4)),"-")</f>
        <v>3918.58285716</v>
      </c>
    </row>
    <row r="119" spans="2:46" ht="15.75" x14ac:dyDescent="0.25">
      <c r="B119" t="str">
        <f t="shared" si="124"/>
        <v>PC Annual Direct</v>
      </c>
      <c r="C119" t="str">
        <f t="shared" si="129"/>
        <v>Boom Subscription</v>
      </c>
      <c r="D119" s="223" t="s">
        <v>200</v>
      </c>
      <c r="E119" s="229">
        <v>48.068571428399999</v>
      </c>
      <c r="F119" s="229">
        <v>78.094285714799994</v>
      </c>
      <c r="G119" s="229">
        <v>78.094285714799994</v>
      </c>
      <c r="H119" s="229">
        <v>78.094285714799994</v>
      </c>
      <c r="I119" s="229">
        <v>78.094285714799994</v>
      </c>
      <c r="J119" s="229">
        <v>78.094285714799994</v>
      </c>
      <c r="K119" s="229">
        <v>78.094285714799994</v>
      </c>
      <c r="L119" s="229">
        <v>78.094285714799994</v>
      </c>
      <c r="M119" s="229">
        <v>78.094285714799994</v>
      </c>
      <c r="N119" s="229">
        <v>78.094285714799994</v>
      </c>
      <c r="O119" s="229">
        <v>81.355714285199994</v>
      </c>
      <c r="P119" s="300">
        <v>81.355714285199994</v>
      </c>
      <c r="Q119" s="229">
        <v>81.355714285199994</v>
      </c>
      <c r="R119" s="229">
        <v>88.392857143200004</v>
      </c>
      <c r="S119" s="229">
        <v>88.392857143200004</v>
      </c>
      <c r="T119" s="229">
        <v>333.154285716</v>
      </c>
      <c r="U119" s="229">
        <v>333.154285716</v>
      </c>
      <c r="V119" s="229">
        <v>333.154285716</v>
      </c>
      <c r="W119" s="229">
        <v>333.154285716</v>
      </c>
      <c r="X119" s="229">
        <v>333.154285716</v>
      </c>
      <c r="Y119" s="229">
        <v>333.154285716</v>
      </c>
      <c r="Z119" s="229">
        <v>333.154285716</v>
      </c>
      <c r="AA119" s="229">
        <v>333.154285716</v>
      </c>
      <c r="AB119" s="300">
        <v>333.154285716</v>
      </c>
      <c r="AC119" s="229">
        <v>333.154285716</v>
      </c>
      <c r="AD119" s="229">
        <v>0</v>
      </c>
      <c r="AE119" s="229">
        <v>0</v>
      </c>
      <c r="AF119" s="229">
        <v>0</v>
      </c>
      <c r="AG119" s="229">
        <v>0</v>
      </c>
      <c r="AH119" s="229">
        <v>0</v>
      </c>
      <c r="AI119" s="229">
        <v>0</v>
      </c>
      <c r="AJ119" s="229">
        <v>0</v>
      </c>
      <c r="AK119" s="229">
        <v>0</v>
      </c>
      <c r="AL119" s="229">
        <v>0</v>
      </c>
      <c r="AM119" s="229">
        <v>0</v>
      </c>
      <c r="AN119" s="229">
        <v>0</v>
      </c>
      <c r="AO119" s="413">
        <f ca="1">IFERROR(AVERAGE(INDEX($E119:$AN119, $AU$4 - 3):INDEX($E119:$AN119, $AU$4)),"-")</f>
        <v>0</v>
      </c>
      <c r="AP119" s="421">
        <f ca="1">IFERROR(AVERAGE(INDEX($E119:$AN119, $AU$4 - 11):INDEX($E119:$AN119, $AU$4)),"-")</f>
        <v>138.81428571500001</v>
      </c>
      <c r="AQ119" s="421">
        <f>MIN(Q119:AB119)</f>
        <v>81.355714285199994</v>
      </c>
      <c r="AR119" s="421">
        <f ca="1">IFERROR(MIN(INDEX($E119:$AN119, $AU$4 - MONTH(TODAY())-11):INDEX($E119:$AN119, $AU$4-12)),"-")</f>
        <v>81.355714285199994</v>
      </c>
      <c r="AS119" s="422">
        <f ca="1">IFERROR(MIN(INDEX($E119:$AN119, $AU$4 - MONTH(TODAY())+1):INDEX($E119:$AN119, $AU$4)),"-")</f>
        <v>0</v>
      </c>
    </row>
    <row r="120" spans="2:46" ht="15.75" x14ac:dyDescent="0.25">
      <c r="B120" t="str">
        <f t="shared" si="124"/>
        <v>PC Annual Direct</v>
      </c>
      <c r="C120" t="str">
        <f t="shared" si="129"/>
        <v>Boom Subscription</v>
      </c>
      <c r="D120" s="211" t="s">
        <v>201</v>
      </c>
      <c r="E120" s="221">
        <v>0.1230509111403344</v>
      </c>
      <c r="F120" s="221">
        <v>0.13220338983050847</v>
      </c>
      <c r="G120" s="221">
        <v>0.14024652429410922</v>
      </c>
      <c r="H120" s="221">
        <v>0.13872999782781842</v>
      </c>
      <c r="I120" s="221">
        <v>0.12109056722030712</v>
      </c>
      <c r="J120" s="221">
        <v>0.11374585497090658</v>
      </c>
      <c r="K120" s="221">
        <v>0.1083416029420349</v>
      </c>
      <c r="L120" s="221">
        <v>9.9760027425437089E-2</v>
      </c>
      <c r="M120" s="221">
        <v>9.1144302011054917E-2</v>
      </c>
      <c r="N120" s="221">
        <v>7.3620651451362734E-2</v>
      </c>
      <c r="O120" s="221">
        <v>5.3970324474156207E-2</v>
      </c>
      <c r="P120" s="297">
        <v>4.2713817423264133E-2</v>
      </c>
      <c r="Q120" s="221">
        <v>3.1689443454149334E-2</v>
      </c>
      <c r="R120" s="221">
        <v>2.3722627737226276E-2</v>
      </c>
      <c r="S120" s="221">
        <v>1.1126326600479288E-2</v>
      </c>
      <c r="T120" s="221">
        <v>3.0689823533514684E-3</v>
      </c>
      <c r="U120" s="221">
        <v>3.152633602460592E-3</v>
      </c>
      <c r="V120" s="221">
        <v>2.088061733999092E-3</v>
      </c>
      <c r="W120" s="221">
        <v>2.2482893450635386E-3</v>
      </c>
      <c r="X120" s="221">
        <v>2.5389497980380844E-3</v>
      </c>
      <c r="Y120" s="221">
        <v>2.7944669554282519E-3</v>
      </c>
      <c r="Z120" s="221">
        <v>3.453634950785702E-3</v>
      </c>
      <c r="AA120" s="221">
        <v>3.1645569620253164E-3</v>
      </c>
      <c r="AB120" s="297">
        <v>5.8016877637130804E-3</v>
      </c>
      <c r="AC120" s="221">
        <v>3.4161490683229816E-2</v>
      </c>
      <c r="AD120" s="221" t="s">
        <v>491</v>
      </c>
      <c r="AE120" s="221" t="s">
        <v>491</v>
      </c>
      <c r="AF120" s="221" t="s">
        <v>491</v>
      </c>
      <c r="AG120" s="221" t="s">
        <v>491</v>
      </c>
      <c r="AH120" s="221" t="s">
        <v>491</v>
      </c>
      <c r="AI120" s="221" t="s">
        <v>491</v>
      </c>
      <c r="AJ120" s="221" t="s">
        <v>491</v>
      </c>
      <c r="AK120" s="221" t="s">
        <v>491</v>
      </c>
      <c r="AL120" s="221" t="s">
        <v>491</v>
      </c>
      <c r="AM120" s="221" t="s">
        <v>491</v>
      </c>
      <c r="AN120" s="221" t="s">
        <v>491</v>
      </c>
      <c r="AO120" s="403" t="str">
        <f ca="1">IFERROR(AVERAGE(INDEX($E120:$AN120, $AU$4 - 3):INDEX($E120:$AN120, $AU$4)),"-")</f>
        <v>-</v>
      </c>
      <c r="AP120" s="404">
        <f ca="1">IFERROR(AVERAGE(INDEX($E120:$AN120, $AU$4 - 11):INDEX($E120:$AN120, $AU$4)),"-")</f>
        <v>9.8751674630364328E-3</v>
      </c>
      <c r="AQ120" s="404">
        <v>0.14301001299396163</v>
      </c>
      <c r="AR120" s="404">
        <v>0.17871300328859657</v>
      </c>
      <c r="AS120" s="415">
        <v>4.5869565217391308</v>
      </c>
    </row>
    <row r="121" spans="2:46" ht="15.75" x14ac:dyDescent="0.25">
      <c r="B121" t="str">
        <f t="shared" si="124"/>
        <v>PC Annual Direct</v>
      </c>
      <c r="C121" t="str">
        <f t="shared" si="129"/>
        <v>Boom Subscription</v>
      </c>
      <c r="D121" s="223" t="s">
        <v>202</v>
      </c>
      <c r="E121" s="224">
        <v>36.1701141233494</v>
      </c>
      <c r="F121" s="224">
        <v>1.5970372664135499</v>
      </c>
      <c r="G121" s="224">
        <v>1.5970372664135499</v>
      </c>
      <c r="H121" s="224">
        <v>1.5970372664135499</v>
      </c>
      <c r="I121" s="224">
        <v>1.5970372664135499</v>
      </c>
      <c r="J121" s="224">
        <v>1.5970372664135499</v>
      </c>
      <c r="K121" s="224">
        <v>1.5970372664135499</v>
      </c>
      <c r="L121" s="224">
        <v>1.5970372664135499</v>
      </c>
      <c r="M121" s="224">
        <v>1.5970372664135499</v>
      </c>
      <c r="N121" s="224">
        <v>1.5970372664135499</v>
      </c>
      <c r="O121" s="224">
        <v>0.34432560903149101</v>
      </c>
      <c r="P121" s="298">
        <v>0.34432560903149101</v>
      </c>
      <c r="Q121" s="224">
        <v>0.34432560903149101</v>
      </c>
      <c r="R121" s="224">
        <v>0.27155867905078801</v>
      </c>
      <c r="S121" s="224">
        <v>0.27155867905078801</v>
      </c>
      <c r="T121" s="224">
        <v>0.25747920416771702</v>
      </c>
      <c r="U121" s="224">
        <v>0.25747920416771702</v>
      </c>
      <c r="V121" s="224">
        <v>0.25747920416771702</v>
      </c>
      <c r="W121" s="224">
        <v>0.25747920416771702</v>
      </c>
      <c r="X121" s="224">
        <v>0.25747920416771702</v>
      </c>
      <c r="Y121" s="224">
        <v>0.25747920416771702</v>
      </c>
      <c r="Z121" s="224">
        <v>0.25747920416771702</v>
      </c>
      <c r="AA121" s="224">
        <v>0.25747920416771702</v>
      </c>
      <c r="AB121" s="298">
        <v>0.25747920416771702</v>
      </c>
      <c r="AC121" s="224">
        <v>0.25747920416771702</v>
      </c>
      <c r="AD121" s="224">
        <v>0</v>
      </c>
      <c r="AE121" s="224">
        <v>0</v>
      </c>
      <c r="AF121" s="224">
        <v>0</v>
      </c>
      <c r="AG121" s="224">
        <v>0</v>
      </c>
      <c r="AH121" s="224">
        <v>0</v>
      </c>
      <c r="AI121" s="224">
        <v>0</v>
      </c>
      <c r="AJ121" s="224">
        <v>0</v>
      </c>
      <c r="AK121" s="224">
        <v>0</v>
      </c>
      <c r="AL121" s="224">
        <v>0</v>
      </c>
      <c r="AM121" s="224">
        <v>0</v>
      </c>
      <c r="AN121" s="224">
        <v>0</v>
      </c>
      <c r="AO121" s="414">
        <f ca="1">IFERROR(AVERAGE(INDEX($E121:$AN121, $AU$4 - 3):INDEX($E121:$AN121, $AU$4)),"-")</f>
        <v>0</v>
      </c>
      <c r="AP121" s="405">
        <f ca="1">IFERROR(AVERAGE(INDEX($E121:$AN121, $AU$4 - 11):INDEX($E121:$AN121, $AU$4)),"-")</f>
        <v>0.10728300173654876</v>
      </c>
      <c r="AQ121" s="405">
        <f>MAX(Q121:AB121)</f>
        <v>0.34432560903149101</v>
      </c>
      <c r="AR121" s="405">
        <f ca="1">IFERROR(MAX(INDEX($E121:$AN121, $AU$4 - MONTH(TODAY())-11):INDEX($E121:$AN121, $AU$4-12)),"-")</f>
        <v>0.34432560903149101</v>
      </c>
      <c r="AS121" s="416">
        <f ca="1">IFERROR(MAX(INDEX($E121:$AN121, $AU$4 - MONTH(TODAY())+1):INDEX($E121:$AN121, $AU$4)),"-")</f>
        <v>0.25747920416771702</v>
      </c>
    </row>
    <row r="122" spans="2:46" ht="16.5" thickBot="1" x14ac:dyDescent="0.3">
      <c r="B122" t="str">
        <f t="shared" si="124"/>
        <v>PC Annual Direct</v>
      </c>
      <c r="C122" t="str">
        <f t="shared" si="129"/>
        <v>Boom Subscription</v>
      </c>
      <c r="D122" s="226" t="s">
        <v>203</v>
      </c>
      <c r="E122" s="231">
        <v>0.167241751132198</v>
      </c>
      <c r="F122" s="227">
        <v>0.167241751132198</v>
      </c>
      <c r="G122" s="227">
        <v>0.16269447203135401</v>
      </c>
      <c r="H122" s="227">
        <v>0.16269447203135401</v>
      </c>
      <c r="I122" s="227">
        <v>0.14963378542706501</v>
      </c>
      <c r="J122" s="227">
        <v>0.12449478179903101</v>
      </c>
      <c r="K122" s="227">
        <v>8.5046459002527303E-2</v>
      </c>
      <c r="L122" s="227">
        <v>8.5046459002527303E-2</v>
      </c>
      <c r="M122" s="227">
        <v>8.5046459002527303E-2</v>
      </c>
      <c r="N122" s="227">
        <v>8.5046459002527303E-2</v>
      </c>
      <c r="O122" s="227">
        <v>8.5046459002527303E-2</v>
      </c>
      <c r="P122" s="301">
        <v>8.5046459002527303E-2</v>
      </c>
      <c r="Q122" s="227">
        <v>8.5046459002527303E-2</v>
      </c>
      <c r="R122" s="227">
        <v>8.5046459002527303E-2</v>
      </c>
      <c r="S122" s="227">
        <v>-0.5</v>
      </c>
      <c r="T122" s="227">
        <v>8.5046459002527303E-2</v>
      </c>
      <c r="U122" s="227">
        <v>8.5046459002527303E-2</v>
      </c>
      <c r="V122" s="227">
        <v>8.5046459002527303E-2</v>
      </c>
      <c r="W122" s="227">
        <v>8.5046459002527303E-2</v>
      </c>
      <c r="X122" s="227">
        <v>8.6522769782477499E-2</v>
      </c>
      <c r="Y122" s="227">
        <v>8.6522769782477499E-2</v>
      </c>
      <c r="Z122" s="227">
        <v>8.6522769782477499E-2</v>
      </c>
      <c r="AA122" s="227">
        <v>8.6522769782477499E-2</v>
      </c>
      <c r="AB122" s="301">
        <v>0</v>
      </c>
      <c r="AC122" s="227">
        <v>0.15969435010466301</v>
      </c>
      <c r="AD122" s="227">
        <v>0</v>
      </c>
      <c r="AE122" s="227">
        <v>0</v>
      </c>
      <c r="AF122" s="227">
        <v>0</v>
      </c>
      <c r="AG122" s="227">
        <v>0</v>
      </c>
      <c r="AH122" s="227">
        <v>0</v>
      </c>
      <c r="AI122" s="227">
        <v>0</v>
      </c>
      <c r="AJ122" s="227">
        <v>0</v>
      </c>
      <c r="AK122" s="227">
        <v>0</v>
      </c>
      <c r="AL122" s="227">
        <v>0</v>
      </c>
      <c r="AM122" s="227">
        <v>0</v>
      </c>
      <c r="AN122" s="227">
        <v>0</v>
      </c>
      <c r="AO122" s="406">
        <f ca="1">IFERROR(AVERAGE(INDEX($E122:$AN122, $AU$4 - 3):INDEX($E122:$AN122, $AU$4)),"-")</f>
        <v>0</v>
      </c>
      <c r="AP122" s="407">
        <f ca="1">IFERROR(AVERAGE(INDEX($E122:$AN122, $AU$4 - 11):INDEX($E122:$AN122, $AU$4)),"-")</f>
        <v>3.493855495434129E-2</v>
      </c>
      <c r="AQ122" s="407">
        <f>MIN(Q122:AB122)</f>
        <v>-0.5</v>
      </c>
      <c r="AR122" s="407">
        <f ca="1">IFERROR(MIN(INDEX($E122:$AN122, $AU$4 - MONTH(TODAY())-11):INDEX($E122:$AN122, $AU$4-12)),"-")</f>
        <v>-0.5</v>
      </c>
      <c r="AS122" s="417">
        <f ca="1">IFERROR(MIN(INDEX($E122:$AN122, $AU$4 - MONTH(TODAY())+1):INDEX($E122:$AN122, $AU$4)),"-")</f>
        <v>0</v>
      </c>
    </row>
    <row r="123" spans="2:46" hidden="1" outlineLevel="1" x14ac:dyDescent="0.25"/>
    <row r="124" spans="2:46" hidden="1" outlineLevel="1" x14ac:dyDescent="0.25"/>
    <row r="125" spans="2:46" ht="18.75" hidden="1" outlineLevel="1" x14ac:dyDescent="0.3">
      <c r="D125" s="68" t="s">
        <v>204</v>
      </c>
      <c r="E125" s="174" t="s">
        <v>300</v>
      </c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"/>
      <c r="S125" s="1"/>
      <c r="T125" s="505" t="s">
        <v>307</v>
      </c>
      <c r="U125" s="505"/>
      <c r="V125" s="505"/>
      <c r="W125" s="505"/>
      <c r="X125" s="505"/>
      <c r="Y125" s="505"/>
      <c r="Z125" s="505"/>
      <c r="AA125" s="505"/>
      <c r="AB125" s="505"/>
      <c r="AC125" s="506"/>
      <c r="AD125" s="193"/>
      <c r="AE125" s="193"/>
      <c r="AF125" s="193"/>
      <c r="AG125" s="193"/>
      <c r="AH125" s="193"/>
      <c r="AI125" s="193"/>
      <c r="AJ125" s="193"/>
      <c r="AK125" s="193"/>
      <c r="AL125" s="193"/>
      <c r="AM125" s="193"/>
      <c r="AN125" s="193"/>
      <c r="AO125" s="4"/>
      <c r="AP125" s="1"/>
      <c r="AT125" s="118" t="s">
        <v>184</v>
      </c>
    </row>
    <row r="126" spans="2:46" hidden="1" outlineLevel="1" x14ac:dyDescent="0.25">
      <c r="D126" s="19"/>
      <c r="E126" s="503" t="s">
        <v>341</v>
      </c>
      <c r="F126" s="503"/>
      <c r="G126" s="503"/>
      <c r="H126" s="503"/>
      <c r="I126" s="503"/>
      <c r="J126" s="503"/>
      <c r="K126" s="503"/>
      <c r="L126" s="503"/>
      <c r="M126" s="503"/>
      <c r="N126" s="503"/>
      <c r="O126" s="503"/>
      <c r="P126" s="503"/>
      <c r="Q126" s="503"/>
      <c r="R126" s="503"/>
      <c r="S126" s="503"/>
      <c r="T126" s="503"/>
      <c r="U126" s="503"/>
      <c r="V126" s="503"/>
      <c r="W126" s="503"/>
      <c r="X126" s="503"/>
      <c r="Y126" s="503"/>
      <c r="Z126" s="503"/>
      <c r="AA126" s="503"/>
      <c r="AB126" s="503"/>
      <c r="AC126" s="504"/>
      <c r="AD126" s="194"/>
      <c r="AE126" s="194"/>
      <c r="AF126" s="194"/>
      <c r="AG126" s="194"/>
      <c r="AH126" s="194"/>
      <c r="AI126" s="194"/>
      <c r="AJ126" s="194"/>
      <c r="AK126" s="194"/>
      <c r="AL126" s="194"/>
      <c r="AM126" s="194"/>
      <c r="AN126" s="194"/>
      <c r="AO126" s="500" t="s">
        <v>8</v>
      </c>
      <c r="AP126" s="501"/>
      <c r="AQ126" s="502"/>
    </row>
    <row r="127" spans="2:46" hidden="1" outlineLevel="1" x14ac:dyDescent="0.25">
      <c r="D127" s="22" t="s">
        <v>16</v>
      </c>
      <c r="E127" s="23">
        <f>E$4</f>
        <v>44927</v>
      </c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>
        <f t="shared" ref="R127:AC127" si="142">R$4</f>
        <v>45323</v>
      </c>
      <c r="S127" s="23">
        <f t="shared" si="142"/>
        <v>45352</v>
      </c>
      <c r="T127" s="23">
        <f t="shared" si="142"/>
        <v>45383</v>
      </c>
      <c r="U127" s="23">
        <f t="shared" si="142"/>
        <v>45413</v>
      </c>
      <c r="V127" s="23">
        <f t="shared" si="142"/>
        <v>45444</v>
      </c>
      <c r="W127" s="23">
        <f t="shared" si="142"/>
        <v>45474</v>
      </c>
      <c r="X127" s="23">
        <f t="shared" si="142"/>
        <v>45505</v>
      </c>
      <c r="Y127" s="23">
        <f t="shared" si="142"/>
        <v>45536</v>
      </c>
      <c r="Z127" s="23">
        <f t="shared" si="142"/>
        <v>45566</v>
      </c>
      <c r="AA127" s="23">
        <f t="shared" si="142"/>
        <v>45597</v>
      </c>
      <c r="AB127" s="23">
        <f t="shared" si="142"/>
        <v>45627</v>
      </c>
      <c r="AC127" s="24">
        <f t="shared" si="142"/>
        <v>45658</v>
      </c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8" t="s">
        <v>9</v>
      </c>
      <c r="AP127" s="29" t="s">
        <v>10</v>
      </c>
    </row>
    <row r="128" spans="2:46" ht="15.75" hidden="1" outlineLevel="1" x14ac:dyDescent="0.25">
      <c r="B128" t="str">
        <f>$D$2</f>
        <v>PC Annual Direct</v>
      </c>
      <c r="C128" t="s">
        <v>73</v>
      </c>
      <c r="D128" s="5" t="s">
        <v>3</v>
      </c>
      <c r="E128" s="6">
        <v>2040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>
        <v>478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1</v>
      </c>
      <c r="AC128" s="7">
        <v>0</v>
      </c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8">
        <f t="shared" ref="AO128:AO133" si="143">AVERAGE(Z128:AC128)</f>
        <v>0.25</v>
      </c>
      <c r="AP128" s="6">
        <f>AVERAGE(R128:AC128)</f>
        <v>40</v>
      </c>
    </row>
    <row r="129" spans="2:44" ht="15.75" hidden="1" outlineLevel="1" x14ac:dyDescent="0.25">
      <c r="B129" t="str">
        <f>$D$125&amp;"_W VYRs"</f>
        <v>PC Annual Direct - Subscription_W VYRs</v>
      </c>
      <c r="C129" t="str">
        <f>$C128</f>
        <v>Boom Subscription</v>
      </c>
      <c r="D129" s="175" t="s">
        <v>4</v>
      </c>
      <c r="E129" s="176" t="str">
        <f>INDEX('Plan Figures'!$B$53:$AP$79,MATCH('Headline - Sales, NWP, GWP'!E$4,'Plan Figures'!$B$53:$B$79,0),MATCH('Headline - Sales, NWP, GWP'!$B129,'Plan Figures'!$B$1:$AP$1,0))</f>
        <v>-</v>
      </c>
      <c r="F129" s="176"/>
      <c r="G129" s="176"/>
      <c r="H129" s="176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>
        <f>INDEX('Plan Figures'!$B$53:$AP$79,MATCH('Headline - Sales, NWP, GWP'!R$4,'Plan Figures'!$B$53:$B$79,0),MATCH('Headline - Sales, NWP, GWP'!$B129,'Plan Figures'!$B$1:$AP$1,0))</f>
        <v>837.39461191721966</v>
      </c>
      <c r="S129" s="176">
        <f>INDEX('Plan Figures'!$B$53:$AP$79,MATCH('Headline - Sales, NWP, GWP'!S$4,'Plan Figures'!$B$53:$B$79,0),MATCH('Headline - Sales, NWP, GWP'!$B129,'Plan Figures'!$B$1:$AP$1,0))</f>
        <v>837.39461191721966</v>
      </c>
      <c r="T129" s="176">
        <f>INDEX('Plan Figures'!$B$53:$AP$79,MATCH('Headline - Sales, NWP, GWP'!T$4,'Plan Figures'!$B$53:$B$79,0),MATCH('Headline - Sales, NWP, GWP'!$B129,'Plan Figures'!$B$1:$AP$1,0))</f>
        <v>837.39461191721966</v>
      </c>
      <c r="U129" s="176">
        <f>INDEX('Plan Figures'!$B$53:$AP$79,MATCH('Headline - Sales, NWP, GWP'!U$4,'Plan Figures'!$B$53:$B$79,0),MATCH('Headline - Sales, NWP, GWP'!$B129,'Plan Figures'!$B$1:$AP$1,0))</f>
        <v>837.08056784126177</v>
      </c>
      <c r="V129" s="176">
        <f>INDEX('Plan Figures'!$B$53:$AP$79,MATCH('Headline - Sales, NWP, GWP'!V$4,'Plan Figures'!$B$53:$B$79,0),MATCH('Headline - Sales, NWP, GWP'!$B129,'Plan Figures'!$B$1:$AP$1,0))</f>
        <v>809.35047593418562</v>
      </c>
      <c r="W129" s="176">
        <f>INDEX('Plan Figures'!$B$53:$AP$79,MATCH('Headline - Sales, NWP, GWP'!W$4,'Plan Figures'!$B$53:$B$79,0),MATCH('Headline - Sales, NWP, GWP'!$B129,'Plan Figures'!$B$1:$AP$1,0))</f>
        <v>959.05622787633104</v>
      </c>
      <c r="X129" s="176">
        <f>INDEX('Plan Figures'!$B$53:$AP$79,MATCH('Headline - Sales, NWP, GWP'!X$4,'Plan Figures'!$B$53:$B$79,0),MATCH('Headline - Sales, NWP, GWP'!$B129,'Plan Figures'!$B$1:$AP$1,0))</f>
        <v>851.81794821624351</v>
      </c>
      <c r="Y129" s="176">
        <f>INDEX('Plan Figures'!$B$53:$AP$79,MATCH('Headline - Sales, NWP, GWP'!Y$4,'Plan Figures'!$B$53:$B$79,0),MATCH('Headline - Sales, NWP, GWP'!$B129,'Plan Figures'!$B$1:$AP$1,0))</f>
        <v>742.71098577399596</v>
      </c>
      <c r="Z129" s="176">
        <f>INDEX('Plan Figures'!$B$53:$AP$79,MATCH('Headline - Sales, NWP, GWP'!Z$4,'Plan Figures'!$B$53:$B$79,0),MATCH('Headline - Sales, NWP, GWP'!$B129,'Plan Figures'!$B$1:$AP$1,0))</f>
        <v>576.75989870023488</v>
      </c>
      <c r="AA129" s="176">
        <f>INDEX('Plan Figures'!$B$53:$AP$79,MATCH('Headline - Sales, NWP, GWP'!AA$4,'Plan Figures'!$B$53:$B$79,0),MATCH('Headline - Sales, NWP, GWP'!$B129,'Plan Figures'!$B$1:$AP$1,0))</f>
        <v>366.32210539311529</v>
      </c>
      <c r="AB129" s="176">
        <f>INDEX('Plan Figures'!$B$53:$AP$79,MATCH('Headline - Sales, NWP, GWP'!AB$4,'Plan Figures'!$B$53:$B$79,0),MATCH('Headline - Sales, NWP, GWP'!$B129,'Plan Figures'!$B$1:$AP$1,0))</f>
        <v>181.98559094648922</v>
      </c>
      <c r="AC129" s="177">
        <f>INDEX('Plan Figures'!$B$53:$AP$79,MATCH('Headline - Sales, NWP, GWP'!AC$4,'Plan Figures'!$B$53:$B$79,0),MATCH('Headline - Sales, NWP, GWP'!$B129,'Plan Figures'!$B$1:$AP$1,0))</f>
        <v>28.813882899112901</v>
      </c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  <c r="AN129" s="176"/>
      <c r="AO129" s="178">
        <f t="shared" si="143"/>
        <v>288.47036948473811</v>
      </c>
      <c r="AP129" s="176">
        <f t="shared" ref="AP129:AP133" si="144">AVERAGE(R129:AC129)</f>
        <v>655.50679327771911</v>
      </c>
    </row>
    <row r="130" spans="2:44" ht="15.75" hidden="1" outlineLevel="1" x14ac:dyDescent="0.25">
      <c r="B130" t="str">
        <f t="shared" ref="B130:B140" si="145">$D$2</f>
        <v>PC Annual Direct</v>
      </c>
      <c r="C130" t="str">
        <f t="shared" ref="C130:C139" si="146">$C129</f>
        <v>Boom Subscription</v>
      </c>
      <c r="D130" s="179" t="s">
        <v>0</v>
      </c>
      <c r="E130" s="180" t="e">
        <f t="shared" ref="E130:AC130" si="147">E128-E129</f>
        <v>#VALUE!</v>
      </c>
      <c r="F130" s="180"/>
      <c r="G130" s="180"/>
      <c r="H130" s="180"/>
      <c r="I130" s="180"/>
      <c r="J130" s="180"/>
      <c r="K130" s="180"/>
      <c r="L130" s="180"/>
      <c r="M130" s="180"/>
      <c r="N130" s="180"/>
      <c r="O130" s="180"/>
      <c r="P130" s="180"/>
      <c r="Q130" s="180"/>
      <c r="R130" s="180">
        <f t="shared" si="147"/>
        <v>-359.39461191721966</v>
      </c>
      <c r="S130" s="180">
        <f t="shared" si="147"/>
        <v>-837.39461191721966</v>
      </c>
      <c r="T130" s="180">
        <f t="shared" si="147"/>
        <v>-837.39461191721966</v>
      </c>
      <c r="U130" s="180">
        <f t="shared" si="147"/>
        <v>-837.08056784126177</v>
      </c>
      <c r="V130" s="180">
        <f t="shared" si="147"/>
        <v>-808.35047593418562</v>
      </c>
      <c r="W130" s="180">
        <f t="shared" si="147"/>
        <v>-959.05622787633104</v>
      </c>
      <c r="X130" s="180">
        <f t="shared" si="147"/>
        <v>-851.81794821624351</v>
      </c>
      <c r="Y130" s="180">
        <f t="shared" si="147"/>
        <v>-742.71098577399596</v>
      </c>
      <c r="Z130" s="180">
        <f t="shared" si="147"/>
        <v>-576.75989870023488</v>
      </c>
      <c r="AA130" s="180">
        <f t="shared" si="147"/>
        <v>-366.32210539311529</v>
      </c>
      <c r="AB130" s="180">
        <f t="shared" si="147"/>
        <v>-180.98559094648922</v>
      </c>
      <c r="AC130" s="181">
        <f t="shared" si="147"/>
        <v>-28.813882899112901</v>
      </c>
      <c r="AD130" s="180"/>
      <c r="AE130" s="180"/>
      <c r="AF130" s="180"/>
      <c r="AG130" s="180"/>
      <c r="AH130" s="180"/>
      <c r="AI130" s="180"/>
      <c r="AJ130" s="180"/>
      <c r="AK130" s="180"/>
      <c r="AL130" s="180"/>
      <c r="AM130" s="180"/>
      <c r="AN130" s="180"/>
      <c r="AO130" s="182">
        <f t="shared" si="143"/>
        <v>-288.22036948473811</v>
      </c>
      <c r="AP130" s="180">
        <f t="shared" si="144"/>
        <v>-615.50679327771911</v>
      </c>
    </row>
    <row r="131" spans="2:44" ht="15.75" hidden="1" outlineLevel="1" x14ac:dyDescent="0.25">
      <c r="B131" t="str">
        <f t="shared" si="145"/>
        <v>PC Annual Direct</v>
      </c>
      <c r="C131" t="str">
        <f t="shared" si="146"/>
        <v>Boom Subscription</v>
      </c>
      <c r="D131" s="9" t="s">
        <v>5</v>
      </c>
      <c r="E131" s="15">
        <v>2191566.7328562825</v>
      </c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>
        <v>515459.24571448786</v>
      </c>
      <c r="S131" s="15">
        <v>0</v>
      </c>
      <c r="T131" s="15">
        <v>0</v>
      </c>
      <c r="U131" s="15">
        <v>0</v>
      </c>
      <c r="V131" s="15">
        <v>999.47964286000001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733.21428571000001</v>
      </c>
      <c r="AC131" s="16">
        <v>0</v>
      </c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8">
        <f t="shared" si="143"/>
        <v>183.3035714275</v>
      </c>
      <c r="AP131" s="6">
        <f t="shared" si="144"/>
        <v>43099.328303588154</v>
      </c>
    </row>
    <row r="132" spans="2:44" ht="15.75" hidden="1" outlineLevel="1" x14ac:dyDescent="0.25">
      <c r="B132" t="str">
        <f>$D$125&amp;"_NWP"</f>
        <v>PC Annual Direct - Subscription_NWP</v>
      </c>
      <c r="C132" t="str">
        <f t="shared" si="146"/>
        <v>Boom Subscription</v>
      </c>
      <c r="D132" s="175" t="s">
        <v>6</v>
      </c>
      <c r="E132" s="176" t="str">
        <f>INDEX('Plan Figures'!$B$53:$AP$79,MATCH('Headline - Sales, NWP, GWP'!E$4,'Plan Figures'!$B$53:$B$79,0),MATCH('Headline - Sales, NWP, GWP'!$B132,'Plan Figures'!$B$1:$AP$1,0))</f>
        <v>-</v>
      </c>
      <c r="F132" s="176"/>
      <c r="G132" s="176"/>
      <c r="H132" s="176"/>
      <c r="I132" s="176"/>
      <c r="J132" s="176"/>
      <c r="K132" s="176"/>
      <c r="L132" s="176"/>
      <c r="M132" s="176"/>
      <c r="N132" s="176"/>
      <c r="O132" s="176"/>
      <c r="P132" s="176"/>
      <c r="Q132" s="176"/>
      <c r="R132" s="176">
        <f>INDEX('Plan Figures'!$B$53:$AP$79,MATCH('Headline - Sales, NWP, GWP'!R$4,'Plan Figures'!$B$53:$B$79,0),MATCH('Headline - Sales, NWP, GWP'!$B132,'Plan Figures'!$B$1:$AP$1,0))</f>
        <v>2201520.8903936967</v>
      </c>
      <c r="S132" s="176">
        <f>INDEX('Plan Figures'!$B$53:$AP$79,MATCH('Headline - Sales, NWP, GWP'!S$4,'Plan Figures'!$B$53:$B$79,0),MATCH('Headline - Sales, NWP, GWP'!$B132,'Plan Figures'!$B$1:$AP$1,0))</f>
        <v>2076848.2386444649</v>
      </c>
      <c r="T132" s="176">
        <f>INDEX('Plan Figures'!$B$53:$AP$79,MATCH('Headline - Sales, NWP, GWP'!T$4,'Plan Figures'!$B$53:$B$79,0),MATCH('Headline - Sales, NWP, GWP'!$B132,'Plan Figures'!$B$1:$AP$1,0))</f>
        <v>1878221.6251204163</v>
      </c>
      <c r="U132" s="176">
        <f>INDEX('Plan Figures'!$B$53:$AP$79,MATCH('Headline - Sales, NWP, GWP'!U$4,'Plan Figures'!$B$53:$B$79,0),MATCH('Headline - Sales, NWP, GWP'!$B132,'Plan Figures'!$B$1:$AP$1,0))</f>
        <v>1706079.4772538822</v>
      </c>
      <c r="V132" s="176">
        <f>INDEX('Plan Figures'!$B$53:$AP$79,MATCH('Headline - Sales, NWP, GWP'!V$4,'Plan Figures'!$B$53:$B$79,0),MATCH('Headline - Sales, NWP, GWP'!$B132,'Plan Figures'!$B$1:$AP$1,0))</f>
        <v>1532561.9578190371</v>
      </c>
      <c r="W132" s="176">
        <f>INDEX('Plan Figures'!$B$53:$AP$79,MATCH('Headline - Sales, NWP, GWP'!W$4,'Plan Figures'!$B$53:$B$79,0),MATCH('Headline - Sales, NWP, GWP'!$B132,'Plan Figures'!$B$1:$AP$1,0))</f>
        <v>1432934.2731853833</v>
      </c>
      <c r="X132" s="176">
        <f>INDEX('Plan Figures'!$B$53:$AP$79,MATCH('Headline - Sales, NWP, GWP'!X$4,'Plan Figures'!$B$53:$B$79,0),MATCH('Headline - Sales, NWP, GWP'!$B132,'Plan Figures'!$B$1:$AP$1,0))</f>
        <v>1254524.1302463615</v>
      </c>
      <c r="Y132" s="176">
        <f>INDEX('Plan Figures'!$B$53:$AP$79,MATCH('Headline - Sales, NWP, GWP'!Y$4,'Plan Figures'!$B$53:$B$79,0),MATCH('Headline - Sales, NWP, GWP'!$B132,'Plan Figures'!$B$1:$AP$1,0))</f>
        <v>1070999.5133509741</v>
      </c>
      <c r="Z132" s="176">
        <f>INDEX('Plan Figures'!$B$53:$AP$79,MATCH('Headline - Sales, NWP, GWP'!Z$4,'Plan Figures'!$B$53:$B$79,0),MATCH('Headline - Sales, NWP, GWP'!$B132,'Plan Figures'!$B$1:$AP$1,0))</f>
        <v>818161.57334020454</v>
      </c>
      <c r="AA132" s="176">
        <f>INDEX('Plan Figures'!$B$53:$AP$79,MATCH('Headline - Sales, NWP, GWP'!AA$4,'Plan Figures'!$B$53:$B$79,0),MATCH('Headline - Sales, NWP, GWP'!$B132,'Plan Figures'!$B$1:$AP$1,0))</f>
        <v>515389.26279443718</v>
      </c>
      <c r="AB132" s="176">
        <f>INDEX('Plan Figures'!$B$53:$AP$79,MATCH('Headline - Sales, NWP, GWP'!AB$4,'Plan Figures'!$B$53:$B$79,0),MATCH('Headline - Sales, NWP, GWP'!$B132,'Plan Figures'!$B$1:$AP$1,0))</f>
        <v>248522.99440086706</v>
      </c>
      <c r="AC132" s="177">
        <f>INDEX('Plan Figures'!$B$53:$AP$79,MATCH('Headline - Sales, NWP, GWP'!AC$4,'Plan Figures'!$B$53:$B$79,0),MATCH('Headline - Sales, NWP, GWP'!$B132,'Plan Figures'!$B$1:$AP$1,0))</f>
        <v>34405.495403353423</v>
      </c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  <c r="AN132" s="176"/>
      <c r="AO132" s="178">
        <f t="shared" si="143"/>
        <v>404119.83148471551</v>
      </c>
      <c r="AP132" s="176">
        <f t="shared" si="144"/>
        <v>1230847.4526627564</v>
      </c>
    </row>
    <row r="133" spans="2:44" ht="15.75" hidden="1" outlineLevel="1" x14ac:dyDescent="0.25">
      <c r="B133" t="str">
        <f t="shared" si="145"/>
        <v>PC Annual Direct</v>
      </c>
      <c r="C133" t="str">
        <f t="shared" si="146"/>
        <v>Boom Subscription</v>
      </c>
      <c r="D133" s="179" t="s">
        <v>0</v>
      </c>
      <c r="E133" s="180" t="e">
        <f t="shared" ref="E133:AC133" si="148">E131-E132</f>
        <v>#VALUE!</v>
      </c>
      <c r="F133" s="180"/>
      <c r="G133" s="180"/>
      <c r="H133" s="180"/>
      <c r="I133" s="180"/>
      <c r="J133" s="180"/>
      <c r="K133" s="180"/>
      <c r="L133" s="180"/>
      <c r="M133" s="180"/>
      <c r="N133" s="180"/>
      <c r="O133" s="180"/>
      <c r="P133" s="180"/>
      <c r="Q133" s="180"/>
      <c r="R133" s="180">
        <f t="shared" si="148"/>
        <v>-1686061.6446792088</v>
      </c>
      <c r="S133" s="180">
        <f t="shared" si="148"/>
        <v>-2076848.2386444649</v>
      </c>
      <c r="T133" s="180">
        <f t="shared" si="148"/>
        <v>-1878221.6251204163</v>
      </c>
      <c r="U133" s="180">
        <f t="shared" si="148"/>
        <v>-1706079.4772538822</v>
      </c>
      <c r="V133" s="180">
        <f t="shared" si="148"/>
        <v>-1531562.4781761772</v>
      </c>
      <c r="W133" s="180">
        <f t="shared" si="148"/>
        <v>-1432934.2731853833</v>
      </c>
      <c r="X133" s="180">
        <f t="shared" si="148"/>
        <v>-1254524.1302463615</v>
      </c>
      <c r="Y133" s="180">
        <f t="shared" si="148"/>
        <v>-1070999.5133509741</v>
      </c>
      <c r="Z133" s="180">
        <f t="shared" si="148"/>
        <v>-818161.57334020454</v>
      </c>
      <c r="AA133" s="180">
        <f t="shared" si="148"/>
        <v>-515389.26279443718</v>
      </c>
      <c r="AB133" s="180">
        <f t="shared" si="148"/>
        <v>-247789.78011515705</v>
      </c>
      <c r="AC133" s="181">
        <f t="shared" si="148"/>
        <v>-34405.495403353423</v>
      </c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2">
        <f t="shared" si="143"/>
        <v>-403936.52791328804</v>
      </c>
      <c r="AP133" s="180">
        <f t="shared" si="144"/>
        <v>-1187748.1243591683</v>
      </c>
    </row>
    <row r="134" spans="2:44" ht="15.75" hidden="1" outlineLevel="1" x14ac:dyDescent="0.25">
      <c r="B134" t="str">
        <f t="shared" si="145"/>
        <v>PC Annual Direct</v>
      </c>
      <c r="C134" t="str">
        <f t="shared" si="146"/>
        <v>Boom Subscription</v>
      </c>
      <c r="D134" s="9" t="s">
        <v>12</v>
      </c>
      <c r="E134" s="15">
        <f>IFERROR(E131/E128,0)</f>
        <v>1074.2974180668052</v>
      </c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>
        <f t="shared" ref="R134:AP134" si="149">IFERROR(R131/R128,0)</f>
        <v>1078.3666228336565</v>
      </c>
      <c r="S134" s="15">
        <f t="shared" si="149"/>
        <v>0</v>
      </c>
      <c r="T134" s="15">
        <f t="shared" si="149"/>
        <v>0</v>
      </c>
      <c r="U134" s="15">
        <f t="shared" si="149"/>
        <v>0</v>
      </c>
      <c r="V134" s="15">
        <f t="shared" si="149"/>
        <v>999.47964286000001</v>
      </c>
      <c r="W134" s="15">
        <f t="shared" si="149"/>
        <v>0</v>
      </c>
      <c r="X134" s="15">
        <f t="shared" si="149"/>
        <v>0</v>
      </c>
      <c r="Y134" s="15">
        <f t="shared" si="149"/>
        <v>0</v>
      </c>
      <c r="Z134" s="15">
        <f t="shared" si="149"/>
        <v>0</v>
      </c>
      <c r="AA134" s="15">
        <f t="shared" si="149"/>
        <v>0</v>
      </c>
      <c r="AB134" s="15">
        <f t="shared" si="149"/>
        <v>733.21428571000001</v>
      </c>
      <c r="AC134" s="16">
        <f t="shared" si="149"/>
        <v>0</v>
      </c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8">
        <f t="shared" si="149"/>
        <v>733.21428571000001</v>
      </c>
      <c r="AP134" s="6">
        <f t="shared" si="149"/>
        <v>1077.4832075897039</v>
      </c>
    </row>
    <row r="135" spans="2:44" ht="15.75" hidden="1" outlineLevel="1" x14ac:dyDescent="0.25">
      <c r="B135" t="str">
        <f t="shared" si="145"/>
        <v>PC Annual Direct</v>
      </c>
      <c r="C135" t="str">
        <f t="shared" si="146"/>
        <v>Boom Subscription</v>
      </c>
      <c r="D135" s="175" t="s">
        <v>13</v>
      </c>
      <c r="E135" s="176">
        <f>IFERROR(E132/E129,0)</f>
        <v>0</v>
      </c>
      <c r="F135" s="176"/>
      <c r="G135" s="176"/>
      <c r="H135" s="176"/>
      <c r="I135" s="176"/>
      <c r="J135" s="176"/>
      <c r="K135" s="176"/>
      <c r="L135" s="176"/>
      <c r="M135" s="176"/>
      <c r="N135" s="176"/>
      <c r="O135" s="176"/>
      <c r="P135" s="176"/>
      <c r="Q135" s="176"/>
      <c r="R135" s="176">
        <f t="shared" ref="R135:AP135" si="150">IFERROR(R132/R129,0)</f>
        <v>2629.0124859453085</v>
      </c>
      <c r="S135" s="176">
        <f t="shared" si="150"/>
        <v>2480.1308834427646</v>
      </c>
      <c r="T135" s="176">
        <f t="shared" si="150"/>
        <v>2242.9349298298175</v>
      </c>
      <c r="U135" s="176">
        <f t="shared" si="150"/>
        <v>2038.1305489550098</v>
      </c>
      <c r="V135" s="176">
        <f t="shared" si="150"/>
        <v>1893.5702188228049</v>
      </c>
      <c r="W135" s="176">
        <f t="shared" si="150"/>
        <v>1494.1087201512426</v>
      </c>
      <c r="X135" s="176">
        <f t="shared" si="150"/>
        <v>1472.7608556187483</v>
      </c>
      <c r="Y135" s="176">
        <f t="shared" si="150"/>
        <v>1442.0138302315015</v>
      </c>
      <c r="Z135" s="176">
        <f t="shared" si="150"/>
        <v>1418.5479524217681</v>
      </c>
      <c r="AA135" s="176">
        <f t="shared" si="150"/>
        <v>1406.9291893847133</v>
      </c>
      <c r="AB135" s="176">
        <f t="shared" si="150"/>
        <v>1365.6190751604197</v>
      </c>
      <c r="AC135" s="177">
        <f t="shared" si="150"/>
        <v>1194.0596664399116</v>
      </c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  <c r="AN135" s="176"/>
      <c r="AO135" s="178">
        <f t="shared" si="150"/>
        <v>1400.9058615155134</v>
      </c>
      <c r="AP135" s="176">
        <f t="shared" si="150"/>
        <v>1877.7035803216797</v>
      </c>
      <c r="AR135" s="3"/>
    </row>
    <row r="136" spans="2:44" ht="15.75" hidden="1" outlineLevel="1" x14ac:dyDescent="0.25">
      <c r="B136" t="str">
        <f t="shared" si="145"/>
        <v>PC Annual Direct</v>
      </c>
      <c r="C136" t="str">
        <f t="shared" si="146"/>
        <v>Boom Subscription</v>
      </c>
      <c r="D136" s="179" t="s">
        <v>0</v>
      </c>
      <c r="E136" s="180">
        <f t="shared" ref="E136:AP136" si="151">E134-E135</f>
        <v>1074.2974180668052</v>
      </c>
      <c r="F136" s="180"/>
      <c r="G136" s="180"/>
      <c r="H136" s="180"/>
      <c r="I136" s="180"/>
      <c r="J136" s="180"/>
      <c r="K136" s="180"/>
      <c r="L136" s="180"/>
      <c r="M136" s="180"/>
      <c r="N136" s="180"/>
      <c r="O136" s="180"/>
      <c r="P136" s="180"/>
      <c r="Q136" s="180"/>
      <c r="R136" s="180">
        <f t="shared" si="151"/>
        <v>-1550.645863111652</v>
      </c>
      <c r="S136" s="180">
        <f t="shared" si="151"/>
        <v>-2480.1308834427646</v>
      </c>
      <c r="T136" s="180">
        <f t="shared" si="151"/>
        <v>-2242.9349298298175</v>
      </c>
      <c r="U136" s="180">
        <f t="shared" si="151"/>
        <v>-2038.1305489550098</v>
      </c>
      <c r="V136" s="180">
        <f t="shared" si="151"/>
        <v>-894.09057596280491</v>
      </c>
      <c r="W136" s="180">
        <f t="shared" si="151"/>
        <v>-1494.1087201512426</v>
      </c>
      <c r="X136" s="180">
        <f t="shared" si="151"/>
        <v>-1472.7608556187483</v>
      </c>
      <c r="Y136" s="180">
        <f t="shared" si="151"/>
        <v>-1442.0138302315015</v>
      </c>
      <c r="Z136" s="180">
        <f t="shared" si="151"/>
        <v>-1418.5479524217681</v>
      </c>
      <c r="AA136" s="180">
        <f t="shared" si="151"/>
        <v>-1406.9291893847133</v>
      </c>
      <c r="AB136" s="180">
        <f t="shared" si="151"/>
        <v>-632.40478945041968</v>
      </c>
      <c r="AC136" s="181">
        <f t="shared" si="151"/>
        <v>-1194.0596664399116</v>
      </c>
      <c r="AD136" s="180"/>
      <c r="AE136" s="180"/>
      <c r="AF136" s="180"/>
      <c r="AG136" s="180"/>
      <c r="AH136" s="180"/>
      <c r="AI136" s="180"/>
      <c r="AJ136" s="180"/>
      <c r="AK136" s="180"/>
      <c r="AL136" s="180"/>
      <c r="AM136" s="180"/>
      <c r="AN136" s="180"/>
      <c r="AO136" s="182">
        <f t="shared" si="151"/>
        <v>-667.69157580551337</v>
      </c>
      <c r="AP136" s="180">
        <f t="shared" si="151"/>
        <v>-800.22037273197589</v>
      </c>
    </row>
    <row r="137" spans="2:44" hidden="1" outlineLevel="1" x14ac:dyDescent="0.25">
      <c r="B137" t="str">
        <f t="shared" si="145"/>
        <v>PC Annual Direct</v>
      </c>
      <c r="C137" t="str">
        <f t="shared" si="146"/>
        <v>Boom Subscription</v>
      </c>
      <c r="D137" s="35" t="s">
        <v>17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7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8"/>
      <c r="AP137" s="39"/>
    </row>
    <row r="138" spans="2:44" ht="15.75" hidden="1" outlineLevel="1" x14ac:dyDescent="0.25">
      <c r="B138" t="str">
        <f t="shared" si="145"/>
        <v>PC Annual Direct</v>
      </c>
      <c r="C138" t="str">
        <f t="shared" si="146"/>
        <v>Boom Subscription</v>
      </c>
      <c r="D138" s="5" t="s">
        <v>7</v>
      </c>
      <c r="E138" s="6">
        <v>2607340.4464285807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>
        <v>628034.14285726193</v>
      </c>
      <c r="S138" s="6">
        <v>0</v>
      </c>
      <c r="T138" s="6">
        <v>0</v>
      </c>
      <c r="U138" s="6">
        <v>0</v>
      </c>
      <c r="V138" s="6">
        <v>1125.9196429000001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733.21428571000001</v>
      </c>
      <c r="AC138" s="6">
        <v>0</v>
      </c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8">
        <f t="shared" ref="AO138" si="152">AVERAGE(Z138:AC138)</f>
        <v>183.3035714275</v>
      </c>
      <c r="AP138" s="6">
        <f>AVERAGE(R138:AC138)</f>
        <v>52491.10639882266</v>
      </c>
    </row>
    <row r="139" spans="2:44" ht="15.75" hidden="1" outlineLevel="1" x14ac:dyDescent="0.25">
      <c r="B139" t="str">
        <f t="shared" si="145"/>
        <v>PC Annual Direct</v>
      </c>
      <c r="C139" t="str">
        <f t="shared" si="146"/>
        <v>Boom Subscription</v>
      </c>
      <c r="D139" s="18" t="s">
        <v>14</v>
      </c>
      <c r="E139" s="69">
        <v>7.5439101276369672E-2</v>
      </c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>
        <v>0.57526885139793604</v>
      </c>
      <c r="S139" s="69">
        <v>0</v>
      </c>
      <c r="T139" s="69">
        <v>0</v>
      </c>
      <c r="U139" s="69">
        <v>0</v>
      </c>
      <c r="V139" s="69">
        <v>168.80822818802963</v>
      </c>
      <c r="W139" s="69">
        <v>0</v>
      </c>
      <c r="X139" s="69">
        <v>0</v>
      </c>
      <c r="Y139" s="69">
        <v>0</v>
      </c>
      <c r="Z139" s="69">
        <v>0</v>
      </c>
      <c r="AA139" s="69">
        <v>0</v>
      </c>
      <c r="AB139" s="69">
        <v>15.043214807702913</v>
      </c>
      <c r="AC139" s="70">
        <v>0</v>
      </c>
      <c r="AD139" s="123"/>
      <c r="AE139" s="123"/>
      <c r="AF139" s="123"/>
      <c r="AG139" s="123"/>
      <c r="AH139" s="123"/>
      <c r="AI139" s="123"/>
      <c r="AJ139" s="123"/>
      <c r="AK139" s="123"/>
      <c r="AL139" s="123"/>
      <c r="AM139" s="123"/>
      <c r="AN139" s="123"/>
      <c r="AO139" s="71">
        <f>AVERAGE(Z139:AC139)</f>
        <v>3.7608037019257283</v>
      </c>
      <c r="AP139" s="72">
        <f>AVERAGE(R139:AC139)</f>
        <v>15.36889265392754</v>
      </c>
    </row>
    <row r="140" spans="2:44" ht="15.75" hidden="1" outlineLevel="1" x14ac:dyDescent="0.25">
      <c r="B140" t="str">
        <f t="shared" si="145"/>
        <v>PC Annual Direct</v>
      </c>
      <c r="C140" t="e">
        <f>#REF!</f>
        <v>#REF!</v>
      </c>
      <c r="D140" s="45" t="s">
        <v>21</v>
      </c>
      <c r="E140" s="41">
        <f>E131/E$8</f>
        <v>0.99255485746198191</v>
      </c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>
        <f t="shared" ref="R140:AP140" si="153">R131/R$8</f>
        <v>7.8577578761904285E-2</v>
      </c>
      <c r="S140" s="41">
        <f t="shared" si="153"/>
        <v>0</v>
      </c>
      <c r="T140" s="41">
        <f t="shared" si="153"/>
        <v>0</v>
      </c>
      <c r="U140" s="41">
        <f t="shared" si="153"/>
        <v>0</v>
      </c>
      <c r="V140" s="41">
        <f t="shared" si="153"/>
        <v>1.516061908569713E-4</v>
      </c>
      <c r="W140" s="41">
        <f t="shared" si="153"/>
        <v>0</v>
      </c>
      <c r="X140" s="41">
        <f t="shared" si="153"/>
        <v>0</v>
      </c>
      <c r="Y140" s="41">
        <f t="shared" si="153"/>
        <v>0</v>
      </c>
      <c r="Z140" s="41">
        <f t="shared" si="153"/>
        <v>0</v>
      </c>
      <c r="AA140" s="41">
        <f t="shared" si="153"/>
        <v>0</v>
      </c>
      <c r="AB140" s="41">
        <f t="shared" si="153"/>
        <v>1.5577698157974131E-4</v>
      </c>
      <c r="AC140" s="41">
        <f t="shared" si="153"/>
        <v>0</v>
      </c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4">
        <f t="shared" ca="1" si="153"/>
        <v>5.1650879395184942E-5</v>
      </c>
      <c r="AP140" s="41">
        <f t="shared" ca="1" si="153"/>
        <v>1.0210277580349144E-2</v>
      </c>
    </row>
    <row r="141" spans="2:44" ht="15.75" hidden="1" outlineLevel="1" x14ac:dyDescent="0.25">
      <c r="D141" s="9" t="s">
        <v>199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6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</row>
    <row r="142" spans="2:44" ht="15.75" hidden="1" collapsed="1" x14ac:dyDescent="0.25">
      <c r="D142" s="18" t="s">
        <v>200</v>
      </c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3"/>
      <c r="AB142" s="123"/>
      <c r="AC142" s="70"/>
      <c r="AD142" s="123"/>
      <c r="AE142" s="123"/>
      <c r="AF142" s="123"/>
      <c r="AG142" s="123"/>
      <c r="AH142" s="123"/>
      <c r="AI142" s="123"/>
      <c r="AJ142" s="123"/>
      <c r="AK142" s="123"/>
      <c r="AL142" s="123"/>
      <c r="AM142" s="123"/>
      <c r="AN142" s="123"/>
      <c r="AO142" s="124"/>
      <c r="AP142" s="124"/>
    </row>
    <row r="143" spans="2:44" ht="15.75" hidden="1" x14ac:dyDescent="0.25">
      <c r="D143" s="9" t="s">
        <v>201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6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</row>
    <row r="144" spans="2:44" ht="15.75" hidden="1" x14ac:dyDescent="0.25">
      <c r="D144" s="18" t="s">
        <v>202</v>
      </c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  <c r="AA144" s="123"/>
      <c r="AB144" s="123"/>
      <c r="AC144" s="70"/>
      <c r="AD144" s="123"/>
      <c r="AE144" s="123"/>
      <c r="AF144" s="123"/>
      <c r="AG144" s="123"/>
      <c r="AH144" s="123"/>
      <c r="AI144" s="123"/>
      <c r="AJ144" s="123"/>
      <c r="AK144" s="123"/>
      <c r="AL144" s="123"/>
      <c r="AM144" s="123"/>
      <c r="AN144" s="123"/>
      <c r="AO144" s="124"/>
      <c r="AP144" s="124"/>
    </row>
    <row r="145" spans="4:42" ht="15.75" hidden="1" x14ac:dyDescent="0.25">
      <c r="D145" s="11" t="s">
        <v>203</v>
      </c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3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</row>
    <row r="146" spans="4:42" hidden="1" x14ac:dyDescent="0.25"/>
    <row r="147" spans="4:42" hidden="1" x14ac:dyDescent="0.25"/>
    <row r="148" spans="4:42" hidden="1" x14ac:dyDescent="0.25"/>
  </sheetData>
  <mergeCells count="18">
    <mergeCell ref="AO2:AS2"/>
    <mergeCell ref="AO3:AP3"/>
    <mergeCell ref="AQ3:AS3"/>
    <mergeCell ref="AO28:AS28"/>
    <mergeCell ref="AO29:AP29"/>
    <mergeCell ref="AQ29:AS29"/>
    <mergeCell ref="AO126:AQ126"/>
    <mergeCell ref="E126:AC126"/>
    <mergeCell ref="T125:AC125"/>
    <mergeCell ref="AO51:AS51"/>
    <mergeCell ref="AO52:AP52"/>
    <mergeCell ref="AQ52:AS52"/>
    <mergeCell ref="AO75:AS75"/>
    <mergeCell ref="AO76:AP76"/>
    <mergeCell ref="AQ76:AS76"/>
    <mergeCell ref="AO99:AS99"/>
    <mergeCell ref="AO100:AP100"/>
    <mergeCell ref="AQ100:AS100"/>
  </mergeCells>
  <conditionalFormatting sqref="E16:AN16 E88:AN98 AO97:AP98">
    <cfRule type="cellIs" dxfId="424" priority="102" operator="lessThan">
      <formula>0</formula>
    </cfRule>
  </conditionalFormatting>
  <conditionalFormatting sqref="E18:AN25">
    <cfRule type="cellIs" dxfId="423" priority="97" operator="lessThan">
      <formula>0</formula>
    </cfRule>
  </conditionalFormatting>
  <conditionalFormatting sqref="E39:AN39">
    <cfRule type="cellIs" dxfId="422" priority="51" operator="lessThan">
      <formula>0</formula>
    </cfRule>
  </conditionalFormatting>
  <conditionalFormatting sqref="E41:AN50 E64:AN74">
    <cfRule type="cellIs" dxfId="421" priority="60" operator="lessThan">
      <formula>0</formula>
    </cfRule>
  </conditionalFormatting>
  <conditionalFormatting sqref="E62:AN62">
    <cfRule type="cellIs" dxfId="420" priority="39" operator="lessThan">
      <formula>0</formula>
    </cfRule>
  </conditionalFormatting>
  <conditionalFormatting sqref="E86:AN86">
    <cfRule type="cellIs" dxfId="419" priority="31" operator="lessThan">
      <formula>0</formula>
    </cfRule>
  </conditionalFormatting>
  <conditionalFormatting sqref="E113:AN113">
    <cfRule type="cellIs" dxfId="418" priority="47" operator="lessThan">
      <formula>0</formula>
    </cfRule>
  </conditionalFormatting>
  <conditionalFormatting sqref="E115:AN122">
    <cfRule type="cellIs" dxfId="417" priority="55" operator="lessThan">
      <formula>0</formula>
    </cfRule>
  </conditionalFormatting>
  <conditionalFormatting sqref="E130:AN131 E133:AN136">
    <cfRule type="cellIs" dxfId="416" priority="240" operator="lessThan">
      <formula>0</formula>
    </cfRule>
  </conditionalFormatting>
  <conditionalFormatting sqref="E138:AN139">
    <cfRule type="cellIs" dxfId="415" priority="159" operator="lessThan">
      <formula>0</formula>
    </cfRule>
  </conditionalFormatting>
  <conditionalFormatting sqref="E141:AN145">
    <cfRule type="cellIs" dxfId="414" priority="143" operator="lessThan">
      <formula>0</formula>
    </cfRule>
  </conditionalFormatting>
  <conditionalFormatting sqref="E7:AS7">
    <cfRule type="cellIs" dxfId="413" priority="95" operator="lessThan">
      <formula>0</formula>
    </cfRule>
  </conditionalFormatting>
  <conditionalFormatting sqref="E10:AS10">
    <cfRule type="cellIs" dxfId="412" priority="9" operator="greaterThan">
      <formula>0</formula>
    </cfRule>
    <cfRule type="cellIs" dxfId="411" priority="10" operator="lessThan">
      <formula>0</formula>
    </cfRule>
  </conditionalFormatting>
  <conditionalFormatting sqref="E13:AS13">
    <cfRule type="cellIs" dxfId="410" priority="27" operator="lessThan">
      <formula>0</formula>
    </cfRule>
  </conditionalFormatting>
  <conditionalFormatting sqref="E33:AS33">
    <cfRule type="cellIs" dxfId="409" priority="53" operator="lessThan">
      <formula>0</formula>
    </cfRule>
  </conditionalFormatting>
  <conditionalFormatting sqref="E36:AS36">
    <cfRule type="cellIs" dxfId="408" priority="7" operator="greaterThan">
      <formula>0</formula>
    </cfRule>
    <cfRule type="cellIs" dxfId="407" priority="8" operator="lessThan">
      <formula>0</formula>
    </cfRule>
  </conditionalFormatting>
  <conditionalFormatting sqref="E56:AS56">
    <cfRule type="cellIs" dxfId="406" priority="20" operator="lessThan">
      <formula>0</formula>
    </cfRule>
  </conditionalFormatting>
  <conditionalFormatting sqref="E59:AS59">
    <cfRule type="cellIs" dxfId="405" priority="5" operator="greaterThan">
      <formula>0</formula>
    </cfRule>
    <cfRule type="cellIs" dxfId="404" priority="6" operator="lessThan">
      <formula>0</formula>
    </cfRule>
  </conditionalFormatting>
  <conditionalFormatting sqref="E80:AS80">
    <cfRule type="cellIs" dxfId="403" priority="13" operator="lessThan">
      <formula>0</formula>
    </cfRule>
  </conditionalFormatting>
  <conditionalFormatting sqref="E83:AS83">
    <cfRule type="cellIs" dxfId="402" priority="3" operator="greaterThan">
      <formula>0</formula>
    </cfRule>
    <cfRule type="cellIs" dxfId="401" priority="4" operator="lessThan">
      <formula>0</formula>
    </cfRule>
  </conditionalFormatting>
  <conditionalFormatting sqref="E104:AS104">
    <cfRule type="cellIs" dxfId="400" priority="50" operator="lessThan">
      <formula>0</formula>
    </cfRule>
  </conditionalFormatting>
  <conditionalFormatting sqref="E107:AS107">
    <cfRule type="cellIs" dxfId="399" priority="49" operator="lessThan">
      <formula>0</formula>
    </cfRule>
  </conditionalFormatting>
  <conditionalFormatting sqref="E110:AS110">
    <cfRule type="cellIs" dxfId="398" priority="2" operator="lessThan">
      <formula>0</formula>
    </cfRule>
    <cfRule type="cellIs" dxfId="397" priority="1" operator="greaterThan">
      <formula>0</formula>
    </cfRule>
  </conditionalFormatting>
  <conditionalFormatting sqref="AO19">
    <cfRule type="cellIs" dxfId="396" priority="179" operator="lessThan">
      <formula>0</formula>
    </cfRule>
  </conditionalFormatting>
  <conditionalFormatting sqref="AO21 AO23">
    <cfRule type="cellIs" dxfId="395" priority="89" operator="lessThan">
      <formula>0</formula>
    </cfRule>
  </conditionalFormatting>
  <conditionalFormatting sqref="AO25">
    <cfRule type="cellIs" dxfId="394" priority="146" operator="lessThan">
      <formula>0</formula>
    </cfRule>
  </conditionalFormatting>
  <conditionalFormatting sqref="AO49:AP50 AO73:AP74">
    <cfRule type="cellIs" dxfId="393" priority="140" operator="lessThan">
      <formula>0</formula>
    </cfRule>
  </conditionalFormatting>
  <conditionalFormatting sqref="AO130:AP130 AO133:AP133 AO136:AP137">
    <cfRule type="cellIs" dxfId="392" priority="239" operator="lessThan">
      <formula>0</formula>
    </cfRule>
  </conditionalFormatting>
  <conditionalFormatting sqref="AO141:AP141 AO143:AP143 AO145:AP145">
    <cfRule type="cellIs" dxfId="391" priority="142" operator="lessThan">
      <formula>0</formula>
    </cfRule>
  </conditionalFormatting>
  <conditionalFormatting sqref="AO16:AQ17">
    <cfRule type="cellIs" dxfId="390" priority="96" operator="lessThan">
      <formula>0</formula>
    </cfRule>
  </conditionalFormatting>
  <conditionalFormatting sqref="AO39:AS40">
    <cfRule type="cellIs" dxfId="389" priority="26" operator="lessThan">
      <formula>0</formula>
    </cfRule>
  </conditionalFormatting>
  <conditionalFormatting sqref="AO42:AS42">
    <cfRule type="cellIs" dxfId="388" priority="84" operator="lessThan">
      <formula>0</formula>
    </cfRule>
  </conditionalFormatting>
  <conditionalFormatting sqref="AO44:AS44 AO46:AS46">
    <cfRule type="cellIs" dxfId="387" priority="78" operator="lessThan">
      <formula>0</formula>
    </cfRule>
  </conditionalFormatting>
  <conditionalFormatting sqref="AO48:AS48">
    <cfRule type="cellIs" dxfId="386" priority="83" operator="lessThan">
      <formula>0</formula>
    </cfRule>
  </conditionalFormatting>
  <conditionalFormatting sqref="AO62:AS63">
    <cfRule type="cellIs" dxfId="385" priority="18" operator="lessThan">
      <formula>0</formula>
    </cfRule>
  </conditionalFormatting>
  <conditionalFormatting sqref="AO65:AS65">
    <cfRule type="cellIs" dxfId="384" priority="24" operator="lessThan">
      <formula>0</formula>
    </cfRule>
  </conditionalFormatting>
  <conditionalFormatting sqref="AO68:AS68 AO70:AS70">
    <cfRule type="cellIs" dxfId="383" priority="21" operator="lessThan">
      <formula>0</formula>
    </cfRule>
  </conditionalFormatting>
  <conditionalFormatting sqref="AO72:AS72">
    <cfRule type="cellIs" dxfId="382" priority="23" operator="lessThan">
      <formula>0</formula>
    </cfRule>
  </conditionalFormatting>
  <conditionalFormatting sqref="AO86:AS87">
    <cfRule type="cellIs" dxfId="381" priority="11" operator="lessThan">
      <formula>0</formula>
    </cfRule>
  </conditionalFormatting>
  <conditionalFormatting sqref="AO89:AS89">
    <cfRule type="cellIs" dxfId="380" priority="17" operator="lessThan">
      <formula>0</formula>
    </cfRule>
  </conditionalFormatting>
  <conditionalFormatting sqref="AO92:AS92 AO94:AS94">
    <cfRule type="cellIs" dxfId="379" priority="14" operator="lessThan">
      <formula>0</formula>
    </cfRule>
  </conditionalFormatting>
  <conditionalFormatting sqref="AO96:AS96">
    <cfRule type="cellIs" dxfId="378" priority="16" operator="lessThan">
      <formula>0</formula>
    </cfRule>
  </conditionalFormatting>
  <conditionalFormatting sqref="AO113:AS114">
    <cfRule type="cellIs" dxfId="377" priority="66" operator="lessThan">
      <formula>0</formula>
    </cfRule>
  </conditionalFormatting>
  <conditionalFormatting sqref="AO116:AS116">
    <cfRule type="cellIs" dxfId="376" priority="75" operator="lessThan">
      <formula>0</formula>
    </cfRule>
  </conditionalFormatting>
  <conditionalFormatting sqref="AO118:AS118 AO120:AS120">
    <cfRule type="cellIs" dxfId="375" priority="69" operator="lessThan">
      <formula>0</formula>
    </cfRule>
  </conditionalFormatting>
  <conditionalFormatting sqref="AO122:AS122">
    <cfRule type="cellIs" dxfId="374" priority="74" operator="lessThan">
      <formula>0</formula>
    </cfRule>
  </conditionalFormatting>
  <conditionalFormatting sqref="AP18:AQ25">
    <cfRule type="cellIs" dxfId="373" priority="87" operator="lessThan">
      <formula>0</formula>
    </cfRule>
  </conditionalFormatting>
  <conditionalFormatting sqref="AR16:AS25">
    <cfRule type="cellIs" dxfId="372" priority="29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BC6EC-F457-4A8C-A55B-1035A97A5388}">
  <dimension ref="A1:AT146"/>
  <sheetViews>
    <sheetView showGridLines="0" zoomScale="70" zoomScaleNormal="70" workbookViewId="0">
      <pane xSplit="4" topLeftCell="E1" activePane="topRight" state="frozen"/>
      <selection pane="topRight" activeCell="F22" sqref="F22"/>
    </sheetView>
  </sheetViews>
  <sheetFormatPr defaultRowHeight="15" outlineLevelRow="1" outlineLevelCol="2" x14ac:dyDescent="0.25"/>
  <cols>
    <col min="2" max="2" width="36.5703125" hidden="1" customWidth="1"/>
    <col min="3" max="3" width="24.28515625" hidden="1" customWidth="1"/>
    <col min="4" max="4" width="57.7109375" customWidth="1"/>
    <col min="5" max="16" width="12.85546875" customWidth="1" outlineLevel="2"/>
    <col min="17" max="28" width="12.85546875" customWidth="1" outlineLevel="1"/>
    <col min="29" max="40" width="12.85546875" customWidth="1"/>
    <col min="41" max="41" width="16" customWidth="1"/>
    <col min="42" max="42" width="17" customWidth="1"/>
    <col min="43" max="43" width="17.140625" customWidth="1"/>
    <col min="46" max="46" width="17.140625" bestFit="1" customWidth="1"/>
  </cols>
  <sheetData>
    <row r="1" spans="2:44" ht="15.75" thickBot="1" x14ac:dyDescent="0.3"/>
    <row r="2" spans="2:44" ht="26.25" x14ac:dyDescent="0.4">
      <c r="D2" s="201" t="s">
        <v>1</v>
      </c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33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33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3"/>
      <c r="AO2" s="232"/>
      <c r="AP2" s="202"/>
      <c r="AQ2" s="233"/>
    </row>
    <row r="3" spans="2:44" ht="15.75" thickBot="1" x14ac:dyDescent="0.3">
      <c r="D3" s="204"/>
      <c r="E3" s="287" t="s">
        <v>341</v>
      </c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92"/>
      <c r="Q3" s="287" t="s">
        <v>341</v>
      </c>
      <c r="R3" s="287"/>
      <c r="S3" s="287"/>
      <c r="T3" s="287"/>
      <c r="U3" s="287"/>
      <c r="V3" s="287"/>
      <c r="W3" s="287"/>
      <c r="X3" s="287"/>
      <c r="Y3" s="287"/>
      <c r="Z3" s="287"/>
      <c r="AA3" s="287"/>
      <c r="AB3" s="292"/>
      <c r="AC3" s="287" t="s">
        <v>341</v>
      </c>
      <c r="AD3" s="287"/>
      <c r="AE3" s="287"/>
      <c r="AF3" s="287"/>
      <c r="AG3" s="287"/>
      <c r="AH3" s="287"/>
      <c r="AI3" s="287"/>
      <c r="AJ3" s="287"/>
      <c r="AK3" s="287"/>
      <c r="AL3" s="287"/>
      <c r="AM3" s="287"/>
      <c r="AN3" s="288"/>
      <c r="AO3" s="510" t="s">
        <v>8</v>
      </c>
      <c r="AP3" s="511"/>
      <c r="AQ3" s="512"/>
    </row>
    <row r="4" spans="2:44" x14ac:dyDescent="0.25">
      <c r="D4" s="205" t="s">
        <v>16</v>
      </c>
      <c r="E4" s="206">
        <f t="shared" ref="E4:AM4" si="0">EDATE(F4,-1)</f>
        <v>44562</v>
      </c>
      <c r="F4" s="206">
        <f t="shared" si="0"/>
        <v>44593</v>
      </c>
      <c r="G4" s="206">
        <f t="shared" si="0"/>
        <v>44621</v>
      </c>
      <c r="H4" s="206">
        <f t="shared" si="0"/>
        <v>44652</v>
      </c>
      <c r="I4" s="206">
        <f t="shared" si="0"/>
        <v>44682</v>
      </c>
      <c r="J4" s="206">
        <f t="shared" si="0"/>
        <v>44713</v>
      </c>
      <c r="K4" s="206">
        <f t="shared" si="0"/>
        <v>44743</v>
      </c>
      <c r="L4" s="206">
        <f t="shared" si="0"/>
        <v>44774</v>
      </c>
      <c r="M4" s="206">
        <f t="shared" si="0"/>
        <v>44805</v>
      </c>
      <c r="N4" s="206">
        <f t="shared" si="0"/>
        <v>44835</v>
      </c>
      <c r="O4" s="206">
        <f t="shared" si="0"/>
        <v>44866</v>
      </c>
      <c r="P4" s="293">
        <f t="shared" si="0"/>
        <v>44896</v>
      </c>
      <c r="Q4" s="206">
        <f t="shared" si="0"/>
        <v>44927</v>
      </c>
      <c r="R4" s="206">
        <f t="shared" si="0"/>
        <v>44958</v>
      </c>
      <c r="S4" s="206">
        <f t="shared" si="0"/>
        <v>44986</v>
      </c>
      <c r="T4" s="206">
        <f t="shared" si="0"/>
        <v>45017</v>
      </c>
      <c r="U4" s="206">
        <f t="shared" si="0"/>
        <v>45047</v>
      </c>
      <c r="V4" s="206">
        <f t="shared" si="0"/>
        <v>45078</v>
      </c>
      <c r="W4" s="206">
        <f t="shared" si="0"/>
        <v>45108</v>
      </c>
      <c r="X4" s="206">
        <f t="shared" si="0"/>
        <v>45139</v>
      </c>
      <c r="Y4" s="206">
        <f t="shared" si="0"/>
        <v>45170</v>
      </c>
      <c r="Z4" s="206">
        <f t="shared" si="0"/>
        <v>45200</v>
      </c>
      <c r="AA4" s="206">
        <f t="shared" si="0"/>
        <v>45231</v>
      </c>
      <c r="AB4" s="293">
        <f t="shared" si="0"/>
        <v>45261</v>
      </c>
      <c r="AC4" s="206">
        <f t="shared" si="0"/>
        <v>45292</v>
      </c>
      <c r="AD4" s="206">
        <f t="shared" si="0"/>
        <v>45323</v>
      </c>
      <c r="AE4" s="206">
        <f t="shared" si="0"/>
        <v>45352</v>
      </c>
      <c r="AF4" s="206">
        <f t="shared" si="0"/>
        <v>45383</v>
      </c>
      <c r="AG4" s="206">
        <f t="shared" si="0"/>
        <v>45413</v>
      </c>
      <c r="AH4" s="206">
        <f t="shared" si="0"/>
        <v>45444</v>
      </c>
      <c r="AI4" s="206">
        <f t="shared" si="0"/>
        <v>45474</v>
      </c>
      <c r="AJ4" s="206">
        <f t="shared" si="0"/>
        <v>45505</v>
      </c>
      <c r="AK4" s="206">
        <f t="shared" si="0"/>
        <v>45536</v>
      </c>
      <c r="AL4" s="206">
        <f t="shared" si="0"/>
        <v>45566</v>
      </c>
      <c r="AM4" s="206">
        <f t="shared" si="0"/>
        <v>45597</v>
      </c>
      <c r="AN4" s="207">
        <v>45627</v>
      </c>
      <c r="AO4" s="234" t="s">
        <v>349</v>
      </c>
      <c r="AP4" s="235" t="s">
        <v>348</v>
      </c>
      <c r="AQ4" s="236" t="s">
        <v>346</v>
      </c>
    </row>
    <row r="5" spans="2:44" ht="15.75" x14ac:dyDescent="0.25">
      <c r="B5" t="str">
        <f>$D$2</f>
        <v>PC Annual Direct</v>
      </c>
      <c r="D5" s="223" t="s">
        <v>488</v>
      </c>
      <c r="E5" s="209">
        <v>43.879452055999984</v>
      </c>
      <c r="F5" s="209">
        <v>209.42465754000003</v>
      </c>
      <c r="G5" s="209">
        <v>2067.320548002001</v>
      </c>
      <c r="H5" s="209">
        <v>1946.6520548480012</v>
      </c>
      <c r="I5" s="209">
        <v>2340.5698630780007</v>
      </c>
      <c r="J5" s="209">
        <v>3651.9671233879999</v>
      </c>
      <c r="K5" s="209">
        <v>5170.7945206900013</v>
      </c>
      <c r="L5" s="209">
        <v>3785.5123288644013</v>
      </c>
      <c r="M5" s="209">
        <v>3311.134246673601</v>
      </c>
      <c r="N5" s="209">
        <v>4566.6931506855935</v>
      </c>
      <c r="O5" s="209">
        <v>4326.6767124723956</v>
      </c>
      <c r="P5" s="238">
        <v>3576.243835490397</v>
      </c>
      <c r="Q5" s="209">
        <v>3118.5534245087979</v>
      </c>
      <c r="R5" s="209">
        <v>3228.7589037424932</v>
      </c>
      <c r="S5" s="209">
        <v>4097.5218578292079</v>
      </c>
      <c r="T5" s="209">
        <v>3226.4726779845041</v>
      </c>
      <c r="U5" s="209">
        <v>3137.0273222462069</v>
      </c>
      <c r="V5" s="209">
        <v>2548.8989075097088</v>
      </c>
      <c r="W5" s="209">
        <v>2202.1557374933031</v>
      </c>
      <c r="X5" s="209">
        <v>2452.800546227802</v>
      </c>
      <c r="Y5" s="209">
        <v>2305.8442627118066</v>
      </c>
      <c r="Z5" s="209">
        <v>2692.3961746551986</v>
      </c>
      <c r="AA5" s="209">
        <v>3437.4207655133077</v>
      </c>
      <c r="AB5" s="238">
        <v>3451.3251363966006</v>
      </c>
      <c r="AC5" s="209">
        <v>3905.1666664672066</v>
      </c>
      <c r="AD5" s="209">
        <v>5189.5437152705972</v>
      </c>
      <c r="AE5" s="209">
        <v>7447.487671058786</v>
      </c>
      <c r="AF5" s="209">
        <v>7282.2219180555767</v>
      </c>
      <c r="AG5" s="209">
        <v>7038.6849313939729</v>
      </c>
      <c r="AH5" s="209">
        <v>5950.1424659531849</v>
      </c>
      <c r="AI5" s="209">
        <v>5167.3287670239697</v>
      </c>
      <c r="AJ5" s="209">
        <v>4486.8219177219817</v>
      </c>
      <c r="AK5" s="209">
        <v>4183.7068494535906</v>
      </c>
      <c r="AL5" s="209">
        <v>4064.71780819478</v>
      </c>
      <c r="AM5" s="209">
        <v>4331.0356165687917</v>
      </c>
      <c r="AN5" s="210">
        <v>4221.389041167974</v>
      </c>
      <c r="AO5" s="237">
        <f t="shared" ref="AO5:AO10" si="1">AVERAGE(Z5:AC5)</f>
        <v>3371.5771857580785</v>
      </c>
      <c r="AP5" s="209">
        <f>AVERAGE(R5:AC5)</f>
        <v>3057.1490798981122</v>
      </c>
      <c r="AQ5" s="238">
        <f>SUMIFS(AC5:AN5,AC$4:AN$4,"&lt;"&amp;'Title Sheet'!$C$13)</f>
        <v>63268.247368330412</v>
      </c>
      <c r="AR5" s="3"/>
    </row>
    <row r="6" spans="2:44" ht="15.75" hidden="1" x14ac:dyDescent="0.25">
      <c r="B6" t="str">
        <f>$D$2&amp;"_W VYRs"</f>
        <v>PC Annual Direct_W VYRs</v>
      </c>
      <c r="D6" s="211" t="s">
        <v>306</v>
      </c>
      <c r="E6" s="31" t="e">
        <f>INDEX('Plan Figures'!$B$53:$AP$90,MATCH('Headline - MGA and MPM'!E$4,'Plan Figures'!$B$53:$B$90,0),MATCH('Headline - MGA and MPM'!$B6,'Plan Figures'!$B$1:$AP$1,0))</f>
        <v>#N/A</v>
      </c>
      <c r="F6" s="31" t="e">
        <f>INDEX('Plan Figures'!$B$53:$AP$90,MATCH('Headline - MGA and MPM'!F$4,'Plan Figures'!$B$53:$B$90,0),MATCH('Headline - MGA and MPM'!$B6,'Plan Figures'!$B$1:$AP$1,0))</f>
        <v>#N/A</v>
      </c>
      <c r="G6" s="31" t="e">
        <f>INDEX('Plan Figures'!$B$53:$AP$90,MATCH('Headline - MGA and MPM'!G$4,'Plan Figures'!$B$53:$B$90,0),MATCH('Headline - MGA and MPM'!$B6,'Plan Figures'!$B$1:$AP$1,0))</f>
        <v>#N/A</v>
      </c>
      <c r="H6" s="31" t="e">
        <f>INDEX('Plan Figures'!$B$53:$AP$90,MATCH('Headline - MGA and MPM'!H$4,'Plan Figures'!$B$53:$B$90,0),MATCH('Headline - MGA and MPM'!$B6,'Plan Figures'!$B$1:$AP$1,0))</f>
        <v>#N/A</v>
      </c>
      <c r="I6" s="31" t="e">
        <f>INDEX('Plan Figures'!$B$53:$AP$90,MATCH('Headline - MGA and MPM'!I$4,'Plan Figures'!$B$53:$B$90,0),MATCH('Headline - MGA and MPM'!$B6,'Plan Figures'!$B$1:$AP$1,0))</f>
        <v>#N/A</v>
      </c>
      <c r="J6" s="31" t="e">
        <f>INDEX('Plan Figures'!$B$53:$AP$90,MATCH('Headline - MGA and MPM'!J$4,'Plan Figures'!$B$53:$B$90,0),MATCH('Headline - MGA and MPM'!$B6,'Plan Figures'!$B$1:$AP$1,0))</f>
        <v>#N/A</v>
      </c>
      <c r="K6" s="31" t="e">
        <f>INDEX('Plan Figures'!$B$53:$AP$90,MATCH('Headline - MGA and MPM'!K$4,'Plan Figures'!$B$53:$B$90,0),MATCH('Headline - MGA and MPM'!$B6,'Plan Figures'!$B$1:$AP$1,0))</f>
        <v>#N/A</v>
      </c>
      <c r="L6" s="31" t="e">
        <f>INDEX('Plan Figures'!$B$53:$AP$90,MATCH('Headline - MGA and MPM'!L$4,'Plan Figures'!$B$53:$B$90,0),MATCH('Headline - MGA and MPM'!$B6,'Plan Figures'!$B$1:$AP$1,0))</f>
        <v>#N/A</v>
      </c>
      <c r="M6" s="31" t="e">
        <f>INDEX('Plan Figures'!$B$53:$AP$90,MATCH('Headline - MGA and MPM'!M$4,'Plan Figures'!$B$53:$B$90,0),MATCH('Headline - MGA and MPM'!$B6,'Plan Figures'!$B$1:$AP$1,0))</f>
        <v>#N/A</v>
      </c>
      <c r="N6" s="31" t="e">
        <f>INDEX('Plan Figures'!$B$53:$AP$90,MATCH('Headline - MGA and MPM'!N$4,'Plan Figures'!$B$53:$B$90,0),MATCH('Headline - MGA and MPM'!$B6,'Plan Figures'!$B$1:$AP$1,0))</f>
        <v>#N/A</v>
      </c>
      <c r="O6" s="31" t="e">
        <f>INDEX('Plan Figures'!$B$53:$AP$90,MATCH('Headline - MGA and MPM'!O$4,'Plan Figures'!$B$53:$B$90,0),MATCH('Headline - MGA and MPM'!$B6,'Plan Figures'!$B$1:$AP$1,0))</f>
        <v>#N/A</v>
      </c>
      <c r="P6" s="240" t="str">
        <f>INDEX('Plan Figures'!$B$53:$AP$90,MATCH('Headline - MGA and MPM'!P$4,'Plan Figures'!$B$53:$B$90,0),MATCH('Headline - MGA and MPM'!$B6,'Plan Figures'!$B$1:$AP$1,0))</f>
        <v>-</v>
      </c>
      <c r="Q6" s="31" t="str">
        <f>INDEX('Plan Figures'!$B$53:$AP$90,MATCH('Headline - MGA and MPM'!Q$4,'Plan Figures'!$B$53:$B$90,0),MATCH('Headline - MGA and MPM'!$B6,'Plan Figures'!$B$1:$AP$1,0))</f>
        <v>-</v>
      </c>
      <c r="R6" s="31" t="str">
        <f>INDEX('Plan Figures'!$B$53:$AP$90,MATCH('Headline - MGA and MPM'!R$4,'Plan Figures'!$B$53:$B$90,0),MATCH('Headline - MGA and MPM'!$B6,'Plan Figures'!$B$1:$AP$1,0))</f>
        <v>-</v>
      </c>
      <c r="S6" s="31" t="str">
        <f>INDEX('Plan Figures'!$B$53:$AP$90,MATCH('Headline - MGA and MPM'!S$4,'Plan Figures'!$B$53:$B$90,0),MATCH('Headline - MGA and MPM'!$B6,'Plan Figures'!$B$1:$AP$1,0))</f>
        <v>-</v>
      </c>
      <c r="T6" s="31" t="str">
        <f>INDEX('Plan Figures'!$B$53:$AP$90,MATCH('Headline - MGA and MPM'!T$4,'Plan Figures'!$B$53:$B$90,0),MATCH('Headline - MGA and MPM'!$B6,'Plan Figures'!$B$1:$AP$1,0))</f>
        <v>-</v>
      </c>
      <c r="U6" s="31" t="str">
        <f>INDEX('Plan Figures'!$B$53:$AP$90,MATCH('Headline - MGA and MPM'!U$4,'Plan Figures'!$B$53:$B$90,0),MATCH('Headline - MGA and MPM'!$B6,'Plan Figures'!$B$1:$AP$1,0))</f>
        <v>-</v>
      </c>
      <c r="V6" s="31" t="str">
        <f>INDEX('Plan Figures'!$B$53:$AP$90,MATCH('Headline - MGA and MPM'!V$4,'Plan Figures'!$B$53:$B$90,0),MATCH('Headline - MGA and MPM'!$B6,'Plan Figures'!$B$1:$AP$1,0))</f>
        <v>-</v>
      </c>
      <c r="W6" s="31" t="str">
        <f>INDEX('Plan Figures'!$B$53:$AP$90,MATCH('Headline - MGA and MPM'!W$4,'Plan Figures'!$B$53:$B$90,0),MATCH('Headline - MGA and MPM'!$B6,'Plan Figures'!$B$1:$AP$1,0))</f>
        <v>-</v>
      </c>
      <c r="X6" s="31" t="str">
        <f>INDEX('Plan Figures'!$B$53:$AP$90,MATCH('Headline - MGA and MPM'!X$4,'Plan Figures'!$B$53:$B$90,0),MATCH('Headline - MGA and MPM'!$B6,'Plan Figures'!$B$1:$AP$1,0))</f>
        <v>-</v>
      </c>
      <c r="Y6" s="31" t="str">
        <f>INDEX('Plan Figures'!$B$53:$AP$90,MATCH('Headline - MGA and MPM'!Y$4,'Plan Figures'!$B$53:$B$90,0),MATCH('Headline - MGA and MPM'!$B6,'Plan Figures'!$B$1:$AP$1,0))</f>
        <v>-</v>
      </c>
      <c r="Z6" s="31" t="str">
        <f>INDEX('Plan Figures'!$B$53:$AP$90,MATCH('Headline - MGA and MPM'!Z$4,'Plan Figures'!$B$53:$B$90,0),MATCH('Headline - MGA and MPM'!$B6,'Plan Figures'!$B$1:$AP$1,0))</f>
        <v>-</v>
      </c>
      <c r="AA6" s="31">
        <f>INDEX('Plan Figures'!$B$53:$AP$90,MATCH('Headline - MGA and MPM'!AA$4,'Plan Figures'!$B$53:$B$90,0),MATCH('Headline - MGA and MPM'!$B6,'Plan Figures'!$B$1:$AP$1,0))</f>
        <v>1805.3047307239087</v>
      </c>
      <c r="AB6" s="240">
        <f>INDEX('Plan Figures'!$B$53:$AP$90,MATCH('Headline - MGA and MPM'!AB$4,'Plan Figures'!$B$53:$B$90,0),MATCH('Headline - MGA and MPM'!$B6,'Plan Figures'!$B$1:$AP$1,0))</f>
        <v>1821.9811234360554</v>
      </c>
      <c r="AC6" s="31">
        <f>INDEX('Plan Figures'!$B$53:$AP$90,MATCH('Headline - MGA and MPM'!AC$4,'Plan Figures'!$B$53:$B$90,0),MATCH('Headline - MGA and MPM'!$B6,'Plan Figures'!$B$1:$AP$1,0))</f>
        <v>4503.2861954105474</v>
      </c>
      <c r="AD6" s="31">
        <f>INDEX('Plan Figures'!$B$53:$AP$90,MATCH('Headline - MGA and MPM'!AD$4,'Plan Figures'!$B$53:$B$90,0),MATCH('Headline - MGA and MPM'!$B6,'Plan Figures'!$B$1:$AP$1,0))</f>
        <v>4495.9690465412996</v>
      </c>
      <c r="AE6" s="31">
        <f>INDEX('Plan Figures'!$B$53:$AP$90,MATCH('Headline - MGA and MPM'!AE$4,'Plan Figures'!$B$53:$B$90,0),MATCH('Headline - MGA and MPM'!$B6,'Plan Figures'!$B$1:$AP$1,0))</f>
        <v>4488.6665027596146</v>
      </c>
      <c r="AF6" s="31">
        <f>INDEX('Plan Figures'!$B$53:$AP$90,MATCH('Headline - MGA and MPM'!AF$4,'Plan Figures'!$B$53:$B$90,0),MATCH('Headline - MGA and MPM'!$B6,'Plan Figures'!$B$1:$AP$1,0))</f>
        <v>4481.3785349136224</v>
      </c>
      <c r="AG6" s="31">
        <f>INDEX('Plan Figures'!$B$53:$AP$90,MATCH('Headline - MGA and MPM'!AG$4,'Plan Figures'!$B$53:$B$90,0),MATCH('Headline - MGA and MPM'!$B6,'Plan Figures'!$B$1:$AP$1,0))</f>
        <v>4474.5260451073691</v>
      </c>
      <c r="AH6" s="31">
        <f>INDEX('Plan Figures'!$B$53:$AP$90,MATCH('Headline - MGA and MPM'!AH$4,'Plan Figures'!$B$53:$B$90,0),MATCH('Headline - MGA and MPM'!$B6,'Plan Figures'!$B$1:$AP$1,0))</f>
        <v>4552.1675911210768</v>
      </c>
      <c r="AI6" s="31">
        <f>INDEX('Plan Figures'!$B$53:$AP$90,MATCH('Headline - MGA and MPM'!AI$4,'Plan Figures'!$B$53:$B$90,0),MATCH('Headline - MGA and MPM'!$B6,'Plan Figures'!$B$1:$AP$1,0))</f>
        <v>4412.6803697813466</v>
      </c>
      <c r="AJ6" s="31">
        <f>INDEX('Plan Figures'!$B$53:$AP$90,MATCH('Headline - MGA and MPM'!AJ$4,'Plan Figures'!$B$53:$B$90,0),MATCH('Headline - MGA and MPM'!$B6,'Plan Figures'!$B$1:$AP$1,0))</f>
        <v>4272.1923251271</v>
      </c>
      <c r="AK6" s="31">
        <f>INDEX('Plan Figures'!$B$53:$AP$90,MATCH('Headline - MGA and MPM'!AK$4,'Plan Figures'!$B$53:$B$90,0),MATCH('Headline - MGA and MPM'!$B6,'Plan Figures'!$B$1:$AP$1,0))</f>
        <v>5421.0660928297339</v>
      </c>
      <c r="AL6" s="31">
        <f>INDEX('Plan Figures'!$B$53:$AP$90,MATCH('Headline - MGA and MPM'!AL$4,'Plan Figures'!$B$53:$B$90,0),MATCH('Headline - MGA and MPM'!$B6,'Plan Figures'!$B$1:$AP$1,0))</f>
        <v>5584.1779144489374</v>
      </c>
      <c r="AM6" s="31">
        <f>INDEX('Plan Figures'!$B$53:$AP$90,MATCH('Headline - MGA and MPM'!AM$4,'Plan Figures'!$B$53:$B$90,0),MATCH('Headline - MGA and MPM'!$B6,'Plan Figures'!$B$1:$AP$1,0))</f>
        <v>4540.374957976539</v>
      </c>
      <c r="AN6" s="212">
        <f>INDEX('Plan Figures'!$B$53:$AP$90,MATCH('Headline - MGA and MPM'!AN$4,'Plan Figures'!$B$53:$B$90,0),MATCH('Headline - MGA and MPM'!$B6,'Plan Figures'!$B$1:$AP$1,0))</f>
        <v>3970.7359201666245</v>
      </c>
      <c r="AO6" s="239">
        <f t="shared" si="1"/>
        <v>2710.1906831901706</v>
      </c>
      <c r="AP6" s="31">
        <f t="shared" ref="AP6:AP10" si="2">AVERAGE(R6:AC6)</f>
        <v>2710.1906831901706</v>
      </c>
      <c r="AQ6" s="240">
        <f>SUMIFS(AC6:AN6,AC$4:AN$4,"&lt;"&amp;'Title Sheet'!$C$13)</f>
        <v>55197.221496183818</v>
      </c>
    </row>
    <row r="7" spans="2:44" ht="15.75" hidden="1" x14ac:dyDescent="0.25">
      <c r="B7" t="str">
        <f t="shared" ref="B7:B25" si="3">$D$2</f>
        <v>PC Annual Direct</v>
      </c>
      <c r="D7" s="213" t="s">
        <v>0</v>
      </c>
      <c r="E7" s="214" t="str">
        <f t="shared" ref="E7:AN7" si="4">IFERROR(IF(E5=0,"-",(E5/E6)-1),"-")</f>
        <v>-</v>
      </c>
      <c r="F7" s="214" t="str">
        <f t="shared" si="4"/>
        <v>-</v>
      </c>
      <c r="G7" s="214" t="str">
        <f t="shared" si="4"/>
        <v>-</v>
      </c>
      <c r="H7" s="214" t="str">
        <f t="shared" si="4"/>
        <v>-</v>
      </c>
      <c r="I7" s="214" t="str">
        <f t="shared" si="4"/>
        <v>-</v>
      </c>
      <c r="J7" s="214" t="str">
        <f t="shared" si="4"/>
        <v>-</v>
      </c>
      <c r="K7" s="214" t="str">
        <f t="shared" si="4"/>
        <v>-</v>
      </c>
      <c r="L7" s="214" t="str">
        <f t="shared" si="4"/>
        <v>-</v>
      </c>
      <c r="M7" s="214" t="str">
        <f t="shared" si="4"/>
        <v>-</v>
      </c>
      <c r="N7" s="214" t="str">
        <f t="shared" si="4"/>
        <v>-</v>
      </c>
      <c r="O7" s="214" t="str">
        <f t="shared" si="4"/>
        <v>-</v>
      </c>
      <c r="P7" s="294" t="str">
        <f t="shared" si="4"/>
        <v>-</v>
      </c>
      <c r="Q7" s="214" t="str">
        <f t="shared" si="4"/>
        <v>-</v>
      </c>
      <c r="R7" s="214" t="str">
        <f t="shared" si="4"/>
        <v>-</v>
      </c>
      <c r="S7" s="214" t="str">
        <f t="shared" si="4"/>
        <v>-</v>
      </c>
      <c r="T7" s="214" t="str">
        <f t="shared" si="4"/>
        <v>-</v>
      </c>
      <c r="U7" s="214" t="str">
        <f t="shared" si="4"/>
        <v>-</v>
      </c>
      <c r="V7" s="214" t="str">
        <f t="shared" si="4"/>
        <v>-</v>
      </c>
      <c r="W7" s="214" t="str">
        <f t="shared" si="4"/>
        <v>-</v>
      </c>
      <c r="X7" s="214" t="str">
        <f t="shared" si="4"/>
        <v>-</v>
      </c>
      <c r="Y7" s="214" t="str">
        <f t="shared" si="4"/>
        <v>-</v>
      </c>
      <c r="Z7" s="214" t="str">
        <f t="shared" si="4"/>
        <v>-</v>
      </c>
      <c r="AA7" s="214">
        <f t="shared" si="4"/>
        <v>0.90406677998065033</v>
      </c>
      <c r="AB7" s="294">
        <f t="shared" si="4"/>
        <v>0.8942705234441628</v>
      </c>
      <c r="AC7" s="214">
        <f t="shared" si="4"/>
        <v>-0.13281845811907422</v>
      </c>
      <c r="AD7" s="214">
        <f t="shared" si="4"/>
        <v>0.1542658905231693</v>
      </c>
      <c r="AE7" s="214">
        <f t="shared" si="4"/>
        <v>0.65917598611527484</v>
      </c>
      <c r="AF7" s="214">
        <f t="shared" si="4"/>
        <v>0.62499593848657997</v>
      </c>
      <c r="AG7" s="214">
        <f t="shared" si="4"/>
        <v>0.5730570926255667</v>
      </c>
      <c r="AH7" s="214">
        <f t="shared" si="4"/>
        <v>0.30710092430666069</v>
      </c>
      <c r="AI7" s="214">
        <f t="shared" si="4"/>
        <v>0.17101814181026143</v>
      </c>
      <c r="AJ7" s="214">
        <f t="shared" si="4"/>
        <v>5.0238747757802793E-2</v>
      </c>
      <c r="AK7" s="214">
        <f t="shared" si="4"/>
        <v>-0.22825016743713156</v>
      </c>
      <c r="AL7" s="214">
        <f t="shared" si="4"/>
        <v>-0.27210094834596654</v>
      </c>
      <c r="AM7" s="214">
        <f t="shared" si="4"/>
        <v>-4.6106179191209629E-2</v>
      </c>
      <c r="AN7" s="215">
        <f t="shared" si="4"/>
        <v>6.3125104776756702E-2</v>
      </c>
      <c r="AO7" s="241">
        <f t="shared" si="1"/>
        <v>0.55517294843524623</v>
      </c>
      <c r="AP7" s="242">
        <f t="shared" si="2"/>
        <v>0.55517294843524623</v>
      </c>
      <c r="AQ7" s="243">
        <f t="shared" ref="AQ7" si="5">IFERROR(IF(AQ5=0,"-",(AQ5/AQ6)-1),"-")</f>
        <v>0.14622159690963077</v>
      </c>
    </row>
    <row r="8" spans="2:44" ht="15.75" x14ac:dyDescent="0.25">
      <c r="B8" t="str">
        <f t="shared" si="3"/>
        <v>PC Annual Direct</v>
      </c>
      <c r="D8" s="208" t="s">
        <v>5</v>
      </c>
      <c r="E8" s="209">
        <v>58371.849999780003</v>
      </c>
      <c r="F8" s="209">
        <v>171748.68464277202</v>
      </c>
      <c r="G8" s="209">
        <v>1640143.9757139145</v>
      </c>
      <c r="H8" s="209">
        <v>1995996.3710712385</v>
      </c>
      <c r="I8" s="209">
        <v>2642088.2728567412</v>
      </c>
      <c r="J8" s="209">
        <v>3420724.2282143007</v>
      </c>
      <c r="K8" s="209">
        <v>4230105.3142855894</v>
      </c>
      <c r="L8" s="209">
        <v>3050023.5557157458</v>
      </c>
      <c r="M8" s="209">
        <v>2203100.9303564159</v>
      </c>
      <c r="N8" s="209">
        <v>2854091.1803575112</v>
      </c>
      <c r="O8" s="209">
        <v>2759461.4107140251</v>
      </c>
      <c r="P8" s="238">
        <v>2555442.7717858963</v>
      </c>
      <c r="Q8" s="209">
        <v>2208005.6496426212</v>
      </c>
      <c r="R8" s="209">
        <v>2104308.2696422241</v>
      </c>
      <c r="S8" s="209">
        <v>2456511.1425000848</v>
      </c>
      <c r="T8" s="209">
        <v>2119678.9700000095</v>
      </c>
      <c r="U8" s="209">
        <v>2503083.7114287051</v>
      </c>
      <c r="V8" s="209">
        <v>2326402.3532152562</v>
      </c>
      <c r="W8" s="209">
        <v>2586552.0971442536</v>
      </c>
      <c r="X8" s="209">
        <v>2889602.6789283482</v>
      </c>
      <c r="Y8" s="209">
        <v>2786376.2885710844</v>
      </c>
      <c r="Z8" s="209">
        <v>3276141.9724995308</v>
      </c>
      <c r="AA8" s="209">
        <v>3859445.6228565639</v>
      </c>
      <c r="AB8" s="238">
        <v>3907503.0424986873</v>
      </c>
      <c r="AC8" s="209">
        <v>4603605.0449992986</v>
      </c>
      <c r="AD8" s="209">
        <v>6559876.9246424101</v>
      </c>
      <c r="AE8" s="209">
        <v>9490679.516430432</v>
      </c>
      <c r="AF8" s="209">
        <v>8447883.3864311464</v>
      </c>
      <c r="AG8" s="209">
        <v>7902950.3367846571</v>
      </c>
      <c r="AH8" s="209">
        <v>6592604.4128562771</v>
      </c>
      <c r="AI8" s="209">
        <v>5758898.2246453585</v>
      </c>
      <c r="AJ8" s="209">
        <v>5049238.0975014018</v>
      </c>
      <c r="AK8" s="209">
        <v>4624546.0832145568</v>
      </c>
      <c r="AL8" s="209">
        <v>4470377.7921425188</v>
      </c>
      <c r="AM8" s="209">
        <v>4825949.0414281022</v>
      </c>
      <c r="AN8" s="210">
        <v>4706820.47035731</v>
      </c>
      <c r="AO8" s="237">
        <f t="shared" si="1"/>
        <v>3911673.9207135197</v>
      </c>
      <c r="AP8" s="209">
        <f t="shared" si="2"/>
        <v>2951600.9328570045</v>
      </c>
      <c r="AQ8" s="238">
        <f>SUMIFS(AC8:AN8,AC$4:AN$4,"&lt;"&amp;'Title Sheet'!$C$13)</f>
        <v>73033429.331433475</v>
      </c>
    </row>
    <row r="9" spans="2:44" ht="15.75" x14ac:dyDescent="0.25">
      <c r="B9" t="str">
        <f>$D$2&amp;"_NWP"</f>
        <v>PC Annual Direct_NWP</v>
      </c>
      <c r="D9" s="211" t="s">
        <v>6</v>
      </c>
      <c r="E9" s="31" t="e">
        <f>INDEX('Plan Figures'!$B$53:$AP$90,MATCH('Headline - MGA and MPM'!E$4,'Plan Figures'!$B$53:$B$90,0),MATCH('Headline - MGA and MPM'!$B9,'Plan Figures'!$B$1:$AP$1,0))</f>
        <v>#N/A</v>
      </c>
      <c r="F9" s="31" t="e">
        <f>INDEX('Plan Figures'!$B$53:$AP$90,MATCH('Headline - MGA and MPM'!F$4,'Plan Figures'!$B$53:$B$90,0),MATCH('Headline - MGA and MPM'!$B9,'Plan Figures'!$B$1:$AP$1,0))</f>
        <v>#N/A</v>
      </c>
      <c r="G9" s="31" t="e">
        <f>INDEX('Plan Figures'!$B$53:$AP$90,MATCH('Headline - MGA and MPM'!G$4,'Plan Figures'!$B$53:$B$90,0),MATCH('Headline - MGA and MPM'!$B9,'Plan Figures'!$B$1:$AP$1,0))</f>
        <v>#N/A</v>
      </c>
      <c r="H9" s="31" t="e">
        <f>INDEX('Plan Figures'!$B$53:$AP$90,MATCH('Headline - MGA and MPM'!H$4,'Plan Figures'!$B$53:$B$90,0),MATCH('Headline - MGA and MPM'!$B9,'Plan Figures'!$B$1:$AP$1,0))</f>
        <v>#N/A</v>
      </c>
      <c r="I9" s="31" t="e">
        <f>INDEX('Plan Figures'!$B$53:$AP$90,MATCH('Headline - MGA and MPM'!I$4,'Plan Figures'!$B$53:$B$90,0),MATCH('Headline - MGA and MPM'!$B9,'Plan Figures'!$B$1:$AP$1,0))</f>
        <v>#N/A</v>
      </c>
      <c r="J9" s="31" t="e">
        <f>INDEX('Plan Figures'!$B$53:$AP$90,MATCH('Headline - MGA and MPM'!J$4,'Plan Figures'!$B$53:$B$90,0),MATCH('Headline - MGA and MPM'!$B9,'Plan Figures'!$B$1:$AP$1,0))</f>
        <v>#N/A</v>
      </c>
      <c r="K9" s="31" t="e">
        <f>INDEX('Plan Figures'!$B$53:$AP$90,MATCH('Headline - MGA and MPM'!K$4,'Plan Figures'!$B$53:$B$90,0),MATCH('Headline - MGA and MPM'!$B9,'Plan Figures'!$B$1:$AP$1,0))</f>
        <v>#N/A</v>
      </c>
      <c r="L9" s="31" t="e">
        <f>INDEX('Plan Figures'!$B$53:$AP$90,MATCH('Headline - MGA and MPM'!L$4,'Plan Figures'!$B$53:$B$90,0),MATCH('Headline - MGA and MPM'!$B9,'Plan Figures'!$B$1:$AP$1,0))</f>
        <v>#N/A</v>
      </c>
      <c r="M9" s="31" t="e">
        <f>INDEX('Plan Figures'!$B$53:$AP$90,MATCH('Headline - MGA and MPM'!M$4,'Plan Figures'!$B$53:$B$90,0),MATCH('Headline - MGA and MPM'!$B9,'Plan Figures'!$B$1:$AP$1,0))</f>
        <v>#N/A</v>
      </c>
      <c r="N9" s="31" t="e">
        <f>INDEX('Plan Figures'!$B$53:$AP$90,MATCH('Headline - MGA and MPM'!N$4,'Plan Figures'!$B$53:$B$90,0),MATCH('Headline - MGA and MPM'!$B9,'Plan Figures'!$B$1:$AP$1,0))</f>
        <v>#N/A</v>
      </c>
      <c r="O9" s="31" t="e">
        <f>INDEX('Plan Figures'!$B$53:$AP$90,MATCH('Headline - MGA and MPM'!O$4,'Plan Figures'!$B$53:$B$90,0),MATCH('Headline - MGA and MPM'!$B9,'Plan Figures'!$B$1:$AP$1,0))</f>
        <v>#N/A</v>
      </c>
      <c r="P9" s="240" t="str">
        <f>INDEX('Plan Figures'!$B$53:$AP$90,MATCH('Headline - MGA and MPM'!P$4,'Plan Figures'!$B$53:$B$90,0),MATCH('Headline - MGA and MPM'!$B9,'Plan Figures'!$B$1:$AP$1,0))</f>
        <v>-</v>
      </c>
      <c r="Q9" s="31" t="str">
        <f>INDEX('Plan Figures'!$B$53:$AP$90,MATCH('Headline - MGA and MPM'!Q$4,'Plan Figures'!$B$53:$B$90,0),MATCH('Headline - MGA and MPM'!$B9,'Plan Figures'!$B$1:$AP$1,0))</f>
        <v>-</v>
      </c>
      <c r="R9" s="31" t="str">
        <f>INDEX('Plan Figures'!$B$53:$AP$90,MATCH('Headline - MGA and MPM'!R$4,'Plan Figures'!$B$53:$B$90,0),MATCH('Headline - MGA and MPM'!$B9,'Plan Figures'!$B$1:$AP$1,0))</f>
        <v>-</v>
      </c>
      <c r="S9" s="31" t="str">
        <f>INDEX('Plan Figures'!$B$53:$AP$90,MATCH('Headline - MGA and MPM'!S$4,'Plan Figures'!$B$53:$B$90,0),MATCH('Headline - MGA and MPM'!$B9,'Plan Figures'!$B$1:$AP$1,0))</f>
        <v>-</v>
      </c>
      <c r="T9" s="31" t="str">
        <f>INDEX('Plan Figures'!$B$53:$AP$90,MATCH('Headline - MGA and MPM'!T$4,'Plan Figures'!$B$53:$B$90,0),MATCH('Headline - MGA and MPM'!$B9,'Plan Figures'!$B$1:$AP$1,0))</f>
        <v>-</v>
      </c>
      <c r="U9" s="31" t="str">
        <f>INDEX('Plan Figures'!$B$53:$AP$90,MATCH('Headline - MGA and MPM'!U$4,'Plan Figures'!$B$53:$B$90,0),MATCH('Headline - MGA and MPM'!$B9,'Plan Figures'!$B$1:$AP$1,0))</f>
        <v>-</v>
      </c>
      <c r="V9" s="31" t="str">
        <f>INDEX('Plan Figures'!$B$53:$AP$90,MATCH('Headline - MGA and MPM'!V$4,'Plan Figures'!$B$53:$B$90,0),MATCH('Headline - MGA and MPM'!$B9,'Plan Figures'!$B$1:$AP$1,0))</f>
        <v>-</v>
      </c>
      <c r="W9" s="31" t="str">
        <f>INDEX('Plan Figures'!$B$53:$AP$90,MATCH('Headline - MGA and MPM'!W$4,'Plan Figures'!$B$53:$B$90,0),MATCH('Headline - MGA and MPM'!$B9,'Plan Figures'!$B$1:$AP$1,0))</f>
        <v>-</v>
      </c>
      <c r="X9" s="31" t="str">
        <f>INDEX('Plan Figures'!$B$53:$AP$90,MATCH('Headline - MGA and MPM'!X$4,'Plan Figures'!$B$53:$B$90,0),MATCH('Headline - MGA and MPM'!$B9,'Plan Figures'!$B$1:$AP$1,0))</f>
        <v>-</v>
      </c>
      <c r="Y9" s="31" t="str">
        <f>INDEX('Plan Figures'!$B$53:$AP$90,MATCH('Headline - MGA and MPM'!Y$4,'Plan Figures'!$B$53:$B$90,0),MATCH('Headline - MGA and MPM'!$B9,'Plan Figures'!$B$1:$AP$1,0))</f>
        <v>-</v>
      </c>
      <c r="Z9" s="31" t="str">
        <f>INDEX('Plan Figures'!$B$53:$AP$90,MATCH('Headline - MGA and MPM'!Z$4,'Plan Figures'!$B$53:$B$90,0),MATCH('Headline - MGA and MPM'!$B9,'Plan Figures'!$B$1:$AP$1,0))</f>
        <v>-</v>
      </c>
      <c r="AA9" s="31">
        <f>INDEX('Plan Figures'!$B$53:$AP$90,MATCH('Headline - MGA and MPM'!AA$4,'Plan Figures'!$B$53:$B$90,0),MATCH('Headline - MGA and MPM'!$B9,'Plan Figures'!$B$1:$AP$1,0))</f>
        <v>3242495.1725031096</v>
      </c>
      <c r="AB9" s="240">
        <f>INDEX('Plan Figures'!$B$53:$AP$90,MATCH('Headline - MGA and MPM'!AB$4,'Plan Figures'!$B$53:$B$90,0),MATCH('Headline - MGA and MPM'!$B9,'Plan Figures'!$B$1:$AP$1,0))</f>
        <v>3275084.0647190744</v>
      </c>
      <c r="AC9" s="31">
        <f>INDEX('Plan Figures'!$B$53:$AP$90,MATCH('Headline - MGA and MPM'!AC$4,'Plan Figures'!$B$53:$B$90,0),MATCH('Headline - MGA and MPM'!$B9,'Plan Figures'!$B$1:$AP$1,0))</f>
        <v>3508147.9372798749</v>
      </c>
      <c r="AD9" s="31">
        <f>INDEX('Plan Figures'!$B$53:$AP$90,MATCH('Headline - MGA and MPM'!AD$4,'Plan Figures'!$B$53:$B$90,0),MATCH('Headline - MGA and MPM'!$B9,'Plan Figures'!$B$1:$AP$1,0))</f>
        <v>6166782.3693075832</v>
      </c>
      <c r="AE9" s="31">
        <f>INDEX('Plan Figures'!$B$53:$AP$90,MATCH('Headline - MGA and MPM'!AE$4,'Plan Figures'!$B$53:$B$90,0),MATCH('Headline - MGA and MPM'!$B9,'Plan Figures'!$B$1:$AP$1,0))</f>
        <v>8513534.1356691141</v>
      </c>
      <c r="AF9" s="31">
        <f>INDEX('Plan Figures'!$B$53:$AP$90,MATCH('Headline - MGA and MPM'!AF$4,'Plan Figures'!$B$53:$B$90,0),MATCH('Headline - MGA and MPM'!$B9,'Plan Figures'!$B$1:$AP$1,0))</f>
        <v>8526374.6400824934</v>
      </c>
      <c r="AG9" s="31">
        <f>INDEX('Plan Figures'!$B$53:$AP$90,MATCH('Headline - MGA and MPM'!AG$4,'Plan Figures'!$B$53:$B$90,0),MATCH('Headline - MGA and MPM'!$B9,'Plan Figures'!$B$1:$AP$1,0))</f>
        <v>8435282.4547571167</v>
      </c>
      <c r="AH9" s="31">
        <f>INDEX('Plan Figures'!$B$53:$AP$90,MATCH('Headline - MGA and MPM'!AH$4,'Plan Figures'!$B$53:$B$90,0),MATCH('Headline - MGA and MPM'!$B9,'Plan Figures'!$B$1:$AP$1,0))</f>
        <v>8388512.1352420198</v>
      </c>
      <c r="AI9" s="31">
        <f>INDEX('Plan Figures'!$B$53:$AP$90,MATCH('Headline - MGA and MPM'!AI$4,'Plan Figures'!$B$53:$B$90,0),MATCH('Headline - MGA and MPM'!$B9,'Plan Figures'!$B$1:$AP$1,0))</f>
        <v>6025664.4935123501</v>
      </c>
      <c r="AJ9" s="31">
        <f>INDEX('Plan Figures'!$B$53:$AP$90,MATCH('Headline - MGA and MPM'!AJ$4,'Plan Figures'!$B$53:$B$90,0),MATCH('Headline - MGA and MPM'!$B9,'Plan Figures'!$B$1:$AP$1,0))</f>
        <v>5789208.3939690767</v>
      </c>
      <c r="AK9" s="31">
        <f>INDEX('Plan Figures'!$B$53:$AP$90,MATCH('Headline - MGA and MPM'!AK$4,'Plan Figures'!$B$53:$B$90,0),MATCH('Headline - MGA and MPM'!$B9,'Plan Figures'!$B$1:$AP$1,0))</f>
        <v>7283386.1676862948</v>
      </c>
      <c r="AL9" s="31">
        <f>INDEX('Plan Figures'!$B$53:$AP$90,MATCH('Headline - MGA and MPM'!AL$4,'Plan Figures'!$B$53:$B$90,0),MATCH('Headline - MGA and MPM'!$B9,'Plan Figures'!$B$1:$AP$1,0))</f>
        <v>7583243.8294645967</v>
      </c>
      <c r="AM9" s="31">
        <f>INDEX('Plan Figures'!$B$53:$AP$90,MATCH('Headline - MGA and MPM'!AM$4,'Plan Figures'!$B$53:$B$90,0),MATCH('Headline - MGA and MPM'!$B9,'Plan Figures'!$B$1:$AP$1,0))</f>
        <v>6329332.0374195743</v>
      </c>
      <c r="AN9" s="212">
        <f>INDEX('Plan Figures'!$B$53:$AP$90,MATCH('Headline - MGA and MPM'!AN$4,'Plan Figures'!$B$53:$B$90,0),MATCH('Headline - MGA and MPM'!$B9,'Plan Figures'!$B$1:$AP$1,0))</f>
        <v>5528395.9751686584</v>
      </c>
      <c r="AO9" s="239">
        <f t="shared" si="1"/>
        <v>3341909.0581673528</v>
      </c>
      <c r="AP9" s="31">
        <f t="shared" si="2"/>
        <v>3341909.0581673528</v>
      </c>
      <c r="AQ9" s="240">
        <f>SUMIFS(AC9:AN9,AC$4:AN$4,"&lt;"&amp;'Title Sheet'!$C$13)</f>
        <v>82077864.569558755</v>
      </c>
    </row>
    <row r="10" spans="2:44" ht="15.75" x14ac:dyDescent="0.25">
      <c r="B10" t="str">
        <f t="shared" si="3"/>
        <v>PC Annual Direct</v>
      </c>
      <c r="D10" s="213" t="s">
        <v>0</v>
      </c>
      <c r="E10" s="214" t="str">
        <f t="shared" ref="E10:AN10" si="6">IFERROR(IF(E8=0,"-",(E8/E9)-1),"-")</f>
        <v>-</v>
      </c>
      <c r="F10" s="214" t="str">
        <f t="shared" si="6"/>
        <v>-</v>
      </c>
      <c r="G10" s="214" t="str">
        <f t="shared" si="6"/>
        <v>-</v>
      </c>
      <c r="H10" s="214" t="str">
        <f t="shared" si="6"/>
        <v>-</v>
      </c>
      <c r="I10" s="214" t="str">
        <f t="shared" si="6"/>
        <v>-</v>
      </c>
      <c r="J10" s="214" t="str">
        <f t="shared" si="6"/>
        <v>-</v>
      </c>
      <c r="K10" s="214" t="str">
        <f t="shared" si="6"/>
        <v>-</v>
      </c>
      <c r="L10" s="214" t="str">
        <f t="shared" si="6"/>
        <v>-</v>
      </c>
      <c r="M10" s="214" t="str">
        <f t="shared" si="6"/>
        <v>-</v>
      </c>
      <c r="N10" s="214" t="str">
        <f t="shared" si="6"/>
        <v>-</v>
      </c>
      <c r="O10" s="214" t="str">
        <f t="shared" si="6"/>
        <v>-</v>
      </c>
      <c r="P10" s="294" t="str">
        <f t="shared" si="6"/>
        <v>-</v>
      </c>
      <c r="Q10" s="214" t="str">
        <f t="shared" si="6"/>
        <v>-</v>
      </c>
      <c r="R10" s="214" t="str">
        <f t="shared" si="6"/>
        <v>-</v>
      </c>
      <c r="S10" s="214" t="str">
        <f t="shared" si="6"/>
        <v>-</v>
      </c>
      <c r="T10" s="214" t="str">
        <f t="shared" si="6"/>
        <v>-</v>
      </c>
      <c r="U10" s="214" t="str">
        <f t="shared" si="6"/>
        <v>-</v>
      </c>
      <c r="V10" s="214" t="str">
        <f t="shared" si="6"/>
        <v>-</v>
      </c>
      <c r="W10" s="214" t="str">
        <f t="shared" si="6"/>
        <v>-</v>
      </c>
      <c r="X10" s="214" t="str">
        <f t="shared" si="6"/>
        <v>-</v>
      </c>
      <c r="Y10" s="214" t="str">
        <f t="shared" si="6"/>
        <v>-</v>
      </c>
      <c r="Z10" s="214" t="str">
        <f t="shared" si="6"/>
        <v>-</v>
      </c>
      <c r="AA10" s="214">
        <f t="shared" si="6"/>
        <v>0.1902702756769834</v>
      </c>
      <c r="AB10" s="294">
        <f t="shared" si="6"/>
        <v>0.1931000747713203</v>
      </c>
      <c r="AC10" s="214">
        <f t="shared" si="6"/>
        <v>0.31226080749856067</v>
      </c>
      <c r="AD10" s="214">
        <f t="shared" si="6"/>
        <v>6.3743867027200585E-2</v>
      </c>
      <c r="AE10" s="214">
        <f t="shared" si="6"/>
        <v>0.11477552861007245</v>
      </c>
      <c r="AF10" s="214">
        <f t="shared" si="6"/>
        <v>-9.2057007772518018E-3</v>
      </c>
      <c r="AG10" s="214">
        <f t="shared" si="6"/>
        <v>-6.3107799985079205E-2</v>
      </c>
      <c r="AH10" s="214">
        <f t="shared" si="6"/>
        <v>-0.21409133031360017</v>
      </c>
      <c r="AI10" s="214">
        <f t="shared" si="6"/>
        <v>-4.4271676452316666E-2</v>
      </c>
      <c r="AJ10" s="214">
        <f t="shared" si="6"/>
        <v>-0.12781890823597586</v>
      </c>
      <c r="AK10" s="214">
        <f t="shared" si="6"/>
        <v>-0.36505548700246504</v>
      </c>
      <c r="AL10" s="214">
        <f t="shared" si="6"/>
        <v>-0.41049267402257028</v>
      </c>
      <c r="AM10" s="214">
        <f t="shared" si="6"/>
        <v>-0.23752632775517823</v>
      </c>
      <c r="AN10" s="215">
        <f t="shared" si="6"/>
        <v>-0.14861010472143033</v>
      </c>
      <c r="AO10" s="241">
        <f t="shared" si="1"/>
        <v>0.23187705264895478</v>
      </c>
      <c r="AP10" s="242">
        <f t="shared" si="2"/>
        <v>0.23187705264895478</v>
      </c>
      <c r="AQ10" s="243">
        <f t="shared" ref="AQ10" si="7">IFERROR(IF(AQ8=0,"-",(AQ8/AQ9)-1),"-")</f>
        <v>-0.11019335463412749</v>
      </c>
    </row>
    <row r="11" spans="2:44" ht="15.75" x14ac:dyDescent="0.25">
      <c r="B11" t="str">
        <f t="shared" si="3"/>
        <v>PC Annual Direct</v>
      </c>
      <c r="D11" s="208" t="s">
        <v>12</v>
      </c>
      <c r="E11" s="209">
        <f t="shared" ref="E11:AN12" si="8">IFERROR(E8/E5,"-")</f>
        <v>1330.2775505328664</v>
      </c>
      <c r="F11" s="209">
        <f t="shared" si="8"/>
        <v>820.09772230363126</v>
      </c>
      <c r="G11" s="209">
        <f t="shared" si="8"/>
        <v>793.36703604047329</v>
      </c>
      <c r="H11" s="209">
        <f t="shared" si="8"/>
        <v>1025.3482979150531</v>
      </c>
      <c r="I11" s="209">
        <f t="shared" si="8"/>
        <v>1128.8226489348301</v>
      </c>
      <c r="J11" s="209">
        <f t="shared" si="8"/>
        <v>936.67990774266048</v>
      </c>
      <c r="K11" s="209">
        <f t="shared" si="8"/>
        <v>818.07646723527421</v>
      </c>
      <c r="L11" s="209">
        <f t="shared" si="8"/>
        <v>805.70958188655766</v>
      </c>
      <c r="M11" s="209">
        <f t="shared" si="8"/>
        <v>665.36140374546073</v>
      </c>
      <c r="N11" s="209">
        <f t="shared" si="8"/>
        <v>624.9798456305366</v>
      </c>
      <c r="O11" s="209">
        <f t="shared" si="8"/>
        <v>637.77850625155315</v>
      </c>
      <c r="P11" s="238">
        <f t="shared" si="8"/>
        <v>714.56055273017421</v>
      </c>
      <c r="Q11" s="209">
        <f t="shared" si="8"/>
        <v>708.02239021779894</v>
      </c>
      <c r="R11" s="209">
        <f t="shared" si="8"/>
        <v>651.73905279923349</v>
      </c>
      <c r="S11" s="209">
        <f t="shared" si="8"/>
        <v>599.51141878752526</v>
      </c>
      <c r="T11" s="209">
        <f t="shared" si="8"/>
        <v>656.96479764524747</v>
      </c>
      <c r="U11" s="209">
        <f t="shared" si="8"/>
        <v>797.91581465615707</v>
      </c>
      <c r="V11" s="209">
        <f t="shared" si="8"/>
        <v>912.70875685225462</v>
      </c>
      <c r="W11" s="209">
        <f t="shared" si="8"/>
        <v>1174.5545753673653</v>
      </c>
      <c r="X11" s="209">
        <f t="shared" si="8"/>
        <v>1178.0830216188228</v>
      </c>
      <c r="Y11" s="209">
        <f t="shared" si="8"/>
        <v>1208.3974332655685</v>
      </c>
      <c r="Z11" s="209">
        <f t="shared" si="8"/>
        <v>1216.8127422477451</v>
      </c>
      <c r="AA11" s="209">
        <f t="shared" si="8"/>
        <v>1122.7736975284827</v>
      </c>
      <c r="AB11" s="238">
        <f t="shared" si="8"/>
        <v>1132.1747120523003</v>
      </c>
      <c r="AC11" s="209">
        <f t="shared" si="8"/>
        <v>1178.8498259317396</v>
      </c>
      <c r="AD11" s="209">
        <f t="shared" si="8"/>
        <v>1264.0565885088338</v>
      </c>
      <c r="AE11" s="209">
        <f t="shared" si="8"/>
        <v>1274.3464555586397</v>
      </c>
      <c r="AF11" s="209">
        <f t="shared" si="8"/>
        <v>1160.0694789986312</v>
      </c>
      <c r="AG11" s="209">
        <f t="shared" si="8"/>
        <v>1122.7879090788513</v>
      </c>
      <c r="AH11" s="209">
        <f t="shared" si="8"/>
        <v>1107.9742124796626</v>
      </c>
      <c r="AI11" s="209">
        <f t="shared" si="8"/>
        <v>1114.4826436042877</v>
      </c>
      <c r="AJ11" s="209">
        <f t="shared" si="8"/>
        <v>1125.3484515527566</v>
      </c>
      <c r="AK11" s="209">
        <f t="shared" si="8"/>
        <v>1105.3704883310697</v>
      </c>
      <c r="AL11" s="209">
        <f t="shared" si="8"/>
        <v>1099.8002821081202</v>
      </c>
      <c r="AM11" s="209">
        <f t="shared" si="8"/>
        <v>1114.2713818759587</v>
      </c>
      <c r="AN11" s="210">
        <f t="shared" si="8"/>
        <v>1114.9932935475256</v>
      </c>
      <c r="AO11" s="237">
        <f t="shared" ref="AO11:AP12" si="9">IFERROR(AO8/AO5,0)</f>
        <v>1160.1911227887265</v>
      </c>
      <c r="AP11" s="209">
        <f t="shared" si="9"/>
        <v>965.47497544849023</v>
      </c>
      <c r="AQ11" s="238">
        <f>SUMIFS(AC11:AN11,AC$4:AN$4,"&lt;"&amp;'Title Sheet'!$C$13)</f>
        <v>13782.351011576076</v>
      </c>
    </row>
    <row r="12" spans="2:44" ht="15.75" hidden="1" x14ac:dyDescent="0.25">
      <c r="B12" t="str">
        <f t="shared" si="3"/>
        <v>PC Annual Direct</v>
      </c>
      <c r="D12" s="211" t="s">
        <v>13</v>
      </c>
      <c r="E12" s="31" t="str">
        <f t="shared" si="8"/>
        <v>-</v>
      </c>
      <c r="F12" s="31" t="str">
        <f t="shared" si="8"/>
        <v>-</v>
      </c>
      <c r="G12" s="31" t="str">
        <f t="shared" si="8"/>
        <v>-</v>
      </c>
      <c r="H12" s="31" t="str">
        <f t="shared" si="8"/>
        <v>-</v>
      </c>
      <c r="I12" s="31" t="str">
        <f t="shared" si="8"/>
        <v>-</v>
      </c>
      <c r="J12" s="31" t="str">
        <f t="shared" si="8"/>
        <v>-</v>
      </c>
      <c r="K12" s="31" t="str">
        <f t="shared" si="8"/>
        <v>-</v>
      </c>
      <c r="L12" s="31" t="str">
        <f t="shared" si="8"/>
        <v>-</v>
      </c>
      <c r="M12" s="31" t="str">
        <f t="shared" si="8"/>
        <v>-</v>
      </c>
      <c r="N12" s="31" t="str">
        <f t="shared" si="8"/>
        <v>-</v>
      </c>
      <c r="O12" s="31" t="str">
        <f t="shared" si="8"/>
        <v>-</v>
      </c>
      <c r="P12" s="240" t="str">
        <f t="shared" si="8"/>
        <v>-</v>
      </c>
      <c r="Q12" s="31" t="str">
        <f t="shared" si="8"/>
        <v>-</v>
      </c>
      <c r="R12" s="31" t="str">
        <f t="shared" si="8"/>
        <v>-</v>
      </c>
      <c r="S12" s="31" t="str">
        <f t="shared" si="8"/>
        <v>-</v>
      </c>
      <c r="T12" s="31" t="str">
        <f t="shared" si="8"/>
        <v>-</v>
      </c>
      <c r="U12" s="31" t="str">
        <f t="shared" si="8"/>
        <v>-</v>
      </c>
      <c r="V12" s="31" t="str">
        <f t="shared" si="8"/>
        <v>-</v>
      </c>
      <c r="W12" s="31" t="str">
        <f t="shared" si="8"/>
        <v>-</v>
      </c>
      <c r="X12" s="31" t="str">
        <f t="shared" si="8"/>
        <v>-</v>
      </c>
      <c r="Y12" s="31" t="str">
        <f t="shared" si="8"/>
        <v>-</v>
      </c>
      <c r="Z12" s="31" t="str">
        <f t="shared" si="8"/>
        <v>-</v>
      </c>
      <c r="AA12" s="31">
        <f t="shared" si="8"/>
        <v>1796.0929904631128</v>
      </c>
      <c r="AB12" s="240">
        <f t="shared" si="8"/>
        <v>1797.5400637206533</v>
      </c>
      <c r="AC12" s="31">
        <f t="shared" si="8"/>
        <v>779.01953929891204</v>
      </c>
      <c r="AD12" s="31">
        <f t="shared" si="8"/>
        <v>1371.6247388428135</v>
      </c>
      <c r="AE12" s="31">
        <f t="shared" si="8"/>
        <v>1896.6733506343201</v>
      </c>
      <c r="AF12" s="31">
        <f t="shared" si="8"/>
        <v>1902.6231713422615</v>
      </c>
      <c r="AG12" s="31">
        <f t="shared" si="8"/>
        <v>1885.1789820243871</v>
      </c>
      <c r="AH12" s="31">
        <f t="shared" si="8"/>
        <v>1842.7511657531384</v>
      </c>
      <c r="AI12" s="31">
        <f t="shared" si="8"/>
        <v>1365.5338679812262</v>
      </c>
      <c r="AJ12" s="31">
        <f t="shared" si="8"/>
        <v>1355.0907715272028</v>
      </c>
      <c r="AK12" s="31">
        <f t="shared" si="8"/>
        <v>1343.5339180460815</v>
      </c>
      <c r="AL12" s="31">
        <f t="shared" si="8"/>
        <v>1357.9875042740168</v>
      </c>
      <c r="AM12" s="31">
        <f t="shared" si="8"/>
        <v>1394.0108682654484</v>
      </c>
      <c r="AN12" s="212">
        <f t="shared" si="8"/>
        <v>1392.2849784824446</v>
      </c>
      <c r="AO12" s="239">
        <f t="shared" si="9"/>
        <v>1233.0900105647124</v>
      </c>
      <c r="AP12" s="31">
        <f t="shared" si="9"/>
        <v>1233.0900105647124</v>
      </c>
      <c r="AQ12" s="240">
        <f>SUMIFS(AC12:AN12,AC$4:AN$4,"&lt;"&amp;'Title Sheet'!$C$13)</f>
        <v>17886.31285647225</v>
      </c>
      <c r="AR12" s="3"/>
    </row>
    <row r="13" spans="2:44" ht="15.75" hidden="1" x14ac:dyDescent="0.25">
      <c r="B13" t="str">
        <f t="shared" si="3"/>
        <v>PC Annual Direct</v>
      </c>
      <c r="D13" s="213" t="s">
        <v>0</v>
      </c>
      <c r="E13" s="214" t="str">
        <f t="shared" ref="E13:AN13" si="10">IFERROR(IF(E11=0,"-",(E11/E12)-1),"-")</f>
        <v>-</v>
      </c>
      <c r="F13" s="214" t="str">
        <f t="shared" si="10"/>
        <v>-</v>
      </c>
      <c r="G13" s="214" t="str">
        <f t="shared" si="10"/>
        <v>-</v>
      </c>
      <c r="H13" s="214" t="str">
        <f t="shared" si="10"/>
        <v>-</v>
      </c>
      <c r="I13" s="214" t="str">
        <f t="shared" si="10"/>
        <v>-</v>
      </c>
      <c r="J13" s="214" t="str">
        <f t="shared" si="10"/>
        <v>-</v>
      </c>
      <c r="K13" s="214" t="str">
        <f t="shared" si="10"/>
        <v>-</v>
      </c>
      <c r="L13" s="214" t="str">
        <f t="shared" si="10"/>
        <v>-</v>
      </c>
      <c r="M13" s="214" t="str">
        <f t="shared" si="10"/>
        <v>-</v>
      </c>
      <c r="N13" s="214" t="str">
        <f t="shared" si="10"/>
        <v>-</v>
      </c>
      <c r="O13" s="214" t="str">
        <f t="shared" si="10"/>
        <v>-</v>
      </c>
      <c r="P13" s="294" t="str">
        <f t="shared" si="10"/>
        <v>-</v>
      </c>
      <c r="Q13" s="214" t="str">
        <f t="shared" si="10"/>
        <v>-</v>
      </c>
      <c r="R13" s="214" t="str">
        <f t="shared" si="10"/>
        <v>-</v>
      </c>
      <c r="S13" s="214" t="str">
        <f t="shared" si="10"/>
        <v>-</v>
      </c>
      <c r="T13" s="214" t="str">
        <f t="shared" si="10"/>
        <v>-</v>
      </c>
      <c r="U13" s="214" t="str">
        <f t="shared" si="10"/>
        <v>-</v>
      </c>
      <c r="V13" s="214" t="str">
        <f t="shared" si="10"/>
        <v>-</v>
      </c>
      <c r="W13" s="214" t="str">
        <f t="shared" si="10"/>
        <v>-</v>
      </c>
      <c r="X13" s="214" t="str">
        <f t="shared" si="10"/>
        <v>-</v>
      </c>
      <c r="Y13" s="214" t="str">
        <f t="shared" si="10"/>
        <v>-</v>
      </c>
      <c r="Z13" s="214" t="str">
        <f t="shared" si="10"/>
        <v>-</v>
      </c>
      <c r="AA13" s="214">
        <f t="shared" si="10"/>
        <v>-0.37487997364825654</v>
      </c>
      <c r="AB13" s="294">
        <f t="shared" si="10"/>
        <v>-0.37015328064017727</v>
      </c>
      <c r="AC13" s="214">
        <f t="shared" si="10"/>
        <v>0.5132480848845713</v>
      </c>
      <c r="AD13" s="214">
        <f t="shared" si="10"/>
        <v>-7.8423891963869674E-2</v>
      </c>
      <c r="AE13" s="214">
        <f t="shared" si="10"/>
        <v>-0.32811495709978233</v>
      </c>
      <c r="AF13" s="214">
        <f t="shared" si="10"/>
        <v>-0.39027890731498549</v>
      </c>
      <c r="AG13" s="214">
        <f t="shared" si="10"/>
        <v>-0.40441309828674576</v>
      </c>
      <c r="AH13" s="214">
        <f t="shared" si="10"/>
        <v>-0.39873910646702537</v>
      </c>
      <c r="AI13" s="214">
        <f t="shared" si="10"/>
        <v>-0.18384840556762383</v>
      </c>
      <c r="AJ13" s="214">
        <f t="shared" si="10"/>
        <v>-0.16954017015075973</v>
      </c>
      <c r="AK13" s="214">
        <f t="shared" si="10"/>
        <v>-0.17726640653879122</v>
      </c>
      <c r="AL13" s="214">
        <f t="shared" si="10"/>
        <v>-0.19012488800765814</v>
      </c>
      <c r="AM13" s="214">
        <f t="shared" si="10"/>
        <v>-0.20067238552993949</v>
      </c>
      <c r="AN13" s="215">
        <f t="shared" si="10"/>
        <v>-0.19916302281531462</v>
      </c>
      <c r="AO13" s="241">
        <f t="shared" ref="AO13:AP13" si="11">AO11-AO12</f>
        <v>-72.898887775985941</v>
      </c>
      <c r="AP13" s="242">
        <f t="shared" si="11"/>
        <v>-267.6150351162222</v>
      </c>
      <c r="AQ13" s="243">
        <f t="shared" ref="AQ13" si="12">IFERROR(IF(AQ11=0,"-",(AQ11/AQ12)-1),"-")</f>
        <v>-0.22944705696630674</v>
      </c>
    </row>
    <row r="14" spans="2:44" ht="15.75" x14ac:dyDescent="0.25">
      <c r="B14" t="str">
        <f t="shared" si="3"/>
        <v>PC Annual Direct</v>
      </c>
      <c r="D14" s="208" t="s">
        <v>7</v>
      </c>
      <c r="E14" s="209">
        <v>82173.499999699998</v>
      </c>
      <c r="F14" s="209">
        <v>229673.29464273006</v>
      </c>
      <c r="G14" s="209">
        <v>2188205.2857136796</v>
      </c>
      <c r="H14" s="209">
        <v>2662647.2410714612</v>
      </c>
      <c r="I14" s="209">
        <v>3524707.3928571008</v>
      </c>
      <c r="J14" s="209">
        <v>4563189.5982134221</v>
      </c>
      <c r="K14" s="209">
        <v>5643313.4642854407</v>
      </c>
      <c r="L14" s="209">
        <v>4105757.5357155693</v>
      </c>
      <c r="M14" s="209">
        <v>3183598.5803570407</v>
      </c>
      <c r="N14" s="209">
        <v>4131746.3303578235</v>
      </c>
      <c r="O14" s="209">
        <v>3828666.9107142119</v>
      </c>
      <c r="P14" s="238">
        <v>3331267.401786014</v>
      </c>
      <c r="Q14" s="209">
        <v>2828288.6696430603</v>
      </c>
      <c r="R14" s="209">
        <v>2781869.6696423157</v>
      </c>
      <c r="S14" s="209">
        <v>3074378.0625007381</v>
      </c>
      <c r="T14" s="209">
        <v>2685427.7499998505</v>
      </c>
      <c r="U14" s="209">
        <v>3109545.0714287567</v>
      </c>
      <c r="V14" s="209">
        <v>2901704.9732156345</v>
      </c>
      <c r="W14" s="209">
        <v>3171588.8571442924</v>
      </c>
      <c r="X14" s="209">
        <v>3538078.5089283949</v>
      </c>
      <c r="Y14" s="209">
        <v>3473652.9285714957</v>
      </c>
      <c r="Z14" s="209">
        <v>4069277.5624997821</v>
      </c>
      <c r="AA14" s="209">
        <v>4883834.6428560773</v>
      </c>
      <c r="AB14" s="238">
        <v>4778675.8124983786</v>
      </c>
      <c r="AC14" s="209">
        <v>5503586.6249990603</v>
      </c>
      <c r="AD14" s="209">
        <v>7534195.2946429998</v>
      </c>
      <c r="AE14" s="209">
        <v>10295453.946430229</v>
      </c>
      <c r="AF14" s="209">
        <v>9179937.9464304857</v>
      </c>
      <c r="AG14" s="209">
        <v>8542704.7767849267</v>
      </c>
      <c r="AH14" s="209">
        <v>7164884.3928561416</v>
      </c>
      <c r="AI14" s="209">
        <v>6217113.5446457798</v>
      </c>
      <c r="AJ14" s="209">
        <v>5449021.4375014352</v>
      </c>
      <c r="AK14" s="209">
        <v>5022813.9732144745</v>
      </c>
      <c r="AL14" s="209">
        <v>4839571.7321430463</v>
      </c>
      <c r="AM14" s="209">
        <v>5250812.0714279171</v>
      </c>
      <c r="AN14" s="210">
        <v>5109251.0803583972</v>
      </c>
      <c r="AO14" s="237">
        <f t="shared" ref="AO14:AO16" si="13">AVERAGE(Z14:AC14)</f>
        <v>4808843.6607133253</v>
      </c>
      <c r="AP14" s="209">
        <f>AVERAGE(R14:AC14)</f>
        <v>3664301.705357065</v>
      </c>
      <c r="AQ14" s="238">
        <f>SUMIFS(AC14:AN14,AC$4:AN$4,"&lt;"&amp;'Title Sheet'!$C$13)</f>
        <v>80109346.8214349</v>
      </c>
    </row>
    <row r="15" spans="2:44" ht="15.75" hidden="1" x14ac:dyDescent="0.25">
      <c r="B15" t="str">
        <f>$D$2&amp;"_GWP"</f>
        <v>PC Annual Direct_GWP</v>
      </c>
      <c r="D15" s="211" t="s">
        <v>23</v>
      </c>
      <c r="E15" s="31" t="e">
        <f>INDEX('Plan Figures'!$B$53:$AP$79,MATCH('Headline - MGA and MPM'!E$4,'Plan Figures'!$B$53:$B$79,0),MATCH('Headline - MGA and MPM'!$B15,'Plan Figures'!$B$1:$AP$1,0))</f>
        <v>#N/A</v>
      </c>
      <c r="F15" s="31" t="e">
        <f>INDEX('Plan Figures'!$B$53:$AP$79,MATCH('Headline - MGA and MPM'!F$4,'Plan Figures'!$B$53:$B$79,0),MATCH('Headline - MGA and MPM'!$B15,'Plan Figures'!$B$1:$AP$1,0))</f>
        <v>#N/A</v>
      </c>
      <c r="G15" s="31" t="e">
        <f>INDEX('Plan Figures'!$B$53:$AP$79,MATCH('Headline - MGA and MPM'!G$4,'Plan Figures'!$B$53:$B$79,0),MATCH('Headline - MGA and MPM'!$B15,'Plan Figures'!$B$1:$AP$1,0))</f>
        <v>#N/A</v>
      </c>
      <c r="H15" s="31" t="e">
        <f>INDEX('Plan Figures'!$B$53:$AP$79,MATCH('Headline - MGA and MPM'!H$4,'Plan Figures'!$B$53:$B$79,0),MATCH('Headline - MGA and MPM'!$B15,'Plan Figures'!$B$1:$AP$1,0))</f>
        <v>#N/A</v>
      </c>
      <c r="I15" s="31" t="e">
        <f>INDEX('Plan Figures'!$B$53:$AP$79,MATCH('Headline - MGA and MPM'!I$4,'Plan Figures'!$B$53:$B$79,0),MATCH('Headline - MGA and MPM'!$B15,'Plan Figures'!$B$1:$AP$1,0))</f>
        <v>#N/A</v>
      </c>
      <c r="J15" s="31" t="e">
        <f>INDEX('Plan Figures'!$B$53:$AP$79,MATCH('Headline - MGA and MPM'!J$4,'Plan Figures'!$B$53:$B$79,0),MATCH('Headline - MGA and MPM'!$B15,'Plan Figures'!$B$1:$AP$1,0))</f>
        <v>#N/A</v>
      </c>
      <c r="K15" s="31" t="e">
        <f>INDEX('Plan Figures'!$B$53:$AP$79,MATCH('Headline - MGA and MPM'!K$4,'Plan Figures'!$B$53:$B$79,0),MATCH('Headline - MGA and MPM'!$B15,'Plan Figures'!$B$1:$AP$1,0))</f>
        <v>#N/A</v>
      </c>
      <c r="L15" s="31" t="e">
        <f>INDEX('Plan Figures'!$B$53:$AP$79,MATCH('Headline - MGA and MPM'!L$4,'Plan Figures'!$B$53:$B$79,0),MATCH('Headline - MGA and MPM'!$B15,'Plan Figures'!$B$1:$AP$1,0))</f>
        <v>#N/A</v>
      </c>
      <c r="M15" s="31" t="e">
        <f>INDEX('Plan Figures'!$B$53:$AP$79,MATCH('Headline - MGA and MPM'!M$4,'Plan Figures'!$B$53:$B$79,0),MATCH('Headline - MGA and MPM'!$B15,'Plan Figures'!$B$1:$AP$1,0))</f>
        <v>#N/A</v>
      </c>
      <c r="N15" s="31" t="e">
        <f>INDEX('Plan Figures'!$B$53:$AP$79,MATCH('Headline - MGA and MPM'!N$4,'Plan Figures'!$B$53:$B$79,0),MATCH('Headline - MGA and MPM'!$B15,'Plan Figures'!$B$1:$AP$1,0))</f>
        <v>#N/A</v>
      </c>
      <c r="O15" s="31" t="e">
        <f>INDEX('Plan Figures'!$B$53:$AP$79,MATCH('Headline - MGA and MPM'!O$4,'Plan Figures'!$B$53:$B$79,0),MATCH('Headline - MGA and MPM'!$B15,'Plan Figures'!$B$1:$AP$1,0))</f>
        <v>#N/A</v>
      </c>
      <c r="P15" s="240" t="str">
        <f>INDEX('Plan Figures'!$B$53:$AP$79,MATCH('Headline - MGA and MPM'!P$4,'Plan Figures'!$B$53:$B$79,0),MATCH('Headline - MGA and MPM'!$B15,'Plan Figures'!$B$1:$AP$1,0))</f>
        <v>-</v>
      </c>
      <c r="Q15" s="31" t="str">
        <f>INDEX('Plan Figures'!$B$53:$AP$79,MATCH('Headline - MGA and MPM'!Q$4,'Plan Figures'!$B$53:$B$79,0),MATCH('Headline - MGA and MPM'!$B15,'Plan Figures'!$B$1:$AP$1,0))</f>
        <v>-</v>
      </c>
      <c r="R15" s="31" t="str">
        <f>INDEX('Plan Figures'!$B$53:$AP$79,MATCH('Headline - MGA and MPM'!R$4,'Plan Figures'!$B$53:$B$79,0),MATCH('Headline - MGA and MPM'!$B15,'Plan Figures'!$B$1:$AP$1,0))</f>
        <v>-</v>
      </c>
      <c r="S15" s="31" t="str">
        <f>INDEX('Plan Figures'!$B$53:$AP$79,MATCH('Headline - MGA and MPM'!S$4,'Plan Figures'!$B$53:$B$79,0),MATCH('Headline - MGA and MPM'!$B15,'Plan Figures'!$B$1:$AP$1,0))</f>
        <v>-</v>
      </c>
      <c r="T15" s="31" t="str">
        <f>INDEX('Plan Figures'!$B$53:$AP$79,MATCH('Headline - MGA and MPM'!T$4,'Plan Figures'!$B$53:$B$79,0),MATCH('Headline - MGA and MPM'!$B15,'Plan Figures'!$B$1:$AP$1,0))</f>
        <v>-</v>
      </c>
      <c r="U15" s="31" t="str">
        <f>INDEX('Plan Figures'!$B$53:$AP$79,MATCH('Headline - MGA and MPM'!U$4,'Plan Figures'!$B$53:$B$79,0),MATCH('Headline - MGA and MPM'!$B15,'Plan Figures'!$B$1:$AP$1,0))</f>
        <v>-</v>
      </c>
      <c r="V15" s="31" t="str">
        <f>INDEX('Plan Figures'!$B$53:$AP$79,MATCH('Headline - MGA and MPM'!V$4,'Plan Figures'!$B$53:$B$79,0),MATCH('Headline - MGA and MPM'!$B15,'Plan Figures'!$B$1:$AP$1,0))</f>
        <v>-</v>
      </c>
      <c r="W15" s="31" t="str">
        <f>INDEX('Plan Figures'!$B$53:$AP$79,MATCH('Headline - MGA and MPM'!W$4,'Plan Figures'!$B$53:$B$79,0),MATCH('Headline - MGA and MPM'!$B15,'Plan Figures'!$B$1:$AP$1,0))</f>
        <v>-</v>
      </c>
      <c r="X15" s="31" t="str">
        <f>INDEX('Plan Figures'!$B$53:$AP$79,MATCH('Headline - MGA and MPM'!X$4,'Plan Figures'!$B$53:$B$79,0),MATCH('Headline - MGA and MPM'!$B15,'Plan Figures'!$B$1:$AP$1,0))</f>
        <v>-</v>
      </c>
      <c r="Y15" s="31" t="str">
        <f>INDEX('Plan Figures'!$B$53:$AP$79,MATCH('Headline - MGA and MPM'!Y$4,'Plan Figures'!$B$53:$B$79,0),MATCH('Headline - MGA and MPM'!$B15,'Plan Figures'!$B$1:$AP$1,0))</f>
        <v>-</v>
      </c>
      <c r="Z15" s="31" t="str">
        <f>INDEX('Plan Figures'!$B$53:$AP$79,MATCH('Headline - MGA and MPM'!Z$4,'Plan Figures'!$B$53:$B$79,0),MATCH('Headline - MGA and MPM'!$B15,'Plan Figures'!$B$1:$AP$1,0))</f>
        <v>-</v>
      </c>
      <c r="AA15" s="31">
        <f>INDEX('Plan Figures'!$B$53:$AP$79,MATCH('Headline - MGA and MPM'!AA$4,'Plan Figures'!$B$53:$B$79,0),MATCH('Headline - MGA and MPM'!$B15,'Plan Figures'!$B$1:$AP$1,0))</f>
        <v>2954887.0314119942</v>
      </c>
      <c r="AB15" s="240">
        <f>INDEX('Plan Figures'!$B$53:$AP$79,MATCH('Headline - MGA and MPM'!AB$4,'Plan Figures'!$B$53:$B$79,0),MATCH('Headline - MGA and MPM'!$B15,'Plan Figures'!$B$1:$AP$1,0))</f>
        <v>3044708.365990527</v>
      </c>
      <c r="AC15" s="31">
        <f>INDEX('Plan Figures'!$B$53:$AP$79,MATCH('Headline - MGA and MPM'!AC$4,'Plan Figures'!$B$53:$B$79,0),MATCH('Headline - MGA and MPM'!$B15,'Plan Figures'!$B$1:$AP$1,0))</f>
        <v>7845398.4416597756</v>
      </c>
      <c r="AD15" s="31">
        <f>INDEX('Plan Figures'!$B$53:$AP$79,MATCH('Headline - MGA and MPM'!AD$4,'Plan Figures'!$B$53:$B$79,0),MATCH('Headline - MGA and MPM'!$B15,'Plan Figures'!$B$1:$AP$1,0))</f>
        <v>7845398.4416597756</v>
      </c>
      <c r="AE15" s="31">
        <f>INDEX('Plan Figures'!$B$53:$AP$79,MATCH('Headline - MGA and MPM'!AE$4,'Plan Figures'!$B$53:$B$79,0),MATCH('Headline - MGA and MPM'!$B15,'Plan Figures'!$B$1:$AP$1,0))</f>
        <v>7845398.4416597756</v>
      </c>
      <c r="AF15" s="31">
        <f>INDEX('Plan Figures'!$B$53:$AP$79,MATCH('Headline - MGA and MPM'!AF$4,'Plan Figures'!$B$53:$B$79,0),MATCH('Headline - MGA and MPM'!$B15,'Plan Figures'!$B$1:$AP$1,0))</f>
        <v>7845398.4416597756</v>
      </c>
      <c r="AG15" s="31">
        <f>INDEX('Plan Figures'!$B$53:$AP$79,MATCH('Headline - MGA and MPM'!AG$4,'Plan Figures'!$B$53:$B$79,0),MATCH('Headline - MGA and MPM'!$B15,'Plan Figures'!$B$1:$AP$1,0))</f>
        <v>7846231.6185190007</v>
      </c>
      <c r="AH15" s="31">
        <f>INDEX('Plan Figures'!$B$53:$AP$79,MATCH('Headline - MGA and MPM'!AH$4,'Plan Figures'!$B$53:$B$79,0),MATCH('Headline - MGA and MPM'!$B15,'Plan Figures'!$B$1:$AP$1,0))</f>
        <v>7978793.7698578034</v>
      </c>
      <c r="AI15" s="31">
        <f>INDEX('Plan Figures'!$B$53:$AP$79,MATCH('Headline - MGA and MPM'!AI$4,'Plan Figures'!$B$53:$B$79,0),MATCH('Headline - MGA and MPM'!$B15,'Plan Figures'!$B$1:$AP$1,0))</f>
        <v>6201132.0250373501</v>
      </c>
      <c r="AJ15" s="31">
        <f>INDEX('Plan Figures'!$B$53:$AP$79,MATCH('Headline - MGA and MPM'!AJ$4,'Plan Figures'!$B$53:$B$79,0),MATCH('Headline - MGA and MPM'!$B15,'Plan Figures'!$B$1:$AP$1,0))</f>
        <v>5905644.0222835969</v>
      </c>
      <c r="AK15" s="31">
        <f>INDEX('Plan Figures'!$B$53:$AP$79,MATCH('Headline - MGA and MPM'!AK$4,'Plan Figures'!$B$53:$B$79,0),MATCH('Headline - MGA and MPM'!$B15,'Plan Figures'!$B$1:$AP$1,0))</f>
        <v>7243071.157288434</v>
      </c>
      <c r="AL15" s="31">
        <f>INDEX('Plan Figures'!$B$53:$AP$79,MATCH('Headline - MGA and MPM'!AL$4,'Plan Figures'!$B$53:$B$79,0),MATCH('Headline - MGA and MPM'!$B15,'Plan Figures'!$B$1:$AP$1,0))</f>
        <v>7441623.0130220624</v>
      </c>
      <c r="AM15" s="31">
        <f>INDEX('Plan Figures'!$B$53:$AP$79,MATCH('Headline - MGA and MPM'!AM$4,'Plan Figures'!$B$53:$B$79,0),MATCH('Headline - MGA and MPM'!$B15,'Plan Figures'!$B$1:$AP$1,0))</f>
        <v>6089948.8885620777</v>
      </c>
      <c r="AN15" s="212">
        <f>INDEX('Plan Figures'!$B$53:$AP$79,MATCH('Headline - MGA and MPM'!AN$4,'Plan Figures'!$B$53:$B$79,0),MATCH('Headline - MGA and MPM'!$B15,'Plan Figures'!$B$1:$AP$1,0))</f>
        <v>5285089.0859930776</v>
      </c>
      <c r="AO15" s="239">
        <f t="shared" si="13"/>
        <v>4614997.9463540986</v>
      </c>
      <c r="AP15" s="31">
        <f t="shared" ref="AP15:AP16" si="14">AVERAGE(R15:AC15)</f>
        <v>4614997.9463540986</v>
      </c>
      <c r="AQ15" s="240">
        <f>SUMIFS(AC15:AN15,AC$4:AN$4,"&lt;"&amp;'Title Sheet'!$C$13)</f>
        <v>85373127.34720251</v>
      </c>
      <c r="AR15" s="3"/>
    </row>
    <row r="16" spans="2:44" ht="15.75" hidden="1" x14ac:dyDescent="0.25">
      <c r="B16" t="str">
        <f t="shared" si="3"/>
        <v>PC Annual Direct</v>
      </c>
      <c r="D16" s="213" t="s">
        <v>0</v>
      </c>
      <c r="E16" s="214" t="str">
        <f t="shared" ref="E16:AN16" si="15">IFERROR(IF(E14=0,"-",(E14/E15)-1),"-")</f>
        <v>-</v>
      </c>
      <c r="F16" s="214" t="str">
        <f t="shared" si="15"/>
        <v>-</v>
      </c>
      <c r="G16" s="214" t="str">
        <f t="shared" si="15"/>
        <v>-</v>
      </c>
      <c r="H16" s="214" t="str">
        <f t="shared" si="15"/>
        <v>-</v>
      </c>
      <c r="I16" s="214" t="str">
        <f t="shared" si="15"/>
        <v>-</v>
      </c>
      <c r="J16" s="214" t="str">
        <f t="shared" si="15"/>
        <v>-</v>
      </c>
      <c r="K16" s="214" t="str">
        <f t="shared" si="15"/>
        <v>-</v>
      </c>
      <c r="L16" s="214" t="str">
        <f t="shared" si="15"/>
        <v>-</v>
      </c>
      <c r="M16" s="214" t="str">
        <f t="shared" si="15"/>
        <v>-</v>
      </c>
      <c r="N16" s="214" t="str">
        <f t="shared" si="15"/>
        <v>-</v>
      </c>
      <c r="O16" s="214" t="str">
        <f t="shared" si="15"/>
        <v>-</v>
      </c>
      <c r="P16" s="294" t="str">
        <f t="shared" si="15"/>
        <v>-</v>
      </c>
      <c r="Q16" s="214" t="str">
        <f t="shared" si="15"/>
        <v>-</v>
      </c>
      <c r="R16" s="214" t="str">
        <f t="shared" si="15"/>
        <v>-</v>
      </c>
      <c r="S16" s="214" t="str">
        <f t="shared" si="15"/>
        <v>-</v>
      </c>
      <c r="T16" s="214" t="str">
        <f t="shared" si="15"/>
        <v>-</v>
      </c>
      <c r="U16" s="214" t="str">
        <f t="shared" si="15"/>
        <v>-</v>
      </c>
      <c r="V16" s="214" t="str">
        <f t="shared" si="15"/>
        <v>-</v>
      </c>
      <c r="W16" s="214" t="str">
        <f t="shared" si="15"/>
        <v>-</v>
      </c>
      <c r="X16" s="214" t="str">
        <f t="shared" si="15"/>
        <v>-</v>
      </c>
      <c r="Y16" s="214" t="str">
        <f t="shared" si="15"/>
        <v>-</v>
      </c>
      <c r="Z16" s="214" t="str">
        <f t="shared" si="15"/>
        <v>-</v>
      </c>
      <c r="AA16" s="214">
        <f t="shared" si="15"/>
        <v>0.65279910566406141</v>
      </c>
      <c r="AB16" s="294">
        <f t="shared" si="15"/>
        <v>0.56950198116716666</v>
      </c>
      <c r="AC16" s="214">
        <f t="shared" si="15"/>
        <v>-0.29849495013860383</v>
      </c>
      <c r="AD16" s="214">
        <f t="shared" si="15"/>
        <v>-3.9666965206541782E-2</v>
      </c>
      <c r="AE16" s="214">
        <f t="shared" si="15"/>
        <v>0.31229204265272714</v>
      </c>
      <c r="AF16" s="214">
        <f t="shared" si="15"/>
        <v>0.17010474543704301</v>
      </c>
      <c r="AG16" s="214">
        <f t="shared" si="15"/>
        <v>8.87653069815173E-2</v>
      </c>
      <c r="AH16" s="214">
        <f t="shared" si="15"/>
        <v>-0.10200907561697348</v>
      </c>
      <c r="AI16" s="214">
        <f t="shared" si="15"/>
        <v>2.5771938968406349E-3</v>
      </c>
      <c r="AJ16" s="214">
        <f t="shared" si="15"/>
        <v>-7.7319693340675566E-2</v>
      </c>
      <c r="AK16" s="214">
        <f t="shared" si="15"/>
        <v>-0.30653532677775741</v>
      </c>
      <c r="AL16" s="214">
        <f t="shared" si="15"/>
        <v>-0.34966179774569317</v>
      </c>
      <c r="AM16" s="214">
        <f t="shared" si="15"/>
        <v>-0.13779045316951621</v>
      </c>
      <c r="AN16" s="215">
        <f t="shared" si="15"/>
        <v>-3.3270584993675634E-2</v>
      </c>
      <c r="AO16" s="241">
        <f t="shared" si="13"/>
        <v>0.30793537889754141</v>
      </c>
      <c r="AP16" s="242">
        <f t="shared" si="14"/>
        <v>0.30793537889754141</v>
      </c>
      <c r="AQ16" s="243">
        <f t="shared" ref="AQ16" si="16">IFERROR(IF(AQ14=0,"-",(AQ14/AQ15)-1),"-")</f>
        <v>-6.1656175535897084E-2</v>
      </c>
    </row>
    <row r="17" spans="2:44" ht="15.75" thickBot="1" x14ac:dyDescent="0.3">
      <c r="B17" t="str">
        <f t="shared" si="3"/>
        <v>PC Annual Direct</v>
      </c>
      <c r="D17" s="216" t="s">
        <v>17</v>
      </c>
      <c r="E17" s="217"/>
      <c r="F17" s="217"/>
      <c r="G17" s="217"/>
      <c r="H17" s="217"/>
      <c r="I17" s="217"/>
      <c r="J17" s="217"/>
      <c r="K17" s="217"/>
      <c r="L17" s="217"/>
      <c r="M17" s="217"/>
      <c r="N17" s="217"/>
      <c r="O17" s="217"/>
      <c r="P17" s="295"/>
      <c r="Q17" s="217"/>
      <c r="R17" s="217"/>
      <c r="S17" s="217"/>
      <c r="T17" s="217"/>
      <c r="U17" s="217"/>
      <c r="V17" s="217"/>
      <c r="W17" s="217"/>
      <c r="X17" s="217"/>
      <c r="Y17" s="217"/>
      <c r="Z17" s="217"/>
      <c r="AA17" s="217"/>
      <c r="AB17" s="295"/>
      <c r="AC17" s="217"/>
      <c r="AD17" s="217"/>
      <c r="AE17" s="217"/>
      <c r="AF17" s="217"/>
      <c r="AG17" s="217"/>
      <c r="AH17" s="217"/>
      <c r="AI17" s="217"/>
      <c r="AJ17" s="217"/>
      <c r="AK17" s="217"/>
      <c r="AL17" s="217"/>
      <c r="AM17" s="217"/>
      <c r="AN17" s="218"/>
      <c r="AO17" s="244"/>
      <c r="AP17" s="245"/>
      <c r="AQ17" s="246"/>
    </row>
    <row r="18" spans="2:44" ht="15.75" x14ac:dyDescent="0.25">
      <c r="B18" t="str">
        <f t="shared" si="3"/>
        <v>PC Annual Direct</v>
      </c>
      <c r="D18" s="208" t="s">
        <v>14</v>
      </c>
      <c r="E18" s="219">
        <v>0.17827876383473359</v>
      </c>
      <c r="F18" s="219">
        <v>0.20002704307186278</v>
      </c>
      <c r="G18" s="219">
        <v>0.2055364882518684</v>
      </c>
      <c r="H18" s="219">
        <v>0.14037769038072562</v>
      </c>
      <c r="I18" s="219">
        <v>0.14020680440079733</v>
      </c>
      <c r="J18" s="219">
        <v>0.13752768682783278</v>
      </c>
      <c r="K18" s="219">
        <v>0.1335465333920233</v>
      </c>
      <c r="L18" s="219">
        <v>0.12805752785598667</v>
      </c>
      <c r="M18" s="219">
        <v>6.6603663950888042E-2</v>
      </c>
      <c r="N18" s="219">
        <v>7.4241225252990289E-2</v>
      </c>
      <c r="O18" s="219">
        <v>0.10457484793982781</v>
      </c>
      <c r="P18" s="311">
        <v>0.1409130860369982</v>
      </c>
      <c r="Q18" s="219">
        <v>0.16131066283910109</v>
      </c>
      <c r="R18" s="219">
        <v>0.14115774160281983</v>
      </c>
      <c r="S18" s="219">
        <v>0.17813316673070206</v>
      </c>
      <c r="T18" s="219">
        <v>0.16582588751451816</v>
      </c>
      <c r="U18" s="219">
        <v>0.15246700372868802</v>
      </c>
      <c r="V18" s="219">
        <v>0.17008354555544306</v>
      </c>
      <c r="W18" s="219">
        <v>0.16880046693129111</v>
      </c>
      <c r="X18" s="219">
        <v>0.16301404238051573</v>
      </c>
      <c r="Y18" s="219">
        <v>0.16369566611660677</v>
      </c>
      <c r="Z18" s="219">
        <v>0.16277483652241811</v>
      </c>
      <c r="AA18" s="219">
        <v>0.16097235215559391</v>
      </c>
      <c r="AB18" s="311">
        <v>0.15771854370795851</v>
      </c>
      <c r="AC18" s="219">
        <v>0.20340143006288255</v>
      </c>
      <c r="AD18" s="219">
        <v>0.14021842926632433</v>
      </c>
      <c r="AE18" s="219">
        <v>9.5560662513664157E-2</v>
      </c>
      <c r="AF18" s="219">
        <v>9.1843377909451296E-2</v>
      </c>
      <c r="AG18" s="219">
        <v>9.0753339868083371E-2</v>
      </c>
      <c r="AH18" s="219">
        <v>9.1414623612478763E-2</v>
      </c>
      <c r="AI18" s="219">
        <v>8.9695167378867818E-2</v>
      </c>
      <c r="AJ18" s="219">
        <v>8.811036174234517E-2</v>
      </c>
      <c r="AK18" s="219">
        <v>8.7690119990257887E-2</v>
      </c>
      <c r="AL18" s="219">
        <v>8.5153505890497513E-2</v>
      </c>
      <c r="AM18" s="219">
        <v>8.3313033117342408E-2</v>
      </c>
      <c r="AN18" s="220">
        <v>7.8855224310648023E-2</v>
      </c>
      <c r="AO18" s="248">
        <f>AVERAGE(Z18:AC18)</f>
        <v>0.17121679061221326</v>
      </c>
      <c r="AP18" s="219">
        <f>AVERAGE(R18:AC18)</f>
        <v>0.16567039025078648</v>
      </c>
      <c r="AQ18" s="220"/>
    </row>
    <row r="19" spans="2:44" ht="15.75" x14ac:dyDescent="0.25">
      <c r="D19" s="211" t="s">
        <v>15</v>
      </c>
      <c r="E19" s="221" t="str">
        <f>IFERROR(INDEX('MICL Direct'!$C$3:$P$6,4,MATCH(E$4,'MICL Direct'!$C$3:$P$3,0)),"-")</f>
        <v>-</v>
      </c>
      <c r="F19" s="221" t="str">
        <f>IFERROR(INDEX('MICL Direct'!$C$3:$P$6,4,MATCH(F$4,'MICL Direct'!$C$3:$P$3,0)),"-")</f>
        <v>-</v>
      </c>
      <c r="G19" s="221" t="str">
        <f>IFERROR(INDEX('MICL Direct'!$C$3:$P$6,4,MATCH(G$4,'MICL Direct'!$C$3:$P$3,0)),"-")</f>
        <v>-</v>
      </c>
      <c r="H19" s="221" t="str">
        <f>IFERROR(INDEX('MICL Direct'!$C$3:$P$6,4,MATCH(H$4,'MICL Direct'!$C$3:$P$3,0)),"-")</f>
        <v>-</v>
      </c>
      <c r="I19" s="221" t="str">
        <f>IFERROR(INDEX('MICL Direct'!$C$3:$P$6,4,MATCH(I$4,'MICL Direct'!$C$3:$P$3,0)),"-")</f>
        <v>-</v>
      </c>
      <c r="J19" s="221" t="str">
        <f>IFERROR(INDEX('MICL Direct'!$C$3:$P$6,4,MATCH(J$4,'MICL Direct'!$C$3:$P$3,0)),"-")</f>
        <v>-</v>
      </c>
      <c r="K19" s="221" t="str">
        <f>IFERROR(INDEX('MICL Direct'!$C$3:$P$6,4,MATCH(K$4,'MICL Direct'!$C$3:$P$3,0)),"-")</f>
        <v>-</v>
      </c>
      <c r="L19" s="221" t="str">
        <f>IFERROR(INDEX('MICL Direct'!$C$3:$P$6,4,MATCH(L$4,'MICL Direct'!$C$3:$P$3,0)),"-")</f>
        <v>-</v>
      </c>
      <c r="M19" s="221" t="str">
        <f>IFERROR(INDEX('MICL Direct'!$C$3:$P$6,4,MATCH(M$4,'MICL Direct'!$C$3:$P$3,0)),"-")</f>
        <v>-</v>
      </c>
      <c r="N19" s="221" t="str">
        <f>IFERROR(INDEX('MICL Direct'!$C$3:$P$6,4,MATCH(N$4,'MICL Direct'!$C$3:$P$3,0)),"-")</f>
        <v>-</v>
      </c>
      <c r="O19" s="221" t="str">
        <f>IFERROR(INDEX('MICL Direct'!$C$3:$P$6,4,MATCH(O$4,'MICL Direct'!$C$3:$P$3,0)),"-")</f>
        <v>-</v>
      </c>
      <c r="P19" s="297" t="str">
        <f>IFERROR(INDEX('MICL Direct'!$C$3:$P$6,4,MATCH(P$4,'MICL Direct'!$C$3:$P$3,0)),"-")</f>
        <v>-</v>
      </c>
      <c r="Q19" s="221" t="str">
        <f>IFERROR(INDEX('MICL Direct'!$C$3:$P$6,4,MATCH(Q$4,'MICL Direct'!$C$3:$P$3,0)),"-")</f>
        <v>-</v>
      </c>
      <c r="R19" s="221" t="str">
        <f>IFERROR(INDEX('MICL Direct'!$C$3:$P$6,4,MATCH(R$4,'MICL Direct'!$C$3:$P$3,0)),"-")</f>
        <v>-</v>
      </c>
      <c r="S19" s="221" t="str">
        <f>IFERROR(INDEX('MICL Direct'!$C$3:$P$6,4,MATCH(S$4,'MICL Direct'!$C$3:$P$3,0)),"-")</f>
        <v>-</v>
      </c>
      <c r="T19" s="221" t="str">
        <f>IFERROR(INDEX('MICL Direct'!$C$3:$P$6,4,MATCH(T$4,'MICL Direct'!$C$3:$P$3,0)),"-")</f>
        <v>-</v>
      </c>
      <c r="U19" s="221" t="str">
        <f>IFERROR(INDEX('MICL Direct'!$C$3:$P$6,4,MATCH(U$4,'MICL Direct'!$C$3:$P$3,0)),"-")</f>
        <v>-</v>
      </c>
      <c r="V19" s="221" t="str">
        <f>IFERROR(INDEX('MICL Direct'!$C$3:$P$6,4,MATCH(V$4,'MICL Direct'!$C$3:$P$3,0)),"-")</f>
        <v>-</v>
      </c>
      <c r="W19" s="221" t="str">
        <f>IFERROR(INDEX('MICL Direct'!$C$3:$P$6,4,MATCH(W$4,'MICL Direct'!$C$3:$P$3,0)),"-")</f>
        <v>-</v>
      </c>
      <c r="X19" s="221" t="str">
        <f>IFERROR(INDEX('MICL Direct'!$C$3:$P$6,4,MATCH(X$4,'MICL Direct'!$C$3:$P$3,0)),"-")</f>
        <v>-</v>
      </c>
      <c r="Y19" s="221" t="str">
        <f>IFERROR(INDEX('MICL Direct'!$C$3:$P$6,4,MATCH(Y$4,'MICL Direct'!$C$3:$P$3,0)),"-")</f>
        <v>-</v>
      </c>
      <c r="Z19" s="221" t="str">
        <f>IFERROR(INDEX('MICL Direct'!$C$3:$P$6,4,MATCH(Z$4,'MICL Direct'!$C$3:$P$3,0)),"-")</f>
        <v>-</v>
      </c>
      <c r="AA19" s="221" t="str">
        <f>IFERROR(INDEX('MICL Direct'!$C$3:$P$6,4,MATCH(AA$4,'MICL Direct'!$C$3:$P$3,0)),"-")</f>
        <v>-</v>
      </c>
      <c r="AB19" s="297">
        <f>IFERROR(INDEX('MICL Direct'!$C$3:$P$6,4,MATCH(AB$4,'MICL Direct'!$C$3:$P$3,0)),"-")</f>
        <v>0.67289436299502936</v>
      </c>
      <c r="AC19" s="221">
        <f>IFERROR(INDEX('MICL Direct'!$C$3:$P$6,4,MATCH(AC$4,'MICL Direct'!$C$3:$P$3,0)),"-")</f>
        <v>0.6650524498714776</v>
      </c>
      <c r="AD19" s="221">
        <f>IFERROR(INDEX('MICL Direct'!$C$3:$P$6,4,MATCH(AD$4,'MICL Direct'!$C$3:$P$3,0)),"-")</f>
        <v>0.65579656166768108</v>
      </c>
      <c r="AE19" s="221">
        <f>IFERROR(INDEX('MICL Direct'!$C$3:$P$6,4,MATCH(AE$4,'MICL Direct'!$C$3:$P$3,0)),"-")</f>
        <v>0.64019795168924731</v>
      </c>
      <c r="AF19" s="221" t="str">
        <f>IFERROR(INDEX('MICL Direct'!$C$3:$P$6,4,MATCH(AF$4,'MICL Direct'!$C$3:$P$3,0)),"-")</f>
        <v>-</v>
      </c>
      <c r="AG19" s="221" t="str">
        <f>IFERROR(INDEX('MICL Direct'!$C$3:$P$6,4,MATCH(AG$4,'MICL Direct'!$C$3:$P$3,0)),"-")</f>
        <v>-</v>
      </c>
      <c r="AH19" s="221" t="str">
        <f>IFERROR(INDEX('MICL Direct'!$C$3:$P$6,4,MATCH(AH$4,'MICL Direct'!$C$3:$P$3,0)),"-")</f>
        <v>-</v>
      </c>
      <c r="AI19" s="221" t="str">
        <f>IFERROR(INDEX('MICL Direct'!$C$3:$P$6,4,MATCH(AI$4,'MICL Direct'!$C$3:$P$3,0)),"-")</f>
        <v>-</v>
      </c>
      <c r="AJ19" s="221" t="str">
        <f>IFERROR(INDEX('MICL Direct'!$C$3:$P$6,4,MATCH(AJ$4,'MICL Direct'!$C$3:$P$3,0)),"-")</f>
        <v>-</v>
      </c>
      <c r="AK19" s="221" t="str">
        <f>IFERROR(INDEX('MICL Direct'!$C$3:$P$6,4,MATCH(AK$4,'MICL Direct'!$C$3:$P$3,0)),"-")</f>
        <v>-</v>
      </c>
      <c r="AL19" s="221" t="str">
        <f>IFERROR(INDEX('MICL Direct'!$C$3:$P$6,4,MATCH(AL$4,'MICL Direct'!$C$3:$P$3,0)),"-")</f>
        <v>-</v>
      </c>
      <c r="AM19" s="221" t="str">
        <f>IFERROR(INDEX('MICL Direct'!$C$3:$P$6,4,MATCH(AM$4,'MICL Direct'!$C$3:$P$3,0)),"-")</f>
        <v>-</v>
      </c>
      <c r="AN19" s="222" t="str">
        <f>IFERROR(INDEX('MICL Direct'!$C$3:$P$6,4,MATCH(AN$4,'MICL Direct'!$C$3:$P$3,0)),"-")</f>
        <v>-</v>
      </c>
      <c r="AO19" s="17"/>
      <c r="AP19" s="221"/>
      <c r="AQ19" s="222"/>
    </row>
    <row r="20" spans="2:44" ht="15.75" x14ac:dyDescent="0.25">
      <c r="D20" s="223" t="s">
        <v>198</v>
      </c>
      <c r="E20" s="224">
        <v>2.3380658205648819E-2</v>
      </c>
      <c r="F20" s="224">
        <v>8.86400441361304E-2</v>
      </c>
      <c r="G20" s="224">
        <v>0.44591379865060504</v>
      </c>
      <c r="H20" s="224">
        <v>0.43573752106466035</v>
      </c>
      <c r="I20" s="224">
        <v>0.4856610062713399</v>
      </c>
      <c r="J20" s="224">
        <v>0.52631166004960717</v>
      </c>
      <c r="K20" s="224">
        <v>0.52389050236514012</v>
      </c>
      <c r="L20" s="224">
        <v>0.43735643864669693</v>
      </c>
      <c r="M20" s="224">
        <v>0.35192529260957217</v>
      </c>
      <c r="N20" s="224">
        <v>0.38869043643425566</v>
      </c>
      <c r="O20" s="224">
        <v>0.38841857862342988</v>
      </c>
      <c r="P20" s="298">
        <v>0.39277279732924075</v>
      </c>
      <c r="Q20" s="224">
        <v>0.36355846127906022</v>
      </c>
      <c r="R20" s="224">
        <v>0.36025466387969673</v>
      </c>
      <c r="S20" s="224">
        <v>0.38090902903213586</v>
      </c>
      <c r="T20" s="224">
        <v>0.33828456205675189</v>
      </c>
      <c r="U20" s="224">
        <v>0.34543192784158377</v>
      </c>
      <c r="V20" s="224">
        <v>0.28972524149447842</v>
      </c>
      <c r="W20" s="224">
        <v>0.31040748321424866</v>
      </c>
      <c r="X20" s="224">
        <v>0.34455855913204275</v>
      </c>
      <c r="Y20" s="224">
        <v>0.35256097794914754</v>
      </c>
      <c r="Z20" s="224">
        <v>0.41320856583405596</v>
      </c>
      <c r="AA20" s="224">
        <v>0.47922330587716389</v>
      </c>
      <c r="AB20" s="298">
        <v>0.47658002704471403</v>
      </c>
      <c r="AC20" s="224">
        <v>0.52525127700588592</v>
      </c>
      <c r="AD20" s="224">
        <v>0.61582672037768504</v>
      </c>
      <c r="AE20" s="224">
        <v>0.69642484793317694</v>
      </c>
      <c r="AF20" s="224">
        <v>0.67788636390817625</v>
      </c>
      <c r="AG20" s="224">
        <v>0.64673345972813623</v>
      </c>
      <c r="AH20" s="224">
        <v>4.0963910912904806</v>
      </c>
      <c r="AI20" s="224" t="s">
        <v>491</v>
      </c>
      <c r="AJ20" s="224" t="s">
        <v>491</v>
      </c>
      <c r="AK20" s="224" t="s">
        <v>491</v>
      </c>
      <c r="AL20" s="224" t="s">
        <v>491</v>
      </c>
      <c r="AM20" s="224" t="s">
        <v>491</v>
      </c>
      <c r="AN20" s="225" t="s">
        <v>491</v>
      </c>
      <c r="AO20" s="249">
        <v>2.8167590588751485</v>
      </c>
      <c r="AP20" s="224">
        <v>2.0164654635609436</v>
      </c>
      <c r="AQ20" s="225"/>
    </row>
    <row r="21" spans="2:44" ht="15.75" x14ac:dyDescent="0.25">
      <c r="B21" t="str">
        <f t="shared" si="3"/>
        <v>PC Annual Direct</v>
      </c>
      <c r="D21" s="211" t="s">
        <v>199</v>
      </c>
      <c r="E21" s="173">
        <v>6012.3282142999997</v>
      </c>
      <c r="F21" s="173">
        <v>4034.2332142999999</v>
      </c>
      <c r="G21" s="173">
        <v>6180.6949999999997</v>
      </c>
      <c r="H21" s="173">
        <v>9124.6117857000008</v>
      </c>
      <c r="I21" s="173">
        <v>7927.0614286</v>
      </c>
      <c r="J21" s="173">
        <v>9345.1889286000005</v>
      </c>
      <c r="K21" s="173">
        <v>8834.1396428999997</v>
      </c>
      <c r="L21" s="173">
        <v>8283.0174999999999</v>
      </c>
      <c r="M21" s="173">
        <v>7745.79</v>
      </c>
      <c r="N21" s="173">
        <v>12596.4171432</v>
      </c>
      <c r="O21" s="173">
        <v>12596.4171432</v>
      </c>
      <c r="P21" s="299">
        <v>12596.4171432</v>
      </c>
      <c r="Q21" s="173">
        <v>13281.377143199999</v>
      </c>
      <c r="R21" s="173">
        <v>11548.78285716</v>
      </c>
      <c r="S21" s="173">
        <v>10906.392857160001</v>
      </c>
      <c r="T21" s="173">
        <v>10906.392857160001</v>
      </c>
      <c r="U21" s="173">
        <v>10906.392857160001</v>
      </c>
      <c r="V21" s="173">
        <v>10906.392857160001</v>
      </c>
      <c r="W21" s="173">
        <v>13028.867143199999</v>
      </c>
      <c r="X21" s="173">
        <v>13028.867143199999</v>
      </c>
      <c r="Y21" s="173">
        <v>13028.867143199999</v>
      </c>
      <c r="Z21" s="173">
        <v>13028.867143199999</v>
      </c>
      <c r="AA21" s="173">
        <v>13028.867143199999</v>
      </c>
      <c r="AB21" s="299">
        <v>13028.867143199999</v>
      </c>
      <c r="AC21" s="173">
        <v>13028.867143199999</v>
      </c>
      <c r="AD21" s="173">
        <v>13028.867143199999</v>
      </c>
      <c r="AE21" s="173">
        <v>13028.867143199999</v>
      </c>
      <c r="AF21" s="173">
        <v>13028.867143199999</v>
      </c>
      <c r="AG21" s="173">
        <v>13028.867143199999</v>
      </c>
      <c r="AH21" s="173">
        <v>13028.867143199999</v>
      </c>
      <c r="AI21" s="173">
        <v>11571.86142852</v>
      </c>
      <c r="AJ21" s="173">
        <v>12177.2575</v>
      </c>
      <c r="AK21" s="173">
        <v>11571.86142852</v>
      </c>
      <c r="AL21" s="173">
        <v>11571.86142852</v>
      </c>
      <c r="AM21" s="173">
        <v>11571.86142852</v>
      </c>
      <c r="AN21" s="228">
        <v>11957.857142999999</v>
      </c>
      <c r="AO21" s="17"/>
      <c r="AP21" s="221"/>
      <c r="AQ21" s="222"/>
    </row>
    <row r="22" spans="2:44" ht="15.75" x14ac:dyDescent="0.25">
      <c r="B22" t="str">
        <f t="shared" si="3"/>
        <v>PC Annual Direct</v>
      </c>
      <c r="D22" s="223" t="s">
        <v>200</v>
      </c>
      <c r="E22" s="229">
        <v>318.27928571000001</v>
      </c>
      <c r="F22" s="229">
        <v>85.952500000000001</v>
      </c>
      <c r="G22" s="229">
        <v>89.076785713999996</v>
      </c>
      <c r="H22" s="229">
        <v>89.076785713999996</v>
      </c>
      <c r="I22" s="229">
        <v>124.88785713999999</v>
      </c>
      <c r="J22" s="229">
        <v>121.69</v>
      </c>
      <c r="K22" s="229">
        <v>118.77500000000001</v>
      </c>
      <c r="L22" s="229">
        <v>117.60357143</v>
      </c>
      <c r="M22" s="229">
        <v>117.0728571432</v>
      </c>
      <c r="N22" s="229">
        <v>117.0728571432</v>
      </c>
      <c r="O22" s="229">
        <v>48.068571428399999</v>
      </c>
      <c r="P22" s="300">
        <v>48.068571428399999</v>
      </c>
      <c r="Q22" s="229">
        <v>48.068571428399999</v>
      </c>
      <c r="R22" s="229">
        <v>78.094285714799994</v>
      </c>
      <c r="S22" s="229">
        <v>78.094285714799994</v>
      </c>
      <c r="T22" s="229">
        <v>78.094285714799994</v>
      </c>
      <c r="U22" s="229">
        <v>78.094285714799994</v>
      </c>
      <c r="V22" s="229">
        <v>78.094285714799994</v>
      </c>
      <c r="W22" s="229">
        <v>78.094285714799994</v>
      </c>
      <c r="X22" s="229">
        <v>78.094285714799994</v>
      </c>
      <c r="Y22" s="229">
        <v>78.094285714799994</v>
      </c>
      <c r="Z22" s="229">
        <v>78.094285714799994</v>
      </c>
      <c r="AA22" s="229">
        <v>81.355714285199994</v>
      </c>
      <c r="AB22" s="300">
        <v>81.355714285199994</v>
      </c>
      <c r="AC22" s="229">
        <v>81.355714285199994</v>
      </c>
      <c r="AD22" s="229">
        <v>88.392857143200004</v>
      </c>
      <c r="AE22" s="229">
        <v>88.392857143200004</v>
      </c>
      <c r="AF22" s="229">
        <v>333.154285716</v>
      </c>
      <c r="AG22" s="229">
        <v>333.154285716</v>
      </c>
      <c r="AH22" s="229">
        <v>333.154285716</v>
      </c>
      <c r="AI22" s="229">
        <v>333.154285716</v>
      </c>
      <c r="AJ22" s="229">
        <v>333.154285716</v>
      </c>
      <c r="AK22" s="229">
        <v>333.154285716</v>
      </c>
      <c r="AL22" s="229">
        <v>333.154285716</v>
      </c>
      <c r="AM22" s="229">
        <v>333.154285716</v>
      </c>
      <c r="AN22" s="230">
        <v>0.89285714289999996</v>
      </c>
      <c r="AO22" s="249"/>
      <c r="AP22" s="224"/>
      <c r="AQ22" s="225"/>
    </row>
    <row r="23" spans="2:44" ht="15.75" x14ac:dyDescent="0.25">
      <c r="B23" t="str">
        <f t="shared" si="3"/>
        <v>PC Annual Direct</v>
      </c>
      <c r="D23" s="211" t="s">
        <v>201</v>
      </c>
      <c r="E23" s="221">
        <v>2.2789710289084206E-2</v>
      </c>
      <c r="F23" s="221">
        <v>0.29604918889819848</v>
      </c>
      <c r="G23" s="221">
        <v>0.26507742136536322</v>
      </c>
      <c r="H23" s="221">
        <v>0.15308334083528269</v>
      </c>
      <c r="I23" s="221">
        <v>8.7158261420886118E-2</v>
      </c>
      <c r="J23" s="221">
        <v>0.13937693927753406</v>
      </c>
      <c r="K23" s="221">
        <v>0.21582756683417362</v>
      </c>
      <c r="L23" s="221">
        <v>0.25676841482948909</v>
      </c>
      <c r="M23" s="221">
        <v>0.42432589418912181</v>
      </c>
      <c r="N23" s="221">
        <v>0.54459538180852574</v>
      </c>
      <c r="O23" s="221">
        <v>0.6372096144952244</v>
      </c>
      <c r="P23" s="297">
        <v>0.66046950617843081</v>
      </c>
      <c r="Q23" s="221">
        <v>0.78978925954681889</v>
      </c>
      <c r="R23" s="221">
        <v>0.86844514675587881</v>
      </c>
      <c r="S23" s="221">
        <v>0.91689565799909845</v>
      </c>
      <c r="T23" s="221">
        <v>0.90749257539941341</v>
      </c>
      <c r="U23" s="221">
        <v>0.62447655017467185</v>
      </c>
      <c r="V23" s="221">
        <v>0.71324915815362722</v>
      </c>
      <c r="W23" s="221">
        <v>0.84462691186283834</v>
      </c>
      <c r="X23" s="221">
        <v>0.71428555521745396</v>
      </c>
      <c r="Y23" s="221">
        <v>0.67350602341789634</v>
      </c>
      <c r="Z23" s="221">
        <v>0.49584084711120441</v>
      </c>
      <c r="AA23" s="221">
        <v>0.29062488073112575</v>
      </c>
      <c r="AB23" s="297">
        <v>0.25265657842669165</v>
      </c>
      <c r="AC23" s="221">
        <v>0.16670223209421292</v>
      </c>
      <c r="AD23" s="221">
        <v>8.1124665885591807E-2</v>
      </c>
      <c r="AE23" s="221">
        <v>2.6720420199327272E-2</v>
      </c>
      <c r="AF23" s="221">
        <v>7.0033570212341854E-3</v>
      </c>
      <c r="AG23" s="221">
        <v>7.8139596438943811E-3</v>
      </c>
      <c r="AH23" s="221">
        <v>7.5628441264206283E-3</v>
      </c>
      <c r="AI23" s="221">
        <v>8.1279906686079016E-3</v>
      </c>
      <c r="AJ23" s="221">
        <v>1.0252245541172449E-2</v>
      </c>
      <c r="AK23" s="221">
        <v>8.3657869108518315E-3</v>
      </c>
      <c r="AL23" s="221">
        <v>9.1027229308281096E-3</v>
      </c>
      <c r="AM23" s="221">
        <v>7.3885330976224102E-3</v>
      </c>
      <c r="AN23" s="222">
        <v>5.9222212774501827E-3</v>
      </c>
      <c r="AO23" s="17"/>
      <c r="AP23" s="221"/>
      <c r="AQ23" s="222"/>
    </row>
    <row r="24" spans="2:44" ht="15.75" x14ac:dyDescent="0.25">
      <c r="B24" t="str">
        <f t="shared" si="3"/>
        <v>PC Annual Direct</v>
      </c>
      <c r="D24" s="223" t="s">
        <v>202</v>
      </c>
      <c r="E24" s="224">
        <v>0.52998768074792102</v>
      </c>
      <c r="F24" s="224">
        <v>0.50899368588501104</v>
      </c>
      <c r="G24" s="224">
        <v>0.346936596508438</v>
      </c>
      <c r="H24" s="224">
        <v>0.34921988234291101</v>
      </c>
      <c r="I24" s="224">
        <v>0.68549643796104198</v>
      </c>
      <c r="J24" s="224">
        <v>0.34459832830181703</v>
      </c>
      <c r="K24" s="224">
        <v>0.34695718837119799</v>
      </c>
      <c r="L24" s="224">
        <v>0.34665046332513</v>
      </c>
      <c r="M24" s="224">
        <v>0.37167625151939998</v>
      </c>
      <c r="N24" s="224">
        <v>0.53931784176764197</v>
      </c>
      <c r="O24" s="224">
        <v>36.1701141233494</v>
      </c>
      <c r="P24" s="298">
        <v>36.1701141233494</v>
      </c>
      <c r="Q24" s="224">
        <v>36.1701141233494</v>
      </c>
      <c r="R24" s="224">
        <v>1.5970372664135499</v>
      </c>
      <c r="S24" s="224">
        <v>1.5970372664135499</v>
      </c>
      <c r="T24" s="224">
        <v>1.5970372664135499</v>
      </c>
      <c r="U24" s="224">
        <v>1.5970372664135499</v>
      </c>
      <c r="V24" s="224">
        <v>1.5970372664135499</v>
      </c>
      <c r="W24" s="224">
        <v>1.5970372664135499</v>
      </c>
      <c r="X24" s="224">
        <v>1.5970372664135499</v>
      </c>
      <c r="Y24" s="224">
        <v>1.5970372664135499</v>
      </c>
      <c r="Z24" s="224">
        <v>1.5970372664135499</v>
      </c>
      <c r="AA24" s="224">
        <v>0.34432560903149101</v>
      </c>
      <c r="AB24" s="298">
        <v>0.34432560903149101</v>
      </c>
      <c r="AC24" s="224">
        <v>0.34432560903149101</v>
      </c>
      <c r="AD24" s="224">
        <v>0.27155867905078801</v>
      </c>
      <c r="AE24" s="224">
        <v>0.27155867905078801</v>
      </c>
      <c r="AF24" s="224">
        <v>0.25747920416771702</v>
      </c>
      <c r="AG24" s="224">
        <v>0.25747920416771702</v>
      </c>
      <c r="AH24" s="224">
        <v>0.25747920416771702</v>
      </c>
      <c r="AI24" s="224">
        <v>0.25747920416771702</v>
      </c>
      <c r="AJ24" s="224">
        <v>0.25747920416771702</v>
      </c>
      <c r="AK24" s="224">
        <v>0.25747920416771702</v>
      </c>
      <c r="AL24" s="224">
        <v>0.25747920416771702</v>
      </c>
      <c r="AM24" s="224">
        <v>0.25747920416771702</v>
      </c>
      <c r="AN24" s="225">
        <v>0.25747920416771702</v>
      </c>
      <c r="AO24" s="249"/>
      <c r="AP24" s="224"/>
      <c r="AQ24" s="225"/>
    </row>
    <row r="25" spans="2:44" ht="16.5" thickBot="1" x14ac:dyDescent="0.3">
      <c r="B25" t="str">
        <f t="shared" si="3"/>
        <v>PC Annual Direct</v>
      </c>
      <c r="D25" s="226" t="s">
        <v>203</v>
      </c>
      <c r="E25" s="227">
        <v>0.33333398714475998</v>
      </c>
      <c r="F25" s="227">
        <v>0.33323887786436301</v>
      </c>
      <c r="G25" s="227">
        <v>0.33307084735882903</v>
      </c>
      <c r="H25" s="227">
        <v>0.33312289846292897</v>
      </c>
      <c r="I25" s="227">
        <v>0.33329737116731001</v>
      </c>
      <c r="J25" s="227">
        <v>0.33329886324874702</v>
      </c>
      <c r="K25" s="227">
        <v>0.333113703757554</v>
      </c>
      <c r="L25" s="227">
        <v>0.29004027060111198</v>
      </c>
      <c r="M25" s="227">
        <v>0.29004027060111198</v>
      </c>
      <c r="N25" s="227">
        <v>0.21985516877924</v>
      </c>
      <c r="O25" s="227">
        <v>0.198344232651988</v>
      </c>
      <c r="P25" s="312">
        <v>0.168870675188772</v>
      </c>
      <c r="Q25" s="227">
        <v>0.167241751132198</v>
      </c>
      <c r="R25" s="227">
        <v>0.167241751132198</v>
      </c>
      <c r="S25" s="227">
        <v>0.16269447203135401</v>
      </c>
      <c r="T25" s="227">
        <v>0.16269447203135401</v>
      </c>
      <c r="U25" s="227">
        <v>0.11110960612313101</v>
      </c>
      <c r="V25" s="227">
        <v>0.11108791534092299</v>
      </c>
      <c r="W25" s="227">
        <v>8.5046459002527303E-2</v>
      </c>
      <c r="X25" s="227">
        <v>8.5046459002527303E-2</v>
      </c>
      <c r="Y25" s="227">
        <v>8.5046459002527303E-2</v>
      </c>
      <c r="Z25" s="227">
        <v>8.5046459002527303E-2</v>
      </c>
      <c r="AA25" s="227">
        <v>8.5046459002527303E-2</v>
      </c>
      <c r="AB25" s="301">
        <v>8.5046459002527303E-2</v>
      </c>
      <c r="AC25" s="227">
        <v>8.5046459002527303E-2</v>
      </c>
      <c r="AD25" s="227">
        <v>4.88660874813516E-2</v>
      </c>
      <c r="AE25" s="227">
        <v>-0.5</v>
      </c>
      <c r="AF25" s="227">
        <v>4.8862468365599397E-2</v>
      </c>
      <c r="AG25" s="227">
        <v>4.8864259244639302E-2</v>
      </c>
      <c r="AH25" s="227">
        <v>4.8861794836557899E-2</v>
      </c>
      <c r="AI25" s="227">
        <v>4.8863729570241703E-2</v>
      </c>
      <c r="AJ25" s="227">
        <v>4.8862641977371397E-2</v>
      </c>
      <c r="AK25" s="227">
        <v>4.8861496369821102E-2</v>
      </c>
      <c r="AL25" s="227">
        <v>4.8862684405650302E-2</v>
      </c>
      <c r="AM25" s="227">
        <v>4.8865212899752701E-2</v>
      </c>
      <c r="AN25" s="227">
        <v>0</v>
      </c>
      <c r="AO25" s="250"/>
      <c r="AP25" s="227"/>
      <c r="AQ25" s="227"/>
      <c r="AR25" s="247"/>
    </row>
    <row r="27" spans="2:44" ht="15.75" thickBot="1" x14ac:dyDescent="0.3"/>
    <row r="28" spans="2:44" ht="21" x14ac:dyDescent="0.25">
      <c r="C28" s="290"/>
      <c r="D28" s="362" t="s">
        <v>183</v>
      </c>
      <c r="E28" s="202"/>
      <c r="F28" s="202"/>
      <c r="G28" s="202"/>
      <c r="H28" s="202"/>
      <c r="I28" s="202"/>
      <c r="J28" s="202"/>
      <c r="K28" s="202"/>
      <c r="L28" s="202"/>
      <c r="M28" s="202"/>
      <c r="N28" s="202"/>
      <c r="O28" s="202"/>
      <c r="P28" s="233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  <c r="AB28" s="233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3"/>
      <c r="AO28" s="232"/>
      <c r="AP28" s="202"/>
      <c r="AQ28" s="233"/>
    </row>
    <row r="29" spans="2:44" ht="15.75" thickBot="1" x14ac:dyDescent="0.3">
      <c r="C29" s="290"/>
      <c r="D29" s="306"/>
      <c r="E29" s="287" t="s">
        <v>341</v>
      </c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92"/>
      <c r="Q29" s="287" t="s">
        <v>341</v>
      </c>
      <c r="R29" s="287"/>
      <c r="S29" s="287"/>
      <c r="T29" s="287"/>
      <c r="U29" s="287"/>
      <c r="V29" s="287"/>
      <c r="W29" s="287"/>
      <c r="X29" s="287"/>
      <c r="Y29" s="287"/>
      <c r="Z29" s="287"/>
      <c r="AA29" s="287"/>
      <c r="AB29" s="292"/>
      <c r="AC29" s="287" t="s">
        <v>341</v>
      </c>
      <c r="AD29" s="287"/>
      <c r="AE29" s="287"/>
      <c r="AF29" s="287"/>
      <c r="AG29" s="287"/>
      <c r="AH29" s="287"/>
      <c r="AI29" s="287"/>
      <c r="AJ29" s="287"/>
      <c r="AK29" s="287"/>
      <c r="AL29" s="287"/>
      <c r="AM29" s="287"/>
      <c r="AN29" s="288"/>
      <c r="AO29" s="510" t="s">
        <v>8</v>
      </c>
      <c r="AP29" s="511"/>
      <c r="AQ29" s="512"/>
    </row>
    <row r="30" spans="2:44" x14ac:dyDescent="0.25">
      <c r="C30" s="290"/>
      <c r="D30" s="310" t="s">
        <v>16</v>
      </c>
      <c r="E30" s="206">
        <f t="shared" ref="E30:AN30" si="17">E$4</f>
        <v>44562</v>
      </c>
      <c r="F30" s="206">
        <f t="shared" si="17"/>
        <v>44593</v>
      </c>
      <c r="G30" s="206">
        <f t="shared" si="17"/>
        <v>44621</v>
      </c>
      <c r="H30" s="206">
        <f t="shared" si="17"/>
        <v>44652</v>
      </c>
      <c r="I30" s="206">
        <f t="shared" si="17"/>
        <v>44682</v>
      </c>
      <c r="J30" s="206">
        <f t="shared" si="17"/>
        <v>44713</v>
      </c>
      <c r="K30" s="206">
        <f t="shared" si="17"/>
        <v>44743</v>
      </c>
      <c r="L30" s="206">
        <f t="shared" si="17"/>
        <v>44774</v>
      </c>
      <c r="M30" s="206">
        <f t="shared" si="17"/>
        <v>44805</v>
      </c>
      <c r="N30" s="206">
        <f t="shared" si="17"/>
        <v>44835</v>
      </c>
      <c r="O30" s="206">
        <f t="shared" si="17"/>
        <v>44866</v>
      </c>
      <c r="P30" s="293">
        <f t="shared" si="17"/>
        <v>44896</v>
      </c>
      <c r="Q30" s="206">
        <f t="shared" si="17"/>
        <v>44927</v>
      </c>
      <c r="R30" s="206">
        <f t="shared" si="17"/>
        <v>44958</v>
      </c>
      <c r="S30" s="206">
        <f t="shared" si="17"/>
        <v>44986</v>
      </c>
      <c r="T30" s="206">
        <f t="shared" si="17"/>
        <v>45017</v>
      </c>
      <c r="U30" s="206">
        <f t="shared" si="17"/>
        <v>45047</v>
      </c>
      <c r="V30" s="206">
        <f t="shared" si="17"/>
        <v>45078</v>
      </c>
      <c r="W30" s="206">
        <f t="shared" si="17"/>
        <v>45108</v>
      </c>
      <c r="X30" s="206">
        <f t="shared" si="17"/>
        <v>45139</v>
      </c>
      <c r="Y30" s="206">
        <f t="shared" si="17"/>
        <v>45170</v>
      </c>
      <c r="Z30" s="206">
        <f t="shared" si="17"/>
        <v>45200</v>
      </c>
      <c r="AA30" s="206">
        <f t="shared" si="17"/>
        <v>45231</v>
      </c>
      <c r="AB30" s="293">
        <f t="shared" si="17"/>
        <v>45261</v>
      </c>
      <c r="AC30" s="206">
        <f t="shared" si="17"/>
        <v>45292</v>
      </c>
      <c r="AD30" s="206">
        <f t="shared" si="17"/>
        <v>45323</v>
      </c>
      <c r="AE30" s="206">
        <f t="shared" si="17"/>
        <v>45352</v>
      </c>
      <c r="AF30" s="206">
        <f t="shared" si="17"/>
        <v>45383</v>
      </c>
      <c r="AG30" s="206">
        <f t="shared" si="17"/>
        <v>45413</v>
      </c>
      <c r="AH30" s="206">
        <f t="shared" si="17"/>
        <v>45444</v>
      </c>
      <c r="AI30" s="206">
        <f t="shared" si="17"/>
        <v>45474</v>
      </c>
      <c r="AJ30" s="206">
        <f t="shared" si="17"/>
        <v>45505</v>
      </c>
      <c r="AK30" s="206">
        <f t="shared" si="17"/>
        <v>45536</v>
      </c>
      <c r="AL30" s="206">
        <f t="shared" si="17"/>
        <v>45566</v>
      </c>
      <c r="AM30" s="206">
        <f t="shared" si="17"/>
        <v>45597</v>
      </c>
      <c r="AN30" s="207">
        <f t="shared" si="17"/>
        <v>45627</v>
      </c>
      <c r="AO30" s="234" t="s">
        <v>9</v>
      </c>
      <c r="AP30" s="235" t="str">
        <f>AP4</f>
        <v>Last Year</v>
      </c>
      <c r="AQ30" s="236" t="s">
        <v>346</v>
      </c>
    </row>
    <row r="31" spans="2:44" ht="15.75" x14ac:dyDescent="0.25">
      <c r="D31" s="208" t="s">
        <v>3</v>
      </c>
      <c r="E31" s="209">
        <f>E54+E77</f>
        <v>44</v>
      </c>
      <c r="F31" s="209">
        <f t="shared" ref="F31:AN31" si="18">F54+F77</f>
        <v>210</v>
      </c>
      <c r="G31" s="209">
        <f t="shared" si="18"/>
        <v>848</v>
      </c>
      <c r="H31" s="209">
        <f t="shared" si="18"/>
        <v>689</v>
      </c>
      <c r="I31" s="209">
        <f t="shared" si="18"/>
        <v>740</v>
      </c>
      <c r="J31" s="209">
        <f t="shared" si="18"/>
        <v>1235</v>
      </c>
      <c r="K31" s="209">
        <f t="shared" si="18"/>
        <v>2486</v>
      </c>
      <c r="L31" s="209">
        <f t="shared" si="18"/>
        <v>2152</v>
      </c>
      <c r="M31" s="209">
        <f t="shared" si="18"/>
        <v>3078</v>
      </c>
      <c r="N31" s="209">
        <f t="shared" si="18"/>
        <v>4149</v>
      </c>
      <c r="O31" s="209">
        <f t="shared" si="18"/>
        <v>3740</v>
      </c>
      <c r="P31" s="238">
        <f t="shared" si="18"/>
        <v>2811</v>
      </c>
      <c r="Q31" s="209">
        <f t="shared" si="18"/>
        <v>2252</v>
      </c>
      <c r="R31" s="209">
        <f t="shared" si="18"/>
        <v>2428</v>
      </c>
      <c r="S31" s="209">
        <f t="shared" si="18"/>
        <v>2967</v>
      </c>
      <c r="T31" s="209">
        <f t="shared" si="18"/>
        <v>2138</v>
      </c>
      <c r="U31" s="209">
        <f t="shared" si="18"/>
        <v>1834</v>
      </c>
      <c r="V31" s="209">
        <f t="shared" si="18"/>
        <v>1286</v>
      </c>
      <c r="W31" s="209">
        <f t="shared" si="18"/>
        <v>801</v>
      </c>
      <c r="X31" s="209">
        <f t="shared" si="18"/>
        <v>1021</v>
      </c>
      <c r="Y31" s="209">
        <f t="shared" si="18"/>
        <v>961</v>
      </c>
      <c r="Z31" s="209">
        <f t="shared" si="18"/>
        <v>1217</v>
      </c>
      <c r="AA31" s="209">
        <f t="shared" si="18"/>
        <v>1985</v>
      </c>
      <c r="AB31" s="238">
        <f t="shared" si="18"/>
        <v>1807</v>
      </c>
      <c r="AC31" s="209">
        <f t="shared" si="18"/>
        <v>2257</v>
      </c>
      <c r="AD31" s="209">
        <f t="shared" si="18"/>
        <v>3859</v>
      </c>
      <c r="AE31" s="209">
        <f t="shared" si="18"/>
        <v>6028</v>
      </c>
      <c r="AF31" s="209">
        <f t="shared" si="18"/>
        <v>6160</v>
      </c>
      <c r="AG31" s="209">
        <f t="shared" si="18"/>
        <v>5987</v>
      </c>
      <c r="AH31" s="209">
        <f t="shared" si="18"/>
        <v>5088</v>
      </c>
      <c r="AI31" s="209">
        <f t="shared" si="18"/>
        <v>4339</v>
      </c>
      <c r="AJ31" s="209">
        <f t="shared" si="18"/>
        <v>3785</v>
      </c>
      <c r="AK31" s="209">
        <f t="shared" si="18"/>
        <v>3625</v>
      </c>
      <c r="AL31" s="209">
        <f t="shared" si="18"/>
        <v>3599</v>
      </c>
      <c r="AM31" s="209">
        <f t="shared" si="18"/>
        <v>4066</v>
      </c>
      <c r="AN31" s="210">
        <f t="shared" si="18"/>
        <v>4076</v>
      </c>
      <c r="AO31" s="237">
        <f t="shared" ref="AO31:AO36" si="19">AVERAGE(Z31:AC31)</f>
        <v>1816.5</v>
      </c>
      <c r="AP31" s="209">
        <f>AVERAGE(R31:AC31)</f>
        <v>1725.1666666666667</v>
      </c>
      <c r="AQ31" s="238">
        <f>SUMIFS(AC31:AN31,AC$4:AN$4,"&lt;"&amp;'Title Sheet'!$C$13)</f>
        <v>52869</v>
      </c>
    </row>
    <row r="32" spans="2:44" ht="15.75" hidden="1" x14ac:dyDescent="0.25">
      <c r="D32" s="211" t="s">
        <v>4</v>
      </c>
      <c r="E32" s="31" t="e">
        <f>INDEX('Plan Figures'!$B$53:$AP$79,MATCH('Headline - MGA and MPM'!E$4,'Plan Figures'!$B$53:$B$79,0),MATCH('Headline - MGA and MPM'!$B55,'Plan Figures'!$B$1:$AP$1,0))</f>
        <v>#N/A</v>
      </c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40"/>
      <c r="Q32" s="31"/>
      <c r="R32" s="31" t="str">
        <f>INDEX('Plan Figures'!$B$53:$AP$79,MATCH('Headline - MGA and MPM'!R$4,'Plan Figures'!$B$53:$B$79,0),MATCH('Headline - MGA and MPM'!$B55,'Plan Figures'!$B$1:$AP$1,0))</f>
        <v>-</v>
      </c>
      <c r="S32" s="31" t="str">
        <f>INDEX('Plan Figures'!$B$53:$AP$79,MATCH('Headline - MGA and MPM'!S$4,'Plan Figures'!$B$53:$B$79,0),MATCH('Headline - MGA and MPM'!$B55,'Plan Figures'!$B$1:$AP$1,0))</f>
        <v>-</v>
      </c>
      <c r="T32" s="31" t="str">
        <f>INDEX('Plan Figures'!$B$53:$AP$79,MATCH('Headline - MGA and MPM'!T$4,'Plan Figures'!$B$53:$B$79,0),MATCH('Headline - MGA and MPM'!$B55,'Plan Figures'!$B$1:$AP$1,0))</f>
        <v>-</v>
      </c>
      <c r="U32" s="31" t="str">
        <f>INDEX('Plan Figures'!$B$53:$AP$79,MATCH('Headline - MGA and MPM'!U$4,'Plan Figures'!$B$53:$B$79,0),MATCH('Headline - MGA and MPM'!$B55,'Plan Figures'!$B$1:$AP$1,0))</f>
        <v>-</v>
      </c>
      <c r="V32" s="31" t="str">
        <f>INDEX('Plan Figures'!$B$53:$AP$79,MATCH('Headline - MGA and MPM'!V$4,'Plan Figures'!$B$53:$B$79,0),MATCH('Headline - MGA and MPM'!$B55,'Plan Figures'!$B$1:$AP$1,0))</f>
        <v>-</v>
      </c>
      <c r="W32" s="31" t="str">
        <f>INDEX('Plan Figures'!$B$53:$AP$79,MATCH('Headline - MGA and MPM'!W$4,'Plan Figures'!$B$53:$B$79,0),MATCH('Headline - MGA and MPM'!$B55,'Plan Figures'!$B$1:$AP$1,0))</f>
        <v>-</v>
      </c>
      <c r="X32" s="31" t="str">
        <f>INDEX('Plan Figures'!$B$53:$AP$79,MATCH('Headline - MGA and MPM'!X$4,'Plan Figures'!$B$53:$B$79,0),MATCH('Headline - MGA and MPM'!$B55,'Plan Figures'!$B$1:$AP$1,0))</f>
        <v>-</v>
      </c>
      <c r="Y32" s="31" t="str">
        <f>INDEX('Plan Figures'!$B$53:$AP$79,MATCH('Headline - MGA and MPM'!Y$4,'Plan Figures'!$B$53:$B$79,0),MATCH('Headline - MGA and MPM'!$B55,'Plan Figures'!$B$1:$AP$1,0))</f>
        <v>-</v>
      </c>
      <c r="Z32" s="31" t="str">
        <f>INDEX('Plan Figures'!$B$53:$AP$79,MATCH('Headline - MGA and MPM'!Z$4,'Plan Figures'!$B$53:$B$79,0),MATCH('Headline - MGA and MPM'!$B55,'Plan Figures'!$B$1:$AP$1,0))</f>
        <v>-</v>
      </c>
      <c r="AA32" s="31">
        <f>INDEX('Plan Figures'!$B$53:$AP$79,MATCH('Headline - MGA and MPM'!AA$4,'Plan Figures'!$B$53:$B$79,0),MATCH('Headline - MGA and MPM'!$B55,'Plan Figures'!$B$1:$AP$1,0))</f>
        <v>1186.3283000654797</v>
      </c>
      <c r="AB32" s="240">
        <f>INDEX('Plan Figures'!$B$53:$AP$79,MATCH('Headline - MGA and MPM'!AB$4,'Plan Figures'!$B$53:$B$79,0),MATCH('Headline - MGA and MPM'!$B55,'Plan Figures'!$B$1:$AP$1,0))</f>
        <v>1054.479505365535</v>
      </c>
      <c r="AC32" s="31">
        <f>INDEX('Plan Figures'!$B$53:$AP$79,MATCH('Headline - MGA and MPM'!AC$4,'Plan Figures'!$B$53:$B$79,0),MATCH('Headline - MGA and MPM'!$B55,'Plan Figures'!$B$1:$AP$1,0))</f>
        <v>1289.8165275651775</v>
      </c>
      <c r="AD32" s="31">
        <f>INDEX('Plan Figures'!$B$53:$AP$79,MATCH('Headline - MGA and MPM'!AD$4,'Plan Figures'!$B$53:$B$79,0),MATCH('Headline - MGA and MPM'!$B55,'Plan Figures'!$B$1:$AP$1,0))</f>
        <v>1287.2420434782211</v>
      </c>
      <c r="AE32" s="31">
        <f>INDEX('Plan Figures'!$B$53:$AP$79,MATCH('Headline - MGA and MPM'!AE$4,'Plan Figures'!$B$53:$B$79,0),MATCH('Headline - MGA and MPM'!$B55,'Plan Figures'!$B$1:$AP$1,0))</f>
        <v>1284.672698082057</v>
      </c>
      <c r="AF32" s="31">
        <f>INDEX('Plan Figures'!$B$53:$AP$79,MATCH('Headline - MGA and MPM'!AF$4,'Plan Figures'!$B$53:$B$79,0),MATCH('Headline - MGA and MPM'!$B55,'Plan Figures'!$B$1:$AP$1,0))</f>
        <v>1282.1084811198173</v>
      </c>
      <c r="AG32" s="31">
        <f>INDEX('Plan Figures'!$B$53:$AP$79,MATCH('Headline - MGA and MPM'!AG$4,'Plan Figures'!$B$53:$B$79,0),MATCH('Headline - MGA and MPM'!$B55,'Plan Figures'!$B$1:$AP$1,0))</f>
        <v>1279.6651976654666</v>
      </c>
      <c r="AH32" s="31">
        <f>INDEX('Plan Figures'!$B$53:$AP$79,MATCH('Headline - MGA and MPM'!AH$4,'Plan Figures'!$B$53:$B$79,0),MATCH('Headline - MGA and MPM'!$B55,'Plan Figures'!$B$1:$AP$1,0))</f>
        <v>1309.3442611530033</v>
      </c>
      <c r="AI32" s="31">
        <f>INDEX('Plan Figures'!$B$53:$AP$79,MATCH('Headline - MGA and MPM'!AI$4,'Plan Figures'!$B$53:$B$79,0),MATCH('Headline - MGA and MPM'!$B55,'Plan Figures'!$B$1:$AP$1,0))</f>
        <v>1239.8652970555206</v>
      </c>
      <c r="AJ32" s="31">
        <f>INDEX('Plan Figures'!$B$53:$AP$79,MATCH('Headline - MGA and MPM'!AJ$4,'Plan Figures'!$B$53:$B$79,0),MATCH('Headline - MGA and MPM'!$B55,'Plan Figures'!$B$1:$AP$1,0))</f>
        <v>1217.6367128916372</v>
      </c>
      <c r="AK32" s="31">
        <f>INDEX('Plan Figures'!$B$53:$AP$79,MATCH('Headline - MGA and MPM'!AK$4,'Plan Figures'!$B$53:$B$79,0),MATCH('Headline - MGA and MPM'!$B55,'Plan Figures'!$B$1:$AP$1,0))</f>
        <v>1687.1014417855563</v>
      </c>
      <c r="AL32" s="31">
        <f>INDEX('Plan Figures'!$B$53:$AP$79,MATCH('Headline - MGA and MPM'!AL$4,'Plan Figures'!$B$53:$B$79,0),MATCH('Headline - MGA and MPM'!$B55,'Plan Figures'!$B$1:$AP$1,0))</f>
        <v>1740.3784971974296</v>
      </c>
      <c r="AM32" s="31">
        <f>INDEX('Plan Figures'!$B$53:$AP$79,MATCH('Headline - MGA and MPM'!AM$4,'Plan Figures'!$B$53:$B$79,0),MATCH('Headline - MGA and MPM'!$B55,'Plan Figures'!$B$1:$AP$1,0))</f>
        <v>1515.053836492194</v>
      </c>
      <c r="AN32" s="212">
        <f>INDEX('Plan Figures'!$B$53:$AP$79,MATCH('Headline - MGA and MPM'!AN$4,'Plan Figures'!$B$53:$B$79,0),MATCH('Headline - MGA and MPM'!$B55,'Plan Figures'!$B$1:$AP$1,0))</f>
        <v>1376.6957992311532</v>
      </c>
      <c r="AO32" s="239">
        <f t="shared" si="19"/>
        <v>1176.8747776653972</v>
      </c>
      <c r="AP32" s="31">
        <f t="shared" ref="AP32:AP36" si="20">AVERAGE(R32:AC32)</f>
        <v>1176.8747776653972</v>
      </c>
      <c r="AQ32" s="240">
        <f>SUMIFS(AC32:AN32,AC$4:AN$4,"&lt;"&amp;'Title Sheet'!$C$13)</f>
        <v>16509.580793717236</v>
      </c>
    </row>
    <row r="33" spans="4:44" ht="15.75" hidden="1" x14ac:dyDescent="0.25">
      <c r="D33" s="213" t="s">
        <v>0</v>
      </c>
      <c r="E33" s="214" t="str">
        <f t="shared" ref="E33:AN33" si="21">IFERROR(IF(E31=0,"-",(E31/E32)-1),"-")</f>
        <v>-</v>
      </c>
      <c r="F33" s="214" t="str">
        <f t="shared" si="21"/>
        <v>-</v>
      </c>
      <c r="G33" s="214" t="str">
        <f t="shared" si="21"/>
        <v>-</v>
      </c>
      <c r="H33" s="214" t="str">
        <f t="shared" si="21"/>
        <v>-</v>
      </c>
      <c r="I33" s="214" t="str">
        <f t="shared" si="21"/>
        <v>-</v>
      </c>
      <c r="J33" s="214" t="str">
        <f t="shared" si="21"/>
        <v>-</v>
      </c>
      <c r="K33" s="214" t="str">
        <f t="shared" si="21"/>
        <v>-</v>
      </c>
      <c r="L33" s="214" t="str">
        <f t="shared" si="21"/>
        <v>-</v>
      </c>
      <c r="M33" s="214" t="str">
        <f t="shared" si="21"/>
        <v>-</v>
      </c>
      <c r="N33" s="214" t="str">
        <f t="shared" si="21"/>
        <v>-</v>
      </c>
      <c r="O33" s="214" t="str">
        <f t="shared" si="21"/>
        <v>-</v>
      </c>
      <c r="P33" s="294" t="str">
        <f t="shared" si="21"/>
        <v>-</v>
      </c>
      <c r="Q33" s="214" t="str">
        <f t="shared" si="21"/>
        <v>-</v>
      </c>
      <c r="R33" s="214" t="str">
        <f t="shared" si="21"/>
        <v>-</v>
      </c>
      <c r="S33" s="214" t="str">
        <f t="shared" si="21"/>
        <v>-</v>
      </c>
      <c r="T33" s="214" t="str">
        <f t="shared" si="21"/>
        <v>-</v>
      </c>
      <c r="U33" s="214" t="str">
        <f t="shared" si="21"/>
        <v>-</v>
      </c>
      <c r="V33" s="214" t="str">
        <f t="shared" si="21"/>
        <v>-</v>
      </c>
      <c r="W33" s="214" t="str">
        <f t="shared" si="21"/>
        <v>-</v>
      </c>
      <c r="X33" s="214" t="str">
        <f t="shared" si="21"/>
        <v>-</v>
      </c>
      <c r="Y33" s="214" t="str">
        <f t="shared" si="21"/>
        <v>-</v>
      </c>
      <c r="Z33" s="214" t="str">
        <f t="shared" si="21"/>
        <v>-</v>
      </c>
      <c r="AA33" s="214">
        <f t="shared" si="21"/>
        <v>0.67322991442624902</v>
      </c>
      <c r="AB33" s="294">
        <f t="shared" si="21"/>
        <v>0.71364165050662032</v>
      </c>
      <c r="AC33" s="214">
        <f t="shared" si="21"/>
        <v>0.74986128008500685</v>
      </c>
      <c r="AD33" s="214">
        <f t="shared" si="21"/>
        <v>1.9978821928257586</v>
      </c>
      <c r="AE33" s="214">
        <f t="shared" si="21"/>
        <v>3.6922457439933609</v>
      </c>
      <c r="AF33" s="214">
        <f t="shared" si="21"/>
        <v>3.8045856420977282</v>
      </c>
      <c r="AG33" s="214">
        <f t="shared" si="21"/>
        <v>3.6785674963437875</v>
      </c>
      <c r="AH33" s="214">
        <f t="shared" si="21"/>
        <v>2.8859146146327683</v>
      </c>
      <c r="AI33" s="214">
        <f t="shared" si="21"/>
        <v>2.4995737120027655</v>
      </c>
      <c r="AJ33" s="214">
        <f t="shared" si="21"/>
        <v>2.1084805179792929</v>
      </c>
      <c r="AK33" s="214">
        <f t="shared" si="21"/>
        <v>1.1486556233177385</v>
      </c>
      <c r="AL33" s="214">
        <f t="shared" si="21"/>
        <v>1.0679409713436185</v>
      </c>
      <c r="AM33" s="214">
        <f t="shared" si="21"/>
        <v>1.6837330146722804</v>
      </c>
      <c r="AN33" s="215">
        <f t="shared" si="21"/>
        <v>1.9607121647907504</v>
      </c>
      <c r="AO33" s="241">
        <f t="shared" si="19"/>
        <v>0.71224428167262543</v>
      </c>
      <c r="AP33" s="242">
        <f t="shared" si="20"/>
        <v>0.71224428167262543</v>
      </c>
      <c r="AQ33" s="243">
        <f t="shared" ref="AQ33" si="22">IFERROR(IF(AQ31=0,"-",(AQ31/AQ32)-1),"-")</f>
        <v>2.2023223763573352</v>
      </c>
    </row>
    <row r="34" spans="4:44" ht="15.75" x14ac:dyDescent="0.25">
      <c r="D34" s="208" t="s">
        <v>5</v>
      </c>
      <c r="E34" s="209">
        <f>E57+E80</f>
        <v>58371.849999780003</v>
      </c>
      <c r="F34" s="209">
        <f t="shared" ref="F34:AN34" si="23">F57+F80</f>
        <v>171748.68464277202</v>
      </c>
      <c r="G34" s="209">
        <f t="shared" si="23"/>
        <v>485554.05499974405</v>
      </c>
      <c r="H34" s="209">
        <f t="shared" si="23"/>
        <v>526961.40607152728</v>
      </c>
      <c r="I34" s="209">
        <f t="shared" si="23"/>
        <v>649048.05964259</v>
      </c>
      <c r="J34" s="209">
        <f t="shared" si="23"/>
        <v>908658.18178592972</v>
      </c>
      <c r="K34" s="209">
        <f t="shared" si="23"/>
        <v>1646957.3417856009</v>
      </c>
      <c r="L34" s="209">
        <f t="shared" si="23"/>
        <v>1411390.461072569</v>
      </c>
      <c r="M34" s="209">
        <f t="shared" si="23"/>
        <v>1954946.96464226</v>
      </c>
      <c r="N34" s="209">
        <f t="shared" si="23"/>
        <v>2382948.6885717609</v>
      </c>
      <c r="O34" s="209">
        <f t="shared" si="23"/>
        <v>2096664.8649996507</v>
      </c>
      <c r="P34" s="238">
        <f t="shared" si="23"/>
        <v>1695905.2978571656</v>
      </c>
      <c r="Q34" s="209">
        <f t="shared" si="23"/>
        <v>1251631.410713979</v>
      </c>
      <c r="R34" s="209">
        <f t="shared" si="23"/>
        <v>1234099.5296420897</v>
      </c>
      <c r="S34" s="209">
        <f t="shared" si="23"/>
        <v>1281072.9224997568</v>
      </c>
      <c r="T34" s="209">
        <f t="shared" si="23"/>
        <v>1005631.3864284693</v>
      </c>
      <c r="U34" s="209">
        <f t="shared" si="23"/>
        <v>1183750.4414288495</v>
      </c>
      <c r="V34" s="209">
        <f t="shared" si="23"/>
        <v>1026995.4625008103</v>
      </c>
      <c r="W34" s="209">
        <f t="shared" si="23"/>
        <v>1079247.5071442397</v>
      </c>
      <c r="X34" s="209">
        <f t="shared" si="23"/>
        <v>1285177.8196425999</v>
      </c>
      <c r="Y34" s="209">
        <f t="shared" si="23"/>
        <v>1213786.6928566091</v>
      </c>
      <c r="Z34" s="209">
        <f t="shared" si="23"/>
        <v>1466026.2349993496</v>
      </c>
      <c r="AA34" s="209">
        <f t="shared" si="23"/>
        <v>2004835.294285018</v>
      </c>
      <c r="AB34" s="238">
        <f t="shared" si="23"/>
        <v>1781237.5742841216</v>
      </c>
      <c r="AC34" s="209">
        <f t="shared" si="23"/>
        <v>2440645.3285708595</v>
      </c>
      <c r="AD34" s="209">
        <f t="shared" si="23"/>
        <v>4787809.1285713613</v>
      </c>
      <c r="AE34" s="209">
        <f t="shared" si="23"/>
        <v>7564646.4317875393</v>
      </c>
      <c r="AF34" s="209">
        <f t="shared" si="23"/>
        <v>6890279.8942885501</v>
      </c>
      <c r="AG34" s="209">
        <f t="shared" si="23"/>
        <v>6401289.433570358</v>
      </c>
      <c r="AH34" s="209">
        <f t="shared" si="23"/>
        <v>5351590.4328564126</v>
      </c>
      <c r="AI34" s="209">
        <f t="shared" si="23"/>
        <v>4586543.4385737991</v>
      </c>
      <c r="AJ34" s="209">
        <f t="shared" si="23"/>
        <v>4066060.6371442708</v>
      </c>
      <c r="AK34" s="209">
        <f t="shared" si="23"/>
        <v>3856743.7407145808</v>
      </c>
      <c r="AL34" s="209">
        <f t="shared" si="23"/>
        <v>3837884.1317853793</v>
      </c>
      <c r="AM34" s="209">
        <f t="shared" si="23"/>
        <v>4462352.5378567688</v>
      </c>
      <c r="AN34" s="210">
        <f t="shared" si="23"/>
        <v>4505953.8671429632</v>
      </c>
      <c r="AO34" s="237">
        <f t="shared" si="19"/>
        <v>1923186.1080348371</v>
      </c>
      <c r="AP34" s="209">
        <f t="shared" si="20"/>
        <v>1416875.5161902308</v>
      </c>
      <c r="AQ34" s="238">
        <f>SUMIFS(AC34:AN34,AC$4:AN$4,"&lt;"&amp;'Title Sheet'!$C$13)</f>
        <v>58751799.002862841</v>
      </c>
    </row>
    <row r="35" spans="4:44" ht="15.75" x14ac:dyDescent="0.25">
      <c r="D35" s="211" t="s">
        <v>6</v>
      </c>
      <c r="E35" s="31" t="str">
        <f>IFERROR(E58+E81,"-")</f>
        <v>-</v>
      </c>
      <c r="F35" s="31" t="str">
        <f t="shared" ref="F35:AN35" si="24">IFERROR(F58+F81,"-")</f>
        <v>-</v>
      </c>
      <c r="G35" s="31" t="str">
        <f t="shared" si="24"/>
        <v>-</v>
      </c>
      <c r="H35" s="31" t="str">
        <f t="shared" si="24"/>
        <v>-</v>
      </c>
      <c r="I35" s="31" t="str">
        <f t="shared" si="24"/>
        <v>-</v>
      </c>
      <c r="J35" s="31" t="str">
        <f t="shared" si="24"/>
        <v>-</v>
      </c>
      <c r="K35" s="31" t="str">
        <f t="shared" si="24"/>
        <v>-</v>
      </c>
      <c r="L35" s="31" t="str">
        <f t="shared" si="24"/>
        <v>-</v>
      </c>
      <c r="M35" s="31" t="str">
        <f t="shared" si="24"/>
        <v>-</v>
      </c>
      <c r="N35" s="31" t="str">
        <f t="shared" si="24"/>
        <v>-</v>
      </c>
      <c r="O35" s="31" t="str">
        <f t="shared" si="24"/>
        <v>-</v>
      </c>
      <c r="P35" s="240" t="str">
        <f t="shared" si="24"/>
        <v>-</v>
      </c>
      <c r="Q35" s="31" t="str">
        <f t="shared" si="24"/>
        <v>-</v>
      </c>
      <c r="R35" s="31" t="str">
        <f t="shared" si="24"/>
        <v>-</v>
      </c>
      <c r="S35" s="31" t="str">
        <f t="shared" si="24"/>
        <v>-</v>
      </c>
      <c r="T35" s="31" t="str">
        <f t="shared" si="24"/>
        <v>-</v>
      </c>
      <c r="U35" s="31" t="str">
        <f t="shared" si="24"/>
        <v>-</v>
      </c>
      <c r="V35" s="31" t="str">
        <f t="shared" si="24"/>
        <v>-</v>
      </c>
      <c r="W35" s="31" t="str">
        <f t="shared" si="24"/>
        <v>-</v>
      </c>
      <c r="X35" s="31" t="str">
        <f t="shared" si="24"/>
        <v>-</v>
      </c>
      <c r="Y35" s="31" t="str">
        <f t="shared" si="24"/>
        <v>-</v>
      </c>
      <c r="Z35" s="31" t="str">
        <f t="shared" si="24"/>
        <v>-</v>
      </c>
      <c r="AA35" s="31">
        <f t="shared" si="24"/>
        <v>1319275.9606993492</v>
      </c>
      <c r="AB35" s="240">
        <f t="shared" si="24"/>
        <v>1240503.5958342575</v>
      </c>
      <c r="AC35" s="31">
        <f t="shared" si="24"/>
        <v>1356607.1235178201</v>
      </c>
      <c r="AD35" s="31">
        <f t="shared" si="24"/>
        <v>3965261.4789138865</v>
      </c>
      <c r="AE35" s="31">
        <f t="shared" si="24"/>
        <v>6436685.8970246492</v>
      </c>
      <c r="AF35" s="31">
        <f t="shared" si="24"/>
        <v>6648153.0149620771</v>
      </c>
      <c r="AG35" s="31">
        <f t="shared" si="24"/>
        <v>6729202.9775032355</v>
      </c>
      <c r="AH35" s="31">
        <f t="shared" si="24"/>
        <v>6855950.1774229826</v>
      </c>
      <c r="AI35" s="31">
        <f t="shared" si="24"/>
        <v>4592730.2203269666</v>
      </c>
      <c r="AJ35" s="31">
        <f t="shared" si="24"/>
        <v>4534684.263722715</v>
      </c>
      <c r="AK35" s="31">
        <f t="shared" si="24"/>
        <v>6212386.6543353209</v>
      </c>
      <c r="AL35" s="31">
        <f t="shared" si="24"/>
        <v>6765082.2561243922</v>
      </c>
      <c r="AM35" s="31">
        <f t="shared" si="24"/>
        <v>5813942.7746251374</v>
      </c>
      <c r="AN35" s="212">
        <f t="shared" si="24"/>
        <v>5279872.9807677912</v>
      </c>
      <c r="AO35" s="239">
        <f t="shared" si="19"/>
        <v>1305462.226683809</v>
      </c>
      <c r="AP35" s="31">
        <f t="shared" si="20"/>
        <v>1305462.226683809</v>
      </c>
      <c r="AQ35" s="240">
        <f>SUMIFS(AC35:AN35,AC$4:AN$4,"&lt;"&amp;'Title Sheet'!$C$13)</f>
        <v>65190559.819246978</v>
      </c>
    </row>
    <row r="36" spans="4:44" ht="15.75" x14ac:dyDescent="0.25">
      <c r="D36" s="213" t="s">
        <v>0</v>
      </c>
      <c r="E36" s="214" t="str">
        <f t="shared" ref="E36:AN36" si="25">IFERROR(IF(E34=0,"-",(E34/E35)-1),"-")</f>
        <v>-</v>
      </c>
      <c r="F36" s="214" t="str">
        <f t="shared" si="25"/>
        <v>-</v>
      </c>
      <c r="G36" s="214" t="str">
        <f t="shared" si="25"/>
        <v>-</v>
      </c>
      <c r="H36" s="214" t="str">
        <f t="shared" si="25"/>
        <v>-</v>
      </c>
      <c r="I36" s="214" t="str">
        <f t="shared" si="25"/>
        <v>-</v>
      </c>
      <c r="J36" s="214" t="str">
        <f t="shared" si="25"/>
        <v>-</v>
      </c>
      <c r="K36" s="214" t="str">
        <f t="shared" si="25"/>
        <v>-</v>
      </c>
      <c r="L36" s="214" t="str">
        <f t="shared" si="25"/>
        <v>-</v>
      </c>
      <c r="M36" s="214" t="str">
        <f t="shared" si="25"/>
        <v>-</v>
      </c>
      <c r="N36" s="214" t="str">
        <f t="shared" si="25"/>
        <v>-</v>
      </c>
      <c r="O36" s="214" t="str">
        <f t="shared" si="25"/>
        <v>-</v>
      </c>
      <c r="P36" s="294" t="str">
        <f t="shared" si="25"/>
        <v>-</v>
      </c>
      <c r="Q36" s="214" t="str">
        <f t="shared" si="25"/>
        <v>-</v>
      </c>
      <c r="R36" s="214" t="str">
        <f t="shared" si="25"/>
        <v>-</v>
      </c>
      <c r="S36" s="214" t="str">
        <f t="shared" si="25"/>
        <v>-</v>
      </c>
      <c r="T36" s="214" t="str">
        <f t="shared" si="25"/>
        <v>-</v>
      </c>
      <c r="U36" s="214" t="str">
        <f t="shared" si="25"/>
        <v>-</v>
      </c>
      <c r="V36" s="214" t="str">
        <f t="shared" si="25"/>
        <v>-</v>
      </c>
      <c r="W36" s="214" t="str">
        <f t="shared" si="25"/>
        <v>-</v>
      </c>
      <c r="X36" s="214" t="str">
        <f t="shared" si="25"/>
        <v>-</v>
      </c>
      <c r="Y36" s="214" t="str">
        <f t="shared" si="25"/>
        <v>-</v>
      </c>
      <c r="Z36" s="214" t="str">
        <f t="shared" si="25"/>
        <v>-</v>
      </c>
      <c r="AA36" s="214">
        <f t="shared" si="25"/>
        <v>0.5196481661215544</v>
      </c>
      <c r="AB36" s="294">
        <f t="shared" si="25"/>
        <v>0.4358987593955439</v>
      </c>
      <c r="AC36" s="214">
        <f t="shared" si="25"/>
        <v>0.79908043106984294</v>
      </c>
      <c r="AD36" s="214">
        <f t="shared" si="25"/>
        <v>0.20743843855734245</v>
      </c>
      <c r="AE36" s="214">
        <f t="shared" si="25"/>
        <v>0.17523933166977868</v>
      </c>
      <c r="AF36" s="214">
        <f t="shared" si="25"/>
        <v>3.6420172457154898E-2</v>
      </c>
      <c r="AG36" s="214">
        <f t="shared" si="25"/>
        <v>-4.8729923146789145E-2</v>
      </c>
      <c r="AH36" s="214">
        <f t="shared" si="25"/>
        <v>-0.21942396103176309</v>
      </c>
      <c r="AI36" s="214">
        <f t="shared" si="25"/>
        <v>-1.3470814649172436E-3</v>
      </c>
      <c r="AJ36" s="214">
        <f t="shared" si="25"/>
        <v>-0.10334206293642401</v>
      </c>
      <c r="AK36" s="214">
        <f t="shared" si="25"/>
        <v>-0.37918485192431672</v>
      </c>
      <c r="AL36" s="214">
        <f t="shared" si="25"/>
        <v>-0.43269217040029873</v>
      </c>
      <c r="AM36" s="214">
        <f t="shared" si="25"/>
        <v>-0.23247394911889452</v>
      </c>
      <c r="AN36" s="215">
        <f t="shared" si="25"/>
        <v>-0.14657911590749784</v>
      </c>
      <c r="AO36" s="241">
        <f t="shared" si="19"/>
        <v>0.58487578552898045</v>
      </c>
      <c r="AP36" s="242">
        <f t="shared" si="20"/>
        <v>0.58487578552898045</v>
      </c>
      <c r="AQ36" s="243">
        <f t="shared" ref="AQ36" si="26">IFERROR(IF(AQ34=0,"-",(AQ34/AQ35)-1),"-")</f>
        <v>-9.8768300720791569E-2</v>
      </c>
    </row>
    <row r="37" spans="4:44" ht="15.75" x14ac:dyDescent="0.25">
      <c r="D37" s="208" t="s">
        <v>12</v>
      </c>
      <c r="E37" s="209">
        <f t="shared" ref="E37:AP38" si="27">IFERROR(E34/E31,0)</f>
        <v>1326.6329545404546</v>
      </c>
      <c r="F37" s="209">
        <f t="shared" si="27"/>
        <v>817.85087925129528</v>
      </c>
      <c r="G37" s="209">
        <f t="shared" si="27"/>
        <v>572.58732900913219</v>
      </c>
      <c r="H37" s="209">
        <f t="shared" si="27"/>
        <v>764.82061839118614</v>
      </c>
      <c r="I37" s="209">
        <f t="shared" si="27"/>
        <v>877.09197248998646</v>
      </c>
      <c r="J37" s="209">
        <f t="shared" si="27"/>
        <v>735.75561278212933</v>
      </c>
      <c r="K37" s="209">
        <f t="shared" si="27"/>
        <v>662.49289693708806</v>
      </c>
      <c r="L37" s="209">
        <f t="shared" si="27"/>
        <v>655.85058600026446</v>
      </c>
      <c r="M37" s="209">
        <f t="shared" si="27"/>
        <v>635.13546609560103</v>
      </c>
      <c r="N37" s="209">
        <f t="shared" si="27"/>
        <v>574.34289914961698</v>
      </c>
      <c r="O37" s="209">
        <f t="shared" si="27"/>
        <v>560.60557887691198</v>
      </c>
      <c r="P37" s="238">
        <f t="shared" si="27"/>
        <v>603.31031585100163</v>
      </c>
      <c r="Q37" s="209">
        <f t="shared" si="27"/>
        <v>555.78659445558571</v>
      </c>
      <c r="R37" s="209">
        <f t="shared" si="27"/>
        <v>508.27822472903199</v>
      </c>
      <c r="S37" s="209">
        <f t="shared" si="27"/>
        <v>431.77381951457932</v>
      </c>
      <c r="T37" s="209">
        <f t="shared" si="27"/>
        <v>470.3607981424085</v>
      </c>
      <c r="U37" s="209">
        <f t="shared" si="27"/>
        <v>645.44735083361479</v>
      </c>
      <c r="V37" s="209">
        <f t="shared" si="27"/>
        <v>798.59678266003914</v>
      </c>
      <c r="W37" s="209">
        <f t="shared" si="27"/>
        <v>1347.3751649740821</v>
      </c>
      <c r="X37" s="209">
        <f t="shared" si="27"/>
        <v>1258.7441916186092</v>
      </c>
      <c r="Y37" s="209">
        <f t="shared" si="27"/>
        <v>1263.0454660318512</v>
      </c>
      <c r="Z37" s="209">
        <f t="shared" si="27"/>
        <v>1204.6230361539438</v>
      </c>
      <c r="AA37" s="209">
        <f t="shared" si="27"/>
        <v>1009.9925915793541</v>
      </c>
      <c r="AB37" s="238">
        <f t="shared" si="27"/>
        <v>985.74298521534126</v>
      </c>
      <c r="AC37" s="209">
        <f t="shared" si="27"/>
        <v>1081.3670042405226</v>
      </c>
      <c r="AD37" s="209">
        <f t="shared" si="27"/>
        <v>1240.6864805834055</v>
      </c>
      <c r="AE37" s="209">
        <f t="shared" si="27"/>
        <v>1254.9181207344955</v>
      </c>
      <c r="AF37" s="209">
        <f t="shared" si="27"/>
        <v>1118.5519308909984</v>
      </c>
      <c r="AG37" s="209">
        <f t="shared" si="27"/>
        <v>1069.1981682930279</v>
      </c>
      <c r="AH37" s="209">
        <f t="shared" si="27"/>
        <v>1051.8062957658044</v>
      </c>
      <c r="AI37" s="209">
        <f t="shared" si="27"/>
        <v>1057.050804004102</v>
      </c>
      <c r="AJ37" s="209">
        <f t="shared" si="27"/>
        <v>1074.2564431028457</v>
      </c>
      <c r="AK37" s="209">
        <f t="shared" si="27"/>
        <v>1063.9293077833327</v>
      </c>
      <c r="AL37" s="209">
        <f t="shared" si="27"/>
        <v>1066.3751408128312</v>
      </c>
      <c r="AM37" s="209">
        <f t="shared" si="27"/>
        <v>1097.4797190990578</v>
      </c>
      <c r="AN37" s="210">
        <f t="shared" si="27"/>
        <v>1105.4842657367426</v>
      </c>
      <c r="AO37" s="237">
        <f t="shared" si="27"/>
        <v>1058.7316862289222</v>
      </c>
      <c r="AP37" s="209">
        <f t="shared" si="27"/>
        <v>821.29775839449178</v>
      </c>
      <c r="AQ37" s="238">
        <f>SUMIFS(AC37:AN37,AC$4:AN$4,"&lt;"&amp;'Title Sheet'!$C$13)</f>
        <v>13281.103681047167</v>
      </c>
    </row>
    <row r="38" spans="4:44" ht="15.75" hidden="1" x14ac:dyDescent="0.25">
      <c r="D38" s="211" t="s">
        <v>13</v>
      </c>
      <c r="E38" s="31">
        <f t="shared" si="27"/>
        <v>0</v>
      </c>
      <c r="F38" s="31">
        <f t="shared" si="27"/>
        <v>0</v>
      </c>
      <c r="G38" s="31">
        <f t="shared" si="27"/>
        <v>0</v>
      </c>
      <c r="H38" s="31">
        <f t="shared" si="27"/>
        <v>0</v>
      </c>
      <c r="I38" s="31">
        <f t="shared" si="27"/>
        <v>0</v>
      </c>
      <c r="J38" s="31">
        <f t="shared" si="27"/>
        <v>0</v>
      </c>
      <c r="K38" s="31">
        <f t="shared" si="27"/>
        <v>0</v>
      </c>
      <c r="L38" s="31">
        <f t="shared" si="27"/>
        <v>0</v>
      </c>
      <c r="M38" s="31">
        <f t="shared" si="27"/>
        <v>0</v>
      </c>
      <c r="N38" s="31">
        <f t="shared" si="27"/>
        <v>0</v>
      </c>
      <c r="O38" s="31">
        <f t="shared" si="27"/>
        <v>0</v>
      </c>
      <c r="P38" s="240">
        <f t="shared" si="27"/>
        <v>0</v>
      </c>
      <c r="Q38" s="31">
        <f t="shared" si="27"/>
        <v>0</v>
      </c>
      <c r="R38" s="31">
        <f t="shared" si="27"/>
        <v>0</v>
      </c>
      <c r="S38" s="31">
        <f t="shared" si="27"/>
        <v>0</v>
      </c>
      <c r="T38" s="31">
        <f t="shared" si="27"/>
        <v>0</v>
      </c>
      <c r="U38" s="31">
        <f t="shared" si="27"/>
        <v>0</v>
      </c>
      <c r="V38" s="31">
        <f t="shared" si="27"/>
        <v>0</v>
      </c>
      <c r="W38" s="31">
        <f t="shared" si="27"/>
        <v>0</v>
      </c>
      <c r="X38" s="31">
        <f t="shared" si="27"/>
        <v>0</v>
      </c>
      <c r="Y38" s="31">
        <f t="shared" si="27"/>
        <v>0</v>
      </c>
      <c r="Z38" s="31">
        <f t="shared" si="27"/>
        <v>0</v>
      </c>
      <c r="AA38" s="31">
        <f t="shared" si="27"/>
        <v>1112.06650016402</v>
      </c>
      <c r="AB38" s="240">
        <f t="shared" si="27"/>
        <v>1176.4131872854534</v>
      </c>
      <c r="AC38" s="31">
        <f t="shared" si="27"/>
        <v>1051.7830207050652</v>
      </c>
      <c r="AD38" s="31">
        <f t="shared" si="27"/>
        <v>3080.4319195475182</v>
      </c>
      <c r="AE38" s="31">
        <f t="shared" si="27"/>
        <v>5010.3702730152618</v>
      </c>
      <c r="AF38" s="31">
        <f t="shared" si="27"/>
        <v>5185.3280068434278</v>
      </c>
      <c r="AG38" s="31">
        <f t="shared" si="27"/>
        <v>5258.5652792461115</v>
      </c>
      <c r="AH38" s="31">
        <f t="shared" si="27"/>
        <v>5236.1707923824861</v>
      </c>
      <c r="AI38" s="31">
        <f t="shared" si="27"/>
        <v>3704.217088125587</v>
      </c>
      <c r="AJ38" s="31">
        <f t="shared" si="27"/>
        <v>3724.1684779311317</v>
      </c>
      <c r="AK38" s="31">
        <f t="shared" si="27"/>
        <v>3682.2840052583888</v>
      </c>
      <c r="AL38" s="31">
        <f t="shared" si="27"/>
        <v>3887.132751305739</v>
      </c>
      <c r="AM38" s="31">
        <f t="shared" si="27"/>
        <v>3837.4496236293267</v>
      </c>
      <c r="AN38" s="212">
        <f t="shared" si="27"/>
        <v>3835.1776650415113</v>
      </c>
      <c r="AO38" s="239">
        <f t="shared" si="27"/>
        <v>1109.2617935728852</v>
      </c>
      <c r="AP38" s="31">
        <f t="shared" si="27"/>
        <v>1109.2617935728852</v>
      </c>
      <c r="AQ38" s="240">
        <f>SUMIFS(AC38:AN38,AC$4:AN$4,"&lt;"&amp;'Title Sheet'!$C$13)</f>
        <v>47493.078903031565</v>
      </c>
      <c r="AR38" s="3"/>
    </row>
    <row r="39" spans="4:44" ht="15.75" hidden="1" x14ac:dyDescent="0.25">
      <c r="D39" s="213" t="s">
        <v>0</v>
      </c>
      <c r="E39" s="214" t="str">
        <f t="shared" ref="E39:AN39" si="28">IFERROR(IF(E37=0,"-",(E37/E38)-1),"-")</f>
        <v>-</v>
      </c>
      <c r="F39" s="214" t="str">
        <f t="shared" si="28"/>
        <v>-</v>
      </c>
      <c r="G39" s="214" t="str">
        <f t="shared" si="28"/>
        <v>-</v>
      </c>
      <c r="H39" s="214" t="str">
        <f t="shared" si="28"/>
        <v>-</v>
      </c>
      <c r="I39" s="214" t="str">
        <f t="shared" si="28"/>
        <v>-</v>
      </c>
      <c r="J39" s="214" t="str">
        <f t="shared" si="28"/>
        <v>-</v>
      </c>
      <c r="K39" s="214" t="str">
        <f t="shared" si="28"/>
        <v>-</v>
      </c>
      <c r="L39" s="214" t="str">
        <f t="shared" si="28"/>
        <v>-</v>
      </c>
      <c r="M39" s="214" t="str">
        <f t="shared" si="28"/>
        <v>-</v>
      </c>
      <c r="N39" s="214" t="str">
        <f t="shared" si="28"/>
        <v>-</v>
      </c>
      <c r="O39" s="214" t="str">
        <f t="shared" si="28"/>
        <v>-</v>
      </c>
      <c r="P39" s="294" t="str">
        <f t="shared" si="28"/>
        <v>-</v>
      </c>
      <c r="Q39" s="214" t="str">
        <f t="shared" si="28"/>
        <v>-</v>
      </c>
      <c r="R39" s="214" t="str">
        <f t="shared" si="28"/>
        <v>-</v>
      </c>
      <c r="S39" s="214" t="str">
        <f t="shared" si="28"/>
        <v>-</v>
      </c>
      <c r="T39" s="214" t="str">
        <f t="shared" si="28"/>
        <v>-</v>
      </c>
      <c r="U39" s="214" t="str">
        <f t="shared" si="28"/>
        <v>-</v>
      </c>
      <c r="V39" s="214" t="str">
        <f t="shared" si="28"/>
        <v>-</v>
      </c>
      <c r="W39" s="214" t="str">
        <f t="shared" si="28"/>
        <v>-</v>
      </c>
      <c r="X39" s="214" t="str">
        <f t="shared" si="28"/>
        <v>-</v>
      </c>
      <c r="Y39" s="214" t="str">
        <f t="shared" si="28"/>
        <v>-</v>
      </c>
      <c r="Z39" s="214" t="str">
        <f t="shared" si="28"/>
        <v>-</v>
      </c>
      <c r="AA39" s="214">
        <f t="shared" si="28"/>
        <v>-9.1787594149820073E-2</v>
      </c>
      <c r="AB39" s="294">
        <f t="shared" si="28"/>
        <v>-0.16207757965556246</v>
      </c>
      <c r="AC39" s="214">
        <f t="shared" si="28"/>
        <v>2.8127458756299184E-2</v>
      </c>
      <c r="AD39" s="214">
        <f t="shared" si="28"/>
        <v>-0.59723619512238768</v>
      </c>
      <c r="AE39" s="214">
        <f t="shared" si="28"/>
        <v>-0.74953585217180363</v>
      </c>
      <c r="AF39" s="214">
        <f t="shared" si="28"/>
        <v>-0.78428521215730806</v>
      </c>
      <c r="AG39" s="214">
        <f t="shared" si="28"/>
        <v>-0.79667492718730448</v>
      </c>
      <c r="AH39" s="214">
        <f t="shared" si="28"/>
        <v>-0.79912681662409513</v>
      </c>
      <c r="AI39" s="214">
        <f t="shared" si="28"/>
        <v>-0.71463583832798738</v>
      </c>
      <c r="AJ39" s="214">
        <f t="shared" si="28"/>
        <v>-0.71154461741762498</v>
      </c>
      <c r="AK39" s="214">
        <f t="shared" si="28"/>
        <v>-0.7110681016825382</v>
      </c>
      <c r="AL39" s="214">
        <f t="shared" si="28"/>
        <v>-0.72566536595524767</v>
      </c>
      <c r="AM39" s="214">
        <f t="shared" si="28"/>
        <v>-0.71400804525451989</v>
      </c>
      <c r="AN39" s="215">
        <f t="shared" si="28"/>
        <v>-0.71175148525361021</v>
      </c>
      <c r="AO39" s="241">
        <f t="shared" ref="AO39:AP39" si="29">AO37-AO38</f>
        <v>-50.530107343962982</v>
      </c>
      <c r="AP39" s="242">
        <f t="shared" si="29"/>
        <v>-287.96403517839337</v>
      </c>
      <c r="AQ39" s="243">
        <f t="shared" ref="AQ39" si="30">IFERROR(IF(AQ37=0,"-",(AQ37/AQ38)-1),"-")</f>
        <v>-0.72035707122371018</v>
      </c>
    </row>
    <row r="40" spans="4:44" ht="15.75" thickBot="1" x14ac:dyDescent="0.3">
      <c r="D40" s="254" t="s">
        <v>17</v>
      </c>
      <c r="E40" s="217"/>
      <c r="F40" s="217"/>
      <c r="G40" s="217"/>
      <c r="H40" s="217"/>
      <c r="I40" s="217"/>
      <c r="J40" s="217"/>
      <c r="K40" s="217"/>
      <c r="L40" s="217"/>
      <c r="M40" s="217"/>
      <c r="N40" s="217"/>
      <c r="O40" s="217"/>
      <c r="P40" s="295"/>
      <c r="Q40" s="217"/>
      <c r="R40" s="217"/>
      <c r="S40" s="217"/>
      <c r="T40" s="217"/>
      <c r="U40" s="217"/>
      <c r="V40" s="217"/>
      <c r="W40" s="217"/>
      <c r="X40" s="217"/>
      <c r="Y40" s="217"/>
      <c r="Z40" s="217"/>
      <c r="AA40" s="217"/>
      <c r="AB40" s="295"/>
      <c r="AC40" s="217"/>
      <c r="AD40" s="217"/>
      <c r="AE40" s="217"/>
      <c r="AF40" s="217"/>
      <c r="AG40" s="217"/>
      <c r="AH40" s="217"/>
      <c r="AI40" s="217"/>
      <c r="AJ40" s="217"/>
      <c r="AK40" s="217"/>
      <c r="AL40" s="217"/>
      <c r="AM40" s="217"/>
      <c r="AN40" s="218"/>
      <c r="AO40" s="244"/>
      <c r="AP40" s="245"/>
      <c r="AQ40" s="246"/>
    </row>
    <row r="41" spans="4:44" ht="15.75" x14ac:dyDescent="0.25">
      <c r="D41" s="208" t="s">
        <v>7</v>
      </c>
      <c r="E41" s="251">
        <f>E64+E87</f>
        <v>82173.499999699998</v>
      </c>
      <c r="F41" s="251">
        <f t="shared" ref="F41:AN41" si="31">F64+F87</f>
        <v>229673.29464273006</v>
      </c>
      <c r="G41" s="251">
        <f t="shared" si="31"/>
        <v>647926.37499987008</v>
      </c>
      <c r="H41" s="251">
        <f t="shared" si="31"/>
        <v>703076.11607148987</v>
      </c>
      <c r="I41" s="251">
        <f t="shared" si="31"/>
        <v>865968.16964256007</v>
      </c>
      <c r="J41" s="251">
        <f t="shared" si="31"/>
        <v>1212332.40178581</v>
      </c>
      <c r="K41" s="251">
        <f t="shared" si="31"/>
        <v>2197537.6517854906</v>
      </c>
      <c r="L41" s="251">
        <f t="shared" si="31"/>
        <v>1883015.4910720603</v>
      </c>
      <c r="M41" s="251">
        <f t="shared" si="31"/>
        <v>2608458.7946426994</v>
      </c>
      <c r="N41" s="251">
        <f t="shared" si="31"/>
        <v>3179242.9285721909</v>
      </c>
      <c r="O41" s="251">
        <f t="shared" si="31"/>
        <v>2662478.3749998286</v>
      </c>
      <c r="P41" s="296">
        <f t="shared" si="31"/>
        <v>2065218.7678569802</v>
      </c>
      <c r="Q41" s="251">
        <f t="shared" si="31"/>
        <v>1513695.9107143201</v>
      </c>
      <c r="R41" s="251">
        <f t="shared" si="31"/>
        <v>1492680.16964199</v>
      </c>
      <c r="S41" s="251">
        <f t="shared" si="31"/>
        <v>1549691.8125002205</v>
      </c>
      <c r="T41" s="251">
        <f t="shared" si="31"/>
        <v>1216045.1964284205</v>
      </c>
      <c r="U41" s="251">
        <f t="shared" si="31"/>
        <v>1403824.3214288896</v>
      </c>
      <c r="V41" s="251">
        <f t="shared" si="31"/>
        <v>1206893.5625010105</v>
      </c>
      <c r="W41" s="251">
        <f t="shared" si="31"/>
        <v>1259112.6071441497</v>
      </c>
      <c r="X41" s="251">
        <f t="shared" si="31"/>
        <v>1499623.6696426403</v>
      </c>
      <c r="Y41" s="251">
        <f t="shared" si="31"/>
        <v>1419445.6428570296</v>
      </c>
      <c r="Z41" s="251">
        <f t="shared" si="31"/>
        <v>1718625.874999661</v>
      </c>
      <c r="AA41" s="251">
        <f t="shared" si="31"/>
        <v>2348721.2142845793</v>
      </c>
      <c r="AB41" s="296">
        <f t="shared" si="31"/>
        <v>2081476.4642837904</v>
      </c>
      <c r="AC41" s="251">
        <f t="shared" si="31"/>
        <v>2861238.9285705523</v>
      </c>
      <c r="AD41" s="251">
        <f t="shared" si="31"/>
        <v>5482953.6785717485</v>
      </c>
      <c r="AE41" s="251">
        <f t="shared" si="31"/>
        <v>8262276.4017873313</v>
      </c>
      <c r="AF41" s="251">
        <f t="shared" si="31"/>
        <v>7487349.2142878473</v>
      </c>
      <c r="AG41" s="251">
        <f t="shared" si="31"/>
        <v>6963336.5535705993</v>
      </c>
      <c r="AH41" s="251">
        <f t="shared" si="31"/>
        <v>5816501.142856231</v>
      </c>
      <c r="AI41" s="251">
        <f t="shared" si="31"/>
        <v>4982879.4285741784</v>
      </c>
      <c r="AJ41" s="251">
        <f t="shared" si="31"/>
        <v>4414749.607144272</v>
      </c>
      <c r="AK41" s="251">
        <f t="shared" si="31"/>
        <v>4188453.4107144699</v>
      </c>
      <c r="AL41" s="251">
        <f t="shared" si="31"/>
        <v>4173824.9017858789</v>
      </c>
      <c r="AM41" s="251">
        <f t="shared" si="31"/>
        <v>4855761.5178565774</v>
      </c>
      <c r="AN41" s="252">
        <f t="shared" si="31"/>
        <v>4897815.1071440354</v>
      </c>
      <c r="AO41" s="253">
        <f t="shared" ref="AO41" si="32">AVERAGE(Z41:AC41)</f>
        <v>2252515.6205346459</v>
      </c>
      <c r="AP41" s="251">
        <f>AVERAGE(R41:AC41)</f>
        <v>1671448.2886902448</v>
      </c>
      <c r="AQ41" s="252"/>
    </row>
    <row r="42" spans="4:44" ht="15.75" x14ac:dyDescent="0.25">
      <c r="D42" s="211" t="s">
        <v>14</v>
      </c>
      <c r="E42" s="221">
        <f>IFERROR((E64+E87)/E41,"-")</f>
        <v>1</v>
      </c>
      <c r="F42" s="221">
        <f t="shared" ref="F42:AN42" si="33">IFERROR((F64+F87)/F41,"-")</f>
        <v>1</v>
      </c>
      <c r="G42" s="221">
        <f t="shared" si="33"/>
        <v>1</v>
      </c>
      <c r="H42" s="221">
        <f t="shared" si="33"/>
        <v>1</v>
      </c>
      <c r="I42" s="221">
        <f t="shared" si="33"/>
        <v>1</v>
      </c>
      <c r="J42" s="221">
        <f t="shared" si="33"/>
        <v>1</v>
      </c>
      <c r="K42" s="221">
        <f t="shared" si="33"/>
        <v>1</v>
      </c>
      <c r="L42" s="221">
        <f t="shared" si="33"/>
        <v>1</v>
      </c>
      <c r="M42" s="221">
        <f t="shared" si="33"/>
        <v>1</v>
      </c>
      <c r="N42" s="221">
        <f t="shared" si="33"/>
        <v>1</v>
      </c>
      <c r="O42" s="221">
        <f t="shared" si="33"/>
        <v>1</v>
      </c>
      <c r="P42" s="297">
        <f t="shared" si="33"/>
        <v>1</v>
      </c>
      <c r="Q42" s="221">
        <f t="shared" si="33"/>
        <v>1</v>
      </c>
      <c r="R42" s="221">
        <f t="shared" si="33"/>
        <v>1</v>
      </c>
      <c r="S42" s="221">
        <f t="shared" si="33"/>
        <v>1</v>
      </c>
      <c r="T42" s="221">
        <f t="shared" si="33"/>
        <v>1</v>
      </c>
      <c r="U42" s="221">
        <f t="shared" si="33"/>
        <v>1</v>
      </c>
      <c r="V42" s="221">
        <f t="shared" si="33"/>
        <v>1</v>
      </c>
      <c r="W42" s="221">
        <f t="shared" si="33"/>
        <v>1</v>
      </c>
      <c r="X42" s="221">
        <f t="shared" si="33"/>
        <v>1</v>
      </c>
      <c r="Y42" s="221">
        <f t="shared" si="33"/>
        <v>1</v>
      </c>
      <c r="Z42" s="221">
        <f t="shared" si="33"/>
        <v>1</v>
      </c>
      <c r="AA42" s="221">
        <f t="shared" si="33"/>
        <v>1</v>
      </c>
      <c r="AB42" s="297">
        <f t="shared" si="33"/>
        <v>1</v>
      </c>
      <c r="AC42" s="221">
        <f t="shared" si="33"/>
        <v>1</v>
      </c>
      <c r="AD42" s="221">
        <f t="shared" si="33"/>
        <v>1</v>
      </c>
      <c r="AE42" s="221">
        <f t="shared" si="33"/>
        <v>1</v>
      </c>
      <c r="AF42" s="221">
        <f t="shared" si="33"/>
        <v>1</v>
      </c>
      <c r="AG42" s="221">
        <f t="shared" si="33"/>
        <v>1</v>
      </c>
      <c r="AH42" s="221">
        <f t="shared" si="33"/>
        <v>1</v>
      </c>
      <c r="AI42" s="221">
        <f t="shared" si="33"/>
        <v>1</v>
      </c>
      <c r="AJ42" s="221">
        <f t="shared" si="33"/>
        <v>1</v>
      </c>
      <c r="AK42" s="221">
        <f t="shared" si="33"/>
        <v>1</v>
      </c>
      <c r="AL42" s="221">
        <f t="shared" si="33"/>
        <v>1</v>
      </c>
      <c r="AM42" s="221">
        <f t="shared" si="33"/>
        <v>1</v>
      </c>
      <c r="AN42" s="222">
        <f t="shared" si="33"/>
        <v>1</v>
      </c>
      <c r="AO42" s="17">
        <f>AVERAGE(Z42:AC42)</f>
        <v>1</v>
      </c>
      <c r="AP42" s="221">
        <f>AVERAGE(R42:AC42)</f>
        <v>1</v>
      </c>
      <c r="AQ42" s="222"/>
    </row>
    <row r="43" spans="4:44" ht="15.75" x14ac:dyDescent="0.25">
      <c r="D43" s="223" t="s">
        <v>21</v>
      </c>
      <c r="E43" s="224">
        <f t="shared" ref="E43:AN43" si="34">IFERROR(E34/E$8,"-")</f>
        <v>1</v>
      </c>
      <c r="F43" s="224">
        <f t="shared" si="34"/>
        <v>1</v>
      </c>
      <c r="G43" s="224">
        <f t="shared" si="34"/>
        <v>0.29604355604720267</v>
      </c>
      <c r="H43" s="224">
        <f t="shared" si="34"/>
        <v>0.26400920047199805</v>
      </c>
      <c r="I43" s="224">
        <f t="shared" si="34"/>
        <v>0.24565721982513888</v>
      </c>
      <c r="J43" s="224">
        <f t="shared" si="34"/>
        <v>0.2656332756353969</v>
      </c>
      <c r="K43" s="224">
        <f t="shared" si="34"/>
        <v>0.38934192399976947</v>
      </c>
      <c r="L43" s="224">
        <f t="shared" si="34"/>
        <v>0.4627473969594833</v>
      </c>
      <c r="M43" s="224">
        <f t="shared" si="34"/>
        <v>0.88736150836538852</v>
      </c>
      <c r="N43" s="224">
        <f t="shared" si="34"/>
        <v>0.83492381216540756</v>
      </c>
      <c r="O43" s="224">
        <f t="shared" si="34"/>
        <v>0.7598094529820324</v>
      </c>
      <c r="P43" s="298">
        <f t="shared" si="34"/>
        <v>0.66364440502495214</v>
      </c>
      <c r="Q43" s="224">
        <f t="shared" si="34"/>
        <v>0.56686060151909623</v>
      </c>
      <c r="R43" s="224">
        <f t="shared" si="34"/>
        <v>0.58646327985581326</v>
      </c>
      <c r="S43" s="224">
        <f t="shared" si="34"/>
        <v>0.52150096139843283</v>
      </c>
      <c r="T43" s="224">
        <f t="shared" si="34"/>
        <v>0.47442626957254042</v>
      </c>
      <c r="U43" s="224">
        <f t="shared" si="34"/>
        <v>0.47291684094464054</v>
      </c>
      <c r="V43" s="224">
        <f t="shared" si="34"/>
        <v>0.44145221099928322</v>
      </c>
      <c r="W43" s="224">
        <f t="shared" si="34"/>
        <v>0.41725334213674237</v>
      </c>
      <c r="X43" s="224">
        <f t="shared" si="34"/>
        <v>0.44475935360055352</v>
      </c>
      <c r="Y43" s="224">
        <f t="shared" si="34"/>
        <v>0.43561477961006689</v>
      </c>
      <c r="Z43" s="224">
        <f t="shared" si="34"/>
        <v>0.44748556299006959</v>
      </c>
      <c r="AA43" s="224">
        <f t="shared" si="34"/>
        <v>0.51946198760047346</v>
      </c>
      <c r="AB43" s="298">
        <f t="shared" si="34"/>
        <v>0.45585059177461151</v>
      </c>
      <c r="AC43" s="224">
        <f t="shared" si="34"/>
        <v>0.530159582482435</v>
      </c>
      <c r="AD43" s="224">
        <f t="shared" si="34"/>
        <v>0.72986264583498306</v>
      </c>
      <c r="AE43" s="224">
        <f t="shared" si="34"/>
        <v>0.7970605707095566</v>
      </c>
      <c r="AF43" s="224">
        <f t="shared" si="34"/>
        <v>0.81562204153475959</v>
      </c>
      <c r="AG43" s="224">
        <f t="shared" si="34"/>
        <v>0.80998730357386317</v>
      </c>
      <c r="AH43" s="224">
        <f t="shared" si="34"/>
        <v>0.81175664391757596</v>
      </c>
      <c r="AI43" s="224">
        <f t="shared" si="34"/>
        <v>0.79642724348653426</v>
      </c>
      <c r="AJ43" s="224">
        <f t="shared" si="34"/>
        <v>0.80528201653955411</v>
      </c>
      <c r="AK43" s="224">
        <f t="shared" si="34"/>
        <v>0.83397238806056595</v>
      </c>
      <c r="AL43" s="224">
        <f t="shared" si="34"/>
        <v>0.85851449479977748</v>
      </c>
      <c r="AM43" s="224">
        <f t="shared" si="34"/>
        <v>0.92465803089712328</v>
      </c>
      <c r="AN43" s="225">
        <f t="shared" si="34"/>
        <v>0.95732435420484641</v>
      </c>
      <c r="AO43" s="249">
        <f t="shared" ref="AO43:AP43" si="35">AO34/AO$8</f>
        <v>0.49165297185201801</v>
      </c>
      <c r="AP43" s="224">
        <f t="shared" si="35"/>
        <v>0.48003627469339666</v>
      </c>
      <c r="AQ43" s="225"/>
    </row>
    <row r="44" spans="4:44" ht="15.75" x14ac:dyDescent="0.25">
      <c r="D44" s="211" t="s">
        <v>199</v>
      </c>
      <c r="E44" s="173">
        <f>MAX(E67,E90)</f>
        <v>6012.3282142999997</v>
      </c>
      <c r="F44" s="173">
        <f t="shared" ref="F44:AN44" si="36">MAX(F67,F90)</f>
        <v>4034.2332142999999</v>
      </c>
      <c r="G44" s="173">
        <f t="shared" si="36"/>
        <v>5044.9303571</v>
      </c>
      <c r="H44" s="173">
        <f t="shared" si="36"/>
        <v>5720.2667856999997</v>
      </c>
      <c r="I44" s="173">
        <f t="shared" si="36"/>
        <v>5495.2028571000001</v>
      </c>
      <c r="J44" s="173">
        <f t="shared" si="36"/>
        <v>4794.7578571000004</v>
      </c>
      <c r="K44" s="173">
        <f t="shared" si="36"/>
        <v>5669.1964286000002</v>
      </c>
      <c r="L44" s="173">
        <f t="shared" si="36"/>
        <v>8283.0174999999999</v>
      </c>
      <c r="M44" s="173">
        <f t="shared" si="36"/>
        <v>6897.87</v>
      </c>
      <c r="N44" s="173">
        <f t="shared" si="36"/>
        <v>5988.1310714000001</v>
      </c>
      <c r="O44" s="173">
        <f t="shared" si="36"/>
        <v>12424.148929000001</v>
      </c>
      <c r="P44" s="299">
        <f t="shared" si="36"/>
        <v>6453.2342857000003</v>
      </c>
      <c r="Q44" s="173">
        <f t="shared" si="36"/>
        <v>7797.1314285999997</v>
      </c>
      <c r="R44" s="173">
        <f t="shared" si="36"/>
        <v>7059.6260714</v>
      </c>
      <c r="S44" s="173">
        <f t="shared" si="36"/>
        <v>5358.3832143</v>
      </c>
      <c r="T44" s="173">
        <f t="shared" si="36"/>
        <v>3687.8485713999999</v>
      </c>
      <c r="U44" s="173">
        <f t="shared" si="36"/>
        <v>4438.9724999999999</v>
      </c>
      <c r="V44" s="173">
        <f t="shared" si="36"/>
        <v>6645.7557143000004</v>
      </c>
      <c r="W44" s="173">
        <f t="shared" si="36"/>
        <v>6484.6410714000003</v>
      </c>
      <c r="X44" s="173">
        <f t="shared" si="36"/>
        <v>7953.1503571000003</v>
      </c>
      <c r="Y44" s="173">
        <f t="shared" si="36"/>
        <v>8411.4500000000007</v>
      </c>
      <c r="Z44" s="173">
        <f t="shared" si="36"/>
        <v>7534.0403570999997</v>
      </c>
      <c r="AA44" s="173">
        <f t="shared" si="36"/>
        <v>8186.4639286000001</v>
      </c>
      <c r="AB44" s="299">
        <f t="shared" si="36"/>
        <v>4542.6003571000001</v>
      </c>
      <c r="AC44" s="173">
        <f t="shared" si="36"/>
        <v>5955.3278571000001</v>
      </c>
      <c r="AD44" s="173">
        <f t="shared" si="36"/>
        <v>10774.406786</v>
      </c>
      <c r="AE44" s="173">
        <f t="shared" si="36"/>
        <v>10238.006786</v>
      </c>
      <c r="AF44" s="173">
        <f t="shared" si="36"/>
        <v>12354.197142999999</v>
      </c>
      <c r="AG44" s="173">
        <f t="shared" si="36"/>
        <v>9489.2539285999992</v>
      </c>
      <c r="AH44" s="173">
        <f t="shared" si="36"/>
        <v>9971.4500000000007</v>
      </c>
      <c r="AI44" s="173">
        <f t="shared" si="36"/>
        <v>6495.58</v>
      </c>
      <c r="AJ44" s="173">
        <f t="shared" si="36"/>
        <v>12177.2575</v>
      </c>
      <c r="AK44" s="173">
        <f t="shared" si="36"/>
        <v>6716.7107143000003</v>
      </c>
      <c r="AL44" s="173">
        <f t="shared" si="36"/>
        <v>8122.25</v>
      </c>
      <c r="AM44" s="173">
        <f t="shared" si="36"/>
        <v>6710.1357142999996</v>
      </c>
      <c r="AN44" s="228">
        <f t="shared" si="36"/>
        <v>11957.857142999999</v>
      </c>
      <c r="AO44" s="17"/>
      <c r="AP44" s="221"/>
      <c r="AQ44" s="222"/>
    </row>
    <row r="45" spans="4:44" ht="15.75" x14ac:dyDescent="0.25">
      <c r="D45" s="223" t="s">
        <v>200</v>
      </c>
      <c r="E45" s="229">
        <f>MIN(E68,E91)</f>
        <v>0</v>
      </c>
      <c r="F45" s="229">
        <f t="shared" ref="F45:AN45" si="37">MIN(F68,F91)</f>
        <v>0</v>
      </c>
      <c r="G45" s="229">
        <f t="shared" si="37"/>
        <v>0</v>
      </c>
      <c r="H45" s="229">
        <f t="shared" si="37"/>
        <v>0</v>
      </c>
      <c r="I45" s="229">
        <f t="shared" si="37"/>
        <v>0</v>
      </c>
      <c r="J45" s="229">
        <f t="shared" si="37"/>
        <v>0</v>
      </c>
      <c r="K45" s="229">
        <f t="shared" si="37"/>
        <v>0</v>
      </c>
      <c r="L45" s="229">
        <f t="shared" si="37"/>
        <v>0</v>
      </c>
      <c r="M45" s="229">
        <f t="shared" si="37"/>
        <v>0</v>
      </c>
      <c r="N45" s="229">
        <f t="shared" si="37"/>
        <v>0</v>
      </c>
      <c r="O45" s="229">
        <f t="shared" si="37"/>
        <v>0</v>
      </c>
      <c r="P45" s="300">
        <f t="shared" si="37"/>
        <v>0</v>
      </c>
      <c r="Q45" s="229">
        <f t="shared" si="37"/>
        <v>0</v>
      </c>
      <c r="R45" s="229">
        <f t="shared" si="37"/>
        <v>0</v>
      </c>
      <c r="S45" s="229">
        <f t="shared" si="37"/>
        <v>0</v>
      </c>
      <c r="T45" s="229">
        <f t="shared" si="37"/>
        <v>0</v>
      </c>
      <c r="U45" s="229">
        <f t="shared" si="37"/>
        <v>0</v>
      </c>
      <c r="V45" s="229">
        <f t="shared" si="37"/>
        <v>0</v>
      </c>
      <c r="W45" s="229">
        <f t="shared" si="37"/>
        <v>0</v>
      </c>
      <c r="X45" s="229">
        <f t="shared" si="37"/>
        <v>0</v>
      </c>
      <c r="Y45" s="229">
        <f t="shared" si="37"/>
        <v>0</v>
      </c>
      <c r="Z45" s="229">
        <f t="shared" si="37"/>
        <v>0</v>
      </c>
      <c r="AA45" s="229">
        <f t="shared" si="37"/>
        <v>0</v>
      </c>
      <c r="AB45" s="300">
        <f t="shared" si="37"/>
        <v>0</v>
      </c>
      <c r="AC45" s="229">
        <f t="shared" si="37"/>
        <v>349.99892856999998</v>
      </c>
      <c r="AD45" s="229">
        <f t="shared" si="37"/>
        <v>349.99892856999998</v>
      </c>
      <c r="AE45" s="229">
        <f t="shared" si="37"/>
        <v>349.99785714000001</v>
      </c>
      <c r="AF45" s="229">
        <f t="shared" si="37"/>
        <v>349.99785714000001</v>
      </c>
      <c r="AG45" s="229">
        <f t="shared" si="37"/>
        <v>349.99785714000001</v>
      </c>
      <c r="AH45" s="229">
        <f t="shared" si="37"/>
        <v>349.99785714000001</v>
      </c>
      <c r="AI45" s="229">
        <f t="shared" si="37"/>
        <v>349.99785714000001</v>
      </c>
      <c r="AJ45" s="229">
        <f t="shared" si="37"/>
        <v>349.99785714000001</v>
      </c>
      <c r="AK45" s="229">
        <f t="shared" si="37"/>
        <v>349.99785714000001</v>
      </c>
      <c r="AL45" s="229">
        <f t="shared" si="37"/>
        <v>349.99785714000001</v>
      </c>
      <c r="AM45" s="229">
        <f t="shared" si="37"/>
        <v>349.99785714000001</v>
      </c>
      <c r="AN45" s="230">
        <f t="shared" si="37"/>
        <v>0.89285714289999996</v>
      </c>
      <c r="AO45" s="249"/>
      <c r="AP45" s="224"/>
      <c r="AQ45" s="225"/>
    </row>
    <row r="46" spans="4:44" ht="15.75" x14ac:dyDescent="0.25">
      <c r="D46" s="211" t="s">
        <v>201</v>
      </c>
      <c r="E46" s="221">
        <v>2.2727272727272728E-2</v>
      </c>
      <c r="F46" s="221">
        <v>0.29523809523809524</v>
      </c>
      <c r="G46" s="221">
        <v>0.43278301886792453</v>
      </c>
      <c r="H46" s="221">
        <v>0.29172714078374457</v>
      </c>
      <c r="I46" s="221">
        <v>0.17972972972972973</v>
      </c>
      <c r="J46" s="221">
        <v>0.23886639676113361</v>
      </c>
      <c r="K46" s="221">
        <v>0.32300884955752213</v>
      </c>
      <c r="L46" s="221">
        <v>0.3503717472118959</v>
      </c>
      <c r="M46" s="221">
        <v>0.38239116309291749</v>
      </c>
      <c r="N46" s="221">
        <v>0.46035189202217403</v>
      </c>
      <c r="O46" s="221">
        <v>0.49919786096256685</v>
      </c>
      <c r="P46" s="297">
        <v>0.44717182497331909</v>
      </c>
      <c r="Q46" s="221">
        <v>0.5119893428063943</v>
      </c>
      <c r="R46" s="221">
        <v>0.56054365733113676</v>
      </c>
      <c r="S46" s="221">
        <v>0.60667340748230536</v>
      </c>
      <c r="T46" s="221">
        <v>0.47333956969130025</v>
      </c>
      <c r="U46" s="221">
        <v>1.4721919302071973E-2</v>
      </c>
      <c r="V46" s="221">
        <v>0</v>
      </c>
      <c r="W46" s="221">
        <v>4.9937578027465668E-3</v>
      </c>
      <c r="X46" s="221">
        <v>5.8765915768854062E-3</v>
      </c>
      <c r="Y46" s="221">
        <v>3.1217481789802288E-3</v>
      </c>
      <c r="Z46" s="221">
        <v>4.9301561216105174E-3</v>
      </c>
      <c r="AA46" s="221">
        <v>3.0226700251889168E-3</v>
      </c>
      <c r="AB46" s="297">
        <v>6.6408411732152743E-3</v>
      </c>
      <c r="AC46" s="221">
        <v>4.8737261852015946E-3</v>
      </c>
      <c r="AD46" s="221">
        <v>1.295672454003628E-3</v>
      </c>
      <c r="AE46" s="221">
        <v>6.6357000663570006E-4</v>
      </c>
      <c r="AF46" s="221">
        <v>1.1363636363636363E-3</v>
      </c>
      <c r="AG46" s="221">
        <v>2.3383998663771507E-3</v>
      </c>
      <c r="AH46" s="221">
        <v>4.3238993710691823E-3</v>
      </c>
      <c r="AI46" s="221">
        <v>4.3788891449642771E-3</v>
      </c>
      <c r="AJ46" s="221">
        <v>6.3408190224570676E-3</v>
      </c>
      <c r="AK46" s="221">
        <v>4.1379310344827587E-3</v>
      </c>
      <c r="AL46" s="221">
        <v>4.7235343150875244E-3</v>
      </c>
      <c r="AM46" s="221">
        <v>5.1647811116576486E-3</v>
      </c>
      <c r="AN46" s="222">
        <v>3.4347399411187437E-3</v>
      </c>
      <c r="AO46" s="17"/>
      <c r="AP46" s="221"/>
      <c r="AQ46" s="222"/>
    </row>
    <row r="47" spans="4:44" ht="15.75" x14ac:dyDescent="0.25">
      <c r="D47" s="223" t="s">
        <v>202</v>
      </c>
      <c r="E47" s="224">
        <f>MAX(E70,E93)</f>
        <v>0.52998768074792102</v>
      </c>
      <c r="F47" s="224">
        <f t="shared" ref="F47:AN47" si="38">MAX(F70,F93)</f>
        <v>0.50899368588501104</v>
      </c>
      <c r="G47" s="224">
        <f t="shared" si="38"/>
        <v>0.346936596508438</v>
      </c>
      <c r="H47" s="224">
        <f t="shared" si="38"/>
        <v>0.34921988234291101</v>
      </c>
      <c r="I47" s="224">
        <f t="shared" si="38"/>
        <v>0.34467582020445497</v>
      </c>
      <c r="J47" s="224">
        <f t="shared" si="38"/>
        <v>0.34428121041304099</v>
      </c>
      <c r="K47" s="224">
        <f t="shared" si="38"/>
        <v>0.345915617878502</v>
      </c>
      <c r="L47" s="224">
        <f t="shared" si="38"/>
        <v>0.34665046332513</v>
      </c>
      <c r="M47" s="224">
        <f t="shared" si="38"/>
        <v>0.34700861009175299</v>
      </c>
      <c r="N47" s="224">
        <f t="shared" si="38"/>
        <v>0.34715728668569301</v>
      </c>
      <c r="O47" s="224">
        <f t="shared" si="38"/>
        <v>1.51946728330007</v>
      </c>
      <c r="P47" s="298">
        <f t="shared" si="38"/>
        <v>0.39533039073135601</v>
      </c>
      <c r="Q47" s="224">
        <f t="shared" si="38"/>
        <v>0.24359243867967401</v>
      </c>
      <c r="R47" s="224">
        <f t="shared" si="38"/>
        <v>0.244563878171077</v>
      </c>
      <c r="S47" s="224">
        <f t="shared" si="38"/>
        <v>0.2440091140132</v>
      </c>
      <c r="T47" s="224">
        <f t="shared" si="38"/>
        <v>0.24465574842884899</v>
      </c>
      <c r="U47" s="224">
        <f t="shared" si="38"/>
        <v>0.218633760403629</v>
      </c>
      <c r="V47" s="224">
        <f t="shared" si="38"/>
        <v>0.18861940027281601</v>
      </c>
      <c r="W47" s="224">
        <f t="shared" si="38"/>
        <v>0.18841531596470801</v>
      </c>
      <c r="X47" s="224">
        <f t="shared" si="38"/>
        <v>0.18846102292165701</v>
      </c>
      <c r="Y47" s="224">
        <f t="shared" si="38"/>
        <v>0.18865590111483499</v>
      </c>
      <c r="Z47" s="224">
        <f t="shared" si="38"/>
        <v>0.188662742847614</v>
      </c>
      <c r="AA47" s="224">
        <f t="shared" si="38"/>
        <v>0.188662742847614</v>
      </c>
      <c r="AB47" s="298">
        <f t="shared" si="38"/>
        <v>0.18852139121614001</v>
      </c>
      <c r="AC47" s="224">
        <f t="shared" si="38"/>
        <v>0.188662742847614</v>
      </c>
      <c r="AD47" s="224">
        <f t="shared" si="38"/>
        <v>0.18852139121614001</v>
      </c>
      <c r="AE47" s="224">
        <f t="shared" si="38"/>
        <v>0.18852703741155399</v>
      </c>
      <c r="AF47" s="224">
        <f t="shared" si="38"/>
        <v>0.167662221164705</v>
      </c>
      <c r="AG47" s="224">
        <f t="shared" si="38"/>
        <v>0.167662221164705</v>
      </c>
      <c r="AH47" s="224">
        <f t="shared" si="38"/>
        <v>0.16766874866357401</v>
      </c>
      <c r="AI47" s="224">
        <f t="shared" si="38"/>
        <v>0.167662221164705</v>
      </c>
      <c r="AJ47" s="224">
        <f t="shared" si="38"/>
        <v>0.167662221164705</v>
      </c>
      <c r="AK47" s="224">
        <f t="shared" si="38"/>
        <v>0.197021829773881</v>
      </c>
      <c r="AL47" s="224">
        <f t="shared" si="38"/>
        <v>0.197021829773881</v>
      </c>
      <c r="AM47" s="224">
        <f t="shared" si="38"/>
        <v>0.197021829773881</v>
      </c>
      <c r="AN47" s="225">
        <f t="shared" si="38"/>
        <v>0.197021829773881</v>
      </c>
      <c r="AO47" s="249"/>
      <c r="AP47" s="224"/>
      <c r="AQ47" s="225"/>
    </row>
    <row r="48" spans="4:44" ht="16.5" thickBot="1" x14ac:dyDescent="0.3">
      <c r="D48" s="226" t="s">
        <v>203</v>
      </c>
      <c r="E48" s="227">
        <f>MIN(E71,E94)</f>
        <v>0</v>
      </c>
      <c r="F48" s="227">
        <f t="shared" ref="F48:AN48" si="39">MIN(F71,F94)</f>
        <v>0</v>
      </c>
      <c r="G48" s="227">
        <f t="shared" si="39"/>
        <v>0</v>
      </c>
      <c r="H48" s="227">
        <f t="shared" si="39"/>
        <v>0</v>
      </c>
      <c r="I48" s="227">
        <f t="shared" si="39"/>
        <v>0</v>
      </c>
      <c r="J48" s="227">
        <f t="shared" si="39"/>
        <v>0</v>
      </c>
      <c r="K48" s="227">
        <f t="shared" si="39"/>
        <v>0</v>
      </c>
      <c r="L48" s="227">
        <f t="shared" si="39"/>
        <v>0</v>
      </c>
      <c r="M48" s="227">
        <f t="shared" si="39"/>
        <v>0</v>
      </c>
      <c r="N48" s="227">
        <f t="shared" si="39"/>
        <v>0</v>
      </c>
      <c r="O48" s="227">
        <f t="shared" si="39"/>
        <v>0</v>
      </c>
      <c r="P48" s="301">
        <f t="shared" si="39"/>
        <v>0</v>
      </c>
      <c r="Q48" s="227">
        <f t="shared" si="39"/>
        <v>0</v>
      </c>
      <c r="R48" s="227">
        <f t="shared" si="39"/>
        <v>0</v>
      </c>
      <c r="S48" s="227">
        <f t="shared" si="39"/>
        <v>0</v>
      </c>
      <c r="T48" s="227">
        <f t="shared" si="39"/>
        <v>0</v>
      </c>
      <c r="U48" s="227">
        <f t="shared" si="39"/>
        <v>0</v>
      </c>
      <c r="V48" s="227">
        <f t="shared" si="39"/>
        <v>0</v>
      </c>
      <c r="W48" s="227">
        <f t="shared" si="39"/>
        <v>0</v>
      </c>
      <c r="X48" s="227">
        <f t="shared" si="39"/>
        <v>0</v>
      </c>
      <c r="Y48" s="227">
        <f t="shared" si="39"/>
        <v>0</v>
      </c>
      <c r="Z48" s="227">
        <f t="shared" si="39"/>
        <v>0</v>
      </c>
      <c r="AA48" s="227">
        <f t="shared" si="39"/>
        <v>0</v>
      </c>
      <c r="AB48" s="301">
        <f t="shared" si="39"/>
        <v>0</v>
      </c>
      <c r="AC48" s="227">
        <f t="shared" si="39"/>
        <v>0.111089510935605</v>
      </c>
      <c r="AD48" s="227">
        <f t="shared" si="39"/>
        <v>4.88660874813516E-2</v>
      </c>
      <c r="AE48" s="227">
        <f t="shared" si="39"/>
        <v>4.8869680851424797E-2</v>
      </c>
      <c r="AF48" s="227">
        <f t="shared" si="39"/>
        <v>4.8862468365599397E-2</v>
      </c>
      <c r="AG48" s="227">
        <f t="shared" si="39"/>
        <v>4.8864259244639302E-2</v>
      </c>
      <c r="AH48" s="227">
        <f t="shared" si="39"/>
        <v>4.8861794836557899E-2</v>
      </c>
      <c r="AI48" s="227">
        <f t="shared" si="39"/>
        <v>4.8863729570241703E-2</v>
      </c>
      <c r="AJ48" s="227">
        <f t="shared" si="39"/>
        <v>4.8862641977371397E-2</v>
      </c>
      <c r="AK48" s="227">
        <f t="shared" si="39"/>
        <v>4.8861496369821102E-2</v>
      </c>
      <c r="AL48" s="227">
        <f t="shared" si="39"/>
        <v>4.8862684405650302E-2</v>
      </c>
      <c r="AM48" s="227">
        <f t="shared" si="39"/>
        <v>4.8865212899752701E-2</v>
      </c>
      <c r="AN48" s="227">
        <f t="shared" si="39"/>
        <v>0</v>
      </c>
      <c r="AO48" s="250"/>
      <c r="AP48" s="227"/>
      <c r="AQ48" s="301"/>
    </row>
    <row r="50" spans="2:43" ht="15.75" thickBot="1" x14ac:dyDescent="0.3"/>
    <row r="51" spans="2:43" ht="21" outlineLevel="1" x14ac:dyDescent="0.25">
      <c r="C51" s="290"/>
      <c r="D51" s="363" t="s">
        <v>350</v>
      </c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33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33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3"/>
      <c r="AO51" s="232"/>
      <c r="AP51" s="202"/>
      <c r="AQ51" s="233"/>
    </row>
    <row r="52" spans="2:43" ht="15.75" outlineLevel="1" thickBot="1" x14ac:dyDescent="0.3">
      <c r="C52" s="290"/>
      <c r="D52" s="204"/>
      <c r="E52" s="287" t="s">
        <v>341</v>
      </c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92"/>
      <c r="Q52" s="287" t="s">
        <v>341</v>
      </c>
      <c r="R52" s="287"/>
      <c r="S52" s="287"/>
      <c r="T52" s="287"/>
      <c r="U52" s="287"/>
      <c r="V52" s="287"/>
      <c r="W52" s="287"/>
      <c r="X52" s="287"/>
      <c r="Y52" s="287"/>
      <c r="Z52" s="287"/>
      <c r="AA52" s="287"/>
      <c r="AB52" s="292"/>
      <c r="AC52" s="287" t="s">
        <v>341</v>
      </c>
      <c r="AD52" s="287"/>
      <c r="AE52" s="287"/>
      <c r="AF52" s="287"/>
      <c r="AG52" s="287"/>
      <c r="AH52" s="287"/>
      <c r="AI52" s="287"/>
      <c r="AJ52" s="287"/>
      <c r="AK52" s="287"/>
      <c r="AL52" s="287"/>
      <c r="AM52" s="287"/>
      <c r="AN52" s="288"/>
      <c r="AO52" s="510" t="s">
        <v>8</v>
      </c>
      <c r="AP52" s="511"/>
      <c r="AQ52" s="512"/>
    </row>
    <row r="53" spans="2:43" outlineLevel="1" x14ac:dyDescent="0.25">
      <c r="C53" s="290"/>
      <c r="D53" s="315" t="s">
        <v>16</v>
      </c>
      <c r="E53" s="206">
        <f t="shared" ref="E53:AN53" si="40">E$4</f>
        <v>44562</v>
      </c>
      <c r="F53" s="206">
        <f t="shared" si="40"/>
        <v>44593</v>
      </c>
      <c r="G53" s="206">
        <f t="shared" si="40"/>
        <v>44621</v>
      </c>
      <c r="H53" s="206">
        <f t="shared" si="40"/>
        <v>44652</v>
      </c>
      <c r="I53" s="206">
        <f t="shared" si="40"/>
        <v>44682</v>
      </c>
      <c r="J53" s="206">
        <f t="shared" si="40"/>
        <v>44713</v>
      </c>
      <c r="K53" s="206">
        <f t="shared" si="40"/>
        <v>44743</v>
      </c>
      <c r="L53" s="206">
        <f t="shared" si="40"/>
        <v>44774</v>
      </c>
      <c r="M53" s="206">
        <f t="shared" si="40"/>
        <v>44805</v>
      </c>
      <c r="N53" s="206">
        <f t="shared" si="40"/>
        <v>44835</v>
      </c>
      <c r="O53" s="206">
        <f t="shared" si="40"/>
        <v>44866</v>
      </c>
      <c r="P53" s="293">
        <f t="shared" si="40"/>
        <v>44896</v>
      </c>
      <c r="Q53" s="206">
        <f t="shared" si="40"/>
        <v>44927</v>
      </c>
      <c r="R53" s="206">
        <f t="shared" si="40"/>
        <v>44958</v>
      </c>
      <c r="S53" s="206">
        <f t="shared" si="40"/>
        <v>44986</v>
      </c>
      <c r="T53" s="206">
        <f t="shared" si="40"/>
        <v>45017</v>
      </c>
      <c r="U53" s="206">
        <f t="shared" si="40"/>
        <v>45047</v>
      </c>
      <c r="V53" s="206">
        <f t="shared" si="40"/>
        <v>45078</v>
      </c>
      <c r="W53" s="206">
        <f t="shared" si="40"/>
        <v>45108</v>
      </c>
      <c r="X53" s="206">
        <f t="shared" si="40"/>
        <v>45139</v>
      </c>
      <c r="Y53" s="206">
        <f t="shared" si="40"/>
        <v>45170</v>
      </c>
      <c r="Z53" s="206">
        <f t="shared" si="40"/>
        <v>45200</v>
      </c>
      <c r="AA53" s="206">
        <f t="shared" si="40"/>
        <v>45231</v>
      </c>
      <c r="AB53" s="293">
        <f t="shared" si="40"/>
        <v>45261</v>
      </c>
      <c r="AC53" s="206">
        <f t="shared" si="40"/>
        <v>45292</v>
      </c>
      <c r="AD53" s="206">
        <f t="shared" si="40"/>
        <v>45323</v>
      </c>
      <c r="AE53" s="206">
        <f t="shared" si="40"/>
        <v>45352</v>
      </c>
      <c r="AF53" s="206">
        <f t="shared" si="40"/>
        <v>45383</v>
      </c>
      <c r="AG53" s="206">
        <f t="shared" si="40"/>
        <v>45413</v>
      </c>
      <c r="AH53" s="206">
        <f t="shared" si="40"/>
        <v>45444</v>
      </c>
      <c r="AI53" s="206">
        <f t="shared" si="40"/>
        <v>45474</v>
      </c>
      <c r="AJ53" s="206">
        <f t="shared" si="40"/>
        <v>45505</v>
      </c>
      <c r="AK53" s="206">
        <f t="shared" si="40"/>
        <v>45536</v>
      </c>
      <c r="AL53" s="206">
        <f t="shared" si="40"/>
        <v>45566</v>
      </c>
      <c r="AM53" s="206">
        <f t="shared" si="40"/>
        <v>45597</v>
      </c>
      <c r="AN53" s="207">
        <f t="shared" si="40"/>
        <v>45627</v>
      </c>
      <c r="AO53" s="234" t="s">
        <v>9</v>
      </c>
      <c r="AP53" s="235">
        <f>AP27</f>
        <v>0</v>
      </c>
      <c r="AQ53" s="236" t="s">
        <v>346</v>
      </c>
    </row>
    <row r="54" spans="2:43" ht="15.75" outlineLevel="1" x14ac:dyDescent="0.25">
      <c r="B54" t="str">
        <f>$D$2</f>
        <v>PC Annual Direct</v>
      </c>
      <c r="C54" t="s">
        <v>72</v>
      </c>
      <c r="D54" s="208" t="s">
        <v>3</v>
      </c>
      <c r="E54" s="209">
        <v>44</v>
      </c>
      <c r="F54" s="209">
        <v>210</v>
      </c>
      <c r="G54" s="209">
        <v>848</v>
      </c>
      <c r="H54" s="209">
        <v>689</v>
      </c>
      <c r="I54" s="209">
        <v>740</v>
      </c>
      <c r="J54" s="209">
        <v>1235</v>
      </c>
      <c r="K54" s="209">
        <v>2486</v>
      </c>
      <c r="L54" s="209">
        <v>2152</v>
      </c>
      <c r="M54" s="209">
        <v>3078</v>
      </c>
      <c r="N54" s="209">
        <v>4149</v>
      </c>
      <c r="O54" s="209">
        <v>3740</v>
      </c>
      <c r="P54" s="238">
        <v>2811</v>
      </c>
      <c r="Q54" s="209">
        <v>2252</v>
      </c>
      <c r="R54" s="209">
        <v>2428</v>
      </c>
      <c r="S54" s="209">
        <v>2967</v>
      </c>
      <c r="T54" s="209">
        <v>2138</v>
      </c>
      <c r="U54" s="209">
        <v>1834</v>
      </c>
      <c r="V54" s="209">
        <v>1286</v>
      </c>
      <c r="W54" s="209">
        <v>801</v>
      </c>
      <c r="X54" s="209">
        <v>1021</v>
      </c>
      <c r="Y54" s="209">
        <v>961</v>
      </c>
      <c r="Z54" s="209">
        <v>1217</v>
      </c>
      <c r="AA54" s="209">
        <v>1985</v>
      </c>
      <c r="AB54" s="238">
        <v>1807</v>
      </c>
      <c r="AC54" s="209">
        <v>1833</v>
      </c>
      <c r="AD54" s="209">
        <v>1675</v>
      </c>
      <c r="AE54" s="209">
        <v>2129</v>
      </c>
      <c r="AF54" s="209">
        <v>2006</v>
      </c>
      <c r="AG54" s="209">
        <v>2071</v>
      </c>
      <c r="AH54" s="209">
        <v>1684</v>
      </c>
      <c r="AI54" s="209">
        <v>1375</v>
      </c>
      <c r="AJ54" s="209">
        <v>1172</v>
      </c>
      <c r="AK54" s="209">
        <v>1126</v>
      </c>
      <c r="AL54" s="209">
        <v>1121</v>
      </c>
      <c r="AM54" s="209">
        <v>1258</v>
      </c>
      <c r="AN54" s="210">
        <v>1174</v>
      </c>
      <c r="AO54" s="237">
        <f t="shared" ref="AO54:AO59" si="41">AVERAGE(Z54:AC54)</f>
        <v>1710.5</v>
      </c>
      <c r="AP54" s="209">
        <f>AVERAGE(R54:AC54)</f>
        <v>1689.8333333333333</v>
      </c>
      <c r="AQ54" s="238">
        <f>SUMIFS(AC54:AN54,AC$4:AN$4,"&lt;"&amp;'Title Sheet'!$C$13)</f>
        <v>18624</v>
      </c>
    </row>
    <row r="55" spans="2:43" ht="15.75" hidden="1" outlineLevel="1" x14ac:dyDescent="0.25">
      <c r="B55" t="str">
        <f>$D$28&amp;"_W VYRs"</f>
        <v>PC Annual Direct - Annual_W VYRs</v>
      </c>
      <c r="C55" t="str">
        <f t="shared" ref="C55:C71" si="42">$C54</f>
        <v>Boom Annual</v>
      </c>
      <c r="D55" s="211" t="s">
        <v>4</v>
      </c>
      <c r="E55" s="31" t="e">
        <f>INDEX('Plan Figures'!$B$53:$AP$79,MATCH('Headline - MGA and MPM'!E$4,'Plan Figures'!$B$53:$B$79,0),MATCH('Headline - MGA and MPM'!#REF!,'Plan Figures'!$B$1:$AP$1,0))</f>
        <v>#N/A</v>
      </c>
      <c r="F55" s="31" t="e">
        <f>INDEX('Plan Figures'!$B$53:$AP$79,MATCH('Headline - MGA and MPM'!F$4,'Plan Figures'!$B$53:$B$79,0),MATCH('Headline - MGA and MPM'!#REF!,'Plan Figures'!$B$1:$AP$1,0))</f>
        <v>#N/A</v>
      </c>
      <c r="G55" s="31" t="e">
        <f>INDEX('Plan Figures'!$B$53:$AP$79,MATCH('Headline - MGA and MPM'!G$4,'Plan Figures'!$B$53:$B$79,0),MATCH('Headline - MGA and MPM'!#REF!,'Plan Figures'!$B$1:$AP$1,0))</f>
        <v>#N/A</v>
      </c>
      <c r="H55" s="31" t="e">
        <f>INDEX('Plan Figures'!$B$53:$AP$79,MATCH('Headline - MGA and MPM'!H$4,'Plan Figures'!$B$53:$B$79,0),MATCH('Headline - MGA and MPM'!#REF!,'Plan Figures'!$B$1:$AP$1,0))</f>
        <v>#N/A</v>
      </c>
      <c r="I55" s="31" t="e">
        <f>INDEX('Plan Figures'!$B$53:$AP$79,MATCH('Headline - MGA and MPM'!I$4,'Plan Figures'!$B$53:$B$79,0),MATCH('Headline - MGA and MPM'!#REF!,'Plan Figures'!$B$1:$AP$1,0))</f>
        <v>#N/A</v>
      </c>
      <c r="J55" s="31" t="e">
        <f>INDEX('Plan Figures'!$B$53:$AP$79,MATCH('Headline - MGA and MPM'!J$4,'Plan Figures'!$B$53:$B$79,0),MATCH('Headline - MGA and MPM'!#REF!,'Plan Figures'!$B$1:$AP$1,0))</f>
        <v>#N/A</v>
      </c>
      <c r="K55" s="31" t="e">
        <f>INDEX('Plan Figures'!$B$53:$AP$79,MATCH('Headline - MGA and MPM'!K$4,'Plan Figures'!$B$53:$B$79,0),MATCH('Headline - MGA and MPM'!#REF!,'Plan Figures'!$B$1:$AP$1,0))</f>
        <v>#N/A</v>
      </c>
      <c r="L55" s="31" t="e">
        <f>INDEX('Plan Figures'!$B$53:$AP$79,MATCH('Headline - MGA and MPM'!L$4,'Plan Figures'!$B$53:$B$79,0),MATCH('Headline - MGA and MPM'!#REF!,'Plan Figures'!$B$1:$AP$1,0))</f>
        <v>#N/A</v>
      </c>
      <c r="M55" s="31" t="e">
        <f>INDEX('Plan Figures'!$B$53:$AP$79,MATCH('Headline - MGA and MPM'!M$4,'Plan Figures'!$B$53:$B$79,0),MATCH('Headline - MGA and MPM'!#REF!,'Plan Figures'!$B$1:$AP$1,0))</f>
        <v>#N/A</v>
      </c>
      <c r="N55" s="31" t="e">
        <f>INDEX('Plan Figures'!$B$53:$AP$79,MATCH('Headline - MGA and MPM'!N$4,'Plan Figures'!$B$53:$B$79,0),MATCH('Headline - MGA and MPM'!#REF!,'Plan Figures'!$B$1:$AP$1,0))</f>
        <v>#N/A</v>
      </c>
      <c r="O55" s="31" t="e">
        <f>INDEX('Plan Figures'!$B$53:$AP$79,MATCH('Headline - MGA and MPM'!O$4,'Plan Figures'!$B$53:$B$79,0),MATCH('Headline - MGA and MPM'!#REF!,'Plan Figures'!$B$1:$AP$1,0))</f>
        <v>#N/A</v>
      </c>
      <c r="P55" s="240" t="e">
        <f>INDEX('Plan Figures'!$B$53:$AP$79,MATCH('Headline - MGA and MPM'!P$4,'Plan Figures'!$B$53:$B$79,0),MATCH('Headline - MGA and MPM'!#REF!,'Plan Figures'!$B$1:$AP$1,0))</f>
        <v>#REF!</v>
      </c>
      <c r="Q55" s="31" t="e">
        <f>INDEX('Plan Figures'!$B$53:$AP$79,MATCH('Headline - MGA and MPM'!Q$4,'Plan Figures'!$B$53:$B$79,0),MATCH('Headline - MGA and MPM'!#REF!,'Plan Figures'!$B$1:$AP$1,0))</f>
        <v>#REF!</v>
      </c>
      <c r="R55" s="31" t="e">
        <f>INDEX('Plan Figures'!$B$53:$AP$79,MATCH('Headline - MGA and MPM'!R$4,'Plan Figures'!$B$53:$B$79,0),MATCH('Headline - MGA and MPM'!#REF!,'Plan Figures'!$B$1:$AP$1,0))</f>
        <v>#REF!</v>
      </c>
      <c r="S55" s="31" t="e">
        <f>INDEX('Plan Figures'!$B$53:$AP$79,MATCH('Headline - MGA and MPM'!S$4,'Plan Figures'!$B$53:$B$79,0),MATCH('Headline - MGA and MPM'!#REF!,'Plan Figures'!$B$1:$AP$1,0))</f>
        <v>#REF!</v>
      </c>
      <c r="T55" s="31" t="e">
        <f>INDEX('Plan Figures'!$B$53:$AP$79,MATCH('Headline - MGA and MPM'!T$4,'Plan Figures'!$B$53:$B$79,0),MATCH('Headline - MGA and MPM'!#REF!,'Plan Figures'!$B$1:$AP$1,0))</f>
        <v>#REF!</v>
      </c>
      <c r="U55" s="31" t="e">
        <f>INDEX('Plan Figures'!$B$53:$AP$79,MATCH('Headline - MGA and MPM'!U$4,'Plan Figures'!$B$53:$B$79,0),MATCH('Headline - MGA and MPM'!#REF!,'Plan Figures'!$B$1:$AP$1,0))</f>
        <v>#REF!</v>
      </c>
      <c r="V55" s="31" t="e">
        <f>INDEX('Plan Figures'!$B$53:$AP$79,MATCH('Headline - MGA and MPM'!V$4,'Plan Figures'!$B$53:$B$79,0),MATCH('Headline - MGA and MPM'!#REF!,'Plan Figures'!$B$1:$AP$1,0))</f>
        <v>#REF!</v>
      </c>
      <c r="W55" s="31" t="e">
        <f>INDEX('Plan Figures'!$B$53:$AP$79,MATCH('Headline - MGA and MPM'!W$4,'Plan Figures'!$B$53:$B$79,0),MATCH('Headline - MGA and MPM'!#REF!,'Plan Figures'!$B$1:$AP$1,0))</f>
        <v>#REF!</v>
      </c>
      <c r="X55" s="31" t="e">
        <f>INDEX('Plan Figures'!$B$53:$AP$79,MATCH('Headline - MGA and MPM'!X$4,'Plan Figures'!$B$53:$B$79,0),MATCH('Headline - MGA and MPM'!#REF!,'Plan Figures'!$B$1:$AP$1,0))</f>
        <v>#REF!</v>
      </c>
      <c r="Y55" s="31" t="e">
        <f>INDEX('Plan Figures'!$B$53:$AP$79,MATCH('Headline - MGA and MPM'!Y$4,'Plan Figures'!$B$53:$B$79,0),MATCH('Headline - MGA and MPM'!#REF!,'Plan Figures'!$B$1:$AP$1,0))</f>
        <v>#REF!</v>
      </c>
      <c r="Z55" s="31" t="e">
        <f>INDEX('Plan Figures'!$B$53:$AP$79,MATCH('Headline - MGA and MPM'!Z$4,'Plan Figures'!$B$53:$B$79,0),MATCH('Headline - MGA and MPM'!#REF!,'Plan Figures'!$B$1:$AP$1,0))</f>
        <v>#REF!</v>
      </c>
      <c r="AA55" s="31" t="e">
        <f>INDEX('Plan Figures'!$B$53:$AP$79,MATCH('Headline - MGA and MPM'!AA$4,'Plan Figures'!$B$53:$B$79,0),MATCH('Headline - MGA and MPM'!#REF!,'Plan Figures'!$B$1:$AP$1,0))</f>
        <v>#REF!</v>
      </c>
      <c r="AB55" s="240" t="e">
        <f>INDEX('Plan Figures'!$B$53:$AP$79,MATCH('Headline - MGA and MPM'!AB$4,'Plan Figures'!$B$53:$B$79,0),MATCH('Headline - MGA and MPM'!#REF!,'Plan Figures'!$B$1:$AP$1,0))</f>
        <v>#REF!</v>
      </c>
      <c r="AC55" s="31" t="e">
        <f>INDEX('Plan Figures'!$B$53:$AP$79,MATCH('Headline - MGA and MPM'!AC$4,'Plan Figures'!$B$53:$B$79,0),MATCH('Headline - MGA and MPM'!#REF!,'Plan Figures'!$B$1:$AP$1,0))</f>
        <v>#REF!</v>
      </c>
      <c r="AD55" s="31" t="e">
        <f>INDEX('Plan Figures'!$B$53:$AP$79,MATCH('Headline - MGA and MPM'!AD$4,'Plan Figures'!$B$53:$B$79,0),MATCH('Headline - MGA and MPM'!#REF!,'Plan Figures'!$B$1:$AP$1,0))</f>
        <v>#REF!</v>
      </c>
      <c r="AE55" s="31" t="e">
        <f>INDEX('Plan Figures'!$B$53:$AP$79,MATCH('Headline - MGA and MPM'!AE$4,'Plan Figures'!$B$53:$B$79,0),MATCH('Headline - MGA and MPM'!#REF!,'Plan Figures'!$B$1:$AP$1,0))</f>
        <v>#REF!</v>
      </c>
      <c r="AF55" s="31" t="e">
        <f>INDEX('Plan Figures'!$B$53:$AP$79,MATCH('Headline - MGA and MPM'!AF$4,'Plan Figures'!$B$53:$B$79,0),MATCH('Headline - MGA and MPM'!#REF!,'Plan Figures'!$B$1:$AP$1,0))</f>
        <v>#REF!</v>
      </c>
      <c r="AG55" s="31" t="e">
        <f>INDEX('Plan Figures'!$B$53:$AP$79,MATCH('Headline - MGA and MPM'!AG$4,'Plan Figures'!$B$53:$B$79,0),MATCH('Headline - MGA and MPM'!#REF!,'Plan Figures'!$B$1:$AP$1,0))</f>
        <v>#REF!</v>
      </c>
      <c r="AH55" s="31" t="e">
        <f>INDEX('Plan Figures'!$B$53:$AP$79,MATCH('Headline - MGA and MPM'!AH$4,'Plan Figures'!$B$53:$B$79,0),MATCH('Headline - MGA and MPM'!#REF!,'Plan Figures'!$B$1:$AP$1,0))</f>
        <v>#REF!</v>
      </c>
      <c r="AI55" s="31" t="e">
        <f>INDEX('Plan Figures'!$B$53:$AP$79,MATCH('Headline - MGA and MPM'!AI$4,'Plan Figures'!$B$53:$B$79,0),MATCH('Headline - MGA and MPM'!#REF!,'Plan Figures'!$B$1:$AP$1,0))</f>
        <v>#REF!</v>
      </c>
      <c r="AJ55" s="31" t="e">
        <f>INDEX('Plan Figures'!$B$53:$AP$79,MATCH('Headline - MGA and MPM'!AJ$4,'Plan Figures'!$B$53:$B$79,0),MATCH('Headline - MGA and MPM'!#REF!,'Plan Figures'!$B$1:$AP$1,0))</f>
        <v>#REF!</v>
      </c>
      <c r="AK55" s="31" t="e">
        <f>INDEX('Plan Figures'!$B$53:$AP$79,MATCH('Headline - MGA and MPM'!AK$4,'Plan Figures'!$B$53:$B$79,0),MATCH('Headline - MGA and MPM'!#REF!,'Plan Figures'!$B$1:$AP$1,0))</f>
        <v>#REF!</v>
      </c>
      <c r="AL55" s="31" t="e">
        <f>INDEX('Plan Figures'!$B$53:$AP$79,MATCH('Headline - MGA and MPM'!AL$4,'Plan Figures'!$B$53:$B$79,0),MATCH('Headline - MGA and MPM'!#REF!,'Plan Figures'!$B$1:$AP$1,0))</f>
        <v>#REF!</v>
      </c>
      <c r="AM55" s="31" t="e">
        <f>INDEX('Plan Figures'!$B$53:$AP$79,MATCH('Headline - MGA and MPM'!AM$4,'Plan Figures'!$B$53:$B$79,0),MATCH('Headline - MGA and MPM'!#REF!,'Plan Figures'!$B$1:$AP$1,0))</f>
        <v>#REF!</v>
      </c>
      <c r="AN55" s="212" t="e">
        <f>INDEX('Plan Figures'!$B$53:$AP$79,MATCH('Headline - MGA and MPM'!AN$4,'Plan Figures'!$B$53:$B$79,0),MATCH('Headline - MGA and MPM'!#REF!,'Plan Figures'!$B$1:$AP$1,0))</f>
        <v>#REF!</v>
      </c>
      <c r="AO55" s="239" t="e">
        <f t="shared" si="41"/>
        <v>#REF!</v>
      </c>
      <c r="AP55" s="31" t="e">
        <f t="shared" ref="AP55:AP59" si="43">AVERAGE(R55:AC55)</f>
        <v>#REF!</v>
      </c>
      <c r="AQ55" s="240" t="e">
        <f>SUMIFS(AC55:AN55,AC$4:AN$4,"&lt;"&amp;'Title Sheet'!$C$13)</f>
        <v>#REF!</v>
      </c>
    </row>
    <row r="56" spans="2:43" ht="15.75" hidden="1" outlineLevel="1" x14ac:dyDescent="0.25">
      <c r="B56" t="str">
        <f t="shared" ref="B56:B71" si="44">$D$2</f>
        <v>PC Annual Direct</v>
      </c>
      <c r="C56" t="str">
        <f t="shared" si="42"/>
        <v>Boom Annual</v>
      </c>
      <c r="D56" s="213" t="s">
        <v>0</v>
      </c>
      <c r="E56" s="214" t="str">
        <f t="shared" ref="E56:AN56" si="45">IFERROR(IF(E54=0,"-",(E54/E55)-1),"-")</f>
        <v>-</v>
      </c>
      <c r="F56" s="214" t="str">
        <f t="shared" si="45"/>
        <v>-</v>
      </c>
      <c r="G56" s="214" t="str">
        <f t="shared" si="45"/>
        <v>-</v>
      </c>
      <c r="H56" s="214" t="str">
        <f t="shared" si="45"/>
        <v>-</v>
      </c>
      <c r="I56" s="214" t="str">
        <f t="shared" si="45"/>
        <v>-</v>
      </c>
      <c r="J56" s="214" t="str">
        <f t="shared" si="45"/>
        <v>-</v>
      </c>
      <c r="K56" s="214" t="str">
        <f t="shared" si="45"/>
        <v>-</v>
      </c>
      <c r="L56" s="214" t="str">
        <f t="shared" si="45"/>
        <v>-</v>
      </c>
      <c r="M56" s="214" t="str">
        <f t="shared" si="45"/>
        <v>-</v>
      </c>
      <c r="N56" s="214" t="str">
        <f t="shared" si="45"/>
        <v>-</v>
      </c>
      <c r="O56" s="214" t="str">
        <f t="shared" si="45"/>
        <v>-</v>
      </c>
      <c r="P56" s="294" t="str">
        <f t="shared" si="45"/>
        <v>-</v>
      </c>
      <c r="Q56" s="214" t="str">
        <f t="shared" si="45"/>
        <v>-</v>
      </c>
      <c r="R56" s="214" t="str">
        <f t="shared" si="45"/>
        <v>-</v>
      </c>
      <c r="S56" s="214" t="str">
        <f t="shared" si="45"/>
        <v>-</v>
      </c>
      <c r="T56" s="214" t="str">
        <f t="shared" si="45"/>
        <v>-</v>
      </c>
      <c r="U56" s="214" t="str">
        <f t="shared" si="45"/>
        <v>-</v>
      </c>
      <c r="V56" s="214" t="str">
        <f t="shared" si="45"/>
        <v>-</v>
      </c>
      <c r="W56" s="214" t="str">
        <f t="shared" si="45"/>
        <v>-</v>
      </c>
      <c r="X56" s="214" t="str">
        <f t="shared" si="45"/>
        <v>-</v>
      </c>
      <c r="Y56" s="214" t="str">
        <f t="shared" si="45"/>
        <v>-</v>
      </c>
      <c r="Z56" s="214" t="str">
        <f t="shared" si="45"/>
        <v>-</v>
      </c>
      <c r="AA56" s="214" t="str">
        <f t="shared" si="45"/>
        <v>-</v>
      </c>
      <c r="AB56" s="294" t="str">
        <f t="shared" si="45"/>
        <v>-</v>
      </c>
      <c r="AC56" s="214" t="str">
        <f t="shared" si="45"/>
        <v>-</v>
      </c>
      <c r="AD56" s="214" t="str">
        <f t="shared" si="45"/>
        <v>-</v>
      </c>
      <c r="AE56" s="214" t="str">
        <f t="shared" si="45"/>
        <v>-</v>
      </c>
      <c r="AF56" s="214" t="str">
        <f t="shared" si="45"/>
        <v>-</v>
      </c>
      <c r="AG56" s="214" t="str">
        <f t="shared" si="45"/>
        <v>-</v>
      </c>
      <c r="AH56" s="214" t="str">
        <f t="shared" si="45"/>
        <v>-</v>
      </c>
      <c r="AI56" s="214" t="str">
        <f t="shared" si="45"/>
        <v>-</v>
      </c>
      <c r="AJ56" s="214" t="str">
        <f t="shared" si="45"/>
        <v>-</v>
      </c>
      <c r="AK56" s="214" t="str">
        <f t="shared" si="45"/>
        <v>-</v>
      </c>
      <c r="AL56" s="214" t="str">
        <f t="shared" si="45"/>
        <v>-</v>
      </c>
      <c r="AM56" s="214" t="str">
        <f t="shared" si="45"/>
        <v>-</v>
      </c>
      <c r="AN56" s="215" t="str">
        <f t="shared" si="45"/>
        <v>-</v>
      </c>
      <c r="AO56" s="241" t="e">
        <f t="shared" si="41"/>
        <v>#DIV/0!</v>
      </c>
      <c r="AP56" s="242" t="e">
        <f t="shared" si="43"/>
        <v>#DIV/0!</v>
      </c>
      <c r="AQ56" s="243" t="str">
        <f t="shared" ref="AQ56" si="46">IFERROR(IF(AQ54=0,"-",(AQ54/AQ55)-1),"-")</f>
        <v>-</v>
      </c>
    </row>
    <row r="57" spans="2:43" ht="15.75" outlineLevel="1" x14ac:dyDescent="0.25">
      <c r="B57" t="str">
        <f t="shared" si="44"/>
        <v>PC Annual Direct</v>
      </c>
      <c r="C57" t="str">
        <f t="shared" si="42"/>
        <v>Boom Annual</v>
      </c>
      <c r="D57" s="208" t="s">
        <v>5</v>
      </c>
      <c r="E57" s="209">
        <v>58371.849999780003</v>
      </c>
      <c r="F57" s="209">
        <v>171748.68464277202</v>
      </c>
      <c r="G57" s="209">
        <v>485554.05499974405</v>
      </c>
      <c r="H57" s="209">
        <v>526961.40607152728</v>
      </c>
      <c r="I57" s="209">
        <v>649048.05964259</v>
      </c>
      <c r="J57" s="209">
        <v>908658.18178592972</v>
      </c>
      <c r="K57" s="209">
        <v>1646957.3417856009</v>
      </c>
      <c r="L57" s="209">
        <v>1411390.461072569</v>
      </c>
      <c r="M57" s="209">
        <v>1954946.96464226</v>
      </c>
      <c r="N57" s="209">
        <v>2382948.6885717609</v>
      </c>
      <c r="O57" s="209">
        <v>2096664.8649996507</v>
      </c>
      <c r="P57" s="238">
        <v>1695905.2978571656</v>
      </c>
      <c r="Q57" s="209">
        <v>1251631.410713979</v>
      </c>
      <c r="R57" s="209">
        <v>1234099.5296420897</v>
      </c>
      <c r="S57" s="209">
        <v>1281072.9224997568</v>
      </c>
      <c r="T57" s="209">
        <v>1005631.3864284693</v>
      </c>
      <c r="U57" s="209">
        <v>1183750.4414288495</v>
      </c>
      <c r="V57" s="209">
        <v>1026995.4625008103</v>
      </c>
      <c r="W57" s="209">
        <v>1079247.5071442397</v>
      </c>
      <c r="X57" s="209">
        <v>1285177.8196425999</v>
      </c>
      <c r="Y57" s="209">
        <v>1213786.6928566091</v>
      </c>
      <c r="Z57" s="209">
        <v>1466026.2349993496</v>
      </c>
      <c r="AA57" s="209">
        <v>2004835.294285018</v>
      </c>
      <c r="AB57" s="238">
        <v>1781237.5742841216</v>
      </c>
      <c r="AC57" s="209">
        <v>1817178.5557138096</v>
      </c>
      <c r="AD57" s="209">
        <v>1654975.3714281805</v>
      </c>
      <c r="AE57" s="209">
        <v>2203997.4610720593</v>
      </c>
      <c r="AF57" s="209">
        <v>1859363.4200003503</v>
      </c>
      <c r="AG57" s="209">
        <v>1794117.3739291502</v>
      </c>
      <c r="AH57" s="209">
        <v>1473286.4889283297</v>
      </c>
      <c r="AI57" s="209">
        <v>1217372.1214287796</v>
      </c>
      <c r="AJ57" s="209">
        <v>1020562.1964285398</v>
      </c>
      <c r="AK57" s="209">
        <v>1049421.5464291505</v>
      </c>
      <c r="AL57" s="209">
        <v>999169.43999983091</v>
      </c>
      <c r="AM57" s="209">
        <v>1148504.8989284094</v>
      </c>
      <c r="AN57" s="210">
        <v>1076742.5664288828</v>
      </c>
      <c r="AO57" s="237">
        <f t="shared" si="41"/>
        <v>1767319.4148205747</v>
      </c>
      <c r="AP57" s="209">
        <f t="shared" si="43"/>
        <v>1364919.9517854769</v>
      </c>
      <c r="AQ57" s="238">
        <f>SUMIFS(AC57:AN57,AC$4:AN$4,"&lt;"&amp;'Title Sheet'!$C$13)</f>
        <v>17314691.440715473</v>
      </c>
    </row>
    <row r="58" spans="2:43" ht="15.75" outlineLevel="1" x14ac:dyDescent="0.25">
      <c r="B58" t="str">
        <f>$D$28&amp;"_NWP"</f>
        <v>PC Annual Direct - Annual_NWP</v>
      </c>
      <c r="C58" t="str">
        <f t="shared" si="42"/>
        <v>Boom Annual</v>
      </c>
      <c r="D58" s="211" t="s">
        <v>6</v>
      </c>
      <c r="E58" s="31" t="e">
        <f>INDEX('Plan Figures'!$B$53:$AP$90,MATCH('Headline - MGA and MPM'!E$4,'Plan Figures'!$B$53:$B$90,0),MATCH('Headline - MGA and MPM'!$B58,'Plan Figures'!$B$1:$AP$1,0))</f>
        <v>#N/A</v>
      </c>
      <c r="F58" s="31" t="e">
        <f>INDEX('Plan Figures'!$B$53:$AP$90,MATCH('Headline - MGA and MPM'!F$4,'Plan Figures'!$B$53:$B$90,0),MATCH('Headline - MGA and MPM'!$B58,'Plan Figures'!$B$1:$AP$1,0))</f>
        <v>#N/A</v>
      </c>
      <c r="G58" s="31" t="e">
        <f>INDEX('Plan Figures'!$B$53:$AP$90,MATCH('Headline - MGA and MPM'!G$4,'Plan Figures'!$B$53:$B$90,0),MATCH('Headline - MGA and MPM'!$B58,'Plan Figures'!$B$1:$AP$1,0))</f>
        <v>#N/A</v>
      </c>
      <c r="H58" s="31" t="e">
        <f>INDEX('Plan Figures'!$B$53:$AP$90,MATCH('Headline - MGA and MPM'!H$4,'Plan Figures'!$B$53:$B$90,0),MATCH('Headline - MGA and MPM'!$B58,'Plan Figures'!$B$1:$AP$1,0))</f>
        <v>#N/A</v>
      </c>
      <c r="I58" s="31" t="e">
        <f>INDEX('Plan Figures'!$B$53:$AP$90,MATCH('Headline - MGA and MPM'!I$4,'Plan Figures'!$B$53:$B$90,0),MATCH('Headline - MGA and MPM'!$B58,'Plan Figures'!$B$1:$AP$1,0))</f>
        <v>#N/A</v>
      </c>
      <c r="J58" s="31" t="e">
        <f>INDEX('Plan Figures'!$B$53:$AP$90,MATCH('Headline - MGA and MPM'!J$4,'Plan Figures'!$B$53:$B$90,0),MATCH('Headline - MGA and MPM'!$B58,'Plan Figures'!$B$1:$AP$1,0))</f>
        <v>#N/A</v>
      </c>
      <c r="K58" s="31" t="e">
        <f>INDEX('Plan Figures'!$B$53:$AP$90,MATCH('Headline - MGA and MPM'!K$4,'Plan Figures'!$B$53:$B$90,0),MATCH('Headline - MGA and MPM'!$B58,'Plan Figures'!$B$1:$AP$1,0))</f>
        <v>#N/A</v>
      </c>
      <c r="L58" s="31" t="e">
        <f>INDEX('Plan Figures'!$B$53:$AP$90,MATCH('Headline - MGA and MPM'!L$4,'Plan Figures'!$B$53:$B$90,0),MATCH('Headline - MGA and MPM'!$B58,'Plan Figures'!$B$1:$AP$1,0))</f>
        <v>#N/A</v>
      </c>
      <c r="M58" s="31" t="e">
        <f>INDEX('Plan Figures'!$B$53:$AP$90,MATCH('Headline - MGA and MPM'!M$4,'Plan Figures'!$B$53:$B$90,0),MATCH('Headline - MGA and MPM'!$B58,'Plan Figures'!$B$1:$AP$1,0))</f>
        <v>#N/A</v>
      </c>
      <c r="N58" s="31" t="e">
        <f>INDEX('Plan Figures'!$B$53:$AP$90,MATCH('Headline - MGA and MPM'!N$4,'Plan Figures'!$B$53:$B$90,0),MATCH('Headline - MGA and MPM'!$B58,'Plan Figures'!$B$1:$AP$1,0))</f>
        <v>#N/A</v>
      </c>
      <c r="O58" s="31" t="e">
        <f>INDEX('Plan Figures'!$B$53:$AP$90,MATCH('Headline - MGA and MPM'!O$4,'Plan Figures'!$B$53:$B$90,0),MATCH('Headline - MGA and MPM'!$B58,'Plan Figures'!$B$1:$AP$1,0))</f>
        <v>#N/A</v>
      </c>
      <c r="P58" s="240" t="str">
        <f>INDEX('Plan Figures'!$B$53:$AP$90,MATCH('Headline - MGA and MPM'!P$4,'Plan Figures'!$B$53:$B$90,0),MATCH('Headline - MGA and MPM'!$B58,'Plan Figures'!$B$1:$AP$1,0))</f>
        <v>-</v>
      </c>
      <c r="Q58" s="31" t="str">
        <f>INDEX('Plan Figures'!$B$53:$AP$90,MATCH('Headline - MGA and MPM'!Q$4,'Plan Figures'!$B$53:$B$90,0),MATCH('Headline - MGA and MPM'!$B58,'Plan Figures'!$B$1:$AP$1,0))</f>
        <v>-</v>
      </c>
      <c r="R58" s="31" t="str">
        <f>INDEX('Plan Figures'!$B$53:$AP$90,MATCH('Headline - MGA and MPM'!R$4,'Plan Figures'!$B$53:$B$90,0),MATCH('Headline - MGA and MPM'!$B58,'Plan Figures'!$B$1:$AP$1,0))</f>
        <v>-</v>
      </c>
      <c r="S58" s="31" t="str">
        <f>INDEX('Plan Figures'!$B$53:$AP$90,MATCH('Headline - MGA and MPM'!S$4,'Plan Figures'!$B$53:$B$90,0),MATCH('Headline - MGA and MPM'!$B58,'Plan Figures'!$B$1:$AP$1,0))</f>
        <v>-</v>
      </c>
      <c r="T58" s="31" t="str">
        <f>INDEX('Plan Figures'!$B$53:$AP$90,MATCH('Headline - MGA and MPM'!T$4,'Plan Figures'!$B$53:$B$90,0),MATCH('Headline - MGA and MPM'!$B58,'Plan Figures'!$B$1:$AP$1,0))</f>
        <v>-</v>
      </c>
      <c r="U58" s="31" t="str">
        <f>INDEX('Plan Figures'!$B$53:$AP$90,MATCH('Headline - MGA and MPM'!U$4,'Plan Figures'!$B$53:$B$90,0),MATCH('Headline - MGA and MPM'!$B58,'Plan Figures'!$B$1:$AP$1,0))</f>
        <v>-</v>
      </c>
      <c r="V58" s="31" t="str">
        <f>INDEX('Plan Figures'!$B$53:$AP$90,MATCH('Headline - MGA and MPM'!V$4,'Plan Figures'!$B$53:$B$90,0),MATCH('Headline - MGA and MPM'!$B58,'Plan Figures'!$B$1:$AP$1,0))</f>
        <v>-</v>
      </c>
      <c r="W58" s="31" t="str">
        <f>INDEX('Plan Figures'!$B$53:$AP$90,MATCH('Headline - MGA and MPM'!W$4,'Plan Figures'!$B$53:$B$90,0),MATCH('Headline - MGA and MPM'!$B58,'Plan Figures'!$B$1:$AP$1,0))</f>
        <v>-</v>
      </c>
      <c r="X58" s="31" t="str">
        <f>INDEX('Plan Figures'!$B$53:$AP$90,MATCH('Headline - MGA and MPM'!X$4,'Plan Figures'!$B$53:$B$90,0),MATCH('Headline - MGA and MPM'!$B58,'Plan Figures'!$B$1:$AP$1,0))</f>
        <v>-</v>
      </c>
      <c r="Y58" s="31" t="str">
        <f>INDEX('Plan Figures'!$B$53:$AP$90,MATCH('Headline - MGA and MPM'!Y$4,'Plan Figures'!$B$53:$B$90,0),MATCH('Headline - MGA and MPM'!$B58,'Plan Figures'!$B$1:$AP$1,0))</f>
        <v>-</v>
      </c>
      <c r="Z58" s="31" t="str">
        <f>INDEX('Plan Figures'!$B$53:$AP$90,MATCH('Headline - MGA and MPM'!Z$4,'Plan Figures'!$B$53:$B$90,0),MATCH('Headline - MGA and MPM'!$B58,'Plan Figures'!$B$1:$AP$1,0))</f>
        <v>-</v>
      </c>
      <c r="AA58" s="31">
        <f>INDEX('Plan Figures'!$B$53:$AP$90,MATCH('Headline - MGA and MPM'!AA$4,'Plan Figures'!$B$53:$B$90,0),MATCH('Headline - MGA and MPM'!$B58,'Plan Figures'!$B$1:$AP$1,0))</f>
        <v>1319275.9606993492</v>
      </c>
      <c r="AB58" s="240">
        <f>INDEX('Plan Figures'!$B$53:$AP$90,MATCH('Headline - MGA and MPM'!AB$4,'Plan Figures'!$B$53:$B$90,0),MATCH('Headline - MGA and MPM'!$B58,'Plan Figures'!$B$1:$AP$1,0))</f>
        <v>1240503.5958342575</v>
      </c>
      <c r="AC58" s="31">
        <f>INDEX('Plan Figures'!$B$53:$AP$90,MATCH('Headline - MGA and MPM'!AC$4,'Plan Figures'!$B$53:$B$90,0),MATCH('Headline - MGA and MPM'!$B58,'Plan Figures'!$B$1:$AP$1,0))</f>
        <v>1356607.1235178201</v>
      </c>
      <c r="AD58" s="31">
        <f>INDEX('Plan Figures'!$B$53:$AP$90,MATCH('Headline - MGA and MPM'!AD$4,'Plan Figures'!$B$53:$B$90,0),MATCH('Headline - MGA and MPM'!$B58,'Plan Figures'!$B$1:$AP$1,0))</f>
        <v>1463623.9511227065</v>
      </c>
      <c r="AE58" s="31">
        <f>INDEX('Plan Figures'!$B$53:$AP$90,MATCH('Headline - MGA and MPM'!AE$4,'Plan Figures'!$B$53:$B$90,0),MATCH('Headline - MGA and MPM'!$B58,'Plan Figures'!$B$1:$AP$1,0))</f>
        <v>1523003.1635342271</v>
      </c>
      <c r="AF58" s="31">
        <f>INDEX('Plan Figures'!$B$53:$AP$90,MATCH('Headline - MGA and MPM'!AF$4,'Plan Figures'!$B$53:$B$90,0),MATCH('Headline - MGA and MPM'!$B58,'Plan Figures'!$B$1:$AP$1,0))</f>
        <v>1573039.0196804823</v>
      </c>
      <c r="AG58" s="31">
        <f>INDEX('Plan Figures'!$B$53:$AP$90,MATCH('Headline - MGA and MPM'!AG$4,'Plan Figures'!$B$53:$B$90,0),MATCH('Headline - MGA and MPM'!$B58,'Plan Figures'!$B$1:$AP$1,0))</f>
        <v>1592216.48947306</v>
      </c>
      <c r="AH58" s="31">
        <f>INDEX('Plan Figures'!$B$53:$AP$90,MATCH('Headline - MGA and MPM'!AH$4,'Plan Figures'!$B$53:$B$90,0),MATCH('Headline - MGA and MPM'!$B58,'Plan Figures'!$B$1:$AP$1,0))</f>
        <v>1622206.5168777078</v>
      </c>
      <c r="AI58" s="31">
        <f>INDEX('Plan Figures'!$B$53:$AP$90,MATCH('Headline - MGA and MPM'!AI$4,'Plan Figures'!$B$53:$B$90,0),MATCH('Headline - MGA and MPM'!$B58,'Plan Figures'!$B$1:$AP$1,0))</f>
        <v>1197760.6132163431</v>
      </c>
      <c r="AJ58" s="31">
        <f>INDEX('Plan Figures'!$B$53:$AP$90,MATCH('Headline - MGA and MPM'!AJ$4,'Plan Figures'!$B$53:$B$90,0),MATCH('Headline - MGA and MPM'!$B58,'Plan Figures'!$B$1:$AP$1,0))</f>
        <v>1182622.523835581</v>
      </c>
      <c r="AK58" s="31">
        <f>INDEX('Plan Figures'!$B$53:$AP$90,MATCH('Headline - MGA and MPM'!AK$4,'Plan Figures'!$B$53:$B$90,0),MATCH('Headline - MGA and MPM'!$B58,'Plan Figures'!$B$1:$AP$1,0))</f>
        <v>1620158.7490814915</v>
      </c>
      <c r="AL58" s="31">
        <f>INDEX('Plan Figures'!$B$53:$AP$90,MATCH('Headline - MGA and MPM'!AL$4,'Plan Figures'!$B$53:$B$90,0),MATCH('Headline - MGA and MPM'!$B58,'Plan Figures'!$B$1:$AP$1,0))</f>
        <v>1764298.9426401989</v>
      </c>
      <c r="AM58" s="31">
        <f>INDEX('Plan Figures'!$B$53:$AP$90,MATCH('Headline - MGA and MPM'!AM$4,'Plan Figures'!$B$53:$B$90,0),MATCH('Headline - MGA and MPM'!$B58,'Plan Figures'!$B$1:$AP$1,0))</f>
        <v>1516246.6177784707</v>
      </c>
      <c r="AN58" s="212">
        <f>INDEX('Plan Figures'!$B$53:$AP$90,MATCH('Headline - MGA and MPM'!AN$4,'Plan Figures'!$B$53:$B$90,0),MATCH('Headline - MGA and MPM'!$B58,'Plan Figures'!$B$1:$AP$1,0))</f>
        <v>1376963.9399151581</v>
      </c>
      <c r="AO58" s="239">
        <f t="shared" si="41"/>
        <v>1305462.226683809</v>
      </c>
      <c r="AP58" s="31">
        <f t="shared" si="43"/>
        <v>1305462.226683809</v>
      </c>
      <c r="AQ58" s="240">
        <f>SUMIFS(AC58:AN58,AC$4:AN$4,"&lt;"&amp;'Title Sheet'!$C$13)</f>
        <v>17788747.650673244</v>
      </c>
    </row>
    <row r="59" spans="2:43" ht="15.75" outlineLevel="1" x14ac:dyDescent="0.25">
      <c r="B59" t="str">
        <f t="shared" si="44"/>
        <v>PC Annual Direct</v>
      </c>
      <c r="C59" t="str">
        <f t="shared" si="42"/>
        <v>Boom Annual</v>
      </c>
      <c r="D59" s="213" t="s">
        <v>0</v>
      </c>
      <c r="E59" s="214" t="str">
        <f t="shared" ref="E59:AN59" si="47">IFERROR(IF(E57=0,"-",(E57/E58)-1),"-")</f>
        <v>-</v>
      </c>
      <c r="F59" s="214" t="str">
        <f t="shared" si="47"/>
        <v>-</v>
      </c>
      <c r="G59" s="214" t="str">
        <f t="shared" si="47"/>
        <v>-</v>
      </c>
      <c r="H59" s="214" t="str">
        <f t="shared" si="47"/>
        <v>-</v>
      </c>
      <c r="I59" s="214" t="str">
        <f t="shared" si="47"/>
        <v>-</v>
      </c>
      <c r="J59" s="214" t="str">
        <f t="shared" si="47"/>
        <v>-</v>
      </c>
      <c r="K59" s="214" t="str">
        <f t="shared" si="47"/>
        <v>-</v>
      </c>
      <c r="L59" s="214" t="str">
        <f t="shared" si="47"/>
        <v>-</v>
      </c>
      <c r="M59" s="214" t="str">
        <f t="shared" si="47"/>
        <v>-</v>
      </c>
      <c r="N59" s="214" t="str">
        <f t="shared" si="47"/>
        <v>-</v>
      </c>
      <c r="O59" s="214" t="str">
        <f t="shared" si="47"/>
        <v>-</v>
      </c>
      <c r="P59" s="294" t="str">
        <f t="shared" si="47"/>
        <v>-</v>
      </c>
      <c r="Q59" s="214" t="str">
        <f t="shared" si="47"/>
        <v>-</v>
      </c>
      <c r="R59" s="214" t="str">
        <f t="shared" si="47"/>
        <v>-</v>
      </c>
      <c r="S59" s="214" t="str">
        <f t="shared" si="47"/>
        <v>-</v>
      </c>
      <c r="T59" s="214" t="str">
        <f t="shared" si="47"/>
        <v>-</v>
      </c>
      <c r="U59" s="214" t="str">
        <f t="shared" si="47"/>
        <v>-</v>
      </c>
      <c r="V59" s="214" t="str">
        <f t="shared" si="47"/>
        <v>-</v>
      </c>
      <c r="W59" s="214" t="str">
        <f t="shared" si="47"/>
        <v>-</v>
      </c>
      <c r="X59" s="214" t="str">
        <f t="shared" si="47"/>
        <v>-</v>
      </c>
      <c r="Y59" s="214" t="str">
        <f t="shared" si="47"/>
        <v>-</v>
      </c>
      <c r="Z59" s="214" t="str">
        <f t="shared" si="47"/>
        <v>-</v>
      </c>
      <c r="AA59" s="214">
        <f t="shared" si="47"/>
        <v>0.5196481661215544</v>
      </c>
      <c r="AB59" s="294">
        <f t="shared" si="47"/>
        <v>0.4358987593955439</v>
      </c>
      <c r="AC59" s="214">
        <f t="shared" si="47"/>
        <v>0.33950244268339147</v>
      </c>
      <c r="AD59" s="214">
        <f t="shared" si="47"/>
        <v>0.13073810397725016</v>
      </c>
      <c r="AE59" s="214">
        <f t="shared" si="47"/>
        <v>0.44713912212601126</v>
      </c>
      <c r="AF59" s="214">
        <f t="shared" si="47"/>
        <v>0.18201989698769627</v>
      </c>
      <c r="AG59" s="214">
        <f t="shared" si="47"/>
        <v>0.12680491992826215</v>
      </c>
      <c r="AH59" s="214">
        <f t="shared" si="47"/>
        <v>-9.18009059882261E-2</v>
      </c>
      <c r="AI59" s="214">
        <f t="shared" si="47"/>
        <v>1.6373478970704847E-2</v>
      </c>
      <c r="AJ59" s="214">
        <f t="shared" si="47"/>
        <v>-0.13703470392347472</v>
      </c>
      <c r="AK59" s="214">
        <f t="shared" si="47"/>
        <v>-0.35227239489704709</v>
      </c>
      <c r="AL59" s="214">
        <f t="shared" si="47"/>
        <v>-0.43367338955346424</v>
      </c>
      <c r="AM59" s="214">
        <f t="shared" si="47"/>
        <v>-0.24253423851909939</v>
      </c>
      <c r="AN59" s="215">
        <f t="shared" si="47"/>
        <v>-0.21803139848729336</v>
      </c>
      <c r="AO59" s="241">
        <f t="shared" si="41"/>
        <v>0.43168312273349657</v>
      </c>
      <c r="AP59" s="242">
        <f t="shared" si="43"/>
        <v>0.43168312273349657</v>
      </c>
      <c r="AQ59" s="243">
        <f t="shared" ref="AQ59" si="48">IFERROR(IF(AQ57=0,"-",(AQ57/AQ58)-1),"-")</f>
        <v>-2.6649217767717892E-2</v>
      </c>
    </row>
    <row r="60" spans="2:43" ht="15.75" outlineLevel="1" x14ac:dyDescent="0.25">
      <c r="B60" t="str">
        <f t="shared" si="44"/>
        <v>PC Annual Direct</v>
      </c>
      <c r="C60" t="str">
        <f t="shared" si="42"/>
        <v>Boom Annual</v>
      </c>
      <c r="D60" s="208" t="s">
        <v>12</v>
      </c>
      <c r="E60" s="209">
        <f t="shared" ref="E60:AP61" si="49">IFERROR(E57/E54,0)</f>
        <v>1326.6329545404546</v>
      </c>
      <c r="F60" s="209">
        <f t="shared" si="49"/>
        <v>817.85087925129528</v>
      </c>
      <c r="G60" s="209">
        <f t="shared" si="49"/>
        <v>572.58732900913219</v>
      </c>
      <c r="H60" s="209">
        <f t="shared" si="49"/>
        <v>764.82061839118614</v>
      </c>
      <c r="I60" s="209">
        <f t="shared" si="49"/>
        <v>877.09197248998646</v>
      </c>
      <c r="J60" s="209">
        <f t="shared" si="49"/>
        <v>735.75561278212933</v>
      </c>
      <c r="K60" s="209">
        <f t="shared" si="49"/>
        <v>662.49289693708806</v>
      </c>
      <c r="L60" s="209">
        <f t="shared" si="49"/>
        <v>655.85058600026446</v>
      </c>
      <c r="M60" s="209">
        <f t="shared" si="49"/>
        <v>635.13546609560103</v>
      </c>
      <c r="N60" s="209">
        <f t="shared" si="49"/>
        <v>574.34289914961698</v>
      </c>
      <c r="O60" s="209">
        <f t="shared" si="49"/>
        <v>560.60557887691198</v>
      </c>
      <c r="P60" s="238">
        <f t="shared" si="49"/>
        <v>603.31031585100163</v>
      </c>
      <c r="Q60" s="209">
        <f t="shared" si="49"/>
        <v>555.78659445558571</v>
      </c>
      <c r="R60" s="209">
        <f t="shared" si="49"/>
        <v>508.27822472903199</v>
      </c>
      <c r="S60" s="209">
        <f t="shared" si="49"/>
        <v>431.77381951457932</v>
      </c>
      <c r="T60" s="209">
        <f t="shared" si="49"/>
        <v>470.3607981424085</v>
      </c>
      <c r="U60" s="209">
        <f t="shared" si="49"/>
        <v>645.44735083361479</v>
      </c>
      <c r="V60" s="209">
        <f t="shared" si="49"/>
        <v>798.59678266003914</v>
      </c>
      <c r="W60" s="209">
        <f t="shared" si="49"/>
        <v>1347.3751649740821</v>
      </c>
      <c r="X60" s="209">
        <f t="shared" si="49"/>
        <v>1258.7441916186092</v>
      </c>
      <c r="Y60" s="209">
        <f t="shared" si="49"/>
        <v>1263.0454660318512</v>
      </c>
      <c r="Z60" s="209">
        <f t="shared" si="49"/>
        <v>1204.6230361539438</v>
      </c>
      <c r="AA60" s="209">
        <f t="shared" si="49"/>
        <v>1009.9925915793541</v>
      </c>
      <c r="AB60" s="238">
        <f t="shared" si="49"/>
        <v>985.74298521534126</v>
      </c>
      <c r="AC60" s="209">
        <f t="shared" si="49"/>
        <v>991.36855194424959</v>
      </c>
      <c r="AD60" s="209">
        <f t="shared" si="49"/>
        <v>988.04499786757049</v>
      </c>
      <c r="AE60" s="209">
        <f t="shared" si="49"/>
        <v>1035.2266139370874</v>
      </c>
      <c r="AF60" s="209">
        <f t="shared" si="49"/>
        <v>926.90100697923742</v>
      </c>
      <c r="AG60" s="209">
        <f t="shared" si="49"/>
        <v>866.30486428254471</v>
      </c>
      <c r="AH60" s="209">
        <f t="shared" si="49"/>
        <v>874.87321195268987</v>
      </c>
      <c r="AI60" s="209">
        <f t="shared" si="49"/>
        <v>885.36154285729424</v>
      </c>
      <c r="AJ60" s="209">
        <f t="shared" si="49"/>
        <v>870.78685702093844</v>
      </c>
      <c r="AK60" s="209">
        <f t="shared" si="49"/>
        <v>931.99071618929884</v>
      </c>
      <c r="AL60" s="209">
        <f t="shared" si="49"/>
        <v>891.31975022286429</v>
      </c>
      <c r="AM60" s="209">
        <f t="shared" si="49"/>
        <v>912.96096894150196</v>
      </c>
      <c r="AN60" s="210">
        <f t="shared" si="49"/>
        <v>917.15721160892906</v>
      </c>
      <c r="AO60" s="237">
        <f t="shared" si="49"/>
        <v>1033.2180150953375</v>
      </c>
      <c r="AP60" s="209">
        <f t="shared" si="49"/>
        <v>807.72459914319575</v>
      </c>
      <c r="AQ60" s="238">
        <f>SUMIFS(AC60:AN60,AC$4:AN$4,"&lt;"&amp;'Title Sheet'!$C$13)</f>
        <v>11092.296293804206</v>
      </c>
    </row>
    <row r="61" spans="2:43" ht="15.75" hidden="1" outlineLevel="1" x14ac:dyDescent="0.25">
      <c r="B61" t="str">
        <f t="shared" si="44"/>
        <v>PC Annual Direct</v>
      </c>
      <c r="C61" t="str">
        <f t="shared" si="42"/>
        <v>Boom Annual</v>
      </c>
      <c r="D61" s="211" t="s">
        <v>13</v>
      </c>
      <c r="E61" s="31">
        <f t="shared" si="49"/>
        <v>0</v>
      </c>
      <c r="F61" s="31">
        <f t="shared" si="49"/>
        <v>0</v>
      </c>
      <c r="G61" s="31">
        <f t="shared" si="49"/>
        <v>0</v>
      </c>
      <c r="H61" s="31">
        <f t="shared" si="49"/>
        <v>0</v>
      </c>
      <c r="I61" s="31">
        <f t="shared" si="49"/>
        <v>0</v>
      </c>
      <c r="J61" s="31">
        <f t="shared" si="49"/>
        <v>0</v>
      </c>
      <c r="K61" s="31">
        <f t="shared" si="49"/>
        <v>0</v>
      </c>
      <c r="L61" s="31">
        <f t="shared" si="49"/>
        <v>0</v>
      </c>
      <c r="M61" s="31">
        <f t="shared" si="49"/>
        <v>0</v>
      </c>
      <c r="N61" s="31">
        <f t="shared" si="49"/>
        <v>0</v>
      </c>
      <c r="O61" s="31">
        <f t="shared" si="49"/>
        <v>0</v>
      </c>
      <c r="P61" s="240">
        <f t="shared" si="49"/>
        <v>0</v>
      </c>
      <c r="Q61" s="31">
        <f t="shared" si="49"/>
        <v>0</v>
      </c>
      <c r="R61" s="31">
        <f t="shared" si="49"/>
        <v>0</v>
      </c>
      <c r="S61" s="31">
        <f t="shared" si="49"/>
        <v>0</v>
      </c>
      <c r="T61" s="31">
        <f t="shared" si="49"/>
        <v>0</v>
      </c>
      <c r="U61" s="31">
        <f t="shared" si="49"/>
        <v>0</v>
      </c>
      <c r="V61" s="31">
        <f t="shared" si="49"/>
        <v>0</v>
      </c>
      <c r="W61" s="31">
        <f t="shared" si="49"/>
        <v>0</v>
      </c>
      <c r="X61" s="31">
        <f t="shared" si="49"/>
        <v>0</v>
      </c>
      <c r="Y61" s="31">
        <f t="shared" si="49"/>
        <v>0</v>
      </c>
      <c r="Z61" s="31">
        <f t="shared" si="49"/>
        <v>0</v>
      </c>
      <c r="AA61" s="31">
        <f t="shared" si="49"/>
        <v>0</v>
      </c>
      <c r="AB61" s="240">
        <f t="shared" si="49"/>
        <v>0</v>
      </c>
      <c r="AC61" s="31">
        <f t="shared" si="49"/>
        <v>0</v>
      </c>
      <c r="AD61" s="31">
        <f t="shared" si="49"/>
        <v>0</v>
      </c>
      <c r="AE61" s="31">
        <f t="shared" si="49"/>
        <v>0</v>
      </c>
      <c r="AF61" s="31">
        <f t="shared" si="49"/>
        <v>0</v>
      </c>
      <c r="AG61" s="31">
        <f t="shared" si="49"/>
        <v>0</v>
      </c>
      <c r="AH61" s="31">
        <f t="shared" si="49"/>
        <v>0</v>
      </c>
      <c r="AI61" s="31">
        <f t="shared" si="49"/>
        <v>0</v>
      </c>
      <c r="AJ61" s="31">
        <f t="shared" si="49"/>
        <v>0</v>
      </c>
      <c r="AK61" s="31">
        <f t="shared" si="49"/>
        <v>0</v>
      </c>
      <c r="AL61" s="31">
        <f t="shared" si="49"/>
        <v>0</v>
      </c>
      <c r="AM61" s="31">
        <f t="shared" si="49"/>
        <v>0</v>
      </c>
      <c r="AN61" s="212">
        <f t="shared" si="49"/>
        <v>0</v>
      </c>
      <c r="AO61" s="239">
        <f t="shared" si="49"/>
        <v>0</v>
      </c>
      <c r="AP61" s="31">
        <f t="shared" si="49"/>
        <v>0</v>
      </c>
      <c r="AQ61" s="240">
        <f>SUMIFS(AC61:AN61,AC$4:AN$4,"&lt;"&amp;'Title Sheet'!$C$13)</f>
        <v>0</v>
      </c>
    </row>
    <row r="62" spans="2:43" ht="15.75" hidden="1" outlineLevel="1" x14ac:dyDescent="0.25">
      <c r="B62" t="str">
        <f t="shared" si="44"/>
        <v>PC Annual Direct</v>
      </c>
      <c r="C62" t="str">
        <f t="shared" si="42"/>
        <v>Boom Annual</v>
      </c>
      <c r="D62" s="213" t="s">
        <v>0</v>
      </c>
      <c r="E62" s="214" t="str">
        <f t="shared" ref="E62:AN62" si="50">IFERROR(IF(E60=0,"-",(E60/E61)-1),"-")</f>
        <v>-</v>
      </c>
      <c r="F62" s="214" t="str">
        <f t="shared" si="50"/>
        <v>-</v>
      </c>
      <c r="G62" s="214" t="str">
        <f t="shared" si="50"/>
        <v>-</v>
      </c>
      <c r="H62" s="214" t="str">
        <f t="shared" si="50"/>
        <v>-</v>
      </c>
      <c r="I62" s="214" t="str">
        <f t="shared" si="50"/>
        <v>-</v>
      </c>
      <c r="J62" s="214" t="str">
        <f t="shared" si="50"/>
        <v>-</v>
      </c>
      <c r="K62" s="214" t="str">
        <f t="shared" si="50"/>
        <v>-</v>
      </c>
      <c r="L62" s="214" t="str">
        <f t="shared" si="50"/>
        <v>-</v>
      </c>
      <c r="M62" s="214" t="str">
        <f t="shared" si="50"/>
        <v>-</v>
      </c>
      <c r="N62" s="214" t="str">
        <f t="shared" si="50"/>
        <v>-</v>
      </c>
      <c r="O62" s="214" t="str">
        <f t="shared" si="50"/>
        <v>-</v>
      </c>
      <c r="P62" s="294" t="str">
        <f t="shared" si="50"/>
        <v>-</v>
      </c>
      <c r="Q62" s="214" t="str">
        <f t="shared" si="50"/>
        <v>-</v>
      </c>
      <c r="R62" s="214" t="str">
        <f t="shared" si="50"/>
        <v>-</v>
      </c>
      <c r="S62" s="214" t="str">
        <f t="shared" si="50"/>
        <v>-</v>
      </c>
      <c r="T62" s="214" t="str">
        <f t="shared" si="50"/>
        <v>-</v>
      </c>
      <c r="U62" s="214" t="str">
        <f t="shared" si="50"/>
        <v>-</v>
      </c>
      <c r="V62" s="214" t="str">
        <f t="shared" si="50"/>
        <v>-</v>
      </c>
      <c r="W62" s="214" t="str">
        <f t="shared" si="50"/>
        <v>-</v>
      </c>
      <c r="X62" s="214" t="str">
        <f t="shared" si="50"/>
        <v>-</v>
      </c>
      <c r="Y62" s="214" t="str">
        <f t="shared" si="50"/>
        <v>-</v>
      </c>
      <c r="Z62" s="214" t="str">
        <f t="shared" si="50"/>
        <v>-</v>
      </c>
      <c r="AA62" s="214" t="str">
        <f t="shared" si="50"/>
        <v>-</v>
      </c>
      <c r="AB62" s="294" t="str">
        <f t="shared" si="50"/>
        <v>-</v>
      </c>
      <c r="AC62" s="214" t="str">
        <f t="shared" si="50"/>
        <v>-</v>
      </c>
      <c r="AD62" s="214" t="str">
        <f t="shared" si="50"/>
        <v>-</v>
      </c>
      <c r="AE62" s="214" t="str">
        <f t="shared" si="50"/>
        <v>-</v>
      </c>
      <c r="AF62" s="214" t="str">
        <f t="shared" si="50"/>
        <v>-</v>
      </c>
      <c r="AG62" s="214" t="str">
        <f t="shared" si="50"/>
        <v>-</v>
      </c>
      <c r="AH62" s="214" t="str">
        <f t="shared" si="50"/>
        <v>-</v>
      </c>
      <c r="AI62" s="214" t="str">
        <f t="shared" si="50"/>
        <v>-</v>
      </c>
      <c r="AJ62" s="214" t="str">
        <f t="shared" si="50"/>
        <v>-</v>
      </c>
      <c r="AK62" s="214" t="str">
        <f t="shared" si="50"/>
        <v>-</v>
      </c>
      <c r="AL62" s="214" t="str">
        <f t="shared" si="50"/>
        <v>-</v>
      </c>
      <c r="AM62" s="214" t="str">
        <f t="shared" si="50"/>
        <v>-</v>
      </c>
      <c r="AN62" s="215" t="str">
        <f t="shared" si="50"/>
        <v>-</v>
      </c>
      <c r="AO62" s="241">
        <f t="shared" ref="AO62:AP62" si="51">AO60-AO61</f>
        <v>1033.2180150953375</v>
      </c>
      <c r="AP62" s="242">
        <f t="shared" si="51"/>
        <v>807.72459914319575</v>
      </c>
      <c r="AQ62" s="243" t="str">
        <f t="shared" ref="AQ62" si="52">IFERROR(IF(AQ60=0,"-",(AQ60/AQ61)-1),"-")</f>
        <v>-</v>
      </c>
    </row>
    <row r="63" spans="2:43" ht="15.75" outlineLevel="1" thickBot="1" x14ac:dyDescent="0.3">
      <c r="B63" t="str">
        <f t="shared" si="44"/>
        <v>PC Annual Direct</v>
      </c>
      <c r="C63" t="str">
        <f t="shared" si="42"/>
        <v>Boom Annual</v>
      </c>
      <c r="D63" s="254" t="s">
        <v>17</v>
      </c>
      <c r="E63" s="217"/>
      <c r="F63" s="217"/>
      <c r="G63" s="217"/>
      <c r="H63" s="217"/>
      <c r="I63" s="217"/>
      <c r="J63" s="217"/>
      <c r="K63" s="217"/>
      <c r="L63" s="217"/>
      <c r="M63" s="217"/>
      <c r="N63" s="217"/>
      <c r="O63" s="217"/>
      <c r="P63" s="295"/>
      <c r="Q63" s="217"/>
      <c r="R63" s="217"/>
      <c r="S63" s="217"/>
      <c r="T63" s="217"/>
      <c r="U63" s="217"/>
      <c r="V63" s="217"/>
      <c r="W63" s="217"/>
      <c r="X63" s="217"/>
      <c r="Y63" s="217"/>
      <c r="Z63" s="217"/>
      <c r="AA63" s="217"/>
      <c r="AB63" s="295"/>
      <c r="AC63" s="217"/>
      <c r="AD63" s="217"/>
      <c r="AE63" s="217"/>
      <c r="AF63" s="217"/>
      <c r="AG63" s="217"/>
      <c r="AH63" s="217"/>
      <c r="AI63" s="217"/>
      <c r="AJ63" s="217"/>
      <c r="AK63" s="217"/>
      <c r="AL63" s="217"/>
      <c r="AM63" s="217"/>
      <c r="AN63" s="218"/>
      <c r="AO63" s="244"/>
      <c r="AP63" s="245"/>
      <c r="AQ63" s="246"/>
    </row>
    <row r="64" spans="2:43" ht="15.75" outlineLevel="1" x14ac:dyDescent="0.25">
      <c r="B64" t="str">
        <f t="shared" si="44"/>
        <v>PC Annual Direct</v>
      </c>
      <c r="C64" t="str">
        <f t="shared" si="42"/>
        <v>Boom Annual</v>
      </c>
      <c r="D64" s="208" t="s">
        <v>7</v>
      </c>
      <c r="E64" s="251">
        <v>82173.499999699998</v>
      </c>
      <c r="F64" s="251">
        <v>229673.29464273006</v>
      </c>
      <c r="G64" s="251">
        <v>647926.37499987008</v>
      </c>
      <c r="H64" s="251">
        <v>703076.11607148987</v>
      </c>
      <c r="I64" s="251">
        <v>865968.16964256007</v>
      </c>
      <c r="J64" s="251">
        <v>1212332.40178581</v>
      </c>
      <c r="K64" s="251">
        <v>2197537.6517854906</v>
      </c>
      <c r="L64" s="251">
        <v>1883015.4910720603</v>
      </c>
      <c r="M64" s="251">
        <v>2608458.7946426994</v>
      </c>
      <c r="N64" s="251">
        <v>3179242.9285721909</v>
      </c>
      <c r="O64" s="251">
        <v>2662478.3749998286</v>
      </c>
      <c r="P64" s="296">
        <v>2065218.7678569802</v>
      </c>
      <c r="Q64" s="251">
        <v>1513695.9107143201</v>
      </c>
      <c r="R64" s="251">
        <v>1492680.16964199</v>
      </c>
      <c r="S64" s="251">
        <v>1549691.8125002205</v>
      </c>
      <c r="T64" s="251">
        <v>1216045.1964284205</v>
      </c>
      <c r="U64" s="251">
        <v>1403824.3214288896</v>
      </c>
      <c r="V64" s="251">
        <v>1206893.5625010105</v>
      </c>
      <c r="W64" s="251">
        <v>1259112.6071441497</v>
      </c>
      <c r="X64" s="251">
        <v>1499623.6696426403</v>
      </c>
      <c r="Y64" s="251">
        <v>1419445.6428570296</v>
      </c>
      <c r="Z64" s="251">
        <v>1718625.874999661</v>
      </c>
      <c r="AA64" s="251">
        <v>2348721.2142845793</v>
      </c>
      <c r="AB64" s="296">
        <v>2081476.4642837904</v>
      </c>
      <c r="AC64" s="251">
        <v>2127274.2857133523</v>
      </c>
      <c r="AD64" s="251">
        <v>1923453.0714276298</v>
      </c>
      <c r="AE64" s="251">
        <v>2484761.4910724103</v>
      </c>
      <c r="AF64" s="251">
        <v>2092261.5000006307</v>
      </c>
      <c r="AG64" s="251">
        <v>2021003.3839293607</v>
      </c>
      <c r="AH64" s="251">
        <v>1658264.2589286412</v>
      </c>
      <c r="AI64" s="251">
        <v>1371489.3214288102</v>
      </c>
      <c r="AJ64" s="251">
        <v>1148388.9464283502</v>
      </c>
      <c r="AK64" s="251">
        <v>1180372.4464291504</v>
      </c>
      <c r="AL64" s="251">
        <v>1126032.7500000596</v>
      </c>
      <c r="AM64" s="251">
        <v>1295605.0089280591</v>
      </c>
      <c r="AN64" s="252">
        <v>1213622.4464291527</v>
      </c>
      <c r="AO64" s="253">
        <f t="shared" ref="AO64" si="53">AVERAGE(Z64:AC64)</f>
        <v>2069024.4598203457</v>
      </c>
      <c r="AP64" s="251">
        <f>AVERAGE(R64:AC64)</f>
        <v>1610284.5684521447</v>
      </c>
      <c r="AQ64" s="252"/>
    </row>
    <row r="65" spans="1:44" ht="15.75" outlineLevel="1" x14ac:dyDescent="0.25">
      <c r="B65" t="str">
        <f t="shared" si="44"/>
        <v>PC Annual Direct</v>
      </c>
      <c r="C65" t="str">
        <f t="shared" si="42"/>
        <v>Boom Annual</v>
      </c>
      <c r="D65" s="211" t="s">
        <v>14</v>
      </c>
      <c r="E65" s="221">
        <v>0.17827876383473359</v>
      </c>
      <c r="F65" s="221">
        <v>0.20002704307186278</v>
      </c>
      <c r="G65" s="221">
        <v>0.19516905759570499</v>
      </c>
      <c r="H65" s="221">
        <v>0.11910299338265157</v>
      </c>
      <c r="I65" s="221">
        <v>0.11316130711873436</v>
      </c>
      <c r="J65" s="221">
        <v>0.11449275775803544</v>
      </c>
      <c r="K65" s="221">
        <v>0.1147642270406514</v>
      </c>
      <c r="L65" s="221">
        <v>0.11528051204501899</v>
      </c>
      <c r="M65" s="221">
        <v>0.11461784660523766</v>
      </c>
      <c r="N65" s="221">
        <v>0.11583696756567854</v>
      </c>
      <c r="O65" s="221">
        <v>0.14427606008263061</v>
      </c>
      <c r="P65" s="297">
        <v>0.16720412160409334</v>
      </c>
      <c r="Q65" s="221">
        <v>0.17145960305717142</v>
      </c>
      <c r="R65" s="221">
        <v>0.1719252558044306</v>
      </c>
      <c r="S65" s="221">
        <v>0.17143952614154073</v>
      </c>
      <c r="T65" s="221">
        <v>0.17152116599987605</v>
      </c>
      <c r="U65" s="221">
        <v>0.14375355727889924</v>
      </c>
      <c r="V65" s="221">
        <v>0.14608127466920043</v>
      </c>
      <c r="W65" s="221">
        <v>0.14210319155308562</v>
      </c>
      <c r="X65" s="221">
        <v>0.14202295836714388</v>
      </c>
      <c r="Y65" s="221">
        <v>0.14407135703259752</v>
      </c>
      <c r="Z65" s="221">
        <v>0.14641973198521735</v>
      </c>
      <c r="AA65" s="221">
        <v>0.14555580624910133</v>
      </c>
      <c r="AB65" s="297">
        <v>0.14341918110632501</v>
      </c>
      <c r="AC65" s="221">
        <v>0.14577139021616761</v>
      </c>
      <c r="AD65" s="221">
        <v>0.13958110233496873</v>
      </c>
      <c r="AE65" s="221">
        <v>0.11299435821470891</v>
      </c>
      <c r="AF65" s="221">
        <v>0.11131403985601694</v>
      </c>
      <c r="AG65" s="221">
        <v>0.11226404260594755</v>
      </c>
      <c r="AH65" s="221">
        <v>0.11154903026120765</v>
      </c>
      <c r="AI65" s="221">
        <v>0.11237214726504141</v>
      </c>
      <c r="AJ65" s="221">
        <v>0.11130963111180145</v>
      </c>
      <c r="AK65" s="221">
        <v>0.11094032260423496</v>
      </c>
      <c r="AL65" s="221">
        <v>0.11266396115052901</v>
      </c>
      <c r="AM65" s="221">
        <v>0.11353777500548241</v>
      </c>
      <c r="AN65" s="222">
        <v>0.11278621321071677</v>
      </c>
      <c r="AO65" s="17">
        <f>AVERAGE(Z65:AC65)</f>
        <v>0.14529152738920281</v>
      </c>
      <c r="AP65" s="221">
        <f>AVERAGE(R65:AC65)</f>
        <v>0.15117369970029879</v>
      </c>
      <c r="AQ65" s="222"/>
    </row>
    <row r="66" spans="1:44" ht="15.75" outlineLevel="1" x14ac:dyDescent="0.25">
      <c r="B66" t="str">
        <f t="shared" si="44"/>
        <v>PC Annual Direct</v>
      </c>
      <c r="C66" t="str">
        <f t="shared" si="42"/>
        <v>Boom Annual</v>
      </c>
      <c r="D66" s="223" t="s">
        <v>21</v>
      </c>
      <c r="E66" s="224">
        <f>IFERROR(E57/E$34,"-")</f>
        <v>1</v>
      </c>
      <c r="F66" s="224">
        <f t="shared" ref="F66:AN66" si="54">IFERROR(F57/F$34,"-")</f>
        <v>1</v>
      </c>
      <c r="G66" s="224">
        <f t="shared" si="54"/>
        <v>1</v>
      </c>
      <c r="H66" s="224">
        <f t="shared" si="54"/>
        <v>1</v>
      </c>
      <c r="I66" s="224">
        <f t="shared" si="54"/>
        <v>1</v>
      </c>
      <c r="J66" s="224">
        <f t="shared" si="54"/>
        <v>1</v>
      </c>
      <c r="K66" s="224">
        <f t="shared" si="54"/>
        <v>1</v>
      </c>
      <c r="L66" s="224">
        <f t="shared" si="54"/>
        <v>1</v>
      </c>
      <c r="M66" s="224">
        <f t="shared" si="54"/>
        <v>1</v>
      </c>
      <c r="N66" s="224">
        <f t="shared" si="54"/>
        <v>1</v>
      </c>
      <c r="O66" s="224">
        <f t="shared" si="54"/>
        <v>1</v>
      </c>
      <c r="P66" s="298">
        <f t="shared" si="54"/>
        <v>1</v>
      </c>
      <c r="Q66" s="224">
        <f t="shared" si="54"/>
        <v>1</v>
      </c>
      <c r="R66" s="224">
        <f t="shared" si="54"/>
        <v>1</v>
      </c>
      <c r="S66" s="224">
        <f t="shared" si="54"/>
        <v>1</v>
      </c>
      <c r="T66" s="224">
        <f t="shared" si="54"/>
        <v>1</v>
      </c>
      <c r="U66" s="224">
        <f t="shared" si="54"/>
        <v>1</v>
      </c>
      <c r="V66" s="224">
        <f t="shared" si="54"/>
        <v>1</v>
      </c>
      <c r="W66" s="224">
        <f t="shared" si="54"/>
        <v>1</v>
      </c>
      <c r="X66" s="224">
        <f t="shared" si="54"/>
        <v>1</v>
      </c>
      <c r="Y66" s="224">
        <f t="shared" si="54"/>
        <v>1</v>
      </c>
      <c r="Z66" s="224">
        <f t="shared" si="54"/>
        <v>1</v>
      </c>
      <c r="AA66" s="224">
        <f t="shared" si="54"/>
        <v>1</v>
      </c>
      <c r="AB66" s="298">
        <f t="shared" si="54"/>
        <v>1</v>
      </c>
      <c r="AC66" s="224">
        <f t="shared" si="54"/>
        <v>0.7445483923622257</v>
      </c>
      <c r="AD66" s="224">
        <f t="shared" si="54"/>
        <v>0.34566444212491199</v>
      </c>
      <c r="AE66" s="224">
        <f t="shared" si="54"/>
        <v>0.29135498677249494</v>
      </c>
      <c r="AF66" s="224">
        <f t="shared" si="54"/>
        <v>0.26985310444958888</v>
      </c>
      <c r="AG66" s="224">
        <f t="shared" si="54"/>
        <v>0.28027437167896818</v>
      </c>
      <c r="AH66" s="224">
        <f t="shared" si="54"/>
        <v>0.27529881208453438</v>
      </c>
      <c r="AI66" s="224">
        <f t="shared" si="54"/>
        <v>0.2654225644502618</v>
      </c>
      <c r="AJ66" s="224">
        <f t="shared" si="54"/>
        <v>0.25099532139425113</v>
      </c>
      <c r="AK66" s="224">
        <f t="shared" si="54"/>
        <v>0.27210040826687459</v>
      </c>
      <c r="AL66" s="224">
        <f t="shared" si="54"/>
        <v>0.2603438263611722</v>
      </c>
      <c r="AM66" s="224">
        <f t="shared" si="54"/>
        <v>0.25737654951843558</v>
      </c>
      <c r="AN66" s="225">
        <f t="shared" si="54"/>
        <v>0.23895996234679609</v>
      </c>
      <c r="AO66" s="249">
        <f t="shared" ref="AO66:AP66" si="55">AO57/AO$8</f>
        <v>0.45180642626218748</v>
      </c>
      <c r="AP66" s="224">
        <f t="shared" si="55"/>
        <v>0.46243377164957783</v>
      </c>
      <c r="AQ66" s="225"/>
    </row>
    <row r="67" spans="1:44" ht="15.75" outlineLevel="1" x14ac:dyDescent="0.25">
      <c r="B67" t="str">
        <f t="shared" si="44"/>
        <v>PC Annual Direct</v>
      </c>
      <c r="C67" t="str">
        <f t="shared" si="42"/>
        <v>Boom Annual</v>
      </c>
      <c r="D67" s="211" t="s">
        <v>199</v>
      </c>
      <c r="E67" s="173">
        <v>6012.3282142999997</v>
      </c>
      <c r="F67" s="173">
        <v>4034.2332142999999</v>
      </c>
      <c r="G67" s="173">
        <v>5044.9303571</v>
      </c>
      <c r="H67" s="173">
        <v>5720.2667856999997</v>
      </c>
      <c r="I67" s="173">
        <v>5495.2028571000001</v>
      </c>
      <c r="J67" s="173">
        <v>4794.7578571000004</v>
      </c>
      <c r="K67" s="173">
        <v>5669.1964286000002</v>
      </c>
      <c r="L67" s="173">
        <v>8283.0174999999999</v>
      </c>
      <c r="M67" s="173">
        <v>6897.87</v>
      </c>
      <c r="N67" s="173">
        <v>5988.1310714000001</v>
      </c>
      <c r="O67" s="173">
        <v>12424.148929000001</v>
      </c>
      <c r="P67" s="299">
        <v>6453.2342857000003</v>
      </c>
      <c r="Q67" s="173">
        <v>7797.1314285999997</v>
      </c>
      <c r="R67" s="173">
        <v>7059.6260714</v>
      </c>
      <c r="S67" s="173">
        <v>5358.3832143</v>
      </c>
      <c r="T67" s="173">
        <v>3687.8485713999999</v>
      </c>
      <c r="U67" s="173">
        <v>4438.9724999999999</v>
      </c>
      <c r="V67" s="173">
        <v>6645.7557143000004</v>
      </c>
      <c r="W67" s="173">
        <v>6484.6410714000003</v>
      </c>
      <c r="X67" s="173">
        <v>7953.1503571000003</v>
      </c>
      <c r="Y67" s="173">
        <v>8411.4500000000007</v>
      </c>
      <c r="Z67" s="173">
        <v>7534.0403570999997</v>
      </c>
      <c r="AA67" s="173">
        <v>8186.4639286000001</v>
      </c>
      <c r="AB67" s="299">
        <v>4542.6003571000001</v>
      </c>
      <c r="AC67" s="173">
        <v>5152.4285713999998</v>
      </c>
      <c r="AD67" s="173">
        <v>5795.5574999999999</v>
      </c>
      <c r="AE67" s="173">
        <v>6806.08</v>
      </c>
      <c r="AF67" s="173">
        <v>8657.8785714000005</v>
      </c>
      <c r="AG67" s="173">
        <v>5870.3742856999997</v>
      </c>
      <c r="AH67" s="173">
        <v>7328.7010713999998</v>
      </c>
      <c r="AI67" s="173">
        <v>6168.2632143000001</v>
      </c>
      <c r="AJ67" s="173">
        <v>5874.47</v>
      </c>
      <c r="AK67" s="173">
        <v>6716.7107143000003</v>
      </c>
      <c r="AL67" s="173">
        <v>5057.1089285999997</v>
      </c>
      <c r="AM67" s="173">
        <v>5520.9482142999996</v>
      </c>
      <c r="AN67" s="228">
        <v>4790.8517856999997</v>
      </c>
      <c r="AO67" s="17"/>
      <c r="AP67" s="221"/>
      <c r="AQ67" s="222"/>
    </row>
    <row r="68" spans="1:44" ht="15.75" outlineLevel="1" x14ac:dyDescent="0.25">
      <c r="B68" t="str">
        <f t="shared" si="44"/>
        <v>PC Annual Direct</v>
      </c>
      <c r="C68" t="str">
        <f t="shared" si="42"/>
        <v>Boom Annual</v>
      </c>
      <c r="D68" s="223" t="s">
        <v>200</v>
      </c>
      <c r="E68" s="229">
        <v>318.27928571000001</v>
      </c>
      <c r="F68" s="229">
        <v>85.952500000000001</v>
      </c>
      <c r="G68" s="229">
        <v>89.076785713999996</v>
      </c>
      <c r="H68" s="229">
        <v>89.076785713999996</v>
      </c>
      <c r="I68" s="229">
        <v>124.88785713999999</v>
      </c>
      <c r="J68" s="229">
        <v>121.69</v>
      </c>
      <c r="K68" s="229">
        <v>118.77500000000001</v>
      </c>
      <c r="L68" s="229">
        <v>117.60357143</v>
      </c>
      <c r="M68" s="229">
        <v>117.60357143</v>
      </c>
      <c r="N68" s="229">
        <v>117.60357143</v>
      </c>
      <c r="O68" s="229">
        <v>77.806071428999999</v>
      </c>
      <c r="P68" s="300">
        <v>76.543571428999996</v>
      </c>
      <c r="Q68" s="229">
        <v>88.433571428999997</v>
      </c>
      <c r="R68" s="229">
        <v>88.433571428999997</v>
      </c>
      <c r="S68" s="229">
        <v>88.433571428999997</v>
      </c>
      <c r="T68" s="229">
        <v>88.433571428999997</v>
      </c>
      <c r="U68" s="229">
        <v>342.40571428999999</v>
      </c>
      <c r="V68" s="229">
        <v>351.50571429000001</v>
      </c>
      <c r="W68" s="229">
        <v>349.99892856999998</v>
      </c>
      <c r="X68" s="229">
        <v>100.03749999999999</v>
      </c>
      <c r="Y68" s="229">
        <v>349.99892856999998</v>
      </c>
      <c r="Z68" s="229">
        <v>349.99892856999998</v>
      </c>
      <c r="AA68" s="229">
        <v>349.99892856999998</v>
      </c>
      <c r="AB68" s="300">
        <v>349.99892856999998</v>
      </c>
      <c r="AC68" s="229">
        <v>349.99892856999998</v>
      </c>
      <c r="AD68" s="229">
        <v>349.99892856999998</v>
      </c>
      <c r="AE68" s="229">
        <v>349.99785714000001</v>
      </c>
      <c r="AF68" s="229">
        <v>349.99821429000002</v>
      </c>
      <c r="AG68" s="229">
        <v>349.99785714000001</v>
      </c>
      <c r="AH68" s="229">
        <v>349.99785714000001</v>
      </c>
      <c r="AI68" s="229">
        <v>349.99785714000001</v>
      </c>
      <c r="AJ68" s="229">
        <v>349.99785714000001</v>
      </c>
      <c r="AK68" s="229">
        <v>349.99785714000001</v>
      </c>
      <c r="AL68" s="229">
        <v>349.99785714000001</v>
      </c>
      <c r="AM68" s="229">
        <v>349.99785714000001</v>
      </c>
      <c r="AN68" s="230">
        <v>0.89285714289999996</v>
      </c>
      <c r="AO68" s="249"/>
      <c r="AP68" s="224"/>
      <c r="AQ68" s="225"/>
    </row>
    <row r="69" spans="1:44" ht="15.75" outlineLevel="1" x14ac:dyDescent="0.25">
      <c r="B69" t="str">
        <f t="shared" si="44"/>
        <v>PC Annual Direct</v>
      </c>
      <c r="C69" t="str">
        <f t="shared" si="42"/>
        <v>Boom Annual</v>
      </c>
      <c r="D69" s="211" t="s">
        <v>201</v>
      </c>
      <c r="E69" s="221">
        <v>2.2727272727272728E-2</v>
      </c>
      <c r="F69" s="221">
        <v>0.29523809523809524</v>
      </c>
      <c r="G69" s="221">
        <v>0.43278301886792453</v>
      </c>
      <c r="H69" s="221">
        <v>0.29172714078374457</v>
      </c>
      <c r="I69" s="221">
        <v>0.17972972972972973</v>
      </c>
      <c r="J69" s="221">
        <v>0.23886639676113361</v>
      </c>
      <c r="K69" s="221">
        <v>0.32300884955752213</v>
      </c>
      <c r="L69" s="221">
        <v>0.3503717472118959</v>
      </c>
      <c r="M69" s="221">
        <v>0.38239116309291749</v>
      </c>
      <c r="N69" s="221">
        <v>0.46035189202217403</v>
      </c>
      <c r="O69" s="221">
        <v>0.49919786096256685</v>
      </c>
      <c r="P69" s="297">
        <v>0.44717182497331909</v>
      </c>
      <c r="Q69" s="221">
        <v>0.5119893428063943</v>
      </c>
      <c r="R69" s="221">
        <v>0.56054365733113676</v>
      </c>
      <c r="S69" s="221">
        <v>0.60667340748230536</v>
      </c>
      <c r="T69" s="221">
        <v>0.47333956969130025</v>
      </c>
      <c r="U69" s="221">
        <v>1.4721919302071973E-2</v>
      </c>
      <c r="V69" s="221">
        <v>0</v>
      </c>
      <c r="W69" s="221">
        <v>4.9937578027465668E-3</v>
      </c>
      <c r="X69" s="221">
        <v>5.8765915768854062E-3</v>
      </c>
      <c r="Y69" s="221">
        <v>3.1217481789802288E-3</v>
      </c>
      <c r="Z69" s="221">
        <v>4.9301561216105174E-3</v>
      </c>
      <c r="AA69" s="221">
        <v>3.0226700251889168E-3</v>
      </c>
      <c r="AB69" s="297">
        <v>6.6408411732152743E-3</v>
      </c>
      <c r="AC69" s="221">
        <v>6.0010911074740861E-3</v>
      </c>
      <c r="AD69" s="221">
        <v>2.3880597014925373E-3</v>
      </c>
      <c r="AE69" s="221">
        <v>9.3940817285110385E-4</v>
      </c>
      <c r="AF69" s="221">
        <v>4.9850448654037882E-4</v>
      </c>
      <c r="AG69" s="221">
        <v>3.8628681796233702E-3</v>
      </c>
      <c r="AH69" s="221">
        <v>3.5629453681710215E-3</v>
      </c>
      <c r="AI69" s="221">
        <v>2.9090909090909089E-3</v>
      </c>
      <c r="AJ69" s="221">
        <v>4.2662116040955633E-3</v>
      </c>
      <c r="AK69" s="221">
        <v>5.3285968028419185E-3</v>
      </c>
      <c r="AL69" s="221">
        <v>3.5682426404995541E-3</v>
      </c>
      <c r="AM69" s="221">
        <v>3.1796502384737681E-3</v>
      </c>
      <c r="AN69" s="222">
        <v>4.2589437819420782E-3</v>
      </c>
      <c r="AO69" s="17"/>
      <c r="AP69" s="221"/>
      <c r="AQ69" s="222"/>
    </row>
    <row r="70" spans="1:44" ht="15.75" outlineLevel="1" x14ac:dyDescent="0.25">
      <c r="B70" t="str">
        <f t="shared" si="44"/>
        <v>PC Annual Direct</v>
      </c>
      <c r="C70" t="str">
        <f t="shared" si="42"/>
        <v>Boom Annual</v>
      </c>
      <c r="D70" s="223" t="s">
        <v>202</v>
      </c>
      <c r="E70" s="224">
        <v>0.52998768074792102</v>
      </c>
      <c r="F70" s="224">
        <v>0.50899368588501104</v>
      </c>
      <c r="G70" s="224">
        <v>0.346936596508438</v>
      </c>
      <c r="H70" s="224">
        <v>0.34921988234291101</v>
      </c>
      <c r="I70" s="224">
        <v>0.34467582020445497</v>
      </c>
      <c r="J70" s="224">
        <v>0.34428121041304099</v>
      </c>
      <c r="K70" s="224">
        <v>0.345915617878502</v>
      </c>
      <c r="L70" s="224">
        <v>0.34665046332513</v>
      </c>
      <c r="M70" s="224">
        <v>0.34700861009175299</v>
      </c>
      <c r="N70" s="224">
        <v>0.34715728668569301</v>
      </c>
      <c r="O70" s="224">
        <v>1.51946728330007</v>
      </c>
      <c r="P70" s="298">
        <v>0.39533039073135601</v>
      </c>
      <c r="Q70" s="224">
        <v>0.24359243867967401</v>
      </c>
      <c r="R70" s="224">
        <v>0.244563878171077</v>
      </c>
      <c r="S70" s="224">
        <v>0.2440091140132</v>
      </c>
      <c r="T70" s="224">
        <v>0.24465574842884899</v>
      </c>
      <c r="U70" s="224">
        <v>0.218633760403629</v>
      </c>
      <c r="V70" s="224">
        <v>0.18861940027281601</v>
      </c>
      <c r="W70" s="224">
        <v>0.18841531596470801</v>
      </c>
      <c r="X70" s="224">
        <v>0.18846102292165701</v>
      </c>
      <c r="Y70" s="224">
        <v>0.18865590111483499</v>
      </c>
      <c r="Z70" s="224">
        <v>0.188662742847614</v>
      </c>
      <c r="AA70" s="224">
        <v>0.188662742847614</v>
      </c>
      <c r="AB70" s="298">
        <v>0.18852139121614001</v>
      </c>
      <c r="AC70" s="224">
        <v>0.188662742847614</v>
      </c>
      <c r="AD70" s="224">
        <v>0.18852139121614001</v>
      </c>
      <c r="AE70" s="224">
        <v>0.18852703741155399</v>
      </c>
      <c r="AF70" s="224">
        <v>0.167662221164705</v>
      </c>
      <c r="AG70" s="224">
        <v>0.167662221164705</v>
      </c>
      <c r="AH70" s="224">
        <v>0.167662221164705</v>
      </c>
      <c r="AI70" s="224">
        <v>0.167662221164705</v>
      </c>
      <c r="AJ70" s="224">
        <v>0.167662221164705</v>
      </c>
      <c r="AK70" s="224">
        <v>0.197021829773881</v>
      </c>
      <c r="AL70" s="224">
        <v>0.197021829773881</v>
      </c>
      <c r="AM70" s="224">
        <v>0.197021829773881</v>
      </c>
      <c r="AN70" s="225">
        <v>0.197021829773881</v>
      </c>
      <c r="AO70" s="249"/>
      <c r="AP70" s="224"/>
      <c r="AQ70" s="225"/>
    </row>
    <row r="71" spans="1:44" ht="16.5" outlineLevel="1" thickBot="1" x14ac:dyDescent="0.3">
      <c r="B71" t="str">
        <f t="shared" si="44"/>
        <v>PC Annual Direct</v>
      </c>
      <c r="C71" t="str">
        <f t="shared" si="42"/>
        <v>Boom Annual</v>
      </c>
      <c r="D71" s="226" t="s">
        <v>203</v>
      </c>
      <c r="E71" s="231">
        <v>0.33333398714475998</v>
      </c>
      <c r="F71" s="227">
        <v>0.33323887786436301</v>
      </c>
      <c r="G71" s="227">
        <v>0.33307084735882903</v>
      </c>
      <c r="H71" s="227">
        <v>0.33312289846292897</v>
      </c>
      <c r="I71" s="227">
        <v>0.33329737116731001</v>
      </c>
      <c r="J71" s="227">
        <v>0.33329886324874702</v>
      </c>
      <c r="K71" s="227">
        <v>0.333113703757554</v>
      </c>
      <c r="L71" s="227">
        <v>0.33328543373409297</v>
      </c>
      <c r="M71" s="227">
        <v>0.33322746239273399</v>
      </c>
      <c r="N71" s="227">
        <v>0.25034762713805297</v>
      </c>
      <c r="O71" s="227">
        <v>0.207674278048852</v>
      </c>
      <c r="P71" s="301">
        <v>0.176472768582216</v>
      </c>
      <c r="Q71" s="227">
        <v>0.207645422959298</v>
      </c>
      <c r="R71" s="227">
        <v>0.20762972463936599</v>
      </c>
      <c r="S71" s="227">
        <v>0.207628279960825</v>
      </c>
      <c r="T71" s="227">
        <v>0.176454851990584</v>
      </c>
      <c r="U71" s="227">
        <v>0.11110960612313101</v>
      </c>
      <c r="V71" s="227">
        <v>0.11108791534092299</v>
      </c>
      <c r="W71" s="227">
        <v>0.11109566957508001</v>
      </c>
      <c r="X71" s="227">
        <v>0.11109901855596301</v>
      </c>
      <c r="Y71" s="227">
        <v>0.11109392880339</v>
      </c>
      <c r="Z71" s="227">
        <v>0.11109535057157</v>
      </c>
      <c r="AA71" s="227">
        <v>0.111096636714415</v>
      </c>
      <c r="AB71" s="301">
        <v>0.111090889236338</v>
      </c>
      <c r="AC71" s="227">
        <v>0.111089510935605</v>
      </c>
      <c r="AD71" s="227">
        <v>5.0192158832867997E-2</v>
      </c>
      <c r="AE71" s="227">
        <v>4.8875761486211901E-2</v>
      </c>
      <c r="AF71" s="227">
        <v>4.8868416297400498E-2</v>
      </c>
      <c r="AG71" s="227">
        <v>4.8873226374849303E-2</v>
      </c>
      <c r="AH71" s="227">
        <v>4.8873780752466199E-2</v>
      </c>
      <c r="AI71" s="227">
        <v>4.8871441958596301E-2</v>
      </c>
      <c r="AJ71" s="227">
        <v>4.8866517576094101E-2</v>
      </c>
      <c r="AK71" s="227">
        <v>4.8866493768360102E-2</v>
      </c>
      <c r="AL71" s="227">
        <v>4.8870590792255302E-2</v>
      </c>
      <c r="AM71" s="227">
        <v>4.8870050514530999E-2</v>
      </c>
      <c r="AN71" s="227">
        <v>0</v>
      </c>
      <c r="AO71" s="250"/>
      <c r="AP71" s="227"/>
      <c r="AQ71" s="227"/>
      <c r="AR71" s="307"/>
    </row>
    <row r="72" spans="1:44" outlineLevel="1" x14ac:dyDescent="0.25"/>
    <row r="73" spans="1:44" ht="15.75" outlineLevel="1" thickBot="1" x14ac:dyDescent="0.3">
      <c r="D73" s="291"/>
      <c r="E73" s="291"/>
    </row>
    <row r="74" spans="1:44" ht="21" outlineLevel="1" x14ac:dyDescent="0.25">
      <c r="A74" s="290"/>
      <c r="C74" s="290"/>
      <c r="D74" s="364" t="s">
        <v>351</v>
      </c>
      <c r="F74" s="202"/>
      <c r="G74" s="202"/>
      <c r="H74" s="202"/>
      <c r="I74" s="202"/>
      <c r="J74" s="202"/>
      <c r="K74" s="202"/>
      <c r="L74" s="202"/>
      <c r="M74" s="202"/>
      <c r="N74" s="202"/>
      <c r="O74" s="202"/>
      <c r="P74" s="233"/>
      <c r="Q74" s="202"/>
      <c r="R74" s="202"/>
      <c r="S74" s="202"/>
      <c r="T74" s="202"/>
      <c r="U74" s="202"/>
      <c r="V74" s="202"/>
      <c r="W74" s="202"/>
      <c r="X74" s="202"/>
      <c r="Y74" s="202"/>
      <c r="Z74" s="202"/>
      <c r="AA74" s="202"/>
      <c r="AB74" s="233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33"/>
      <c r="AO74" s="202"/>
      <c r="AP74" s="202"/>
      <c r="AQ74" s="233"/>
    </row>
    <row r="75" spans="1:44" ht="15.75" outlineLevel="1" thickBot="1" x14ac:dyDescent="0.3">
      <c r="A75" s="290"/>
      <c r="C75" s="290"/>
      <c r="D75" s="306"/>
      <c r="E75" s="287" t="s">
        <v>341</v>
      </c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92"/>
      <c r="Q75" s="287" t="s">
        <v>341</v>
      </c>
      <c r="R75" s="287"/>
      <c r="S75" s="287"/>
      <c r="T75" s="287"/>
      <c r="U75" s="287"/>
      <c r="V75" s="287"/>
      <c r="W75" s="287"/>
      <c r="X75" s="287"/>
      <c r="Y75" s="287"/>
      <c r="Z75" s="287"/>
      <c r="AA75" s="287"/>
      <c r="AB75" s="292"/>
      <c r="AC75" s="287" t="s">
        <v>341</v>
      </c>
      <c r="AD75" s="287"/>
      <c r="AE75" s="287"/>
      <c r="AF75" s="287"/>
      <c r="AG75" s="287"/>
      <c r="AH75" s="287"/>
      <c r="AI75" s="287"/>
      <c r="AJ75" s="287"/>
      <c r="AK75" s="287"/>
      <c r="AL75" s="287"/>
      <c r="AM75" s="287"/>
      <c r="AN75" s="292"/>
      <c r="AO75" s="511" t="s">
        <v>8</v>
      </c>
      <c r="AP75" s="511"/>
      <c r="AQ75" s="512"/>
    </row>
    <row r="76" spans="1:44" outlineLevel="1" x14ac:dyDescent="0.25">
      <c r="A76" s="290"/>
      <c r="C76" s="290"/>
      <c r="D76" s="305" t="s">
        <v>16</v>
      </c>
      <c r="E76" s="304">
        <f t="shared" ref="E76:AN76" si="56">E$4</f>
        <v>44562</v>
      </c>
      <c r="F76" s="206">
        <f t="shared" si="56"/>
        <v>44593</v>
      </c>
      <c r="G76" s="206">
        <f t="shared" si="56"/>
        <v>44621</v>
      </c>
      <c r="H76" s="206">
        <f t="shared" si="56"/>
        <v>44652</v>
      </c>
      <c r="I76" s="206">
        <f t="shared" si="56"/>
        <v>44682</v>
      </c>
      <c r="J76" s="206">
        <f t="shared" si="56"/>
        <v>44713</v>
      </c>
      <c r="K76" s="206">
        <f t="shared" si="56"/>
        <v>44743</v>
      </c>
      <c r="L76" s="206">
        <f t="shared" si="56"/>
        <v>44774</v>
      </c>
      <c r="M76" s="206">
        <f t="shared" si="56"/>
        <v>44805</v>
      </c>
      <c r="N76" s="206">
        <f t="shared" si="56"/>
        <v>44835</v>
      </c>
      <c r="O76" s="206">
        <f t="shared" si="56"/>
        <v>44866</v>
      </c>
      <c r="P76" s="293">
        <f t="shared" si="56"/>
        <v>44896</v>
      </c>
      <c r="Q76" s="206">
        <f t="shared" si="56"/>
        <v>44927</v>
      </c>
      <c r="R76" s="206">
        <f t="shared" si="56"/>
        <v>44958</v>
      </c>
      <c r="S76" s="206">
        <f t="shared" si="56"/>
        <v>44986</v>
      </c>
      <c r="T76" s="206">
        <f t="shared" si="56"/>
        <v>45017</v>
      </c>
      <c r="U76" s="206">
        <f t="shared" si="56"/>
        <v>45047</v>
      </c>
      <c r="V76" s="206">
        <f t="shared" si="56"/>
        <v>45078</v>
      </c>
      <c r="W76" s="206">
        <f t="shared" si="56"/>
        <v>45108</v>
      </c>
      <c r="X76" s="206">
        <f t="shared" si="56"/>
        <v>45139</v>
      </c>
      <c r="Y76" s="206">
        <f t="shared" si="56"/>
        <v>45170</v>
      </c>
      <c r="Z76" s="206">
        <f t="shared" si="56"/>
        <v>45200</v>
      </c>
      <c r="AA76" s="206">
        <f t="shared" si="56"/>
        <v>45231</v>
      </c>
      <c r="AB76" s="293">
        <f t="shared" si="56"/>
        <v>45261</v>
      </c>
      <c r="AC76" s="206">
        <f t="shared" si="56"/>
        <v>45292</v>
      </c>
      <c r="AD76" s="206">
        <f t="shared" si="56"/>
        <v>45323</v>
      </c>
      <c r="AE76" s="206">
        <f t="shared" si="56"/>
        <v>45352</v>
      </c>
      <c r="AF76" s="206">
        <f t="shared" si="56"/>
        <v>45383</v>
      </c>
      <c r="AG76" s="206">
        <f t="shared" si="56"/>
        <v>45413</v>
      </c>
      <c r="AH76" s="206">
        <f t="shared" si="56"/>
        <v>45444</v>
      </c>
      <c r="AI76" s="206">
        <f t="shared" si="56"/>
        <v>45474</v>
      </c>
      <c r="AJ76" s="206">
        <f t="shared" si="56"/>
        <v>45505</v>
      </c>
      <c r="AK76" s="206">
        <f t="shared" si="56"/>
        <v>45536</v>
      </c>
      <c r="AL76" s="206">
        <f t="shared" si="56"/>
        <v>45566</v>
      </c>
      <c r="AM76" s="206">
        <f t="shared" si="56"/>
        <v>45597</v>
      </c>
      <c r="AN76" s="293">
        <f t="shared" si="56"/>
        <v>45627</v>
      </c>
      <c r="AO76" s="234" t="s">
        <v>9</v>
      </c>
      <c r="AP76" s="235">
        <f>AP50</f>
        <v>0</v>
      </c>
      <c r="AQ76" s="236" t="s">
        <v>346</v>
      </c>
    </row>
    <row r="77" spans="1:44" ht="15.75" outlineLevel="1" x14ac:dyDescent="0.25">
      <c r="B77" t="str">
        <f>$D$2</f>
        <v>PC Annual Direct</v>
      </c>
      <c r="C77" t="s">
        <v>353</v>
      </c>
      <c r="D77" s="208" t="s">
        <v>3</v>
      </c>
      <c r="E77" s="209">
        <v>0</v>
      </c>
      <c r="F77" s="209">
        <v>0</v>
      </c>
      <c r="G77" s="209">
        <v>0</v>
      </c>
      <c r="H77" s="209">
        <v>0</v>
      </c>
      <c r="I77" s="209">
        <v>0</v>
      </c>
      <c r="J77" s="209">
        <v>0</v>
      </c>
      <c r="K77" s="209">
        <v>0</v>
      </c>
      <c r="L77" s="209">
        <v>0</v>
      </c>
      <c r="M77" s="209">
        <v>0</v>
      </c>
      <c r="N77" s="209">
        <v>0</v>
      </c>
      <c r="O77" s="209">
        <v>0</v>
      </c>
      <c r="P77" s="238">
        <v>0</v>
      </c>
      <c r="Q77" s="209">
        <v>0</v>
      </c>
      <c r="R77" s="209">
        <v>0</v>
      </c>
      <c r="S77" s="209">
        <v>0</v>
      </c>
      <c r="T77" s="209">
        <v>0</v>
      </c>
      <c r="U77" s="209">
        <v>0</v>
      </c>
      <c r="V77" s="209">
        <v>0</v>
      </c>
      <c r="W77" s="209">
        <v>0</v>
      </c>
      <c r="X77" s="209">
        <v>0</v>
      </c>
      <c r="Y77" s="209">
        <v>0</v>
      </c>
      <c r="Z77" s="209">
        <v>0</v>
      </c>
      <c r="AA77" s="209">
        <v>0</v>
      </c>
      <c r="AB77" s="238">
        <v>0</v>
      </c>
      <c r="AC77" s="209">
        <v>424</v>
      </c>
      <c r="AD77" s="209">
        <v>2184</v>
      </c>
      <c r="AE77" s="209">
        <v>3899</v>
      </c>
      <c r="AF77" s="209">
        <v>4154</v>
      </c>
      <c r="AG77" s="209">
        <v>3916</v>
      </c>
      <c r="AH77" s="209">
        <v>3404</v>
      </c>
      <c r="AI77" s="209">
        <v>2964</v>
      </c>
      <c r="AJ77" s="209">
        <v>2613</v>
      </c>
      <c r="AK77" s="209">
        <v>2499</v>
      </c>
      <c r="AL77" s="209">
        <v>2478</v>
      </c>
      <c r="AM77" s="209">
        <v>2808</v>
      </c>
      <c r="AN77" s="238">
        <v>2902</v>
      </c>
      <c r="AO77" s="209">
        <f t="shared" ref="AO77:AO82" si="57">AVERAGE(Z77:AC77)</f>
        <v>106</v>
      </c>
      <c r="AP77" s="209">
        <f>AVERAGE(R77:AC77)</f>
        <v>35.333333333333336</v>
      </c>
      <c r="AQ77" s="238">
        <f>SUMIFS(AC77:AN77,AC$4:AN$4,"&lt;"&amp;'Title Sheet'!$C$13)</f>
        <v>34245</v>
      </c>
    </row>
    <row r="78" spans="1:44" ht="15.75" hidden="1" outlineLevel="1" x14ac:dyDescent="0.25">
      <c r="B78" t="str">
        <f>"PC Annual Direct - Premium Finance_W VYRs"</f>
        <v>PC Annual Direct - Premium Finance_W VYRs</v>
      </c>
      <c r="C78" t="str">
        <f t="shared" ref="C78:C94" si="58">$C77</f>
        <v>Boom Premium Finance</v>
      </c>
      <c r="D78" s="211" t="s">
        <v>4</v>
      </c>
      <c r="E78" s="31" t="e">
        <f>INDEX('Plan Figures'!$B$53:$AP$79,MATCH('Headline - MGA and MPM'!E$4,'Plan Figures'!$B$53:$B$79,0),MATCH('Headline - MGA and MPM'!#REF!,'Plan Figures'!$B$1:$AP$1,0))</f>
        <v>#N/A</v>
      </c>
      <c r="F78" s="31" t="e">
        <f>INDEX('Plan Figures'!$B$53:$AP$79,MATCH('Headline - MGA and MPM'!F$4,'Plan Figures'!$B$53:$B$79,0),MATCH('Headline - MGA and MPM'!#REF!,'Plan Figures'!$B$1:$AP$1,0))</f>
        <v>#N/A</v>
      </c>
      <c r="G78" s="31" t="e">
        <f>INDEX('Plan Figures'!$B$53:$AP$79,MATCH('Headline - MGA and MPM'!G$4,'Plan Figures'!$B$53:$B$79,0),MATCH('Headline - MGA and MPM'!#REF!,'Plan Figures'!$B$1:$AP$1,0))</f>
        <v>#N/A</v>
      </c>
      <c r="H78" s="31" t="e">
        <f>INDEX('Plan Figures'!$B$53:$AP$79,MATCH('Headline - MGA and MPM'!H$4,'Plan Figures'!$B$53:$B$79,0),MATCH('Headline - MGA and MPM'!#REF!,'Plan Figures'!$B$1:$AP$1,0))</f>
        <v>#N/A</v>
      </c>
      <c r="I78" s="31" t="e">
        <f>INDEX('Plan Figures'!$B$53:$AP$79,MATCH('Headline - MGA and MPM'!I$4,'Plan Figures'!$B$53:$B$79,0),MATCH('Headline - MGA and MPM'!#REF!,'Plan Figures'!$B$1:$AP$1,0))</f>
        <v>#N/A</v>
      </c>
      <c r="J78" s="31" t="e">
        <f>INDEX('Plan Figures'!$B$53:$AP$79,MATCH('Headline - MGA and MPM'!J$4,'Plan Figures'!$B$53:$B$79,0),MATCH('Headline - MGA and MPM'!#REF!,'Plan Figures'!$B$1:$AP$1,0))</f>
        <v>#N/A</v>
      </c>
      <c r="K78" s="31" t="e">
        <f>INDEX('Plan Figures'!$B$53:$AP$79,MATCH('Headline - MGA and MPM'!K$4,'Plan Figures'!$B$53:$B$79,0),MATCH('Headline - MGA and MPM'!#REF!,'Plan Figures'!$B$1:$AP$1,0))</f>
        <v>#N/A</v>
      </c>
      <c r="L78" s="31" t="e">
        <f>INDEX('Plan Figures'!$B$53:$AP$79,MATCH('Headline - MGA and MPM'!L$4,'Plan Figures'!$B$53:$B$79,0),MATCH('Headline - MGA and MPM'!#REF!,'Plan Figures'!$B$1:$AP$1,0))</f>
        <v>#N/A</v>
      </c>
      <c r="M78" s="31" t="e">
        <f>INDEX('Plan Figures'!$B$53:$AP$79,MATCH('Headline - MGA and MPM'!M$4,'Plan Figures'!$B$53:$B$79,0),MATCH('Headline - MGA and MPM'!#REF!,'Plan Figures'!$B$1:$AP$1,0))</f>
        <v>#N/A</v>
      </c>
      <c r="N78" s="31" t="e">
        <f>INDEX('Plan Figures'!$B$53:$AP$79,MATCH('Headline - MGA and MPM'!N$4,'Plan Figures'!$B$53:$B$79,0),MATCH('Headline - MGA and MPM'!#REF!,'Plan Figures'!$B$1:$AP$1,0))</f>
        <v>#N/A</v>
      </c>
      <c r="O78" s="31" t="e">
        <f>INDEX('Plan Figures'!$B$53:$AP$79,MATCH('Headline - MGA and MPM'!O$4,'Plan Figures'!$B$53:$B$79,0),MATCH('Headline - MGA and MPM'!#REF!,'Plan Figures'!$B$1:$AP$1,0))</f>
        <v>#N/A</v>
      </c>
      <c r="P78" s="240" t="e">
        <f>INDEX('Plan Figures'!$B$53:$AP$79,MATCH('Headline - MGA and MPM'!P$4,'Plan Figures'!$B$53:$B$79,0),MATCH('Headline - MGA and MPM'!#REF!,'Plan Figures'!$B$1:$AP$1,0))</f>
        <v>#REF!</v>
      </c>
      <c r="Q78" s="31" t="e">
        <f>INDEX('Plan Figures'!$B$53:$AP$79,MATCH('Headline - MGA and MPM'!Q$4,'Plan Figures'!$B$53:$B$79,0),MATCH('Headline - MGA and MPM'!#REF!,'Plan Figures'!$B$1:$AP$1,0))</f>
        <v>#REF!</v>
      </c>
      <c r="R78" s="31" t="e">
        <f>INDEX('Plan Figures'!$B$53:$AP$79,MATCH('Headline - MGA and MPM'!R$4,'Plan Figures'!$B$53:$B$79,0),MATCH('Headline - MGA and MPM'!#REF!,'Plan Figures'!$B$1:$AP$1,0))</f>
        <v>#REF!</v>
      </c>
      <c r="S78" s="31" t="e">
        <f>INDEX('Plan Figures'!$B$53:$AP$79,MATCH('Headline - MGA and MPM'!S$4,'Plan Figures'!$B$53:$B$79,0),MATCH('Headline - MGA and MPM'!#REF!,'Plan Figures'!$B$1:$AP$1,0))</f>
        <v>#REF!</v>
      </c>
      <c r="T78" s="31" t="e">
        <f>INDEX('Plan Figures'!$B$53:$AP$79,MATCH('Headline - MGA and MPM'!T$4,'Plan Figures'!$B$53:$B$79,0),MATCH('Headline - MGA and MPM'!#REF!,'Plan Figures'!$B$1:$AP$1,0))</f>
        <v>#REF!</v>
      </c>
      <c r="U78" s="31" t="e">
        <f>INDEX('Plan Figures'!$B$53:$AP$79,MATCH('Headline - MGA and MPM'!U$4,'Plan Figures'!$B$53:$B$79,0),MATCH('Headline - MGA and MPM'!#REF!,'Plan Figures'!$B$1:$AP$1,0))</f>
        <v>#REF!</v>
      </c>
      <c r="V78" s="31" t="e">
        <f>INDEX('Plan Figures'!$B$53:$AP$79,MATCH('Headline - MGA and MPM'!V$4,'Plan Figures'!$B$53:$B$79,0),MATCH('Headline - MGA and MPM'!#REF!,'Plan Figures'!$B$1:$AP$1,0))</f>
        <v>#REF!</v>
      </c>
      <c r="W78" s="31" t="e">
        <f>INDEX('Plan Figures'!$B$53:$AP$79,MATCH('Headline - MGA and MPM'!W$4,'Plan Figures'!$B$53:$B$79,0),MATCH('Headline - MGA and MPM'!#REF!,'Plan Figures'!$B$1:$AP$1,0))</f>
        <v>#REF!</v>
      </c>
      <c r="X78" s="31" t="e">
        <f>INDEX('Plan Figures'!$B$53:$AP$79,MATCH('Headline - MGA and MPM'!X$4,'Plan Figures'!$B$53:$B$79,0),MATCH('Headline - MGA and MPM'!#REF!,'Plan Figures'!$B$1:$AP$1,0))</f>
        <v>#REF!</v>
      </c>
      <c r="Y78" s="31" t="e">
        <f>INDEX('Plan Figures'!$B$53:$AP$79,MATCH('Headline - MGA and MPM'!Y$4,'Plan Figures'!$B$53:$B$79,0),MATCH('Headline - MGA and MPM'!#REF!,'Plan Figures'!$B$1:$AP$1,0))</f>
        <v>#REF!</v>
      </c>
      <c r="Z78" s="31" t="e">
        <f>INDEX('Plan Figures'!$B$53:$AP$79,MATCH('Headline - MGA and MPM'!Z$4,'Plan Figures'!$B$53:$B$79,0),MATCH('Headline - MGA and MPM'!#REF!,'Plan Figures'!$B$1:$AP$1,0))</f>
        <v>#REF!</v>
      </c>
      <c r="AA78" s="31" t="e">
        <f>INDEX('Plan Figures'!$B$53:$AP$79,MATCH('Headline - MGA and MPM'!AA$4,'Plan Figures'!$B$53:$B$79,0),MATCH('Headline - MGA and MPM'!#REF!,'Plan Figures'!$B$1:$AP$1,0))</f>
        <v>#REF!</v>
      </c>
      <c r="AB78" s="240" t="e">
        <f>INDEX('Plan Figures'!$B$53:$AP$79,MATCH('Headline - MGA and MPM'!AB$4,'Plan Figures'!$B$53:$B$79,0),MATCH('Headline - MGA and MPM'!#REF!,'Plan Figures'!$B$1:$AP$1,0))</f>
        <v>#REF!</v>
      </c>
      <c r="AC78" s="31" t="e">
        <f>INDEX('Plan Figures'!$B$53:$AP$79,MATCH('Headline - MGA and MPM'!AC$4,'Plan Figures'!$B$53:$B$79,0),MATCH('Headline - MGA and MPM'!#REF!,'Plan Figures'!$B$1:$AP$1,0))</f>
        <v>#REF!</v>
      </c>
      <c r="AD78" s="31" t="e">
        <f>INDEX('Plan Figures'!$B$53:$AP$79,MATCH('Headline - MGA and MPM'!AD$4,'Plan Figures'!$B$53:$B$79,0),MATCH('Headline - MGA and MPM'!#REF!,'Plan Figures'!$B$1:$AP$1,0))</f>
        <v>#REF!</v>
      </c>
      <c r="AE78" s="31" t="e">
        <f>INDEX('Plan Figures'!$B$53:$AP$79,MATCH('Headline - MGA and MPM'!AE$4,'Plan Figures'!$B$53:$B$79,0),MATCH('Headline - MGA and MPM'!#REF!,'Plan Figures'!$B$1:$AP$1,0))</f>
        <v>#REF!</v>
      </c>
      <c r="AF78" s="31" t="e">
        <f>INDEX('Plan Figures'!$B$53:$AP$79,MATCH('Headline - MGA and MPM'!AF$4,'Plan Figures'!$B$53:$B$79,0),MATCH('Headline - MGA and MPM'!#REF!,'Plan Figures'!$B$1:$AP$1,0))</f>
        <v>#REF!</v>
      </c>
      <c r="AG78" s="31" t="e">
        <f>INDEX('Plan Figures'!$B$53:$AP$79,MATCH('Headline - MGA and MPM'!AG$4,'Plan Figures'!$B$53:$B$79,0),MATCH('Headline - MGA and MPM'!#REF!,'Plan Figures'!$B$1:$AP$1,0))</f>
        <v>#REF!</v>
      </c>
      <c r="AH78" s="31" t="e">
        <f>INDEX('Plan Figures'!$B$53:$AP$79,MATCH('Headline - MGA and MPM'!AH$4,'Plan Figures'!$B$53:$B$79,0),MATCH('Headline - MGA and MPM'!#REF!,'Plan Figures'!$B$1:$AP$1,0))</f>
        <v>#REF!</v>
      </c>
      <c r="AI78" s="31" t="e">
        <f>INDEX('Plan Figures'!$B$53:$AP$79,MATCH('Headline - MGA and MPM'!AI$4,'Plan Figures'!$B$53:$B$79,0),MATCH('Headline - MGA and MPM'!#REF!,'Plan Figures'!$B$1:$AP$1,0))</f>
        <v>#REF!</v>
      </c>
      <c r="AJ78" s="31" t="e">
        <f>INDEX('Plan Figures'!$B$53:$AP$79,MATCH('Headline - MGA and MPM'!AJ$4,'Plan Figures'!$B$53:$B$79,0),MATCH('Headline - MGA and MPM'!#REF!,'Plan Figures'!$B$1:$AP$1,0))</f>
        <v>#REF!</v>
      </c>
      <c r="AK78" s="31" t="e">
        <f>INDEX('Plan Figures'!$B$53:$AP$79,MATCH('Headline - MGA and MPM'!AK$4,'Plan Figures'!$B$53:$B$79,0),MATCH('Headline - MGA and MPM'!#REF!,'Plan Figures'!$B$1:$AP$1,0))</f>
        <v>#REF!</v>
      </c>
      <c r="AL78" s="31" t="e">
        <f>INDEX('Plan Figures'!$B$53:$AP$79,MATCH('Headline - MGA and MPM'!AL$4,'Plan Figures'!$B$53:$B$79,0),MATCH('Headline - MGA and MPM'!#REF!,'Plan Figures'!$B$1:$AP$1,0))</f>
        <v>#REF!</v>
      </c>
      <c r="AM78" s="31" t="e">
        <f>INDEX('Plan Figures'!$B$53:$AP$79,MATCH('Headline - MGA and MPM'!AM$4,'Plan Figures'!$B$53:$B$79,0),MATCH('Headline - MGA and MPM'!#REF!,'Plan Figures'!$B$1:$AP$1,0))</f>
        <v>#REF!</v>
      </c>
      <c r="AN78" s="240" t="e">
        <f>INDEX('Plan Figures'!$B$53:$AP$79,MATCH('Headline - MGA and MPM'!AN$4,'Plan Figures'!$B$53:$B$79,0),MATCH('Headline - MGA and MPM'!#REF!,'Plan Figures'!$B$1:$AP$1,0))</f>
        <v>#REF!</v>
      </c>
      <c r="AO78" s="31" t="e">
        <f t="shared" si="57"/>
        <v>#REF!</v>
      </c>
      <c r="AP78" s="31" t="e">
        <f t="shared" ref="AP78:AP82" si="59">AVERAGE(R78:AC78)</f>
        <v>#REF!</v>
      </c>
      <c r="AQ78" s="240" t="e">
        <f>SUMIFS(AC78:AN78,AC$4:AN$4,"&lt;"&amp;'Title Sheet'!$C$13)</f>
        <v>#REF!</v>
      </c>
    </row>
    <row r="79" spans="1:44" ht="15.75" hidden="1" outlineLevel="1" x14ac:dyDescent="0.25">
      <c r="B79" t="str">
        <f t="shared" ref="B79:B94" si="60">$D$2</f>
        <v>PC Annual Direct</v>
      </c>
      <c r="C79" t="str">
        <f t="shared" si="58"/>
        <v>Boom Premium Finance</v>
      </c>
      <c r="D79" s="213" t="s">
        <v>0</v>
      </c>
      <c r="E79" s="214" t="str">
        <f t="shared" ref="E79:AN79" si="61">IFERROR(IF(E77=0,"-",(E77/E78)-1),"-")</f>
        <v>-</v>
      </c>
      <c r="F79" s="214" t="str">
        <f t="shared" si="61"/>
        <v>-</v>
      </c>
      <c r="G79" s="214" t="str">
        <f t="shared" si="61"/>
        <v>-</v>
      </c>
      <c r="H79" s="214" t="str">
        <f t="shared" si="61"/>
        <v>-</v>
      </c>
      <c r="I79" s="214" t="str">
        <f t="shared" si="61"/>
        <v>-</v>
      </c>
      <c r="J79" s="214" t="str">
        <f t="shared" si="61"/>
        <v>-</v>
      </c>
      <c r="K79" s="214" t="str">
        <f t="shared" si="61"/>
        <v>-</v>
      </c>
      <c r="L79" s="214" t="str">
        <f t="shared" si="61"/>
        <v>-</v>
      </c>
      <c r="M79" s="214" t="str">
        <f t="shared" si="61"/>
        <v>-</v>
      </c>
      <c r="N79" s="214" t="str">
        <f t="shared" si="61"/>
        <v>-</v>
      </c>
      <c r="O79" s="214" t="str">
        <f t="shared" si="61"/>
        <v>-</v>
      </c>
      <c r="P79" s="294" t="str">
        <f t="shared" si="61"/>
        <v>-</v>
      </c>
      <c r="Q79" s="214" t="str">
        <f t="shared" si="61"/>
        <v>-</v>
      </c>
      <c r="R79" s="214" t="str">
        <f t="shared" si="61"/>
        <v>-</v>
      </c>
      <c r="S79" s="214" t="str">
        <f t="shared" si="61"/>
        <v>-</v>
      </c>
      <c r="T79" s="214" t="str">
        <f t="shared" si="61"/>
        <v>-</v>
      </c>
      <c r="U79" s="214" t="str">
        <f t="shared" si="61"/>
        <v>-</v>
      </c>
      <c r="V79" s="214" t="str">
        <f t="shared" si="61"/>
        <v>-</v>
      </c>
      <c r="W79" s="214" t="str">
        <f t="shared" si="61"/>
        <v>-</v>
      </c>
      <c r="X79" s="214" t="str">
        <f t="shared" si="61"/>
        <v>-</v>
      </c>
      <c r="Y79" s="214" t="str">
        <f t="shared" si="61"/>
        <v>-</v>
      </c>
      <c r="Z79" s="214" t="str">
        <f t="shared" si="61"/>
        <v>-</v>
      </c>
      <c r="AA79" s="214" t="str">
        <f t="shared" si="61"/>
        <v>-</v>
      </c>
      <c r="AB79" s="294" t="str">
        <f t="shared" si="61"/>
        <v>-</v>
      </c>
      <c r="AC79" s="214" t="str">
        <f t="shared" si="61"/>
        <v>-</v>
      </c>
      <c r="AD79" s="214" t="str">
        <f t="shared" si="61"/>
        <v>-</v>
      </c>
      <c r="AE79" s="214" t="str">
        <f t="shared" si="61"/>
        <v>-</v>
      </c>
      <c r="AF79" s="214" t="str">
        <f t="shared" si="61"/>
        <v>-</v>
      </c>
      <c r="AG79" s="214" t="str">
        <f t="shared" si="61"/>
        <v>-</v>
      </c>
      <c r="AH79" s="214" t="str">
        <f t="shared" si="61"/>
        <v>-</v>
      </c>
      <c r="AI79" s="214" t="str">
        <f t="shared" si="61"/>
        <v>-</v>
      </c>
      <c r="AJ79" s="214" t="str">
        <f t="shared" si="61"/>
        <v>-</v>
      </c>
      <c r="AK79" s="214" t="str">
        <f t="shared" si="61"/>
        <v>-</v>
      </c>
      <c r="AL79" s="214" t="str">
        <f t="shared" si="61"/>
        <v>-</v>
      </c>
      <c r="AM79" s="214" t="str">
        <f t="shared" si="61"/>
        <v>-</v>
      </c>
      <c r="AN79" s="294" t="str">
        <f t="shared" si="61"/>
        <v>-</v>
      </c>
      <c r="AO79" s="242" t="e">
        <f t="shared" si="57"/>
        <v>#DIV/0!</v>
      </c>
      <c r="AP79" s="242" t="e">
        <f t="shared" si="59"/>
        <v>#DIV/0!</v>
      </c>
      <c r="AQ79" s="243" t="str">
        <f t="shared" ref="AQ79" si="62">IFERROR(IF(AQ77=0,"-",(AQ77/AQ78)-1),"-")</f>
        <v>-</v>
      </c>
    </row>
    <row r="80" spans="1:44" ht="15.75" outlineLevel="1" x14ac:dyDescent="0.25">
      <c r="B80" t="str">
        <f t="shared" si="60"/>
        <v>PC Annual Direct</v>
      </c>
      <c r="C80" t="str">
        <f t="shared" si="58"/>
        <v>Boom Premium Finance</v>
      </c>
      <c r="D80" s="208" t="s">
        <v>5</v>
      </c>
      <c r="E80" s="209">
        <v>0</v>
      </c>
      <c r="F80" s="209">
        <v>0</v>
      </c>
      <c r="G80" s="209">
        <v>0</v>
      </c>
      <c r="H80" s="209">
        <v>0</v>
      </c>
      <c r="I80" s="209">
        <v>0</v>
      </c>
      <c r="J80" s="209">
        <v>0</v>
      </c>
      <c r="K80" s="209">
        <v>0</v>
      </c>
      <c r="L80" s="209">
        <v>0</v>
      </c>
      <c r="M80" s="209">
        <v>0</v>
      </c>
      <c r="N80" s="209">
        <v>0</v>
      </c>
      <c r="O80" s="209">
        <v>0</v>
      </c>
      <c r="P80" s="238">
        <v>0</v>
      </c>
      <c r="Q80" s="209">
        <v>0</v>
      </c>
      <c r="R80" s="209">
        <v>0</v>
      </c>
      <c r="S80" s="209">
        <v>0</v>
      </c>
      <c r="T80" s="209">
        <v>0</v>
      </c>
      <c r="U80" s="209">
        <v>0</v>
      </c>
      <c r="V80" s="209">
        <v>0</v>
      </c>
      <c r="W80" s="209">
        <v>0</v>
      </c>
      <c r="X80" s="209">
        <v>0</v>
      </c>
      <c r="Y80" s="209">
        <v>0</v>
      </c>
      <c r="Z80" s="209">
        <v>0</v>
      </c>
      <c r="AA80" s="209">
        <v>0</v>
      </c>
      <c r="AB80" s="238">
        <v>0</v>
      </c>
      <c r="AC80" s="209">
        <v>623466.77285704995</v>
      </c>
      <c r="AD80" s="209">
        <v>3132833.7571431808</v>
      </c>
      <c r="AE80" s="209">
        <v>5360648.9707154799</v>
      </c>
      <c r="AF80" s="209">
        <v>5030916.4742882</v>
      </c>
      <c r="AG80" s="209">
        <v>4607172.0596412076</v>
      </c>
      <c r="AH80" s="209">
        <v>3878303.9439280829</v>
      </c>
      <c r="AI80" s="209">
        <v>3369171.3171450193</v>
      </c>
      <c r="AJ80" s="209">
        <v>3045498.4407157311</v>
      </c>
      <c r="AK80" s="209">
        <v>2807322.1942854305</v>
      </c>
      <c r="AL80" s="209">
        <v>2838714.6917855483</v>
      </c>
      <c r="AM80" s="209">
        <v>3313847.6389283589</v>
      </c>
      <c r="AN80" s="238">
        <v>3429211.3007140802</v>
      </c>
      <c r="AO80" s="209">
        <f t="shared" si="57"/>
        <v>155866.69321426249</v>
      </c>
      <c r="AP80" s="209">
        <f t="shared" si="59"/>
        <v>51955.564404754165</v>
      </c>
      <c r="AQ80" s="238">
        <f>SUMIFS(AC80:AN80,AC$4:AN$4,"&lt;"&amp;'Title Sheet'!$C$13)</f>
        <v>41437107.562147371</v>
      </c>
    </row>
    <row r="81" spans="2:43" ht="15.75" outlineLevel="1" x14ac:dyDescent="0.25">
      <c r="B81" t="str">
        <f>"PC Annual Direct - Premium Finance_NWP"</f>
        <v>PC Annual Direct - Premium Finance_NWP</v>
      </c>
      <c r="C81" t="str">
        <f t="shared" si="58"/>
        <v>Boom Premium Finance</v>
      </c>
      <c r="D81" s="211" t="s">
        <v>6</v>
      </c>
      <c r="E81" s="31" t="e">
        <f>INDEX('Plan Figures'!$B$53:$AP$90,MATCH('Headline - MGA and MPM'!E$4,'Plan Figures'!$B$53:$B$90,0),MATCH('Headline - MGA and MPM'!$B81,'Plan Figures'!$B$1:$AP$1,0))</f>
        <v>#N/A</v>
      </c>
      <c r="F81" s="31" t="e">
        <f>INDEX('Plan Figures'!$B$53:$AP$90,MATCH('Headline - MGA and MPM'!F$4,'Plan Figures'!$B$53:$B$90,0),MATCH('Headline - MGA and MPM'!$B81,'Plan Figures'!$B$1:$AP$1,0))</f>
        <v>#N/A</v>
      </c>
      <c r="G81" s="31" t="e">
        <f>INDEX('Plan Figures'!$B$53:$AP$90,MATCH('Headline - MGA and MPM'!G$4,'Plan Figures'!$B$53:$B$90,0),MATCH('Headline - MGA and MPM'!$B81,'Plan Figures'!$B$1:$AP$1,0))</f>
        <v>#N/A</v>
      </c>
      <c r="H81" s="31" t="e">
        <f>INDEX('Plan Figures'!$B$53:$AP$90,MATCH('Headline - MGA and MPM'!H$4,'Plan Figures'!$B$53:$B$90,0),MATCH('Headline - MGA and MPM'!$B81,'Plan Figures'!$B$1:$AP$1,0))</f>
        <v>#N/A</v>
      </c>
      <c r="I81" s="31" t="e">
        <f>INDEX('Plan Figures'!$B$53:$AP$90,MATCH('Headline - MGA and MPM'!I$4,'Plan Figures'!$B$53:$B$90,0),MATCH('Headline - MGA and MPM'!$B81,'Plan Figures'!$B$1:$AP$1,0))</f>
        <v>#N/A</v>
      </c>
      <c r="J81" s="31" t="e">
        <f>INDEX('Plan Figures'!$B$53:$AP$90,MATCH('Headline - MGA and MPM'!J$4,'Plan Figures'!$B$53:$B$90,0),MATCH('Headline - MGA and MPM'!$B81,'Plan Figures'!$B$1:$AP$1,0))</f>
        <v>#N/A</v>
      </c>
      <c r="K81" s="31" t="e">
        <f>INDEX('Plan Figures'!$B$53:$AP$90,MATCH('Headline - MGA and MPM'!K$4,'Plan Figures'!$B$53:$B$90,0),MATCH('Headline - MGA and MPM'!$B81,'Plan Figures'!$B$1:$AP$1,0))</f>
        <v>#N/A</v>
      </c>
      <c r="L81" s="31" t="e">
        <f>INDEX('Plan Figures'!$B$53:$AP$90,MATCH('Headline - MGA and MPM'!L$4,'Plan Figures'!$B$53:$B$90,0),MATCH('Headline - MGA and MPM'!$B81,'Plan Figures'!$B$1:$AP$1,0))</f>
        <v>#N/A</v>
      </c>
      <c r="M81" s="31" t="e">
        <f>INDEX('Plan Figures'!$B$53:$AP$90,MATCH('Headline - MGA and MPM'!M$4,'Plan Figures'!$B$53:$B$90,0),MATCH('Headline - MGA and MPM'!$B81,'Plan Figures'!$B$1:$AP$1,0))</f>
        <v>#N/A</v>
      </c>
      <c r="N81" s="31" t="e">
        <f>INDEX('Plan Figures'!$B$53:$AP$90,MATCH('Headline - MGA and MPM'!N$4,'Plan Figures'!$B$53:$B$90,0),MATCH('Headline - MGA and MPM'!$B81,'Plan Figures'!$B$1:$AP$1,0))</f>
        <v>#N/A</v>
      </c>
      <c r="O81" s="31" t="e">
        <f>INDEX('Plan Figures'!$B$53:$AP$90,MATCH('Headline - MGA and MPM'!O$4,'Plan Figures'!$B$53:$B$90,0),MATCH('Headline - MGA and MPM'!$B81,'Plan Figures'!$B$1:$AP$1,0))</f>
        <v>#N/A</v>
      </c>
      <c r="P81" s="240" t="str">
        <f>INDEX('Plan Figures'!$B$53:$AP$90,MATCH('Headline - MGA and MPM'!P$4,'Plan Figures'!$B$53:$B$90,0),MATCH('Headline - MGA and MPM'!$B81,'Plan Figures'!$B$1:$AP$1,0))</f>
        <v>-</v>
      </c>
      <c r="Q81" s="31" t="str">
        <f>INDEX('Plan Figures'!$B$53:$AP$90,MATCH('Headline - MGA and MPM'!Q$4,'Plan Figures'!$B$53:$B$90,0),MATCH('Headline - MGA and MPM'!$B81,'Plan Figures'!$B$1:$AP$1,0))</f>
        <v>-</v>
      </c>
      <c r="R81" s="31" t="str">
        <f>INDEX('Plan Figures'!$B$53:$AP$90,MATCH('Headline - MGA and MPM'!R$4,'Plan Figures'!$B$53:$B$90,0),MATCH('Headline - MGA and MPM'!$B81,'Plan Figures'!$B$1:$AP$1,0))</f>
        <v>-</v>
      </c>
      <c r="S81" s="31" t="str">
        <f>INDEX('Plan Figures'!$B$53:$AP$90,MATCH('Headline - MGA and MPM'!S$4,'Plan Figures'!$B$53:$B$90,0),MATCH('Headline - MGA and MPM'!$B81,'Plan Figures'!$B$1:$AP$1,0))</f>
        <v>-</v>
      </c>
      <c r="T81" s="31" t="str">
        <f>INDEX('Plan Figures'!$B$53:$AP$90,MATCH('Headline - MGA and MPM'!T$4,'Plan Figures'!$B$53:$B$90,0),MATCH('Headline - MGA and MPM'!$B81,'Plan Figures'!$B$1:$AP$1,0))</f>
        <v>-</v>
      </c>
      <c r="U81" s="31" t="str">
        <f>INDEX('Plan Figures'!$B$53:$AP$90,MATCH('Headline - MGA and MPM'!U$4,'Plan Figures'!$B$53:$B$90,0),MATCH('Headline - MGA and MPM'!$B81,'Plan Figures'!$B$1:$AP$1,0))</f>
        <v>-</v>
      </c>
      <c r="V81" s="31" t="str">
        <f>INDEX('Plan Figures'!$B$53:$AP$90,MATCH('Headline - MGA and MPM'!V$4,'Plan Figures'!$B$53:$B$90,0),MATCH('Headline - MGA and MPM'!$B81,'Plan Figures'!$B$1:$AP$1,0))</f>
        <v>-</v>
      </c>
      <c r="W81" s="31" t="str">
        <f>INDEX('Plan Figures'!$B$53:$AP$90,MATCH('Headline - MGA and MPM'!W$4,'Plan Figures'!$B$53:$B$90,0),MATCH('Headline - MGA and MPM'!$B81,'Plan Figures'!$B$1:$AP$1,0))</f>
        <v>-</v>
      </c>
      <c r="X81" s="31" t="str">
        <f>INDEX('Plan Figures'!$B$53:$AP$90,MATCH('Headline - MGA and MPM'!X$4,'Plan Figures'!$B$53:$B$90,0),MATCH('Headline - MGA and MPM'!$B81,'Plan Figures'!$B$1:$AP$1,0))</f>
        <v>-</v>
      </c>
      <c r="Y81" s="31" t="str">
        <f>INDEX('Plan Figures'!$B$53:$AP$90,MATCH('Headline - MGA and MPM'!Y$4,'Plan Figures'!$B$53:$B$90,0),MATCH('Headline - MGA and MPM'!$B81,'Plan Figures'!$B$1:$AP$1,0))</f>
        <v>-</v>
      </c>
      <c r="Z81" s="31" t="str">
        <f>INDEX('Plan Figures'!$B$53:$AP$90,MATCH('Headline - MGA and MPM'!Z$4,'Plan Figures'!$B$53:$B$90,0),MATCH('Headline - MGA and MPM'!$B81,'Plan Figures'!$B$1:$AP$1,0))</f>
        <v>-</v>
      </c>
      <c r="AA81" s="31">
        <f>INDEX('Plan Figures'!$B$53:$AP$90,MATCH('Headline - MGA and MPM'!AA$4,'Plan Figures'!$B$53:$B$90,0),MATCH('Headline - MGA and MPM'!$B81,'Plan Figures'!$B$1:$AP$1,0))</f>
        <v>0</v>
      </c>
      <c r="AB81" s="240">
        <f>INDEX('Plan Figures'!$B$53:$AP$90,MATCH('Headline - MGA and MPM'!AB$4,'Plan Figures'!$B$53:$B$90,0),MATCH('Headline - MGA and MPM'!$B81,'Plan Figures'!$B$1:$AP$1,0))</f>
        <v>0</v>
      </c>
      <c r="AC81" s="31">
        <f>INDEX('Plan Figures'!$B$53:$AP$90,MATCH('Headline - MGA and MPM'!AC$4,'Plan Figures'!$B$53:$B$90,0),MATCH('Headline - MGA and MPM'!$B81,'Plan Figures'!$B$1:$AP$1,0))</f>
        <v>0</v>
      </c>
      <c r="AD81" s="31">
        <f>INDEX('Plan Figures'!$B$53:$AP$90,MATCH('Headline - MGA and MPM'!AD$4,'Plan Figures'!$B$53:$B$90,0),MATCH('Headline - MGA and MPM'!$B81,'Plan Figures'!$B$1:$AP$1,0))</f>
        <v>2501637.5277911797</v>
      </c>
      <c r="AE81" s="31">
        <f>INDEX('Plan Figures'!$B$53:$AP$90,MATCH('Headline - MGA and MPM'!AE$4,'Plan Figures'!$B$53:$B$90,0),MATCH('Headline - MGA and MPM'!$B81,'Plan Figures'!$B$1:$AP$1,0))</f>
        <v>4913682.7334904224</v>
      </c>
      <c r="AF81" s="31">
        <f>INDEX('Plan Figures'!$B$53:$AP$90,MATCH('Headline - MGA and MPM'!AF$4,'Plan Figures'!$B$53:$B$90,0),MATCH('Headline - MGA and MPM'!$B81,'Plan Figures'!$B$1:$AP$1,0))</f>
        <v>5075113.9952815948</v>
      </c>
      <c r="AG81" s="31">
        <f>INDEX('Plan Figures'!$B$53:$AP$90,MATCH('Headline - MGA and MPM'!AG$4,'Plan Figures'!$B$53:$B$90,0),MATCH('Headline - MGA and MPM'!$B81,'Plan Figures'!$B$1:$AP$1,0))</f>
        <v>5136986.4880301757</v>
      </c>
      <c r="AH81" s="31">
        <f>INDEX('Plan Figures'!$B$53:$AP$90,MATCH('Headline - MGA and MPM'!AH$4,'Plan Figures'!$B$53:$B$90,0),MATCH('Headline - MGA and MPM'!$B81,'Plan Figures'!$B$1:$AP$1,0))</f>
        <v>5233743.6605452746</v>
      </c>
      <c r="AI81" s="31">
        <f>INDEX('Plan Figures'!$B$53:$AP$90,MATCH('Headline - MGA and MPM'!AI$4,'Plan Figures'!$B$53:$B$90,0),MATCH('Headline - MGA and MPM'!$B81,'Plan Figures'!$B$1:$AP$1,0))</f>
        <v>3394969.6071106233</v>
      </c>
      <c r="AJ81" s="31">
        <f>INDEX('Plan Figures'!$B$53:$AP$90,MATCH('Headline - MGA and MPM'!AJ$4,'Plan Figures'!$B$53:$B$90,0),MATCH('Headline - MGA and MPM'!$B81,'Plan Figures'!$B$1:$AP$1,0))</f>
        <v>3352061.7398871342</v>
      </c>
      <c r="AK81" s="31">
        <f>INDEX('Plan Figures'!$B$53:$AP$90,MATCH('Headline - MGA and MPM'!AK$4,'Plan Figures'!$B$53:$B$90,0),MATCH('Headline - MGA and MPM'!$B81,'Plan Figures'!$B$1:$AP$1,0))</f>
        <v>4592227.9052538294</v>
      </c>
      <c r="AL81" s="31">
        <f>INDEX('Plan Figures'!$B$53:$AP$90,MATCH('Headline - MGA and MPM'!AL$4,'Plan Figures'!$B$53:$B$90,0),MATCH('Headline - MGA and MPM'!$B81,'Plan Figures'!$B$1:$AP$1,0))</f>
        <v>5000783.3134841928</v>
      </c>
      <c r="AM81" s="31">
        <f>INDEX('Plan Figures'!$B$53:$AP$90,MATCH('Headline - MGA and MPM'!AM$4,'Plan Figures'!$B$53:$B$90,0),MATCH('Headline - MGA and MPM'!$B81,'Plan Figures'!$B$1:$AP$1,0))</f>
        <v>4297696.1568466667</v>
      </c>
      <c r="AN81" s="240">
        <f>INDEX('Plan Figures'!$B$53:$AP$90,MATCH('Headline - MGA and MPM'!AN$4,'Plan Figures'!$B$53:$B$90,0),MATCH('Headline - MGA and MPM'!$B81,'Plan Figures'!$B$1:$AP$1,0))</f>
        <v>3902909.0408526328</v>
      </c>
      <c r="AO81" s="31">
        <f t="shared" si="57"/>
        <v>0</v>
      </c>
      <c r="AP81" s="31">
        <f t="shared" si="59"/>
        <v>0</v>
      </c>
      <c r="AQ81" s="240">
        <f>SUMIFS(AC81:AN81,AC$4:AN$4,"&lt;"&amp;'Title Sheet'!$C$13)</f>
        <v>47401812.16857373</v>
      </c>
    </row>
    <row r="82" spans="2:43" ht="15.75" outlineLevel="1" x14ac:dyDescent="0.25">
      <c r="B82" t="str">
        <f t="shared" si="60"/>
        <v>PC Annual Direct</v>
      </c>
      <c r="C82" t="str">
        <f t="shared" si="58"/>
        <v>Boom Premium Finance</v>
      </c>
      <c r="D82" s="213" t="s">
        <v>0</v>
      </c>
      <c r="E82" s="214" t="str">
        <f t="shared" ref="E82:AN82" si="63">IFERROR(IF(E80=0,"-",(E80/E81)-1),"-")</f>
        <v>-</v>
      </c>
      <c r="F82" s="214" t="str">
        <f t="shared" si="63"/>
        <v>-</v>
      </c>
      <c r="G82" s="214" t="str">
        <f t="shared" si="63"/>
        <v>-</v>
      </c>
      <c r="H82" s="214" t="str">
        <f t="shared" si="63"/>
        <v>-</v>
      </c>
      <c r="I82" s="214" t="str">
        <f t="shared" si="63"/>
        <v>-</v>
      </c>
      <c r="J82" s="214" t="str">
        <f t="shared" si="63"/>
        <v>-</v>
      </c>
      <c r="K82" s="214" t="str">
        <f t="shared" si="63"/>
        <v>-</v>
      </c>
      <c r="L82" s="214" t="str">
        <f t="shared" si="63"/>
        <v>-</v>
      </c>
      <c r="M82" s="214" t="str">
        <f t="shared" si="63"/>
        <v>-</v>
      </c>
      <c r="N82" s="214" t="str">
        <f t="shared" si="63"/>
        <v>-</v>
      </c>
      <c r="O82" s="214" t="str">
        <f t="shared" si="63"/>
        <v>-</v>
      </c>
      <c r="P82" s="294" t="str">
        <f t="shared" si="63"/>
        <v>-</v>
      </c>
      <c r="Q82" s="214" t="str">
        <f t="shared" si="63"/>
        <v>-</v>
      </c>
      <c r="R82" s="214" t="str">
        <f t="shared" si="63"/>
        <v>-</v>
      </c>
      <c r="S82" s="214" t="str">
        <f t="shared" si="63"/>
        <v>-</v>
      </c>
      <c r="T82" s="214" t="str">
        <f t="shared" si="63"/>
        <v>-</v>
      </c>
      <c r="U82" s="214" t="str">
        <f t="shared" si="63"/>
        <v>-</v>
      </c>
      <c r="V82" s="214" t="str">
        <f t="shared" si="63"/>
        <v>-</v>
      </c>
      <c r="W82" s="214" t="str">
        <f t="shared" si="63"/>
        <v>-</v>
      </c>
      <c r="X82" s="214" t="str">
        <f t="shared" si="63"/>
        <v>-</v>
      </c>
      <c r="Y82" s="214" t="str">
        <f t="shared" si="63"/>
        <v>-</v>
      </c>
      <c r="Z82" s="214" t="str">
        <f t="shared" si="63"/>
        <v>-</v>
      </c>
      <c r="AA82" s="214" t="str">
        <f t="shared" si="63"/>
        <v>-</v>
      </c>
      <c r="AB82" s="294" t="str">
        <f t="shared" si="63"/>
        <v>-</v>
      </c>
      <c r="AC82" s="214" t="str">
        <f t="shared" si="63"/>
        <v>-</v>
      </c>
      <c r="AD82" s="214">
        <f t="shared" si="63"/>
        <v>0.25231322377439525</v>
      </c>
      <c r="AE82" s="214">
        <f t="shared" si="63"/>
        <v>9.096359318819025E-2</v>
      </c>
      <c r="AF82" s="214">
        <f t="shared" si="63"/>
        <v>-8.7086755163501284E-3</v>
      </c>
      <c r="AG82" s="214">
        <f t="shared" si="63"/>
        <v>-0.10313720497873657</v>
      </c>
      <c r="AH82" s="214">
        <f t="shared" si="63"/>
        <v>-0.2589809139555711</v>
      </c>
      <c r="AI82" s="214">
        <f t="shared" si="63"/>
        <v>-7.5989752342908723E-3</v>
      </c>
      <c r="AJ82" s="214">
        <f t="shared" si="63"/>
        <v>-9.1455146999089965E-2</v>
      </c>
      <c r="AK82" s="214">
        <f t="shared" si="63"/>
        <v>-0.38867968833305122</v>
      </c>
      <c r="AL82" s="214">
        <f t="shared" si="63"/>
        <v>-0.43234599185067824</v>
      </c>
      <c r="AM82" s="214">
        <f t="shared" si="63"/>
        <v>-0.22892463357395265</v>
      </c>
      <c r="AN82" s="294">
        <f t="shared" si="63"/>
        <v>-0.12137042784760066</v>
      </c>
      <c r="AO82" s="242" t="e">
        <f t="shared" si="57"/>
        <v>#DIV/0!</v>
      </c>
      <c r="AP82" s="242" t="e">
        <f t="shared" si="59"/>
        <v>#DIV/0!</v>
      </c>
      <c r="AQ82" s="243">
        <f t="shared" ref="AQ82" si="64">IFERROR(IF(AQ80=0,"-",(AQ80/AQ81)-1),"-")</f>
        <v>-0.12583283915843235</v>
      </c>
    </row>
    <row r="83" spans="2:43" ht="15.75" outlineLevel="1" x14ac:dyDescent="0.25">
      <c r="B83" t="str">
        <f t="shared" si="60"/>
        <v>PC Annual Direct</v>
      </c>
      <c r="C83" t="str">
        <f t="shared" si="58"/>
        <v>Boom Premium Finance</v>
      </c>
      <c r="D83" s="208" t="s">
        <v>12</v>
      </c>
      <c r="E83" s="209">
        <f t="shared" ref="E83:AP84" si="65">IFERROR(E80/E77,0)</f>
        <v>0</v>
      </c>
      <c r="F83" s="209">
        <f t="shared" si="65"/>
        <v>0</v>
      </c>
      <c r="G83" s="209">
        <f t="shared" si="65"/>
        <v>0</v>
      </c>
      <c r="H83" s="209">
        <f t="shared" si="65"/>
        <v>0</v>
      </c>
      <c r="I83" s="209">
        <f t="shared" si="65"/>
        <v>0</v>
      </c>
      <c r="J83" s="209">
        <f t="shared" si="65"/>
        <v>0</v>
      </c>
      <c r="K83" s="209">
        <f t="shared" si="65"/>
        <v>0</v>
      </c>
      <c r="L83" s="209">
        <f t="shared" si="65"/>
        <v>0</v>
      </c>
      <c r="M83" s="209">
        <f t="shared" si="65"/>
        <v>0</v>
      </c>
      <c r="N83" s="209">
        <f t="shared" si="65"/>
        <v>0</v>
      </c>
      <c r="O83" s="209">
        <f t="shared" si="65"/>
        <v>0</v>
      </c>
      <c r="P83" s="238">
        <f t="shared" si="65"/>
        <v>0</v>
      </c>
      <c r="Q83" s="209">
        <f t="shared" si="65"/>
        <v>0</v>
      </c>
      <c r="R83" s="209">
        <f t="shared" si="65"/>
        <v>0</v>
      </c>
      <c r="S83" s="209">
        <f t="shared" si="65"/>
        <v>0</v>
      </c>
      <c r="T83" s="209">
        <f t="shared" si="65"/>
        <v>0</v>
      </c>
      <c r="U83" s="209">
        <f t="shared" si="65"/>
        <v>0</v>
      </c>
      <c r="V83" s="209">
        <f t="shared" si="65"/>
        <v>0</v>
      </c>
      <c r="W83" s="209">
        <f t="shared" si="65"/>
        <v>0</v>
      </c>
      <c r="X83" s="209">
        <f t="shared" si="65"/>
        <v>0</v>
      </c>
      <c r="Y83" s="209">
        <f t="shared" si="65"/>
        <v>0</v>
      </c>
      <c r="Z83" s="209">
        <f t="shared" si="65"/>
        <v>0</v>
      </c>
      <c r="AA83" s="209">
        <f t="shared" si="65"/>
        <v>0</v>
      </c>
      <c r="AB83" s="238">
        <f t="shared" si="65"/>
        <v>0</v>
      </c>
      <c r="AC83" s="209">
        <f t="shared" si="65"/>
        <v>1470.4405020213442</v>
      </c>
      <c r="AD83" s="209">
        <f t="shared" si="65"/>
        <v>1434.4476909996249</v>
      </c>
      <c r="AE83" s="209">
        <f t="shared" si="65"/>
        <v>1374.8779099039446</v>
      </c>
      <c r="AF83" s="209">
        <f t="shared" si="65"/>
        <v>1211.1017030063072</v>
      </c>
      <c r="AG83" s="209">
        <f t="shared" si="65"/>
        <v>1176.499504504905</v>
      </c>
      <c r="AH83" s="209">
        <f t="shared" si="65"/>
        <v>1139.337233821411</v>
      </c>
      <c r="AI83" s="209">
        <f t="shared" si="65"/>
        <v>1136.6974754200469</v>
      </c>
      <c r="AJ83" s="209">
        <f t="shared" si="65"/>
        <v>1165.5179642999353</v>
      </c>
      <c r="AK83" s="209">
        <f t="shared" si="65"/>
        <v>1123.3782290057745</v>
      </c>
      <c r="AL83" s="209">
        <f t="shared" si="65"/>
        <v>1145.56686512734</v>
      </c>
      <c r="AM83" s="209">
        <f t="shared" si="65"/>
        <v>1180.1451705585323</v>
      </c>
      <c r="AN83" s="238">
        <f t="shared" si="65"/>
        <v>1181.6717094121573</v>
      </c>
      <c r="AO83" s="209">
        <f t="shared" si="65"/>
        <v>1470.4405020213442</v>
      </c>
      <c r="AP83" s="209">
        <f t="shared" si="65"/>
        <v>1470.4405020213442</v>
      </c>
      <c r="AQ83" s="238">
        <f>SUMIFS(AC83:AN83,AC$4:AN$4,"&lt;"&amp;'Title Sheet'!$C$13)</f>
        <v>14739.681958081323</v>
      </c>
    </row>
    <row r="84" spans="2:43" ht="15.75" hidden="1" outlineLevel="1" x14ac:dyDescent="0.25">
      <c r="B84" t="str">
        <f t="shared" si="60"/>
        <v>PC Annual Direct</v>
      </c>
      <c r="C84" t="str">
        <f t="shared" si="58"/>
        <v>Boom Premium Finance</v>
      </c>
      <c r="D84" s="211" t="s">
        <v>13</v>
      </c>
      <c r="E84" s="31">
        <f t="shared" si="65"/>
        <v>0</v>
      </c>
      <c r="F84" s="31">
        <f t="shared" si="65"/>
        <v>0</v>
      </c>
      <c r="G84" s="31">
        <f t="shared" si="65"/>
        <v>0</v>
      </c>
      <c r="H84" s="31">
        <f t="shared" si="65"/>
        <v>0</v>
      </c>
      <c r="I84" s="31">
        <f t="shared" si="65"/>
        <v>0</v>
      </c>
      <c r="J84" s="31">
        <f t="shared" si="65"/>
        <v>0</v>
      </c>
      <c r="K84" s="31">
        <f t="shared" si="65"/>
        <v>0</v>
      </c>
      <c r="L84" s="31">
        <f t="shared" si="65"/>
        <v>0</v>
      </c>
      <c r="M84" s="31">
        <f t="shared" si="65"/>
        <v>0</v>
      </c>
      <c r="N84" s="31">
        <f t="shared" si="65"/>
        <v>0</v>
      </c>
      <c r="O84" s="31">
        <f t="shared" si="65"/>
        <v>0</v>
      </c>
      <c r="P84" s="240">
        <f t="shared" si="65"/>
        <v>0</v>
      </c>
      <c r="Q84" s="31">
        <f t="shared" si="65"/>
        <v>0</v>
      </c>
      <c r="R84" s="31">
        <f t="shared" si="65"/>
        <v>0</v>
      </c>
      <c r="S84" s="31">
        <f t="shared" si="65"/>
        <v>0</v>
      </c>
      <c r="T84" s="31">
        <f t="shared" si="65"/>
        <v>0</v>
      </c>
      <c r="U84" s="31">
        <f t="shared" si="65"/>
        <v>0</v>
      </c>
      <c r="V84" s="31">
        <f t="shared" si="65"/>
        <v>0</v>
      </c>
      <c r="W84" s="31">
        <f t="shared" si="65"/>
        <v>0</v>
      </c>
      <c r="X84" s="31">
        <f t="shared" si="65"/>
        <v>0</v>
      </c>
      <c r="Y84" s="31">
        <f t="shared" si="65"/>
        <v>0</v>
      </c>
      <c r="Z84" s="31">
        <f t="shared" si="65"/>
        <v>0</v>
      </c>
      <c r="AA84" s="31">
        <f t="shared" si="65"/>
        <v>0</v>
      </c>
      <c r="AB84" s="240">
        <f t="shared" si="65"/>
        <v>0</v>
      </c>
      <c r="AC84" s="31">
        <f t="shared" si="65"/>
        <v>0</v>
      </c>
      <c r="AD84" s="31">
        <f t="shared" si="65"/>
        <v>0</v>
      </c>
      <c r="AE84" s="31">
        <f t="shared" si="65"/>
        <v>0</v>
      </c>
      <c r="AF84" s="31">
        <f t="shared" si="65"/>
        <v>0</v>
      </c>
      <c r="AG84" s="31">
        <f t="shared" si="65"/>
        <v>0</v>
      </c>
      <c r="AH84" s="31">
        <f t="shared" si="65"/>
        <v>0</v>
      </c>
      <c r="AI84" s="31">
        <f t="shared" si="65"/>
        <v>0</v>
      </c>
      <c r="AJ84" s="31">
        <f t="shared" si="65"/>
        <v>0</v>
      </c>
      <c r="AK84" s="31">
        <f t="shared" si="65"/>
        <v>0</v>
      </c>
      <c r="AL84" s="31">
        <f t="shared" si="65"/>
        <v>0</v>
      </c>
      <c r="AM84" s="31">
        <f t="shared" si="65"/>
        <v>0</v>
      </c>
      <c r="AN84" s="240">
        <f t="shared" si="65"/>
        <v>0</v>
      </c>
      <c r="AO84" s="31">
        <f t="shared" si="65"/>
        <v>0</v>
      </c>
      <c r="AP84" s="31">
        <f t="shared" si="65"/>
        <v>0</v>
      </c>
      <c r="AQ84" s="240">
        <f>SUMIFS(AC84:AN84,AC$4:AN$4,"&lt;"&amp;'Title Sheet'!$C$13)</f>
        <v>0</v>
      </c>
    </row>
    <row r="85" spans="2:43" ht="15.75" hidden="1" outlineLevel="1" x14ac:dyDescent="0.25">
      <c r="B85" t="str">
        <f t="shared" si="60"/>
        <v>PC Annual Direct</v>
      </c>
      <c r="C85" t="str">
        <f t="shared" si="58"/>
        <v>Boom Premium Finance</v>
      </c>
      <c r="D85" s="213" t="s">
        <v>0</v>
      </c>
      <c r="E85" s="214" t="str">
        <f t="shared" ref="E85:AN85" si="66">IFERROR(IF(E83=0,"-",(E83/E84)-1),"-")</f>
        <v>-</v>
      </c>
      <c r="F85" s="214" t="str">
        <f t="shared" si="66"/>
        <v>-</v>
      </c>
      <c r="G85" s="214" t="str">
        <f t="shared" si="66"/>
        <v>-</v>
      </c>
      <c r="H85" s="214" t="str">
        <f t="shared" si="66"/>
        <v>-</v>
      </c>
      <c r="I85" s="214" t="str">
        <f t="shared" si="66"/>
        <v>-</v>
      </c>
      <c r="J85" s="214" t="str">
        <f t="shared" si="66"/>
        <v>-</v>
      </c>
      <c r="K85" s="214" t="str">
        <f t="shared" si="66"/>
        <v>-</v>
      </c>
      <c r="L85" s="214" t="str">
        <f t="shared" si="66"/>
        <v>-</v>
      </c>
      <c r="M85" s="214" t="str">
        <f t="shared" si="66"/>
        <v>-</v>
      </c>
      <c r="N85" s="214" t="str">
        <f t="shared" si="66"/>
        <v>-</v>
      </c>
      <c r="O85" s="214" t="str">
        <f t="shared" si="66"/>
        <v>-</v>
      </c>
      <c r="P85" s="294" t="str">
        <f t="shared" si="66"/>
        <v>-</v>
      </c>
      <c r="Q85" s="214" t="str">
        <f t="shared" si="66"/>
        <v>-</v>
      </c>
      <c r="R85" s="214" t="str">
        <f t="shared" si="66"/>
        <v>-</v>
      </c>
      <c r="S85" s="214" t="str">
        <f t="shared" si="66"/>
        <v>-</v>
      </c>
      <c r="T85" s="214" t="str">
        <f t="shared" si="66"/>
        <v>-</v>
      </c>
      <c r="U85" s="214" t="str">
        <f t="shared" si="66"/>
        <v>-</v>
      </c>
      <c r="V85" s="214" t="str">
        <f t="shared" si="66"/>
        <v>-</v>
      </c>
      <c r="W85" s="214" t="str">
        <f t="shared" si="66"/>
        <v>-</v>
      </c>
      <c r="X85" s="214" t="str">
        <f t="shared" si="66"/>
        <v>-</v>
      </c>
      <c r="Y85" s="214" t="str">
        <f t="shared" si="66"/>
        <v>-</v>
      </c>
      <c r="Z85" s="214" t="str">
        <f t="shared" si="66"/>
        <v>-</v>
      </c>
      <c r="AA85" s="214" t="str">
        <f t="shared" si="66"/>
        <v>-</v>
      </c>
      <c r="AB85" s="294" t="str">
        <f t="shared" si="66"/>
        <v>-</v>
      </c>
      <c r="AC85" s="214" t="str">
        <f t="shared" si="66"/>
        <v>-</v>
      </c>
      <c r="AD85" s="214" t="str">
        <f t="shared" si="66"/>
        <v>-</v>
      </c>
      <c r="AE85" s="214" t="str">
        <f t="shared" si="66"/>
        <v>-</v>
      </c>
      <c r="AF85" s="214" t="str">
        <f t="shared" si="66"/>
        <v>-</v>
      </c>
      <c r="AG85" s="214" t="str">
        <f t="shared" si="66"/>
        <v>-</v>
      </c>
      <c r="AH85" s="214" t="str">
        <f t="shared" si="66"/>
        <v>-</v>
      </c>
      <c r="AI85" s="214" t="str">
        <f t="shared" si="66"/>
        <v>-</v>
      </c>
      <c r="AJ85" s="214" t="str">
        <f t="shared" si="66"/>
        <v>-</v>
      </c>
      <c r="AK85" s="214" t="str">
        <f t="shared" si="66"/>
        <v>-</v>
      </c>
      <c r="AL85" s="214" t="str">
        <f t="shared" si="66"/>
        <v>-</v>
      </c>
      <c r="AM85" s="214" t="str">
        <f t="shared" si="66"/>
        <v>-</v>
      </c>
      <c r="AN85" s="294" t="str">
        <f t="shared" si="66"/>
        <v>-</v>
      </c>
      <c r="AO85" s="242">
        <f t="shared" ref="AO85:AP85" si="67">AO83-AO84</f>
        <v>1470.4405020213442</v>
      </c>
      <c r="AP85" s="242">
        <f t="shared" si="67"/>
        <v>1470.4405020213442</v>
      </c>
      <c r="AQ85" s="243" t="str">
        <f t="shared" ref="AQ85" si="68">IFERROR(IF(AQ83=0,"-",(AQ83/AQ84)-1),"-")</f>
        <v>-</v>
      </c>
    </row>
    <row r="86" spans="2:43" ht="15.75" outlineLevel="1" thickBot="1" x14ac:dyDescent="0.3">
      <c r="B86" t="str">
        <f t="shared" si="60"/>
        <v>PC Annual Direct</v>
      </c>
      <c r="C86" t="str">
        <f t="shared" si="58"/>
        <v>Boom Premium Finance</v>
      </c>
      <c r="D86" s="254" t="s">
        <v>17</v>
      </c>
      <c r="E86" s="217"/>
      <c r="F86" s="217"/>
      <c r="G86" s="217"/>
      <c r="H86" s="217"/>
      <c r="I86" s="217"/>
      <c r="J86" s="217"/>
      <c r="K86" s="217"/>
      <c r="L86" s="217"/>
      <c r="M86" s="217"/>
      <c r="N86" s="217"/>
      <c r="O86" s="217"/>
      <c r="P86" s="295"/>
      <c r="Q86" s="217"/>
      <c r="R86" s="217"/>
      <c r="S86" s="217"/>
      <c r="T86" s="217"/>
      <c r="U86" s="217"/>
      <c r="V86" s="217"/>
      <c r="W86" s="217"/>
      <c r="X86" s="217"/>
      <c r="Y86" s="217"/>
      <c r="Z86" s="217"/>
      <c r="AA86" s="217"/>
      <c r="AB86" s="295"/>
      <c r="AC86" s="217"/>
      <c r="AD86" s="217"/>
      <c r="AE86" s="217"/>
      <c r="AF86" s="217"/>
      <c r="AG86" s="217"/>
      <c r="AH86" s="217"/>
      <c r="AI86" s="217"/>
      <c r="AJ86" s="217"/>
      <c r="AK86" s="217"/>
      <c r="AL86" s="217"/>
      <c r="AM86" s="217"/>
      <c r="AN86" s="295"/>
      <c r="AO86" s="245"/>
      <c r="AP86" s="245"/>
      <c r="AQ86" s="246"/>
    </row>
    <row r="87" spans="2:43" ht="15.75" outlineLevel="1" x14ac:dyDescent="0.25">
      <c r="B87" t="str">
        <f t="shared" si="60"/>
        <v>PC Annual Direct</v>
      </c>
      <c r="C87" t="str">
        <f t="shared" si="58"/>
        <v>Boom Premium Finance</v>
      </c>
      <c r="D87" s="208" t="s">
        <v>7</v>
      </c>
      <c r="E87" s="251">
        <v>0</v>
      </c>
      <c r="F87" s="251">
        <v>0</v>
      </c>
      <c r="G87" s="251">
        <v>0</v>
      </c>
      <c r="H87" s="251">
        <v>0</v>
      </c>
      <c r="I87" s="251">
        <v>0</v>
      </c>
      <c r="J87" s="251">
        <v>0</v>
      </c>
      <c r="K87" s="251">
        <v>0</v>
      </c>
      <c r="L87" s="251">
        <v>0</v>
      </c>
      <c r="M87" s="251">
        <v>0</v>
      </c>
      <c r="N87" s="251">
        <v>0</v>
      </c>
      <c r="O87" s="251">
        <v>0</v>
      </c>
      <c r="P87" s="296">
        <v>0</v>
      </c>
      <c r="Q87" s="251">
        <v>0</v>
      </c>
      <c r="R87" s="251">
        <v>0</v>
      </c>
      <c r="S87" s="251">
        <v>0</v>
      </c>
      <c r="T87" s="251">
        <v>0</v>
      </c>
      <c r="U87" s="251">
        <v>0</v>
      </c>
      <c r="V87" s="251">
        <v>0</v>
      </c>
      <c r="W87" s="251">
        <v>0</v>
      </c>
      <c r="X87" s="251">
        <v>0</v>
      </c>
      <c r="Y87" s="251">
        <v>0</v>
      </c>
      <c r="Z87" s="251">
        <v>0</v>
      </c>
      <c r="AA87" s="251">
        <v>0</v>
      </c>
      <c r="AB87" s="296">
        <v>0</v>
      </c>
      <c r="AC87" s="251">
        <v>733964.64285719988</v>
      </c>
      <c r="AD87" s="251">
        <v>3559500.6071441188</v>
      </c>
      <c r="AE87" s="251">
        <v>5777514.9107149206</v>
      </c>
      <c r="AF87" s="251">
        <v>5395087.7142872168</v>
      </c>
      <c r="AG87" s="251">
        <v>4942333.1696412386</v>
      </c>
      <c r="AH87" s="251">
        <v>4158236.8839275893</v>
      </c>
      <c r="AI87" s="251">
        <v>3611390.1071453677</v>
      </c>
      <c r="AJ87" s="251">
        <v>3266360.6607159213</v>
      </c>
      <c r="AK87" s="251">
        <v>3008080.9642853192</v>
      </c>
      <c r="AL87" s="251">
        <v>3047792.1517858193</v>
      </c>
      <c r="AM87" s="251">
        <v>3560156.5089285178</v>
      </c>
      <c r="AN87" s="296">
        <v>3684192.6607148829</v>
      </c>
      <c r="AO87" s="253">
        <f t="shared" ref="AO87" si="69">AVERAGE(Z87:AC87)</f>
        <v>183491.16071429997</v>
      </c>
      <c r="AP87" s="251">
        <f>AVERAGE(R87:AC87)</f>
        <v>61163.720238099988</v>
      </c>
      <c r="AQ87" s="296"/>
    </row>
    <row r="88" spans="2:43" ht="15.75" outlineLevel="1" x14ac:dyDescent="0.25">
      <c r="B88" t="str">
        <f t="shared" si="60"/>
        <v>PC Annual Direct</v>
      </c>
      <c r="C88" t="str">
        <f t="shared" si="58"/>
        <v>Boom Premium Finance</v>
      </c>
      <c r="D88" s="211" t="s">
        <v>14</v>
      </c>
      <c r="E88" s="221">
        <v>0</v>
      </c>
      <c r="F88" s="221">
        <v>0</v>
      </c>
      <c r="G88" s="221">
        <v>0</v>
      </c>
      <c r="H88" s="221">
        <v>0</v>
      </c>
      <c r="I88" s="221">
        <v>0</v>
      </c>
      <c r="J88" s="221">
        <v>0</v>
      </c>
      <c r="K88" s="221">
        <v>0</v>
      </c>
      <c r="L88" s="221">
        <v>0</v>
      </c>
      <c r="M88" s="221">
        <v>0</v>
      </c>
      <c r="N88" s="221">
        <v>0</v>
      </c>
      <c r="O88" s="221">
        <v>0</v>
      </c>
      <c r="P88" s="297">
        <v>0</v>
      </c>
      <c r="Q88" s="221">
        <v>0</v>
      </c>
      <c r="R88" s="221">
        <v>0</v>
      </c>
      <c r="S88" s="221">
        <v>0</v>
      </c>
      <c r="T88" s="221">
        <v>0</v>
      </c>
      <c r="U88" s="221">
        <v>0</v>
      </c>
      <c r="V88" s="221">
        <v>0</v>
      </c>
      <c r="W88" s="221">
        <v>0</v>
      </c>
      <c r="X88" s="221">
        <v>0</v>
      </c>
      <c r="Y88" s="221">
        <v>0</v>
      </c>
      <c r="Z88" s="221">
        <v>0</v>
      </c>
      <c r="AA88" s="221">
        <v>0</v>
      </c>
      <c r="AB88" s="297">
        <v>0</v>
      </c>
      <c r="AC88" s="221">
        <v>0.15054930925555279</v>
      </c>
      <c r="AD88" s="221">
        <v>0.11986705358178491</v>
      </c>
      <c r="AE88" s="221">
        <v>7.2153156926747952E-2</v>
      </c>
      <c r="AF88" s="221">
        <v>6.750052256511517E-2</v>
      </c>
      <c r="AG88" s="221">
        <v>6.7814349720247455E-2</v>
      </c>
      <c r="AH88" s="221">
        <v>6.7320104124299923E-2</v>
      </c>
      <c r="AI88" s="221">
        <v>6.7070790696664051E-2</v>
      </c>
      <c r="AJ88" s="221">
        <v>6.7617217736078636E-2</v>
      </c>
      <c r="AK88" s="221">
        <v>6.6739815976857436E-2</v>
      </c>
      <c r="AL88" s="221">
        <v>6.8599645116141944E-2</v>
      </c>
      <c r="AM88" s="221">
        <v>6.9184843245638755E-2</v>
      </c>
      <c r="AN88" s="297">
        <v>6.9209561899328934E-2</v>
      </c>
      <c r="AO88" s="17">
        <f>AVERAGE(Z88:AC88)</f>
        <v>3.7637327313888198E-2</v>
      </c>
      <c r="AP88" s="221">
        <f>AVERAGE(R88:AC88)</f>
        <v>1.2545775771296066E-2</v>
      </c>
      <c r="AQ88" s="297"/>
    </row>
    <row r="89" spans="2:43" ht="15.75" outlineLevel="1" x14ac:dyDescent="0.25">
      <c r="B89" t="str">
        <f t="shared" si="60"/>
        <v>PC Annual Direct</v>
      </c>
      <c r="C89" t="str">
        <f t="shared" si="58"/>
        <v>Boom Premium Finance</v>
      </c>
      <c r="D89" s="223" t="s">
        <v>21</v>
      </c>
      <c r="E89" s="224">
        <f>IFERROR(E80/E$34,"-")</f>
        <v>0</v>
      </c>
      <c r="F89" s="224">
        <f t="shared" ref="F89:AN89" si="70">IFERROR(F80/F$34,"-")</f>
        <v>0</v>
      </c>
      <c r="G89" s="224">
        <f t="shared" si="70"/>
        <v>0</v>
      </c>
      <c r="H89" s="224">
        <f t="shared" si="70"/>
        <v>0</v>
      </c>
      <c r="I89" s="224">
        <f t="shared" si="70"/>
        <v>0</v>
      </c>
      <c r="J89" s="224">
        <f t="shared" si="70"/>
        <v>0</v>
      </c>
      <c r="K89" s="224">
        <f t="shared" si="70"/>
        <v>0</v>
      </c>
      <c r="L89" s="224">
        <f t="shared" si="70"/>
        <v>0</v>
      </c>
      <c r="M89" s="224">
        <f t="shared" si="70"/>
        <v>0</v>
      </c>
      <c r="N89" s="224">
        <f t="shared" si="70"/>
        <v>0</v>
      </c>
      <c r="O89" s="224">
        <f t="shared" si="70"/>
        <v>0</v>
      </c>
      <c r="P89" s="298">
        <f t="shared" si="70"/>
        <v>0</v>
      </c>
      <c r="Q89" s="224">
        <f t="shared" si="70"/>
        <v>0</v>
      </c>
      <c r="R89" s="224">
        <f t="shared" si="70"/>
        <v>0</v>
      </c>
      <c r="S89" s="224">
        <f t="shared" si="70"/>
        <v>0</v>
      </c>
      <c r="T89" s="224">
        <f t="shared" si="70"/>
        <v>0</v>
      </c>
      <c r="U89" s="224">
        <f t="shared" si="70"/>
        <v>0</v>
      </c>
      <c r="V89" s="224">
        <f t="shared" si="70"/>
        <v>0</v>
      </c>
      <c r="W89" s="224">
        <f t="shared" si="70"/>
        <v>0</v>
      </c>
      <c r="X89" s="224">
        <f t="shared" si="70"/>
        <v>0</v>
      </c>
      <c r="Y89" s="224">
        <f t="shared" si="70"/>
        <v>0</v>
      </c>
      <c r="Z89" s="224">
        <f t="shared" si="70"/>
        <v>0</v>
      </c>
      <c r="AA89" s="224">
        <f t="shared" si="70"/>
        <v>0</v>
      </c>
      <c r="AB89" s="298">
        <f t="shared" si="70"/>
        <v>0</v>
      </c>
      <c r="AC89" s="224">
        <f t="shared" si="70"/>
        <v>0.2554516076377743</v>
      </c>
      <c r="AD89" s="224">
        <f t="shared" si="70"/>
        <v>0.65433555787508801</v>
      </c>
      <c r="AE89" s="224">
        <f t="shared" si="70"/>
        <v>0.70864501322750506</v>
      </c>
      <c r="AF89" s="224">
        <f t="shared" si="70"/>
        <v>0.73014689555041112</v>
      </c>
      <c r="AG89" s="224">
        <f t="shared" si="70"/>
        <v>0.71972562832103182</v>
      </c>
      <c r="AH89" s="224">
        <f t="shared" si="70"/>
        <v>0.72470118791546556</v>
      </c>
      <c r="AI89" s="224">
        <f t="shared" si="70"/>
        <v>0.7345774355497382</v>
      </c>
      <c r="AJ89" s="224">
        <f t="shared" si="70"/>
        <v>0.74900467860574893</v>
      </c>
      <c r="AK89" s="224">
        <f t="shared" si="70"/>
        <v>0.72789959173312546</v>
      </c>
      <c r="AL89" s="224">
        <f t="shared" si="70"/>
        <v>0.73965617363882785</v>
      </c>
      <c r="AM89" s="224">
        <f t="shared" si="70"/>
        <v>0.74262345048156431</v>
      </c>
      <c r="AN89" s="298">
        <f t="shared" si="70"/>
        <v>0.76104003765320383</v>
      </c>
      <c r="AO89" s="249">
        <f t="shared" ref="AO89:AP89" si="71">AO80/AO$8</f>
        <v>3.9846545589830556E-2</v>
      </c>
      <c r="AP89" s="224">
        <f t="shared" si="71"/>
        <v>1.7602503043818912E-2</v>
      </c>
      <c r="AQ89" s="298"/>
    </row>
    <row r="90" spans="2:43" ht="15.75" outlineLevel="1" x14ac:dyDescent="0.25">
      <c r="B90" t="str">
        <f t="shared" si="60"/>
        <v>PC Annual Direct</v>
      </c>
      <c r="C90" t="str">
        <f t="shared" si="58"/>
        <v>Boom Premium Finance</v>
      </c>
      <c r="D90" s="211" t="s">
        <v>199</v>
      </c>
      <c r="E90" s="173">
        <v>0</v>
      </c>
      <c r="F90" s="173">
        <v>0</v>
      </c>
      <c r="G90" s="173">
        <v>0</v>
      </c>
      <c r="H90" s="173">
        <v>0</v>
      </c>
      <c r="I90" s="173">
        <v>0</v>
      </c>
      <c r="J90" s="173">
        <v>0</v>
      </c>
      <c r="K90" s="173">
        <v>0</v>
      </c>
      <c r="L90" s="173">
        <v>0</v>
      </c>
      <c r="M90" s="173">
        <v>0</v>
      </c>
      <c r="N90" s="173">
        <v>0</v>
      </c>
      <c r="O90" s="173">
        <v>0</v>
      </c>
      <c r="P90" s="299">
        <v>0</v>
      </c>
      <c r="Q90" s="173">
        <v>0</v>
      </c>
      <c r="R90" s="173">
        <v>0</v>
      </c>
      <c r="S90" s="173">
        <v>0</v>
      </c>
      <c r="T90" s="173">
        <v>0</v>
      </c>
      <c r="U90" s="173">
        <v>0</v>
      </c>
      <c r="V90" s="173">
        <v>0</v>
      </c>
      <c r="W90" s="173">
        <v>0</v>
      </c>
      <c r="X90" s="173">
        <v>0</v>
      </c>
      <c r="Y90" s="173">
        <v>0</v>
      </c>
      <c r="Z90" s="173">
        <v>0</v>
      </c>
      <c r="AA90" s="173">
        <v>0</v>
      </c>
      <c r="AB90" s="299">
        <v>0</v>
      </c>
      <c r="AC90" s="173">
        <v>5955.3278571000001</v>
      </c>
      <c r="AD90" s="173">
        <v>10774.406786</v>
      </c>
      <c r="AE90" s="173">
        <v>10238.006786</v>
      </c>
      <c r="AF90" s="173">
        <v>12354.197142999999</v>
      </c>
      <c r="AG90" s="173">
        <v>9489.2539285999992</v>
      </c>
      <c r="AH90" s="173">
        <v>9971.4500000000007</v>
      </c>
      <c r="AI90" s="173">
        <v>6495.58</v>
      </c>
      <c r="AJ90" s="173">
        <v>12177.2575</v>
      </c>
      <c r="AK90" s="173">
        <v>6181.3164286000001</v>
      </c>
      <c r="AL90" s="173">
        <v>8122.25</v>
      </c>
      <c r="AM90" s="173">
        <v>6710.1357142999996</v>
      </c>
      <c r="AN90" s="299">
        <v>11957.857142999999</v>
      </c>
      <c r="AO90" s="17"/>
      <c r="AP90" s="221"/>
      <c r="AQ90" s="297"/>
    </row>
    <row r="91" spans="2:43" ht="15.75" outlineLevel="1" x14ac:dyDescent="0.25">
      <c r="B91" t="str">
        <f t="shared" si="60"/>
        <v>PC Annual Direct</v>
      </c>
      <c r="C91" t="str">
        <f t="shared" si="58"/>
        <v>Boom Premium Finance</v>
      </c>
      <c r="D91" s="223" t="s">
        <v>200</v>
      </c>
      <c r="E91" s="229">
        <v>0</v>
      </c>
      <c r="F91" s="229">
        <v>0</v>
      </c>
      <c r="G91" s="229">
        <v>0</v>
      </c>
      <c r="H91" s="229">
        <v>0</v>
      </c>
      <c r="I91" s="229">
        <v>0</v>
      </c>
      <c r="J91" s="229">
        <v>0</v>
      </c>
      <c r="K91" s="229">
        <v>0</v>
      </c>
      <c r="L91" s="229">
        <v>0</v>
      </c>
      <c r="M91" s="229">
        <v>0</v>
      </c>
      <c r="N91" s="229">
        <v>0</v>
      </c>
      <c r="O91" s="229">
        <v>0</v>
      </c>
      <c r="P91" s="300">
        <v>0</v>
      </c>
      <c r="Q91" s="229">
        <v>0</v>
      </c>
      <c r="R91" s="229">
        <v>0</v>
      </c>
      <c r="S91" s="229">
        <v>0</v>
      </c>
      <c r="T91" s="229">
        <v>0</v>
      </c>
      <c r="U91" s="229">
        <v>0</v>
      </c>
      <c r="V91" s="229">
        <v>0</v>
      </c>
      <c r="W91" s="229">
        <v>0</v>
      </c>
      <c r="X91" s="229">
        <v>0</v>
      </c>
      <c r="Y91" s="229">
        <v>0</v>
      </c>
      <c r="Z91" s="229">
        <v>0</v>
      </c>
      <c r="AA91" s="229">
        <v>0</v>
      </c>
      <c r="AB91" s="300">
        <v>0</v>
      </c>
      <c r="AC91" s="229">
        <v>428.55178570999999</v>
      </c>
      <c r="AD91" s="229">
        <v>349.99892856999998</v>
      </c>
      <c r="AE91" s="229">
        <v>349.99892856999998</v>
      </c>
      <c r="AF91" s="229">
        <v>349.99785714000001</v>
      </c>
      <c r="AG91" s="229">
        <v>349.99821429000002</v>
      </c>
      <c r="AH91" s="229">
        <v>349.99821429000002</v>
      </c>
      <c r="AI91" s="229">
        <v>349.99785714000001</v>
      </c>
      <c r="AJ91" s="229">
        <v>349.99785714000001</v>
      </c>
      <c r="AK91" s="229">
        <v>349.99821429000002</v>
      </c>
      <c r="AL91" s="229">
        <v>349.99821429000002</v>
      </c>
      <c r="AM91" s="229">
        <v>349.99821429000002</v>
      </c>
      <c r="AN91" s="300">
        <v>349.99821429000002</v>
      </c>
      <c r="AO91" s="249"/>
      <c r="AP91" s="224"/>
      <c r="AQ91" s="298"/>
    </row>
    <row r="92" spans="2:43" ht="15.75" outlineLevel="1" x14ac:dyDescent="0.25">
      <c r="B92" t="str">
        <f t="shared" si="60"/>
        <v>PC Annual Direct</v>
      </c>
      <c r="C92" t="str">
        <f t="shared" si="58"/>
        <v>Boom Premium Finance</v>
      </c>
      <c r="D92" s="211" t="s">
        <v>201</v>
      </c>
      <c r="E92" s="221" t="s">
        <v>491</v>
      </c>
      <c r="F92" s="221" t="s">
        <v>491</v>
      </c>
      <c r="G92" s="221" t="s">
        <v>491</v>
      </c>
      <c r="H92" s="221" t="s">
        <v>491</v>
      </c>
      <c r="I92" s="221" t="s">
        <v>491</v>
      </c>
      <c r="J92" s="221" t="s">
        <v>491</v>
      </c>
      <c r="K92" s="221" t="s">
        <v>491</v>
      </c>
      <c r="L92" s="221" t="s">
        <v>491</v>
      </c>
      <c r="M92" s="221" t="s">
        <v>491</v>
      </c>
      <c r="N92" s="221" t="s">
        <v>491</v>
      </c>
      <c r="O92" s="221" t="s">
        <v>491</v>
      </c>
      <c r="P92" s="297" t="s">
        <v>491</v>
      </c>
      <c r="Q92" s="221" t="s">
        <v>491</v>
      </c>
      <c r="R92" s="221" t="s">
        <v>491</v>
      </c>
      <c r="S92" s="221" t="s">
        <v>491</v>
      </c>
      <c r="T92" s="221" t="s">
        <v>491</v>
      </c>
      <c r="U92" s="221" t="s">
        <v>491</v>
      </c>
      <c r="V92" s="221" t="s">
        <v>491</v>
      </c>
      <c r="W92" s="221" t="s">
        <v>491</v>
      </c>
      <c r="X92" s="221" t="s">
        <v>491</v>
      </c>
      <c r="Y92" s="221" t="s">
        <v>491</v>
      </c>
      <c r="Z92" s="221" t="s">
        <v>491</v>
      </c>
      <c r="AA92" s="221" t="s">
        <v>491</v>
      </c>
      <c r="AB92" s="297" t="s">
        <v>491</v>
      </c>
      <c r="AC92" s="221">
        <v>0</v>
      </c>
      <c r="AD92" s="221">
        <v>4.5787545787545788E-4</v>
      </c>
      <c r="AE92" s="221">
        <v>5.1295203898435492E-4</v>
      </c>
      <c r="AF92" s="221">
        <v>1.4443909484833895E-3</v>
      </c>
      <c r="AG92" s="221">
        <v>1.5321756894790602E-3</v>
      </c>
      <c r="AH92" s="221">
        <v>4.7003525264394828E-3</v>
      </c>
      <c r="AI92" s="221">
        <v>5.0607287449392713E-3</v>
      </c>
      <c r="AJ92" s="221">
        <v>7.2713356295445852E-3</v>
      </c>
      <c r="AK92" s="221">
        <v>3.6014405762304922E-3</v>
      </c>
      <c r="AL92" s="221">
        <v>5.2461662631154158E-3</v>
      </c>
      <c r="AM92" s="221">
        <v>6.0541310541310537E-3</v>
      </c>
      <c r="AN92" s="297">
        <v>3.1013094417643005E-3</v>
      </c>
      <c r="AO92" s="17"/>
      <c r="AP92" s="221"/>
      <c r="AQ92" s="297"/>
    </row>
    <row r="93" spans="2:43" ht="15.75" outlineLevel="1" x14ac:dyDescent="0.25">
      <c r="B93" t="str">
        <f t="shared" si="60"/>
        <v>PC Annual Direct</v>
      </c>
      <c r="C93" t="str">
        <f t="shared" si="58"/>
        <v>Boom Premium Finance</v>
      </c>
      <c r="D93" s="223" t="s">
        <v>202</v>
      </c>
      <c r="E93" s="224">
        <v>0</v>
      </c>
      <c r="F93" s="224">
        <v>0</v>
      </c>
      <c r="G93" s="224">
        <v>0</v>
      </c>
      <c r="H93" s="224">
        <v>0</v>
      </c>
      <c r="I93" s="224">
        <v>0</v>
      </c>
      <c r="J93" s="224">
        <v>0</v>
      </c>
      <c r="K93" s="224">
        <v>0</v>
      </c>
      <c r="L93" s="224">
        <v>0</v>
      </c>
      <c r="M93" s="224">
        <v>0</v>
      </c>
      <c r="N93" s="224">
        <v>0</v>
      </c>
      <c r="O93" s="224">
        <v>0</v>
      </c>
      <c r="P93" s="298">
        <v>0</v>
      </c>
      <c r="Q93" s="224">
        <v>0</v>
      </c>
      <c r="R93" s="224">
        <v>0</v>
      </c>
      <c r="S93" s="224">
        <v>0</v>
      </c>
      <c r="T93" s="224">
        <v>0</v>
      </c>
      <c r="U93" s="224">
        <v>0</v>
      </c>
      <c r="V93" s="224">
        <v>0</v>
      </c>
      <c r="W93" s="224">
        <v>0</v>
      </c>
      <c r="X93" s="224">
        <v>0</v>
      </c>
      <c r="Y93" s="224">
        <v>0</v>
      </c>
      <c r="Z93" s="224">
        <v>0</v>
      </c>
      <c r="AA93" s="224">
        <v>0</v>
      </c>
      <c r="AB93" s="298">
        <v>0</v>
      </c>
      <c r="AC93" s="224">
        <v>0.186908566644507</v>
      </c>
      <c r="AD93" s="224">
        <v>0.188339914011148</v>
      </c>
      <c r="AE93" s="224">
        <v>0.18824666454260999</v>
      </c>
      <c r="AF93" s="224">
        <v>0.16698428878621799</v>
      </c>
      <c r="AG93" s="224">
        <v>0.167662221164705</v>
      </c>
      <c r="AH93" s="224">
        <v>0.16766874866357401</v>
      </c>
      <c r="AI93" s="224">
        <v>0.16752814749053799</v>
      </c>
      <c r="AJ93" s="224">
        <v>0.167662221164705</v>
      </c>
      <c r="AK93" s="224">
        <v>0.19268482062421399</v>
      </c>
      <c r="AL93" s="224">
        <v>0.197021829773881</v>
      </c>
      <c r="AM93" s="224">
        <v>0.19467491543832199</v>
      </c>
      <c r="AN93" s="298">
        <v>0.19658394735670401</v>
      </c>
      <c r="AO93" s="249"/>
      <c r="AP93" s="224"/>
      <c r="AQ93" s="298"/>
    </row>
    <row r="94" spans="2:43" ht="16.5" outlineLevel="1" thickBot="1" x14ac:dyDescent="0.3">
      <c r="B94" t="str">
        <f t="shared" si="60"/>
        <v>PC Annual Direct</v>
      </c>
      <c r="C94" t="str">
        <f t="shared" si="58"/>
        <v>Boom Premium Finance</v>
      </c>
      <c r="D94" s="226" t="s">
        <v>203</v>
      </c>
      <c r="E94" s="231">
        <v>0</v>
      </c>
      <c r="F94" s="227">
        <v>0</v>
      </c>
      <c r="G94" s="227">
        <v>0</v>
      </c>
      <c r="H94" s="227">
        <v>0</v>
      </c>
      <c r="I94" s="227">
        <v>0</v>
      </c>
      <c r="J94" s="227">
        <v>0</v>
      </c>
      <c r="K94" s="227">
        <v>0</v>
      </c>
      <c r="L94" s="227">
        <v>0</v>
      </c>
      <c r="M94" s="227">
        <v>0</v>
      </c>
      <c r="N94" s="227">
        <v>0</v>
      </c>
      <c r="O94" s="227">
        <v>0</v>
      </c>
      <c r="P94" s="301">
        <v>0</v>
      </c>
      <c r="Q94" s="227">
        <v>0</v>
      </c>
      <c r="R94" s="227">
        <v>0</v>
      </c>
      <c r="S94" s="227">
        <v>0</v>
      </c>
      <c r="T94" s="227">
        <v>0</v>
      </c>
      <c r="U94" s="227">
        <v>0</v>
      </c>
      <c r="V94" s="227">
        <v>0</v>
      </c>
      <c r="W94" s="227">
        <v>0</v>
      </c>
      <c r="X94" s="227">
        <v>0</v>
      </c>
      <c r="Y94" s="227">
        <v>0</v>
      </c>
      <c r="Z94" s="227">
        <v>0</v>
      </c>
      <c r="AA94" s="227">
        <v>0</v>
      </c>
      <c r="AB94" s="301">
        <v>0</v>
      </c>
      <c r="AC94" s="227">
        <v>0.176460972958564</v>
      </c>
      <c r="AD94" s="227">
        <v>4.88660874813516E-2</v>
      </c>
      <c r="AE94" s="227">
        <v>4.8869680851424797E-2</v>
      </c>
      <c r="AF94" s="227">
        <v>4.8862468365599397E-2</v>
      </c>
      <c r="AG94" s="227">
        <v>4.8864259244639302E-2</v>
      </c>
      <c r="AH94" s="227">
        <v>4.8861794836557899E-2</v>
      </c>
      <c r="AI94" s="227">
        <v>4.8863729570241703E-2</v>
      </c>
      <c r="AJ94" s="227">
        <v>4.8862641977371397E-2</v>
      </c>
      <c r="AK94" s="227">
        <v>4.8861496369821102E-2</v>
      </c>
      <c r="AL94" s="227">
        <v>4.8862684405650302E-2</v>
      </c>
      <c r="AM94" s="227">
        <v>4.8865212899752701E-2</v>
      </c>
      <c r="AN94" s="301">
        <v>4.8863316535010699E-2</v>
      </c>
      <c r="AO94" s="302"/>
      <c r="AP94" s="227"/>
      <c r="AQ94" s="301"/>
    </row>
    <row r="96" spans="2:43" ht="15.75" thickBot="1" x14ac:dyDescent="0.3"/>
    <row r="97" spans="2:44" ht="21" x14ac:dyDescent="0.25">
      <c r="D97" s="362" t="s">
        <v>204</v>
      </c>
      <c r="E97" s="202" t="s">
        <v>301</v>
      </c>
      <c r="F97" s="202"/>
      <c r="G97" s="202"/>
      <c r="H97" s="202"/>
      <c r="I97" s="202"/>
      <c r="J97" s="202"/>
      <c r="K97" s="202"/>
      <c r="L97" s="202"/>
      <c r="M97" s="202"/>
      <c r="N97" s="202"/>
      <c r="O97" s="202"/>
      <c r="P97" s="233"/>
      <c r="Q97" s="202"/>
      <c r="R97" s="202"/>
      <c r="S97" s="202"/>
      <c r="T97" s="202"/>
      <c r="U97" s="202"/>
      <c r="V97" s="202"/>
      <c r="W97" s="202"/>
      <c r="X97" s="202"/>
      <c r="Y97" s="202"/>
      <c r="Z97" s="202"/>
      <c r="AA97" s="202"/>
      <c r="AB97" s="233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3"/>
      <c r="AO97" s="232"/>
      <c r="AP97" s="202"/>
      <c r="AQ97" s="233"/>
    </row>
    <row r="98" spans="2:44" ht="15.75" thickBot="1" x14ac:dyDescent="0.3">
      <c r="D98" s="306"/>
      <c r="E98" s="287" t="s">
        <v>341</v>
      </c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92"/>
      <c r="Q98" s="287" t="s">
        <v>341</v>
      </c>
      <c r="R98" s="287"/>
      <c r="S98" s="287"/>
      <c r="T98" s="287"/>
      <c r="U98" s="287"/>
      <c r="V98" s="287"/>
      <c r="W98" s="287"/>
      <c r="X98" s="287"/>
      <c r="Y98" s="287"/>
      <c r="Z98" s="287"/>
      <c r="AA98" s="287"/>
      <c r="AB98" s="292"/>
      <c r="AC98" s="287" t="s">
        <v>341</v>
      </c>
      <c r="AD98" s="287"/>
      <c r="AE98" s="287"/>
      <c r="AF98" s="287"/>
      <c r="AG98" s="287"/>
      <c r="AH98" s="287"/>
      <c r="AI98" s="287"/>
      <c r="AJ98" s="287"/>
      <c r="AK98" s="287"/>
      <c r="AL98" s="287"/>
      <c r="AM98" s="287"/>
      <c r="AN98" s="288"/>
      <c r="AO98" s="510" t="s">
        <v>8</v>
      </c>
      <c r="AP98" s="511"/>
      <c r="AQ98" s="512"/>
    </row>
    <row r="99" spans="2:44" x14ac:dyDescent="0.25">
      <c r="D99" s="308" t="s">
        <v>16</v>
      </c>
      <c r="E99" s="206">
        <f t="shared" ref="E99:AN99" si="72">E$4</f>
        <v>44562</v>
      </c>
      <c r="F99" s="206">
        <f t="shared" si="72"/>
        <v>44593</v>
      </c>
      <c r="G99" s="206">
        <f t="shared" si="72"/>
        <v>44621</v>
      </c>
      <c r="H99" s="206">
        <f t="shared" si="72"/>
        <v>44652</v>
      </c>
      <c r="I99" s="206">
        <f t="shared" si="72"/>
        <v>44682</v>
      </c>
      <c r="J99" s="206">
        <f t="shared" si="72"/>
        <v>44713</v>
      </c>
      <c r="K99" s="206">
        <f t="shared" si="72"/>
        <v>44743</v>
      </c>
      <c r="L99" s="206">
        <f t="shared" si="72"/>
        <v>44774</v>
      </c>
      <c r="M99" s="206">
        <f t="shared" si="72"/>
        <v>44805</v>
      </c>
      <c r="N99" s="206">
        <f t="shared" si="72"/>
        <v>44835</v>
      </c>
      <c r="O99" s="206">
        <f t="shared" si="72"/>
        <v>44866</v>
      </c>
      <c r="P99" s="293">
        <f t="shared" si="72"/>
        <v>44896</v>
      </c>
      <c r="Q99" s="206">
        <f t="shared" si="72"/>
        <v>44927</v>
      </c>
      <c r="R99" s="206">
        <f t="shared" si="72"/>
        <v>44958</v>
      </c>
      <c r="S99" s="206">
        <f t="shared" si="72"/>
        <v>44986</v>
      </c>
      <c r="T99" s="206">
        <f t="shared" si="72"/>
        <v>45017</v>
      </c>
      <c r="U99" s="206">
        <f t="shared" si="72"/>
        <v>45047</v>
      </c>
      <c r="V99" s="206">
        <f t="shared" si="72"/>
        <v>45078</v>
      </c>
      <c r="W99" s="206">
        <f t="shared" si="72"/>
        <v>45108</v>
      </c>
      <c r="X99" s="206">
        <f t="shared" si="72"/>
        <v>45139</v>
      </c>
      <c r="Y99" s="206">
        <f t="shared" si="72"/>
        <v>45170</v>
      </c>
      <c r="Z99" s="206">
        <f t="shared" si="72"/>
        <v>45200</v>
      </c>
      <c r="AA99" s="206">
        <f t="shared" si="72"/>
        <v>45231</v>
      </c>
      <c r="AB99" s="293">
        <f t="shared" si="72"/>
        <v>45261</v>
      </c>
      <c r="AC99" s="206">
        <f t="shared" si="72"/>
        <v>45292</v>
      </c>
      <c r="AD99" s="206">
        <f t="shared" si="72"/>
        <v>45323</v>
      </c>
      <c r="AE99" s="206">
        <f t="shared" si="72"/>
        <v>45352</v>
      </c>
      <c r="AF99" s="206">
        <f t="shared" si="72"/>
        <v>45383</v>
      </c>
      <c r="AG99" s="206">
        <f t="shared" si="72"/>
        <v>45413</v>
      </c>
      <c r="AH99" s="206">
        <f t="shared" si="72"/>
        <v>45444</v>
      </c>
      <c r="AI99" s="206">
        <f t="shared" si="72"/>
        <v>45474</v>
      </c>
      <c r="AJ99" s="206">
        <f t="shared" si="72"/>
        <v>45505</v>
      </c>
      <c r="AK99" s="206">
        <f t="shared" si="72"/>
        <v>45536</v>
      </c>
      <c r="AL99" s="206">
        <f t="shared" si="72"/>
        <v>45566</v>
      </c>
      <c r="AM99" s="206">
        <f t="shared" si="72"/>
        <v>45597</v>
      </c>
      <c r="AN99" s="207">
        <f t="shared" si="72"/>
        <v>45627</v>
      </c>
      <c r="AO99" s="234" t="s">
        <v>9</v>
      </c>
      <c r="AP99" s="235" t="str">
        <f>AP30</f>
        <v>Last Year</v>
      </c>
      <c r="AQ99" s="236" t="s">
        <v>346</v>
      </c>
    </row>
    <row r="100" spans="2:44" ht="15.75" x14ac:dyDescent="0.25">
      <c r="B100" t="str">
        <f>$D$2</f>
        <v>PC Annual Direct</v>
      </c>
      <c r="C100" t="s">
        <v>73</v>
      </c>
      <c r="D100" s="208" t="s">
        <v>304</v>
      </c>
      <c r="E100" s="209">
        <v>0</v>
      </c>
      <c r="F100" s="209">
        <v>0</v>
      </c>
      <c r="G100" s="209">
        <v>1225</v>
      </c>
      <c r="H100" s="209">
        <v>1263</v>
      </c>
      <c r="I100" s="209">
        <v>1607</v>
      </c>
      <c r="J100" s="209">
        <v>2427</v>
      </c>
      <c r="K100" s="209">
        <v>2699</v>
      </c>
      <c r="L100" s="209">
        <v>1899</v>
      </c>
      <c r="M100" s="209">
        <v>2278</v>
      </c>
      <c r="N100" s="209">
        <v>5222</v>
      </c>
      <c r="O100" s="209">
        <v>7513</v>
      </c>
      <c r="P100" s="238">
        <v>9408</v>
      </c>
      <c r="Q100" s="209">
        <v>10646</v>
      </c>
      <c r="R100" s="209">
        <v>10915</v>
      </c>
      <c r="S100" s="209">
        <v>13954</v>
      </c>
      <c r="T100" s="209">
        <v>13811</v>
      </c>
      <c r="U100" s="209">
        <v>15955</v>
      </c>
      <c r="V100" s="209">
        <v>15983</v>
      </c>
      <c r="W100" s="209">
        <v>17131</v>
      </c>
      <c r="X100" s="209">
        <v>17502</v>
      </c>
      <c r="Y100" s="209">
        <v>17006</v>
      </c>
      <c r="Z100" s="209">
        <v>18052</v>
      </c>
      <c r="AA100" s="209">
        <v>18399</v>
      </c>
      <c r="AB100" s="238">
        <v>20134</v>
      </c>
      <c r="AC100" s="209">
        <v>20196</v>
      </c>
      <c r="AD100" s="209">
        <v>17536</v>
      </c>
      <c r="AE100" s="209">
        <v>17526</v>
      </c>
      <c r="AF100" s="209">
        <v>14337</v>
      </c>
      <c r="AG100" s="209">
        <v>13005</v>
      </c>
      <c r="AH100" s="209">
        <v>11015</v>
      </c>
      <c r="AI100" s="209">
        <v>10230</v>
      </c>
      <c r="AJ100" s="209">
        <v>8665</v>
      </c>
      <c r="AK100" s="209">
        <v>7157</v>
      </c>
      <c r="AL100" s="209">
        <v>5791</v>
      </c>
      <c r="AM100" s="209">
        <v>3476</v>
      </c>
      <c r="AN100" s="210">
        <v>1896</v>
      </c>
      <c r="AO100" s="237">
        <f t="shared" ref="AO100:AO108" si="73">AVERAGE(Z100:AC100)</f>
        <v>19195.25</v>
      </c>
      <c r="AP100" s="209">
        <f t="shared" ref="AP100:AP108" si="74">AVERAGE(R100:AC100)</f>
        <v>16586.5</v>
      </c>
      <c r="AQ100" s="238">
        <f>SUMIFS(AC41:AN41,AC$4:AN$4,"&lt;"&amp;'Title Sheet'!$C$13)</f>
        <v>64387139.892863721</v>
      </c>
    </row>
    <row r="101" spans="2:44" ht="15.75" hidden="1" x14ac:dyDescent="0.25">
      <c r="B101" t="str">
        <f>$D$123&amp;"_W VYRs"</f>
        <v>PC Annual Direct - Subscription_W VYRs</v>
      </c>
      <c r="C101" t="str">
        <f>$C100</f>
        <v>Boom Subscription</v>
      </c>
      <c r="D101" s="211" t="s">
        <v>305</v>
      </c>
      <c r="E101" s="31" t="str">
        <f>IFERROR(INDEX('Plan Figures'!$B$53:$AP$90,MATCH('Headline - MGA and MPM'!E$4,'Plan Figures'!$B$53:$B$90,0),MATCH('Headline - MGA and MPM'!$B101,'Plan Figures'!$B$1:$AP$1,0))*12,"-")</f>
        <v>-</v>
      </c>
      <c r="F101" s="31" t="str">
        <f>IFERROR(INDEX('Plan Figures'!$B$53:$AP$90,MATCH('Headline - MGA and MPM'!F$4,'Plan Figures'!$B$53:$B$90,0),MATCH('Headline - MGA and MPM'!$B101,'Plan Figures'!$B$1:$AP$1,0))*12,"-")</f>
        <v>-</v>
      </c>
      <c r="G101" s="31" t="str">
        <f>IFERROR(INDEX('Plan Figures'!$B$53:$AP$90,MATCH('Headline - MGA and MPM'!G$4,'Plan Figures'!$B$53:$B$90,0),MATCH('Headline - MGA and MPM'!$B101,'Plan Figures'!$B$1:$AP$1,0))*12,"-")</f>
        <v>-</v>
      </c>
      <c r="H101" s="31" t="str">
        <f>IFERROR(INDEX('Plan Figures'!$B$53:$AP$90,MATCH('Headline - MGA and MPM'!H$4,'Plan Figures'!$B$53:$B$90,0),MATCH('Headline - MGA and MPM'!$B101,'Plan Figures'!$B$1:$AP$1,0))*12,"-")</f>
        <v>-</v>
      </c>
      <c r="I101" s="31" t="str">
        <f>IFERROR(INDEX('Plan Figures'!$B$53:$AP$90,MATCH('Headline - MGA and MPM'!I$4,'Plan Figures'!$B$53:$B$90,0),MATCH('Headline - MGA and MPM'!$B101,'Plan Figures'!$B$1:$AP$1,0))*12,"-")</f>
        <v>-</v>
      </c>
      <c r="J101" s="31" t="str">
        <f>IFERROR(INDEX('Plan Figures'!$B$53:$AP$90,MATCH('Headline - MGA and MPM'!J$4,'Plan Figures'!$B$53:$B$90,0),MATCH('Headline - MGA and MPM'!$B101,'Plan Figures'!$B$1:$AP$1,0))*12,"-")</f>
        <v>-</v>
      </c>
      <c r="K101" s="31" t="str">
        <f>IFERROR(INDEX('Plan Figures'!$B$53:$AP$90,MATCH('Headline - MGA and MPM'!K$4,'Plan Figures'!$B$53:$B$90,0),MATCH('Headline - MGA and MPM'!$B101,'Plan Figures'!$B$1:$AP$1,0))*12,"-")</f>
        <v>-</v>
      </c>
      <c r="L101" s="31" t="str">
        <f>IFERROR(INDEX('Plan Figures'!$B$53:$AP$90,MATCH('Headline - MGA and MPM'!L$4,'Plan Figures'!$B$53:$B$90,0),MATCH('Headline - MGA and MPM'!$B101,'Plan Figures'!$B$1:$AP$1,0))*12,"-")</f>
        <v>-</v>
      </c>
      <c r="M101" s="31" t="str">
        <f>IFERROR(INDEX('Plan Figures'!$B$53:$AP$90,MATCH('Headline - MGA and MPM'!M$4,'Plan Figures'!$B$53:$B$90,0),MATCH('Headline - MGA and MPM'!$B101,'Plan Figures'!$B$1:$AP$1,0))*12,"-")</f>
        <v>-</v>
      </c>
      <c r="N101" s="31" t="str">
        <f>IFERROR(INDEX('Plan Figures'!$B$53:$AP$90,MATCH('Headline - MGA and MPM'!N$4,'Plan Figures'!$B$53:$B$90,0),MATCH('Headline - MGA and MPM'!$B101,'Plan Figures'!$B$1:$AP$1,0))*12,"-")</f>
        <v>-</v>
      </c>
      <c r="O101" s="31" t="str">
        <f>IFERROR(INDEX('Plan Figures'!$B$53:$AP$90,MATCH('Headline - MGA and MPM'!O$4,'Plan Figures'!$B$53:$B$90,0),MATCH('Headline - MGA and MPM'!$B101,'Plan Figures'!$B$1:$AP$1,0))*12,"-")</f>
        <v>-</v>
      </c>
      <c r="P101" s="240" t="str">
        <f>IFERROR(INDEX('Plan Figures'!$B$53:$AP$90,MATCH('Headline - MGA and MPM'!P$4,'Plan Figures'!$B$53:$B$90,0),MATCH('Headline - MGA and MPM'!$B101,'Plan Figures'!$B$1:$AP$1,0))*12,"-")</f>
        <v>-</v>
      </c>
      <c r="Q101" s="31" t="str">
        <f>IFERROR(INDEX('Plan Figures'!$B$53:$AP$90,MATCH('Headline - MGA and MPM'!Q$4,'Plan Figures'!$B$53:$B$90,0),MATCH('Headline - MGA and MPM'!$B101,'Plan Figures'!$B$1:$AP$1,0))*12,"-")</f>
        <v>-</v>
      </c>
      <c r="R101" s="31" t="str">
        <f>IFERROR(INDEX('Plan Figures'!$B$53:$AP$90,MATCH('Headline - MGA and MPM'!R$4,'Plan Figures'!$B$53:$B$90,0),MATCH('Headline - MGA and MPM'!$B101,'Plan Figures'!$B$1:$AP$1,0))*12,"-")</f>
        <v>-</v>
      </c>
      <c r="S101" s="31" t="str">
        <f>IFERROR(INDEX('Plan Figures'!$B$53:$AP$90,MATCH('Headline - MGA and MPM'!S$4,'Plan Figures'!$B$53:$B$90,0),MATCH('Headline - MGA and MPM'!$B101,'Plan Figures'!$B$1:$AP$1,0))*12,"-")</f>
        <v>-</v>
      </c>
      <c r="T101" s="31" t="str">
        <f>IFERROR(INDEX('Plan Figures'!$B$53:$AP$90,MATCH('Headline - MGA and MPM'!T$4,'Plan Figures'!$B$53:$B$90,0),MATCH('Headline - MGA and MPM'!$B101,'Plan Figures'!$B$1:$AP$1,0))*12,"-")</f>
        <v>-</v>
      </c>
      <c r="U101" s="31" t="str">
        <f>IFERROR(INDEX('Plan Figures'!$B$53:$AP$90,MATCH('Headline - MGA and MPM'!U$4,'Plan Figures'!$B$53:$B$90,0),MATCH('Headline - MGA and MPM'!$B101,'Plan Figures'!$B$1:$AP$1,0))*12,"-")</f>
        <v>-</v>
      </c>
      <c r="V101" s="31" t="str">
        <f>IFERROR(INDEX('Plan Figures'!$B$53:$AP$90,MATCH('Headline - MGA and MPM'!V$4,'Plan Figures'!$B$53:$B$90,0),MATCH('Headline - MGA and MPM'!$B101,'Plan Figures'!$B$1:$AP$1,0))*12,"-")</f>
        <v>-</v>
      </c>
      <c r="W101" s="31" t="str">
        <f>IFERROR(INDEX('Plan Figures'!$B$53:$AP$90,MATCH('Headline - MGA and MPM'!W$4,'Plan Figures'!$B$53:$B$90,0),MATCH('Headline - MGA and MPM'!$B101,'Plan Figures'!$B$1:$AP$1,0))*12,"-")</f>
        <v>-</v>
      </c>
      <c r="X101" s="31" t="str">
        <f>IFERROR(INDEX('Plan Figures'!$B$53:$AP$90,MATCH('Headline - MGA and MPM'!X$4,'Plan Figures'!$B$53:$B$90,0),MATCH('Headline - MGA and MPM'!$B101,'Plan Figures'!$B$1:$AP$1,0))*12,"-")</f>
        <v>-</v>
      </c>
      <c r="Y101" s="31" t="str">
        <f>IFERROR(INDEX('Plan Figures'!$B$53:$AP$90,MATCH('Headline - MGA and MPM'!Y$4,'Plan Figures'!$B$53:$B$90,0),MATCH('Headline - MGA and MPM'!$B101,'Plan Figures'!$B$1:$AP$1,0))*12,"-")</f>
        <v>-</v>
      </c>
      <c r="Z101" s="31" t="str">
        <f>IFERROR(INDEX('Plan Figures'!$B$53:$AP$90,MATCH('Headline - MGA and MPM'!Z$4,'Plan Figures'!$B$53:$B$90,0),MATCH('Headline - MGA and MPM'!$B101,'Plan Figures'!$B$1:$AP$1,0))*12,"-")</f>
        <v>-</v>
      </c>
      <c r="AA101" s="31">
        <f>IFERROR(INDEX('Plan Figures'!$B$53:$AP$90,MATCH('Headline - MGA and MPM'!AA$4,'Plan Figures'!$B$53:$B$90,0),MATCH('Headline - MGA and MPM'!$B101,'Plan Figures'!$B$1:$AP$1,0))*12,"-")</f>
        <v>7427.717167901149</v>
      </c>
      <c r="AB101" s="240">
        <f>IFERROR(INDEX('Plan Figures'!$B$53:$AP$90,MATCH('Headline - MGA and MPM'!AB$4,'Plan Figures'!$B$53:$B$90,0),MATCH('Headline - MGA and MPM'!$B101,'Plan Figures'!$B$1:$AP$1,0))*12,"-")</f>
        <v>9210.019416846244</v>
      </c>
      <c r="AC101" s="31">
        <f>IFERROR(INDEX('Plan Figures'!$B$53:$AP$90,MATCH('Headline - MGA and MPM'!AC$4,'Plan Figures'!$B$53:$B$90,0),MATCH('Headline - MGA and MPM'!$B101,'Plan Figures'!$B$1:$AP$1,0))*12,"-")</f>
        <v>10048.735343006636</v>
      </c>
      <c r="AD101" s="31">
        <f>IFERROR(INDEX('Plan Figures'!$B$53:$AP$90,MATCH('Headline - MGA and MPM'!AD$4,'Plan Figures'!$B$53:$B$90,0),MATCH('Headline - MGA and MPM'!$B101,'Plan Figures'!$B$1:$AP$1,0))*12,"-")</f>
        <v>10048.735343006636</v>
      </c>
      <c r="AE101" s="31">
        <f>IFERROR(INDEX('Plan Figures'!$B$53:$AP$90,MATCH('Headline - MGA and MPM'!AE$4,'Plan Figures'!$B$53:$B$90,0),MATCH('Headline - MGA and MPM'!$B101,'Plan Figures'!$B$1:$AP$1,0))*12,"-")</f>
        <v>10048.735343006636</v>
      </c>
      <c r="AF101" s="31">
        <f>IFERROR(INDEX('Plan Figures'!$B$53:$AP$90,MATCH('Headline - MGA and MPM'!AF$4,'Plan Figures'!$B$53:$B$90,0),MATCH('Headline - MGA and MPM'!$B101,'Plan Figures'!$B$1:$AP$1,0))*12,"-")</f>
        <v>10048.735343006636</v>
      </c>
      <c r="AG101" s="31">
        <f>IFERROR(INDEX('Plan Figures'!$B$53:$AP$90,MATCH('Headline - MGA and MPM'!AG$4,'Plan Figures'!$B$53:$B$90,0),MATCH('Headline - MGA and MPM'!$B101,'Plan Figures'!$B$1:$AP$1,0))*12,"-")</f>
        <v>10044.966814095142</v>
      </c>
      <c r="AH101" s="31">
        <f>IFERROR(INDEX('Plan Figures'!$B$53:$AP$90,MATCH('Headline - MGA and MPM'!AH$4,'Plan Figures'!$B$53:$B$90,0),MATCH('Headline - MGA and MPM'!$B101,'Plan Figures'!$B$1:$AP$1,0))*12,"-")</f>
        <v>9712.2057112102266</v>
      </c>
      <c r="AI101" s="31">
        <f>IFERROR(INDEX('Plan Figures'!$B$53:$AP$90,MATCH('Headline - MGA and MPM'!AI$4,'Plan Figures'!$B$53:$B$90,0),MATCH('Headline - MGA and MPM'!$B101,'Plan Figures'!$B$1:$AP$1,0))*12,"-")</f>
        <v>11508.674734515973</v>
      </c>
      <c r="AJ101" s="31">
        <f>IFERROR(INDEX('Plan Figures'!$B$53:$AP$90,MATCH('Headline - MGA and MPM'!AJ$4,'Plan Figures'!$B$53:$B$90,0),MATCH('Headline - MGA and MPM'!$B101,'Plan Figures'!$B$1:$AP$1,0))*12,"-")</f>
        <v>10221.815378594922</v>
      </c>
      <c r="AK101" s="31">
        <f>IFERROR(INDEX('Plan Figures'!$B$53:$AP$90,MATCH('Headline - MGA and MPM'!AK$4,'Plan Figures'!$B$53:$B$90,0),MATCH('Headline - MGA and MPM'!$B101,'Plan Figures'!$B$1:$AP$1,0))*12,"-")</f>
        <v>8912.531829287951</v>
      </c>
      <c r="AL101" s="31">
        <f>IFERROR(INDEX('Plan Figures'!$B$53:$AP$90,MATCH('Headline - MGA and MPM'!AL$4,'Plan Figures'!$B$53:$B$90,0),MATCH('Headline - MGA and MPM'!$B101,'Plan Figures'!$B$1:$AP$1,0))*12,"-")</f>
        <v>6921.1187844028191</v>
      </c>
      <c r="AM101" s="31">
        <f>IFERROR(INDEX('Plan Figures'!$B$53:$AP$90,MATCH('Headline - MGA and MPM'!AM$4,'Plan Figures'!$B$53:$B$90,0),MATCH('Headline - MGA and MPM'!$B101,'Plan Figures'!$B$1:$AP$1,0))*12,"-")</f>
        <v>4395.865264717384</v>
      </c>
      <c r="AN101" s="212">
        <f>IFERROR(INDEX('Plan Figures'!$B$53:$AP$90,MATCH('Headline - MGA and MPM'!AN$4,'Plan Figures'!$B$53:$B$90,0),MATCH('Headline - MGA and MPM'!$B101,'Plan Figures'!$B$1:$AP$1,0))*12,"-")</f>
        <v>2183.8270913578708</v>
      </c>
      <c r="AO101" s="239">
        <f t="shared" si="73"/>
        <v>8895.4906425846766</v>
      </c>
      <c r="AP101" s="31">
        <f t="shared" si="74"/>
        <v>8895.4906425846766</v>
      </c>
      <c r="AQ101" s="240">
        <f>SUMIFS(AC42:AN42,AC$4:AN$4,"&lt;"&amp;'Title Sheet'!$C$13)</f>
        <v>12</v>
      </c>
      <c r="AR101" s="3" t="s">
        <v>299</v>
      </c>
    </row>
    <row r="102" spans="2:44" ht="15.75" hidden="1" x14ac:dyDescent="0.25">
      <c r="B102" t="str">
        <f t="shared" ref="B102:B120" si="75">$D$2</f>
        <v>PC Annual Direct</v>
      </c>
      <c r="C102" t="str">
        <f>$C101</f>
        <v>Boom Subscription</v>
      </c>
      <c r="D102" s="213" t="s">
        <v>0</v>
      </c>
      <c r="E102" s="214" t="str">
        <f t="shared" ref="E102:AN102" si="76">IFERROR(IF(E100=0,"-",(E100/E101)-1),"-")</f>
        <v>-</v>
      </c>
      <c r="F102" s="214" t="str">
        <f t="shared" si="76"/>
        <v>-</v>
      </c>
      <c r="G102" s="214" t="str">
        <f t="shared" si="76"/>
        <v>-</v>
      </c>
      <c r="H102" s="214" t="str">
        <f t="shared" si="76"/>
        <v>-</v>
      </c>
      <c r="I102" s="214" t="str">
        <f t="shared" si="76"/>
        <v>-</v>
      </c>
      <c r="J102" s="214" t="str">
        <f t="shared" si="76"/>
        <v>-</v>
      </c>
      <c r="K102" s="214" t="str">
        <f t="shared" si="76"/>
        <v>-</v>
      </c>
      <c r="L102" s="214" t="str">
        <f t="shared" si="76"/>
        <v>-</v>
      </c>
      <c r="M102" s="214" t="str">
        <f t="shared" si="76"/>
        <v>-</v>
      </c>
      <c r="N102" s="214" t="str">
        <f t="shared" si="76"/>
        <v>-</v>
      </c>
      <c r="O102" s="214" t="str">
        <f t="shared" si="76"/>
        <v>-</v>
      </c>
      <c r="P102" s="294" t="str">
        <f t="shared" si="76"/>
        <v>-</v>
      </c>
      <c r="Q102" s="214" t="str">
        <f t="shared" si="76"/>
        <v>-</v>
      </c>
      <c r="R102" s="214" t="str">
        <f t="shared" si="76"/>
        <v>-</v>
      </c>
      <c r="S102" s="214" t="str">
        <f t="shared" si="76"/>
        <v>-</v>
      </c>
      <c r="T102" s="214" t="str">
        <f t="shared" si="76"/>
        <v>-</v>
      </c>
      <c r="U102" s="214" t="str">
        <f t="shared" si="76"/>
        <v>-</v>
      </c>
      <c r="V102" s="214" t="str">
        <f t="shared" si="76"/>
        <v>-</v>
      </c>
      <c r="W102" s="214" t="str">
        <f t="shared" si="76"/>
        <v>-</v>
      </c>
      <c r="X102" s="214" t="str">
        <f t="shared" si="76"/>
        <v>-</v>
      </c>
      <c r="Y102" s="214" t="str">
        <f t="shared" si="76"/>
        <v>-</v>
      </c>
      <c r="Z102" s="214" t="str">
        <f t="shared" si="76"/>
        <v>-</v>
      </c>
      <c r="AA102" s="214">
        <f t="shared" si="76"/>
        <v>1.4770733166188945</v>
      </c>
      <c r="AB102" s="294">
        <f t="shared" si="76"/>
        <v>1.1860974541674114</v>
      </c>
      <c r="AC102" s="214">
        <f t="shared" si="76"/>
        <v>1.0098051456848545</v>
      </c>
      <c r="AD102" s="214">
        <f t="shared" si="76"/>
        <v>0.74509521859425676</v>
      </c>
      <c r="AE102" s="214">
        <f t="shared" si="76"/>
        <v>0.74410006849241239</v>
      </c>
      <c r="AF102" s="214">
        <f t="shared" si="76"/>
        <v>0.4267467010142485</v>
      </c>
      <c r="AG102" s="214">
        <f t="shared" si="76"/>
        <v>0.29467824440707235</v>
      </c>
      <c r="AH102" s="214">
        <f t="shared" si="76"/>
        <v>0.13413989854910446</v>
      </c>
      <c r="AI102" s="214">
        <f t="shared" si="76"/>
        <v>-0.11110529787422574</v>
      </c>
      <c r="AJ102" s="214">
        <f t="shared" si="76"/>
        <v>-0.15230321825758897</v>
      </c>
      <c r="AK102" s="214">
        <f t="shared" si="76"/>
        <v>-0.19697341484032671</v>
      </c>
      <c r="AL102" s="214">
        <f t="shared" si="76"/>
        <v>-0.16328556402609551</v>
      </c>
      <c r="AM102" s="214">
        <f t="shared" si="76"/>
        <v>-0.20925692880091573</v>
      </c>
      <c r="AN102" s="215">
        <f t="shared" si="76"/>
        <v>-0.13179939588481993</v>
      </c>
      <c r="AO102" s="241">
        <f t="shared" si="73"/>
        <v>1.2243253054903869</v>
      </c>
      <c r="AP102" s="242">
        <f t="shared" si="74"/>
        <v>1.2243253054903869</v>
      </c>
      <c r="AQ102" s="243">
        <f t="shared" ref="AQ102" si="77">IFERROR(IF(AQ100=0,"-",(AQ100/AQ101)-1),"-")</f>
        <v>5365593.9910719767</v>
      </c>
    </row>
    <row r="103" spans="2:44" ht="15.75" x14ac:dyDescent="0.25">
      <c r="B103" t="str">
        <f>$D$2</f>
        <v>PC Annual Direct</v>
      </c>
      <c r="C103" t="s">
        <v>73</v>
      </c>
      <c r="D103" s="208" t="s">
        <v>316</v>
      </c>
      <c r="E103" s="209">
        <v>0</v>
      </c>
      <c r="F103" s="209">
        <v>0</v>
      </c>
      <c r="G103" s="209">
        <v>1221.6438356499998</v>
      </c>
      <c r="H103" s="209">
        <v>1259.5397260620002</v>
      </c>
      <c r="I103" s="209">
        <v>1602.5972603180001</v>
      </c>
      <c r="J103" s="209">
        <v>2420.3506849979999</v>
      </c>
      <c r="K103" s="209">
        <v>2691.6054795259997</v>
      </c>
      <c r="L103" s="209">
        <v>1639.4082192164008</v>
      </c>
      <c r="M103" s="209">
        <v>241.56712330159985</v>
      </c>
      <c r="N103" s="209">
        <v>429.0602738596001</v>
      </c>
      <c r="O103" s="209">
        <v>597.84109593159997</v>
      </c>
      <c r="P103" s="238">
        <v>772.94520527639941</v>
      </c>
      <c r="Q103" s="209">
        <v>872.72328746079984</v>
      </c>
      <c r="R103" s="209">
        <v>807.4109584704986</v>
      </c>
      <c r="S103" s="209">
        <v>1138.6284150960025</v>
      </c>
      <c r="T103" s="209">
        <v>1094.3142079597014</v>
      </c>
      <c r="U103" s="209">
        <v>1308.0382511398011</v>
      </c>
      <c r="V103" s="209">
        <v>1266.4125686641009</v>
      </c>
      <c r="W103" s="209">
        <v>1403.3442620537007</v>
      </c>
      <c r="X103" s="209">
        <v>1434.5901636761987</v>
      </c>
      <c r="Y103" s="209">
        <v>1347.4699457362001</v>
      </c>
      <c r="Z103" s="209">
        <v>1478.7213112219983</v>
      </c>
      <c r="AA103" s="209">
        <v>1457.8442627073018</v>
      </c>
      <c r="AB103" s="238">
        <v>1649.2622947993984</v>
      </c>
      <c r="AC103" s="209">
        <v>1654.3333330499975</v>
      </c>
      <c r="AD103" s="209">
        <v>1341.5519118592008</v>
      </c>
      <c r="AE103" s="209">
        <v>1436.0027393867981</v>
      </c>
      <c r="AF103" s="209">
        <v>1139.0986302156018</v>
      </c>
      <c r="AG103" s="209">
        <v>1068.0876709559996</v>
      </c>
      <c r="AH103" s="209">
        <v>876.08219184120208</v>
      </c>
      <c r="AI103" s="209">
        <v>840.21643813799972</v>
      </c>
      <c r="AJ103" s="209">
        <v>712.1917806319999</v>
      </c>
      <c r="AK103" s="209">
        <v>568.6383562036001</v>
      </c>
      <c r="AL103" s="209">
        <v>475.57808206879906</v>
      </c>
      <c r="AM103" s="209">
        <v>276.17534248479984</v>
      </c>
      <c r="AN103" s="210">
        <v>156.55616434400034</v>
      </c>
      <c r="AO103" s="237">
        <f t="shared" si="73"/>
        <v>1560.0403004446739</v>
      </c>
      <c r="AP103" s="209">
        <f t="shared" si="74"/>
        <v>1336.6974978812416</v>
      </c>
      <c r="AQ103" s="238">
        <f>SUMIFS(AC44:AN44,AC$4:AN$4,"&lt;"&amp;'Title Sheet'!$C$13)</f>
        <v>110962.4335723</v>
      </c>
    </row>
    <row r="104" spans="2:44" ht="15.75" hidden="1" x14ac:dyDescent="0.25">
      <c r="B104" t="str">
        <f>$D$123&amp;"_W VYRs"</f>
        <v>PC Annual Direct - Subscription_W VYRs</v>
      </c>
      <c r="C104" t="str">
        <f>$C103</f>
        <v>Boom Subscription</v>
      </c>
      <c r="D104" s="211" t="s">
        <v>317</v>
      </c>
      <c r="E104" s="31" t="str">
        <f>IFERROR(INDEX('Plan Figures'!$B$53:$AP$90,MATCH('Headline - MGA and MPM'!E$4,'Plan Figures'!$B$53:$B$90,0),MATCH('Headline - MGA and MPM'!$B104,'Plan Figures'!$B$1:$AP$1,0)),"-")</f>
        <v>-</v>
      </c>
      <c r="F104" s="31" t="str">
        <f>IFERROR(INDEX('Plan Figures'!$B$53:$AP$90,MATCH('Headline - MGA and MPM'!F$4,'Plan Figures'!$B$53:$B$90,0),MATCH('Headline - MGA and MPM'!$B104,'Plan Figures'!$B$1:$AP$1,0)),"-")</f>
        <v>-</v>
      </c>
      <c r="G104" s="31" t="str">
        <f>IFERROR(INDEX('Plan Figures'!$B$53:$AP$90,MATCH('Headline - MGA and MPM'!G$4,'Plan Figures'!$B$53:$B$90,0),MATCH('Headline - MGA and MPM'!$B104,'Plan Figures'!$B$1:$AP$1,0)),"-")</f>
        <v>-</v>
      </c>
      <c r="H104" s="31" t="str">
        <f>IFERROR(INDEX('Plan Figures'!$B$53:$AP$90,MATCH('Headline - MGA and MPM'!H$4,'Plan Figures'!$B$53:$B$90,0),MATCH('Headline - MGA and MPM'!$B104,'Plan Figures'!$B$1:$AP$1,0)),"-")</f>
        <v>-</v>
      </c>
      <c r="I104" s="31" t="str">
        <f>IFERROR(INDEX('Plan Figures'!$B$53:$AP$90,MATCH('Headline - MGA and MPM'!I$4,'Plan Figures'!$B$53:$B$90,0),MATCH('Headline - MGA and MPM'!$B104,'Plan Figures'!$B$1:$AP$1,0)),"-")</f>
        <v>-</v>
      </c>
      <c r="J104" s="31" t="str">
        <f>IFERROR(INDEX('Plan Figures'!$B$53:$AP$90,MATCH('Headline - MGA and MPM'!J$4,'Plan Figures'!$B$53:$B$90,0),MATCH('Headline - MGA and MPM'!$B104,'Plan Figures'!$B$1:$AP$1,0)),"-")</f>
        <v>-</v>
      </c>
      <c r="K104" s="31" t="str">
        <f>IFERROR(INDEX('Plan Figures'!$B$53:$AP$90,MATCH('Headline - MGA and MPM'!K$4,'Plan Figures'!$B$53:$B$90,0),MATCH('Headline - MGA and MPM'!$B104,'Plan Figures'!$B$1:$AP$1,0)),"-")</f>
        <v>-</v>
      </c>
      <c r="L104" s="31" t="str">
        <f>IFERROR(INDEX('Plan Figures'!$B$53:$AP$90,MATCH('Headline - MGA and MPM'!L$4,'Plan Figures'!$B$53:$B$90,0),MATCH('Headline - MGA and MPM'!$B104,'Plan Figures'!$B$1:$AP$1,0)),"-")</f>
        <v>-</v>
      </c>
      <c r="M104" s="31" t="str">
        <f>IFERROR(INDEX('Plan Figures'!$B$53:$AP$90,MATCH('Headline - MGA and MPM'!M$4,'Plan Figures'!$B$53:$B$90,0),MATCH('Headline - MGA and MPM'!$B104,'Plan Figures'!$B$1:$AP$1,0)),"-")</f>
        <v>-</v>
      </c>
      <c r="N104" s="31" t="str">
        <f>IFERROR(INDEX('Plan Figures'!$B$53:$AP$90,MATCH('Headline - MGA and MPM'!N$4,'Plan Figures'!$B$53:$B$90,0),MATCH('Headline - MGA and MPM'!$B104,'Plan Figures'!$B$1:$AP$1,0)),"-")</f>
        <v>-</v>
      </c>
      <c r="O104" s="31" t="str">
        <f>IFERROR(INDEX('Plan Figures'!$B$53:$AP$90,MATCH('Headline - MGA and MPM'!O$4,'Plan Figures'!$B$53:$B$90,0),MATCH('Headline - MGA and MPM'!$B104,'Plan Figures'!$B$1:$AP$1,0)),"-")</f>
        <v>-</v>
      </c>
      <c r="P104" s="240" t="str">
        <f>IFERROR(INDEX('Plan Figures'!$B$53:$AP$90,MATCH('Headline - MGA and MPM'!P$4,'Plan Figures'!$B$53:$B$90,0),MATCH('Headline - MGA and MPM'!$B104,'Plan Figures'!$B$1:$AP$1,0)),"-")</f>
        <v>-</v>
      </c>
      <c r="Q104" s="31" t="str">
        <f>IFERROR(INDEX('Plan Figures'!$B$53:$AP$90,MATCH('Headline - MGA and MPM'!Q$4,'Plan Figures'!$B$53:$B$90,0),MATCH('Headline - MGA and MPM'!$B104,'Plan Figures'!$B$1:$AP$1,0)),"-")</f>
        <v>-</v>
      </c>
      <c r="R104" s="31" t="str">
        <f>IFERROR(INDEX('Plan Figures'!$B$53:$AP$90,MATCH('Headline - MGA and MPM'!R$4,'Plan Figures'!$B$53:$B$90,0),MATCH('Headline - MGA and MPM'!$B104,'Plan Figures'!$B$1:$AP$1,0)),"-")</f>
        <v>-</v>
      </c>
      <c r="S104" s="31" t="str">
        <f>IFERROR(INDEX('Plan Figures'!$B$53:$AP$90,MATCH('Headline - MGA and MPM'!S$4,'Plan Figures'!$B$53:$B$90,0),MATCH('Headline - MGA and MPM'!$B104,'Plan Figures'!$B$1:$AP$1,0)),"-")</f>
        <v>-</v>
      </c>
      <c r="T104" s="31" t="str">
        <f>IFERROR(INDEX('Plan Figures'!$B$53:$AP$90,MATCH('Headline - MGA and MPM'!T$4,'Plan Figures'!$B$53:$B$90,0),MATCH('Headline - MGA and MPM'!$B104,'Plan Figures'!$B$1:$AP$1,0)),"-")</f>
        <v>-</v>
      </c>
      <c r="U104" s="31" t="str">
        <f>IFERROR(INDEX('Plan Figures'!$B$53:$AP$90,MATCH('Headline - MGA and MPM'!U$4,'Plan Figures'!$B$53:$B$90,0),MATCH('Headline - MGA and MPM'!$B104,'Plan Figures'!$B$1:$AP$1,0)),"-")</f>
        <v>-</v>
      </c>
      <c r="V104" s="31" t="str">
        <f>IFERROR(INDEX('Plan Figures'!$B$53:$AP$90,MATCH('Headline - MGA and MPM'!V$4,'Plan Figures'!$B$53:$B$90,0),MATCH('Headline - MGA and MPM'!$B104,'Plan Figures'!$B$1:$AP$1,0)),"-")</f>
        <v>-</v>
      </c>
      <c r="W104" s="31" t="str">
        <f>IFERROR(INDEX('Plan Figures'!$B$53:$AP$90,MATCH('Headline - MGA and MPM'!W$4,'Plan Figures'!$B$53:$B$90,0),MATCH('Headline - MGA and MPM'!$B104,'Plan Figures'!$B$1:$AP$1,0)),"-")</f>
        <v>-</v>
      </c>
      <c r="X104" s="31" t="str">
        <f>IFERROR(INDEX('Plan Figures'!$B$53:$AP$90,MATCH('Headline - MGA and MPM'!X$4,'Plan Figures'!$B$53:$B$90,0),MATCH('Headline - MGA and MPM'!$B104,'Plan Figures'!$B$1:$AP$1,0)),"-")</f>
        <v>-</v>
      </c>
      <c r="Y104" s="31" t="str">
        <f>IFERROR(INDEX('Plan Figures'!$B$53:$AP$90,MATCH('Headline - MGA and MPM'!Y$4,'Plan Figures'!$B$53:$B$90,0),MATCH('Headline - MGA and MPM'!$B104,'Plan Figures'!$B$1:$AP$1,0)),"-")</f>
        <v>-</v>
      </c>
      <c r="Z104" s="31" t="str">
        <f>IFERROR(INDEX('Plan Figures'!$B$53:$AP$90,MATCH('Headline - MGA and MPM'!Z$4,'Plan Figures'!$B$53:$B$90,0),MATCH('Headline - MGA and MPM'!$B104,'Plan Figures'!$B$1:$AP$1,0)),"-")</f>
        <v>-</v>
      </c>
      <c r="AA104" s="31">
        <f>IFERROR(INDEX('Plan Figures'!$B$53:$AP$90,MATCH('Headline - MGA and MPM'!AA$4,'Plan Figures'!$B$53:$B$90,0),MATCH('Headline - MGA and MPM'!$B104,'Plan Figures'!$B$1:$AP$1,0)),"-")</f>
        <v>618.97643065842908</v>
      </c>
      <c r="AB104" s="240">
        <f>IFERROR(INDEX('Plan Figures'!$B$53:$AP$90,MATCH('Headline - MGA and MPM'!AB$4,'Plan Figures'!$B$53:$B$90,0),MATCH('Headline - MGA and MPM'!$B104,'Plan Figures'!$B$1:$AP$1,0)),"-")</f>
        <v>767.50161807052041</v>
      </c>
      <c r="AC104" s="31">
        <f>IFERROR(INDEX('Plan Figures'!$B$53:$AP$90,MATCH('Headline - MGA and MPM'!AC$4,'Plan Figures'!$B$53:$B$90,0),MATCH('Headline - MGA and MPM'!$B104,'Plan Figures'!$B$1:$AP$1,0)),"-")</f>
        <v>837.39461191721966</v>
      </c>
      <c r="AD104" s="31">
        <f>IFERROR(INDEX('Plan Figures'!$B$53:$AP$90,MATCH('Headline - MGA and MPM'!AD$4,'Plan Figures'!$B$53:$B$90,0),MATCH('Headline - MGA and MPM'!$B104,'Plan Figures'!$B$1:$AP$1,0)),"-")</f>
        <v>837.39461191721966</v>
      </c>
      <c r="AE104" s="31">
        <f>IFERROR(INDEX('Plan Figures'!$B$53:$AP$90,MATCH('Headline - MGA and MPM'!AE$4,'Plan Figures'!$B$53:$B$90,0),MATCH('Headline - MGA and MPM'!$B104,'Plan Figures'!$B$1:$AP$1,0)),"-")</f>
        <v>837.39461191721966</v>
      </c>
      <c r="AF104" s="31">
        <f>IFERROR(INDEX('Plan Figures'!$B$53:$AP$90,MATCH('Headline - MGA and MPM'!AF$4,'Plan Figures'!$B$53:$B$90,0),MATCH('Headline - MGA and MPM'!$B104,'Plan Figures'!$B$1:$AP$1,0)),"-")</f>
        <v>837.39461191721966</v>
      </c>
      <c r="AG104" s="31">
        <f>IFERROR(INDEX('Plan Figures'!$B$53:$AP$90,MATCH('Headline - MGA and MPM'!AG$4,'Plan Figures'!$B$53:$B$90,0),MATCH('Headline - MGA and MPM'!$B104,'Plan Figures'!$B$1:$AP$1,0)),"-")</f>
        <v>837.08056784126177</v>
      </c>
      <c r="AH104" s="31">
        <f>IFERROR(INDEX('Plan Figures'!$B$53:$AP$90,MATCH('Headline - MGA and MPM'!AH$4,'Plan Figures'!$B$53:$B$90,0),MATCH('Headline - MGA and MPM'!$B104,'Plan Figures'!$B$1:$AP$1,0)),"-")</f>
        <v>809.35047593418562</v>
      </c>
      <c r="AI104" s="31">
        <f>IFERROR(INDEX('Plan Figures'!$B$53:$AP$90,MATCH('Headline - MGA and MPM'!AI$4,'Plan Figures'!$B$53:$B$90,0),MATCH('Headline - MGA and MPM'!$B104,'Plan Figures'!$B$1:$AP$1,0)),"-")</f>
        <v>959.05622787633104</v>
      </c>
      <c r="AJ104" s="31">
        <f>IFERROR(INDEX('Plan Figures'!$B$53:$AP$90,MATCH('Headline - MGA and MPM'!AJ$4,'Plan Figures'!$B$53:$B$90,0),MATCH('Headline - MGA and MPM'!$B104,'Plan Figures'!$B$1:$AP$1,0)),"-")</f>
        <v>851.81794821624351</v>
      </c>
      <c r="AK104" s="31">
        <f>IFERROR(INDEX('Plan Figures'!$B$53:$AP$90,MATCH('Headline - MGA and MPM'!AK$4,'Plan Figures'!$B$53:$B$90,0),MATCH('Headline - MGA and MPM'!$B104,'Plan Figures'!$B$1:$AP$1,0)),"-")</f>
        <v>742.71098577399596</v>
      </c>
      <c r="AL104" s="31">
        <f>IFERROR(INDEX('Plan Figures'!$B$53:$AP$90,MATCH('Headline - MGA and MPM'!AL$4,'Plan Figures'!$B$53:$B$90,0),MATCH('Headline - MGA and MPM'!$B104,'Plan Figures'!$B$1:$AP$1,0)),"-")</f>
        <v>576.75989870023488</v>
      </c>
      <c r="AM104" s="31">
        <f>IFERROR(INDEX('Plan Figures'!$B$53:$AP$90,MATCH('Headline - MGA and MPM'!AM$4,'Plan Figures'!$B$53:$B$90,0),MATCH('Headline - MGA and MPM'!$B104,'Plan Figures'!$B$1:$AP$1,0)),"-")</f>
        <v>366.32210539311529</v>
      </c>
      <c r="AN104" s="212">
        <f>IFERROR(INDEX('Plan Figures'!$B$53:$AP$90,MATCH('Headline - MGA and MPM'!AN$4,'Plan Figures'!$B$53:$B$90,0),MATCH('Headline - MGA and MPM'!$B104,'Plan Figures'!$B$1:$AP$1,0)),"-")</f>
        <v>181.98559094648922</v>
      </c>
      <c r="AO104" s="239">
        <f t="shared" si="73"/>
        <v>741.29088688205638</v>
      </c>
      <c r="AP104" s="31">
        <f t="shared" si="74"/>
        <v>741.29088688205638</v>
      </c>
      <c r="AQ104" s="240">
        <f>SUMIFS(AC45:AN45,AC$4:AN$4,"&lt;"&amp;'Title Sheet'!$C$13)</f>
        <v>3850.871428542901</v>
      </c>
    </row>
    <row r="105" spans="2:44" ht="15.75" hidden="1" x14ac:dyDescent="0.25">
      <c r="B105" t="str">
        <f t="shared" si="75"/>
        <v>PC Annual Direct</v>
      </c>
      <c r="C105" t="str">
        <f>$C104</f>
        <v>Boom Subscription</v>
      </c>
      <c r="D105" s="213" t="s">
        <v>0</v>
      </c>
      <c r="E105" s="214" t="str">
        <f t="shared" ref="E105:AN105" si="78">IFERROR(IF(E103=0,"-",(E103/E104)-1),"-")</f>
        <v>-</v>
      </c>
      <c r="F105" s="214" t="str">
        <f t="shared" si="78"/>
        <v>-</v>
      </c>
      <c r="G105" s="214" t="str">
        <f t="shared" si="78"/>
        <v>-</v>
      </c>
      <c r="H105" s="214" t="str">
        <f t="shared" si="78"/>
        <v>-</v>
      </c>
      <c r="I105" s="214" t="str">
        <f t="shared" si="78"/>
        <v>-</v>
      </c>
      <c r="J105" s="214" t="str">
        <f t="shared" si="78"/>
        <v>-</v>
      </c>
      <c r="K105" s="214" t="str">
        <f t="shared" si="78"/>
        <v>-</v>
      </c>
      <c r="L105" s="214" t="str">
        <f t="shared" si="78"/>
        <v>-</v>
      </c>
      <c r="M105" s="214" t="str">
        <f t="shared" si="78"/>
        <v>-</v>
      </c>
      <c r="N105" s="214" t="str">
        <f t="shared" si="78"/>
        <v>-</v>
      </c>
      <c r="O105" s="214" t="str">
        <f t="shared" si="78"/>
        <v>-</v>
      </c>
      <c r="P105" s="294" t="str">
        <f t="shared" si="78"/>
        <v>-</v>
      </c>
      <c r="Q105" s="214" t="str">
        <f t="shared" si="78"/>
        <v>-</v>
      </c>
      <c r="R105" s="214" t="str">
        <f t="shared" si="78"/>
        <v>-</v>
      </c>
      <c r="S105" s="214" t="str">
        <f t="shared" si="78"/>
        <v>-</v>
      </c>
      <c r="T105" s="214" t="str">
        <f t="shared" si="78"/>
        <v>-</v>
      </c>
      <c r="U105" s="214" t="str">
        <f t="shared" si="78"/>
        <v>-</v>
      </c>
      <c r="V105" s="214" t="str">
        <f t="shared" si="78"/>
        <v>-</v>
      </c>
      <c r="W105" s="214" t="str">
        <f t="shared" si="78"/>
        <v>-</v>
      </c>
      <c r="X105" s="214" t="str">
        <f t="shared" si="78"/>
        <v>-</v>
      </c>
      <c r="Y105" s="214" t="str">
        <f t="shared" si="78"/>
        <v>-</v>
      </c>
      <c r="Z105" s="214" t="str">
        <f t="shared" si="78"/>
        <v>-</v>
      </c>
      <c r="AA105" s="214">
        <f t="shared" si="78"/>
        <v>1.3552500394183618</v>
      </c>
      <c r="AB105" s="294">
        <f t="shared" si="78"/>
        <v>1.1488714238096356</v>
      </c>
      <c r="AC105" s="214">
        <f t="shared" si="78"/>
        <v>0.97557198184305483</v>
      </c>
      <c r="AD105" s="214">
        <f t="shared" si="78"/>
        <v>0.60205462605940374</v>
      </c>
      <c r="AE105" s="214">
        <f t="shared" si="78"/>
        <v>0.71484592681944981</v>
      </c>
      <c r="AF105" s="214">
        <f t="shared" si="78"/>
        <v>0.36028894144378243</v>
      </c>
      <c r="AG105" s="214">
        <f t="shared" si="78"/>
        <v>0.27596758542666877</v>
      </c>
      <c r="AH105" s="214">
        <f t="shared" si="78"/>
        <v>8.2450950350022367E-2</v>
      </c>
      <c r="AI105" s="214">
        <f t="shared" si="78"/>
        <v>-0.12391326627582833</v>
      </c>
      <c r="AJ105" s="214">
        <f t="shared" si="78"/>
        <v>-0.16391550316194792</v>
      </c>
      <c r="AK105" s="214">
        <f t="shared" si="78"/>
        <v>-0.23437465300044114</v>
      </c>
      <c r="AL105" s="214">
        <f t="shared" si="78"/>
        <v>-0.17543143491677471</v>
      </c>
      <c r="AM105" s="214">
        <f t="shared" si="78"/>
        <v>-0.246086058092441</v>
      </c>
      <c r="AN105" s="215">
        <f t="shared" si="78"/>
        <v>-0.13973318695306003</v>
      </c>
      <c r="AO105" s="241">
        <f t="shared" si="73"/>
        <v>1.1598978150236841</v>
      </c>
      <c r="AP105" s="242">
        <f t="shared" si="74"/>
        <v>1.1598978150236841</v>
      </c>
      <c r="AQ105" s="243">
        <f t="shared" ref="AQ105" si="79">IFERROR(IF(AQ103=0,"-",(AQ103/AQ104)-1),"-")</f>
        <v>27.81488920919028</v>
      </c>
    </row>
    <row r="106" spans="2:44" ht="15.75" x14ac:dyDescent="0.25">
      <c r="B106" t="str">
        <f t="shared" si="75"/>
        <v>PC Annual Direct</v>
      </c>
      <c r="C106" t="str">
        <f>$C102</f>
        <v>Boom Subscription</v>
      </c>
      <c r="D106" s="208" t="s">
        <v>5</v>
      </c>
      <c r="E106" s="209">
        <v>0</v>
      </c>
      <c r="F106" s="209">
        <v>0</v>
      </c>
      <c r="G106" s="209">
        <v>1154589.9207141697</v>
      </c>
      <c r="H106" s="209">
        <v>1469034.9649997104</v>
      </c>
      <c r="I106" s="209">
        <v>1993040.2132141499</v>
      </c>
      <c r="J106" s="209">
        <v>2512066.0464283703</v>
      </c>
      <c r="K106" s="209">
        <v>2583147.9724999899</v>
      </c>
      <c r="L106" s="209">
        <v>1638633.0946431754</v>
      </c>
      <c r="M106" s="209">
        <v>248153.96571415645</v>
      </c>
      <c r="N106" s="209">
        <v>471142.49178574904</v>
      </c>
      <c r="O106" s="209">
        <v>662796.54571437603</v>
      </c>
      <c r="P106" s="238">
        <v>859537.47392873024</v>
      </c>
      <c r="Q106" s="209">
        <v>956374.23892864131</v>
      </c>
      <c r="R106" s="209">
        <v>870208.7400001334</v>
      </c>
      <c r="S106" s="209">
        <v>1175438.2200003252</v>
      </c>
      <c r="T106" s="209">
        <v>1114047.5835715409</v>
      </c>
      <c r="U106" s="209">
        <v>1319333.2699998543</v>
      </c>
      <c r="V106" s="209">
        <v>1299406.8907144468</v>
      </c>
      <c r="W106" s="209">
        <v>1507304.5900000148</v>
      </c>
      <c r="X106" s="209">
        <v>1604424.8592857479</v>
      </c>
      <c r="Y106" s="209">
        <v>1572589.5957144734</v>
      </c>
      <c r="Z106" s="209">
        <v>1810115.7375001849</v>
      </c>
      <c r="AA106" s="209">
        <v>1854610.3285715433</v>
      </c>
      <c r="AB106" s="238">
        <v>2126265.4682145691</v>
      </c>
      <c r="AC106" s="209">
        <v>2162959.7164284387</v>
      </c>
      <c r="AD106" s="209">
        <v>1772067.7960710539</v>
      </c>
      <c r="AE106" s="209">
        <v>1926033.0846428927</v>
      </c>
      <c r="AF106" s="209">
        <v>1557603.4921425986</v>
      </c>
      <c r="AG106" s="209">
        <v>1501660.9032142994</v>
      </c>
      <c r="AH106" s="209">
        <v>1241013.9799998626</v>
      </c>
      <c r="AI106" s="209">
        <v>1172354.7860715501</v>
      </c>
      <c r="AJ106" s="209">
        <v>983177.46035712806</v>
      </c>
      <c r="AK106" s="209">
        <v>767802.34249997535</v>
      </c>
      <c r="AL106" s="209">
        <v>632493.66035714059</v>
      </c>
      <c r="AM106" s="209">
        <v>363596.5035713262</v>
      </c>
      <c r="AN106" s="210">
        <v>200866.603214345</v>
      </c>
      <c r="AO106" s="237">
        <f t="shared" si="73"/>
        <v>1988487.812678684</v>
      </c>
      <c r="AP106" s="209">
        <f t="shared" si="74"/>
        <v>1534725.4166667729</v>
      </c>
      <c r="AQ106" s="238">
        <f>SUMIFS(AC47:AN47,AC$4:AN$4,"&lt;"&amp;'Title Sheet'!$C$13)</f>
        <v>2.1921161238932259</v>
      </c>
    </row>
    <row r="107" spans="2:44" ht="15.75" x14ac:dyDescent="0.25">
      <c r="B107" t="str">
        <f>$D$123&amp;"_NWP"</f>
        <v>PC Annual Direct - Subscription_NWP</v>
      </c>
      <c r="C107" t="str">
        <f t="shared" ref="C107:C120" si="80">$C106</f>
        <v>Boom Subscription</v>
      </c>
      <c r="D107" s="211" t="s">
        <v>6</v>
      </c>
      <c r="E107" s="31" t="e">
        <f>INDEX('Plan Figures'!$B$53:$AP$79,MATCH('Headline - MGA and MPM'!E$4,'Plan Figures'!$B$53:$B$79,0),MATCH('Headline - MGA and MPM'!$B107,'Plan Figures'!$B$1:$AP$1,0))</f>
        <v>#N/A</v>
      </c>
      <c r="F107" s="31" t="e">
        <f>INDEX('Plan Figures'!$B$53:$AP$79,MATCH('Headline - MGA and MPM'!F$4,'Plan Figures'!$B$53:$B$79,0),MATCH('Headline - MGA and MPM'!$B107,'Plan Figures'!$B$1:$AP$1,0))</f>
        <v>#N/A</v>
      </c>
      <c r="G107" s="31" t="e">
        <f>INDEX('Plan Figures'!$B$53:$AP$79,MATCH('Headline - MGA and MPM'!G$4,'Plan Figures'!$B$53:$B$79,0),MATCH('Headline - MGA and MPM'!$B107,'Plan Figures'!$B$1:$AP$1,0))</f>
        <v>#N/A</v>
      </c>
      <c r="H107" s="31" t="e">
        <f>INDEX('Plan Figures'!$B$53:$AP$79,MATCH('Headline - MGA and MPM'!H$4,'Plan Figures'!$B$53:$B$79,0),MATCH('Headline - MGA and MPM'!$B107,'Plan Figures'!$B$1:$AP$1,0))</f>
        <v>#N/A</v>
      </c>
      <c r="I107" s="31" t="e">
        <f>INDEX('Plan Figures'!$B$53:$AP$79,MATCH('Headline - MGA and MPM'!I$4,'Plan Figures'!$B$53:$B$79,0),MATCH('Headline - MGA and MPM'!$B107,'Plan Figures'!$B$1:$AP$1,0))</f>
        <v>#N/A</v>
      </c>
      <c r="J107" s="31" t="e">
        <f>INDEX('Plan Figures'!$B$53:$AP$79,MATCH('Headline - MGA and MPM'!J$4,'Plan Figures'!$B$53:$B$79,0),MATCH('Headline - MGA and MPM'!$B107,'Plan Figures'!$B$1:$AP$1,0))</f>
        <v>#N/A</v>
      </c>
      <c r="K107" s="31" t="e">
        <f>INDEX('Plan Figures'!$B$53:$AP$79,MATCH('Headline - MGA and MPM'!K$4,'Plan Figures'!$B$53:$B$79,0),MATCH('Headline - MGA and MPM'!$B107,'Plan Figures'!$B$1:$AP$1,0))</f>
        <v>#N/A</v>
      </c>
      <c r="L107" s="31" t="e">
        <f>INDEX('Plan Figures'!$B$53:$AP$79,MATCH('Headline - MGA and MPM'!L$4,'Plan Figures'!$B$53:$B$79,0),MATCH('Headline - MGA and MPM'!$B107,'Plan Figures'!$B$1:$AP$1,0))</f>
        <v>#N/A</v>
      </c>
      <c r="M107" s="31" t="e">
        <f>INDEX('Plan Figures'!$B$53:$AP$79,MATCH('Headline - MGA and MPM'!M$4,'Plan Figures'!$B$53:$B$79,0),MATCH('Headline - MGA and MPM'!$B107,'Plan Figures'!$B$1:$AP$1,0))</f>
        <v>#N/A</v>
      </c>
      <c r="N107" s="31" t="e">
        <f>INDEX('Plan Figures'!$B$53:$AP$79,MATCH('Headline - MGA and MPM'!N$4,'Plan Figures'!$B$53:$B$79,0),MATCH('Headline - MGA and MPM'!$B107,'Plan Figures'!$B$1:$AP$1,0))</f>
        <v>#N/A</v>
      </c>
      <c r="O107" s="31" t="e">
        <f>INDEX('Plan Figures'!$B$53:$AP$79,MATCH('Headline - MGA and MPM'!O$4,'Plan Figures'!$B$53:$B$79,0),MATCH('Headline - MGA and MPM'!$B107,'Plan Figures'!$B$1:$AP$1,0))</f>
        <v>#N/A</v>
      </c>
      <c r="P107" s="240" t="str">
        <f>INDEX('Plan Figures'!$B$53:$AP$79,MATCH('Headline - MGA and MPM'!P$4,'Plan Figures'!$B$53:$B$79,0),MATCH('Headline - MGA and MPM'!$B107,'Plan Figures'!$B$1:$AP$1,0))</f>
        <v>-</v>
      </c>
      <c r="Q107" s="31" t="str">
        <f>INDEX('Plan Figures'!$B$53:$AP$79,MATCH('Headline - MGA and MPM'!Q$4,'Plan Figures'!$B$53:$B$79,0),MATCH('Headline - MGA and MPM'!$B107,'Plan Figures'!$B$1:$AP$1,0))</f>
        <v>-</v>
      </c>
      <c r="R107" s="31" t="str">
        <f>INDEX('Plan Figures'!$B$53:$AP$79,MATCH('Headline - MGA and MPM'!R$4,'Plan Figures'!$B$53:$B$79,0),MATCH('Headline - MGA and MPM'!$B107,'Plan Figures'!$B$1:$AP$1,0))</f>
        <v>-</v>
      </c>
      <c r="S107" s="31" t="str">
        <f>INDEX('Plan Figures'!$B$53:$AP$79,MATCH('Headline - MGA and MPM'!S$4,'Plan Figures'!$B$53:$B$79,0),MATCH('Headline - MGA and MPM'!$B107,'Plan Figures'!$B$1:$AP$1,0))</f>
        <v>-</v>
      </c>
      <c r="T107" s="31" t="str">
        <f>INDEX('Plan Figures'!$B$53:$AP$79,MATCH('Headline - MGA and MPM'!T$4,'Plan Figures'!$B$53:$B$79,0),MATCH('Headline - MGA and MPM'!$B107,'Plan Figures'!$B$1:$AP$1,0))</f>
        <v>-</v>
      </c>
      <c r="U107" s="31" t="str">
        <f>INDEX('Plan Figures'!$B$53:$AP$79,MATCH('Headline - MGA and MPM'!U$4,'Plan Figures'!$B$53:$B$79,0),MATCH('Headline - MGA and MPM'!$B107,'Plan Figures'!$B$1:$AP$1,0))</f>
        <v>-</v>
      </c>
      <c r="V107" s="31" t="str">
        <f>INDEX('Plan Figures'!$B$53:$AP$79,MATCH('Headline - MGA and MPM'!V$4,'Plan Figures'!$B$53:$B$79,0),MATCH('Headline - MGA and MPM'!$B107,'Plan Figures'!$B$1:$AP$1,0))</f>
        <v>-</v>
      </c>
      <c r="W107" s="31" t="str">
        <f>INDEX('Plan Figures'!$B$53:$AP$79,MATCH('Headline - MGA and MPM'!W$4,'Plan Figures'!$B$53:$B$79,0),MATCH('Headline - MGA and MPM'!$B107,'Plan Figures'!$B$1:$AP$1,0))</f>
        <v>-</v>
      </c>
      <c r="X107" s="31" t="str">
        <f>INDEX('Plan Figures'!$B$53:$AP$79,MATCH('Headline - MGA and MPM'!X$4,'Plan Figures'!$B$53:$B$79,0),MATCH('Headline - MGA and MPM'!$B107,'Plan Figures'!$B$1:$AP$1,0))</f>
        <v>-</v>
      </c>
      <c r="Y107" s="31" t="str">
        <f>INDEX('Plan Figures'!$B$53:$AP$79,MATCH('Headline - MGA and MPM'!Y$4,'Plan Figures'!$B$53:$B$79,0),MATCH('Headline - MGA and MPM'!$B107,'Plan Figures'!$B$1:$AP$1,0))</f>
        <v>-</v>
      </c>
      <c r="Z107" s="31" t="str">
        <f>INDEX('Plan Figures'!$B$53:$AP$79,MATCH('Headline - MGA and MPM'!Z$4,'Plan Figures'!$B$53:$B$79,0),MATCH('Headline - MGA and MPM'!$B107,'Plan Figures'!$B$1:$AP$1,0))</f>
        <v>-</v>
      </c>
      <c r="AA107" s="31">
        <f>INDEX('Plan Figures'!$B$53:$AP$79,MATCH('Headline - MGA and MPM'!AA$4,'Plan Figures'!$B$53:$B$79,0),MATCH('Headline - MGA and MPM'!$B107,'Plan Figures'!$B$1:$AP$1,0))</f>
        <v>1923219.2118037604</v>
      </c>
      <c r="AB107" s="240">
        <f>INDEX('Plan Figures'!$B$53:$AP$79,MATCH('Headline - MGA and MPM'!AB$4,'Plan Figures'!$B$53:$B$79,0),MATCH('Headline - MGA and MPM'!$B107,'Plan Figures'!$B$1:$AP$1,0))</f>
        <v>2034580.4688848169</v>
      </c>
      <c r="AC107" s="31">
        <f>INDEX('Plan Figures'!$B$53:$AP$79,MATCH('Headline - MGA and MPM'!AC$4,'Plan Figures'!$B$53:$B$79,0),MATCH('Headline - MGA and MPM'!$B107,'Plan Figures'!$B$1:$AP$1,0))</f>
        <v>2151540.8137620548</v>
      </c>
      <c r="AD107" s="31">
        <f>INDEX('Plan Figures'!$B$53:$AP$79,MATCH('Headline - MGA and MPM'!AD$4,'Plan Figures'!$B$53:$B$79,0),MATCH('Headline - MGA and MPM'!$B107,'Plan Figures'!$B$1:$AP$1,0))</f>
        <v>2201520.8903936967</v>
      </c>
      <c r="AE107" s="31">
        <f>INDEX('Plan Figures'!$B$53:$AP$79,MATCH('Headline - MGA and MPM'!AE$4,'Plan Figures'!$B$53:$B$79,0),MATCH('Headline - MGA and MPM'!$B107,'Plan Figures'!$B$1:$AP$1,0))</f>
        <v>2076848.2386444649</v>
      </c>
      <c r="AF107" s="31">
        <f>INDEX('Plan Figures'!$B$53:$AP$79,MATCH('Headline - MGA and MPM'!AF$4,'Plan Figures'!$B$53:$B$79,0),MATCH('Headline - MGA and MPM'!$B107,'Plan Figures'!$B$1:$AP$1,0))</f>
        <v>1878221.6251204163</v>
      </c>
      <c r="AG107" s="31">
        <f>INDEX('Plan Figures'!$B$53:$AP$79,MATCH('Headline - MGA and MPM'!AG$4,'Plan Figures'!$B$53:$B$79,0),MATCH('Headline - MGA and MPM'!$B107,'Plan Figures'!$B$1:$AP$1,0))</f>
        <v>1706079.4772538822</v>
      </c>
      <c r="AH107" s="31">
        <f>INDEX('Plan Figures'!$B$53:$AP$79,MATCH('Headline - MGA and MPM'!AH$4,'Plan Figures'!$B$53:$B$79,0),MATCH('Headline - MGA and MPM'!$B107,'Plan Figures'!$B$1:$AP$1,0))</f>
        <v>1532561.9578190371</v>
      </c>
      <c r="AI107" s="31">
        <f>INDEX('Plan Figures'!$B$53:$AP$79,MATCH('Headline - MGA and MPM'!AI$4,'Plan Figures'!$B$53:$B$79,0),MATCH('Headline - MGA and MPM'!$B107,'Plan Figures'!$B$1:$AP$1,0))</f>
        <v>1432934.2731853833</v>
      </c>
      <c r="AJ107" s="31">
        <f>INDEX('Plan Figures'!$B$53:$AP$79,MATCH('Headline - MGA and MPM'!AJ$4,'Plan Figures'!$B$53:$B$79,0),MATCH('Headline - MGA and MPM'!$B107,'Plan Figures'!$B$1:$AP$1,0))</f>
        <v>1254524.1302463615</v>
      </c>
      <c r="AK107" s="31">
        <f>INDEX('Plan Figures'!$B$53:$AP$79,MATCH('Headline - MGA and MPM'!AK$4,'Plan Figures'!$B$53:$B$79,0),MATCH('Headline - MGA and MPM'!$B107,'Plan Figures'!$B$1:$AP$1,0))</f>
        <v>1070999.5133509741</v>
      </c>
      <c r="AL107" s="31">
        <f>INDEX('Plan Figures'!$B$53:$AP$79,MATCH('Headline - MGA and MPM'!AL$4,'Plan Figures'!$B$53:$B$79,0),MATCH('Headline - MGA and MPM'!$B107,'Plan Figures'!$B$1:$AP$1,0))</f>
        <v>818161.57334020454</v>
      </c>
      <c r="AM107" s="31">
        <f>INDEX('Plan Figures'!$B$53:$AP$79,MATCH('Headline - MGA and MPM'!AM$4,'Plan Figures'!$B$53:$B$79,0),MATCH('Headline - MGA and MPM'!$B107,'Plan Figures'!$B$1:$AP$1,0))</f>
        <v>515389.26279443718</v>
      </c>
      <c r="AN107" s="212">
        <f>INDEX('Plan Figures'!$B$53:$AP$79,MATCH('Headline - MGA and MPM'!AN$4,'Plan Figures'!$B$53:$B$79,0),MATCH('Headline - MGA and MPM'!$B107,'Plan Figures'!$B$1:$AP$1,0))</f>
        <v>248522.99440086706</v>
      </c>
      <c r="AO107" s="239">
        <f t="shared" si="73"/>
        <v>2036446.8314835441</v>
      </c>
      <c r="AP107" s="31">
        <f t="shared" si="74"/>
        <v>2036446.8314835441</v>
      </c>
      <c r="AQ107" s="240">
        <f>SUMIFS(AC48:AN48,AC$4:AN$4,"&lt;"&amp;'Title Sheet'!$C$13)</f>
        <v>0.59972956693801516</v>
      </c>
    </row>
    <row r="108" spans="2:44" ht="15.75" x14ac:dyDescent="0.25">
      <c r="B108" t="str">
        <f t="shared" si="75"/>
        <v>PC Annual Direct</v>
      </c>
      <c r="C108" t="str">
        <f t="shared" si="80"/>
        <v>Boom Subscription</v>
      </c>
      <c r="D108" s="213" t="s">
        <v>0</v>
      </c>
      <c r="E108" s="214" t="str">
        <f t="shared" ref="E108:AN108" si="81">IFERROR(IF(E106=0,"-",(E106/E107)-1),"-")</f>
        <v>-</v>
      </c>
      <c r="F108" s="214" t="str">
        <f t="shared" si="81"/>
        <v>-</v>
      </c>
      <c r="G108" s="214" t="str">
        <f t="shared" si="81"/>
        <v>-</v>
      </c>
      <c r="H108" s="214" t="str">
        <f t="shared" si="81"/>
        <v>-</v>
      </c>
      <c r="I108" s="214" t="str">
        <f t="shared" si="81"/>
        <v>-</v>
      </c>
      <c r="J108" s="214" t="str">
        <f t="shared" si="81"/>
        <v>-</v>
      </c>
      <c r="K108" s="214" t="str">
        <f t="shared" si="81"/>
        <v>-</v>
      </c>
      <c r="L108" s="214" t="str">
        <f t="shared" si="81"/>
        <v>-</v>
      </c>
      <c r="M108" s="214" t="str">
        <f t="shared" si="81"/>
        <v>-</v>
      </c>
      <c r="N108" s="214" t="str">
        <f t="shared" si="81"/>
        <v>-</v>
      </c>
      <c r="O108" s="214" t="str">
        <f t="shared" si="81"/>
        <v>-</v>
      </c>
      <c r="P108" s="294" t="str">
        <f t="shared" si="81"/>
        <v>-</v>
      </c>
      <c r="Q108" s="214" t="str">
        <f t="shared" si="81"/>
        <v>-</v>
      </c>
      <c r="R108" s="214" t="str">
        <f t="shared" si="81"/>
        <v>-</v>
      </c>
      <c r="S108" s="214" t="str">
        <f t="shared" si="81"/>
        <v>-</v>
      </c>
      <c r="T108" s="214" t="str">
        <f t="shared" si="81"/>
        <v>-</v>
      </c>
      <c r="U108" s="214" t="str">
        <f t="shared" si="81"/>
        <v>-</v>
      </c>
      <c r="V108" s="214" t="str">
        <f t="shared" si="81"/>
        <v>-</v>
      </c>
      <c r="W108" s="214" t="str">
        <f t="shared" si="81"/>
        <v>-</v>
      </c>
      <c r="X108" s="214" t="str">
        <f t="shared" si="81"/>
        <v>-</v>
      </c>
      <c r="Y108" s="214" t="str">
        <f t="shared" si="81"/>
        <v>-</v>
      </c>
      <c r="Z108" s="214" t="str">
        <f t="shared" si="81"/>
        <v>-</v>
      </c>
      <c r="AA108" s="214">
        <f t="shared" si="81"/>
        <v>-3.5673979758069185E-2</v>
      </c>
      <c r="AB108" s="294">
        <f t="shared" si="81"/>
        <v>4.5063343884356843E-2</v>
      </c>
      <c r="AC108" s="214">
        <f t="shared" si="81"/>
        <v>5.3073139925323698E-3</v>
      </c>
      <c r="AD108" s="214">
        <f t="shared" si="81"/>
        <v>-0.19507109662077471</v>
      </c>
      <c r="AE108" s="214">
        <f t="shared" si="81"/>
        <v>-7.2617320416251241E-2</v>
      </c>
      <c r="AF108" s="214">
        <f t="shared" si="81"/>
        <v>-0.17070303562140188</v>
      </c>
      <c r="AG108" s="214">
        <f t="shared" si="81"/>
        <v>-0.11981773227154491</v>
      </c>
      <c r="AH108" s="214">
        <f t="shared" si="81"/>
        <v>-0.19023568758947373</v>
      </c>
      <c r="AI108" s="214">
        <f t="shared" si="81"/>
        <v>-0.18185027184433966</v>
      </c>
      <c r="AJ108" s="214">
        <f t="shared" si="81"/>
        <v>-0.21629450031857644</v>
      </c>
      <c r="AK108" s="214">
        <f t="shared" si="81"/>
        <v>-0.28309739366953279</v>
      </c>
      <c r="AL108" s="214">
        <f t="shared" si="81"/>
        <v>-0.22693306436412197</v>
      </c>
      <c r="AM108" s="214">
        <f t="shared" si="81"/>
        <v>-0.29452060836520266</v>
      </c>
      <c r="AN108" s="215">
        <f t="shared" si="81"/>
        <v>-0.19175847812960278</v>
      </c>
      <c r="AO108" s="241">
        <f t="shared" si="73"/>
        <v>4.8988927062733429E-3</v>
      </c>
      <c r="AP108" s="242">
        <f t="shared" si="74"/>
        <v>4.8988927062733429E-3</v>
      </c>
      <c r="AQ108" s="243">
        <f t="shared" ref="AQ108" si="82">IFERROR(IF(AQ106=0,"-",(AQ106/AQ107)-1),"-")</f>
        <v>2.6551743398033789</v>
      </c>
    </row>
    <row r="109" spans="2:44" ht="15.75" x14ac:dyDescent="0.25">
      <c r="B109" t="str">
        <f t="shared" si="75"/>
        <v>PC Annual Direct</v>
      </c>
      <c r="C109" t="str">
        <f t="shared" si="80"/>
        <v>Boom Subscription</v>
      </c>
      <c r="D109" s="208" t="s">
        <v>302</v>
      </c>
      <c r="E109" s="209">
        <f t="shared" ref="E109:AP110" si="83">IFERROR(E106/E100,0)</f>
        <v>0</v>
      </c>
      <c r="F109" s="209">
        <f t="shared" si="83"/>
        <v>0</v>
      </c>
      <c r="G109" s="209">
        <f t="shared" si="83"/>
        <v>942.5223842564651</v>
      </c>
      <c r="H109" s="209">
        <f t="shared" si="83"/>
        <v>1163.1314053837771</v>
      </c>
      <c r="I109" s="209">
        <f t="shared" si="83"/>
        <v>1240.2241525912571</v>
      </c>
      <c r="J109" s="209">
        <f t="shared" si="83"/>
        <v>1035.0498749189824</v>
      </c>
      <c r="K109" s="209">
        <f t="shared" si="83"/>
        <v>957.07594386809558</v>
      </c>
      <c r="L109" s="209">
        <f t="shared" si="83"/>
        <v>862.8926248779228</v>
      </c>
      <c r="M109" s="209">
        <f t="shared" si="83"/>
        <v>108.93501567785621</v>
      </c>
      <c r="N109" s="209">
        <f t="shared" si="83"/>
        <v>90.222614282985262</v>
      </c>
      <c r="O109" s="209">
        <f t="shared" si="83"/>
        <v>88.219958167759359</v>
      </c>
      <c r="P109" s="238">
        <f t="shared" si="83"/>
        <v>91.36240156555381</v>
      </c>
      <c r="Q109" s="209">
        <f t="shared" si="83"/>
        <v>89.834138542987162</v>
      </c>
      <c r="R109" s="209">
        <f t="shared" si="83"/>
        <v>79.725949610639802</v>
      </c>
      <c r="S109" s="209">
        <f t="shared" si="83"/>
        <v>84.236650422841137</v>
      </c>
      <c r="T109" s="209">
        <f t="shared" si="83"/>
        <v>80.663788543301777</v>
      </c>
      <c r="U109" s="209">
        <f t="shared" si="83"/>
        <v>82.690897524277929</v>
      </c>
      <c r="V109" s="209">
        <f t="shared" si="83"/>
        <v>81.299311187789954</v>
      </c>
      <c r="W109" s="209">
        <f t="shared" si="83"/>
        <v>87.986958729788967</v>
      </c>
      <c r="X109" s="209">
        <f t="shared" si="83"/>
        <v>91.670943851316864</v>
      </c>
      <c r="Y109" s="209">
        <f t="shared" si="83"/>
        <v>92.472632936285635</v>
      </c>
      <c r="Z109" s="209">
        <f t="shared" si="83"/>
        <v>100.27230985487397</v>
      </c>
      <c r="AA109" s="209">
        <f t="shared" si="83"/>
        <v>100.79951783094425</v>
      </c>
      <c r="AB109" s="238">
        <f t="shared" si="83"/>
        <v>105.60571511942828</v>
      </c>
      <c r="AC109" s="209">
        <f t="shared" si="83"/>
        <v>107.09842129275296</v>
      </c>
      <c r="AD109" s="209">
        <f t="shared" si="83"/>
        <v>101.05313618105919</v>
      </c>
      <c r="AE109" s="209">
        <f t="shared" si="83"/>
        <v>109.89575970802765</v>
      </c>
      <c r="AF109" s="209">
        <f t="shared" si="83"/>
        <v>108.64221888418767</v>
      </c>
      <c r="AG109" s="209">
        <f t="shared" si="83"/>
        <v>115.46796641401764</v>
      </c>
      <c r="AH109" s="209">
        <f t="shared" si="83"/>
        <v>112.66581752154903</v>
      </c>
      <c r="AI109" s="209">
        <f t="shared" si="83"/>
        <v>114.5996858329961</v>
      </c>
      <c r="AJ109" s="209">
        <f t="shared" si="83"/>
        <v>113.46537338224213</v>
      </c>
      <c r="AK109" s="209">
        <f t="shared" si="83"/>
        <v>107.27991372082931</v>
      </c>
      <c r="AL109" s="209">
        <f t="shared" si="83"/>
        <v>109.22011057799008</v>
      </c>
      <c r="AM109" s="209">
        <f t="shared" si="83"/>
        <v>104.6019860677003</v>
      </c>
      <c r="AN109" s="210">
        <f t="shared" si="83"/>
        <v>105.94230127338871</v>
      </c>
      <c r="AO109" s="237">
        <f t="shared" si="83"/>
        <v>103.59270197984834</v>
      </c>
      <c r="AP109" s="209">
        <f t="shared" si="83"/>
        <v>92.528587505909798</v>
      </c>
      <c r="AQ109" s="238">
        <f>SUMIFS(AC50:AN50,AC$4:AN$4,"&lt;"&amp;'Title Sheet'!$C$13)</f>
        <v>0</v>
      </c>
    </row>
    <row r="110" spans="2:44" ht="15.75" hidden="1" x14ac:dyDescent="0.25">
      <c r="B110" t="str">
        <f t="shared" si="75"/>
        <v>PC Annual Direct</v>
      </c>
      <c r="C110" t="str">
        <f t="shared" si="80"/>
        <v>Boom Subscription</v>
      </c>
      <c r="D110" s="211" t="s">
        <v>303</v>
      </c>
      <c r="E110" s="31">
        <f t="shared" si="83"/>
        <v>0</v>
      </c>
      <c r="F110" s="31">
        <f t="shared" si="83"/>
        <v>0</v>
      </c>
      <c r="G110" s="31">
        <f t="shared" si="83"/>
        <v>0</v>
      </c>
      <c r="H110" s="31">
        <f t="shared" si="83"/>
        <v>0</v>
      </c>
      <c r="I110" s="31">
        <f t="shared" si="83"/>
        <v>0</v>
      </c>
      <c r="J110" s="31">
        <f t="shared" si="83"/>
        <v>0</v>
      </c>
      <c r="K110" s="31">
        <f t="shared" si="83"/>
        <v>0</v>
      </c>
      <c r="L110" s="31">
        <f t="shared" si="83"/>
        <v>0</v>
      </c>
      <c r="M110" s="31">
        <f t="shared" si="83"/>
        <v>0</v>
      </c>
      <c r="N110" s="31">
        <f t="shared" si="83"/>
        <v>0</v>
      </c>
      <c r="O110" s="31">
        <f t="shared" si="83"/>
        <v>0</v>
      </c>
      <c r="P110" s="240">
        <f t="shared" si="83"/>
        <v>0</v>
      </c>
      <c r="Q110" s="31">
        <f t="shared" si="83"/>
        <v>0</v>
      </c>
      <c r="R110" s="31">
        <f t="shared" si="83"/>
        <v>0</v>
      </c>
      <c r="S110" s="31">
        <f t="shared" si="83"/>
        <v>0</v>
      </c>
      <c r="T110" s="31">
        <f t="shared" si="83"/>
        <v>0</v>
      </c>
      <c r="U110" s="31">
        <f t="shared" si="83"/>
        <v>0</v>
      </c>
      <c r="V110" s="31">
        <f t="shared" si="83"/>
        <v>0</v>
      </c>
      <c r="W110" s="31">
        <f t="shared" si="83"/>
        <v>0</v>
      </c>
      <c r="X110" s="31">
        <f t="shared" si="83"/>
        <v>0</v>
      </c>
      <c r="Y110" s="31">
        <f t="shared" si="83"/>
        <v>0</v>
      </c>
      <c r="Z110" s="31">
        <f t="shared" si="83"/>
        <v>0</v>
      </c>
      <c r="AA110" s="31">
        <f t="shared" si="83"/>
        <v>258.92466936072157</v>
      </c>
      <c r="AB110" s="240">
        <f t="shared" si="83"/>
        <v>220.90946574589432</v>
      </c>
      <c r="AC110" s="31">
        <f t="shared" si="83"/>
        <v>214.11060599375904</v>
      </c>
      <c r="AD110" s="31">
        <f t="shared" si="83"/>
        <v>219.08437382877574</v>
      </c>
      <c r="AE110" s="31">
        <f t="shared" si="83"/>
        <v>206.67757362023036</v>
      </c>
      <c r="AF110" s="31">
        <f t="shared" si="83"/>
        <v>186.91124415248478</v>
      </c>
      <c r="AG110" s="31">
        <f t="shared" si="83"/>
        <v>169.84421241291747</v>
      </c>
      <c r="AH110" s="31">
        <f t="shared" si="83"/>
        <v>157.79751823523375</v>
      </c>
      <c r="AI110" s="31">
        <f t="shared" si="83"/>
        <v>124.50906001260353</v>
      </c>
      <c r="AJ110" s="31">
        <f t="shared" si="83"/>
        <v>122.73007130156238</v>
      </c>
      <c r="AK110" s="31">
        <f t="shared" si="83"/>
        <v>120.16781918595846</v>
      </c>
      <c r="AL110" s="31">
        <f t="shared" si="83"/>
        <v>118.21232936848067</v>
      </c>
      <c r="AM110" s="31">
        <f t="shared" si="83"/>
        <v>117.24409911539276</v>
      </c>
      <c r="AN110" s="212">
        <f t="shared" si="83"/>
        <v>113.80158959670163</v>
      </c>
      <c r="AO110" s="239">
        <f t="shared" si="83"/>
        <v>228.93024267089032</v>
      </c>
      <c r="AP110" s="31">
        <f t="shared" si="83"/>
        <v>228.93024267089032</v>
      </c>
      <c r="AQ110" s="240">
        <f>SUMIFS(AC97:AN97,AC$4:AN$4,"&lt;"&amp;'Title Sheet'!$C$13)</f>
        <v>0</v>
      </c>
    </row>
    <row r="111" spans="2:44" ht="15.75" hidden="1" x14ac:dyDescent="0.25">
      <c r="B111" t="str">
        <f t="shared" si="75"/>
        <v>PC Annual Direct</v>
      </c>
      <c r="C111" t="str">
        <f t="shared" si="80"/>
        <v>Boom Subscription</v>
      </c>
      <c r="D111" s="213" t="s">
        <v>0</v>
      </c>
      <c r="E111" s="214" t="str">
        <f t="shared" ref="E111:AN111" si="84">IFERROR(IF(E109=0,"-",(E109/E110)-1),"-")</f>
        <v>-</v>
      </c>
      <c r="F111" s="214" t="str">
        <f t="shared" si="84"/>
        <v>-</v>
      </c>
      <c r="G111" s="214" t="str">
        <f t="shared" si="84"/>
        <v>-</v>
      </c>
      <c r="H111" s="214" t="str">
        <f t="shared" si="84"/>
        <v>-</v>
      </c>
      <c r="I111" s="214" t="str">
        <f t="shared" si="84"/>
        <v>-</v>
      </c>
      <c r="J111" s="214" t="str">
        <f t="shared" si="84"/>
        <v>-</v>
      </c>
      <c r="K111" s="214" t="str">
        <f t="shared" si="84"/>
        <v>-</v>
      </c>
      <c r="L111" s="214" t="str">
        <f t="shared" si="84"/>
        <v>-</v>
      </c>
      <c r="M111" s="214" t="str">
        <f t="shared" si="84"/>
        <v>-</v>
      </c>
      <c r="N111" s="214" t="str">
        <f t="shared" si="84"/>
        <v>-</v>
      </c>
      <c r="O111" s="214" t="str">
        <f t="shared" si="84"/>
        <v>-</v>
      </c>
      <c r="P111" s="294" t="str">
        <f t="shared" si="84"/>
        <v>-</v>
      </c>
      <c r="Q111" s="214" t="str">
        <f t="shared" si="84"/>
        <v>-</v>
      </c>
      <c r="R111" s="214" t="str">
        <f t="shared" si="84"/>
        <v>-</v>
      </c>
      <c r="S111" s="214" t="str">
        <f t="shared" si="84"/>
        <v>-</v>
      </c>
      <c r="T111" s="214" t="str">
        <f t="shared" si="84"/>
        <v>-</v>
      </c>
      <c r="U111" s="214" t="str">
        <f t="shared" si="84"/>
        <v>-</v>
      </c>
      <c r="V111" s="214" t="str">
        <f t="shared" si="84"/>
        <v>-</v>
      </c>
      <c r="W111" s="214" t="str">
        <f t="shared" si="84"/>
        <v>-</v>
      </c>
      <c r="X111" s="214" t="str">
        <f t="shared" si="84"/>
        <v>-</v>
      </c>
      <c r="Y111" s="214" t="str">
        <f t="shared" si="84"/>
        <v>-</v>
      </c>
      <c r="Z111" s="214" t="str">
        <f t="shared" si="84"/>
        <v>-</v>
      </c>
      <c r="AA111" s="214">
        <f t="shared" si="84"/>
        <v>-0.61069944366515672</v>
      </c>
      <c r="AB111" s="294">
        <f t="shared" si="84"/>
        <v>-0.52195024888203101</v>
      </c>
      <c r="AC111" s="214">
        <f t="shared" si="84"/>
        <v>-0.49979861672114134</v>
      </c>
      <c r="AD111" s="214">
        <f t="shared" si="84"/>
        <v>-0.53874786040177947</v>
      </c>
      <c r="AE111" s="214">
        <f t="shared" si="84"/>
        <v>-0.46827438612202354</v>
      </c>
      <c r="AF111" s="214">
        <f t="shared" si="84"/>
        <v>-0.41874968851228744</v>
      </c>
      <c r="AG111" s="214">
        <f t="shared" si="84"/>
        <v>-0.3201536586168906</v>
      </c>
      <c r="AH111" s="214">
        <f t="shared" si="84"/>
        <v>-0.28601020610733219</v>
      </c>
      <c r="AI111" s="214">
        <f t="shared" si="84"/>
        <v>-7.9587575222271667E-2</v>
      </c>
      <c r="AJ111" s="214">
        <f t="shared" si="84"/>
        <v>-7.5488409817311863E-2</v>
      </c>
      <c r="AK111" s="214">
        <f t="shared" si="84"/>
        <v>-0.10724922489593702</v>
      </c>
      <c r="AL111" s="214">
        <f t="shared" si="84"/>
        <v>-7.60683664599896E-2</v>
      </c>
      <c r="AM111" s="214">
        <f t="shared" si="84"/>
        <v>-0.10782728634598471</v>
      </c>
      <c r="AN111" s="215">
        <f t="shared" si="84"/>
        <v>-6.9061322879278242E-2</v>
      </c>
      <c r="AO111" s="241">
        <f t="shared" ref="AO111:AP111" si="85">AO109-AO110</f>
        <v>-125.33754069104198</v>
      </c>
      <c r="AP111" s="242">
        <f t="shared" si="85"/>
        <v>-136.40165516498053</v>
      </c>
      <c r="AQ111" s="243" t="str">
        <f t="shared" ref="AQ111" si="86">IFERROR(IF(AQ109=0,"-",(AQ109/AQ110)-1),"-")</f>
        <v>-</v>
      </c>
    </row>
    <row r="112" spans="2:44" ht="15.75" thickBot="1" x14ac:dyDescent="0.3">
      <c r="B112" t="str">
        <f t="shared" si="75"/>
        <v>PC Annual Direct</v>
      </c>
      <c r="C112" t="str">
        <f t="shared" si="80"/>
        <v>Boom Subscription</v>
      </c>
      <c r="D112" s="254" t="s">
        <v>17</v>
      </c>
      <c r="E112" s="217"/>
      <c r="F112" s="217"/>
      <c r="G112" s="217"/>
      <c r="H112" s="217"/>
      <c r="I112" s="217"/>
      <c r="J112" s="217"/>
      <c r="K112" s="217"/>
      <c r="L112" s="217"/>
      <c r="M112" s="217"/>
      <c r="N112" s="217"/>
      <c r="O112" s="217"/>
      <c r="P112" s="295"/>
      <c r="Q112" s="217"/>
      <c r="R112" s="217"/>
      <c r="S112" s="217"/>
      <c r="T112" s="217"/>
      <c r="U112" s="217"/>
      <c r="V112" s="217"/>
      <c r="W112" s="217"/>
      <c r="X112" s="217"/>
      <c r="Y112" s="217"/>
      <c r="Z112" s="217"/>
      <c r="AA112" s="217"/>
      <c r="AB112" s="295"/>
      <c r="AC112" s="217"/>
      <c r="AD112" s="217"/>
      <c r="AE112" s="217"/>
      <c r="AF112" s="217"/>
      <c r="AG112" s="217"/>
      <c r="AH112" s="217"/>
      <c r="AI112" s="217"/>
      <c r="AJ112" s="217"/>
      <c r="AK112" s="217"/>
      <c r="AL112" s="217"/>
      <c r="AM112" s="217"/>
      <c r="AN112" s="218"/>
      <c r="AO112" s="244"/>
      <c r="AP112" s="245"/>
      <c r="AQ112" s="246"/>
    </row>
    <row r="113" spans="2:46" ht="15.75" x14ac:dyDescent="0.25">
      <c r="B113" t="str">
        <f t="shared" si="75"/>
        <v>PC Annual Direct</v>
      </c>
      <c r="C113" t="str">
        <f t="shared" si="80"/>
        <v>Boom Subscription</v>
      </c>
      <c r="D113" s="208" t="s">
        <v>7</v>
      </c>
      <c r="E113" s="251">
        <v>0</v>
      </c>
      <c r="F113" s="251">
        <v>0</v>
      </c>
      <c r="G113" s="251">
        <v>1540278.9107138102</v>
      </c>
      <c r="H113" s="251">
        <v>1959571.1249999702</v>
      </c>
      <c r="I113" s="251">
        <v>2658739.2232145402</v>
      </c>
      <c r="J113" s="251">
        <v>3350857.1964276107</v>
      </c>
      <c r="K113" s="251">
        <v>3445775.8124999488</v>
      </c>
      <c r="L113" s="251">
        <v>2222742.0446435111</v>
      </c>
      <c r="M113" s="251">
        <v>575139.78571434086</v>
      </c>
      <c r="N113" s="251">
        <v>952503.40178562969</v>
      </c>
      <c r="O113" s="251">
        <v>1166188.5357143844</v>
      </c>
      <c r="P113" s="296">
        <v>1266048.6339290356</v>
      </c>
      <c r="Q113" s="251">
        <v>1314592.7589287423</v>
      </c>
      <c r="R113" s="251">
        <v>1289189.5000003267</v>
      </c>
      <c r="S113" s="251">
        <v>1524686.2500005194</v>
      </c>
      <c r="T113" s="251">
        <v>1469382.5535714312</v>
      </c>
      <c r="U113" s="251">
        <v>1705720.7499998671</v>
      </c>
      <c r="V113" s="251">
        <v>1694811.4107146254</v>
      </c>
      <c r="W113" s="251">
        <v>1912476.2500001402</v>
      </c>
      <c r="X113" s="251">
        <v>2038454.8392857539</v>
      </c>
      <c r="Y113" s="251">
        <v>2054207.2857144666</v>
      </c>
      <c r="Z113" s="251">
        <v>2350651.6875001243</v>
      </c>
      <c r="AA113" s="251">
        <v>2535113.4285715013</v>
      </c>
      <c r="AB113" s="296">
        <v>2697199.3482145886</v>
      </c>
      <c r="AC113" s="251">
        <v>2642347.6964285038</v>
      </c>
      <c r="AD113" s="251">
        <v>2051241.6160712375</v>
      </c>
      <c r="AE113" s="251">
        <v>2033177.5446428959</v>
      </c>
      <c r="AF113" s="251">
        <v>1692588.7321426247</v>
      </c>
      <c r="AG113" s="251">
        <v>1579368.2232143241</v>
      </c>
      <c r="AH113" s="251">
        <v>1348383.2499999111</v>
      </c>
      <c r="AI113" s="251">
        <v>1234234.1160715991</v>
      </c>
      <c r="AJ113" s="251">
        <v>1034271.8303571729</v>
      </c>
      <c r="AK113" s="251">
        <v>834360.56250000617</v>
      </c>
      <c r="AL113" s="251">
        <v>665746.83035716868</v>
      </c>
      <c r="AM113" s="251">
        <v>395050.55357133178</v>
      </c>
      <c r="AN113" s="252">
        <v>211435.97321435693</v>
      </c>
      <c r="AO113" s="253">
        <f>AVERAGE(Z113:AC113)</f>
        <v>2556328.0401786794</v>
      </c>
      <c r="AP113" s="251">
        <f>AVERAGE(R113:AC113)</f>
        <v>1992853.4166668206</v>
      </c>
      <c r="AQ113" s="252"/>
    </row>
    <row r="114" spans="2:46" ht="15.75" x14ac:dyDescent="0.25">
      <c r="B114" t="str">
        <f t="shared" si="75"/>
        <v>PC Annual Direct</v>
      </c>
      <c r="C114" t="str">
        <f t="shared" si="80"/>
        <v>Boom Subscription</v>
      </c>
      <c r="D114" s="211" t="s">
        <v>14</v>
      </c>
      <c r="E114" s="221">
        <v>0</v>
      </c>
      <c r="F114" s="221">
        <v>0</v>
      </c>
      <c r="G114" s="221">
        <v>0.20989760214908937</v>
      </c>
      <c r="H114" s="221">
        <v>0.14801085620215204</v>
      </c>
      <c r="I114" s="221">
        <v>0.14901569380744792</v>
      </c>
      <c r="J114" s="221">
        <v>0.14586167101370795</v>
      </c>
      <c r="K114" s="221">
        <v>0.14552491725692254</v>
      </c>
      <c r="L114" s="221">
        <v>0.13888168928295216</v>
      </c>
      <c r="M114" s="221">
        <v>-0.1511573397619112</v>
      </c>
      <c r="N114" s="221">
        <v>-6.4596042265858813E-2</v>
      </c>
      <c r="O114" s="221">
        <v>1.3934599339938005E-2</v>
      </c>
      <c r="P114" s="297">
        <v>9.8026313266621409E-2</v>
      </c>
      <c r="Q114" s="221">
        <v>0.14962460325765611</v>
      </c>
      <c r="R114" s="221">
        <v>0.1055337636555039</v>
      </c>
      <c r="S114" s="221">
        <v>0.18493658613376865</v>
      </c>
      <c r="T114" s="221">
        <v>0.16111253629933731</v>
      </c>
      <c r="U114" s="221">
        <v>0.15963825262724443</v>
      </c>
      <c r="V114" s="221">
        <v>0.18717582262820406</v>
      </c>
      <c r="W114" s="221">
        <v>0.18637709095739136</v>
      </c>
      <c r="X114" s="221">
        <v>0.17845648723199944</v>
      </c>
      <c r="Y114" s="221">
        <v>0.17725595295673874</v>
      </c>
      <c r="Z114" s="221">
        <v>0.17473250170753521</v>
      </c>
      <c r="AA114" s="221">
        <v>0.17525540869005971</v>
      </c>
      <c r="AB114" s="297">
        <v>0.16875361485657819</v>
      </c>
      <c r="AC114" s="221">
        <v>0.26447836177829825</v>
      </c>
      <c r="AD114" s="221">
        <v>0.17613160593541563</v>
      </c>
      <c r="AE114" s="221">
        <v>0.14077001329968528</v>
      </c>
      <c r="AF114" s="221">
        <v>0.14536738034912891</v>
      </c>
      <c r="AG114" s="221">
        <v>0.13501086501921211</v>
      </c>
      <c r="AH114" s="221">
        <v>0.14095732797041241</v>
      </c>
      <c r="AI114" s="221">
        <v>0.13069566616216544</v>
      </c>
      <c r="AJ114" s="221">
        <v>0.12707131350049322</v>
      </c>
      <c r="AK114" s="221">
        <v>0.13032913453412537</v>
      </c>
      <c r="AL114" s="221">
        <v>0.11440644780714238</v>
      </c>
      <c r="AM114" s="221">
        <v>0.11151003232818339</v>
      </c>
      <c r="AN114" s="222">
        <v>5.2166619673700038E-2</v>
      </c>
      <c r="AO114" s="17">
        <f>AVERAGE(Z114:AC114)</f>
        <v>0.19580497175811784</v>
      </c>
      <c r="AP114" s="221">
        <f>AVERAGE(R114:AC114)</f>
        <v>0.17697553162688828</v>
      </c>
      <c r="AQ114" s="222"/>
    </row>
    <row r="115" spans="2:46" ht="15.75" x14ac:dyDescent="0.25">
      <c r="B115" t="str">
        <f t="shared" si="75"/>
        <v>PC Annual Direct</v>
      </c>
      <c r="C115" t="str">
        <f t="shared" si="80"/>
        <v>Boom Subscription</v>
      </c>
      <c r="D115" s="223" t="s">
        <v>21</v>
      </c>
      <c r="E115" s="224">
        <f>IFERROR(E106/E$8,"-")</f>
        <v>0</v>
      </c>
      <c r="F115" s="224">
        <f t="shared" ref="F115:AN115" si="87">IFERROR(F106/F$8,"-")</f>
        <v>0</v>
      </c>
      <c r="G115" s="224">
        <f t="shared" si="87"/>
        <v>0.70395644395279688</v>
      </c>
      <c r="H115" s="224">
        <f t="shared" si="87"/>
        <v>0.7359907995280015</v>
      </c>
      <c r="I115" s="224">
        <f t="shared" si="87"/>
        <v>0.75434278017486067</v>
      </c>
      <c r="J115" s="224">
        <f t="shared" si="87"/>
        <v>0.73436672436460293</v>
      </c>
      <c r="K115" s="224">
        <f t="shared" si="87"/>
        <v>0.61065807600023081</v>
      </c>
      <c r="L115" s="224">
        <f t="shared" si="87"/>
        <v>0.53725260304051625</v>
      </c>
      <c r="M115" s="224">
        <f t="shared" si="87"/>
        <v>0.11263849163461172</v>
      </c>
      <c r="N115" s="224">
        <f t="shared" si="87"/>
        <v>0.16507618783459205</v>
      </c>
      <c r="O115" s="224">
        <f t="shared" si="87"/>
        <v>0.24019054701796824</v>
      </c>
      <c r="P115" s="298">
        <f t="shared" si="87"/>
        <v>0.33635559497504774</v>
      </c>
      <c r="Q115" s="224">
        <f t="shared" si="87"/>
        <v>0.43313939848090344</v>
      </c>
      <c r="R115" s="224">
        <f t="shared" si="87"/>
        <v>0.41353672014418635</v>
      </c>
      <c r="S115" s="224">
        <f t="shared" si="87"/>
        <v>0.47849903860156606</v>
      </c>
      <c r="T115" s="224">
        <f t="shared" si="87"/>
        <v>0.52557373042745992</v>
      </c>
      <c r="U115" s="224">
        <f t="shared" si="87"/>
        <v>0.52708315905535885</v>
      </c>
      <c r="V115" s="224">
        <f t="shared" si="87"/>
        <v>0.55854778900071711</v>
      </c>
      <c r="W115" s="224">
        <f t="shared" si="87"/>
        <v>0.58274665786325797</v>
      </c>
      <c r="X115" s="224">
        <f t="shared" si="87"/>
        <v>0.55524064639944637</v>
      </c>
      <c r="Y115" s="224">
        <f t="shared" si="87"/>
        <v>0.56438522038993244</v>
      </c>
      <c r="Z115" s="224">
        <f t="shared" si="87"/>
        <v>0.55251443700993152</v>
      </c>
      <c r="AA115" s="224">
        <f t="shared" si="87"/>
        <v>0.48053801239952587</v>
      </c>
      <c r="AB115" s="298">
        <f t="shared" si="87"/>
        <v>0.54414940822538937</v>
      </c>
      <c r="AC115" s="224">
        <f t="shared" si="87"/>
        <v>0.46984041751756489</v>
      </c>
      <c r="AD115" s="224">
        <f t="shared" si="87"/>
        <v>0.27013735416501772</v>
      </c>
      <c r="AE115" s="224">
        <f t="shared" si="87"/>
        <v>0.20293942929044334</v>
      </c>
      <c r="AF115" s="224">
        <f t="shared" si="87"/>
        <v>0.18437795846524066</v>
      </c>
      <c r="AG115" s="224">
        <f t="shared" si="87"/>
        <v>0.19001269642613688</v>
      </c>
      <c r="AH115" s="224">
        <f t="shared" si="87"/>
        <v>0.18824335608242379</v>
      </c>
      <c r="AI115" s="224">
        <f t="shared" si="87"/>
        <v>0.20357275651346407</v>
      </c>
      <c r="AJ115" s="224">
        <f t="shared" si="87"/>
        <v>0.19471798346044528</v>
      </c>
      <c r="AK115" s="224">
        <f t="shared" si="87"/>
        <v>0.16602761193943388</v>
      </c>
      <c r="AL115" s="224">
        <f t="shared" si="87"/>
        <v>0.14148550520022274</v>
      </c>
      <c r="AM115" s="224">
        <f t="shared" si="87"/>
        <v>7.5341969102875189E-2</v>
      </c>
      <c r="AN115" s="225">
        <f t="shared" si="87"/>
        <v>4.2675645795153212E-2</v>
      </c>
      <c r="AO115" s="249">
        <f t="shared" ref="AO115:AP115" si="88">AO106/AO$8</f>
        <v>0.50834702814798238</v>
      </c>
      <c r="AP115" s="224">
        <f t="shared" si="88"/>
        <v>0.51996372530660306</v>
      </c>
      <c r="AQ115" s="225"/>
    </row>
    <row r="116" spans="2:46" ht="15.75" x14ac:dyDescent="0.25">
      <c r="B116" t="str">
        <f t="shared" si="75"/>
        <v>PC Annual Direct</v>
      </c>
      <c r="C116" t="str">
        <f t="shared" si="80"/>
        <v>Boom Subscription</v>
      </c>
      <c r="D116" s="211" t="s">
        <v>199</v>
      </c>
      <c r="E116" s="173">
        <v>0</v>
      </c>
      <c r="F116" s="173">
        <v>0</v>
      </c>
      <c r="G116" s="173">
        <v>6180.6949999999997</v>
      </c>
      <c r="H116" s="173">
        <v>9124.6117857000008</v>
      </c>
      <c r="I116" s="173">
        <v>7927.0614286</v>
      </c>
      <c r="J116" s="173">
        <v>9345.1889286000005</v>
      </c>
      <c r="K116" s="173">
        <v>8834.1396428999997</v>
      </c>
      <c r="L116" s="173">
        <v>7936.8796429000004</v>
      </c>
      <c r="M116" s="173">
        <v>7745.79</v>
      </c>
      <c r="N116" s="173">
        <v>12596.4171432</v>
      </c>
      <c r="O116" s="173">
        <v>12596.4171432</v>
      </c>
      <c r="P116" s="299">
        <v>12596.4171432</v>
      </c>
      <c r="Q116" s="173">
        <v>13281.377143199999</v>
      </c>
      <c r="R116" s="173">
        <v>11548.78285716</v>
      </c>
      <c r="S116" s="173">
        <v>10906.392857160001</v>
      </c>
      <c r="T116" s="173">
        <v>10906.392857160001</v>
      </c>
      <c r="U116" s="173">
        <v>10906.392857160001</v>
      </c>
      <c r="V116" s="173">
        <v>10906.392857160001</v>
      </c>
      <c r="W116" s="173">
        <v>13028.867143199999</v>
      </c>
      <c r="X116" s="173">
        <v>13028.867143199999</v>
      </c>
      <c r="Y116" s="173">
        <v>13028.867143199999</v>
      </c>
      <c r="Z116" s="173">
        <v>13028.867143199999</v>
      </c>
      <c r="AA116" s="173">
        <v>13028.867143199999</v>
      </c>
      <c r="AB116" s="299">
        <v>13028.867143199999</v>
      </c>
      <c r="AC116" s="173">
        <v>13028.867143199999</v>
      </c>
      <c r="AD116" s="173">
        <v>13028.867143199999</v>
      </c>
      <c r="AE116" s="173">
        <v>13028.867143199999</v>
      </c>
      <c r="AF116" s="173">
        <v>13028.867143199999</v>
      </c>
      <c r="AG116" s="173">
        <v>13028.867143199999</v>
      </c>
      <c r="AH116" s="173">
        <v>13028.867143199999</v>
      </c>
      <c r="AI116" s="173">
        <v>11571.86142852</v>
      </c>
      <c r="AJ116" s="173">
        <v>11571.86142852</v>
      </c>
      <c r="AK116" s="173">
        <v>11571.86142852</v>
      </c>
      <c r="AL116" s="173">
        <v>11571.86142852</v>
      </c>
      <c r="AM116" s="173">
        <v>11571.86142852</v>
      </c>
      <c r="AN116" s="228">
        <v>7082.0228571600001</v>
      </c>
      <c r="AO116" s="17"/>
      <c r="AP116" s="221"/>
      <c r="AQ116" s="222"/>
    </row>
    <row r="117" spans="2:46" ht="15.75" x14ac:dyDescent="0.25">
      <c r="B117" t="str">
        <f t="shared" si="75"/>
        <v>PC Annual Direct</v>
      </c>
      <c r="C117" t="str">
        <f t="shared" si="80"/>
        <v>Boom Subscription</v>
      </c>
      <c r="D117" s="223" t="s">
        <v>200</v>
      </c>
      <c r="E117" s="229">
        <v>0</v>
      </c>
      <c r="F117" s="229">
        <v>0</v>
      </c>
      <c r="G117" s="229">
        <v>102.75892856999999</v>
      </c>
      <c r="H117" s="229">
        <v>102.19785714</v>
      </c>
      <c r="I117" s="229">
        <v>137.17071429000001</v>
      </c>
      <c r="J117" s="229">
        <v>122.40428571</v>
      </c>
      <c r="K117" s="229">
        <v>121.19821429</v>
      </c>
      <c r="L117" s="229">
        <v>123.20678571000001</v>
      </c>
      <c r="M117" s="229">
        <v>117.0728571432</v>
      </c>
      <c r="N117" s="229">
        <v>117.0728571432</v>
      </c>
      <c r="O117" s="229">
        <v>48.068571428399999</v>
      </c>
      <c r="P117" s="300">
        <v>48.068571428399999</v>
      </c>
      <c r="Q117" s="229">
        <v>48.068571428399999</v>
      </c>
      <c r="R117" s="229">
        <v>78.094285714799994</v>
      </c>
      <c r="S117" s="229">
        <v>78.094285714799994</v>
      </c>
      <c r="T117" s="229">
        <v>78.094285714799994</v>
      </c>
      <c r="U117" s="229">
        <v>78.094285714799994</v>
      </c>
      <c r="V117" s="229">
        <v>78.094285714799994</v>
      </c>
      <c r="W117" s="229">
        <v>78.094285714799994</v>
      </c>
      <c r="X117" s="229">
        <v>78.094285714799994</v>
      </c>
      <c r="Y117" s="229">
        <v>78.094285714799994</v>
      </c>
      <c r="Z117" s="229">
        <v>78.094285714799994</v>
      </c>
      <c r="AA117" s="229">
        <v>81.355714285199994</v>
      </c>
      <c r="AB117" s="300">
        <v>81.355714285199994</v>
      </c>
      <c r="AC117" s="229">
        <v>81.355714285199994</v>
      </c>
      <c r="AD117" s="229">
        <v>88.392857143200004</v>
      </c>
      <c r="AE117" s="229">
        <v>88.392857143200004</v>
      </c>
      <c r="AF117" s="229">
        <v>333.154285716</v>
      </c>
      <c r="AG117" s="229">
        <v>333.154285716</v>
      </c>
      <c r="AH117" s="229">
        <v>333.154285716</v>
      </c>
      <c r="AI117" s="229">
        <v>333.154285716</v>
      </c>
      <c r="AJ117" s="229">
        <v>333.154285716</v>
      </c>
      <c r="AK117" s="229">
        <v>333.154285716</v>
      </c>
      <c r="AL117" s="229">
        <v>333.154285716</v>
      </c>
      <c r="AM117" s="229">
        <v>333.154285716</v>
      </c>
      <c r="AN117" s="230">
        <v>333.154285716</v>
      </c>
      <c r="AO117" s="249"/>
      <c r="AP117" s="224"/>
      <c r="AQ117" s="225"/>
    </row>
    <row r="118" spans="2:46" ht="15.75" x14ac:dyDescent="0.25">
      <c r="B118" t="str">
        <f t="shared" si="75"/>
        <v>PC Annual Direct</v>
      </c>
      <c r="C118" t="str">
        <f t="shared" si="80"/>
        <v>Boom Subscription</v>
      </c>
      <c r="D118" s="211" t="s">
        <v>201</v>
      </c>
      <c r="E118" s="221" t="s">
        <v>491</v>
      </c>
      <c r="F118" s="221" t="s">
        <v>491</v>
      </c>
      <c r="G118" s="221">
        <v>0.14775510204081632</v>
      </c>
      <c r="H118" s="221">
        <v>7.6801266825019796E-2</v>
      </c>
      <c r="I118" s="221">
        <v>4.4181705040448042E-2</v>
      </c>
      <c r="J118" s="221">
        <v>8.8174701277297068E-2</v>
      </c>
      <c r="K118" s="221">
        <v>0.11596887736198593</v>
      </c>
      <c r="L118" s="221">
        <v>0.11479726171669299</v>
      </c>
      <c r="M118" s="221">
        <v>0.10008779631255488</v>
      </c>
      <c r="N118" s="221">
        <v>0.11049406357717349</v>
      </c>
      <c r="O118" s="221">
        <v>0.11846133368827366</v>
      </c>
      <c r="P118" s="297">
        <v>0.117453231292517</v>
      </c>
      <c r="Q118" s="221">
        <v>0.1230509111403344</v>
      </c>
      <c r="R118" s="221">
        <v>0.13220338983050847</v>
      </c>
      <c r="S118" s="221">
        <v>0.14024652429410922</v>
      </c>
      <c r="T118" s="221">
        <v>0.13872999782781842</v>
      </c>
      <c r="U118" s="221">
        <v>0.12109056722030712</v>
      </c>
      <c r="V118" s="221">
        <v>0.11374585497090658</v>
      </c>
      <c r="W118" s="221">
        <v>0.1083416029420349</v>
      </c>
      <c r="X118" s="221">
        <v>9.9760027425437089E-2</v>
      </c>
      <c r="Y118" s="221">
        <v>9.1144302011054917E-2</v>
      </c>
      <c r="Z118" s="221">
        <v>7.3620651451362734E-2</v>
      </c>
      <c r="AA118" s="221">
        <v>5.3970324474156207E-2</v>
      </c>
      <c r="AB118" s="297">
        <v>4.2713817423264133E-2</v>
      </c>
      <c r="AC118" s="221">
        <v>3.1689443454149334E-2</v>
      </c>
      <c r="AD118" s="221">
        <v>2.3722627737226276E-2</v>
      </c>
      <c r="AE118" s="221">
        <v>1.1126326600479288E-2</v>
      </c>
      <c r="AF118" s="221">
        <v>3.0689823533514684E-3</v>
      </c>
      <c r="AG118" s="221">
        <v>3.152633602460592E-3</v>
      </c>
      <c r="AH118" s="221">
        <v>2.088061733999092E-3</v>
      </c>
      <c r="AI118" s="221">
        <v>2.2482893450635386E-3</v>
      </c>
      <c r="AJ118" s="221">
        <v>2.5389497980380844E-3</v>
      </c>
      <c r="AK118" s="221">
        <v>2.7944669554282519E-3</v>
      </c>
      <c r="AL118" s="221">
        <v>3.453634950785702E-3</v>
      </c>
      <c r="AM118" s="221">
        <v>3.1645569620253164E-3</v>
      </c>
      <c r="AN118" s="222">
        <v>5.8016877637130804E-3</v>
      </c>
      <c r="AO118" s="17"/>
      <c r="AP118" s="221"/>
      <c r="AQ118" s="222"/>
    </row>
    <row r="119" spans="2:46" ht="15.75" x14ac:dyDescent="0.25">
      <c r="B119" t="str">
        <f t="shared" si="75"/>
        <v>PC Annual Direct</v>
      </c>
      <c r="C119" t="str">
        <f t="shared" si="80"/>
        <v>Boom Subscription</v>
      </c>
      <c r="D119" s="223" t="s">
        <v>202</v>
      </c>
      <c r="E119" s="224">
        <v>0</v>
      </c>
      <c r="F119" s="224">
        <v>0</v>
      </c>
      <c r="G119" s="224">
        <v>0.34522585238509601</v>
      </c>
      <c r="H119" s="224">
        <v>0.34480793820599998</v>
      </c>
      <c r="I119" s="224">
        <v>0.68549643796104198</v>
      </c>
      <c r="J119" s="224">
        <v>0.34459832830181703</v>
      </c>
      <c r="K119" s="224">
        <v>0.34695718837119799</v>
      </c>
      <c r="L119" s="224">
        <v>0.34426737558923998</v>
      </c>
      <c r="M119" s="224">
        <v>0.37167625151939998</v>
      </c>
      <c r="N119" s="224">
        <v>0.53931784176764197</v>
      </c>
      <c r="O119" s="224">
        <v>36.1701141233494</v>
      </c>
      <c r="P119" s="298">
        <v>36.1701141233494</v>
      </c>
      <c r="Q119" s="224">
        <v>36.1701141233494</v>
      </c>
      <c r="R119" s="224">
        <v>1.5970372664135499</v>
      </c>
      <c r="S119" s="224">
        <v>1.5970372664135499</v>
      </c>
      <c r="T119" s="224">
        <v>1.5970372664135499</v>
      </c>
      <c r="U119" s="224">
        <v>1.5970372664135499</v>
      </c>
      <c r="V119" s="224">
        <v>1.5970372664135499</v>
      </c>
      <c r="W119" s="224">
        <v>1.5970372664135499</v>
      </c>
      <c r="X119" s="224">
        <v>1.5970372664135499</v>
      </c>
      <c r="Y119" s="224">
        <v>1.5970372664135499</v>
      </c>
      <c r="Z119" s="224">
        <v>1.5970372664135499</v>
      </c>
      <c r="AA119" s="224">
        <v>0.34432560903149101</v>
      </c>
      <c r="AB119" s="298">
        <v>0.34432560903149101</v>
      </c>
      <c r="AC119" s="224">
        <v>0.34432560903149101</v>
      </c>
      <c r="AD119" s="224">
        <v>0.27155867905078801</v>
      </c>
      <c r="AE119" s="224">
        <v>0.27155867905078801</v>
      </c>
      <c r="AF119" s="224">
        <v>0.25747920416771702</v>
      </c>
      <c r="AG119" s="224">
        <v>0.25747920416771702</v>
      </c>
      <c r="AH119" s="224">
        <v>0.25747920416771702</v>
      </c>
      <c r="AI119" s="224">
        <v>0.25747920416771702</v>
      </c>
      <c r="AJ119" s="224">
        <v>0.25747920416771702</v>
      </c>
      <c r="AK119" s="224">
        <v>0.25747920416771702</v>
      </c>
      <c r="AL119" s="224">
        <v>0.25747920416771702</v>
      </c>
      <c r="AM119" s="224">
        <v>0.25747920416771702</v>
      </c>
      <c r="AN119" s="225">
        <v>0.25747920416771702</v>
      </c>
      <c r="AO119" s="249"/>
      <c r="AP119" s="224"/>
      <c r="AQ119" s="225"/>
    </row>
    <row r="120" spans="2:46" ht="16.5" thickBot="1" x14ac:dyDescent="0.3">
      <c r="B120" t="str">
        <f t="shared" si="75"/>
        <v>PC Annual Direct</v>
      </c>
      <c r="C120" t="str">
        <f t="shared" si="80"/>
        <v>Boom Subscription</v>
      </c>
      <c r="D120" s="226" t="s">
        <v>203</v>
      </c>
      <c r="E120" s="231">
        <v>0</v>
      </c>
      <c r="F120" s="227">
        <v>0</v>
      </c>
      <c r="G120" s="227">
        <v>0.33328064997315998</v>
      </c>
      <c r="H120" s="227">
        <v>0.333291240476491</v>
      </c>
      <c r="I120" s="227">
        <v>0.33331185667809299</v>
      </c>
      <c r="J120" s="227">
        <v>0.333301402754411</v>
      </c>
      <c r="K120" s="227">
        <v>0.333286231690479</v>
      </c>
      <c r="L120" s="227">
        <v>0.29004027060111198</v>
      </c>
      <c r="M120" s="227">
        <v>0.29004027060111198</v>
      </c>
      <c r="N120" s="227">
        <v>0.21985516877924</v>
      </c>
      <c r="O120" s="227">
        <v>0.198344232651988</v>
      </c>
      <c r="P120" s="301">
        <v>0.168870675188772</v>
      </c>
      <c r="Q120" s="227">
        <v>0.167241751132198</v>
      </c>
      <c r="R120" s="227">
        <v>0.167241751132198</v>
      </c>
      <c r="S120" s="227">
        <v>0.16269447203135401</v>
      </c>
      <c r="T120" s="227">
        <v>0.16269447203135401</v>
      </c>
      <c r="U120" s="227">
        <v>0.14963378542706501</v>
      </c>
      <c r="V120" s="227">
        <v>0.12449478179903101</v>
      </c>
      <c r="W120" s="227">
        <v>8.5046459002527303E-2</v>
      </c>
      <c r="X120" s="227">
        <v>8.5046459002527303E-2</v>
      </c>
      <c r="Y120" s="227">
        <v>8.5046459002527303E-2</v>
      </c>
      <c r="Z120" s="227">
        <v>8.5046459002527303E-2</v>
      </c>
      <c r="AA120" s="227">
        <v>8.5046459002527303E-2</v>
      </c>
      <c r="AB120" s="301">
        <v>8.5046459002527303E-2</v>
      </c>
      <c r="AC120" s="227">
        <v>8.5046459002527303E-2</v>
      </c>
      <c r="AD120" s="227">
        <v>8.5046459002527303E-2</v>
      </c>
      <c r="AE120" s="227">
        <v>-0.5</v>
      </c>
      <c r="AF120" s="227">
        <v>8.5046459002527303E-2</v>
      </c>
      <c r="AG120" s="227">
        <v>8.5046459002527303E-2</v>
      </c>
      <c r="AH120" s="227">
        <v>8.5046459002527303E-2</v>
      </c>
      <c r="AI120" s="227">
        <v>8.5046459002527303E-2</v>
      </c>
      <c r="AJ120" s="227">
        <v>8.6522769782477499E-2</v>
      </c>
      <c r="AK120" s="227">
        <v>8.6522769782477499E-2</v>
      </c>
      <c r="AL120" s="227">
        <v>8.6522769782477499E-2</v>
      </c>
      <c r="AM120" s="227">
        <v>8.6522769782477499E-2</v>
      </c>
      <c r="AN120" s="227">
        <v>0</v>
      </c>
      <c r="AO120" s="250"/>
      <c r="AP120" s="227"/>
      <c r="AQ120" s="227"/>
      <c r="AR120" s="307"/>
    </row>
    <row r="121" spans="2:46" hidden="1" outlineLevel="1" x14ac:dyDescent="0.25"/>
    <row r="122" spans="2:46" hidden="1" outlineLevel="1" x14ac:dyDescent="0.25"/>
    <row r="123" spans="2:46" ht="18.75" hidden="1" outlineLevel="1" x14ac:dyDescent="0.3">
      <c r="D123" s="68" t="s">
        <v>204</v>
      </c>
      <c r="E123" s="174" t="s">
        <v>300</v>
      </c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"/>
      <c r="S123" s="1"/>
      <c r="T123" s="505" t="s">
        <v>307</v>
      </c>
      <c r="U123" s="505"/>
      <c r="V123" s="505"/>
      <c r="W123" s="505"/>
      <c r="X123" s="505"/>
      <c r="Y123" s="505"/>
      <c r="Z123" s="505"/>
      <c r="AA123" s="505"/>
      <c r="AB123" s="505"/>
      <c r="AC123" s="506"/>
      <c r="AD123" s="193"/>
      <c r="AE123" s="193"/>
      <c r="AF123" s="193"/>
      <c r="AG123" s="193"/>
      <c r="AH123" s="193"/>
      <c r="AI123" s="193"/>
      <c r="AJ123" s="193"/>
      <c r="AK123" s="193"/>
      <c r="AL123" s="193"/>
      <c r="AM123" s="193"/>
      <c r="AN123" s="193"/>
      <c r="AO123" s="4"/>
      <c r="AP123" s="1"/>
      <c r="AT123" s="118" t="s">
        <v>184</v>
      </c>
    </row>
    <row r="124" spans="2:46" hidden="1" outlineLevel="1" x14ac:dyDescent="0.25">
      <c r="D124" s="19"/>
      <c r="E124" s="503" t="s">
        <v>341</v>
      </c>
      <c r="F124" s="503"/>
      <c r="G124" s="503"/>
      <c r="H124" s="503"/>
      <c r="I124" s="503"/>
      <c r="J124" s="503"/>
      <c r="K124" s="503"/>
      <c r="L124" s="503"/>
      <c r="M124" s="503"/>
      <c r="N124" s="503"/>
      <c r="O124" s="503"/>
      <c r="P124" s="503"/>
      <c r="Q124" s="503"/>
      <c r="R124" s="503"/>
      <c r="S124" s="503"/>
      <c r="T124" s="503"/>
      <c r="U124" s="503"/>
      <c r="V124" s="503"/>
      <c r="W124" s="503"/>
      <c r="X124" s="503"/>
      <c r="Y124" s="503"/>
      <c r="Z124" s="503"/>
      <c r="AA124" s="503"/>
      <c r="AB124" s="503"/>
      <c r="AC124" s="504"/>
      <c r="AD124" s="194"/>
      <c r="AE124" s="194"/>
      <c r="AF124" s="194"/>
      <c r="AG124" s="194"/>
      <c r="AH124" s="194"/>
      <c r="AI124" s="194"/>
      <c r="AJ124" s="194"/>
      <c r="AK124" s="194"/>
      <c r="AL124" s="194"/>
      <c r="AM124" s="194"/>
      <c r="AN124" s="194"/>
      <c r="AO124" s="500" t="s">
        <v>8</v>
      </c>
      <c r="AP124" s="501"/>
      <c r="AQ124" s="502"/>
    </row>
    <row r="125" spans="2:46" hidden="1" outlineLevel="1" x14ac:dyDescent="0.25">
      <c r="D125" s="22" t="s">
        <v>16</v>
      </c>
      <c r="E125" s="23">
        <f>E$4</f>
        <v>44562</v>
      </c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>
        <f t="shared" ref="R125:AC125" si="89">R$4</f>
        <v>44958</v>
      </c>
      <c r="S125" s="23">
        <f t="shared" si="89"/>
        <v>44986</v>
      </c>
      <c r="T125" s="23">
        <f t="shared" si="89"/>
        <v>45017</v>
      </c>
      <c r="U125" s="23">
        <f t="shared" si="89"/>
        <v>45047</v>
      </c>
      <c r="V125" s="23">
        <f t="shared" si="89"/>
        <v>45078</v>
      </c>
      <c r="W125" s="23">
        <f t="shared" si="89"/>
        <v>45108</v>
      </c>
      <c r="X125" s="23">
        <f t="shared" si="89"/>
        <v>45139</v>
      </c>
      <c r="Y125" s="23">
        <f t="shared" si="89"/>
        <v>45170</v>
      </c>
      <c r="Z125" s="23">
        <f t="shared" si="89"/>
        <v>45200</v>
      </c>
      <c r="AA125" s="23">
        <f t="shared" si="89"/>
        <v>45231</v>
      </c>
      <c r="AB125" s="23">
        <f t="shared" si="89"/>
        <v>45261</v>
      </c>
      <c r="AC125" s="24">
        <f t="shared" si="89"/>
        <v>45292</v>
      </c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8" t="s">
        <v>9</v>
      </c>
      <c r="AP125" s="29" t="s">
        <v>10</v>
      </c>
    </row>
    <row r="126" spans="2:46" ht="15.75" hidden="1" outlineLevel="1" x14ac:dyDescent="0.25">
      <c r="B126" t="str">
        <f>$D$2</f>
        <v>PC Annual Direct</v>
      </c>
      <c r="C126" t="s">
        <v>73</v>
      </c>
      <c r="D126" s="5" t="s">
        <v>3</v>
      </c>
      <c r="E126" s="6">
        <v>0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>
        <v>1979</v>
      </c>
      <c r="S126" s="6">
        <v>2172</v>
      </c>
      <c r="T126" s="6">
        <v>1903</v>
      </c>
      <c r="U126" s="6">
        <v>2576</v>
      </c>
      <c r="V126" s="6">
        <v>1609</v>
      </c>
      <c r="W126" s="6">
        <v>1529</v>
      </c>
      <c r="X126" s="6">
        <v>1780</v>
      </c>
      <c r="Y126" s="6">
        <v>1810</v>
      </c>
      <c r="Z126" s="6">
        <v>2753</v>
      </c>
      <c r="AA126" s="6">
        <v>3493</v>
      </c>
      <c r="AB126" s="6">
        <v>3058</v>
      </c>
      <c r="AC126" s="7">
        <v>2541</v>
      </c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8">
        <f t="shared" ref="AO126:AO131" si="90">AVERAGE(Z126:AC126)</f>
        <v>2961.25</v>
      </c>
      <c r="AP126" s="6">
        <f>AVERAGE(R126:AC126)</f>
        <v>2266.9166666666665</v>
      </c>
    </row>
    <row r="127" spans="2:46" ht="15.75" hidden="1" outlineLevel="1" x14ac:dyDescent="0.25">
      <c r="B127" t="str">
        <f>$D$123&amp;"_W VYRs"</f>
        <v>PC Annual Direct - Subscription_W VYRs</v>
      </c>
      <c r="C127" t="str">
        <f>$C126</f>
        <v>Boom Subscription</v>
      </c>
      <c r="D127" s="175" t="s">
        <v>4</v>
      </c>
      <c r="E127" s="176" t="e">
        <f>INDEX('Plan Figures'!$B$53:$AP$79,MATCH('Headline - MGA and MPM'!E$4,'Plan Figures'!$B$53:$B$79,0),MATCH('Headline - MGA and MPM'!$B127,'Plan Figures'!$B$1:$AP$1,0))</f>
        <v>#N/A</v>
      </c>
      <c r="F127" s="176"/>
      <c r="G127" s="176"/>
      <c r="H127" s="176"/>
      <c r="I127" s="176"/>
      <c r="J127" s="176"/>
      <c r="K127" s="176"/>
      <c r="L127" s="176"/>
      <c r="M127" s="176"/>
      <c r="N127" s="176"/>
      <c r="O127" s="176"/>
      <c r="P127" s="176"/>
      <c r="Q127" s="176"/>
      <c r="R127" s="176" t="str">
        <f>INDEX('Plan Figures'!$B$53:$AP$79,MATCH('Headline - MGA and MPM'!R$4,'Plan Figures'!$B$53:$B$79,0),MATCH('Headline - MGA and MPM'!$B127,'Plan Figures'!$B$1:$AP$1,0))</f>
        <v>-</v>
      </c>
      <c r="S127" s="176" t="str">
        <f>INDEX('Plan Figures'!$B$53:$AP$79,MATCH('Headline - MGA and MPM'!S$4,'Plan Figures'!$B$53:$B$79,0),MATCH('Headline - MGA and MPM'!$B127,'Plan Figures'!$B$1:$AP$1,0))</f>
        <v>-</v>
      </c>
      <c r="T127" s="176" t="str">
        <f>INDEX('Plan Figures'!$B$53:$AP$79,MATCH('Headline - MGA and MPM'!T$4,'Plan Figures'!$B$53:$B$79,0),MATCH('Headline - MGA and MPM'!$B127,'Plan Figures'!$B$1:$AP$1,0))</f>
        <v>-</v>
      </c>
      <c r="U127" s="176" t="str">
        <f>INDEX('Plan Figures'!$B$53:$AP$79,MATCH('Headline - MGA and MPM'!U$4,'Plan Figures'!$B$53:$B$79,0),MATCH('Headline - MGA and MPM'!$B127,'Plan Figures'!$B$1:$AP$1,0))</f>
        <v>-</v>
      </c>
      <c r="V127" s="176" t="str">
        <f>INDEX('Plan Figures'!$B$53:$AP$79,MATCH('Headline - MGA and MPM'!V$4,'Plan Figures'!$B$53:$B$79,0),MATCH('Headline - MGA and MPM'!$B127,'Plan Figures'!$B$1:$AP$1,0))</f>
        <v>-</v>
      </c>
      <c r="W127" s="176" t="str">
        <f>INDEX('Plan Figures'!$B$53:$AP$79,MATCH('Headline - MGA and MPM'!W$4,'Plan Figures'!$B$53:$B$79,0),MATCH('Headline - MGA and MPM'!$B127,'Plan Figures'!$B$1:$AP$1,0))</f>
        <v>-</v>
      </c>
      <c r="X127" s="176" t="str">
        <f>INDEX('Plan Figures'!$B$53:$AP$79,MATCH('Headline - MGA and MPM'!X$4,'Plan Figures'!$B$53:$B$79,0),MATCH('Headline - MGA and MPM'!$B127,'Plan Figures'!$B$1:$AP$1,0))</f>
        <v>-</v>
      </c>
      <c r="Y127" s="176" t="str">
        <f>INDEX('Plan Figures'!$B$53:$AP$79,MATCH('Headline - MGA and MPM'!Y$4,'Plan Figures'!$B$53:$B$79,0),MATCH('Headline - MGA and MPM'!$B127,'Plan Figures'!$B$1:$AP$1,0))</f>
        <v>-</v>
      </c>
      <c r="Z127" s="176" t="str">
        <f>INDEX('Plan Figures'!$B$53:$AP$79,MATCH('Headline - MGA and MPM'!Z$4,'Plan Figures'!$B$53:$B$79,0),MATCH('Headline - MGA and MPM'!$B127,'Plan Figures'!$B$1:$AP$1,0))</f>
        <v>-</v>
      </c>
      <c r="AA127" s="176">
        <f>INDEX('Plan Figures'!$B$53:$AP$79,MATCH('Headline - MGA and MPM'!AA$4,'Plan Figures'!$B$53:$B$79,0),MATCH('Headline - MGA and MPM'!$B127,'Plan Figures'!$B$1:$AP$1,0))</f>
        <v>618.97643065842908</v>
      </c>
      <c r="AB127" s="176">
        <f>INDEX('Plan Figures'!$B$53:$AP$79,MATCH('Headline - MGA and MPM'!AB$4,'Plan Figures'!$B$53:$B$79,0),MATCH('Headline - MGA and MPM'!$B127,'Plan Figures'!$B$1:$AP$1,0))</f>
        <v>767.50161807052041</v>
      </c>
      <c r="AC127" s="177">
        <f>INDEX('Plan Figures'!$B$53:$AP$79,MATCH('Headline - MGA and MPM'!AC$4,'Plan Figures'!$B$53:$B$79,0),MATCH('Headline - MGA and MPM'!$B127,'Plan Figures'!$B$1:$AP$1,0))</f>
        <v>837.39461191721966</v>
      </c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  <c r="AN127" s="176"/>
      <c r="AO127" s="178">
        <f t="shared" si="90"/>
        <v>741.29088688205638</v>
      </c>
      <c r="AP127" s="176">
        <f t="shared" ref="AP127:AP131" si="91">AVERAGE(R127:AC127)</f>
        <v>741.29088688205638</v>
      </c>
    </row>
    <row r="128" spans="2:46" ht="15.75" hidden="1" outlineLevel="1" x14ac:dyDescent="0.25">
      <c r="B128" t="str">
        <f t="shared" ref="B128:B138" si="92">$D$2</f>
        <v>PC Annual Direct</v>
      </c>
      <c r="C128" t="str">
        <f t="shared" ref="C128:C137" si="93">$C127</f>
        <v>Boom Subscription</v>
      </c>
      <c r="D128" s="179" t="s">
        <v>0</v>
      </c>
      <c r="E128" s="180" t="e">
        <f t="shared" ref="E128:AC128" si="94">E126-E127</f>
        <v>#N/A</v>
      </c>
      <c r="F128" s="180"/>
      <c r="G128" s="180"/>
      <c r="H128" s="180"/>
      <c r="I128" s="180"/>
      <c r="J128" s="180"/>
      <c r="K128" s="180"/>
      <c r="L128" s="180"/>
      <c r="M128" s="180"/>
      <c r="N128" s="180"/>
      <c r="O128" s="180"/>
      <c r="P128" s="180"/>
      <c r="Q128" s="180"/>
      <c r="R128" s="180" t="e">
        <f t="shared" si="94"/>
        <v>#VALUE!</v>
      </c>
      <c r="S128" s="180" t="e">
        <f t="shared" si="94"/>
        <v>#VALUE!</v>
      </c>
      <c r="T128" s="180" t="e">
        <f t="shared" si="94"/>
        <v>#VALUE!</v>
      </c>
      <c r="U128" s="180" t="e">
        <f t="shared" si="94"/>
        <v>#VALUE!</v>
      </c>
      <c r="V128" s="180" t="e">
        <f t="shared" si="94"/>
        <v>#VALUE!</v>
      </c>
      <c r="W128" s="180" t="e">
        <f t="shared" si="94"/>
        <v>#VALUE!</v>
      </c>
      <c r="X128" s="180" t="e">
        <f t="shared" si="94"/>
        <v>#VALUE!</v>
      </c>
      <c r="Y128" s="180" t="e">
        <f t="shared" si="94"/>
        <v>#VALUE!</v>
      </c>
      <c r="Z128" s="180" t="e">
        <f t="shared" si="94"/>
        <v>#VALUE!</v>
      </c>
      <c r="AA128" s="180">
        <f t="shared" si="94"/>
        <v>2874.0235693415707</v>
      </c>
      <c r="AB128" s="180">
        <f t="shared" si="94"/>
        <v>2290.4983819294794</v>
      </c>
      <c r="AC128" s="181">
        <f t="shared" si="94"/>
        <v>1703.6053880827803</v>
      </c>
      <c r="AD128" s="180"/>
      <c r="AE128" s="180"/>
      <c r="AF128" s="180"/>
      <c r="AG128" s="180"/>
      <c r="AH128" s="180"/>
      <c r="AI128" s="180"/>
      <c r="AJ128" s="180"/>
      <c r="AK128" s="180"/>
      <c r="AL128" s="180"/>
      <c r="AM128" s="180"/>
      <c r="AN128" s="180"/>
      <c r="AO128" s="182" t="e">
        <f t="shared" si="90"/>
        <v>#VALUE!</v>
      </c>
      <c r="AP128" s="180" t="e">
        <f t="shared" si="91"/>
        <v>#VALUE!</v>
      </c>
    </row>
    <row r="129" spans="2:44" ht="15.75" hidden="1" outlineLevel="1" x14ac:dyDescent="0.25">
      <c r="B129" t="str">
        <f t="shared" si="92"/>
        <v>PC Annual Direct</v>
      </c>
      <c r="C129" t="str">
        <f t="shared" si="93"/>
        <v>Boom Subscription</v>
      </c>
      <c r="D129" s="9" t="s">
        <v>5</v>
      </c>
      <c r="E129" s="15">
        <v>0</v>
      </c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>
        <v>1807851.167142832</v>
      </c>
      <c r="S129" s="15">
        <v>1956709.0585733943</v>
      </c>
      <c r="T129" s="15">
        <v>1766110.4142851634</v>
      </c>
      <c r="U129" s="15">
        <v>2427653.4099982437</v>
      </c>
      <c r="V129" s="15">
        <v>2100627.4800002184</v>
      </c>
      <c r="W129" s="15">
        <v>2589458.6999995802</v>
      </c>
      <c r="X129" s="15">
        <v>2854855.7657149439</v>
      </c>
      <c r="Y129" s="15">
        <v>2839445.6614288678</v>
      </c>
      <c r="Z129" s="15">
        <v>4043432.3785713278</v>
      </c>
      <c r="AA129" s="15">
        <v>4688664.6000013426</v>
      </c>
      <c r="AB129" s="15">
        <v>4268767.0928595597</v>
      </c>
      <c r="AC129" s="16">
        <v>3424380.681428832</v>
      </c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8">
        <f t="shared" si="90"/>
        <v>4106311.1882152651</v>
      </c>
      <c r="AP129" s="6">
        <f t="shared" si="91"/>
        <v>2897329.7008336917</v>
      </c>
    </row>
    <row r="130" spans="2:44" ht="15.75" hidden="1" outlineLevel="1" x14ac:dyDescent="0.25">
      <c r="B130" t="str">
        <f>$D$123&amp;"_NWP"</f>
        <v>PC Annual Direct - Subscription_NWP</v>
      </c>
      <c r="C130" t="str">
        <f t="shared" si="93"/>
        <v>Boom Subscription</v>
      </c>
      <c r="D130" s="175" t="s">
        <v>6</v>
      </c>
      <c r="E130" s="176" t="e">
        <f>INDEX('Plan Figures'!$B$53:$AP$79,MATCH('Headline - MGA and MPM'!E$4,'Plan Figures'!$B$53:$B$79,0),MATCH('Headline - MGA and MPM'!$B130,'Plan Figures'!$B$1:$AP$1,0))</f>
        <v>#N/A</v>
      </c>
      <c r="F130" s="176"/>
      <c r="G130" s="176"/>
      <c r="H130" s="176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 t="str">
        <f>INDEX('Plan Figures'!$B$53:$AP$79,MATCH('Headline - MGA and MPM'!R$4,'Plan Figures'!$B$53:$B$79,0),MATCH('Headline - MGA and MPM'!$B130,'Plan Figures'!$B$1:$AP$1,0))</f>
        <v>-</v>
      </c>
      <c r="S130" s="176" t="str">
        <f>INDEX('Plan Figures'!$B$53:$AP$79,MATCH('Headline - MGA and MPM'!S$4,'Plan Figures'!$B$53:$B$79,0),MATCH('Headline - MGA and MPM'!$B130,'Plan Figures'!$B$1:$AP$1,0))</f>
        <v>-</v>
      </c>
      <c r="T130" s="176" t="str">
        <f>INDEX('Plan Figures'!$B$53:$AP$79,MATCH('Headline - MGA and MPM'!T$4,'Plan Figures'!$B$53:$B$79,0),MATCH('Headline - MGA and MPM'!$B130,'Plan Figures'!$B$1:$AP$1,0))</f>
        <v>-</v>
      </c>
      <c r="U130" s="176" t="str">
        <f>INDEX('Plan Figures'!$B$53:$AP$79,MATCH('Headline - MGA and MPM'!U$4,'Plan Figures'!$B$53:$B$79,0),MATCH('Headline - MGA and MPM'!$B130,'Plan Figures'!$B$1:$AP$1,0))</f>
        <v>-</v>
      </c>
      <c r="V130" s="176" t="str">
        <f>INDEX('Plan Figures'!$B$53:$AP$79,MATCH('Headline - MGA and MPM'!V$4,'Plan Figures'!$B$53:$B$79,0),MATCH('Headline - MGA and MPM'!$B130,'Plan Figures'!$B$1:$AP$1,0))</f>
        <v>-</v>
      </c>
      <c r="W130" s="176" t="str">
        <f>INDEX('Plan Figures'!$B$53:$AP$79,MATCH('Headline - MGA and MPM'!W$4,'Plan Figures'!$B$53:$B$79,0),MATCH('Headline - MGA and MPM'!$B130,'Plan Figures'!$B$1:$AP$1,0))</f>
        <v>-</v>
      </c>
      <c r="X130" s="176" t="str">
        <f>INDEX('Plan Figures'!$B$53:$AP$79,MATCH('Headline - MGA and MPM'!X$4,'Plan Figures'!$B$53:$B$79,0),MATCH('Headline - MGA and MPM'!$B130,'Plan Figures'!$B$1:$AP$1,0))</f>
        <v>-</v>
      </c>
      <c r="Y130" s="176" t="str">
        <f>INDEX('Plan Figures'!$B$53:$AP$79,MATCH('Headline - MGA and MPM'!Y$4,'Plan Figures'!$B$53:$B$79,0),MATCH('Headline - MGA and MPM'!$B130,'Plan Figures'!$B$1:$AP$1,0))</f>
        <v>-</v>
      </c>
      <c r="Z130" s="176" t="str">
        <f>INDEX('Plan Figures'!$B$53:$AP$79,MATCH('Headline - MGA and MPM'!Z$4,'Plan Figures'!$B$53:$B$79,0),MATCH('Headline - MGA and MPM'!$B130,'Plan Figures'!$B$1:$AP$1,0))</f>
        <v>-</v>
      </c>
      <c r="AA130" s="176">
        <f>INDEX('Plan Figures'!$B$53:$AP$79,MATCH('Headline - MGA and MPM'!AA$4,'Plan Figures'!$B$53:$B$79,0),MATCH('Headline - MGA and MPM'!$B130,'Plan Figures'!$B$1:$AP$1,0))</f>
        <v>1923219.2118037604</v>
      </c>
      <c r="AB130" s="176">
        <f>INDEX('Plan Figures'!$B$53:$AP$79,MATCH('Headline - MGA and MPM'!AB$4,'Plan Figures'!$B$53:$B$79,0),MATCH('Headline - MGA and MPM'!$B130,'Plan Figures'!$B$1:$AP$1,0))</f>
        <v>2034580.4688848169</v>
      </c>
      <c r="AC130" s="177">
        <f>INDEX('Plan Figures'!$B$53:$AP$79,MATCH('Headline - MGA and MPM'!AC$4,'Plan Figures'!$B$53:$B$79,0),MATCH('Headline - MGA and MPM'!$B130,'Plan Figures'!$B$1:$AP$1,0))</f>
        <v>2151540.8137620548</v>
      </c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  <c r="AN130" s="176"/>
      <c r="AO130" s="178">
        <f t="shared" si="90"/>
        <v>2036446.8314835441</v>
      </c>
      <c r="AP130" s="176">
        <f t="shared" si="91"/>
        <v>2036446.8314835441</v>
      </c>
    </row>
    <row r="131" spans="2:44" ht="15.75" hidden="1" outlineLevel="1" x14ac:dyDescent="0.25">
      <c r="B131" t="str">
        <f t="shared" si="92"/>
        <v>PC Annual Direct</v>
      </c>
      <c r="C131" t="str">
        <f t="shared" si="93"/>
        <v>Boom Subscription</v>
      </c>
      <c r="D131" s="179" t="s">
        <v>0</v>
      </c>
      <c r="E131" s="180" t="e">
        <f t="shared" ref="E131:AC131" si="95">E129-E130</f>
        <v>#N/A</v>
      </c>
      <c r="F131" s="180"/>
      <c r="G131" s="180"/>
      <c r="H131" s="180"/>
      <c r="I131" s="180"/>
      <c r="J131" s="180"/>
      <c r="K131" s="180"/>
      <c r="L131" s="180"/>
      <c r="M131" s="180"/>
      <c r="N131" s="180"/>
      <c r="O131" s="180"/>
      <c r="P131" s="180"/>
      <c r="Q131" s="180"/>
      <c r="R131" s="180" t="e">
        <f t="shared" si="95"/>
        <v>#VALUE!</v>
      </c>
      <c r="S131" s="180" t="e">
        <f t="shared" si="95"/>
        <v>#VALUE!</v>
      </c>
      <c r="T131" s="180" t="e">
        <f t="shared" si="95"/>
        <v>#VALUE!</v>
      </c>
      <c r="U131" s="180" t="e">
        <f t="shared" si="95"/>
        <v>#VALUE!</v>
      </c>
      <c r="V131" s="180" t="e">
        <f t="shared" si="95"/>
        <v>#VALUE!</v>
      </c>
      <c r="W131" s="180" t="e">
        <f t="shared" si="95"/>
        <v>#VALUE!</v>
      </c>
      <c r="X131" s="180" t="e">
        <f t="shared" si="95"/>
        <v>#VALUE!</v>
      </c>
      <c r="Y131" s="180" t="e">
        <f t="shared" si="95"/>
        <v>#VALUE!</v>
      </c>
      <c r="Z131" s="180" t="e">
        <f t="shared" si="95"/>
        <v>#VALUE!</v>
      </c>
      <c r="AA131" s="180">
        <f t="shared" si="95"/>
        <v>2765445.3881975822</v>
      </c>
      <c r="AB131" s="180">
        <f t="shared" si="95"/>
        <v>2234186.6239747428</v>
      </c>
      <c r="AC131" s="181">
        <f t="shared" si="95"/>
        <v>1272839.8676667772</v>
      </c>
      <c r="AD131" s="180"/>
      <c r="AE131" s="180"/>
      <c r="AF131" s="180"/>
      <c r="AG131" s="180"/>
      <c r="AH131" s="180"/>
      <c r="AI131" s="180"/>
      <c r="AJ131" s="180"/>
      <c r="AK131" s="180"/>
      <c r="AL131" s="180"/>
      <c r="AM131" s="180"/>
      <c r="AN131" s="180"/>
      <c r="AO131" s="182" t="e">
        <f t="shared" si="90"/>
        <v>#VALUE!</v>
      </c>
      <c r="AP131" s="180" t="e">
        <f t="shared" si="91"/>
        <v>#VALUE!</v>
      </c>
    </row>
    <row r="132" spans="2:44" ht="15.75" hidden="1" outlineLevel="1" x14ac:dyDescent="0.25">
      <c r="B132" t="str">
        <f t="shared" si="92"/>
        <v>PC Annual Direct</v>
      </c>
      <c r="C132" t="str">
        <f t="shared" si="93"/>
        <v>Boom Subscription</v>
      </c>
      <c r="D132" s="9" t="s">
        <v>12</v>
      </c>
      <c r="E132" s="15">
        <f>IFERROR(E129/E126,0)</f>
        <v>0</v>
      </c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>
        <f t="shared" ref="R132:AP133" si="96">IFERROR(R129/R126,0)</f>
        <v>913.51751750522078</v>
      </c>
      <c r="S132" s="15">
        <f t="shared" si="96"/>
        <v>900.87894041132336</v>
      </c>
      <c r="T132" s="15">
        <f t="shared" si="96"/>
        <v>928.06642894648633</v>
      </c>
      <c r="U132" s="15">
        <f t="shared" si="96"/>
        <v>942.41203804279644</v>
      </c>
      <c r="V132" s="15">
        <f t="shared" si="96"/>
        <v>1305.5484648851575</v>
      </c>
      <c r="W132" s="15">
        <f t="shared" si="96"/>
        <v>1693.5635709611381</v>
      </c>
      <c r="X132" s="15">
        <f t="shared" si="96"/>
        <v>1603.8515537724404</v>
      </c>
      <c r="Y132" s="15">
        <f t="shared" si="96"/>
        <v>1568.7545090767226</v>
      </c>
      <c r="Z132" s="15">
        <f t="shared" si="96"/>
        <v>1468.7367884385499</v>
      </c>
      <c r="AA132" s="15">
        <f t="shared" si="96"/>
        <v>1342.3030632697803</v>
      </c>
      <c r="AB132" s="15">
        <f t="shared" si="96"/>
        <v>1395.9343011313144</v>
      </c>
      <c r="AC132" s="16">
        <f t="shared" si="96"/>
        <v>1347.6507994603826</v>
      </c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8">
        <f t="shared" si="96"/>
        <v>1386.6817013812631</v>
      </c>
      <c r="AP132" s="6">
        <f t="shared" si="96"/>
        <v>1278.0927254348528</v>
      </c>
    </row>
    <row r="133" spans="2:44" ht="15.75" hidden="1" outlineLevel="1" x14ac:dyDescent="0.25">
      <c r="B133" t="str">
        <f t="shared" si="92"/>
        <v>PC Annual Direct</v>
      </c>
      <c r="C133" t="str">
        <f t="shared" si="93"/>
        <v>Boom Subscription</v>
      </c>
      <c r="D133" s="175" t="s">
        <v>13</v>
      </c>
      <c r="E133" s="176">
        <f>IFERROR(E130/E127,0)</f>
        <v>0</v>
      </c>
      <c r="F133" s="176"/>
      <c r="G133" s="176"/>
      <c r="H133" s="176"/>
      <c r="I133" s="176"/>
      <c r="J133" s="176"/>
      <c r="K133" s="176"/>
      <c r="L133" s="176"/>
      <c r="M133" s="176"/>
      <c r="N133" s="176"/>
      <c r="O133" s="176"/>
      <c r="P133" s="176"/>
      <c r="Q133" s="176"/>
      <c r="R133" s="176">
        <f t="shared" si="96"/>
        <v>0</v>
      </c>
      <c r="S133" s="176">
        <f t="shared" si="96"/>
        <v>0</v>
      </c>
      <c r="T133" s="176">
        <f t="shared" si="96"/>
        <v>0</v>
      </c>
      <c r="U133" s="176">
        <f t="shared" si="96"/>
        <v>0</v>
      </c>
      <c r="V133" s="176">
        <f t="shared" si="96"/>
        <v>0</v>
      </c>
      <c r="W133" s="176">
        <f t="shared" si="96"/>
        <v>0</v>
      </c>
      <c r="X133" s="176">
        <f t="shared" si="96"/>
        <v>0</v>
      </c>
      <c r="Y133" s="176">
        <f t="shared" si="96"/>
        <v>0</v>
      </c>
      <c r="Z133" s="176">
        <f t="shared" si="96"/>
        <v>0</v>
      </c>
      <c r="AA133" s="176">
        <f t="shared" si="96"/>
        <v>3107.096032328659</v>
      </c>
      <c r="AB133" s="176">
        <f t="shared" si="96"/>
        <v>2650.9135889507315</v>
      </c>
      <c r="AC133" s="177">
        <f t="shared" si="96"/>
        <v>2569.3272719251081</v>
      </c>
      <c r="AD133" s="176"/>
      <c r="AE133" s="176"/>
      <c r="AF133" s="176"/>
      <c r="AG133" s="176"/>
      <c r="AH133" s="176"/>
      <c r="AI133" s="176"/>
      <c r="AJ133" s="176"/>
      <c r="AK133" s="176"/>
      <c r="AL133" s="176"/>
      <c r="AM133" s="176"/>
      <c r="AN133" s="176"/>
      <c r="AO133" s="178">
        <f t="shared" si="96"/>
        <v>2747.1629120506836</v>
      </c>
      <c r="AP133" s="176">
        <f t="shared" si="96"/>
        <v>2747.1629120506836</v>
      </c>
      <c r="AR133" s="3"/>
    </row>
    <row r="134" spans="2:44" ht="15.75" hidden="1" outlineLevel="1" x14ac:dyDescent="0.25">
      <c r="B134" t="str">
        <f t="shared" si="92"/>
        <v>PC Annual Direct</v>
      </c>
      <c r="C134" t="str">
        <f t="shared" si="93"/>
        <v>Boom Subscription</v>
      </c>
      <c r="D134" s="179" t="s">
        <v>0</v>
      </c>
      <c r="E134" s="180">
        <f t="shared" ref="E134:AP134" si="97">E132-E133</f>
        <v>0</v>
      </c>
      <c r="F134" s="180"/>
      <c r="G134" s="180"/>
      <c r="H134" s="180"/>
      <c r="I134" s="180"/>
      <c r="J134" s="180"/>
      <c r="K134" s="180"/>
      <c r="L134" s="180"/>
      <c r="M134" s="180"/>
      <c r="N134" s="180"/>
      <c r="O134" s="180"/>
      <c r="P134" s="180"/>
      <c r="Q134" s="180"/>
      <c r="R134" s="180">
        <f t="shared" si="97"/>
        <v>913.51751750522078</v>
      </c>
      <c r="S134" s="180">
        <f t="shared" si="97"/>
        <v>900.87894041132336</v>
      </c>
      <c r="T134" s="180">
        <f t="shared" si="97"/>
        <v>928.06642894648633</v>
      </c>
      <c r="U134" s="180">
        <f t="shared" si="97"/>
        <v>942.41203804279644</v>
      </c>
      <c r="V134" s="180">
        <f t="shared" si="97"/>
        <v>1305.5484648851575</v>
      </c>
      <c r="W134" s="180">
        <f t="shared" si="97"/>
        <v>1693.5635709611381</v>
      </c>
      <c r="X134" s="180">
        <f t="shared" si="97"/>
        <v>1603.8515537724404</v>
      </c>
      <c r="Y134" s="180">
        <f t="shared" si="97"/>
        <v>1568.7545090767226</v>
      </c>
      <c r="Z134" s="180">
        <f t="shared" si="97"/>
        <v>1468.7367884385499</v>
      </c>
      <c r="AA134" s="180">
        <f t="shared" si="97"/>
        <v>-1764.7929690588787</v>
      </c>
      <c r="AB134" s="180">
        <f t="shared" si="97"/>
        <v>-1254.9792878194171</v>
      </c>
      <c r="AC134" s="181">
        <f t="shared" si="97"/>
        <v>-1221.6764724647255</v>
      </c>
      <c r="AD134" s="180"/>
      <c r="AE134" s="180"/>
      <c r="AF134" s="180"/>
      <c r="AG134" s="180"/>
      <c r="AH134" s="180"/>
      <c r="AI134" s="180"/>
      <c r="AJ134" s="180"/>
      <c r="AK134" s="180"/>
      <c r="AL134" s="180"/>
      <c r="AM134" s="180"/>
      <c r="AN134" s="180"/>
      <c r="AO134" s="182">
        <f t="shared" si="97"/>
        <v>-1360.4812106694205</v>
      </c>
      <c r="AP134" s="180">
        <f t="shared" si="97"/>
        <v>-1469.0701866158308</v>
      </c>
    </row>
    <row r="135" spans="2:44" hidden="1" outlineLevel="1" x14ac:dyDescent="0.25">
      <c r="B135" t="str">
        <f t="shared" si="92"/>
        <v>PC Annual Direct</v>
      </c>
      <c r="C135" t="str">
        <f t="shared" si="93"/>
        <v>Boom Subscription</v>
      </c>
      <c r="D135" s="35" t="s">
        <v>17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7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8"/>
      <c r="AP135" s="39"/>
    </row>
    <row r="136" spans="2:44" ht="15.75" hidden="1" outlineLevel="1" x14ac:dyDescent="0.25">
      <c r="B136" t="str">
        <f t="shared" si="92"/>
        <v>PC Annual Direct</v>
      </c>
      <c r="C136" t="str">
        <f t="shared" si="93"/>
        <v>Boom Subscription</v>
      </c>
      <c r="D136" s="5" t="s">
        <v>7</v>
      </c>
      <c r="E136" s="6">
        <v>0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>
        <v>2373419.3035719907</v>
      </c>
      <c r="S136" s="6">
        <v>2326673.0892876661</v>
      </c>
      <c r="T136" s="6">
        <v>2167440.1071419944</v>
      </c>
      <c r="U136" s="6">
        <v>2820156.6071423627</v>
      </c>
      <c r="V136" s="6">
        <v>2505996.0000014286</v>
      </c>
      <c r="W136" s="6">
        <v>2989889.2500009234</v>
      </c>
      <c r="X136" s="6">
        <v>3302819.1428579697</v>
      </c>
      <c r="Y136" s="6">
        <v>3393450.9107143763</v>
      </c>
      <c r="Z136" s="6">
        <v>4672502.0892850878</v>
      </c>
      <c r="AA136" s="6">
        <v>5599310.999999621</v>
      </c>
      <c r="AB136" s="6">
        <v>4928350.4464296792</v>
      </c>
      <c r="AC136" s="6">
        <v>3956941.6607142426</v>
      </c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8">
        <f t="shared" ref="AO136" si="98">AVERAGE(Z136:AC136)</f>
        <v>4789276.2991071576</v>
      </c>
      <c r="AP136" s="6">
        <f>AVERAGE(R136:AC136)</f>
        <v>3419745.8005956113</v>
      </c>
    </row>
    <row r="137" spans="2:44" ht="15.75" hidden="1" outlineLevel="1" x14ac:dyDescent="0.25">
      <c r="B137" t="str">
        <f t="shared" si="92"/>
        <v>PC Annual Direct</v>
      </c>
      <c r="C137" t="str">
        <f t="shared" si="93"/>
        <v>Boom Subscription</v>
      </c>
      <c r="D137" s="18" t="s">
        <v>14</v>
      </c>
      <c r="E137" s="69">
        <v>0</v>
      </c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>
        <v>5.7323634216437117E-2</v>
      </c>
      <c r="S137" s="69">
        <v>0.12119032592005513</v>
      </c>
      <c r="T137" s="69">
        <v>0.10922375627350195</v>
      </c>
      <c r="U137" s="69">
        <v>9.6554311668502979E-2</v>
      </c>
      <c r="V137" s="69">
        <v>0.12658748058655966</v>
      </c>
      <c r="W137" s="69">
        <v>0.11921570673563135</v>
      </c>
      <c r="X137" s="69">
        <v>0.11014090516782771</v>
      </c>
      <c r="Y137" s="69">
        <v>0.10730093924456983</v>
      </c>
      <c r="Z137" s="69">
        <v>8.7904776103113563E-2</v>
      </c>
      <c r="AA137" s="69">
        <v>7.9347680455682315E-2</v>
      </c>
      <c r="AB137" s="69">
        <v>9.235587950726161E-2</v>
      </c>
      <c r="AC137" s="70">
        <v>0.17661210346829498</v>
      </c>
      <c r="AD137" s="123"/>
      <c r="AE137" s="123"/>
      <c r="AF137" s="123"/>
      <c r="AG137" s="123"/>
      <c r="AH137" s="123"/>
      <c r="AI137" s="123"/>
      <c r="AJ137" s="123"/>
      <c r="AK137" s="123"/>
      <c r="AL137" s="123"/>
      <c r="AM137" s="123"/>
      <c r="AN137" s="123"/>
      <c r="AO137" s="71">
        <f>AVERAGE(Z137:AC137)</f>
        <v>0.10905510988358812</v>
      </c>
      <c r="AP137" s="72">
        <f>AVERAGE(R137:AC137)</f>
        <v>0.10697979161228653</v>
      </c>
    </row>
    <row r="138" spans="2:44" ht="15.75" hidden="1" outlineLevel="1" x14ac:dyDescent="0.25">
      <c r="B138" t="str">
        <f t="shared" si="92"/>
        <v>PC Annual Direct</v>
      </c>
      <c r="C138" t="e">
        <f>#REF!</f>
        <v>#REF!</v>
      </c>
      <c r="D138" s="45" t="s">
        <v>21</v>
      </c>
      <c r="E138" s="41">
        <f>E129/E$8</f>
        <v>0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>
        <f t="shared" ref="R138:AP138" si="99">R129/R$8</f>
        <v>0.85911897663653813</v>
      </c>
      <c r="S138" s="41">
        <f t="shared" si="99"/>
        <v>0.79653986693582712</v>
      </c>
      <c r="T138" s="41">
        <f t="shared" si="99"/>
        <v>0.83319712054564354</v>
      </c>
      <c r="U138" s="41">
        <f t="shared" si="99"/>
        <v>0.96986505042318083</v>
      </c>
      <c r="V138" s="41">
        <f t="shared" si="99"/>
        <v>0.9029510639451509</v>
      </c>
      <c r="W138" s="41">
        <f t="shared" si="99"/>
        <v>1.0011237364437917</v>
      </c>
      <c r="X138" s="41">
        <f t="shared" si="99"/>
        <v>0.987975193452447</v>
      </c>
      <c r="Y138" s="41">
        <f t="shared" si="99"/>
        <v>1.0190460179680176</v>
      </c>
      <c r="Z138" s="41">
        <f t="shared" si="99"/>
        <v>1.2342054808712679</v>
      </c>
      <c r="AA138" s="41">
        <f t="shared" si="99"/>
        <v>1.2148544268207706</v>
      </c>
      <c r="AB138" s="41">
        <f t="shared" si="99"/>
        <v>1.0924539396212112</v>
      </c>
      <c r="AC138" s="41">
        <f t="shared" si="99"/>
        <v>0.74384762549267602</v>
      </c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4">
        <f t="shared" si="99"/>
        <v>1.0497580502482788</v>
      </c>
      <c r="AP138" s="41">
        <f t="shared" si="99"/>
        <v>0.98161295064682719</v>
      </c>
    </row>
    <row r="139" spans="2:44" ht="15.75" hidden="1" outlineLevel="1" x14ac:dyDescent="0.25">
      <c r="D139" s="9" t="s">
        <v>199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6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</row>
    <row r="140" spans="2:44" ht="15.75" hidden="1" collapsed="1" x14ac:dyDescent="0.25">
      <c r="D140" s="18" t="s">
        <v>200</v>
      </c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  <c r="AA140" s="123"/>
      <c r="AB140" s="123"/>
      <c r="AC140" s="70"/>
      <c r="AD140" s="123"/>
      <c r="AE140" s="123"/>
      <c r="AF140" s="123"/>
      <c r="AG140" s="123"/>
      <c r="AH140" s="123"/>
      <c r="AI140" s="123"/>
      <c r="AJ140" s="123"/>
      <c r="AK140" s="123"/>
      <c r="AL140" s="123"/>
      <c r="AM140" s="123"/>
      <c r="AN140" s="123"/>
      <c r="AO140" s="124"/>
      <c r="AP140" s="124"/>
    </row>
    <row r="141" spans="2:44" ht="15.75" hidden="1" x14ac:dyDescent="0.25">
      <c r="D141" s="9" t="s">
        <v>201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6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</row>
    <row r="142" spans="2:44" ht="15.75" hidden="1" x14ac:dyDescent="0.25">
      <c r="D142" s="18" t="s">
        <v>202</v>
      </c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3"/>
      <c r="AB142" s="123"/>
      <c r="AC142" s="70"/>
      <c r="AD142" s="123"/>
      <c r="AE142" s="123"/>
      <c r="AF142" s="123"/>
      <c r="AG142" s="123"/>
      <c r="AH142" s="123"/>
      <c r="AI142" s="123"/>
      <c r="AJ142" s="123"/>
      <c r="AK142" s="123"/>
      <c r="AL142" s="123"/>
      <c r="AM142" s="123"/>
      <c r="AN142" s="123"/>
      <c r="AO142" s="124"/>
      <c r="AP142" s="124"/>
    </row>
    <row r="143" spans="2:44" ht="15.75" hidden="1" x14ac:dyDescent="0.25">
      <c r="D143" s="11" t="s">
        <v>203</v>
      </c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3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</row>
    <row r="144" spans="2:44" hidden="1" x14ac:dyDescent="0.25"/>
    <row r="145" hidden="1" x14ac:dyDescent="0.25"/>
    <row r="146" hidden="1" x14ac:dyDescent="0.25"/>
  </sheetData>
  <mergeCells count="8">
    <mergeCell ref="E124:AC124"/>
    <mergeCell ref="AO124:AQ124"/>
    <mergeCell ref="AO3:AQ3"/>
    <mergeCell ref="AO29:AQ29"/>
    <mergeCell ref="AO52:AQ52"/>
    <mergeCell ref="AO75:AQ75"/>
    <mergeCell ref="AO98:AQ98"/>
    <mergeCell ref="T123:AC123"/>
  </mergeCells>
  <conditionalFormatting sqref="E16:AN16 E87:AN96 AO95:AP96">
    <cfRule type="cellIs" dxfId="371" priority="41" operator="lessThan">
      <formula>0</formula>
    </cfRule>
  </conditionalFormatting>
  <conditionalFormatting sqref="E18:AN25">
    <cfRule type="cellIs" dxfId="370" priority="40" operator="lessThan">
      <formula>0</formula>
    </cfRule>
  </conditionalFormatting>
  <conditionalFormatting sqref="E39:AN39">
    <cfRule type="cellIs" dxfId="369" priority="21" operator="lessThan">
      <formula>0</formula>
    </cfRule>
  </conditionalFormatting>
  <conditionalFormatting sqref="E41:AN50 E64:AN73">
    <cfRule type="cellIs" dxfId="368" priority="25" operator="lessThan">
      <formula>0</formula>
    </cfRule>
  </conditionalFormatting>
  <conditionalFormatting sqref="E62:AN62">
    <cfRule type="cellIs" dxfId="367" priority="9" operator="lessThan">
      <formula>0</formula>
    </cfRule>
  </conditionalFormatting>
  <conditionalFormatting sqref="E85:AN85">
    <cfRule type="cellIs" dxfId="366" priority="1" operator="lessThan">
      <formula>0</formula>
    </cfRule>
  </conditionalFormatting>
  <conditionalFormatting sqref="E111:AN111">
    <cfRule type="cellIs" dxfId="365" priority="17" operator="lessThan">
      <formula>0</formula>
    </cfRule>
  </conditionalFormatting>
  <conditionalFormatting sqref="E113:AN120">
    <cfRule type="cellIs" dxfId="364" priority="24" operator="lessThan">
      <formula>0</formula>
    </cfRule>
  </conditionalFormatting>
  <conditionalFormatting sqref="E128:AN129 E131:AN134">
    <cfRule type="cellIs" dxfId="363" priority="49" operator="lessThan">
      <formula>0</formula>
    </cfRule>
  </conditionalFormatting>
  <conditionalFormatting sqref="E136:AN137">
    <cfRule type="cellIs" dxfId="362" priority="46" operator="lessThan">
      <formula>0</formula>
    </cfRule>
  </conditionalFormatting>
  <conditionalFormatting sqref="E139:AN143">
    <cfRule type="cellIs" dxfId="361" priority="44" operator="lessThan">
      <formula>0</formula>
    </cfRule>
  </conditionalFormatting>
  <conditionalFormatting sqref="E7:AQ7 E10:AQ10 E13:AQ13">
    <cfRule type="cellIs" dxfId="360" priority="38" operator="lessThan">
      <formula>0</formula>
    </cfRule>
  </conditionalFormatting>
  <conditionalFormatting sqref="E33:AQ33">
    <cfRule type="cellIs" dxfId="359" priority="23" operator="lessThan">
      <formula>0</formula>
    </cfRule>
  </conditionalFormatting>
  <conditionalFormatting sqref="E36:AQ36">
    <cfRule type="cellIs" dxfId="358" priority="22" operator="lessThan">
      <formula>0</formula>
    </cfRule>
  </conditionalFormatting>
  <conditionalFormatting sqref="E56:AQ56">
    <cfRule type="cellIs" dxfId="357" priority="11" operator="lessThan">
      <formula>0</formula>
    </cfRule>
  </conditionalFormatting>
  <conditionalFormatting sqref="E59:AQ59">
    <cfRule type="cellIs" dxfId="356" priority="10" operator="lessThan">
      <formula>0</formula>
    </cfRule>
  </conditionalFormatting>
  <conditionalFormatting sqref="E79:AQ79">
    <cfRule type="cellIs" dxfId="355" priority="3" operator="lessThan">
      <formula>0</formula>
    </cfRule>
  </conditionalFormatting>
  <conditionalFormatting sqref="E82:AQ82">
    <cfRule type="cellIs" dxfId="354" priority="2" operator="lessThan">
      <formula>0</formula>
    </cfRule>
  </conditionalFormatting>
  <conditionalFormatting sqref="E102:AQ102">
    <cfRule type="cellIs" dxfId="353" priority="20" operator="lessThan">
      <formula>0</formula>
    </cfRule>
  </conditionalFormatting>
  <conditionalFormatting sqref="E105:AQ105">
    <cfRule type="cellIs" dxfId="352" priority="19" operator="lessThan">
      <formula>0</formula>
    </cfRule>
  </conditionalFormatting>
  <conditionalFormatting sqref="E108:AQ108">
    <cfRule type="cellIs" dxfId="351" priority="18" operator="lessThan">
      <formula>0</formula>
    </cfRule>
  </conditionalFormatting>
  <conditionalFormatting sqref="AO19">
    <cfRule type="cellIs" dxfId="350" priority="47" operator="lessThan">
      <formula>0</formula>
    </cfRule>
  </conditionalFormatting>
  <conditionalFormatting sqref="AO21 AO23">
    <cfRule type="cellIs" dxfId="349" priority="37" operator="lessThan">
      <formula>0</formula>
    </cfRule>
  </conditionalFormatting>
  <conditionalFormatting sqref="AO25">
    <cfRule type="cellIs" dxfId="348" priority="45" operator="lessThan">
      <formula>0</formula>
    </cfRule>
  </conditionalFormatting>
  <conditionalFormatting sqref="AO42">
    <cfRule type="cellIs" dxfId="347" priority="35" operator="lessThan">
      <formula>0</formula>
    </cfRule>
  </conditionalFormatting>
  <conditionalFormatting sqref="AO44 AO46">
    <cfRule type="cellIs" dxfId="346" priority="32" operator="lessThan">
      <formula>0</formula>
    </cfRule>
  </conditionalFormatting>
  <conditionalFormatting sqref="AO48">
    <cfRule type="cellIs" dxfId="345" priority="34" operator="lessThan">
      <formula>0</formula>
    </cfRule>
  </conditionalFormatting>
  <conditionalFormatting sqref="AO65">
    <cfRule type="cellIs" dxfId="344" priority="16" operator="lessThan">
      <formula>0</formula>
    </cfRule>
  </conditionalFormatting>
  <conditionalFormatting sqref="AO67 AO69">
    <cfRule type="cellIs" dxfId="343" priority="13" operator="lessThan">
      <formula>0</formula>
    </cfRule>
  </conditionalFormatting>
  <conditionalFormatting sqref="AO71">
    <cfRule type="cellIs" dxfId="342" priority="15" operator="lessThan">
      <formula>0</formula>
    </cfRule>
  </conditionalFormatting>
  <conditionalFormatting sqref="AO88">
    <cfRule type="cellIs" dxfId="341" priority="8" operator="lessThan">
      <formula>0</formula>
    </cfRule>
  </conditionalFormatting>
  <conditionalFormatting sqref="AO90 AO92">
    <cfRule type="cellIs" dxfId="340" priority="5" operator="lessThan">
      <formula>0</formula>
    </cfRule>
  </conditionalFormatting>
  <conditionalFormatting sqref="AO94">
    <cfRule type="cellIs" dxfId="339" priority="7" operator="lessThan">
      <formula>0</formula>
    </cfRule>
  </conditionalFormatting>
  <conditionalFormatting sqref="AO114">
    <cfRule type="cellIs" dxfId="338" priority="30" operator="lessThan">
      <formula>0</formula>
    </cfRule>
  </conditionalFormatting>
  <conditionalFormatting sqref="AO116 AO118">
    <cfRule type="cellIs" dxfId="337" priority="28" operator="lessThan">
      <formula>0</formula>
    </cfRule>
  </conditionalFormatting>
  <conditionalFormatting sqref="AO120">
    <cfRule type="cellIs" dxfId="336" priority="29" operator="lessThan">
      <formula>0</formula>
    </cfRule>
  </conditionalFormatting>
  <conditionalFormatting sqref="AO49:AP50 AO72:AP73">
    <cfRule type="cellIs" dxfId="335" priority="42" operator="lessThan">
      <formula>0</formula>
    </cfRule>
  </conditionalFormatting>
  <conditionalFormatting sqref="AO128:AP128 AO131:AP131 AO134:AP135">
    <cfRule type="cellIs" dxfId="334" priority="48" operator="lessThan">
      <formula>0</formula>
    </cfRule>
  </conditionalFormatting>
  <conditionalFormatting sqref="AO139:AP139 AO141:AP141 AO143:AP143">
    <cfRule type="cellIs" dxfId="333" priority="43" operator="lessThan">
      <formula>0</formula>
    </cfRule>
  </conditionalFormatting>
  <conditionalFormatting sqref="AO16:AQ17">
    <cfRule type="cellIs" dxfId="332" priority="39" operator="lessThan">
      <formula>0</formula>
    </cfRule>
  </conditionalFormatting>
  <conditionalFormatting sqref="AO39:AQ40">
    <cfRule type="cellIs" dxfId="331" priority="33" operator="lessThan">
      <formula>0</formula>
    </cfRule>
  </conditionalFormatting>
  <conditionalFormatting sqref="AO62:AQ63">
    <cfRule type="cellIs" dxfId="330" priority="14" operator="lessThan">
      <formula>0</formula>
    </cfRule>
  </conditionalFormatting>
  <conditionalFormatting sqref="AO85:AQ86">
    <cfRule type="cellIs" dxfId="329" priority="6" operator="lessThan">
      <formula>0</formula>
    </cfRule>
  </conditionalFormatting>
  <conditionalFormatting sqref="AO111:AQ112">
    <cfRule type="cellIs" dxfId="328" priority="26" operator="lessThan">
      <formula>0</formula>
    </cfRule>
  </conditionalFormatting>
  <conditionalFormatting sqref="AP18:AQ25">
    <cfRule type="cellIs" dxfId="327" priority="36" operator="lessThan">
      <formula>0</formula>
    </cfRule>
  </conditionalFormatting>
  <conditionalFormatting sqref="AP41:AQ48">
    <cfRule type="cellIs" dxfId="326" priority="31" operator="lessThan">
      <formula>0</formula>
    </cfRule>
  </conditionalFormatting>
  <conditionalFormatting sqref="AP64:AQ71">
    <cfRule type="cellIs" dxfId="325" priority="12" operator="lessThan">
      <formula>0</formula>
    </cfRule>
  </conditionalFormatting>
  <conditionalFormatting sqref="AP87:AQ94">
    <cfRule type="cellIs" dxfId="324" priority="4" operator="lessThan">
      <formula>0</formula>
    </cfRule>
  </conditionalFormatting>
  <conditionalFormatting sqref="AP113:AQ120">
    <cfRule type="cellIs" dxfId="323" priority="27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D94FE-18B2-4E58-B05F-4950BD884A59}">
  <sheetPr codeName="Sheet8">
    <pageSetUpPr autoPageBreaks="0"/>
  </sheetPr>
  <dimension ref="A1:CE107"/>
  <sheetViews>
    <sheetView showGridLines="0" topLeftCell="M1" zoomScale="55" zoomScaleNormal="55" workbookViewId="0">
      <selection activeCell="AI45" sqref="AI45"/>
    </sheetView>
  </sheetViews>
  <sheetFormatPr defaultRowHeight="15" outlineLevelRow="1" outlineLevelCol="2" x14ac:dyDescent="0.25"/>
  <cols>
    <col min="2" max="2" width="36.5703125" hidden="1" customWidth="1"/>
    <col min="3" max="3" width="24.28515625" hidden="1" customWidth="1"/>
    <col min="4" max="4" width="57.7109375" customWidth="1"/>
    <col min="5" max="16" width="14.28515625" customWidth="1" outlineLevel="2"/>
    <col min="17" max="28" width="14.28515625" customWidth="1" outlineLevel="1"/>
    <col min="29" max="40" width="14.28515625" customWidth="1"/>
    <col min="41" max="46" width="17.140625" customWidth="1"/>
    <col min="47" max="47" width="10.5703125" customWidth="1"/>
    <col min="48" max="48" width="19.140625" bestFit="1" customWidth="1"/>
    <col min="49" max="49" width="12.140625" bestFit="1" customWidth="1"/>
    <col min="50" max="50" width="12.5703125" bestFit="1" customWidth="1"/>
    <col min="51" max="52" width="11.7109375" bestFit="1" customWidth="1"/>
    <col min="53" max="53" width="13" bestFit="1" customWidth="1"/>
    <col min="54" max="55" width="12.5703125" bestFit="1" customWidth="1"/>
    <col min="56" max="56" width="12.140625" bestFit="1" customWidth="1"/>
    <col min="57" max="58" width="13" bestFit="1" customWidth="1"/>
    <col min="59" max="60" width="12.5703125" bestFit="1" customWidth="1"/>
    <col min="61" max="61" width="13" bestFit="1" customWidth="1"/>
    <col min="62" max="62" width="12.140625" bestFit="1" customWidth="1"/>
    <col min="63" max="64" width="13" bestFit="1" customWidth="1"/>
    <col min="65" max="65" width="12.5703125" bestFit="1" customWidth="1"/>
    <col min="66" max="66" width="12.140625" bestFit="1" customWidth="1"/>
    <col min="67" max="67" width="13" bestFit="1" customWidth="1"/>
    <col min="68" max="69" width="12.140625" bestFit="1" customWidth="1"/>
    <col min="70" max="70" width="12.5703125" bestFit="1" customWidth="1"/>
    <col min="71" max="71" width="13" bestFit="1" customWidth="1"/>
    <col min="72" max="72" width="11.7109375" bestFit="1" customWidth="1"/>
    <col min="73" max="73" width="13.85546875" bestFit="1" customWidth="1"/>
    <col min="74" max="74" width="13.42578125" bestFit="1" customWidth="1"/>
    <col min="75" max="75" width="13" bestFit="1" customWidth="1"/>
    <col min="76" max="76" width="12.5703125" bestFit="1" customWidth="1"/>
    <col min="77" max="82" width="9.28515625" bestFit="1" customWidth="1"/>
  </cols>
  <sheetData>
    <row r="1" spans="2:83" ht="15.75" thickBot="1" x14ac:dyDescent="0.3">
      <c r="D1" s="47" t="s">
        <v>319</v>
      </c>
    </row>
    <row r="2" spans="2:83" ht="26.25" x14ac:dyDescent="0.4">
      <c r="D2" s="201" t="s">
        <v>1</v>
      </c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33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33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507" t="s">
        <v>484</v>
      </c>
      <c r="AP2" s="508"/>
      <c r="AQ2" s="508"/>
      <c r="AR2" s="508"/>
      <c r="AS2" s="509"/>
    </row>
    <row r="3" spans="2:83" x14ac:dyDescent="0.25">
      <c r="D3" s="204"/>
      <c r="E3" s="303" t="s">
        <v>341</v>
      </c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17"/>
      <c r="Q3" s="320" t="s">
        <v>341</v>
      </c>
      <c r="R3" s="303"/>
      <c r="S3" s="303"/>
      <c r="T3" s="303"/>
      <c r="U3" s="303"/>
      <c r="V3" s="303"/>
      <c r="W3" s="303"/>
      <c r="X3" s="303"/>
      <c r="Y3" s="303"/>
      <c r="Z3" s="303"/>
      <c r="AA3" s="303"/>
      <c r="AB3" s="317"/>
      <c r="AC3" s="303" t="s">
        <v>341</v>
      </c>
      <c r="AD3" s="303"/>
      <c r="AE3" s="303"/>
      <c r="AF3" s="303"/>
      <c r="AG3" s="303"/>
      <c r="AH3" s="303"/>
      <c r="AI3" s="303"/>
      <c r="AJ3" s="303"/>
      <c r="AK3" s="303"/>
      <c r="AL3" s="303"/>
      <c r="AM3" s="303"/>
      <c r="AN3" s="303"/>
      <c r="AO3" s="510" t="s">
        <v>485</v>
      </c>
      <c r="AP3" s="511"/>
      <c r="AQ3" s="511" t="s">
        <v>486</v>
      </c>
      <c r="AR3" s="511"/>
      <c r="AS3" s="512"/>
    </row>
    <row r="4" spans="2:83" x14ac:dyDescent="0.25">
      <c r="D4" s="354" t="s">
        <v>487</v>
      </c>
      <c r="E4" s="378">
        <f t="shared" ref="E4:AL4" si="0">EDATE(F4,-1)</f>
        <v>44927</v>
      </c>
      <c r="F4" s="378">
        <f t="shared" si="0"/>
        <v>44958</v>
      </c>
      <c r="G4" s="378">
        <f t="shared" si="0"/>
        <v>44986</v>
      </c>
      <c r="H4" s="378">
        <f t="shared" si="0"/>
        <v>45017</v>
      </c>
      <c r="I4" s="378">
        <f t="shared" si="0"/>
        <v>45047</v>
      </c>
      <c r="J4" s="378">
        <f t="shared" si="0"/>
        <v>45078</v>
      </c>
      <c r="K4" s="378">
        <f t="shared" si="0"/>
        <v>45108</v>
      </c>
      <c r="L4" s="378">
        <f t="shared" si="0"/>
        <v>45139</v>
      </c>
      <c r="M4" s="378">
        <f t="shared" si="0"/>
        <v>45170</v>
      </c>
      <c r="N4" s="378">
        <f t="shared" si="0"/>
        <v>45200</v>
      </c>
      <c r="O4" s="378">
        <f t="shared" si="0"/>
        <v>45231</v>
      </c>
      <c r="P4" s="379">
        <f t="shared" si="0"/>
        <v>45261</v>
      </c>
      <c r="Q4" s="378">
        <f t="shared" si="0"/>
        <v>45292</v>
      </c>
      <c r="R4" s="378">
        <f t="shared" si="0"/>
        <v>45323</v>
      </c>
      <c r="S4" s="378">
        <f t="shared" si="0"/>
        <v>45352</v>
      </c>
      <c r="T4" s="378">
        <f t="shared" si="0"/>
        <v>45383</v>
      </c>
      <c r="U4" s="378">
        <f t="shared" si="0"/>
        <v>45413</v>
      </c>
      <c r="V4" s="378">
        <f t="shared" si="0"/>
        <v>45444</v>
      </c>
      <c r="W4" s="378">
        <f t="shared" si="0"/>
        <v>45474</v>
      </c>
      <c r="X4" s="378">
        <f t="shared" si="0"/>
        <v>45505</v>
      </c>
      <c r="Y4" s="378">
        <f t="shared" si="0"/>
        <v>45536</v>
      </c>
      <c r="Z4" s="378">
        <f t="shared" si="0"/>
        <v>45566</v>
      </c>
      <c r="AA4" s="378">
        <f t="shared" si="0"/>
        <v>45597</v>
      </c>
      <c r="AB4" s="365">
        <f t="shared" si="0"/>
        <v>45627</v>
      </c>
      <c r="AC4" s="380">
        <f t="shared" si="0"/>
        <v>45658</v>
      </c>
      <c r="AD4" s="360">
        <f t="shared" si="0"/>
        <v>45689</v>
      </c>
      <c r="AE4" s="378">
        <f t="shared" si="0"/>
        <v>45717</v>
      </c>
      <c r="AF4" s="378">
        <f t="shared" si="0"/>
        <v>45748</v>
      </c>
      <c r="AG4" s="378">
        <f t="shared" si="0"/>
        <v>45778</v>
      </c>
      <c r="AH4" s="378">
        <f t="shared" si="0"/>
        <v>45809</v>
      </c>
      <c r="AI4" s="378">
        <f t="shared" si="0"/>
        <v>45839</v>
      </c>
      <c r="AJ4" s="378">
        <f t="shared" si="0"/>
        <v>45870</v>
      </c>
      <c r="AK4" s="378">
        <f t="shared" si="0"/>
        <v>45901</v>
      </c>
      <c r="AL4" s="378">
        <f t="shared" si="0"/>
        <v>45931</v>
      </c>
      <c r="AM4" s="378">
        <f>EDATE(AN4,-1)</f>
        <v>45962</v>
      </c>
      <c r="AN4" s="379">
        <v>45992</v>
      </c>
      <c r="AO4" s="351" t="s">
        <v>349</v>
      </c>
      <c r="AP4" s="352" t="s">
        <v>348</v>
      </c>
      <c r="AQ4" s="352" t="s">
        <v>772</v>
      </c>
      <c r="AR4" s="352" t="s">
        <v>490</v>
      </c>
      <c r="AS4" s="353" t="s">
        <v>773</v>
      </c>
      <c r="AU4">
        <f ca="1">MATCH(EOMONTH(TODAY(),-1)+1, $E$4:$AN$4, 0)</f>
        <v>32</v>
      </c>
    </row>
    <row r="5" spans="2:83" ht="15.75" x14ac:dyDescent="0.25">
      <c r="B5" t="str">
        <f>$D$2</f>
        <v>PC Annual Direct</v>
      </c>
      <c r="D5" s="223" t="s">
        <v>488</v>
      </c>
      <c r="E5" s="209">
        <v>2834.9616435823991</v>
      </c>
      <c r="F5" s="209">
        <v>2946.8383556498957</v>
      </c>
      <c r="G5" s="209">
        <v>3775.2622950026089</v>
      </c>
      <c r="H5" s="209">
        <v>2995.1366122641016</v>
      </c>
      <c r="I5" s="209">
        <v>2880.7459015196087</v>
      </c>
      <c r="J5" s="209">
        <v>2383.7486340840082</v>
      </c>
      <c r="K5" s="209">
        <v>2008.112021670996</v>
      </c>
      <c r="L5" s="209">
        <v>2245.2267757455011</v>
      </c>
      <c r="M5" s="209">
        <v>2169.4972680251039</v>
      </c>
      <c r="N5" s="209">
        <v>2519.644808569898</v>
      </c>
      <c r="O5" s="209">
        <v>3230.5928964846084</v>
      </c>
      <c r="P5" s="238">
        <v>3230.0081965513018</v>
      </c>
      <c r="Q5" s="209">
        <v>3523.3825135083025</v>
      </c>
      <c r="R5" s="209">
        <v>4237.5081962073973</v>
      </c>
      <c r="S5" s="209">
        <v>6105.2273968165864</v>
      </c>
      <c r="T5" s="209">
        <v>5922.6767124173775</v>
      </c>
      <c r="U5" s="209">
        <v>5863.1452052477716</v>
      </c>
      <c r="V5" s="209">
        <v>4948.6767124129901</v>
      </c>
      <c r="W5" s="209">
        <v>4233.336986153784</v>
      </c>
      <c r="X5" s="209">
        <v>3675.7972601147862</v>
      </c>
      <c r="Y5" s="209">
        <v>3344.0958904573909</v>
      </c>
      <c r="Z5" s="209">
        <v>3249.9835615825855</v>
      </c>
      <c r="AA5" s="209">
        <v>3333.4000001135914</v>
      </c>
      <c r="AB5" s="238">
        <v>3332.6027397477824</v>
      </c>
      <c r="AC5" s="209">
        <v>3448.9753425933804</v>
      </c>
      <c r="AD5" s="209">
        <v>2839.260274043992</v>
      </c>
      <c r="AE5" s="209">
        <v>3603.7369864219872</v>
      </c>
      <c r="AF5" s="209">
        <v>3650.238356256586</v>
      </c>
      <c r="AG5" s="209">
        <v>3700.082191882987</v>
      </c>
      <c r="AH5" s="209">
        <v>3364.6438357079883</v>
      </c>
      <c r="AI5" s="209">
        <v>3291.0273973579901</v>
      </c>
      <c r="AJ5" s="209">
        <v>1511.2712329140004</v>
      </c>
      <c r="AK5" s="209">
        <v>0</v>
      </c>
      <c r="AL5" s="209">
        <v>0</v>
      </c>
      <c r="AM5" s="209">
        <v>0</v>
      </c>
      <c r="AN5" s="209">
        <v>0</v>
      </c>
      <c r="AO5" s="237">
        <f ca="1">IFERROR(AVERAGE(INDEX($E5:$AN5, $AU$4 - 3):INDEX($E5:$AN5, $AU$4)),"-")</f>
        <v>2966.7561644657417</v>
      </c>
      <c r="AP5" s="209">
        <f ca="1">IFERROR(AVERAGE(INDEX($E5:$AN5, $AU$4 - 11):INDEX($E5:$AN5, $AU$4)),"-")</f>
        <v>3222.4431507566878</v>
      </c>
      <c r="AQ5" s="209" cm="1">
        <f t="array" ref="AQ5">IFERROR(SUMPRODUCT((YEAR($E$4:$AN$4)=2024)*$E5:$AN5),"-")</f>
        <v>51769.833174780353</v>
      </c>
      <c r="AR5" s="209">
        <f ca="1">IFERROR(SUM(INDEX($E5:$AN5, $AU$4 - MONTH(TODAY())-11):INDEX($E5:$AN5, $AU$4-12)),"-")</f>
        <v>38509.750982878999</v>
      </c>
      <c r="AS5" s="238">
        <f ca="1">IFERROR(SUM(INDEX($E5:$AN5, $AU$4 - MONTH(TODAY())+1):INDEX($E5:$AN5, $AU$4)),"-")</f>
        <v>25409.235617178914</v>
      </c>
    </row>
    <row r="6" spans="2:83" ht="15.75" hidden="1" customHeight="1" x14ac:dyDescent="0.25">
      <c r="B6" t="str">
        <f>$D$2&amp;"_W VYRs"</f>
        <v>PC Annual Direct_W VYRs</v>
      </c>
      <c r="D6" s="211" t="s">
        <v>317</v>
      </c>
      <c r="E6" s="31" t="str">
        <f ca="1">INDEX('Plan Figures'!$B$94:$AP$120,MATCH('Current - Sales, NWP, GWP'!E$4,'Plan Figures'!$B$94:$B$120,0),MATCH('Current - Sales, NWP, GWP'!$B6,'Plan Figures'!$B$1:$AP$1,0))</f>
        <v>-</v>
      </c>
      <c r="F6" s="31" t="str">
        <f ca="1">INDEX('Plan Figures'!$B$94:$AP$120,MATCH('Current - Sales, NWP, GWP'!F$4,'Plan Figures'!$B$94:$B$120,0),MATCH('Current - Sales, NWP, GWP'!$B6,'Plan Figures'!$B$1:$AP$1,0))</f>
        <v>-</v>
      </c>
      <c r="G6" s="31" t="str">
        <f ca="1">INDEX('Plan Figures'!$B$94:$AP$120,MATCH('Current - Sales, NWP, GWP'!G$4,'Plan Figures'!$B$94:$B$120,0),MATCH('Current - Sales, NWP, GWP'!$B6,'Plan Figures'!$B$1:$AP$1,0))</f>
        <v>-</v>
      </c>
      <c r="H6" s="31" t="str">
        <f ca="1">INDEX('Plan Figures'!$B$94:$AP$120,MATCH('Current - Sales, NWP, GWP'!H$4,'Plan Figures'!$B$94:$B$120,0),MATCH('Current - Sales, NWP, GWP'!$B6,'Plan Figures'!$B$1:$AP$1,0))</f>
        <v>-</v>
      </c>
      <c r="I6" s="31" t="str">
        <f ca="1">INDEX('Plan Figures'!$B$94:$AP$120,MATCH('Current - Sales, NWP, GWP'!I$4,'Plan Figures'!$B$94:$B$120,0),MATCH('Current - Sales, NWP, GWP'!$B6,'Plan Figures'!$B$1:$AP$1,0))</f>
        <v>-</v>
      </c>
      <c r="J6" s="31" t="str">
        <f ca="1">INDEX('Plan Figures'!$B$94:$AP$120,MATCH('Current - Sales, NWP, GWP'!J$4,'Plan Figures'!$B$94:$B$120,0),MATCH('Current - Sales, NWP, GWP'!$B6,'Plan Figures'!$B$1:$AP$1,0))</f>
        <v>-</v>
      </c>
      <c r="K6" s="31" t="str">
        <f ca="1">INDEX('Plan Figures'!$B$94:$AP$120,MATCH('Current - Sales, NWP, GWP'!K$4,'Plan Figures'!$B$94:$B$120,0),MATCH('Current - Sales, NWP, GWP'!$B6,'Plan Figures'!$B$1:$AP$1,0))</f>
        <v>-</v>
      </c>
      <c r="L6" s="31" t="str">
        <f ca="1">INDEX('Plan Figures'!$B$94:$AP$120,MATCH('Current - Sales, NWP, GWP'!L$4,'Plan Figures'!$B$94:$B$120,0),MATCH('Current - Sales, NWP, GWP'!$B6,'Plan Figures'!$B$1:$AP$1,0))</f>
        <v>-</v>
      </c>
      <c r="M6" s="31" t="str">
        <f ca="1">INDEX('Plan Figures'!$B$94:$AP$120,MATCH('Current - Sales, NWP, GWP'!M$4,'Plan Figures'!$B$94:$B$120,0),MATCH('Current - Sales, NWP, GWP'!$B6,'Plan Figures'!$B$1:$AP$1,0))</f>
        <v>-</v>
      </c>
      <c r="N6" s="31" t="str">
        <f ca="1">INDEX('Plan Figures'!$B$94:$AP$120,MATCH('Current - Sales, NWP, GWP'!N$4,'Plan Figures'!$B$94:$B$120,0),MATCH('Current - Sales, NWP, GWP'!$B6,'Plan Figures'!$B$1:$AP$1,0))</f>
        <v>-</v>
      </c>
      <c r="O6" s="31">
        <f ca="1">INDEX('Plan Figures'!$B$94:$AP$120,MATCH('Current - Sales, NWP, GWP'!O$4,'Plan Figures'!$B$94:$B$120,0),MATCH('Current - Sales, NWP, GWP'!$B6,'Plan Figures'!$B$1:$AP$1,0))</f>
        <v>1729.3531485183221</v>
      </c>
      <c r="P6" s="240">
        <f ca="1">INDEX('Plan Figures'!$B$94:$AP$120,MATCH('Current - Sales, NWP, GWP'!P$4,'Plan Figures'!$B$94:$B$120,0),MATCH('Current - Sales, NWP, GWP'!$B6,'Plan Figures'!$B$1:$AP$1,0))</f>
        <v>1753.4023172900183</v>
      </c>
      <c r="Q6" s="31">
        <f ca="1">INDEX('Plan Figures'!$B$94:$AP$120,MATCH('Current - Sales, NWP, GWP'!Q$4,'Plan Figures'!$B$94:$B$120,0),MATCH('Current - Sales, NWP, GWP'!$B6,'Plan Figures'!$B$1:$AP$1,0))</f>
        <v>4273.8740763903043</v>
      </c>
      <c r="R6" s="31">
        <f ca="1">INDEX('Plan Figures'!$B$94:$AP$120,MATCH('Current - Sales, NWP, GWP'!R$4,'Plan Figures'!$B$94:$B$120,0),MATCH('Current - Sales, NWP, GWP'!$B6,'Plan Figures'!$B$1:$AP$1,0))</f>
        <v>4267.0066178598499</v>
      </c>
      <c r="S6" s="31">
        <f ca="1">INDEX('Plan Figures'!$B$94:$AP$120,MATCH('Current - Sales, NWP, GWP'!S$4,'Plan Figures'!$B$94:$B$120,0),MATCH('Current - Sales, NWP, GWP'!$B6,'Plan Figures'!$B$1:$AP$1,0))</f>
        <v>4260.1528668314522</v>
      </c>
      <c r="T6" s="31">
        <f ca="1">INDEX('Plan Figures'!$B$94:$AP$120,MATCH('Current - Sales, NWP, GWP'!T$4,'Plan Figures'!$B$94:$B$120,0),MATCH('Current - Sales, NWP, GWP'!$B6,'Plan Figures'!$B$1:$AP$1,0))</f>
        <v>4253.3127959448284</v>
      </c>
      <c r="U6" s="31">
        <f ca="1">INDEX('Plan Figures'!$B$94:$AP$120,MATCH('Current - Sales, NWP, GWP'!U$4,'Plan Figures'!$B$94:$B$120,0),MATCH('Current - Sales, NWP, GWP'!$B6,'Plan Figures'!$B$1:$AP$1,0))</f>
        <v>4246.8636837603826</v>
      </c>
      <c r="V6" s="31">
        <f ca="1">INDEX('Plan Figures'!$B$94:$AP$120,MATCH('Current - Sales, NWP, GWP'!V$4,'Plan Figures'!$B$94:$B$120,0),MATCH('Current - Sales, NWP, GWP'!$B6,'Plan Figures'!$B$1:$AP$1,0))</f>
        <v>4318.1657423106635</v>
      </c>
      <c r="W6" s="31">
        <f ca="1">INDEX('Plan Figures'!$B$94:$AP$120,MATCH('Current - Sales, NWP, GWP'!W$4,'Plan Figures'!$B$94:$B$120,0),MATCH('Current - Sales, NWP, GWP'!$B6,'Plan Figures'!$B$1:$AP$1,0))</f>
        <v>4195.7154005708344</v>
      </c>
      <c r="X6" s="31">
        <f ca="1">INDEX('Plan Figures'!$B$94:$AP$120,MATCH('Current - Sales, NWP, GWP'!X$4,'Plan Figures'!$B$94:$B$120,0),MATCH('Current - Sales, NWP, GWP'!$B6,'Plan Figures'!$B$1:$AP$1,0))</f>
        <v>4057.7980519065409</v>
      </c>
      <c r="Y6" s="31">
        <f ca="1">INDEX('Plan Figures'!$B$94:$AP$120,MATCH('Current - Sales, NWP, GWP'!Y$4,'Plan Figures'!$B$94:$B$120,0),MATCH('Current - Sales, NWP, GWP'!$B6,'Plan Figures'!$B$1:$AP$1,0))</f>
        <v>5130.3335122267199</v>
      </c>
      <c r="Z6" s="31">
        <f ca="1">INDEX('Plan Figures'!$B$94:$AP$120,MATCH('Current - Sales, NWP, GWP'!Z$4,'Plan Figures'!$B$94:$B$120,0),MATCH('Current - Sales, NWP, GWP'!$B6,'Plan Figures'!$B$1:$AP$1,0))</f>
        <v>5277.2602760739255</v>
      </c>
      <c r="AA6" s="31">
        <f ca="1">INDEX('Plan Figures'!$B$94:$AP$120,MATCH('Current - Sales, NWP, GWP'!AA$4,'Plan Figures'!$B$94:$B$120,0),MATCH('Current - Sales, NWP, GWP'!$B6,'Plan Figures'!$B$1:$AP$1,0))</f>
        <v>4291.0900236660455</v>
      </c>
      <c r="AB6" s="240">
        <f ca="1">INDEX('Plan Figures'!$B$94:$AP$120,MATCH('Current - Sales, NWP, GWP'!AB$4,'Plan Figures'!$B$94:$B$120,0),MATCH('Current - Sales, NWP, GWP'!$B6,'Plan Figures'!$B$1:$AP$1,0))</f>
        <v>3754.1961423496059</v>
      </c>
      <c r="AC6" s="31">
        <f ca="1">INDEX('Plan Figures'!$B$94:$AP$120,MATCH('Current - Sales, NWP, GWP'!AC$4,'Plan Figures'!$B$94:$B$120,0),MATCH('Current - Sales, NWP, GWP'!$B6,'Plan Figures'!$B$1:$AP$1,0))</f>
        <v>6835.9822408279206</v>
      </c>
      <c r="AD6" s="31" t="e">
        <f>INDEX('Plan Figures'!$B$94:$AP$120,MATCH('Current - Sales, NWP, GWP'!AD$4,'Plan Figures'!$B$94:$B$120,0),MATCH('Current - Sales, NWP, GWP'!$B6,'Plan Figures'!$B$1:$AP$1,0))</f>
        <v>#N/A</v>
      </c>
      <c r="AE6" s="31" t="e">
        <f>INDEX('Plan Figures'!$B$94:$AP$120,MATCH('Current - Sales, NWP, GWP'!AE$4,'Plan Figures'!$B$94:$B$120,0),MATCH('Current - Sales, NWP, GWP'!$B6,'Plan Figures'!$B$1:$AP$1,0))</f>
        <v>#N/A</v>
      </c>
      <c r="AF6" s="31" t="e">
        <f>INDEX('Plan Figures'!$B$94:$AP$120,MATCH('Current - Sales, NWP, GWP'!AF$4,'Plan Figures'!$B$94:$B$120,0),MATCH('Current - Sales, NWP, GWP'!$B6,'Plan Figures'!$B$1:$AP$1,0))</f>
        <v>#N/A</v>
      </c>
      <c r="AG6" s="31" t="e">
        <f>INDEX('Plan Figures'!$B$94:$AP$120,MATCH('Current - Sales, NWP, GWP'!AG$4,'Plan Figures'!$B$94:$B$120,0),MATCH('Current - Sales, NWP, GWP'!$B6,'Plan Figures'!$B$1:$AP$1,0))</f>
        <v>#N/A</v>
      </c>
      <c r="AH6" s="31" t="e">
        <f>INDEX('Plan Figures'!$B$94:$AP$120,MATCH('Current - Sales, NWP, GWP'!AH$4,'Plan Figures'!$B$94:$B$120,0),MATCH('Current - Sales, NWP, GWP'!$B6,'Plan Figures'!$B$1:$AP$1,0))</f>
        <v>#N/A</v>
      </c>
      <c r="AI6" s="31" t="e">
        <f>INDEX('Plan Figures'!$B$94:$AP$120,MATCH('Current - Sales, NWP, GWP'!AI$4,'Plan Figures'!$B$94:$B$120,0),MATCH('Current - Sales, NWP, GWP'!$B6,'Plan Figures'!$B$1:$AP$1,0))</f>
        <v>#N/A</v>
      </c>
      <c r="AJ6" s="31" t="e">
        <f>INDEX('Plan Figures'!$B$94:$AP$120,MATCH('Current - Sales, NWP, GWP'!AJ$4,'Plan Figures'!$B$94:$B$120,0),MATCH('Current - Sales, NWP, GWP'!$B6,'Plan Figures'!$B$1:$AP$1,0))</f>
        <v>#N/A</v>
      </c>
      <c r="AK6" s="31" t="e">
        <f>INDEX('Plan Figures'!$B$94:$AP$120,MATCH('Current - Sales, NWP, GWP'!AK$4,'Plan Figures'!$B$94:$B$120,0),MATCH('Current - Sales, NWP, GWP'!$B6,'Plan Figures'!$B$1:$AP$1,0))</f>
        <v>#N/A</v>
      </c>
      <c r="AL6" s="31" t="e">
        <f>INDEX('Plan Figures'!$B$94:$AP$120,MATCH('Current - Sales, NWP, GWP'!AL$4,'Plan Figures'!$B$94:$B$120,0),MATCH('Current - Sales, NWP, GWP'!$B6,'Plan Figures'!$B$1:$AP$1,0))</f>
        <v>#N/A</v>
      </c>
      <c r="AM6" s="31" t="e">
        <f>INDEX('Plan Figures'!$B$94:$AP$120,MATCH('Current - Sales, NWP, GWP'!AM$4,'Plan Figures'!$B$94:$B$120,0),MATCH('Current - Sales, NWP, GWP'!$B6,'Plan Figures'!$B$1:$AP$1,0))</f>
        <v>#N/A</v>
      </c>
      <c r="AN6" s="31" t="e">
        <f>INDEX('Plan Figures'!$B$94:$AP$120,MATCH('Current - Sales, NWP, GWP'!AN$4,'Plan Figures'!$B$94:$B$120,0),MATCH('Current - Sales, NWP, GWP'!$B6,'Plan Figures'!$B$1:$AP$1,0))</f>
        <v>#N/A</v>
      </c>
      <c r="AO6" s="239">
        <f t="shared" ref="AO6:AO7" ca="1" si="1">AVERAGE(Z6:AC6)</f>
        <v>5039.6321707293746</v>
      </c>
      <c r="AP6" s="31">
        <f t="shared" ref="AP6:AP7" ca="1" si="2">AVERAGE(R6:AC6)</f>
        <v>4573.9897795273973</v>
      </c>
      <c r="AQ6" s="31" t="e">
        <f ca="1">SUMIFS(AB6:AM6,AB$4:AM$4,"&lt;"&amp;'Title Sheet'!$C$13)</f>
        <v>#N/A</v>
      </c>
      <c r="AR6" s="31" t="e">
        <f ca="1">SUMIFS(AC6:AN6,AC$4:AN$4,"&lt;"&amp;'Title Sheet'!$C$13)</f>
        <v>#N/A</v>
      </c>
      <c r="AS6" s="240"/>
    </row>
    <row r="7" spans="2:83" ht="15.75" hidden="1" customHeight="1" x14ac:dyDescent="0.25">
      <c r="B7" t="str">
        <f t="shared" ref="B7:B17" si="3">$D$2</f>
        <v>PC Annual Direct</v>
      </c>
      <c r="D7" s="213" t="s">
        <v>0</v>
      </c>
      <c r="E7" s="214" t="str">
        <f t="shared" ref="E7:AB7" ca="1" si="4">IFERROR(IF(E5=0,"-",(E5/E6)-1),"-")</f>
        <v>-</v>
      </c>
      <c r="F7" s="214" t="str">
        <f t="shared" ca="1" si="4"/>
        <v>-</v>
      </c>
      <c r="G7" s="214" t="str">
        <f t="shared" ca="1" si="4"/>
        <v>-</v>
      </c>
      <c r="H7" s="214" t="str">
        <f t="shared" ca="1" si="4"/>
        <v>-</v>
      </c>
      <c r="I7" s="214" t="str">
        <f t="shared" ca="1" si="4"/>
        <v>-</v>
      </c>
      <c r="J7" s="214" t="str">
        <f t="shared" ca="1" si="4"/>
        <v>-</v>
      </c>
      <c r="K7" s="214" t="str">
        <f t="shared" ca="1" si="4"/>
        <v>-</v>
      </c>
      <c r="L7" s="214" t="str">
        <f t="shared" ca="1" si="4"/>
        <v>-</v>
      </c>
      <c r="M7" s="214" t="str">
        <f t="shared" ca="1" si="4"/>
        <v>-</v>
      </c>
      <c r="N7" s="214" t="str">
        <f t="shared" ca="1" si="4"/>
        <v>-</v>
      </c>
      <c r="O7" s="214">
        <f t="shared" ca="1" si="4"/>
        <v>0.86809322274777756</v>
      </c>
      <c r="P7" s="294">
        <f t="shared" ca="1" si="4"/>
        <v>0.84213752012342535</v>
      </c>
      <c r="Q7" s="214">
        <f t="shared" ca="1" si="4"/>
        <v>-0.17559983038055804</v>
      </c>
      <c r="R7" s="214">
        <f t="shared" ca="1" si="4"/>
        <v>-6.9131417628894853E-3</v>
      </c>
      <c r="S7" s="214">
        <f t="shared" ca="1" si="4"/>
        <v>0.43310054537020259</v>
      </c>
      <c r="T7" s="214">
        <f t="shared" ca="1" si="4"/>
        <v>0.39248557455359157</v>
      </c>
      <c r="U7" s="214">
        <f t="shared" ca="1" si="4"/>
        <v>0.38058238781430664</v>
      </c>
      <c r="V7" s="214">
        <f t="shared" ca="1" si="4"/>
        <v>0.14601361034487259</v>
      </c>
      <c r="W7" s="214">
        <f t="shared" ca="1" si="4"/>
        <v>8.9666676576374282E-3</v>
      </c>
      <c r="X7" s="214">
        <f t="shared" ca="1" si="4"/>
        <v>-9.4139921924471626E-2</v>
      </c>
      <c r="Y7" s="214">
        <f t="shared" ca="1" si="4"/>
        <v>-0.34817183278871233</v>
      </c>
      <c r="Z7" s="214">
        <f t="shared" ca="1" si="4"/>
        <v>-0.38415325537052236</v>
      </c>
      <c r="AA7" s="214">
        <f t="shared" ca="1" si="4"/>
        <v>-0.22318106081919531</v>
      </c>
      <c r="AB7" s="294">
        <f t="shared" ca="1" si="4"/>
        <v>-0.11229924772602973</v>
      </c>
      <c r="AC7" s="214">
        <f t="shared" ref="AC7" ca="1" si="5">IFERROR(IF(AC5=0,"-",(AC5/AC6)-1),"-")</f>
        <v>-0.49546748059198187</v>
      </c>
      <c r="AD7" s="214" t="str">
        <f t="shared" ref="AD7:AN7" si="6">IFERROR(IF(AD5=0,"-",(AD5/AD6)-1),"-")</f>
        <v>-</v>
      </c>
      <c r="AE7" s="214" t="str">
        <f t="shared" si="6"/>
        <v>-</v>
      </c>
      <c r="AF7" s="214" t="str">
        <f t="shared" si="6"/>
        <v>-</v>
      </c>
      <c r="AG7" s="214" t="str">
        <f t="shared" si="6"/>
        <v>-</v>
      </c>
      <c r="AH7" s="214" t="str">
        <f t="shared" si="6"/>
        <v>-</v>
      </c>
      <c r="AI7" s="214" t="str">
        <f t="shared" si="6"/>
        <v>-</v>
      </c>
      <c r="AJ7" s="214" t="str">
        <f t="shared" si="6"/>
        <v>-</v>
      </c>
      <c r="AK7" s="214" t="str">
        <f t="shared" si="6"/>
        <v>-</v>
      </c>
      <c r="AL7" s="214" t="str">
        <f t="shared" si="6"/>
        <v>-</v>
      </c>
      <c r="AM7" s="214" t="str">
        <f t="shared" si="6"/>
        <v>-</v>
      </c>
      <c r="AN7" s="214" t="str">
        <f t="shared" si="6"/>
        <v>-</v>
      </c>
      <c r="AO7" s="241">
        <f t="shared" ca="1" si="1"/>
        <v>-0.30377526112693232</v>
      </c>
      <c r="AP7" s="242">
        <f t="shared" ca="1" si="2"/>
        <v>-2.5264762936932649E-2</v>
      </c>
      <c r="AQ7" s="242" t="str">
        <f t="shared" ref="AQ7:AR7" ca="1" si="7">IFERROR(IF(AQ5=0,"-",(AQ5/AQ6)-1),"-")</f>
        <v>-</v>
      </c>
      <c r="AR7" s="242" t="str">
        <f t="shared" ca="1" si="7"/>
        <v>-</v>
      </c>
      <c r="AS7" s="243"/>
    </row>
    <row r="8" spans="2:83" ht="15.75" x14ac:dyDescent="0.25">
      <c r="B8" t="str">
        <f t="shared" si="3"/>
        <v>PC Annual Direct</v>
      </c>
      <c r="D8" s="208" t="s">
        <v>5</v>
      </c>
      <c r="E8" s="283">
        <v>2156372.319645613</v>
      </c>
      <c r="F8" s="283">
        <v>2207309.5860689273</v>
      </c>
      <c r="G8" s="283">
        <v>2365372.9364301004</v>
      </c>
      <c r="H8" s="283">
        <v>2115754.1796423746</v>
      </c>
      <c r="I8" s="283">
        <v>2440301.4792887256</v>
      </c>
      <c r="J8" s="283">
        <v>2263652.6285727057</v>
      </c>
      <c r="K8" s="283">
        <v>2382767.0260725757</v>
      </c>
      <c r="L8" s="283">
        <v>2684104.4771530977</v>
      </c>
      <c r="M8" s="283">
        <v>2753698.4557139152</v>
      </c>
      <c r="N8" s="283">
        <v>3209708.0817860379</v>
      </c>
      <c r="O8" s="283">
        <v>3863263.7907155934</v>
      </c>
      <c r="P8" s="314">
        <v>3794294.3167824447</v>
      </c>
      <c r="Q8" s="283">
        <v>3926008.2578569478</v>
      </c>
      <c r="R8" s="283">
        <v>5189360.7592770504</v>
      </c>
      <c r="S8" s="283">
        <v>7583314.7460665312</v>
      </c>
      <c r="T8" s="283">
        <v>6718672.7139466843</v>
      </c>
      <c r="U8" s="283">
        <v>6386016.4432274783</v>
      </c>
      <c r="V8" s="283">
        <v>5353738.9892903334</v>
      </c>
      <c r="W8" s="283">
        <v>4568709.0003580609</v>
      </c>
      <c r="X8" s="283">
        <v>3976254.8000019756</v>
      </c>
      <c r="Y8" s="283">
        <v>3645120.3310708916</v>
      </c>
      <c r="Z8" s="283">
        <v>3467602.7742145588</v>
      </c>
      <c r="AA8" s="283">
        <v>3642847.8092838721</v>
      </c>
      <c r="AB8" s="314">
        <v>3632011.0367852668</v>
      </c>
      <c r="AC8" s="283">
        <v>3613741.7628548495</v>
      </c>
      <c r="AD8" s="283">
        <v>2944064.1324966564</v>
      </c>
      <c r="AE8" s="283">
        <v>3809754.8203473077</v>
      </c>
      <c r="AF8" s="283">
        <v>3728909.2889236072</v>
      </c>
      <c r="AG8" s="283">
        <v>3836632.9428576538</v>
      </c>
      <c r="AH8" s="283">
        <v>3484603.5682113911</v>
      </c>
      <c r="AI8" s="283">
        <v>3515487.8646399193</v>
      </c>
      <c r="AJ8" s="283">
        <v>1707710.5646417111</v>
      </c>
      <c r="AK8" s="283">
        <v>0</v>
      </c>
      <c r="AL8" s="283">
        <v>0</v>
      </c>
      <c r="AM8" s="283">
        <v>0</v>
      </c>
      <c r="AN8" s="283">
        <v>0</v>
      </c>
      <c r="AO8" s="335">
        <f ca="1">IFERROR(AVERAGE(INDEX($E8:$AN8, $AU$4 - 3):INDEX($E8:$AN8, $AU$4)),"-")</f>
        <v>3136108.7350876685</v>
      </c>
      <c r="AP8" s="332">
        <f ca="1">IFERROR(AVERAGE(INDEX($E8:$AN8, $AU$4 - 11):INDEX($E8:$AN8, $AU$4)),"-")</f>
        <v>3419040.5746939741</v>
      </c>
      <c r="AQ8" s="332" cm="1">
        <f t="array" ref="AQ8">IFERROR(SUMPRODUCT((YEAR($E$4:$AN$4)=2024)*$E8:$AN8),"-")</f>
        <v>58089657.661379658</v>
      </c>
      <c r="AR8" s="332">
        <f ca="1">IFERROR(SUM(INDEX($E8:$AN8, $AU$4 - MONTH(TODAY())-11):INDEX($E8:$AN8, $AU$4-12)),"-")</f>
        <v>43702075.710025065</v>
      </c>
      <c r="AS8" s="336">
        <f ca="1">IFERROR(SUM(INDEX($E8:$AN8, $AU$4 - MONTH(TODAY())+1):INDEX($E8:$AN8, $AU$4)),"-")</f>
        <v>26640904.944973096</v>
      </c>
    </row>
    <row r="9" spans="2:83" ht="15.75" x14ac:dyDescent="0.25">
      <c r="B9" t="str">
        <f>$D$2&amp;"_NWP"</f>
        <v>PC Annual Direct_NWP</v>
      </c>
      <c r="D9" s="211" t="s">
        <v>6</v>
      </c>
      <c r="E9" s="385" t="str">
        <f ca="1">INDEX('Plan Figures'!$B$94:$AP$131,MATCH('Current - Sales, NWP, GWP'!E$4,'Plan Figures'!$B$94:$B$131,0),MATCH('Current - Sales, NWP, GWP'!$B9,'Plan Figures'!$B$1:$AP$1,0))</f>
        <v>-</v>
      </c>
      <c r="F9" s="385" t="str">
        <f ca="1">INDEX('Plan Figures'!$B$94:$AP$131,MATCH('Current - Sales, NWP, GWP'!F$4,'Plan Figures'!$B$94:$B$131,0),MATCH('Current - Sales, NWP, GWP'!$B9,'Plan Figures'!$B$1:$AP$1,0))</f>
        <v>-</v>
      </c>
      <c r="G9" s="385" t="str">
        <f ca="1">INDEX('Plan Figures'!$B$94:$AP$131,MATCH('Current - Sales, NWP, GWP'!G$4,'Plan Figures'!$B$94:$B$131,0),MATCH('Current - Sales, NWP, GWP'!$B9,'Plan Figures'!$B$1:$AP$1,0))</f>
        <v>-</v>
      </c>
      <c r="H9" s="385" t="str">
        <f ca="1">INDEX('Plan Figures'!$B$94:$AP$131,MATCH('Current - Sales, NWP, GWP'!H$4,'Plan Figures'!$B$94:$B$131,0),MATCH('Current - Sales, NWP, GWP'!$B9,'Plan Figures'!$B$1:$AP$1,0))</f>
        <v>-</v>
      </c>
      <c r="I9" s="385" t="str">
        <f ca="1">INDEX('Plan Figures'!$B$94:$AP$131,MATCH('Current - Sales, NWP, GWP'!I$4,'Plan Figures'!$B$94:$B$131,0),MATCH('Current - Sales, NWP, GWP'!$B9,'Plan Figures'!$B$1:$AP$1,0))</f>
        <v>-</v>
      </c>
      <c r="J9" s="385" t="str">
        <f ca="1">INDEX('Plan Figures'!$B$94:$AP$131,MATCH('Current - Sales, NWP, GWP'!J$4,'Plan Figures'!$B$94:$B$131,0),MATCH('Current - Sales, NWP, GWP'!$B9,'Plan Figures'!$B$1:$AP$1,0))</f>
        <v>-</v>
      </c>
      <c r="K9" s="385" t="str">
        <f ca="1">INDEX('Plan Figures'!$B$94:$AP$131,MATCH('Current - Sales, NWP, GWP'!K$4,'Plan Figures'!$B$94:$B$131,0),MATCH('Current - Sales, NWP, GWP'!$B9,'Plan Figures'!$B$1:$AP$1,0))</f>
        <v>-</v>
      </c>
      <c r="L9" s="385" t="str">
        <f ca="1">INDEX('Plan Figures'!$B$94:$AP$131,MATCH('Current - Sales, NWP, GWP'!L$4,'Plan Figures'!$B$94:$B$131,0),MATCH('Current - Sales, NWP, GWP'!$B9,'Plan Figures'!$B$1:$AP$1,0))</f>
        <v>-</v>
      </c>
      <c r="M9" s="385" t="str">
        <f ca="1">INDEX('Plan Figures'!$B$94:$AP$131,MATCH('Current - Sales, NWP, GWP'!M$4,'Plan Figures'!$B$94:$B$131,0),MATCH('Current - Sales, NWP, GWP'!$B9,'Plan Figures'!$B$1:$AP$1,0))</f>
        <v>-</v>
      </c>
      <c r="N9" s="385" t="str">
        <f ca="1">INDEX('Plan Figures'!$B$94:$AP$131,MATCH('Current - Sales, NWP, GWP'!N$4,'Plan Figures'!$B$94:$B$131,0),MATCH('Current - Sales, NWP, GWP'!$B9,'Plan Figures'!$B$1:$AP$1,0))</f>
        <v>-</v>
      </c>
      <c r="O9" s="385">
        <f ca="1">INDEX('Plan Figures'!$B$94:$AP$131,MATCH('Current - Sales, NWP, GWP'!O$4,'Plan Figures'!$B$94:$B$131,0),MATCH('Current - Sales, NWP, GWP'!$B9,'Plan Figures'!$B$1:$AP$1,0))</f>
        <v>3013169.0914932396</v>
      </c>
      <c r="P9" s="386">
        <f ca="1">INDEX('Plan Figures'!$B$94:$AP$131,MATCH('Current - Sales, NWP, GWP'!P$4,'Plan Figures'!$B$94:$B$131,0),MATCH('Current - Sales, NWP, GWP'!$B9,'Plan Figures'!$B$1:$AP$1,0))</f>
        <v>3046278.3015965438</v>
      </c>
      <c r="Q9" s="385">
        <f ca="1">INDEX('Plan Figures'!$B$94:$AP$131,MATCH('Current - Sales, NWP, GWP'!Q$4,'Plan Figures'!$B$94:$B$131,0),MATCH('Current - Sales, NWP, GWP'!$B9,'Plan Figures'!$B$1:$AP$1,0))</f>
        <v>3262205.5406420417</v>
      </c>
      <c r="R9" s="385">
        <f ca="1">INDEX('Plan Figures'!$B$94:$AP$131,MATCH('Current - Sales, NWP, GWP'!R$4,'Plan Figures'!$B$94:$B$131,0),MATCH('Current - Sales, NWP, GWP'!$B9,'Plan Figures'!$B$1:$AP$1,0))</f>
        <v>5283002.670942123</v>
      </c>
      <c r="S9" s="385">
        <f ca="1">INDEX('Plan Figures'!$B$94:$AP$131,MATCH('Current - Sales, NWP, GWP'!S$4,'Plan Figures'!$B$94:$B$131,0),MATCH('Current - Sales, NWP, GWP'!$B9,'Plan Figures'!$B$1:$AP$1,0))</f>
        <v>7028722.699423207</v>
      </c>
      <c r="T9" s="385">
        <f ca="1">INDEX('Plan Figures'!$B$94:$AP$131,MATCH('Current - Sales, NWP, GWP'!T$4,'Plan Figures'!$B$94:$B$131,0),MATCH('Current - Sales, NWP, GWP'!$B9,'Plan Figures'!$B$1:$AP$1,0))</f>
        <v>7008322.6050258419</v>
      </c>
      <c r="U9" s="385">
        <f ca="1">INDEX('Plan Figures'!$B$94:$AP$131,MATCH('Current - Sales, NWP, GWP'!U$4,'Plan Figures'!$B$94:$B$131,0),MATCH('Current - Sales, NWP, GWP'!$B9,'Plan Figures'!$B$1:$AP$1,0))</f>
        <v>6910081.5132966693</v>
      </c>
      <c r="V9" s="385">
        <f ca="1">INDEX('Plan Figures'!$B$94:$AP$131,MATCH('Current - Sales, NWP, GWP'!V$4,'Plan Figures'!$B$94:$B$131,0),MATCH('Current - Sales, NWP, GWP'!$B9,'Plan Figures'!$B$1:$AP$1,0))</f>
        <v>6846559.6197968423</v>
      </c>
      <c r="W9" s="385">
        <f ca="1">INDEX('Plan Figures'!$B$94:$AP$131,MATCH('Current - Sales, NWP, GWP'!W$4,'Plan Figures'!$B$94:$B$131,0),MATCH('Current - Sales, NWP, GWP'!$B9,'Plan Figures'!$B$1:$AP$1,0))</f>
        <v>4986953.6660165749</v>
      </c>
      <c r="X9" s="385">
        <f ca="1">INDEX('Plan Figures'!$B$94:$AP$131,MATCH('Current - Sales, NWP, GWP'!X$4,'Plan Figures'!$B$94:$B$131,0),MATCH('Current - Sales, NWP, GWP'!$B9,'Plan Figures'!$B$1:$AP$1,0))</f>
        <v>4772960.6173661947</v>
      </c>
      <c r="Y9" s="385">
        <f ca="1">INDEX('Plan Figures'!$B$94:$AP$131,MATCH('Current - Sales, NWP, GWP'!Y$4,'Plan Figures'!$B$94:$B$131,0),MATCH('Current - Sales, NWP, GWP'!$B9,'Plan Figures'!$B$1:$AP$1,0))</f>
        <v>5963772.0422257259</v>
      </c>
      <c r="Z9" s="385">
        <f ca="1">INDEX('Plan Figures'!$B$94:$AP$131,MATCH('Current - Sales, NWP, GWP'!Z$4,'Plan Figures'!$B$94:$B$131,0),MATCH('Current - Sales, NWP, GWP'!$B9,'Plan Figures'!$B$1:$AP$1,0))</f>
        <v>6206021.9847642854</v>
      </c>
      <c r="AA9" s="385">
        <f ca="1">INDEX('Plan Figures'!$B$94:$AP$131,MATCH('Current - Sales, NWP, GWP'!AA$4,'Plan Figures'!$B$94:$B$131,0),MATCH('Current - Sales, NWP, GWP'!$B9,'Plan Figures'!$B$1:$AP$1,0))</f>
        <v>5226495.991704585</v>
      </c>
      <c r="AB9" s="386">
        <f ca="1">INDEX('Plan Figures'!$B$94:$AP$131,MATCH('Current - Sales, NWP, GWP'!AB$4,'Plan Figures'!$B$94:$B$131,0),MATCH('Current - Sales, NWP, GWP'!$B9,'Plan Figures'!$B$1:$AP$1,0))</f>
        <v>4573524.576856669</v>
      </c>
      <c r="AC9" s="385">
        <f ca="1">INDEX('Plan Figures'!$B$94:$AP$131,MATCH('Current - Sales, NWP, GWP'!AC$4,'Plan Figures'!$B$94:$B$131,0),MATCH('Current - Sales, NWP, GWP'!$B9,'Plan Figures'!$B$1:$AP$1,0))</f>
        <v>8422631.2659855764</v>
      </c>
      <c r="AD9" s="385">
        <f ca="1">INDEX('Plan Figures'!$B$94:$AP$131,MATCH('Current - Sales, NWP, GWP'!AD$4,'Plan Figures'!$B$94:$B$131,0),MATCH('Current - Sales, NWP, GWP'!$B9,'Plan Figures'!$B$1:$AP$1,0))</f>
        <v>8526059.9231997393</v>
      </c>
      <c r="AE9" s="385">
        <f ca="1">INDEX('Plan Figures'!$B$94:$AP$131,MATCH('Current - Sales, NWP, GWP'!AE$4,'Plan Figures'!$B$94:$B$131,0),MATCH('Current - Sales, NWP, GWP'!$B9,'Plan Figures'!$B$1:$AP$1,0))</f>
        <v>8670064.0370275285</v>
      </c>
      <c r="AF9" s="385">
        <f ca="1">INDEX('Plan Figures'!$B$94:$AP$131,MATCH('Current - Sales, NWP, GWP'!AF$4,'Plan Figures'!$B$94:$B$131,0),MATCH('Current - Sales, NWP, GWP'!$B9,'Plan Figures'!$B$1:$AP$1,0))</f>
        <v>3748670.1123780021</v>
      </c>
      <c r="AG9" s="385">
        <f ca="1">INDEX('Plan Figures'!$B$94:$AP$131,MATCH('Current - Sales, NWP, GWP'!AG$4,'Plan Figures'!$B$94:$B$131,0),MATCH('Current - Sales, NWP, GWP'!$B9,'Plan Figures'!$B$1:$AP$1,0))</f>
        <v>3975833.8400942683</v>
      </c>
      <c r="AH9" s="385">
        <f ca="1">INDEX('Plan Figures'!$B$94:$AP$131,MATCH('Current - Sales, NWP, GWP'!AH$4,'Plan Figures'!$B$94:$B$131,0),MATCH('Current - Sales, NWP, GWP'!$B9,'Plan Figures'!$B$1:$AP$1,0))</f>
        <v>4049183.9733715118</v>
      </c>
      <c r="AI9" s="385">
        <f ca="1">INDEX('Plan Figures'!$B$94:$AP$131,MATCH('Current - Sales, NWP, GWP'!AI$4,'Plan Figures'!$B$94:$B$131,0),MATCH('Current - Sales, NWP, GWP'!$B9,'Plan Figures'!$B$1:$AP$1,0))</f>
        <v>4396426.0532451477</v>
      </c>
      <c r="AJ9" s="385">
        <f ca="1">INDEX('Plan Figures'!$B$94:$AP$131,MATCH('Current - Sales, NWP, GWP'!AJ$4,'Plan Figures'!$B$94:$B$131,0),MATCH('Current - Sales, NWP, GWP'!$B9,'Plan Figures'!$B$1:$AP$1,0))</f>
        <v>4644028.8057200154</v>
      </c>
      <c r="AK9" s="385">
        <f ca="1">INDEX('Plan Figures'!$B$94:$AP$131,MATCH('Current - Sales, NWP, GWP'!AK$4,'Plan Figures'!$B$94:$B$131,0),MATCH('Current - Sales, NWP, GWP'!$B9,'Plan Figures'!$B$1:$AP$1,0))</f>
        <v>3764534.768566445</v>
      </c>
      <c r="AL9" s="385">
        <f ca="1">INDEX('Plan Figures'!$B$94:$AP$131,MATCH('Current - Sales, NWP, GWP'!AL$4,'Plan Figures'!$B$94:$B$131,0),MATCH('Current - Sales, NWP, GWP'!$B9,'Plan Figures'!$B$1:$AP$1,0))</f>
        <v>3690107.1454575313</v>
      </c>
      <c r="AM9" s="385">
        <f ca="1">INDEX('Plan Figures'!$B$94:$AP$131,MATCH('Current - Sales, NWP, GWP'!AM$4,'Plan Figures'!$B$94:$B$131,0),MATCH('Current - Sales, NWP, GWP'!$B9,'Plan Figures'!$B$1:$AP$1,0))</f>
        <v>3973666.7817406254</v>
      </c>
      <c r="AN9" s="385">
        <f ca="1">INDEX('Plan Figures'!$B$94:$AP$131,MATCH('Current - Sales, NWP, GWP'!AN$4,'Plan Figures'!$B$94:$B$131,0),MATCH('Current - Sales, NWP, GWP'!$B9,'Plan Figures'!$B$1:$AP$1,0))</f>
        <v>3824985.8662046581</v>
      </c>
      <c r="AO9" s="338">
        <f ca="1">IFERROR(AVERAGE(INDEX($E9:$AN9, $AU$4 - 3):INDEX($E9:$AN9, $AU$4)),"-")</f>
        <v>4266368.1681077359</v>
      </c>
      <c r="AP9" s="333">
        <f ca="1">IFERROR(AVERAGE(INDEX($E9:$AN9, $AU$4 - 11):INDEX($E9:$AN9, $AU$4)),"-")</f>
        <v>5700226.0505477535</v>
      </c>
      <c r="AQ9" s="333" t="str" cm="1">
        <f t="array" aca="1" ref="AQ9" ca="1">IFERROR(SUMPRODUCT((YEAR($E$4:$AN$4)=2024)*$E9:$AN9),"-")</f>
        <v>-</v>
      </c>
      <c r="AR9" s="333" t="s">
        <v>491</v>
      </c>
      <c r="AS9" s="339">
        <f ca="1">IFERROR(SUM(INDEX($E9:$AN9, $AU$4 - MONTH(TODAY())+1):INDEX($E9:$AN9, $AU$4)),"-")</f>
        <v>46432898.011021793</v>
      </c>
    </row>
    <row r="10" spans="2:83" ht="15.75" x14ac:dyDescent="0.25">
      <c r="B10" t="str">
        <f t="shared" si="3"/>
        <v>PC Annual Direct</v>
      </c>
      <c r="D10" s="213" t="s">
        <v>0</v>
      </c>
      <c r="E10" s="214" t="str">
        <f t="shared" ref="E10:AB10" ca="1" si="8">IFERROR(IF(E8=0,"-",(E8/E9)-1),"-")</f>
        <v>-</v>
      </c>
      <c r="F10" s="214" t="str">
        <f t="shared" ca="1" si="8"/>
        <v>-</v>
      </c>
      <c r="G10" s="214" t="str">
        <f t="shared" ca="1" si="8"/>
        <v>-</v>
      </c>
      <c r="H10" s="214" t="str">
        <f t="shared" ca="1" si="8"/>
        <v>-</v>
      </c>
      <c r="I10" s="214" t="str">
        <f t="shared" ca="1" si="8"/>
        <v>-</v>
      </c>
      <c r="J10" s="214" t="str">
        <f t="shared" ca="1" si="8"/>
        <v>-</v>
      </c>
      <c r="K10" s="214" t="str">
        <f t="shared" ca="1" si="8"/>
        <v>-</v>
      </c>
      <c r="L10" s="214" t="str">
        <f t="shared" ca="1" si="8"/>
        <v>-</v>
      </c>
      <c r="M10" s="214" t="str">
        <f t="shared" ca="1" si="8"/>
        <v>-</v>
      </c>
      <c r="N10" s="214" t="str">
        <f t="shared" ca="1" si="8"/>
        <v>-</v>
      </c>
      <c r="O10" s="214">
        <f t="shared" ca="1" si="8"/>
        <v>0.28212645006293724</v>
      </c>
      <c r="P10" s="294">
        <f t="shared" ca="1" si="8"/>
        <v>0.24555078069980296</v>
      </c>
      <c r="Q10" s="214">
        <f t="shared" ca="1" si="8"/>
        <v>0.20348279988644169</v>
      </c>
      <c r="R10" s="214">
        <f t="shared" ca="1" si="8"/>
        <v>-1.7725130479325224E-2</v>
      </c>
      <c r="S10" s="214">
        <f t="shared" ca="1" si="8"/>
        <v>7.890367430327494E-2</v>
      </c>
      <c r="T10" s="214">
        <f t="shared" ca="1" si="8"/>
        <v>-4.1329417523023659E-2</v>
      </c>
      <c r="U10" s="214">
        <f t="shared" ca="1" si="8"/>
        <v>-7.5840649500409363E-2</v>
      </c>
      <c r="V10" s="214">
        <f t="shared" ca="1" si="8"/>
        <v>-0.21803952837714502</v>
      </c>
      <c r="W10" s="214">
        <f t="shared" ca="1" si="8"/>
        <v>-8.3867766510169917E-2</v>
      </c>
      <c r="X10" s="214">
        <f t="shared" ca="1" si="8"/>
        <v>-0.16692067696210233</v>
      </c>
      <c r="Y10" s="214">
        <f t="shared" ca="1" si="8"/>
        <v>-0.38878945988175218</v>
      </c>
      <c r="Z10" s="214">
        <f t="shared" ca="1" si="8"/>
        <v>-0.44125193518046102</v>
      </c>
      <c r="AA10" s="214">
        <f t="shared" ca="1" si="8"/>
        <v>-0.30300380693570894</v>
      </c>
      <c r="AB10" s="294">
        <f t="shared" ca="1" si="8"/>
        <v>-0.20586169905716212</v>
      </c>
      <c r="AC10" s="214">
        <f t="shared" ref="AC10" ca="1" si="9">IFERROR(IF(AC8=0,"-",(AC8/AC9)-1),"-")</f>
        <v>-0.5709485968537189</v>
      </c>
      <c r="AD10" s="214">
        <f t="shared" ref="AD10:AN10" ca="1" si="10">IFERROR(IF(AD8=0,"-",(AD8/AD9)-1),"-")</f>
        <v>-0.65469816550482551</v>
      </c>
      <c r="AE10" s="214">
        <f t="shared" ca="1" si="10"/>
        <v>-0.56058515784002716</v>
      </c>
      <c r="AF10" s="214">
        <f t="shared" ca="1" si="10"/>
        <v>-5.2714223609982014E-3</v>
      </c>
      <c r="AG10" s="214">
        <f t="shared" ca="1" si="10"/>
        <v>-3.5011749191539154E-2</v>
      </c>
      <c r="AH10" s="214">
        <f t="shared" ca="1" si="10"/>
        <v>-0.13943066278858862</v>
      </c>
      <c r="AI10" s="214">
        <f t="shared" ca="1" si="10"/>
        <v>-0.20037598220376729</v>
      </c>
      <c r="AJ10" s="214">
        <f t="shared" ca="1" si="10"/>
        <v>-0.63227821443778798</v>
      </c>
      <c r="AK10" s="214" t="str">
        <f t="shared" si="10"/>
        <v>-</v>
      </c>
      <c r="AL10" s="214" t="str">
        <f t="shared" si="10"/>
        <v>-</v>
      </c>
      <c r="AM10" s="214" t="str">
        <f t="shared" si="10"/>
        <v>-</v>
      </c>
      <c r="AN10" s="215" t="str">
        <f t="shared" si="10"/>
        <v>-</v>
      </c>
      <c r="AO10" s="242">
        <f ca="1">IFERROR(IF(AO8=0,"-",(AO8/AO9)-1),"-")</f>
        <v>-0.26492308879225768</v>
      </c>
      <c r="AP10" s="242">
        <f ca="1">IFERROR(IF(AP8=0,"-",(AP8/AP9)-1),"-")</f>
        <v>-0.40019210740503397</v>
      </c>
      <c r="AQ10" s="242"/>
      <c r="AR10" s="242"/>
      <c r="AS10" s="243">
        <f ca="1">IFERROR(IF(AS8=0,"-",(AS8/AS9)-1),"-")</f>
        <v>-0.42624936012718107</v>
      </c>
      <c r="AV10" s="381"/>
    </row>
    <row r="11" spans="2:83" ht="15.75" x14ac:dyDescent="0.25">
      <c r="B11" t="str">
        <f t="shared" si="3"/>
        <v>PC Annual Direct</v>
      </c>
      <c r="D11" s="208" t="s">
        <v>12</v>
      </c>
      <c r="E11" s="283">
        <f t="shared" ref="E11:AB11" si="11">IFERROR(E8/E5,0)</f>
        <v>760.63544793527194</v>
      </c>
      <c r="F11" s="283">
        <f t="shared" si="11"/>
        <v>749.04332022043582</v>
      </c>
      <c r="G11" s="283">
        <f t="shared" si="11"/>
        <v>626.54532363517956</v>
      </c>
      <c r="H11" s="283">
        <f t="shared" si="11"/>
        <v>706.39655332549955</v>
      </c>
      <c r="I11" s="283">
        <f t="shared" si="11"/>
        <v>847.10750712218453</v>
      </c>
      <c r="J11" s="283">
        <f t="shared" si="11"/>
        <v>949.61884663755609</v>
      </c>
      <c r="K11" s="283">
        <f t="shared" si="11"/>
        <v>1186.5707691395726</v>
      </c>
      <c r="L11" s="283">
        <f t="shared" si="11"/>
        <v>1195.4714357358723</v>
      </c>
      <c r="M11" s="283">
        <f t="shared" si="11"/>
        <v>1269.2795221727154</v>
      </c>
      <c r="N11" s="283">
        <f t="shared" si="11"/>
        <v>1273.8732343817169</v>
      </c>
      <c r="O11" s="283">
        <f t="shared" si="11"/>
        <v>1195.8373940955018</v>
      </c>
      <c r="P11" s="314">
        <f t="shared" si="11"/>
        <v>1174.7011418836753</v>
      </c>
      <c r="Q11" s="283">
        <f t="shared" si="11"/>
        <v>1114.2725045620275</v>
      </c>
      <c r="R11" s="283">
        <f t="shared" si="11"/>
        <v>1224.6255391131913</v>
      </c>
      <c r="S11" s="283">
        <f t="shared" si="11"/>
        <v>1242.101932193493</v>
      </c>
      <c r="T11" s="283">
        <f t="shared" si="11"/>
        <v>1134.3980163327901</v>
      </c>
      <c r="U11" s="283">
        <f t="shared" si="11"/>
        <v>1089.1793090015431</v>
      </c>
      <c r="V11" s="283">
        <f t="shared" si="11"/>
        <v>1081.8526447406248</v>
      </c>
      <c r="W11" s="283">
        <f t="shared" si="11"/>
        <v>1079.2216672807285</v>
      </c>
      <c r="X11" s="283">
        <f t="shared" si="11"/>
        <v>1081.7394210359162</v>
      </c>
      <c r="Y11" s="283">
        <f t="shared" si="11"/>
        <v>1090.0166892559794</v>
      </c>
      <c r="Z11" s="283">
        <f t="shared" si="11"/>
        <v>1066.960096415381</v>
      </c>
      <c r="AA11" s="283">
        <f t="shared" si="11"/>
        <v>1092.8324860981988</v>
      </c>
      <c r="AB11" s="314">
        <f t="shared" si="11"/>
        <v>1089.8421805474914</v>
      </c>
      <c r="AC11" s="283">
        <f t="shared" ref="AC11:AC12" si="12">IFERROR(AC8/AC5,0)</f>
        <v>1047.7725712407025</v>
      </c>
      <c r="AD11" s="283">
        <f t="shared" ref="AD11:AN11" si="13">IFERROR(AD8/AD5,0)</f>
        <v>1036.9123815138621</v>
      </c>
      <c r="AE11" s="283">
        <f t="shared" si="13"/>
        <v>1057.167832919424</v>
      </c>
      <c r="AF11" s="283">
        <f t="shared" si="13"/>
        <v>1021.5522727528677</v>
      </c>
      <c r="AG11" s="283">
        <f t="shared" si="13"/>
        <v>1036.9047885677305</v>
      </c>
      <c r="AH11" s="283">
        <f t="shared" si="13"/>
        <v>1035.6530255090613</v>
      </c>
      <c r="AI11" s="283">
        <f t="shared" si="13"/>
        <v>1068.2037674502874</v>
      </c>
      <c r="AJ11" s="283">
        <f t="shared" si="13"/>
        <v>1129.9828432179845</v>
      </c>
      <c r="AK11" s="283">
        <f t="shared" si="13"/>
        <v>0</v>
      </c>
      <c r="AL11" s="283">
        <f t="shared" si="13"/>
        <v>0</v>
      </c>
      <c r="AM11" s="283">
        <f t="shared" si="13"/>
        <v>0</v>
      </c>
      <c r="AN11" s="283">
        <f t="shared" si="13"/>
        <v>0</v>
      </c>
      <c r="AO11" s="335">
        <f ca="1">IFERROR(AO8/AO5,"-")</f>
        <v>1057.083414083821</v>
      </c>
      <c r="AP11" s="332">
        <f t="shared" ref="AP11:AS11" ca="1" si="14">IFERROR(AP8/AP5,"-")</f>
        <v>1061.0088106259134</v>
      </c>
      <c r="AQ11" s="332">
        <f t="shared" ref="AQ11" si="15">IFERROR(AQ8/AQ5,"-")</f>
        <v>1122.0754269240722</v>
      </c>
      <c r="AR11" s="332">
        <f t="shared" ca="1" si="14"/>
        <v>1134.8314282648703</v>
      </c>
      <c r="AS11" s="336">
        <f t="shared" ca="1" si="14"/>
        <v>1048.4732931895624</v>
      </c>
      <c r="AU11" s="75"/>
    </row>
    <row r="12" spans="2:83" ht="15.75" hidden="1" customHeight="1" x14ac:dyDescent="0.25">
      <c r="B12" t="str">
        <f t="shared" si="3"/>
        <v>PC Annual Direct</v>
      </c>
      <c r="D12" s="211" t="s">
        <v>13</v>
      </c>
      <c r="E12" s="385">
        <f t="shared" ref="E12:AB12" ca="1" si="16">IFERROR(E9/E6,0)</f>
        <v>0</v>
      </c>
      <c r="F12" s="385">
        <f t="shared" ca="1" si="16"/>
        <v>0</v>
      </c>
      <c r="G12" s="385">
        <f t="shared" ca="1" si="16"/>
        <v>0</v>
      </c>
      <c r="H12" s="385">
        <f t="shared" ca="1" si="16"/>
        <v>0</v>
      </c>
      <c r="I12" s="385">
        <f t="shared" ca="1" si="16"/>
        <v>0</v>
      </c>
      <c r="J12" s="385">
        <f t="shared" ca="1" si="16"/>
        <v>0</v>
      </c>
      <c r="K12" s="385">
        <f t="shared" ca="1" si="16"/>
        <v>0</v>
      </c>
      <c r="L12" s="385">
        <f t="shared" ca="1" si="16"/>
        <v>0</v>
      </c>
      <c r="M12" s="385">
        <f t="shared" ca="1" si="16"/>
        <v>0</v>
      </c>
      <c r="N12" s="385">
        <f t="shared" ca="1" si="16"/>
        <v>0</v>
      </c>
      <c r="O12" s="385">
        <f t="shared" ca="1" si="16"/>
        <v>1742.3677136592185</v>
      </c>
      <c r="P12" s="386">
        <f t="shared" ca="1" si="16"/>
        <v>1737.3527293523473</v>
      </c>
      <c r="Q12" s="385">
        <f t="shared" ca="1" si="16"/>
        <v>763.2900460645501</v>
      </c>
      <c r="R12" s="385">
        <f t="shared" ca="1" si="16"/>
        <v>1238.1051036644171</v>
      </c>
      <c r="S12" s="385">
        <f t="shared" ca="1" si="16"/>
        <v>1649.875701444234</v>
      </c>
      <c r="T12" s="385">
        <f t="shared" ca="1" si="16"/>
        <v>1647.7327065405773</v>
      </c>
      <c r="U12" s="385">
        <f t="shared" ca="1" si="16"/>
        <v>1627.1022636587531</v>
      </c>
      <c r="V12" s="385">
        <f t="shared" ca="1" si="16"/>
        <v>1585.5249724928872</v>
      </c>
      <c r="W12" s="385">
        <f t="shared" ca="1" si="16"/>
        <v>1188.5824442091784</v>
      </c>
      <c r="X12" s="385">
        <f t="shared" ca="1" si="16"/>
        <v>1176.2440013799203</v>
      </c>
      <c r="Y12" s="385">
        <f t="shared" ca="1" si="16"/>
        <v>1162.4530896505535</v>
      </c>
      <c r="Z12" s="385">
        <f t="shared" ca="1" si="16"/>
        <v>1175.9931593484569</v>
      </c>
      <c r="AA12" s="385">
        <f t="shared" ca="1" si="16"/>
        <v>1217.9879617718636</v>
      </c>
      <c r="AB12" s="386">
        <f t="shared" ca="1" si="16"/>
        <v>1218.243374464254</v>
      </c>
      <c r="AC12" s="385">
        <f t="shared" ca="1" si="12"/>
        <v>1232.1025668676245</v>
      </c>
      <c r="AD12" s="385">
        <f t="shared" ref="AD12:AP12" ca="1" si="17">IFERROR(AD9/AD6,0)</f>
        <v>0</v>
      </c>
      <c r="AE12" s="385">
        <f t="shared" ca="1" si="17"/>
        <v>0</v>
      </c>
      <c r="AF12" s="385">
        <f t="shared" ca="1" si="17"/>
        <v>0</v>
      </c>
      <c r="AG12" s="385">
        <f t="shared" ca="1" si="17"/>
        <v>0</v>
      </c>
      <c r="AH12" s="385">
        <f t="shared" ca="1" si="17"/>
        <v>0</v>
      </c>
      <c r="AI12" s="385">
        <f t="shared" ca="1" si="17"/>
        <v>0</v>
      </c>
      <c r="AJ12" s="385">
        <f t="shared" ca="1" si="17"/>
        <v>0</v>
      </c>
      <c r="AK12" s="385">
        <f t="shared" ca="1" si="17"/>
        <v>0</v>
      </c>
      <c r="AL12" s="385">
        <f t="shared" ca="1" si="17"/>
        <v>0</v>
      </c>
      <c r="AM12" s="385">
        <f t="shared" ca="1" si="17"/>
        <v>0</v>
      </c>
      <c r="AN12" s="385">
        <f t="shared" ca="1" si="17"/>
        <v>0</v>
      </c>
      <c r="AO12" s="338">
        <f t="shared" ca="1" si="17"/>
        <v>846.56340454511269</v>
      </c>
      <c r="AP12" s="333">
        <f t="shared" ca="1" si="17"/>
        <v>1246.2262325248842</v>
      </c>
      <c r="AQ12" s="333">
        <f ca="1">SUMIFS(AB12:AM12,AB$4:AM$4,"&lt;"&amp;'Title Sheet'!$C$13)</f>
        <v>2450.3459413318787</v>
      </c>
      <c r="AR12" s="333">
        <f ca="1">SUMIFS(AC12:AN12,AC$4:AN$4,"&lt;"&amp;'Title Sheet'!$C$13)</f>
        <v>1232.1025668676245</v>
      </c>
      <c r="AS12" s="339"/>
    </row>
    <row r="13" spans="2:83" ht="15.75" hidden="1" customHeight="1" x14ac:dyDescent="0.25">
      <c r="B13" t="str">
        <f t="shared" si="3"/>
        <v>PC Annual Direct</v>
      </c>
      <c r="D13" s="213" t="s">
        <v>0</v>
      </c>
      <c r="E13" s="387" t="str">
        <f t="shared" ref="E13:AB13" ca="1" si="18">IFERROR(IF(E11=0,"-",(E11/E12)-1),"-")</f>
        <v>-</v>
      </c>
      <c r="F13" s="387" t="str">
        <f t="shared" ca="1" si="18"/>
        <v>-</v>
      </c>
      <c r="G13" s="387" t="str">
        <f t="shared" ca="1" si="18"/>
        <v>-</v>
      </c>
      <c r="H13" s="387" t="str">
        <f t="shared" ca="1" si="18"/>
        <v>-</v>
      </c>
      <c r="I13" s="387" t="str">
        <f t="shared" ca="1" si="18"/>
        <v>-</v>
      </c>
      <c r="J13" s="387" t="str">
        <f t="shared" ca="1" si="18"/>
        <v>-</v>
      </c>
      <c r="K13" s="387" t="str">
        <f t="shared" ca="1" si="18"/>
        <v>-</v>
      </c>
      <c r="L13" s="387" t="str">
        <f t="shared" ca="1" si="18"/>
        <v>-</v>
      </c>
      <c r="M13" s="387" t="str">
        <f t="shared" ca="1" si="18"/>
        <v>-</v>
      </c>
      <c r="N13" s="387" t="str">
        <f t="shared" ca="1" si="18"/>
        <v>-</v>
      </c>
      <c r="O13" s="387">
        <f t="shared" ca="1" si="18"/>
        <v>-0.31367105535715289</v>
      </c>
      <c r="P13" s="388">
        <f t="shared" ca="1" si="18"/>
        <v>-0.32385570181733792</v>
      </c>
      <c r="Q13" s="387">
        <f t="shared" ca="1" si="18"/>
        <v>0.45982842342450181</v>
      </c>
      <c r="R13" s="387">
        <f t="shared" ca="1" si="18"/>
        <v>-1.0887253845679457E-2</v>
      </c>
      <c r="S13" s="387">
        <f t="shared" ca="1" si="18"/>
        <v>-0.24715423646386969</v>
      </c>
      <c r="T13" s="387">
        <f t="shared" ca="1" si="18"/>
        <v>-0.3115400259824519</v>
      </c>
      <c r="U13" s="387">
        <f t="shared" ca="1" si="18"/>
        <v>-0.33060181075995776</v>
      </c>
      <c r="V13" s="387">
        <f t="shared" ca="1" si="18"/>
        <v>-0.31766912315505769</v>
      </c>
      <c r="W13" s="387">
        <f t="shared" ca="1" si="18"/>
        <v>-9.2009416310378844E-2</v>
      </c>
      <c r="X13" s="387">
        <f t="shared" ca="1" si="18"/>
        <v>-8.0344367523350058E-2</v>
      </c>
      <c r="Y13" s="387">
        <f t="shared" ca="1" si="18"/>
        <v>-6.231339659164159E-2</v>
      </c>
      <c r="Z13" s="387">
        <f t="shared" ca="1" si="18"/>
        <v>-9.271572888526336E-2</v>
      </c>
      <c r="AA13" s="387">
        <f t="shared" ca="1" si="18"/>
        <v>-0.10275592173472337</v>
      </c>
      <c r="AB13" s="388">
        <f t="shared" ca="1" si="18"/>
        <v>-0.1053986392277565</v>
      </c>
      <c r="AC13" s="387">
        <f t="shared" ref="AC13" ca="1" si="19">IFERROR(IF(AC11=0,"-",(AC11/AC12)-1),"-")</f>
        <v>-0.14960604789221754</v>
      </c>
      <c r="AD13" s="387" t="str">
        <f t="shared" ref="AD13:AN13" ca="1" si="20">IFERROR(IF(AD11=0,"-",(AD11/AD12)-1),"-")</f>
        <v>-</v>
      </c>
      <c r="AE13" s="387" t="str">
        <f t="shared" ca="1" si="20"/>
        <v>-</v>
      </c>
      <c r="AF13" s="387" t="str">
        <f t="shared" ca="1" si="20"/>
        <v>-</v>
      </c>
      <c r="AG13" s="387" t="str">
        <f t="shared" ca="1" si="20"/>
        <v>-</v>
      </c>
      <c r="AH13" s="387" t="str">
        <f t="shared" ca="1" si="20"/>
        <v>-</v>
      </c>
      <c r="AI13" s="387" t="str">
        <f t="shared" ca="1" si="20"/>
        <v>-</v>
      </c>
      <c r="AJ13" s="387" t="str">
        <f t="shared" ca="1" si="20"/>
        <v>-</v>
      </c>
      <c r="AK13" s="387" t="str">
        <f t="shared" si="20"/>
        <v>-</v>
      </c>
      <c r="AL13" s="387" t="str">
        <f t="shared" si="20"/>
        <v>-</v>
      </c>
      <c r="AM13" s="387" t="str">
        <f t="shared" si="20"/>
        <v>-</v>
      </c>
      <c r="AN13" s="387" t="str">
        <f t="shared" si="20"/>
        <v>-</v>
      </c>
      <c r="AO13" s="342">
        <f t="shared" ref="AO13:AP13" ca="1" si="21">AO11-AO12</f>
        <v>210.52000953870834</v>
      </c>
      <c r="AP13" s="343">
        <f t="shared" ca="1" si="21"/>
        <v>-185.21742189897077</v>
      </c>
      <c r="AQ13" s="343">
        <f t="shared" ref="AQ13:AR13" ca="1" si="22">IFERROR(IF(AQ11=0,"-",(AQ11/AQ12)-1),"-")</f>
        <v>-0.54207468912974344</v>
      </c>
      <c r="AR13" s="343">
        <f t="shared" ca="1" si="22"/>
        <v>-7.8947273724172762E-2</v>
      </c>
      <c r="AS13" s="344"/>
    </row>
    <row r="14" spans="2:83" ht="15.75" x14ac:dyDescent="0.25">
      <c r="B14" t="str">
        <f t="shared" si="3"/>
        <v>PC Annual Direct</v>
      </c>
      <c r="D14" s="208" t="s">
        <v>7</v>
      </c>
      <c r="E14" s="283">
        <v>2496784.9196442887</v>
      </c>
      <c r="F14" s="283">
        <v>2485175.8660695194</v>
      </c>
      <c r="G14" s="283">
        <v>2806326.1964317253</v>
      </c>
      <c r="H14" s="283">
        <v>2473860.669643865</v>
      </c>
      <c r="I14" s="283">
        <v>2812501.0892885509</v>
      </c>
      <c r="J14" s="283">
        <v>2674199.1785725723</v>
      </c>
      <c r="K14" s="283">
        <v>2814261.6160722352</v>
      </c>
      <c r="L14" s="283">
        <v>3164323.1071525621</v>
      </c>
      <c r="M14" s="283">
        <v>3242318.7857170096</v>
      </c>
      <c r="N14" s="283">
        <v>3772961.6517859623</v>
      </c>
      <c r="O14" s="283">
        <v>4531577.4107139865</v>
      </c>
      <c r="P14" s="314">
        <v>4436938.5267816978</v>
      </c>
      <c r="Q14" s="283">
        <v>4898357.5178559562</v>
      </c>
      <c r="R14" s="283">
        <v>6020561.3392844694</v>
      </c>
      <c r="S14" s="283">
        <v>8379482.8660593918</v>
      </c>
      <c r="T14" s="283">
        <v>7400587.1339494968</v>
      </c>
      <c r="U14" s="283">
        <v>7027372.4732293002</v>
      </c>
      <c r="V14" s="283">
        <v>5899257.8392859837</v>
      </c>
      <c r="W14" s="283">
        <v>5028309.0803608084</v>
      </c>
      <c r="X14" s="283">
        <v>4370600.7499995213</v>
      </c>
      <c r="Y14" s="283">
        <v>4004691.7410705085</v>
      </c>
      <c r="Z14" s="283">
        <v>3799794.5242150435</v>
      </c>
      <c r="AA14" s="283">
        <v>3985946.0892833942</v>
      </c>
      <c r="AB14" s="314">
        <v>3948053.776785614</v>
      </c>
      <c r="AC14" s="283">
        <v>3920920.892856651</v>
      </c>
      <c r="AD14" s="283">
        <v>3188260.5624992419</v>
      </c>
      <c r="AE14" s="283">
        <v>4021599.3303484092</v>
      </c>
      <c r="AF14" s="283">
        <v>3884937.7589228037</v>
      </c>
      <c r="AG14" s="283">
        <v>4000374.1428585695</v>
      </c>
      <c r="AH14" s="283">
        <v>3627304.0982116126</v>
      </c>
      <c r="AI14" s="283">
        <v>3661834.5446401844</v>
      </c>
      <c r="AJ14" s="283">
        <v>1778003.2946410715</v>
      </c>
      <c r="AK14" s="283">
        <v>0</v>
      </c>
      <c r="AL14" s="283">
        <v>0</v>
      </c>
      <c r="AM14" s="283">
        <v>0</v>
      </c>
      <c r="AN14" s="283">
        <v>0</v>
      </c>
      <c r="AO14" s="335">
        <f ca="1">IFERROR(AVERAGE(INDEX($E14:$AN14, $AU$4 - 3):INDEX($E14:$AN14, $AU$4)),"-")</f>
        <v>3266879.0200878596</v>
      </c>
      <c r="AP14" s="332">
        <f ca="1">IFERROR(AVERAGE(INDEX($E14:$AN14, $AU$4 - 11):INDEX($E14:$AN14, $AU$4)),"-")</f>
        <v>3651810.0630277586</v>
      </c>
      <c r="AQ14" s="332" cm="1">
        <f t="array" ref="AQ14">IFERROR(SUMPRODUCT((YEAR($E$4:$AN$4)=2024)*$E14:$AN14),"-")</f>
        <v>64763015.131379485</v>
      </c>
      <c r="AR14" s="332">
        <f ca="1">IFERROR(SUM(INDEX($E14:$AN14, $AU$4 - MONTH(TODAY())-11):INDEX($E14:$AN14, $AU$4-12)),"-")</f>
        <v>49024529.00002493</v>
      </c>
      <c r="AS14" s="336">
        <f ca="1">IFERROR(SUM(INDEX($E14:$AN14, $AU$4 - MONTH(TODAY())+1):INDEX($E14:$AN14, $AU$4)),"-")</f>
        <v>28083234.624978542</v>
      </c>
      <c r="AU14" s="377"/>
      <c r="AV14" s="377"/>
      <c r="AW14" s="377"/>
      <c r="AX14" s="377"/>
      <c r="AY14" s="377"/>
      <c r="AZ14" s="377"/>
      <c r="BA14" s="377"/>
      <c r="BB14" s="377"/>
      <c r="BC14" s="377"/>
      <c r="BD14" s="377"/>
      <c r="BE14" s="377"/>
      <c r="BF14" s="377"/>
      <c r="BG14" s="377"/>
      <c r="BH14" s="377"/>
      <c r="BI14" s="377"/>
      <c r="BJ14" s="377"/>
      <c r="BK14" s="377"/>
      <c r="BL14" s="377"/>
      <c r="BM14" s="377"/>
      <c r="BN14" s="377"/>
      <c r="BO14" s="377"/>
      <c r="BP14" s="377"/>
      <c r="BQ14" s="377"/>
      <c r="BR14" s="377"/>
      <c r="BS14" s="377"/>
      <c r="BT14" s="377"/>
      <c r="BU14" s="377"/>
      <c r="BV14" s="377"/>
      <c r="BW14" s="377"/>
      <c r="BX14" s="377"/>
      <c r="BY14" s="377"/>
      <c r="BZ14" s="377"/>
      <c r="CA14" s="377"/>
      <c r="CB14" s="377"/>
      <c r="CC14" s="377"/>
      <c r="CD14" s="377"/>
      <c r="CE14" s="377"/>
    </row>
    <row r="15" spans="2:83" ht="15.75" hidden="1" customHeight="1" x14ac:dyDescent="0.25">
      <c r="B15" t="str">
        <f>$D$2&amp;"_GWP"</f>
        <v>PC Annual Direct_GWP</v>
      </c>
      <c r="D15" s="211" t="s">
        <v>23</v>
      </c>
      <c r="E15" s="31" t="str">
        <f ca="1">INDEX('Plan Figures'!$B$94:$AP$120,MATCH('Current - Sales, NWP, GWP'!E$4,'Plan Figures'!$B$94:$B$120,0),MATCH('Current - Sales, NWP, GWP'!$B15,'Plan Figures'!$B$1:$AP$1,0))</f>
        <v>-</v>
      </c>
      <c r="F15" s="31" t="str">
        <f ca="1">INDEX('Plan Figures'!$B$94:$AP$120,MATCH('Current - Sales, NWP, GWP'!F$4,'Plan Figures'!$B$94:$B$120,0),MATCH('Current - Sales, NWP, GWP'!$B15,'Plan Figures'!$B$1:$AP$1,0))</f>
        <v>-</v>
      </c>
      <c r="G15" s="31" t="str">
        <f ca="1">INDEX('Plan Figures'!$B$94:$AP$120,MATCH('Current - Sales, NWP, GWP'!G$4,'Plan Figures'!$B$94:$B$120,0),MATCH('Current - Sales, NWP, GWP'!$B15,'Plan Figures'!$B$1:$AP$1,0))</f>
        <v>-</v>
      </c>
      <c r="H15" s="31" t="str">
        <f ca="1">INDEX('Plan Figures'!$B$94:$AP$120,MATCH('Current - Sales, NWP, GWP'!H$4,'Plan Figures'!$B$94:$B$120,0),MATCH('Current - Sales, NWP, GWP'!$B15,'Plan Figures'!$B$1:$AP$1,0))</f>
        <v>-</v>
      </c>
      <c r="I15" s="31" t="str">
        <f ca="1">INDEX('Plan Figures'!$B$94:$AP$120,MATCH('Current - Sales, NWP, GWP'!I$4,'Plan Figures'!$B$94:$B$120,0),MATCH('Current - Sales, NWP, GWP'!$B15,'Plan Figures'!$B$1:$AP$1,0))</f>
        <v>-</v>
      </c>
      <c r="J15" s="31" t="str">
        <f ca="1">INDEX('Plan Figures'!$B$94:$AP$120,MATCH('Current - Sales, NWP, GWP'!J$4,'Plan Figures'!$B$94:$B$120,0),MATCH('Current - Sales, NWP, GWP'!$B15,'Plan Figures'!$B$1:$AP$1,0))</f>
        <v>-</v>
      </c>
      <c r="K15" s="31" t="str">
        <f ca="1">INDEX('Plan Figures'!$B$94:$AP$120,MATCH('Current - Sales, NWP, GWP'!K$4,'Plan Figures'!$B$94:$B$120,0),MATCH('Current - Sales, NWP, GWP'!$B15,'Plan Figures'!$B$1:$AP$1,0))</f>
        <v>-</v>
      </c>
      <c r="L15" s="31" t="str">
        <f ca="1">INDEX('Plan Figures'!$B$94:$AP$120,MATCH('Current - Sales, NWP, GWP'!L$4,'Plan Figures'!$B$94:$B$120,0),MATCH('Current - Sales, NWP, GWP'!$B15,'Plan Figures'!$B$1:$AP$1,0))</f>
        <v>-</v>
      </c>
      <c r="M15" s="31" t="str">
        <f ca="1">INDEX('Plan Figures'!$B$94:$AP$120,MATCH('Current - Sales, NWP, GWP'!M$4,'Plan Figures'!$B$94:$B$120,0),MATCH('Current - Sales, NWP, GWP'!$B15,'Plan Figures'!$B$1:$AP$1,0))</f>
        <v>-</v>
      </c>
      <c r="N15" s="31" t="str">
        <f ca="1">INDEX('Plan Figures'!$B$94:$AP$120,MATCH('Current - Sales, NWP, GWP'!N$4,'Plan Figures'!$B$94:$B$120,0),MATCH('Current - Sales, NWP, GWP'!$B15,'Plan Figures'!$B$1:$AP$1,0))</f>
        <v>-</v>
      </c>
      <c r="O15" s="31">
        <f ca="1">INDEX('Plan Figures'!$B$94:$AP$120,MATCH('Current - Sales, NWP, GWP'!O$4,'Plan Figures'!$B$94:$B$120,0),MATCH('Current - Sales, NWP, GWP'!$B15,'Plan Figures'!$B$1:$AP$1,0))</f>
        <v>2730383.5064988472</v>
      </c>
      <c r="P15" s="240">
        <f ca="1">INDEX('Plan Figures'!$B$94:$AP$120,MATCH('Current - Sales, NWP, GWP'!P$4,'Plan Figures'!$B$94:$B$120,0),MATCH('Current - Sales, NWP, GWP'!$B15,'Plan Figures'!$B$1:$AP$1,0))</f>
        <v>2820707.4327293462</v>
      </c>
      <c r="Q15" s="31">
        <f ca="1">INDEX('Plan Figures'!$B$94:$AP$120,MATCH('Current - Sales, NWP, GWP'!Q$4,'Plan Figures'!$B$94:$B$120,0),MATCH('Current - Sales, NWP, GWP'!$B15,'Plan Figures'!$B$1:$AP$1,0))</f>
        <v>7198457.7531405166</v>
      </c>
      <c r="R15" s="31">
        <f ca="1">INDEX('Plan Figures'!$B$94:$AP$120,MATCH('Current - Sales, NWP, GWP'!R$4,'Plan Figures'!$B$94:$B$120,0),MATCH('Current - Sales, NWP, GWP'!$B15,'Plan Figures'!$B$1:$AP$1,0))</f>
        <v>7198457.7531405166</v>
      </c>
      <c r="S15" s="31">
        <f ca="1">INDEX('Plan Figures'!$B$94:$AP$120,MATCH('Current - Sales, NWP, GWP'!S$4,'Plan Figures'!$B$94:$B$120,0),MATCH('Current - Sales, NWP, GWP'!$B15,'Plan Figures'!$B$1:$AP$1,0))</f>
        <v>7198457.7531405166</v>
      </c>
      <c r="T15" s="31">
        <f ca="1">INDEX('Plan Figures'!$B$94:$AP$120,MATCH('Current - Sales, NWP, GWP'!T$4,'Plan Figures'!$B$94:$B$120,0),MATCH('Current - Sales, NWP, GWP'!$B15,'Plan Figures'!$B$1:$AP$1,0))</f>
        <v>7198457.7531405166</v>
      </c>
      <c r="U15" s="31">
        <f ca="1">INDEX('Plan Figures'!$B$94:$AP$120,MATCH('Current - Sales, NWP, GWP'!U$4,'Plan Figures'!$B$94:$B$120,0),MATCH('Current - Sales, NWP, GWP'!$B15,'Plan Figures'!$B$1:$AP$1,0))</f>
        <v>7199202.3378039896</v>
      </c>
      <c r="V15" s="31">
        <f ca="1">INDEX('Plan Figures'!$B$94:$AP$120,MATCH('Current - Sales, NWP, GWP'!V$4,'Plan Figures'!$B$94:$B$120,0),MATCH('Current - Sales, NWP, GWP'!$B15,'Plan Figures'!$B$1:$AP$1,0))</f>
        <v>7318060.3548614681</v>
      </c>
      <c r="W15" s="31">
        <f ca="1">INDEX('Plan Figures'!$B$94:$AP$120,MATCH('Current - Sales, NWP, GWP'!W$4,'Plan Figures'!$B$94:$B$120,0),MATCH('Current - Sales, NWP, GWP'!$B15,'Plan Figures'!$B$1:$AP$1,0))</f>
        <v>5702766.7093693437</v>
      </c>
      <c r="X15" s="31">
        <f ca="1">INDEX('Plan Figures'!$B$94:$AP$120,MATCH('Current - Sales, NWP, GWP'!X$4,'Plan Figures'!$B$94:$B$120,0),MATCH('Current - Sales, NWP, GWP'!$B15,'Plan Figures'!$B$1:$AP$1,0))</f>
        <v>5426953.6412024517</v>
      </c>
      <c r="Y15" s="31">
        <f ca="1">INDEX('Plan Figures'!$B$94:$AP$120,MATCH('Current - Sales, NWP, GWP'!Y$4,'Plan Figures'!$B$94:$B$120,0),MATCH('Current - Sales, NWP, GWP'!$B15,'Plan Figures'!$B$1:$AP$1,0))</f>
        <v>6639050.0501694726</v>
      </c>
      <c r="Z15" s="31">
        <f ca="1">INDEX('Plan Figures'!$B$94:$AP$120,MATCH('Current - Sales, NWP, GWP'!Z$4,'Plan Figures'!$B$94:$B$120,0),MATCH('Current - Sales, NWP, GWP'!$B15,'Plan Figures'!$B$1:$AP$1,0))</f>
        <v>6813714.3506357027</v>
      </c>
      <c r="AA15" s="31">
        <f ca="1">INDEX('Plan Figures'!$B$94:$AP$120,MATCH('Current - Sales, NWP, GWP'!AA$4,'Plan Figures'!$B$94:$B$120,0),MATCH('Current - Sales, NWP, GWP'!$B15,'Plan Figures'!$B$1:$AP$1,0))</f>
        <v>5575144.8181224335</v>
      </c>
      <c r="AB15" s="240">
        <f ca="1">INDEX('Plan Figures'!$B$94:$AP$120,MATCH('Current - Sales, NWP, GWP'!AB$4,'Plan Figures'!$B$94:$B$120,0),MATCH('Current - Sales, NWP, GWP'!$B15,'Plan Figures'!$B$1:$AP$1,0))</f>
        <v>4837687.2736693304</v>
      </c>
      <c r="AC15" s="31">
        <f ca="1">INDEX('Plan Figures'!$B$94:$AP$120,MATCH('Current - Sales, NWP, GWP'!AC$4,'Plan Figures'!$B$94:$B$120,0),MATCH('Current - Sales, NWP, GWP'!$B15,'Plan Figures'!$B$1:$AP$1,0))</f>
        <v>8796274.2057914324</v>
      </c>
      <c r="AD15" s="31" t="e">
        <f>INDEX('Plan Figures'!$B$94:$AP$120,MATCH('Current - Sales, NWP, GWP'!AD$4,'Plan Figures'!$B$94:$B$120,0),MATCH('Current - Sales, NWP, GWP'!$B15,'Plan Figures'!$B$1:$AP$1,0))</f>
        <v>#N/A</v>
      </c>
      <c r="AE15" s="31" t="e">
        <f>INDEX('Plan Figures'!$B$94:$AP$120,MATCH('Current - Sales, NWP, GWP'!AE$4,'Plan Figures'!$B$94:$B$120,0),MATCH('Current - Sales, NWP, GWP'!$B15,'Plan Figures'!$B$1:$AP$1,0))</f>
        <v>#N/A</v>
      </c>
      <c r="AF15" s="31" t="e">
        <f>INDEX('Plan Figures'!$B$94:$AP$120,MATCH('Current - Sales, NWP, GWP'!AF$4,'Plan Figures'!$B$94:$B$120,0),MATCH('Current - Sales, NWP, GWP'!$B15,'Plan Figures'!$B$1:$AP$1,0))</f>
        <v>#N/A</v>
      </c>
      <c r="AG15" s="31" t="e">
        <f>INDEX('Plan Figures'!$B$94:$AP$120,MATCH('Current - Sales, NWP, GWP'!AG$4,'Plan Figures'!$B$94:$B$120,0),MATCH('Current - Sales, NWP, GWP'!$B15,'Plan Figures'!$B$1:$AP$1,0))</f>
        <v>#N/A</v>
      </c>
      <c r="AH15" s="31" t="e">
        <f>INDEX('Plan Figures'!$B$94:$AP$120,MATCH('Current - Sales, NWP, GWP'!AH$4,'Plan Figures'!$B$94:$B$120,0),MATCH('Current - Sales, NWP, GWP'!$B15,'Plan Figures'!$B$1:$AP$1,0))</f>
        <v>#N/A</v>
      </c>
      <c r="AI15" s="31" t="e">
        <f>INDEX('Plan Figures'!$B$94:$AP$120,MATCH('Current - Sales, NWP, GWP'!AI$4,'Plan Figures'!$B$94:$B$120,0),MATCH('Current - Sales, NWP, GWP'!$B15,'Plan Figures'!$B$1:$AP$1,0))</f>
        <v>#N/A</v>
      </c>
      <c r="AJ15" s="31" t="e">
        <f>INDEX('Plan Figures'!$B$94:$AP$120,MATCH('Current - Sales, NWP, GWP'!AJ$4,'Plan Figures'!$B$94:$B$120,0),MATCH('Current - Sales, NWP, GWP'!$B15,'Plan Figures'!$B$1:$AP$1,0))</f>
        <v>#N/A</v>
      </c>
      <c r="AK15" s="31" t="e">
        <f>INDEX('Plan Figures'!$B$94:$AP$120,MATCH('Current - Sales, NWP, GWP'!AK$4,'Plan Figures'!$B$94:$B$120,0),MATCH('Current - Sales, NWP, GWP'!$B15,'Plan Figures'!$B$1:$AP$1,0))</f>
        <v>#N/A</v>
      </c>
      <c r="AL15" s="31" t="e">
        <f>INDEX('Plan Figures'!$B$94:$AP$120,MATCH('Current - Sales, NWP, GWP'!AL$4,'Plan Figures'!$B$94:$B$120,0),MATCH('Current - Sales, NWP, GWP'!$B15,'Plan Figures'!$B$1:$AP$1,0))</f>
        <v>#N/A</v>
      </c>
      <c r="AM15" s="31" t="e">
        <f>INDEX('Plan Figures'!$B$94:$AP$120,MATCH('Current - Sales, NWP, GWP'!AM$4,'Plan Figures'!$B$94:$B$120,0),MATCH('Current - Sales, NWP, GWP'!$B15,'Plan Figures'!$B$1:$AP$1,0))</f>
        <v>#N/A</v>
      </c>
      <c r="AN15" s="31" t="e">
        <f>INDEX('Plan Figures'!$B$94:$AP$120,MATCH('Current - Sales, NWP, GWP'!AN$4,'Plan Figures'!$B$94:$B$120,0),MATCH('Current - Sales, NWP, GWP'!$B15,'Plan Figures'!$B$1:$AP$1,0))</f>
        <v>#N/A</v>
      </c>
      <c r="AO15" s="239">
        <f t="shared" ref="AO15:AO16" ca="1" si="23">AVERAGE(Z15:AC15)</f>
        <v>6505705.1620547241</v>
      </c>
      <c r="AP15" s="31">
        <f t="shared" ref="AP15:AP16" ca="1" si="24">AVERAGE(R15:AC15)</f>
        <v>6658685.583420597</v>
      </c>
      <c r="AQ15" s="31" t="e">
        <f ca="1">SUMIFS(AB15:AM15,AB$4:AM$4,"&lt;"&amp;'Title Sheet'!$C$13)</f>
        <v>#N/A</v>
      </c>
      <c r="AR15" s="31" t="e">
        <f ca="1">SUMIFS(AC15:AN15,AC$4:AN$4,"&lt;"&amp;'Title Sheet'!$C$13)</f>
        <v>#N/A</v>
      </c>
      <c r="AS15" s="240"/>
    </row>
    <row r="16" spans="2:83" ht="15.75" hidden="1" customHeight="1" x14ac:dyDescent="0.25">
      <c r="B16" t="str">
        <f t="shared" si="3"/>
        <v>PC Annual Direct</v>
      </c>
      <c r="D16" s="213" t="s">
        <v>0</v>
      </c>
      <c r="E16" s="214" t="str">
        <f t="shared" ref="E16:AB16" ca="1" si="25">IFERROR(IF(E14=0,"-",(E14/E15)-1),"-")</f>
        <v>-</v>
      </c>
      <c r="F16" s="214" t="str">
        <f t="shared" ca="1" si="25"/>
        <v>-</v>
      </c>
      <c r="G16" s="214" t="str">
        <f t="shared" ca="1" si="25"/>
        <v>-</v>
      </c>
      <c r="H16" s="214" t="str">
        <f t="shared" ca="1" si="25"/>
        <v>-</v>
      </c>
      <c r="I16" s="214" t="str">
        <f t="shared" ca="1" si="25"/>
        <v>-</v>
      </c>
      <c r="J16" s="214" t="str">
        <f t="shared" ca="1" si="25"/>
        <v>-</v>
      </c>
      <c r="K16" s="214" t="str">
        <f t="shared" ca="1" si="25"/>
        <v>-</v>
      </c>
      <c r="L16" s="214" t="str">
        <f t="shared" ca="1" si="25"/>
        <v>-</v>
      </c>
      <c r="M16" s="214" t="str">
        <f t="shared" ca="1" si="25"/>
        <v>-</v>
      </c>
      <c r="N16" s="214" t="str">
        <f t="shared" ca="1" si="25"/>
        <v>-</v>
      </c>
      <c r="O16" s="214">
        <f t="shared" ca="1" si="25"/>
        <v>0.65968531524159335</v>
      </c>
      <c r="P16" s="294">
        <f t="shared" ca="1" si="25"/>
        <v>0.5729878523730727</v>
      </c>
      <c r="Q16" s="214">
        <f t="shared" ca="1" si="25"/>
        <v>-0.3195268089586385</v>
      </c>
      <c r="R16" s="214">
        <f t="shared" ca="1" si="25"/>
        <v>-0.16363177422860598</v>
      </c>
      <c r="S16" s="214">
        <f t="shared" ca="1" si="25"/>
        <v>0.16406640886426294</v>
      </c>
      <c r="T16" s="214">
        <f t="shared" ca="1" si="25"/>
        <v>2.8079539776530105E-2</v>
      </c>
      <c r="U16" s="214">
        <f t="shared" ca="1" si="25"/>
        <v>-2.3867903208163455E-2</v>
      </c>
      <c r="V16" s="214">
        <f t="shared" ca="1" si="25"/>
        <v>-0.19387685353441475</v>
      </c>
      <c r="W16" s="214">
        <f t="shared" ca="1" si="25"/>
        <v>-0.11826849376469095</v>
      </c>
      <c r="X16" s="214">
        <f t="shared" ca="1" si="25"/>
        <v>-0.19464933018459951</v>
      </c>
      <c r="Y16" s="214">
        <f t="shared" ca="1" si="25"/>
        <v>-0.39679747692694645</v>
      </c>
      <c r="Z16" s="214">
        <f t="shared" ca="1" si="25"/>
        <v>-0.4423314027156815</v>
      </c>
      <c r="AA16" s="214">
        <f t="shared" ca="1" si="25"/>
        <v>-0.28505066337886464</v>
      </c>
      <c r="AB16" s="294">
        <f t="shared" ca="1" si="25"/>
        <v>-0.1838964460819601</v>
      </c>
      <c r="AC16" s="214">
        <f t="shared" ref="AC16" ca="1" si="26">IFERROR(IF(AC14=0,"-",(AC14/AC15)-1),"-")</f>
        <v>-0.55425208433416828</v>
      </c>
      <c r="AD16" s="214" t="str">
        <f t="shared" ref="AD16:AN16" si="27">IFERROR(IF(AD14=0,"-",(AD14/AD15)-1),"-")</f>
        <v>-</v>
      </c>
      <c r="AE16" s="214" t="str">
        <f t="shared" si="27"/>
        <v>-</v>
      </c>
      <c r="AF16" s="214" t="str">
        <f t="shared" si="27"/>
        <v>-</v>
      </c>
      <c r="AG16" s="214" t="str">
        <f t="shared" si="27"/>
        <v>-</v>
      </c>
      <c r="AH16" s="214" t="str">
        <f t="shared" si="27"/>
        <v>-</v>
      </c>
      <c r="AI16" s="214" t="str">
        <f t="shared" si="27"/>
        <v>-</v>
      </c>
      <c r="AJ16" s="214" t="str">
        <f t="shared" si="27"/>
        <v>-</v>
      </c>
      <c r="AK16" s="214" t="str">
        <f t="shared" si="27"/>
        <v>-</v>
      </c>
      <c r="AL16" s="214" t="str">
        <f t="shared" si="27"/>
        <v>-</v>
      </c>
      <c r="AM16" s="214" t="str">
        <f t="shared" si="27"/>
        <v>-</v>
      </c>
      <c r="AN16" s="214" t="str">
        <f t="shared" si="27"/>
        <v>-</v>
      </c>
      <c r="AO16" s="274">
        <f t="shared" ca="1" si="23"/>
        <v>-0.3663826491276686</v>
      </c>
      <c r="AP16" s="275">
        <f t="shared" ca="1" si="24"/>
        <v>-0.19703970664310858</v>
      </c>
      <c r="AQ16" s="275" t="str">
        <f t="shared" ref="AQ16:AR16" ca="1" si="28">IFERROR(IF(AQ14=0,"-",(AQ14/AQ15)-1),"-")</f>
        <v>-</v>
      </c>
      <c r="AR16" s="275" t="str">
        <f t="shared" ca="1" si="28"/>
        <v>-</v>
      </c>
      <c r="AS16" s="276"/>
    </row>
    <row r="17" spans="2:45" ht="15.75" thickBot="1" x14ac:dyDescent="0.3">
      <c r="B17" t="str">
        <f t="shared" si="3"/>
        <v>PC Annual Direct</v>
      </c>
      <c r="D17" s="398" t="s">
        <v>17</v>
      </c>
      <c r="E17" s="396"/>
      <c r="F17" s="259"/>
      <c r="G17" s="259"/>
      <c r="H17" s="259"/>
      <c r="I17" s="259"/>
      <c r="J17" s="259"/>
      <c r="K17" s="259"/>
      <c r="L17" s="259"/>
      <c r="M17" s="259"/>
      <c r="N17" s="259"/>
      <c r="O17" s="259"/>
      <c r="P17" s="313"/>
      <c r="Q17" s="259"/>
      <c r="R17" s="259"/>
      <c r="S17" s="259"/>
      <c r="T17" s="259"/>
      <c r="U17" s="259"/>
      <c r="V17" s="259"/>
      <c r="W17" s="259"/>
      <c r="X17" s="259"/>
      <c r="Y17" s="259"/>
      <c r="Z17" s="259"/>
      <c r="AA17" s="259"/>
      <c r="AB17" s="313"/>
      <c r="AC17" s="259"/>
      <c r="AD17" s="259"/>
      <c r="AE17" s="259"/>
      <c r="AF17" s="259"/>
      <c r="AG17" s="259"/>
      <c r="AH17" s="259"/>
      <c r="AI17" s="259"/>
      <c r="AJ17" s="259"/>
      <c r="AK17" s="259"/>
      <c r="AL17" s="259"/>
      <c r="AM17" s="259"/>
      <c r="AN17" s="259"/>
      <c r="AO17" s="376"/>
      <c r="AP17" s="277"/>
      <c r="AQ17" s="277"/>
      <c r="AR17" s="277"/>
      <c r="AS17" s="278"/>
    </row>
    <row r="18" spans="2:45" ht="15.75" x14ac:dyDescent="0.25">
      <c r="D18" s="371" t="s">
        <v>14</v>
      </c>
      <c r="E18" s="397">
        <f>IFERROR((E14-E8)/E14,"-")</f>
        <v>0.13634037810800842</v>
      </c>
      <c r="F18" s="372">
        <f t="shared" ref="F18:AS18" si="29">IFERROR((F14-F8)/F14,"-")</f>
        <v>0.11180950362279882</v>
      </c>
      <c r="G18" s="372">
        <f t="shared" si="29"/>
        <v>0.15712829840034342</v>
      </c>
      <c r="H18" s="372">
        <f t="shared" si="29"/>
        <v>0.14475612729355655</v>
      </c>
      <c r="I18" s="372">
        <f t="shared" si="29"/>
        <v>0.13233758785635766</v>
      </c>
      <c r="J18" s="372">
        <f t="shared" si="29"/>
        <v>0.15352130585090046</v>
      </c>
      <c r="K18" s="372">
        <f t="shared" si="29"/>
        <v>0.15332426364890736</v>
      </c>
      <c r="L18" s="372">
        <f t="shared" si="29"/>
        <v>0.15176030188383399</v>
      </c>
      <c r="M18" s="372">
        <f t="shared" si="29"/>
        <v>0.15070089102760462</v>
      </c>
      <c r="N18" s="372">
        <f t="shared" si="29"/>
        <v>0.14928685260644081</v>
      </c>
      <c r="O18" s="372">
        <f t="shared" si="29"/>
        <v>0.14747924606083138</v>
      </c>
      <c r="P18" s="373">
        <f t="shared" si="29"/>
        <v>0.14483955685214114</v>
      </c>
      <c r="Q18" s="372">
        <f t="shared" si="29"/>
        <v>0.19850516350725908</v>
      </c>
      <c r="R18" s="372">
        <f t="shared" si="29"/>
        <v>0.13806031251335202</v>
      </c>
      <c r="S18" s="372">
        <f t="shared" si="29"/>
        <v>9.5013992237837644E-2</v>
      </c>
      <c r="T18" s="372">
        <f t="shared" si="29"/>
        <v>9.2143286425828877E-2</v>
      </c>
      <c r="U18" s="372">
        <f t="shared" si="29"/>
        <v>9.1265410001399649E-2</v>
      </c>
      <c r="V18" s="372">
        <f t="shared" si="29"/>
        <v>9.2472454138684879E-2</v>
      </c>
      <c r="W18" s="372">
        <f t="shared" si="29"/>
        <v>9.1402511790259461E-2</v>
      </c>
      <c r="X18" s="372">
        <f t="shared" si="29"/>
        <v>9.022694420156975E-2</v>
      </c>
      <c r="Y18" s="372">
        <f t="shared" si="29"/>
        <v>8.9787537530541264E-2</v>
      </c>
      <c r="Z18" s="372">
        <f t="shared" si="29"/>
        <v>8.7423608798717467E-2</v>
      </c>
      <c r="AA18" s="372">
        <f t="shared" si="29"/>
        <v>8.6076999616722188E-2</v>
      </c>
      <c r="AB18" s="373">
        <f t="shared" si="29"/>
        <v>8.0050262197203292E-2</v>
      </c>
      <c r="AC18" s="372">
        <f t="shared" si="29"/>
        <v>7.8343618347780836E-2</v>
      </c>
      <c r="AD18" s="372">
        <f t="shared" si="29"/>
        <v>7.6592369166704075E-2</v>
      </c>
      <c r="AE18" s="372">
        <f t="shared" si="29"/>
        <v>5.26766822349626E-2</v>
      </c>
      <c r="AF18" s="372">
        <f t="shared" si="29"/>
        <v>4.0162411776310997E-2</v>
      </c>
      <c r="AG18" s="372">
        <f t="shared" si="29"/>
        <v>4.0931471445795869E-2</v>
      </c>
      <c r="AH18" s="372">
        <f t="shared" si="29"/>
        <v>3.9340658002889196E-2</v>
      </c>
      <c r="AI18" s="372">
        <f t="shared" si="29"/>
        <v>3.996539936914198E-2</v>
      </c>
      <c r="AJ18" s="372">
        <f t="shared" si="29"/>
        <v>3.9534645526936724E-2</v>
      </c>
      <c r="AK18" s="372" t="str">
        <f t="shared" si="29"/>
        <v>-</v>
      </c>
      <c r="AL18" s="372" t="str">
        <f t="shared" si="29"/>
        <v>-</v>
      </c>
      <c r="AM18" s="372" t="str">
        <f t="shared" si="29"/>
        <v>-</v>
      </c>
      <c r="AN18" s="373" t="str">
        <f t="shared" si="29"/>
        <v>-</v>
      </c>
      <c r="AO18" s="392">
        <f t="shared" ca="1" si="29"/>
        <v>4.0029117759210482E-2</v>
      </c>
      <c r="AP18" s="374">
        <f t="shared" ca="1" si="29"/>
        <v>6.3740852978753385E-2</v>
      </c>
      <c r="AQ18" s="374">
        <f t="shared" si="29"/>
        <v>0.10304272363573758</v>
      </c>
      <c r="AR18" s="374">
        <f t="shared" ca="1" si="29"/>
        <v>0.10856714788625829</v>
      </c>
      <c r="AS18" s="375">
        <f t="shared" ca="1" si="29"/>
        <v>5.1359100875173778E-2</v>
      </c>
    </row>
    <row r="19" spans="2:45" ht="16.5" thickBot="1" x14ac:dyDescent="0.3">
      <c r="D19" s="368" t="s">
        <v>198</v>
      </c>
      <c r="E19" s="369">
        <v>0.40898575375758639</v>
      </c>
      <c r="F19" s="369">
        <v>0.44111162275450683</v>
      </c>
      <c r="G19" s="369">
        <v>0.42402318173964593</v>
      </c>
      <c r="H19" s="369">
        <v>0.37958100580023474</v>
      </c>
      <c r="I19" s="369">
        <v>0.37981252182825131</v>
      </c>
      <c r="J19" s="369">
        <v>0.3201986693883368</v>
      </c>
      <c r="K19" s="369">
        <v>0.32152781793496182</v>
      </c>
      <c r="L19" s="369">
        <v>0.35823128141034011</v>
      </c>
      <c r="M19" s="369">
        <v>0.38915919120257897</v>
      </c>
      <c r="N19" s="369">
        <v>0.45556116225074039</v>
      </c>
      <c r="O19" s="369">
        <v>0.53365232930493645</v>
      </c>
      <c r="P19" s="370">
        <v>0.51721248050929969</v>
      </c>
      <c r="Q19" s="369">
        <v>0.52688579438696592</v>
      </c>
      <c r="R19" s="369">
        <v>0.59897851034002736</v>
      </c>
      <c r="S19" s="369">
        <v>0.6871463890858992</v>
      </c>
      <c r="T19" s="369">
        <v>0.67238253787192537</v>
      </c>
      <c r="U19" s="369">
        <v>0.64653564397616414</v>
      </c>
      <c r="V19" s="369">
        <v>0.61385465517946192</v>
      </c>
      <c r="W19" s="369">
        <v>0.5907432573035527</v>
      </c>
      <c r="X19" s="369">
        <v>0.62326229921675369</v>
      </c>
      <c r="Y19" s="369">
        <v>0.69352360087489107</v>
      </c>
      <c r="Z19" s="369">
        <v>0.75510970569410085</v>
      </c>
      <c r="AA19" s="369">
        <v>0.74604869047778166</v>
      </c>
      <c r="AB19" s="370">
        <v>0.76778807820062023</v>
      </c>
      <c r="AC19" s="369">
        <v>0.75275408135904442</v>
      </c>
      <c r="AD19" s="369">
        <v>0.71338900611035194</v>
      </c>
      <c r="AE19" s="369">
        <v>0.75155306783311548</v>
      </c>
      <c r="AF19" s="369">
        <v>0.77165023965013513</v>
      </c>
      <c r="AG19" s="369">
        <v>0.74850515693800734</v>
      </c>
      <c r="AH19" s="369">
        <v>0.73834445801650084</v>
      </c>
      <c r="AI19" s="369">
        <v>0.74138604642135186</v>
      </c>
      <c r="AJ19" s="369">
        <v>0.74265715594129977</v>
      </c>
      <c r="AK19" s="369" t="s">
        <v>491</v>
      </c>
      <c r="AL19" s="369" t="s">
        <v>491</v>
      </c>
      <c r="AM19" s="369" t="s">
        <v>491</v>
      </c>
      <c r="AN19" s="369" t="s">
        <v>491</v>
      </c>
      <c r="AO19" s="399">
        <v>0.74287000327711283</v>
      </c>
      <c r="AP19" s="400">
        <v>0.74357899484373668</v>
      </c>
      <c r="AQ19" s="400">
        <v>0.73977213514666817</v>
      </c>
      <c r="AR19" s="400">
        <v>0.62560509724719926</v>
      </c>
      <c r="AS19" s="401">
        <v>0.74591851320842462</v>
      </c>
    </row>
    <row r="21" spans="2:45" ht="15.75" thickBot="1" x14ac:dyDescent="0.3"/>
    <row r="22" spans="2:45" ht="21" x14ac:dyDescent="0.25">
      <c r="D22" s="362" t="s">
        <v>183</v>
      </c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33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33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507" t="s">
        <v>484</v>
      </c>
      <c r="AP22" s="508"/>
      <c r="AQ22" s="508"/>
      <c r="AR22" s="508"/>
      <c r="AS22" s="509"/>
    </row>
    <row r="23" spans="2:45" x14ac:dyDescent="0.25">
      <c r="D23" s="204"/>
      <c r="E23" s="303" t="s">
        <v>341</v>
      </c>
      <c r="F23" s="303"/>
      <c r="G23" s="303"/>
      <c r="H23" s="303"/>
      <c r="I23" s="303"/>
      <c r="J23" s="303"/>
      <c r="K23" s="303"/>
      <c r="L23" s="303"/>
      <c r="M23" s="303"/>
      <c r="N23" s="303"/>
      <c r="O23" s="303"/>
      <c r="P23" s="317"/>
      <c r="Q23" s="320" t="s">
        <v>341</v>
      </c>
      <c r="R23" s="303"/>
      <c r="S23" s="303"/>
      <c r="T23" s="303"/>
      <c r="U23" s="303"/>
      <c r="V23" s="303"/>
      <c r="W23" s="303"/>
      <c r="X23" s="303"/>
      <c r="Y23" s="303"/>
      <c r="Z23" s="303"/>
      <c r="AA23" s="303"/>
      <c r="AB23" s="317"/>
      <c r="AC23" s="303" t="s">
        <v>341</v>
      </c>
      <c r="AD23" s="303"/>
      <c r="AE23" s="303"/>
      <c r="AF23" s="303"/>
      <c r="AG23" s="303"/>
      <c r="AH23" s="303"/>
      <c r="AI23" s="303"/>
      <c r="AJ23" s="303"/>
      <c r="AK23" s="303"/>
      <c r="AL23" s="303"/>
      <c r="AM23" s="303"/>
      <c r="AN23" s="303"/>
      <c r="AO23" s="510" t="s">
        <v>485</v>
      </c>
      <c r="AP23" s="511"/>
      <c r="AQ23" s="511" t="s">
        <v>486</v>
      </c>
      <c r="AR23" s="511"/>
      <c r="AS23" s="512"/>
    </row>
    <row r="24" spans="2:45" x14ac:dyDescent="0.25">
      <c r="D24" s="354" t="s">
        <v>487</v>
      </c>
      <c r="E24" s="304">
        <f t="shared" ref="E24:R24" si="30">E$4</f>
        <v>44927</v>
      </c>
      <c r="F24" s="304">
        <f t="shared" si="30"/>
        <v>44958</v>
      </c>
      <c r="G24" s="304">
        <f t="shared" si="30"/>
        <v>44986</v>
      </c>
      <c r="H24" s="304">
        <f t="shared" si="30"/>
        <v>45017</v>
      </c>
      <c r="I24" s="304">
        <f t="shared" si="30"/>
        <v>45047</v>
      </c>
      <c r="J24" s="304">
        <f t="shared" si="30"/>
        <v>45078</v>
      </c>
      <c r="K24" s="304">
        <f t="shared" si="30"/>
        <v>45108</v>
      </c>
      <c r="L24" s="304">
        <f t="shared" si="30"/>
        <v>45139</v>
      </c>
      <c r="M24" s="304">
        <f t="shared" si="30"/>
        <v>45170</v>
      </c>
      <c r="N24" s="304">
        <f t="shared" si="30"/>
        <v>45200</v>
      </c>
      <c r="O24" s="304">
        <f t="shared" si="30"/>
        <v>45231</v>
      </c>
      <c r="P24" s="390">
        <f t="shared" si="30"/>
        <v>45261</v>
      </c>
      <c r="Q24" s="304">
        <f t="shared" si="30"/>
        <v>45292</v>
      </c>
      <c r="R24" s="304">
        <f t="shared" si="30"/>
        <v>45323</v>
      </c>
      <c r="S24" s="304">
        <f t="shared" ref="S24:AN24" si="31">S$4</f>
        <v>45352</v>
      </c>
      <c r="T24" s="304">
        <f t="shared" si="31"/>
        <v>45383</v>
      </c>
      <c r="U24" s="304">
        <f t="shared" si="31"/>
        <v>45413</v>
      </c>
      <c r="V24" s="304">
        <f t="shared" si="31"/>
        <v>45444</v>
      </c>
      <c r="W24" s="304">
        <f t="shared" si="31"/>
        <v>45474</v>
      </c>
      <c r="X24" s="304">
        <f t="shared" si="31"/>
        <v>45505</v>
      </c>
      <c r="Y24" s="304">
        <f t="shared" si="31"/>
        <v>45536</v>
      </c>
      <c r="Z24" s="304">
        <f t="shared" si="31"/>
        <v>45566</v>
      </c>
      <c r="AA24" s="304">
        <f t="shared" si="31"/>
        <v>45597</v>
      </c>
      <c r="AB24" s="390">
        <f t="shared" si="31"/>
        <v>45627</v>
      </c>
      <c r="AC24" s="304">
        <f t="shared" si="31"/>
        <v>45658</v>
      </c>
      <c r="AD24" s="304">
        <f t="shared" si="31"/>
        <v>45689</v>
      </c>
      <c r="AE24" s="304">
        <f t="shared" si="31"/>
        <v>45717</v>
      </c>
      <c r="AF24" s="304">
        <f t="shared" si="31"/>
        <v>45748</v>
      </c>
      <c r="AG24" s="304">
        <f t="shared" si="31"/>
        <v>45778</v>
      </c>
      <c r="AH24" s="304">
        <f t="shared" si="31"/>
        <v>45809</v>
      </c>
      <c r="AI24" s="304">
        <f t="shared" si="31"/>
        <v>45839</v>
      </c>
      <c r="AJ24" s="304">
        <f t="shared" si="31"/>
        <v>45870</v>
      </c>
      <c r="AK24" s="304">
        <f t="shared" si="31"/>
        <v>45901</v>
      </c>
      <c r="AL24" s="304">
        <f t="shared" si="31"/>
        <v>45931</v>
      </c>
      <c r="AM24" s="304">
        <f t="shared" si="31"/>
        <v>45962</v>
      </c>
      <c r="AN24" s="304">
        <f t="shared" si="31"/>
        <v>45992</v>
      </c>
      <c r="AO24" s="351" t="s">
        <v>349</v>
      </c>
      <c r="AP24" s="352" t="s">
        <v>348</v>
      </c>
      <c r="AQ24" s="352" t="s">
        <v>772</v>
      </c>
      <c r="AR24" s="352" t="s">
        <v>490</v>
      </c>
      <c r="AS24" s="353" t="s">
        <v>773</v>
      </c>
    </row>
    <row r="25" spans="2:45" ht="15.75" x14ac:dyDescent="0.25">
      <c r="B25" t="str">
        <f>$D$2</f>
        <v>PC Annual Direct</v>
      </c>
      <c r="D25" s="223" t="s">
        <v>488</v>
      </c>
      <c r="E25" s="209">
        <f t="shared" ref="E25:AB25" si="32">E42+E60</f>
        <v>2004.9287671809998</v>
      </c>
      <c r="F25" s="209">
        <f t="shared" si="32"/>
        <v>2177.1205480079975</v>
      </c>
      <c r="G25" s="209">
        <f t="shared" si="32"/>
        <v>2686.721311545401</v>
      </c>
      <c r="H25" s="209">
        <f t="shared" si="32"/>
        <v>1944.6939891300005</v>
      </c>
      <c r="I25" s="209">
        <f t="shared" si="32"/>
        <v>1627.2103825526017</v>
      </c>
      <c r="J25" s="209">
        <f t="shared" si="32"/>
        <v>1168.2404371882005</v>
      </c>
      <c r="K25" s="209">
        <f t="shared" si="32"/>
        <v>657.13661201320099</v>
      </c>
      <c r="L25" s="209">
        <f t="shared" si="32"/>
        <v>858.71038251520122</v>
      </c>
      <c r="M25" s="209">
        <f t="shared" si="32"/>
        <v>863.89344265020111</v>
      </c>
      <c r="N25" s="209">
        <f t="shared" si="32"/>
        <v>1089.696721341802</v>
      </c>
      <c r="O25" s="209">
        <f t="shared" si="32"/>
        <v>1822.3606557956</v>
      </c>
      <c r="P25" s="238">
        <f t="shared" si="32"/>
        <v>1644.6256831067997</v>
      </c>
      <c r="Q25" s="209">
        <f t="shared" si="32"/>
        <v>1928.9098361332008</v>
      </c>
      <c r="R25" s="209">
        <f t="shared" si="32"/>
        <v>2938.8278689344006</v>
      </c>
      <c r="S25" s="209">
        <f t="shared" si="32"/>
        <v>4719.2684932679986</v>
      </c>
      <c r="T25" s="209">
        <f t="shared" si="32"/>
        <v>4813.9671234189964</v>
      </c>
      <c r="U25" s="209">
        <f t="shared" si="32"/>
        <v>4822.7863015119965</v>
      </c>
      <c r="V25" s="209">
        <f t="shared" si="32"/>
        <v>4094.0109590139946</v>
      </c>
      <c r="W25" s="209">
        <f t="shared" si="32"/>
        <v>3413.1726028770031</v>
      </c>
      <c r="X25" s="209">
        <f t="shared" si="32"/>
        <v>2981.5780822710012</v>
      </c>
      <c r="Y25" s="209">
        <f t="shared" si="32"/>
        <v>2786.4410959410015</v>
      </c>
      <c r="Z25" s="209">
        <f t="shared" si="32"/>
        <v>2784.8684932270007</v>
      </c>
      <c r="AA25" s="209">
        <f t="shared" si="32"/>
        <v>3062.2739727180015</v>
      </c>
      <c r="AB25" s="238">
        <f t="shared" si="32"/>
        <v>3179.8547945970022</v>
      </c>
      <c r="AC25" s="209">
        <f>AC42+AC60</f>
        <v>3422.8986302739986</v>
      </c>
      <c r="AD25" s="209">
        <f t="shared" ref="AD25:AN25" si="33">AD42+AD60</f>
        <v>2839.2602740440016</v>
      </c>
      <c r="AE25" s="209">
        <f t="shared" si="33"/>
        <v>3603.7369864219972</v>
      </c>
      <c r="AF25" s="209">
        <f t="shared" si="33"/>
        <v>3650.2383562565974</v>
      </c>
      <c r="AG25" s="209">
        <f t="shared" si="33"/>
        <v>3700.0821918829988</v>
      </c>
      <c r="AH25" s="209">
        <f t="shared" si="33"/>
        <v>3364.6438357080001</v>
      </c>
      <c r="AI25" s="209">
        <f t="shared" si="33"/>
        <v>3291.0273973580001</v>
      </c>
      <c r="AJ25" s="209">
        <f t="shared" si="33"/>
        <v>1511.2712329140002</v>
      </c>
      <c r="AK25" s="209">
        <f t="shared" si="33"/>
        <v>0</v>
      </c>
      <c r="AL25" s="209">
        <f t="shared" si="33"/>
        <v>0</v>
      </c>
      <c r="AM25" s="209">
        <f t="shared" si="33"/>
        <v>0</v>
      </c>
      <c r="AN25" s="209">
        <f t="shared" si="33"/>
        <v>0</v>
      </c>
      <c r="AO25" s="237">
        <f ca="1">IFERROR(AVERAGE(INDEX($E25:$AN25, $AU$4 - 3):INDEX($E25:$AN25, $AU$4)),"-")</f>
        <v>2966.7561644657499</v>
      </c>
      <c r="AP25" s="209">
        <f ca="1">IFERROR(AVERAGE(INDEX($E25:$AN25, $AU$4 - 11):INDEX($E25:$AN25, $AU$4)),"-")</f>
        <v>3099.7164384452167</v>
      </c>
      <c r="AQ25" s="209" cm="1">
        <f t="array" ref="AQ25">IFERROR(SUMPRODUCT((YEAR($E$4:$AN$4)=2024)*$E25:$AN25),"-")</f>
        <v>41525.959623911593</v>
      </c>
      <c r="AR25" s="209">
        <f ca="1">IFERROR(SUM(INDEX($E25:$AN25, $AU$4 - MONTH(TODAY())-11):INDEX($E25:$AN25, $AU$4-12)),"-")</f>
        <v>29712.521267428587</v>
      </c>
      <c r="AS25" s="238">
        <f ca="1">IFERROR(SUM(INDEX($E25:$AN25, $AU$4 - MONTH(TODAY())+1):INDEX($E25:$AN25, $AU$4)),"-")</f>
        <v>25383.158904859596</v>
      </c>
    </row>
    <row r="26" spans="2:45" ht="15.75" hidden="1" x14ac:dyDescent="0.25">
      <c r="B26" t="str">
        <f>$D$22&amp;"_W VYRs"</f>
        <v>PC Annual Direct - Annual_W VYRs</v>
      </c>
      <c r="D26" s="211" t="s">
        <v>317</v>
      </c>
      <c r="E26" s="31" t="str">
        <f ca="1">IFERROR(E43+E61,"-")</f>
        <v>-</v>
      </c>
      <c r="F26" s="31" t="str">
        <f t="shared" ref="F26:AN26" ca="1" si="34">IFERROR(F43+F61,"-")</f>
        <v>-</v>
      </c>
      <c r="G26" s="31" t="str">
        <f t="shared" ca="1" si="34"/>
        <v>-</v>
      </c>
      <c r="H26" s="31" t="str">
        <f t="shared" ca="1" si="34"/>
        <v>-</v>
      </c>
      <c r="I26" s="31" t="str">
        <f t="shared" ca="1" si="34"/>
        <v>-</v>
      </c>
      <c r="J26" s="31" t="str">
        <f t="shared" ca="1" si="34"/>
        <v>-</v>
      </c>
      <c r="K26" s="31" t="str">
        <f t="shared" ca="1" si="34"/>
        <v>-</v>
      </c>
      <c r="L26" s="31" t="str">
        <f t="shared" ca="1" si="34"/>
        <v>-</v>
      </c>
      <c r="M26" s="31" t="str">
        <f t="shared" ca="1" si="34"/>
        <v>-</v>
      </c>
      <c r="N26" s="31" t="str">
        <f t="shared" ca="1" si="34"/>
        <v>-</v>
      </c>
      <c r="O26" s="31">
        <f t="shared" ca="1" si="34"/>
        <v>1113.4200697273855</v>
      </c>
      <c r="P26" s="240">
        <f t="shared" ca="1" si="34"/>
        <v>989.67431218271486</v>
      </c>
      <c r="Q26" s="31">
        <f t="shared" ca="1" si="34"/>
        <v>3440.5967237575701</v>
      </c>
      <c r="R26" s="31">
        <f t="shared" ca="1" si="34"/>
        <v>3433.7292652271162</v>
      </c>
      <c r="S26" s="31">
        <f t="shared" ca="1" si="34"/>
        <v>3426.8755141987185</v>
      </c>
      <c r="T26" s="31">
        <f t="shared" ca="1" si="34"/>
        <v>3420.0354433120947</v>
      </c>
      <c r="U26" s="31">
        <f t="shared" ca="1" si="34"/>
        <v>3413.8988311276489</v>
      </c>
      <c r="V26" s="31">
        <f t="shared" ca="1" si="34"/>
        <v>3512.7946396779298</v>
      </c>
      <c r="W26" s="31">
        <f t="shared" ca="1" si="34"/>
        <v>3241.3746116313787</v>
      </c>
      <c r="X26" s="31">
        <f t="shared" ca="1" si="34"/>
        <v>3210.168278901921</v>
      </c>
      <c r="Y26" s="31">
        <f t="shared" ca="1" si="34"/>
        <v>4391.2742500945351</v>
      </c>
      <c r="Z26" s="31">
        <f t="shared" ca="1" si="34"/>
        <v>4703.1955264553853</v>
      </c>
      <c r="AA26" s="31">
        <f t="shared" ca="1" si="34"/>
        <v>3926.4797097622131</v>
      </c>
      <c r="AB26" s="240">
        <f t="shared" ca="1" si="34"/>
        <v>3573.0039203929732</v>
      </c>
      <c r="AC26" s="31">
        <f t="shared" ca="1" si="34"/>
        <v>6807.2939724956013</v>
      </c>
      <c r="AD26" s="31">
        <f t="shared" ca="1" si="34"/>
        <v>6835.8746224217311</v>
      </c>
      <c r="AE26" s="31">
        <f t="shared" ca="1" si="34"/>
        <v>6879.4666384876446</v>
      </c>
      <c r="AF26" s="31">
        <f t="shared" ca="1" si="34"/>
        <v>6096.8262451461442</v>
      </c>
      <c r="AG26" s="31">
        <f t="shared" ca="1" si="34"/>
        <v>6132.6121629325808</v>
      </c>
      <c r="AH26" s="31">
        <f t="shared" ca="1" si="34"/>
        <v>6161.4034433182833</v>
      </c>
      <c r="AI26" s="31">
        <f t="shared" ca="1" si="34"/>
        <v>6238.3005191797802</v>
      </c>
      <c r="AJ26" s="31">
        <f t="shared" ca="1" si="34"/>
        <v>6315.7757878176863</v>
      </c>
      <c r="AK26" s="31">
        <f t="shared" ca="1" si="34"/>
        <v>5932.4171858639183</v>
      </c>
      <c r="AL26" s="31">
        <f t="shared" ca="1" si="34"/>
        <v>5945.5411663710056</v>
      </c>
      <c r="AM26" s="31">
        <f t="shared" ca="1" si="34"/>
        <v>5527.6922998960972</v>
      </c>
      <c r="AN26" s="31">
        <f t="shared" ca="1" si="34"/>
        <v>4678.0836263737219</v>
      </c>
      <c r="AO26" s="239">
        <f t="shared" ref="AO26:AO27" ca="1" si="35">AVERAGE(Z26:AC26)</f>
        <v>4752.4932822765431</v>
      </c>
      <c r="AP26" s="31">
        <f t="shared" ref="AP26:AP27" ca="1" si="36">AVERAGE(R26:AC26)</f>
        <v>3921.6769969397924</v>
      </c>
      <c r="AQ26" s="31">
        <f ca="1">SUMIFS(AC26:AN26,AC$4:AN$4,"&lt;"&amp;'Title Sheet'!$C$13)</f>
        <v>51467.553391799447</v>
      </c>
      <c r="AR26" s="31"/>
      <c r="AS26" s="240"/>
    </row>
    <row r="27" spans="2:45" ht="15.75" hidden="1" x14ac:dyDescent="0.25">
      <c r="B27" t="str">
        <f t="shared" ref="B27:B36" si="37">$D$2</f>
        <v>PC Annual Direct</v>
      </c>
      <c r="D27" s="213" t="s">
        <v>0</v>
      </c>
      <c r="E27" s="214" t="str">
        <f t="shared" ref="E27:AB27" ca="1" si="38">IFERROR(IF(E25=0,"-",(E25/E26)-1),"-")</f>
        <v>-</v>
      </c>
      <c r="F27" s="214" t="str">
        <f t="shared" ca="1" si="38"/>
        <v>-</v>
      </c>
      <c r="G27" s="214" t="str">
        <f t="shared" ca="1" si="38"/>
        <v>-</v>
      </c>
      <c r="H27" s="214" t="str">
        <f t="shared" ca="1" si="38"/>
        <v>-</v>
      </c>
      <c r="I27" s="214" t="str">
        <f t="shared" ca="1" si="38"/>
        <v>-</v>
      </c>
      <c r="J27" s="214" t="str">
        <f t="shared" ca="1" si="38"/>
        <v>-</v>
      </c>
      <c r="K27" s="214" t="str">
        <f t="shared" ca="1" si="38"/>
        <v>-</v>
      </c>
      <c r="L27" s="214" t="str">
        <f t="shared" ca="1" si="38"/>
        <v>-</v>
      </c>
      <c r="M27" s="214" t="str">
        <f t="shared" ca="1" si="38"/>
        <v>-</v>
      </c>
      <c r="N27" s="214" t="str">
        <f t="shared" ca="1" si="38"/>
        <v>-</v>
      </c>
      <c r="O27" s="214">
        <f t="shared" ca="1" si="38"/>
        <v>0.63672337632803289</v>
      </c>
      <c r="P27" s="294">
        <f t="shared" ca="1" si="38"/>
        <v>0.66178475369295731</v>
      </c>
      <c r="Q27" s="214">
        <f t="shared" ca="1" si="38"/>
        <v>-0.43936764724155597</v>
      </c>
      <c r="R27" s="214">
        <f t="shared" ca="1" si="38"/>
        <v>-0.14412941675527857</v>
      </c>
      <c r="S27" s="214">
        <f t="shared" ca="1" si="38"/>
        <v>0.37713449867509152</v>
      </c>
      <c r="T27" s="214">
        <f t="shared" ca="1" si="38"/>
        <v>0.40757813865138326</v>
      </c>
      <c r="U27" s="214">
        <f t="shared" ca="1" si="38"/>
        <v>0.41269162915380719</v>
      </c>
      <c r="V27" s="214">
        <f t="shared" ca="1" si="38"/>
        <v>0.16545695918886771</v>
      </c>
      <c r="W27" s="214">
        <f t="shared" ca="1" si="38"/>
        <v>5.3001584768740617E-2</v>
      </c>
      <c r="X27" s="214">
        <f t="shared" ca="1" si="38"/>
        <v>-7.1208166292488606E-2</v>
      </c>
      <c r="Y27" s="214">
        <f t="shared" ca="1" si="38"/>
        <v>-0.36545955974373157</v>
      </c>
      <c r="Z27" s="214">
        <f t="shared" ca="1" si="38"/>
        <v>-0.40787737240304633</v>
      </c>
      <c r="AA27" s="214">
        <f t="shared" ca="1" si="38"/>
        <v>-0.22009682996593094</v>
      </c>
      <c r="AB27" s="294">
        <f t="shared" ca="1" si="38"/>
        <v>-0.1100332198215811</v>
      </c>
      <c r="AC27" s="214">
        <f t="shared" ref="AC27" ca="1" si="39">IFERROR(IF(AC25=0,"-",(AC25/AC26)-1),"-")</f>
        <v>-0.49717190941011469</v>
      </c>
      <c r="AD27" s="214">
        <f t="shared" ref="AD27:AN27" ca="1" si="40">IFERROR(IF(AD25=0,"-",(AD25/AD26)-1),"-")</f>
        <v>-0.58465296236838493</v>
      </c>
      <c r="AE27" s="214">
        <f t="shared" ca="1" si="40"/>
        <v>-0.47616040954968142</v>
      </c>
      <c r="AF27" s="214">
        <f t="shared" ca="1" si="40"/>
        <v>-0.40128876738735086</v>
      </c>
      <c r="AG27" s="214">
        <f t="shared" ca="1" si="40"/>
        <v>-0.39665478696868384</v>
      </c>
      <c r="AH27" s="214">
        <f t="shared" ca="1" si="40"/>
        <v>-0.45391600036242086</v>
      </c>
      <c r="AI27" s="214">
        <f t="shared" ca="1" si="40"/>
        <v>-0.47244808305728936</v>
      </c>
      <c r="AJ27" s="214">
        <f t="shared" ca="1" si="40"/>
        <v>-0.76071486960809365</v>
      </c>
      <c r="AK27" s="214" t="str">
        <f t="shared" si="40"/>
        <v>-</v>
      </c>
      <c r="AL27" s="214" t="str">
        <f t="shared" si="40"/>
        <v>-</v>
      </c>
      <c r="AM27" s="214" t="str">
        <f t="shared" si="40"/>
        <v>-</v>
      </c>
      <c r="AN27" s="214" t="str">
        <f t="shared" si="40"/>
        <v>-</v>
      </c>
      <c r="AO27" s="274">
        <f t="shared" ca="1" si="35"/>
        <v>-0.30879483290016829</v>
      </c>
      <c r="AP27" s="275">
        <f t="shared" ca="1" si="36"/>
        <v>-3.3342805329523467E-2</v>
      </c>
      <c r="AQ27" s="275">
        <f t="shared" ref="AQ27" ca="1" si="41">IFERROR(IF(AQ25=0,"-",(AQ25/AQ26)-1),"-")</f>
        <v>-0.1931623540020827</v>
      </c>
      <c r="AR27" s="275"/>
      <c r="AS27" s="276"/>
    </row>
    <row r="28" spans="2:45" ht="15.75" x14ac:dyDescent="0.25">
      <c r="B28" t="str">
        <f t="shared" si="37"/>
        <v>PC Annual Direct</v>
      </c>
      <c r="D28" s="208" t="s">
        <v>5</v>
      </c>
      <c r="E28" s="283">
        <f t="shared" ref="E28:AB28" si="42">E45+E63</f>
        <v>1086160.0635735805</v>
      </c>
      <c r="F28" s="283">
        <f t="shared" si="42"/>
        <v>1100141.5299974654</v>
      </c>
      <c r="G28" s="283">
        <f t="shared" si="42"/>
        <v>1168566.6321445385</v>
      </c>
      <c r="H28" s="283">
        <f t="shared" si="42"/>
        <v>918911.07178519689</v>
      </c>
      <c r="I28" s="283">
        <f t="shared" si="42"/>
        <v>1069510.8107149289</v>
      </c>
      <c r="J28" s="283">
        <f t="shared" si="42"/>
        <v>945624.45928729349</v>
      </c>
      <c r="K28" s="283">
        <f t="shared" si="42"/>
        <v>896470.2778577751</v>
      </c>
      <c r="L28" s="283">
        <f t="shared" si="42"/>
        <v>1071653.1207244031</v>
      </c>
      <c r="M28" s="283">
        <f t="shared" si="42"/>
        <v>1115138.8496423969</v>
      </c>
      <c r="N28" s="283">
        <f t="shared" si="42"/>
        <v>1337651.323214008</v>
      </c>
      <c r="O28" s="283">
        <f t="shared" si="42"/>
        <v>1843053.8217862977</v>
      </c>
      <c r="P28" s="314">
        <f t="shared" si="42"/>
        <v>1639641.0149972043</v>
      </c>
      <c r="Q28" s="283">
        <f t="shared" si="42"/>
        <v>2063723.8753563585</v>
      </c>
      <c r="R28" s="283">
        <f t="shared" si="42"/>
        <v>3552789.3432058739</v>
      </c>
      <c r="S28" s="283">
        <f t="shared" si="42"/>
        <v>5900791.1803528909</v>
      </c>
      <c r="T28" s="283">
        <f t="shared" si="42"/>
        <v>5312417.110375477</v>
      </c>
      <c r="U28" s="283">
        <f t="shared" si="42"/>
        <v>5056237.0814412851</v>
      </c>
      <c r="V28" s="283">
        <f t="shared" si="42"/>
        <v>4220634.4728614129</v>
      </c>
      <c r="W28" s="283">
        <f t="shared" si="42"/>
        <v>3519487.3310718127</v>
      </c>
      <c r="X28" s="283">
        <f t="shared" si="42"/>
        <v>3079046.2346450021</v>
      </c>
      <c r="Y28" s="283">
        <f t="shared" si="42"/>
        <v>2930375.0310712364</v>
      </c>
      <c r="Z28" s="283">
        <f t="shared" si="42"/>
        <v>2889518.8731429037</v>
      </c>
      <c r="AA28" s="283">
        <f t="shared" si="42"/>
        <v>3294957.1614266383</v>
      </c>
      <c r="AB28" s="314">
        <f t="shared" si="42"/>
        <v>3435668.2439280208</v>
      </c>
      <c r="AC28" s="283">
        <f>AC45+AC63</f>
        <v>3583900.3610691875</v>
      </c>
      <c r="AD28" s="283">
        <f t="shared" ref="AD28:AN28" si="43">AD45+AD63</f>
        <v>2944064.1324966536</v>
      </c>
      <c r="AE28" s="283">
        <f t="shared" si="43"/>
        <v>3809754.8203473128</v>
      </c>
      <c r="AF28" s="283">
        <f t="shared" si="43"/>
        <v>3728909.2889236095</v>
      </c>
      <c r="AG28" s="283">
        <f t="shared" si="43"/>
        <v>3836632.9428576585</v>
      </c>
      <c r="AH28" s="283">
        <f t="shared" si="43"/>
        <v>3484603.5682113925</v>
      </c>
      <c r="AI28" s="283">
        <f t="shared" si="43"/>
        <v>3515487.8646399174</v>
      </c>
      <c r="AJ28" s="283">
        <f t="shared" si="43"/>
        <v>1707710.5646417108</v>
      </c>
      <c r="AK28" s="283">
        <f t="shared" si="43"/>
        <v>0</v>
      </c>
      <c r="AL28" s="283">
        <f t="shared" si="43"/>
        <v>0</v>
      </c>
      <c r="AM28" s="283">
        <f t="shared" si="43"/>
        <v>0</v>
      </c>
      <c r="AN28" s="283">
        <f t="shared" si="43"/>
        <v>0</v>
      </c>
      <c r="AO28" s="335">
        <f ca="1">IFERROR(AVERAGE(INDEX($E28:$AN28, $AU$4 - 3):INDEX($E28:$AN28, $AU$4)),"-")</f>
        <v>3136108.7350876695</v>
      </c>
      <c r="AP28" s="332">
        <f ca="1">IFERROR(AVERAGE(INDEX($E28:$AN28, $AU$4 - 11):INDEX($E28:$AN28, $AU$4)),"-")</f>
        <v>3263465.2377296868</v>
      </c>
      <c r="AQ28" s="332" cm="1">
        <f t="array" ref="AQ28">IFERROR(SUMPRODUCT((YEAR($E$4:$AN$4)=2024)*$E28:$AN28),"-")</f>
        <v>45255645.938878916</v>
      </c>
      <c r="AR28" s="332">
        <f ca="1">IFERROR(SUM(INDEX($E28:$AN28, $AU$4 - MONTH(TODAY())-11):INDEX($E28:$AN28, $AU$4-12)),"-")</f>
        <v>32705126.629310109</v>
      </c>
      <c r="AS28" s="336">
        <f ca="1">IFERROR(SUM(INDEX($E28:$AN28, $AU$4 - MONTH(TODAY())+1):INDEX($E28:$AN28, $AU$4)),"-")</f>
        <v>26611063.543187443</v>
      </c>
    </row>
    <row r="29" spans="2:45" ht="15.75" x14ac:dyDescent="0.25">
      <c r="B29" t="str">
        <f>$D$22&amp;"_NWP"</f>
        <v>PC Annual Direct - Annual_NWP</v>
      </c>
      <c r="D29" s="211" t="s">
        <v>6</v>
      </c>
      <c r="E29" s="385" t="str">
        <f ca="1">IFERROR(E46+E64,"-")</f>
        <v>-</v>
      </c>
      <c r="F29" s="385" t="str">
        <f t="shared" ref="F29:AN29" ca="1" si="44">IFERROR(F46+F64,"-")</f>
        <v>-</v>
      </c>
      <c r="G29" s="385" t="str">
        <f t="shared" ca="1" si="44"/>
        <v>-</v>
      </c>
      <c r="H29" s="385" t="str">
        <f t="shared" ca="1" si="44"/>
        <v>-</v>
      </c>
      <c r="I29" s="385" t="str">
        <f t="shared" ca="1" si="44"/>
        <v>-</v>
      </c>
      <c r="J29" s="385" t="str">
        <f t="shared" ca="1" si="44"/>
        <v>-</v>
      </c>
      <c r="K29" s="385" t="str">
        <f t="shared" ca="1" si="44"/>
        <v>-</v>
      </c>
      <c r="L29" s="385" t="str">
        <f t="shared" ca="1" si="44"/>
        <v>-</v>
      </c>
      <c r="M29" s="385" t="str">
        <f t="shared" ca="1" si="44"/>
        <v>-</v>
      </c>
      <c r="N29" s="385" t="str">
        <f t="shared" ca="1" si="44"/>
        <v>-</v>
      </c>
      <c r="O29" s="385">
        <f t="shared" ca="1" si="44"/>
        <v>1201948.8602582696</v>
      </c>
      <c r="P29" s="386">
        <f t="shared" ca="1" si="44"/>
        <v>1130181.9540233866</v>
      </c>
      <c r="Q29" s="385">
        <f t="shared" ca="1" si="44"/>
        <v>1235960.0527141613</v>
      </c>
      <c r="R29" s="385">
        <f t="shared" ca="1" si="44"/>
        <v>3209687.704195444</v>
      </c>
      <c r="S29" s="385">
        <f t="shared" ca="1" si="44"/>
        <v>5072820.0524703469</v>
      </c>
      <c r="T29" s="385">
        <f t="shared" ca="1" si="44"/>
        <v>5239479.5187660325</v>
      </c>
      <c r="U29" s="385">
        <f t="shared" ca="1" si="44"/>
        <v>5303355.8491957653</v>
      </c>
      <c r="V29" s="385">
        <f t="shared" ca="1" si="44"/>
        <v>5403246.6544383466</v>
      </c>
      <c r="W29" s="385">
        <f t="shared" ca="1" si="44"/>
        <v>3637466.5510302437</v>
      </c>
      <c r="X29" s="385">
        <f t="shared" ca="1" si="44"/>
        <v>3591493.9019086361</v>
      </c>
      <c r="Y29" s="385">
        <f t="shared" ca="1" si="44"/>
        <v>4955142.3580386769</v>
      </c>
      <c r="Z29" s="385">
        <f t="shared" ca="1" si="44"/>
        <v>5435486.3438475803</v>
      </c>
      <c r="AA29" s="385">
        <f t="shared" ca="1" si="44"/>
        <v>4741100.2670995463</v>
      </c>
      <c r="AB29" s="386">
        <f t="shared" ca="1" si="44"/>
        <v>4339440.1880950555</v>
      </c>
      <c r="AC29" s="385">
        <f t="shared" ca="1" si="44"/>
        <v>8390224.4424355347</v>
      </c>
      <c r="AD29" s="385">
        <f t="shared" ca="1" si="44"/>
        <v>8526059.9231997393</v>
      </c>
      <c r="AE29" s="385">
        <f t="shared" ca="1" si="44"/>
        <v>8670064.0370275285</v>
      </c>
      <c r="AF29" s="385">
        <f t="shared" ca="1" si="44"/>
        <v>3748670.1123780021</v>
      </c>
      <c r="AG29" s="385">
        <f t="shared" ca="1" si="44"/>
        <v>3975833.8400942683</v>
      </c>
      <c r="AH29" s="385">
        <f t="shared" ca="1" si="44"/>
        <v>4049183.9733715118</v>
      </c>
      <c r="AI29" s="385">
        <f t="shared" ca="1" si="44"/>
        <v>4396426.0532451477</v>
      </c>
      <c r="AJ29" s="385">
        <f t="shared" ca="1" si="44"/>
        <v>4644028.8057200154</v>
      </c>
      <c r="AK29" s="385">
        <f t="shared" ca="1" si="44"/>
        <v>3764534.768566445</v>
      </c>
      <c r="AL29" s="385">
        <f t="shared" ca="1" si="44"/>
        <v>3690107.1454575313</v>
      </c>
      <c r="AM29" s="385">
        <f t="shared" ca="1" si="44"/>
        <v>3973666.7817406254</v>
      </c>
      <c r="AN29" s="385">
        <f t="shared" ca="1" si="44"/>
        <v>3824985.8662046581</v>
      </c>
      <c r="AO29" s="338">
        <f ca="1">IFERROR(AVERAGE(INDEX($E29:$AN29, $AU$4 - 3):INDEX($E29:$AN29, $AU$4)),"-")</f>
        <v>4266368.1681077359</v>
      </c>
      <c r="AP29" s="333">
        <f ca="1">IFERROR(AVERAGE(INDEX($E29:$AN29, $AU$4 - 11):INDEX($E29:$AN29, $AU$4)),"-")</f>
        <v>5489305.0287127178</v>
      </c>
      <c r="AQ29" s="333" t="str" cm="1">
        <f t="array" aca="1" ref="AQ29" ca="1">IFERROR(SUMPRODUCT((YEAR($E$4:$AN$4)=2024)*$E29:$AN29),"-")</f>
        <v>-</v>
      </c>
      <c r="AR29" s="333" t="s">
        <v>491</v>
      </c>
      <c r="AS29" s="339">
        <f ca="1">IFERROR(SUM(INDEX($E29:$AN29, $AU$4 - MONTH(TODAY())+1):INDEX($E29:$AN29, $AU$4)),"-")</f>
        <v>46400491.187471755</v>
      </c>
    </row>
    <row r="30" spans="2:45" ht="15.75" x14ac:dyDescent="0.25">
      <c r="B30" t="str">
        <f t="shared" si="37"/>
        <v>PC Annual Direct</v>
      </c>
      <c r="D30" s="213" t="s">
        <v>0</v>
      </c>
      <c r="E30" s="214" t="str">
        <f t="shared" ref="E30:AB30" ca="1" si="45">IFERROR(IF(E28=0,"-",(E28/E29)-1),"-")</f>
        <v>-</v>
      </c>
      <c r="F30" s="214" t="str">
        <f t="shared" ca="1" si="45"/>
        <v>-</v>
      </c>
      <c r="G30" s="214" t="str">
        <f t="shared" ca="1" si="45"/>
        <v>-</v>
      </c>
      <c r="H30" s="214" t="str">
        <f t="shared" ca="1" si="45"/>
        <v>-</v>
      </c>
      <c r="I30" s="214" t="str">
        <f t="shared" ca="1" si="45"/>
        <v>-</v>
      </c>
      <c r="J30" s="214" t="str">
        <f t="shared" ca="1" si="45"/>
        <v>-</v>
      </c>
      <c r="K30" s="214" t="str">
        <f t="shared" ca="1" si="45"/>
        <v>-</v>
      </c>
      <c r="L30" s="214" t="str">
        <f t="shared" ca="1" si="45"/>
        <v>-</v>
      </c>
      <c r="M30" s="214" t="str">
        <f t="shared" ca="1" si="45"/>
        <v>-</v>
      </c>
      <c r="N30" s="214" t="str">
        <f t="shared" ca="1" si="45"/>
        <v>-</v>
      </c>
      <c r="O30" s="214">
        <f t="shared" ca="1" si="45"/>
        <v>0.53338788589580277</v>
      </c>
      <c r="P30" s="294">
        <f t="shared" ca="1" si="45"/>
        <v>0.45077614198330718</v>
      </c>
      <c r="Q30" s="214">
        <f t="shared" ca="1" si="45"/>
        <v>0.66973347627573587</v>
      </c>
      <c r="R30" s="214">
        <f t="shared" ca="1" si="45"/>
        <v>0.1068956455053105</v>
      </c>
      <c r="S30" s="214">
        <f t="shared" ca="1" si="45"/>
        <v>0.16321712958837176</v>
      </c>
      <c r="T30" s="214">
        <f t="shared" ca="1" si="45"/>
        <v>1.3920770440691177E-2</v>
      </c>
      <c r="U30" s="214">
        <f t="shared" ca="1" si="45"/>
        <v>-4.6596678552497051E-2</v>
      </c>
      <c r="V30" s="214">
        <f t="shared" ca="1" si="45"/>
        <v>-0.21887066373427722</v>
      </c>
      <c r="W30" s="214">
        <f t="shared" ca="1" si="45"/>
        <v>-3.2434448070736366E-2</v>
      </c>
      <c r="X30" s="214">
        <f t="shared" ca="1" si="45"/>
        <v>-0.14268370802225305</v>
      </c>
      <c r="Y30" s="214">
        <f t="shared" ca="1" si="45"/>
        <v>-0.40861940599601165</v>
      </c>
      <c r="Z30" s="214">
        <f t="shared" ca="1" si="45"/>
        <v>-0.46839736311479352</v>
      </c>
      <c r="AA30" s="214">
        <f t="shared" ca="1" si="45"/>
        <v>-0.30502267916759584</v>
      </c>
      <c r="AB30" s="294">
        <f t="shared" ca="1" si="45"/>
        <v>-0.20826924787360102</v>
      </c>
      <c r="AC30" s="214">
        <f t="shared" ref="AC30" ca="1" si="46">IFERROR(IF(AC28=0,"-",(AC28/AC29)-1),"-")</f>
        <v>-0.57284809415314708</v>
      </c>
      <c r="AD30" s="214">
        <f t="shared" ref="AD30:AN30" ca="1" si="47">IFERROR(IF(AD28=0,"-",(AD28/AD29)-1),"-")</f>
        <v>-0.65469816550482585</v>
      </c>
      <c r="AE30" s="214">
        <f t="shared" ca="1" si="47"/>
        <v>-0.56058515784002672</v>
      </c>
      <c r="AF30" s="214">
        <f t="shared" ca="1" si="47"/>
        <v>-5.2714223609975353E-3</v>
      </c>
      <c r="AG30" s="214">
        <f t="shared" ca="1" si="47"/>
        <v>-3.5011749191537933E-2</v>
      </c>
      <c r="AH30" s="214">
        <f t="shared" ca="1" si="47"/>
        <v>-0.13943066278858829</v>
      </c>
      <c r="AI30" s="214">
        <f t="shared" ca="1" si="47"/>
        <v>-0.20037598220376773</v>
      </c>
      <c r="AJ30" s="214">
        <f t="shared" ca="1" si="47"/>
        <v>-0.63227821443778809</v>
      </c>
      <c r="AK30" s="214" t="str">
        <f t="shared" si="47"/>
        <v>-</v>
      </c>
      <c r="AL30" s="214" t="str">
        <f t="shared" si="47"/>
        <v>-</v>
      </c>
      <c r="AM30" s="214" t="str">
        <f t="shared" si="47"/>
        <v>-</v>
      </c>
      <c r="AN30" s="215" t="str">
        <f t="shared" si="47"/>
        <v>-</v>
      </c>
      <c r="AO30" s="242">
        <f ca="1">IFERROR(IF(AO28=0,"-",(AO28/AO29)-1),"-")</f>
        <v>-0.26492308879225746</v>
      </c>
      <c r="AP30" s="242">
        <f ca="1">IFERROR(IF(AP28=0,"-",(AP28/AP29)-1),"-")</f>
        <v>-0.40548662887932219</v>
      </c>
      <c r="AQ30" s="242"/>
      <c r="AR30" s="242"/>
      <c r="AS30" s="243">
        <f ca="1">IFERROR(IF(AS28=0,"-",(AS28/AS29)-1),"-")</f>
        <v>-0.42649177062219346</v>
      </c>
    </row>
    <row r="31" spans="2:45" ht="15.75" x14ac:dyDescent="0.25">
      <c r="B31" t="str">
        <f t="shared" si="37"/>
        <v>PC Annual Direct</v>
      </c>
      <c r="D31" s="208" t="s">
        <v>12</v>
      </c>
      <c r="E31" s="283">
        <f t="shared" ref="E31:AB31" si="48">IFERROR(E28/E25,0)</f>
        <v>541.74496438632059</v>
      </c>
      <c r="F31" s="283">
        <f t="shared" si="48"/>
        <v>505.31952904677843</v>
      </c>
      <c r="G31" s="283">
        <f t="shared" si="48"/>
        <v>434.94151295966731</v>
      </c>
      <c r="H31" s="283">
        <f t="shared" si="48"/>
        <v>472.52219471110254</v>
      </c>
      <c r="I31" s="283">
        <f t="shared" si="48"/>
        <v>657.26646178178225</v>
      </c>
      <c r="J31" s="283">
        <f t="shared" si="48"/>
        <v>809.44335531073204</v>
      </c>
      <c r="K31" s="283">
        <f t="shared" si="48"/>
        <v>1364.206865770806</v>
      </c>
      <c r="L31" s="283">
        <f t="shared" si="48"/>
        <v>1247.9796943708577</v>
      </c>
      <c r="M31" s="283">
        <f t="shared" si="48"/>
        <v>1290.8291631679019</v>
      </c>
      <c r="N31" s="283">
        <f t="shared" si="48"/>
        <v>1227.5445975159823</v>
      </c>
      <c r="O31" s="283">
        <f t="shared" si="48"/>
        <v>1011.3551430804258</v>
      </c>
      <c r="P31" s="314">
        <f t="shared" si="48"/>
        <v>996.96911694813195</v>
      </c>
      <c r="Q31" s="283">
        <f t="shared" si="48"/>
        <v>1069.8913120239013</v>
      </c>
      <c r="R31" s="283">
        <f t="shared" si="48"/>
        <v>1208.9137239923111</v>
      </c>
      <c r="S31" s="283">
        <f t="shared" si="48"/>
        <v>1250.3614042664294</v>
      </c>
      <c r="T31" s="283">
        <f t="shared" si="48"/>
        <v>1103.5424576398996</v>
      </c>
      <c r="U31" s="283">
        <f t="shared" si="48"/>
        <v>1048.4057897933606</v>
      </c>
      <c r="V31" s="283">
        <f t="shared" si="48"/>
        <v>1030.9289630914702</v>
      </c>
      <c r="W31" s="283">
        <f t="shared" si="48"/>
        <v>1031.1483597709637</v>
      </c>
      <c r="X31" s="283">
        <f t="shared" si="48"/>
        <v>1032.6901223729687</v>
      </c>
      <c r="Y31" s="283">
        <f t="shared" si="48"/>
        <v>1051.6551149564593</v>
      </c>
      <c r="Z31" s="283">
        <f t="shared" si="48"/>
        <v>1037.5782124615291</v>
      </c>
      <c r="AA31" s="283">
        <f t="shared" si="48"/>
        <v>1075.9837920387354</v>
      </c>
      <c r="AB31" s="314">
        <f t="shared" si="48"/>
        <v>1080.4481543514753</v>
      </c>
      <c r="AC31" s="283">
        <f t="shared" ref="AC31:AP32" si="49">IFERROR(AC28/AC25,0)</f>
        <v>1047.0366634206462</v>
      </c>
      <c r="AD31" s="283">
        <f t="shared" ref="AD31:AN31" si="50">IFERROR(AD28/AD25,0)</f>
        <v>1036.9123815138576</v>
      </c>
      <c r="AE31" s="283">
        <f t="shared" si="50"/>
        <v>1057.1678329194224</v>
      </c>
      <c r="AF31" s="283">
        <f t="shared" si="50"/>
        <v>1021.5522727528651</v>
      </c>
      <c r="AG31" s="283">
        <f t="shared" si="50"/>
        <v>1036.9047885677285</v>
      </c>
      <c r="AH31" s="283">
        <f t="shared" si="50"/>
        <v>1035.6530255090581</v>
      </c>
      <c r="AI31" s="283">
        <f t="shared" si="50"/>
        <v>1068.2037674502837</v>
      </c>
      <c r="AJ31" s="283">
        <f t="shared" si="50"/>
        <v>1129.9828432179845</v>
      </c>
      <c r="AK31" s="283">
        <f t="shared" si="50"/>
        <v>0</v>
      </c>
      <c r="AL31" s="283">
        <f t="shared" si="50"/>
        <v>0</v>
      </c>
      <c r="AM31" s="283">
        <f t="shared" si="50"/>
        <v>0</v>
      </c>
      <c r="AN31" s="283">
        <f t="shared" si="50"/>
        <v>0</v>
      </c>
      <c r="AO31" s="335">
        <f ca="1">IFERROR(AO28/AO25,"-")</f>
        <v>1057.0834140838185</v>
      </c>
      <c r="AP31" s="332">
        <f t="shared" ref="AP31:AS31" ca="1" si="51">IFERROR(AP28/AP25,"-")</f>
        <v>1052.8270254832098</v>
      </c>
      <c r="AQ31" s="332">
        <f t="shared" si="51"/>
        <v>1089.8157766550369</v>
      </c>
      <c r="AR31" s="332">
        <f t="shared" ca="1" si="51"/>
        <v>1100.7186611646475</v>
      </c>
      <c r="AS31" s="336">
        <f t="shared" ca="1" si="51"/>
        <v>1048.3747764779885</v>
      </c>
    </row>
    <row r="32" spans="2:45" ht="15.75" hidden="1" x14ac:dyDescent="0.25">
      <c r="B32" t="str">
        <f t="shared" si="37"/>
        <v>PC Annual Direct</v>
      </c>
      <c r="D32" s="211" t="s">
        <v>13</v>
      </c>
      <c r="E32" s="31">
        <f t="shared" ref="E32:AB32" ca="1" si="52">IFERROR(E29/E26,0)</f>
        <v>0</v>
      </c>
      <c r="F32" s="31">
        <f t="shared" ca="1" si="52"/>
        <v>0</v>
      </c>
      <c r="G32" s="31">
        <f t="shared" ca="1" si="52"/>
        <v>0</v>
      </c>
      <c r="H32" s="31">
        <f t="shared" ca="1" si="52"/>
        <v>0</v>
      </c>
      <c r="I32" s="31">
        <f t="shared" ca="1" si="52"/>
        <v>0</v>
      </c>
      <c r="J32" s="31">
        <f t="shared" ca="1" si="52"/>
        <v>0</v>
      </c>
      <c r="K32" s="31">
        <f t="shared" ca="1" si="52"/>
        <v>0</v>
      </c>
      <c r="L32" s="31">
        <f t="shared" ca="1" si="52"/>
        <v>0</v>
      </c>
      <c r="M32" s="31">
        <f t="shared" ca="1" si="52"/>
        <v>0</v>
      </c>
      <c r="N32" s="31">
        <f t="shared" ca="1" si="52"/>
        <v>0</v>
      </c>
      <c r="O32" s="31">
        <f t="shared" ca="1" si="52"/>
        <v>1079.510683288258</v>
      </c>
      <c r="P32" s="240">
        <f t="shared" ca="1" si="52"/>
        <v>1141.9736170890237</v>
      </c>
      <c r="Q32" s="31">
        <f t="shared" ca="1" si="52"/>
        <v>359.22839900990647</v>
      </c>
      <c r="R32" s="31">
        <f t="shared" ca="1" si="52"/>
        <v>934.75270071507703</v>
      </c>
      <c r="S32" s="31">
        <f t="shared" ca="1" si="52"/>
        <v>1480.3047357430746</v>
      </c>
      <c r="T32" s="31">
        <f t="shared" ca="1" si="52"/>
        <v>1531.9956782938827</v>
      </c>
      <c r="U32" s="31">
        <f t="shared" ca="1" si="52"/>
        <v>1553.4601672551637</v>
      </c>
      <c r="V32" s="31">
        <f t="shared" ca="1" si="52"/>
        <v>1538.161836563763</v>
      </c>
      <c r="W32" s="31">
        <f t="shared" ca="1" si="52"/>
        <v>1122.1987541882772</v>
      </c>
      <c r="X32" s="31">
        <f t="shared" ca="1" si="52"/>
        <v>1118.7868017738786</v>
      </c>
      <c r="Y32" s="31">
        <f t="shared" ca="1" si="52"/>
        <v>1128.4064888299797</v>
      </c>
      <c r="Z32" s="31">
        <f t="shared" ca="1" si="52"/>
        <v>1155.700696106099</v>
      </c>
      <c r="AA32" s="31">
        <f t="shared" ca="1" si="52"/>
        <v>1207.4684240216452</v>
      </c>
      <c r="AB32" s="240">
        <f t="shared" ca="1" si="52"/>
        <v>1214.5075361735921</v>
      </c>
      <c r="AC32" s="31">
        <f t="shared" ref="AC32" ca="1" si="53">IFERROR(AC29/AC26,0)</f>
        <v>1232.5344661675629</v>
      </c>
      <c r="AD32" s="31">
        <f t="shared" ref="AD32:AN32" ca="1" si="54">IFERROR(AD29/AD26,0)</f>
        <v>1247.2522382482243</v>
      </c>
      <c r="AE32" s="31">
        <f t="shared" ca="1" si="54"/>
        <v>1260.2814277086925</v>
      </c>
      <c r="AF32" s="31">
        <f t="shared" ca="1" si="54"/>
        <v>614.85598599146965</v>
      </c>
      <c r="AG32" s="31">
        <f t="shared" ca="1" si="54"/>
        <v>648.31000794823569</v>
      </c>
      <c r="AH32" s="31">
        <f t="shared" ca="1" si="54"/>
        <v>657.1853329556983</v>
      </c>
      <c r="AI32" s="31">
        <f t="shared" ca="1" si="54"/>
        <v>704.74739710410677</v>
      </c>
      <c r="AJ32" s="31">
        <f t="shared" ca="1" si="54"/>
        <v>735.30615426180043</v>
      </c>
      <c r="AK32" s="31">
        <f t="shared" ca="1" si="54"/>
        <v>634.57013399812479</v>
      </c>
      <c r="AL32" s="31">
        <f t="shared" ca="1" si="54"/>
        <v>620.6511808091426</v>
      </c>
      <c r="AM32" s="31">
        <f t="shared" ca="1" si="54"/>
        <v>718.86540823108362</v>
      </c>
      <c r="AN32" s="31">
        <f t="shared" ca="1" si="54"/>
        <v>817.63948054294326</v>
      </c>
      <c r="AO32" s="239">
        <f t="shared" ca="1" si="49"/>
        <v>897.71156205907494</v>
      </c>
      <c r="AP32" s="31">
        <f t="shared" ca="1" si="49"/>
        <v>1399.7341017621275</v>
      </c>
      <c r="AQ32" s="31">
        <f ca="1">SUMIFS(AC32:AN32,AC$4:AN$4,"&lt;"&amp;'Title Sheet'!$C$13)</f>
        <v>7100.4730103857901</v>
      </c>
      <c r="AR32" s="31"/>
      <c r="AS32" s="240"/>
    </row>
    <row r="33" spans="2:45" ht="15.75" hidden="1" x14ac:dyDescent="0.25">
      <c r="B33" t="str">
        <f t="shared" si="37"/>
        <v>PC Annual Direct</v>
      </c>
      <c r="D33" s="213" t="s">
        <v>0</v>
      </c>
      <c r="E33" s="214" t="str">
        <f t="shared" ref="E33:AB33" ca="1" si="55">IFERROR(IF(E31=0,"-",(E31/E32)-1),"-")</f>
        <v>-</v>
      </c>
      <c r="F33" s="214" t="str">
        <f t="shared" ca="1" si="55"/>
        <v>-</v>
      </c>
      <c r="G33" s="214" t="str">
        <f t="shared" ca="1" si="55"/>
        <v>-</v>
      </c>
      <c r="H33" s="214" t="str">
        <f t="shared" ca="1" si="55"/>
        <v>-</v>
      </c>
      <c r="I33" s="214" t="str">
        <f t="shared" ca="1" si="55"/>
        <v>-</v>
      </c>
      <c r="J33" s="214" t="str">
        <f t="shared" ca="1" si="55"/>
        <v>-</v>
      </c>
      <c r="K33" s="214" t="str">
        <f t="shared" ca="1" si="55"/>
        <v>-</v>
      </c>
      <c r="L33" s="214" t="str">
        <f t="shared" ca="1" si="55"/>
        <v>-</v>
      </c>
      <c r="M33" s="214" t="str">
        <f t="shared" ca="1" si="55"/>
        <v>-</v>
      </c>
      <c r="N33" s="214" t="str">
        <f t="shared" ca="1" si="55"/>
        <v>-</v>
      </c>
      <c r="O33" s="214">
        <f t="shared" ca="1" si="55"/>
        <v>-6.3135586579121217E-2</v>
      </c>
      <c r="P33" s="294">
        <f t="shared" ca="1" si="55"/>
        <v>-0.12697710172194621</v>
      </c>
      <c r="Q33" s="214">
        <f t="shared" ca="1" si="55"/>
        <v>1.9783038172168474</v>
      </c>
      <c r="R33" s="214">
        <f t="shared" ca="1" si="55"/>
        <v>0.29329792047405001</v>
      </c>
      <c r="S33" s="214">
        <f t="shared" ca="1" si="55"/>
        <v>-0.15533513196606752</v>
      </c>
      <c r="T33" s="214">
        <f t="shared" ca="1" si="55"/>
        <v>-0.27966999301925777</v>
      </c>
      <c r="U33" s="214">
        <f t="shared" ca="1" si="55"/>
        <v>-0.32511575649486568</v>
      </c>
      <c r="V33" s="214">
        <f t="shared" ca="1" si="55"/>
        <v>-0.32976560815307032</v>
      </c>
      <c r="W33" s="214">
        <f t="shared" ca="1" si="55"/>
        <v>-8.1135711546189704E-2</v>
      </c>
      <c r="X33" s="214">
        <f t="shared" ca="1" si="55"/>
        <v>-7.6955394239903718E-2</v>
      </c>
      <c r="Y33" s="214">
        <f t="shared" ca="1" si="55"/>
        <v>-6.8017487167325807E-2</v>
      </c>
      <c r="Z33" s="214">
        <f t="shared" ca="1" si="55"/>
        <v>-0.10220854243885102</v>
      </c>
      <c r="AA33" s="214">
        <f t="shared" ca="1" si="55"/>
        <v>-0.10889281190888755</v>
      </c>
      <c r="AB33" s="294">
        <f t="shared" ca="1" si="55"/>
        <v>-0.11038167967609502</v>
      </c>
      <c r="AC33" s="214">
        <f t="shared" ref="AC33" ca="1" si="56">IFERROR(IF(AC31=0,"-",(AC31/AC32)-1),"-")</f>
        <v>-0.15050110795173355</v>
      </c>
      <c r="AD33" s="214">
        <f t="shared" ref="AD33:AN33" ca="1" si="57">IFERROR(IF(AD31=0,"-",(AD31/AD32)-1),"-")</f>
        <v>-0.16864259712998453</v>
      </c>
      <c r="AE33" s="214">
        <f t="shared" ca="1" si="57"/>
        <v>-0.16116526858492974</v>
      </c>
      <c r="AF33" s="214">
        <f t="shared" ca="1" si="57"/>
        <v>0.66144966630777469</v>
      </c>
      <c r="AG33" s="214">
        <f t="shared" ca="1" si="57"/>
        <v>0.59939654772461903</v>
      </c>
      <c r="AH33" s="214">
        <f t="shared" ca="1" si="57"/>
        <v>0.5758918733794578</v>
      </c>
      <c r="AI33" s="214">
        <f t="shared" ca="1" si="57"/>
        <v>0.51572573639812447</v>
      </c>
      <c r="AJ33" s="214">
        <f t="shared" ca="1" si="57"/>
        <v>0.53675151046765524</v>
      </c>
      <c r="AK33" s="214" t="str">
        <f t="shared" si="57"/>
        <v>-</v>
      </c>
      <c r="AL33" s="214" t="str">
        <f t="shared" si="57"/>
        <v>-</v>
      </c>
      <c r="AM33" s="214" t="str">
        <f t="shared" si="57"/>
        <v>-</v>
      </c>
      <c r="AN33" s="214" t="str">
        <f t="shared" si="57"/>
        <v>-</v>
      </c>
      <c r="AO33" s="274">
        <f t="shared" ref="AO33:AP33" ca="1" si="58">AO31-AO32</f>
        <v>159.37185202474359</v>
      </c>
      <c r="AP33" s="275">
        <f t="shared" ca="1" si="58"/>
        <v>-346.90707627891766</v>
      </c>
      <c r="AQ33" s="275">
        <f t="shared" ref="AQ33" ca="1" si="59">IFERROR(IF(AQ31=0,"-",(AQ31/AQ32)-1),"-")</f>
        <v>-0.84651504553837831</v>
      </c>
      <c r="AR33" s="275"/>
      <c r="AS33" s="276"/>
    </row>
    <row r="34" spans="2:45" x14ac:dyDescent="0.25">
      <c r="B34" t="str">
        <f t="shared" si="37"/>
        <v>PC Annual Direct</v>
      </c>
      <c r="D34" s="254" t="s">
        <v>17</v>
      </c>
      <c r="E34" s="259"/>
      <c r="F34" s="259"/>
      <c r="G34" s="259"/>
      <c r="H34" s="259"/>
      <c r="I34" s="259"/>
      <c r="J34" s="259"/>
      <c r="K34" s="259"/>
      <c r="L34" s="259"/>
      <c r="M34" s="259"/>
      <c r="N34" s="259"/>
      <c r="O34" s="259"/>
      <c r="P34" s="313"/>
      <c r="Q34" s="259"/>
      <c r="R34" s="259"/>
      <c r="S34" s="259"/>
      <c r="T34" s="259"/>
      <c r="U34" s="259"/>
      <c r="V34" s="259"/>
      <c r="W34" s="259"/>
      <c r="X34" s="259"/>
      <c r="Y34" s="259"/>
      <c r="Z34" s="259"/>
      <c r="AA34" s="259"/>
      <c r="AB34" s="313"/>
      <c r="AC34" s="259"/>
      <c r="AD34" s="259"/>
      <c r="AE34" s="259"/>
      <c r="AF34" s="259"/>
      <c r="AG34" s="259"/>
      <c r="AH34" s="259"/>
      <c r="AI34" s="259"/>
      <c r="AJ34" s="259"/>
      <c r="AK34" s="259"/>
      <c r="AL34" s="259"/>
      <c r="AM34" s="259"/>
      <c r="AN34" s="259"/>
      <c r="AO34" s="376"/>
      <c r="AP34" s="277"/>
      <c r="AQ34" s="277"/>
      <c r="AR34" s="277"/>
      <c r="AS34" s="278"/>
    </row>
    <row r="35" spans="2:45" ht="15.75" x14ac:dyDescent="0.25">
      <c r="B35" t="str">
        <f t="shared" si="37"/>
        <v>PC Annual Direct</v>
      </c>
      <c r="D35" s="208" t="s">
        <v>7</v>
      </c>
      <c r="E35" s="283">
        <f t="shared" ref="E35:AB35" si="60">E52+E70</f>
        <v>1310265.0535725218</v>
      </c>
      <c r="F35" s="283">
        <f t="shared" si="60"/>
        <v>1327939.2499983122</v>
      </c>
      <c r="G35" s="283">
        <f t="shared" si="60"/>
        <v>1409536.7321461581</v>
      </c>
      <c r="H35" s="283">
        <f t="shared" si="60"/>
        <v>1108687.1517870072</v>
      </c>
      <c r="I35" s="283">
        <f t="shared" si="60"/>
        <v>1246462.1607149141</v>
      </c>
      <c r="J35" s="283">
        <f t="shared" si="60"/>
        <v>1107291.8392874526</v>
      </c>
      <c r="K35" s="283">
        <f t="shared" si="60"/>
        <v>1048832.0178576689</v>
      </c>
      <c r="L35" s="283">
        <f t="shared" si="60"/>
        <v>1253992.9107235237</v>
      </c>
      <c r="M35" s="283">
        <f t="shared" si="60"/>
        <v>1303893.1696446086</v>
      </c>
      <c r="N35" s="283">
        <f t="shared" si="60"/>
        <v>1566971.7232140885</v>
      </c>
      <c r="O35" s="283">
        <f t="shared" si="60"/>
        <v>2157081.1517849583</v>
      </c>
      <c r="P35" s="314">
        <f t="shared" si="60"/>
        <v>1914532.8749973006</v>
      </c>
      <c r="Q35" s="283">
        <f t="shared" si="60"/>
        <v>2419288.205354712</v>
      </c>
      <c r="R35" s="283">
        <f t="shared" si="60"/>
        <v>4078118.223212393</v>
      </c>
      <c r="S35" s="283">
        <f t="shared" si="60"/>
        <v>6459259.5803462574</v>
      </c>
      <c r="T35" s="283">
        <f t="shared" si="60"/>
        <v>5786329.8303780099</v>
      </c>
      <c r="U35" s="283">
        <f t="shared" si="60"/>
        <v>5513759.321443243</v>
      </c>
      <c r="V35" s="283">
        <f t="shared" si="60"/>
        <v>4598411.6428566165</v>
      </c>
      <c r="W35" s="283">
        <f t="shared" si="60"/>
        <v>3834504.2410740834</v>
      </c>
      <c r="X35" s="283">
        <f t="shared" si="60"/>
        <v>3352003.0446423003</v>
      </c>
      <c r="Y35" s="283">
        <f t="shared" si="60"/>
        <v>3188969.9910714086</v>
      </c>
      <c r="Z35" s="283">
        <f t="shared" si="60"/>
        <v>3150912.5331434435</v>
      </c>
      <c r="AA35" s="283">
        <f t="shared" si="60"/>
        <v>3596135.3214264149</v>
      </c>
      <c r="AB35" s="314">
        <f t="shared" si="60"/>
        <v>3741886.8839283199</v>
      </c>
      <c r="AC35" s="283">
        <f>AC52+AC70</f>
        <v>3890003.7410709821</v>
      </c>
      <c r="AD35" s="283">
        <f t="shared" ref="AD35:AN35" si="61">AD52+AD70</f>
        <v>3188260.5624992419</v>
      </c>
      <c r="AE35" s="283">
        <f t="shared" si="61"/>
        <v>4021599.3303484134</v>
      </c>
      <c r="AF35" s="283">
        <f t="shared" si="61"/>
        <v>3884937.7589228032</v>
      </c>
      <c r="AG35" s="283">
        <f t="shared" si="61"/>
        <v>4000374.1428585686</v>
      </c>
      <c r="AH35" s="283">
        <f t="shared" si="61"/>
        <v>3627304.0982116107</v>
      </c>
      <c r="AI35" s="283">
        <f t="shared" si="61"/>
        <v>3661834.5446401862</v>
      </c>
      <c r="AJ35" s="283">
        <f t="shared" si="61"/>
        <v>1778003.294641071</v>
      </c>
      <c r="AK35" s="283">
        <f t="shared" si="61"/>
        <v>0</v>
      </c>
      <c r="AL35" s="283">
        <f t="shared" si="61"/>
        <v>0</v>
      </c>
      <c r="AM35" s="283">
        <f t="shared" si="61"/>
        <v>0</v>
      </c>
      <c r="AN35" s="283">
        <f t="shared" si="61"/>
        <v>0</v>
      </c>
      <c r="AO35" s="335">
        <f ca="1">IFERROR(AVERAGE(INDEX($E35:$AN35, $AU$4 - 3):INDEX($E35:$AN35, $AU$4)),"-")</f>
        <v>3266879.0200878587</v>
      </c>
      <c r="AP35" s="332">
        <f ca="1">IFERROR(AVERAGE(INDEX($E35:$AN35, $AU$4 - 11):INDEX($E35:$AN35, $AU$4)),"-")</f>
        <v>3477518.5168968718</v>
      </c>
      <c r="AQ35" s="332" cm="1">
        <f t="array" ref="AQ35">IFERROR(SUMPRODUCT((YEAR($E$4:$AN$4)=2024)*$E35:$AN35),"-")</f>
        <v>49719578.818877205</v>
      </c>
      <c r="AR35" s="332">
        <f ca="1">IFERROR(SUM(INDEX($E35:$AN35, $AU$4 - MONTH(TODAY())-11):INDEX($E35:$AN35, $AU$4-12)),"-")</f>
        <v>36041674.089307614</v>
      </c>
      <c r="AS35" s="336">
        <f ca="1">IFERROR(SUM(INDEX($E35:$AN35, $AU$4 - MONTH(TODAY())+1):INDEX($E35:$AN35, $AU$4)),"-")</f>
        <v>28052317.473192874</v>
      </c>
    </row>
    <row r="36" spans="2:45" ht="16.5" thickBot="1" x14ac:dyDescent="0.3">
      <c r="B36" t="str">
        <f t="shared" si="37"/>
        <v>PC Annual Direct</v>
      </c>
      <c r="D36" s="226" t="s">
        <v>493</v>
      </c>
      <c r="E36" s="269">
        <f t="shared" ref="E36:AB36" si="62">IFERROR(E28/E$8,"-")</f>
        <v>0.50369783254873368</v>
      </c>
      <c r="F36" s="269">
        <f t="shared" si="62"/>
        <v>0.49840835057339866</v>
      </c>
      <c r="G36" s="269">
        <f t="shared" si="62"/>
        <v>0.49403060893567935</v>
      </c>
      <c r="H36" s="269">
        <f t="shared" si="62"/>
        <v>0.43431844806305436</v>
      </c>
      <c r="I36" s="269">
        <f t="shared" si="62"/>
        <v>0.4382699513941446</v>
      </c>
      <c r="J36" s="269">
        <f t="shared" si="62"/>
        <v>0.41774274345420892</v>
      </c>
      <c r="K36" s="269">
        <f t="shared" si="62"/>
        <v>0.3762307720597397</v>
      </c>
      <c r="L36" s="269">
        <f t="shared" si="62"/>
        <v>0.39925909361808998</v>
      </c>
      <c r="M36" s="269">
        <f t="shared" si="62"/>
        <v>0.40496040782115683</v>
      </c>
      <c r="N36" s="269">
        <f t="shared" si="62"/>
        <v>0.4167517073607746</v>
      </c>
      <c r="O36" s="269">
        <f t="shared" si="62"/>
        <v>0.47707169937906529</v>
      </c>
      <c r="P36" s="280">
        <f t="shared" si="62"/>
        <v>0.43213332390820364</v>
      </c>
      <c r="Q36" s="269">
        <f t="shared" si="62"/>
        <v>0.52565449174140644</v>
      </c>
      <c r="R36" s="269">
        <f t="shared" si="62"/>
        <v>0.68462947711903277</v>
      </c>
      <c r="S36" s="269">
        <f t="shared" si="62"/>
        <v>0.77812821674237298</v>
      </c>
      <c r="T36" s="269">
        <f t="shared" si="62"/>
        <v>0.79069443274828843</v>
      </c>
      <c r="U36" s="269">
        <f t="shared" si="62"/>
        <v>0.7917670000370175</v>
      </c>
      <c r="V36" s="269">
        <f t="shared" si="62"/>
        <v>0.78835267862411806</v>
      </c>
      <c r="W36" s="269">
        <f t="shared" si="62"/>
        <v>0.77034613734338997</v>
      </c>
      <c r="X36" s="269">
        <f t="shared" si="62"/>
        <v>0.77435838232586907</v>
      </c>
      <c r="Y36" s="269">
        <f t="shared" si="62"/>
        <v>0.80391722766812701</v>
      </c>
      <c r="Z36" s="269">
        <f t="shared" si="62"/>
        <v>0.83329004539668017</v>
      </c>
      <c r="AA36" s="269">
        <f t="shared" si="62"/>
        <v>0.90450036178546156</v>
      </c>
      <c r="AB36" s="280">
        <f t="shared" si="62"/>
        <v>0.94594102526983748</v>
      </c>
      <c r="AC36" s="269">
        <f t="shared" ref="AC36" si="63">IFERROR(AC28/AC$8,"-")</f>
        <v>0.99174224287623491</v>
      </c>
      <c r="AD36" s="269">
        <f t="shared" ref="AD36:AN36" si="64">IFERROR(AD28/AD$8,"-")</f>
        <v>0.999999999999999</v>
      </c>
      <c r="AE36" s="269">
        <f t="shared" si="64"/>
        <v>1.0000000000000013</v>
      </c>
      <c r="AF36" s="269">
        <f t="shared" si="64"/>
        <v>1.0000000000000007</v>
      </c>
      <c r="AG36" s="269">
        <f t="shared" si="64"/>
        <v>1.0000000000000011</v>
      </c>
      <c r="AH36" s="269">
        <f t="shared" si="64"/>
        <v>1.0000000000000004</v>
      </c>
      <c r="AI36" s="269">
        <f t="shared" si="64"/>
        <v>0.99999999999999944</v>
      </c>
      <c r="AJ36" s="269">
        <f t="shared" si="64"/>
        <v>0.99999999999999989</v>
      </c>
      <c r="AK36" s="269" t="str">
        <f t="shared" si="64"/>
        <v>-</v>
      </c>
      <c r="AL36" s="269" t="str">
        <f t="shared" si="64"/>
        <v>-</v>
      </c>
      <c r="AM36" s="269" t="str">
        <f t="shared" si="64"/>
        <v>-</v>
      </c>
      <c r="AN36" s="269" t="str">
        <f t="shared" si="64"/>
        <v>-</v>
      </c>
      <c r="AO36" s="279">
        <f ca="1">IFERROR(AO28/AO$8,"-")</f>
        <v>1.0000000000000002</v>
      </c>
      <c r="AP36" s="269">
        <f t="shared" ref="AP36:AS36" ca="1" si="65">IFERROR(AP28/AP$8,"-")</f>
        <v>0.95449737036881688</v>
      </c>
      <c r="AQ36" s="269">
        <f t="shared" si="65"/>
        <v>0.77906546123384524</v>
      </c>
      <c r="AR36" s="269">
        <f t="shared" ca="1" si="65"/>
        <v>0.74836552035462467</v>
      </c>
      <c r="AS36" s="280">
        <f t="shared" ca="1" si="65"/>
        <v>0.99887986531060824</v>
      </c>
    </row>
    <row r="38" spans="2:45" ht="15.75" thickBot="1" x14ac:dyDescent="0.3"/>
    <row r="39" spans="2:45" ht="21" outlineLevel="1" x14ac:dyDescent="0.25">
      <c r="D39" s="363" t="s">
        <v>350</v>
      </c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33"/>
      <c r="Q39" s="202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33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33"/>
      <c r="AO39" s="508" t="s">
        <v>484</v>
      </c>
      <c r="AP39" s="508"/>
      <c r="AQ39" s="508"/>
      <c r="AR39" s="508"/>
      <c r="AS39" s="509"/>
    </row>
    <row r="40" spans="2:45" outlineLevel="1" x14ac:dyDescent="0.25">
      <c r="D40" s="204"/>
      <c r="E40" s="303" t="s">
        <v>341</v>
      </c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17"/>
      <c r="Q40" s="303" t="s">
        <v>341</v>
      </c>
      <c r="R40" s="303"/>
      <c r="S40" s="303"/>
      <c r="T40" s="303"/>
      <c r="U40" s="303"/>
      <c r="V40" s="303"/>
      <c r="W40" s="303"/>
      <c r="X40" s="303"/>
      <c r="Y40" s="303"/>
      <c r="Z40" s="303"/>
      <c r="AA40" s="303"/>
      <c r="AB40" s="317"/>
      <c r="AC40" s="303" t="s">
        <v>341</v>
      </c>
      <c r="AD40" s="303"/>
      <c r="AE40" s="303"/>
      <c r="AF40" s="303"/>
      <c r="AG40" s="303"/>
      <c r="AH40" s="303"/>
      <c r="AI40" s="303"/>
      <c r="AJ40" s="303"/>
      <c r="AK40" s="303"/>
      <c r="AL40" s="303"/>
      <c r="AM40" s="303"/>
      <c r="AN40" s="317"/>
      <c r="AO40" s="511" t="s">
        <v>485</v>
      </c>
      <c r="AP40" s="511"/>
      <c r="AQ40" s="511" t="s">
        <v>486</v>
      </c>
      <c r="AR40" s="511"/>
      <c r="AS40" s="512"/>
    </row>
    <row r="41" spans="2:45" outlineLevel="1" x14ac:dyDescent="0.25">
      <c r="D41" s="354" t="s">
        <v>487</v>
      </c>
      <c r="E41" s="304">
        <f t="shared" ref="E41:AN41" si="66">E$4</f>
        <v>44927</v>
      </c>
      <c r="F41" s="304">
        <f t="shared" si="66"/>
        <v>44958</v>
      </c>
      <c r="G41" s="304">
        <f t="shared" si="66"/>
        <v>44986</v>
      </c>
      <c r="H41" s="304">
        <f t="shared" si="66"/>
        <v>45017</v>
      </c>
      <c r="I41" s="304">
        <f t="shared" si="66"/>
        <v>45047</v>
      </c>
      <c r="J41" s="304">
        <f t="shared" si="66"/>
        <v>45078</v>
      </c>
      <c r="K41" s="304">
        <f t="shared" si="66"/>
        <v>45108</v>
      </c>
      <c r="L41" s="304">
        <f t="shared" si="66"/>
        <v>45139</v>
      </c>
      <c r="M41" s="304">
        <f t="shared" si="66"/>
        <v>45170</v>
      </c>
      <c r="N41" s="304">
        <f t="shared" si="66"/>
        <v>45200</v>
      </c>
      <c r="O41" s="304">
        <f t="shared" si="66"/>
        <v>45231</v>
      </c>
      <c r="P41" s="390">
        <f t="shared" si="66"/>
        <v>45261</v>
      </c>
      <c r="Q41" s="304">
        <f t="shared" si="66"/>
        <v>45292</v>
      </c>
      <c r="R41" s="304">
        <f t="shared" si="66"/>
        <v>45323</v>
      </c>
      <c r="S41" s="304">
        <f t="shared" si="66"/>
        <v>45352</v>
      </c>
      <c r="T41" s="304">
        <f t="shared" si="66"/>
        <v>45383</v>
      </c>
      <c r="U41" s="304">
        <f t="shared" si="66"/>
        <v>45413</v>
      </c>
      <c r="V41" s="304">
        <f t="shared" si="66"/>
        <v>45444</v>
      </c>
      <c r="W41" s="304">
        <f t="shared" si="66"/>
        <v>45474</v>
      </c>
      <c r="X41" s="304">
        <f t="shared" si="66"/>
        <v>45505</v>
      </c>
      <c r="Y41" s="304">
        <f t="shared" si="66"/>
        <v>45536</v>
      </c>
      <c r="Z41" s="304">
        <f t="shared" si="66"/>
        <v>45566</v>
      </c>
      <c r="AA41" s="304">
        <f t="shared" si="66"/>
        <v>45597</v>
      </c>
      <c r="AB41" s="390">
        <f t="shared" si="66"/>
        <v>45627</v>
      </c>
      <c r="AC41" s="304">
        <f t="shared" si="66"/>
        <v>45658</v>
      </c>
      <c r="AD41" s="304">
        <f t="shared" si="66"/>
        <v>45689</v>
      </c>
      <c r="AE41" s="304">
        <f t="shared" si="66"/>
        <v>45717</v>
      </c>
      <c r="AF41" s="304">
        <f t="shared" si="66"/>
        <v>45748</v>
      </c>
      <c r="AG41" s="304">
        <f t="shared" si="66"/>
        <v>45778</v>
      </c>
      <c r="AH41" s="304">
        <f t="shared" si="66"/>
        <v>45809</v>
      </c>
      <c r="AI41" s="304">
        <f t="shared" si="66"/>
        <v>45839</v>
      </c>
      <c r="AJ41" s="304">
        <f t="shared" si="66"/>
        <v>45870</v>
      </c>
      <c r="AK41" s="304">
        <f t="shared" si="66"/>
        <v>45901</v>
      </c>
      <c r="AL41" s="304">
        <f t="shared" si="66"/>
        <v>45931</v>
      </c>
      <c r="AM41" s="304">
        <f t="shared" si="66"/>
        <v>45962</v>
      </c>
      <c r="AN41" s="390">
        <f t="shared" si="66"/>
        <v>45992</v>
      </c>
      <c r="AO41" s="352" t="s">
        <v>349</v>
      </c>
      <c r="AP41" s="352" t="s">
        <v>348</v>
      </c>
      <c r="AQ41" s="352" t="s">
        <v>772</v>
      </c>
      <c r="AR41" s="352" t="s">
        <v>490</v>
      </c>
      <c r="AS41" s="353" t="s">
        <v>773</v>
      </c>
    </row>
    <row r="42" spans="2:45" ht="15.75" outlineLevel="1" x14ac:dyDescent="0.25">
      <c r="B42" t="str">
        <f>$D$2</f>
        <v>PC Annual Direct</v>
      </c>
      <c r="C42" t="s">
        <v>72</v>
      </c>
      <c r="D42" s="223" t="s">
        <v>488</v>
      </c>
      <c r="E42" s="209">
        <v>2004.9287671809998</v>
      </c>
      <c r="F42" s="209">
        <v>2177.1205480079975</v>
      </c>
      <c r="G42" s="209">
        <v>2686.721311545401</v>
      </c>
      <c r="H42" s="209">
        <v>1944.6939891300005</v>
      </c>
      <c r="I42" s="209">
        <v>1627.2103825526017</v>
      </c>
      <c r="J42" s="209">
        <v>1168.2404371882005</v>
      </c>
      <c r="K42" s="209">
        <v>657.13661201320099</v>
      </c>
      <c r="L42" s="209">
        <v>858.71038251520122</v>
      </c>
      <c r="M42" s="209">
        <v>863.89344265020111</v>
      </c>
      <c r="N42" s="209">
        <v>1089.696721341802</v>
      </c>
      <c r="O42" s="209">
        <v>1822.3606557956</v>
      </c>
      <c r="P42" s="238">
        <v>1644.6256831067997</v>
      </c>
      <c r="Q42" s="209">
        <v>1655.8278689038007</v>
      </c>
      <c r="R42" s="209">
        <v>1488.9398907425007</v>
      </c>
      <c r="S42" s="209">
        <v>1842.7287671740016</v>
      </c>
      <c r="T42" s="209">
        <v>1757.6273973020006</v>
      </c>
      <c r="U42" s="209">
        <v>1868.1753425140009</v>
      </c>
      <c r="V42" s="209">
        <v>1532.0438356570005</v>
      </c>
      <c r="W42" s="209">
        <v>1243.7479452330031</v>
      </c>
      <c r="X42" s="209">
        <v>1072.1150685210014</v>
      </c>
      <c r="Y42" s="209">
        <v>989.83013701700224</v>
      </c>
      <c r="Z42" s="209">
        <v>1000.0410959180011</v>
      </c>
      <c r="AA42" s="209">
        <v>1102.7123287990016</v>
      </c>
      <c r="AB42" s="238">
        <v>1027.1150685250013</v>
      </c>
      <c r="AC42" s="209">
        <v>938.63835619800113</v>
      </c>
      <c r="AD42" s="209">
        <v>719.53972605100068</v>
      </c>
      <c r="AE42" s="209">
        <v>797.84657536700001</v>
      </c>
      <c r="AF42" s="209">
        <v>783.54794522600116</v>
      </c>
      <c r="AG42" s="209">
        <v>860.05479454300053</v>
      </c>
      <c r="AH42" s="209">
        <v>709.65479454000126</v>
      </c>
      <c r="AI42" s="209">
        <v>707.55342467600133</v>
      </c>
      <c r="AJ42" s="209">
        <v>327.21095891200002</v>
      </c>
      <c r="AK42" s="209">
        <v>0</v>
      </c>
      <c r="AL42" s="209">
        <v>0</v>
      </c>
      <c r="AM42" s="209">
        <v>0</v>
      </c>
      <c r="AN42" s="238">
        <v>0</v>
      </c>
      <c r="AO42" s="209">
        <f ca="1">IFERROR(AVERAGE(INDEX($E42:$AN42, $AU$4 - 3):INDEX($E42:$AN42, $AU$4)),"-")</f>
        <v>651.11849316775078</v>
      </c>
      <c r="AP42" s="209">
        <f ca="1">IFERROR(AVERAGE(INDEX($E42:$AN42, $AU$4 - 11):INDEX($E42:$AN42, $AU$4)),"-")</f>
        <v>830.31210048100127</v>
      </c>
      <c r="AQ42" s="209" cm="1">
        <f t="array" ref="AQ42">IFERROR(SUMPRODUCT((YEAR($E$4:$AN$4)=2024)*$E42:$AN42),"-")</f>
        <v>16580.904746306318</v>
      </c>
      <c r="AR42" s="209">
        <f ca="1">IFERROR(SUM(INDEX($E42:$AN42, $AU$4 - MONTH(TODAY())-11):INDEX($E42:$AN42, $AU$4-12)),"-")</f>
        <v>12461.206116047309</v>
      </c>
      <c r="AS42" s="238">
        <f ca="1">IFERROR(SUM(INDEX($E42:$AN42, $AU$4 - MONTH(TODAY())+1):INDEX($E42:$AN42, $AU$4)),"-")</f>
        <v>5844.0465755130062</v>
      </c>
    </row>
    <row r="43" spans="2:45" ht="15.75" hidden="1" outlineLevel="1" x14ac:dyDescent="0.25">
      <c r="B43" t="str">
        <f>$D$22&amp;"_W VYRs"</f>
        <v>PC Annual Direct - Annual_W VYRs</v>
      </c>
      <c r="C43" t="str">
        <f>$C42</f>
        <v>Boom Annual</v>
      </c>
      <c r="D43" s="211" t="s">
        <v>317</v>
      </c>
      <c r="E43" s="31" t="str">
        <f ca="1">INDEX('Plan Figures'!$B$94:$AP$131,MATCH('Current - Sales, NWP, GWP'!E$4,'Plan Figures'!$B$94:$B$131,0),MATCH('Current - Sales, NWP, GWP'!$B43,'Plan Figures'!$B$1:$AP$1,0))</f>
        <v>-</v>
      </c>
      <c r="F43" s="31" t="str">
        <f ca="1">INDEX('Plan Figures'!$B$94:$AP$131,MATCH('Current - Sales, NWP, GWP'!F$4,'Plan Figures'!$B$94:$B$131,0),MATCH('Current - Sales, NWP, GWP'!$B43,'Plan Figures'!$B$1:$AP$1,0))</f>
        <v>-</v>
      </c>
      <c r="G43" s="31" t="str">
        <f ca="1">INDEX('Plan Figures'!$B$94:$AP$131,MATCH('Current - Sales, NWP, GWP'!G$4,'Plan Figures'!$B$94:$B$131,0),MATCH('Current - Sales, NWP, GWP'!$B43,'Plan Figures'!$B$1:$AP$1,0))</f>
        <v>-</v>
      </c>
      <c r="H43" s="31" t="str">
        <f ca="1">INDEX('Plan Figures'!$B$94:$AP$131,MATCH('Current - Sales, NWP, GWP'!H$4,'Plan Figures'!$B$94:$B$131,0),MATCH('Current - Sales, NWP, GWP'!$B43,'Plan Figures'!$B$1:$AP$1,0))</f>
        <v>-</v>
      </c>
      <c r="I43" s="31" t="str">
        <f ca="1">INDEX('Plan Figures'!$B$94:$AP$131,MATCH('Current - Sales, NWP, GWP'!I$4,'Plan Figures'!$B$94:$B$131,0),MATCH('Current - Sales, NWP, GWP'!$B43,'Plan Figures'!$B$1:$AP$1,0))</f>
        <v>-</v>
      </c>
      <c r="J43" s="31" t="str">
        <f ca="1">INDEX('Plan Figures'!$B$94:$AP$131,MATCH('Current - Sales, NWP, GWP'!J$4,'Plan Figures'!$B$94:$B$131,0),MATCH('Current - Sales, NWP, GWP'!$B43,'Plan Figures'!$B$1:$AP$1,0))</f>
        <v>-</v>
      </c>
      <c r="K43" s="31" t="str">
        <f ca="1">INDEX('Plan Figures'!$B$94:$AP$131,MATCH('Current - Sales, NWP, GWP'!K$4,'Plan Figures'!$B$94:$B$131,0),MATCH('Current - Sales, NWP, GWP'!$B43,'Plan Figures'!$B$1:$AP$1,0))</f>
        <v>-</v>
      </c>
      <c r="L43" s="31" t="str">
        <f ca="1">INDEX('Plan Figures'!$B$94:$AP$131,MATCH('Current - Sales, NWP, GWP'!L$4,'Plan Figures'!$B$94:$B$131,0),MATCH('Current - Sales, NWP, GWP'!$B43,'Plan Figures'!$B$1:$AP$1,0))</f>
        <v>-</v>
      </c>
      <c r="M43" s="31" t="str">
        <f ca="1">INDEX('Plan Figures'!$B$94:$AP$131,MATCH('Current - Sales, NWP, GWP'!M$4,'Plan Figures'!$B$94:$B$131,0),MATCH('Current - Sales, NWP, GWP'!$B43,'Plan Figures'!$B$1:$AP$1,0))</f>
        <v>-</v>
      </c>
      <c r="N43" s="31" t="str">
        <f ca="1">INDEX('Plan Figures'!$B$94:$AP$131,MATCH('Current - Sales, NWP, GWP'!N$4,'Plan Figures'!$B$94:$B$131,0),MATCH('Current - Sales, NWP, GWP'!$B43,'Plan Figures'!$B$1:$AP$1,0))</f>
        <v>-</v>
      </c>
      <c r="O43" s="31">
        <f ca="1">INDEX('Plan Figures'!$B$94:$AP$131,MATCH('Current - Sales, NWP, GWP'!O$4,'Plan Figures'!$B$94:$B$131,0),MATCH('Current - Sales, NWP, GWP'!$B43,'Plan Figures'!$B$1:$AP$1,0))</f>
        <v>1113.4200697273855</v>
      </c>
      <c r="P43" s="240">
        <f ca="1">INDEX('Plan Figures'!$B$94:$AP$131,MATCH('Current - Sales, NWP, GWP'!P$4,'Plan Figures'!$B$94:$B$131,0),MATCH('Current - Sales, NWP, GWP'!$B43,'Plan Figures'!$B$1:$AP$1,0))</f>
        <v>989.67431218271486</v>
      </c>
      <c r="Q43" s="31">
        <f ca="1">INDEX('Plan Figures'!$B$94:$AP$131,MATCH('Current - Sales, NWP, GWP'!Q$4,'Plan Figures'!$B$94:$B$131,0),MATCH('Current - Sales, NWP, GWP'!$B43,'Plan Figures'!$B$1:$AP$1,0))</f>
        <v>1210.5482166933789</v>
      </c>
      <c r="R43" s="31">
        <f ca="1">INDEX('Plan Figures'!$B$94:$AP$131,MATCH('Current - Sales, NWP, GWP'!R$4,'Plan Figures'!$B$94:$B$131,0),MATCH('Current - Sales, NWP, GWP'!$B43,'Plan Figures'!$B$1:$AP$1,0))</f>
        <v>1208.1319527878034</v>
      </c>
      <c r="S43" s="31">
        <f ca="1">INDEX('Plan Figures'!$B$94:$AP$131,MATCH('Current - Sales, NWP, GWP'!S$4,'Plan Figures'!$B$94:$B$131,0),MATCH('Current - Sales, NWP, GWP'!$B43,'Plan Figures'!$B$1:$AP$1,0))</f>
        <v>1205.7205117642748</v>
      </c>
      <c r="T43" s="31">
        <f ca="1">INDEX('Plan Figures'!$B$94:$AP$131,MATCH('Current - Sales, NWP, GWP'!T$4,'Plan Figures'!$B$94:$B$131,0),MATCH('Current - Sales, NWP, GWP'!$B43,'Plan Figures'!$B$1:$AP$1,0))</f>
        <v>1203.3138839962821</v>
      </c>
      <c r="U43" s="31">
        <f ca="1">INDEX('Plan Figures'!$B$94:$AP$131,MATCH('Current - Sales, NWP, GWP'!U$4,'Plan Figures'!$B$94:$B$131,0),MATCH('Current - Sales, NWP, GWP'!$B43,'Plan Figures'!$B$1:$AP$1,0))</f>
        <v>1201.0207575202833</v>
      </c>
      <c r="V43" s="31">
        <f ca="1">INDEX('Plan Figures'!$B$94:$AP$131,MATCH('Current - Sales, NWP, GWP'!V$4,'Plan Figures'!$B$94:$B$131,0),MATCH('Current - Sales, NWP, GWP'!$B43,'Plan Figures'!$B$1:$AP$1,0))</f>
        <v>1228.8758335021305</v>
      </c>
      <c r="W43" s="31">
        <f ca="1">INDEX('Plan Figures'!$B$94:$AP$131,MATCH('Current - Sales, NWP, GWP'!W$4,'Plan Figures'!$B$94:$B$131,0),MATCH('Current - Sales, NWP, GWP'!$B43,'Plan Figures'!$B$1:$AP$1,0))</f>
        <v>1163.6668411466915</v>
      </c>
      <c r="X43" s="31">
        <f ca="1">INDEX('Plan Figures'!$B$94:$AP$131,MATCH('Current - Sales, NWP, GWP'!X$4,'Plan Figures'!$B$94:$B$131,0),MATCH('Current - Sales, NWP, GWP'!$B43,'Plan Figures'!$B$1:$AP$1,0))</f>
        <v>1142.8043600541255</v>
      </c>
      <c r="Y43" s="31">
        <f ca="1">INDEX('Plan Figures'!$B$94:$AP$131,MATCH('Current - Sales, NWP, GWP'!Y$4,'Plan Figures'!$B$94:$B$131,0),MATCH('Current - Sales, NWP, GWP'!$B43,'Plan Figures'!$B$1:$AP$1,0))</f>
        <v>1583.5747712774066</v>
      </c>
      <c r="Z43" s="31">
        <f ca="1">INDEX('Plan Figures'!$B$94:$AP$131,MATCH('Current - Sales, NWP, GWP'!Z$4,'Plan Figures'!$B$94:$B$131,0),MATCH('Current - Sales, NWP, GWP'!$B43,'Plan Figures'!$B$1:$AP$1,0))</f>
        <v>1634.6429111000109</v>
      </c>
      <c r="AA43" s="31">
        <f ca="1">INDEX('Plan Figures'!$B$94:$AP$131,MATCH('Current - Sales, NWP, GWP'!AA$4,'Plan Figures'!$B$94:$B$131,0),MATCH('Current - Sales, NWP, GWP'!$B43,'Plan Figures'!$B$1:$AP$1,0))</f>
        <v>1425.1923390241984</v>
      </c>
      <c r="AB43" s="240">
        <f ca="1">INDEX('Plan Figures'!$B$94:$AP$131,MATCH('Current - Sales, NWP, GWP'!AB$4,'Plan Figures'!$B$94:$B$131,0),MATCH('Current - Sales, NWP, GWP'!$B43,'Plan Figures'!$B$1:$AP$1,0))</f>
        <v>1298.3013026498229</v>
      </c>
      <c r="AC43" s="31">
        <f ca="1">INDEX('Plan Figures'!$B$94:$AP$131,MATCH('Current - Sales, NWP, GWP'!AC$4,'Plan Figures'!$B$94:$B$131,0),MATCH('Current - Sales, NWP, GWP'!$B43,'Plan Figures'!$B$1:$AP$1,0))</f>
        <v>2472.7696808006417</v>
      </c>
      <c r="AD43" s="31">
        <f ca="1">INDEX('Plan Figures'!$B$94:$AP$131,MATCH('Current - Sales, NWP, GWP'!AD$4,'Plan Figures'!$B$94:$B$131,0),MATCH('Current - Sales, NWP, GWP'!$B43,'Plan Figures'!$B$1:$AP$1,0))</f>
        <v>2481.1163302429786</v>
      </c>
      <c r="AE43" s="31">
        <f ca="1">INDEX('Plan Figures'!$B$94:$AP$131,MATCH('Current - Sales, NWP, GWP'!AE$4,'Plan Figures'!$B$94:$B$131,0),MATCH('Current - Sales, NWP, GWP'!$B43,'Plan Figures'!$B$1:$AP$1,0))</f>
        <v>2494.3237804562077</v>
      </c>
      <c r="AF43" s="31">
        <f ca="1">INDEX('Plan Figures'!$B$94:$AP$131,MATCH('Current - Sales, NWP, GWP'!AF$4,'Plan Figures'!$B$94:$B$131,0),MATCH('Current - Sales, NWP, GWP'!$B43,'Plan Figures'!$B$1:$AP$1,0))</f>
        <v>2208.3088338858024</v>
      </c>
      <c r="AG43" s="31">
        <f ca="1">INDEX('Plan Figures'!$B$94:$AP$131,MATCH('Current - Sales, NWP, GWP'!AG$4,'Plan Figures'!$B$94:$B$131,0),MATCH('Current - Sales, NWP, GWP'!$B43,'Plan Figures'!$B$1:$AP$1,0))</f>
        <v>2223.2301977778543</v>
      </c>
      <c r="AH43" s="31">
        <f ca="1">INDEX('Plan Figures'!$B$94:$AP$131,MATCH('Current - Sales, NWP, GWP'!AH$4,'Plan Figures'!$B$94:$B$131,0),MATCH('Current - Sales, NWP, GWP'!$B43,'Plan Figures'!$B$1:$AP$1,0))</f>
        <v>2238.3292006103952</v>
      </c>
      <c r="AI43" s="31">
        <f ca="1">INDEX('Plan Figures'!$B$94:$AP$131,MATCH('Current - Sales, NWP, GWP'!AI$4,'Plan Figures'!$B$94:$B$131,0),MATCH('Current - Sales, NWP, GWP'!$B43,'Plan Figures'!$B$1:$AP$1,0))</f>
        <v>2279.853474226014</v>
      </c>
      <c r="AJ43" s="31">
        <f ca="1">INDEX('Plan Figures'!$B$94:$AP$131,MATCH('Current - Sales, NWP, GWP'!AJ$4,'Plan Figures'!$B$94:$B$131,0),MATCH('Current - Sales, NWP, GWP'!$B43,'Plan Figures'!$B$1:$AP$1,0))</f>
        <v>2307.8968137253173</v>
      </c>
      <c r="AK43" s="31">
        <f ca="1">INDEX('Plan Figures'!$B$94:$AP$131,MATCH('Current - Sales, NWP, GWP'!AK$4,'Plan Figures'!$B$94:$B$131,0),MATCH('Current - Sales, NWP, GWP'!$B43,'Plan Figures'!$B$1:$AP$1,0))</f>
        <v>2168.1545962418945</v>
      </c>
      <c r="AL43" s="31">
        <f ca="1">INDEX('Plan Figures'!$B$94:$AP$131,MATCH('Current - Sales, NWP, GWP'!AL$4,'Plan Figures'!$B$94:$B$131,0),MATCH('Current - Sales, NWP, GWP'!$B43,'Plan Figures'!$B$1:$AP$1,0))</f>
        <v>2172.3219907342391</v>
      </c>
      <c r="AM43" s="31">
        <f ca="1">INDEX('Plan Figures'!$B$94:$AP$131,MATCH('Current - Sales, NWP, GWP'!AM$4,'Plan Figures'!$B$94:$B$131,0),MATCH('Current - Sales, NWP, GWP'!$B43,'Plan Figures'!$B$1:$AP$1,0))</f>
        <v>2019.1662365528146</v>
      </c>
      <c r="AN43" s="240">
        <f ca="1">INDEX('Plan Figures'!$B$94:$AP$131,MATCH('Current - Sales, NWP, GWP'!AN$4,'Plan Figures'!$B$94:$B$131,0),MATCH('Current - Sales, NWP, GWP'!$B43,'Plan Figures'!$B$1:$AP$1,0))</f>
        <v>1708.9432926032034</v>
      </c>
      <c r="AO43" s="31">
        <f t="shared" ref="AO43:AO44" ca="1" si="67">AVERAGE(Z43:AC43)</f>
        <v>1707.7265583936687</v>
      </c>
      <c r="AP43" s="31">
        <f t="shared" ref="AP43:AP44" ca="1" si="68">AVERAGE(R43:AC43)</f>
        <v>1397.3345954686392</v>
      </c>
      <c r="AQ43" s="31">
        <f ca="1">SUMIFS(AC43:AN43,AC$4:AN$4,"&lt;"&amp;'Title Sheet'!$C$13)</f>
        <v>18705.82831172521</v>
      </c>
      <c r="AR43" s="31"/>
      <c r="AS43" s="240"/>
    </row>
    <row r="44" spans="2:45" ht="15.75" hidden="1" outlineLevel="1" x14ac:dyDescent="0.25">
      <c r="B44" t="str">
        <f t="shared" ref="B44:B53" si="69">$D$2</f>
        <v>PC Annual Direct</v>
      </c>
      <c r="C44" t="str">
        <f t="shared" ref="C44:C53" si="70">$C43</f>
        <v>Boom Annual</v>
      </c>
      <c r="D44" s="213" t="s">
        <v>0</v>
      </c>
      <c r="E44" s="214" t="str">
        <f t="shared" ref="E44:AB44" ca="1" si="71">IFERROR(IF(E42=0,"-",(E42/E43)-1),"-")</f>
        <v>-</v>
      </c>
      <c r="F44" s="214" t="str">
        <f t="shared" ca="1" si="71"/>
        <v>-</v>
      </c>
      <c r="G44" s="214" t="str">
        <f t="shared" ca="1" si="71"/>
        <v>-</v>
      </c>
      <c r="H44" s="214" t="str">
        <f t="shared" ca="1" si="71"/>
        <v>-</v>
      </c>
      <c r="I44" s="214" t="str">
        <f t="shared" ca="1" si="71"/>
        <v>-</v>
      </c>
      <c r="J44" s="214" t="str">
        <f t="shared" ca="1" si="71"/>
        <v>-</v>
      </c>
      <c r="K44" s="214" t="str">
        <f t="shared" ca="1" si="71"/>
        <v>-</v>
      </c>
      <c r="L44" s="214" t="str">
        <f t="shared" ca="1" si="71"/>
        <v>-</v>
      </c>
      <c r="M44" s="214" t="str">
        <f t="shared" ca="1" si="71"/>
        <v>-</v>
      </c>
      <c r="N44" s="214" t="str">
        <f t="shared" ca="1" si="71"/>
        <v>-</v>
      </c>
      <c r="O44" s="214">
        <f t="shared" ca="1" si="71"/>
        <v>0.63672337632803289</v>
      </c>
      <c r="P44" s="294">
        <f t="shared" ca="1" si="71"/>
        <v>0.66178475369295731</v>
      </c>
      <c r="Q44" s="214">
        <f t="shared" ca="1" si="71"/>
        <v>0.36783305784110465</v>
      </c>
      <c r="R44" s="214">
        <f t="shared" ca="1" si="71"/>
        <v>0.23243151321900224</v>
      </c>
      <c r="S44" s="214">
        <f t="shared" ca="1" si="71"/>
        <v>0.52832165430910871</v>
      </c>
      <c r="T44" s="214">
        <f t="shared" ca="1" si="71"/>
        <v>0.46065579453368222</v>
      </c>
      <c r="U44" s="214">
        <f t="shared" ca="1" si="71"/>
        <v>0.55548963730749712</v>
      </c>
      <c r="V44" s="214">
        <f t="shared" ca="1" si="71"/>
        <v>0.24670352682490471</v>
      </c>
      <c r="W44" s="214">
        <f t="shared" ca="1" si="71"/>
        <v>6.881789637264113E-2</v>
      </c>
      <c r="X44" s="214">
        <f t="shared" ca="1" si="71"/>
        <v>-6.1855986907309424E-2</v>
      </c>
      <c r="Y44" s="214">
        <f t="shared" ca="1" si="71"/>
        <v>-0.37493943767584414</v>
      </c>
      <c r="Z44" s="214">
        <f t="shared" ca="1" si="71"/>
        <v>-0.38822045528889426</v>
      </c>
      <c r="AA44" s="214">
        <f t="shared" ca="1" si="71"/>
        <v>-0.22627122065923577</v>
      </c>
      <c r="AB44" s="294">
        <f t="shared" ca="1" si="71"/>
        <v>-0.20887773398311515</v>
      </c>
      <c r="AC44" s="214">
        <f t="shared" ref="AC44" ca="1" si="72">IFERROR(IF(AC42=0,"-",(AC42/AC43)-1),"-")</f>
        <v>-0.62041011603875473</v>
      </c>
      <c r="AD44" s="214">
        <f t="shared" ref="AD44:AN44" ca="1" si="73">IFERROR(IF(AD42=0,"-",(AD42/AD43)-1),"-")</f>
        <v>-0.70999355520725005</v>
      </c>
      <c r="AE44" s="214">
        <f t="shared" ca="1" si="73"/>
        <v>-0.68013512054113712</v>
      </c>
      <c r="AF44" s="214">
        <f t="shared" ca="1" si="73"/>
        <v>-0.64518189974033291</v>
      </c>
      <c r="AG44" s="214">
        <f t="shared" ca="1" si="73"/>
        <v>-0.61315081299154905</v>
      </c>
      <c r="AH44" s="214">
        <f t="shared" ca="1" si="73"/>
        <v>-0.68295334111422146</v>
      </c>
      <c r="AI44" s="214">
        <f t="shared" ca="1" si="73"/>
        <v>-0.68964960569836253</v>
      </c>
      <c r="AJ44" s="214">
        <f t="shared" ca="1" si="73"/>
        <v>-0.85822114881131584</v>
      </c>
      <c r="AK44" s="214" t="str">
        <f t="shared" si="73"/>
        <v>-</v>
      </c>
      <c r="AL44" s="214" t="str">
        <f t="shared" si="73"/>
        <v>-</v>
      </c>
      <c r="AM44" s="214" t="str">
        <f t="shared" si="73"/>
        <v>-</v>
      </c>
      <c r="AN44" s="294" t="str">
        <f t="shared" si="73"/>
        <v>-</v>
      </c>
      <c r="AO44" s="275">
        <f t="shared" ca="1" si="67"/>
        <v>-0.36094488149249998</v>
      </c>
      <c r="AP44" s="275">
        <f t="shared" ca="1" si="68"/>
        <v>1.7653756001140219E-2</v>
      </c>
      <c r="AQ44" s="275">
        <f t="shared" ref="AQ44" ca="1" si="74">IFERROR(IF(AQ42=0,"-",(AQ42/AQ43)-1),"-")</f>
        <v>-0.11359687098629812</v>
      </c>
      <c r="AR44" s="275"/>
      <c r="AS44" s="276"/>
    </row>
    <row r="45" spans="2:45" ht="15.75" outlineLevel="1" x14ac:dyDescent="0.25">
      <c r="B45" t="str">
        <f t="shared" si="69"/>
        <v>PC Annual Direct</v>
      </c>
      <c r="C45" t="str">
        <f t="shared" si="70"/>
        <v>Boom Annual</v>
      </c>
      <c r="D45" s="208" t="s">
        <v>5</v>
      </c>
      <c r="E45" s="332">
        <v>1086160.0635735805</v>
      </c>
      <c r="F45" s="332">
        <v>1100141.5299974654</v>
      </c>
      <c r="G45" s="332">
        <v>1168566.6321445385</v>
      </c>
      <c r="H45" s="332">
        <v>918911.07178519689</v>
      </c>
      <c r="I45" s="332">
        <v>1069510.8107149289</v>
      </c>
      <c r="J45" s="332">
        <v>945624.45928729349</v>
      </c>
      <c r="K45" s="332">
        <v>896470.2778577751</v>
      </c>
      <c r="L45" s="332">
        <v>1071653.1207244031</v>
      </c>
      <c r="M45" s="332">
        <v>1115138.8496423969</v>
      </c>
      <c r="N45" s="332">
        <v>1337651.323214008</v>
      </c>
      <c r="O45" s="332">
        <v>1843053.8217862977</v>
      </c>
      <c r="P45" s="336">
        <v>1639641.0149972043</v>
      </c>
      <c r="Q45" s="332">
        <v>1660410.1078601356</v>
      </c>
      <c r="R45" s="332">
        <v>1490070.4535678655</v>
      </c>
      <c r="S45" s="332">
        <v>1956356.3464312493</v>
      </c>
      <c r="T45" s="332">
        <v>1644150.7957140515</v>
      </c>
      <c r="U45" s="332">
        <v>1631174.3696467348</v>
      </c>
      <c r="V45" s="332">
        <v>1352158.456070683</v>
      </c>
      <c r="W45" s="332">
        <v>1101664.7575005509</v>
      </c>
      <c r="X45" s="332">
        <v>950702.82999902265</v>
      </c>
      <c r="Y45" s="332">
        <v>913133.92285479885</v>
      </c>
      <c r="Z45" s="332">
        <v>889111.01964318566</v>
      </c>
      <c r="AA45" s="332">
        <v>1007458.6878601884</v>
      </c>
      <c r="AB45" s="336">
        <v>940484.03999803239</v>
      </c>
      <c r="AC45" s="332">
        <v>840553.25071322045</v>
      </c>
      <c r="AD45" s="332">
        <v>633814.87821391411</v>
      </c>
      <c r="AE45" s="332">
        <v>730384.52821412485</v>
      </c>
      <c r="AF45" s="332">
        <v>690162.60714390862</v>
      </c>
      <c r="AG45" s="332">
        <v>740791.8499956195</v>
      </c>
      <c r="AH45" s="332">
        <v>639261.45928645204</v>
      </c>
      <c r="AI45" s="332">
        <v>655660.33928781142</v>
      </c>
      <c r="AJ45" s="332">
        <v>296905.84392703214</v>
      </c>
      <c r="AK45" s="332">
        <v>0</v>
      </c>
      <c r="AL45" s="332">
        <v>0</v>
      </c>
      <c r="AM45" s="332">
        <v>0</v>
      </c>
      <c r="AN45" s="336">
        <v>0</v>
      </c>
      <c r="AO45" s="332">
        <f ca="1">IFERROR(AVERAGE(INDEX($E45:$AN45, $AU$4 - 3):INDEX($E45:$AN45, $AU$4)),"-")</f>
        <v>583154.87312422879</v>
      </c>
      <c r="AP45" s="332">
        <f ca="1">IFERROR(AVERAGE(INDEX($E45:$AN45, $AU$4 - 11):INDEX($E45:$AN45, $AU$4)),"-")</f>
        <v>748143.53559485741</v>
      </c>
      <c r="AQ45" s="332" cm="1">
        <f t="array" ref="AQ45">IFERROR(SUMPRODUCT((YEAR($E$4:$AN$4)=2024)*$E45:$AN45),"-")</f>
        <v>15536875.787146501</v>
      </c>
      <c r="AR45" s="332">
        <f ca="1">IFERROR(SUM(INDEX($E45:$AN45, $AU$4 - MONTH(TODAY())-11):INDEX($E45:$AN45, $AU$4-12)),"-")</f>
        <v>11786688.116790295</v>
      </c>
      <c r="AS45" s="336">
        <f ca="1">IFERROR(SUM(INDEX($E45:$AN45, $AU$4 - MONTH(TODAY())+1):INDEX($E45:$AN45, $AU$4)),"-")</f>
        <v>5227534.7567820838</v>
      </c>
    </row>
    <row r="46" spans="2:45" ht="15.75" outlineLevel="1" x14ac:dyDescent="0.25">
      <c r="B46" t="str">
        <f>$D$22&amp;"_NWP"</f>
        <v>PC Annual Direct - Annual_NWP</v>
      </c>
      <c r="C46" t="str">
        <f t="shared" si="70"/>
        <v>Boom Annual</v>
      </c>
      <c r="D46" s="211" t="s">
        <v>6</v>
      </c>
      <c r="E46" s="333" t="str">
        <f ca="1">INDEX('Plan Figures'!$B$94:$AP$131,MATCH('Current - Sales, NWP, GWP'!E$4,'Plan Figures'!$B$94:$B$131,0),MATCH('Current - Sales, NWP, GWP'!$B46,'Plan Figures'!$B$1:$AP$1,0))</f>
        <v>-</v>
      </c>
      <c r="F46" s="333" t="str">
        <f ca="1">INDEX('Plan Figures'!$B$94:$AP$131,MATCH('Current - Sales, NWP, GWP'!F$4,'Plan Figures'!$B$94:$B$131,0),MATCH('Current - Sales, NWP, GWP'!$B46,'Plan Figures'!$B$1:$AP$1,0))</f>
        <v>-</v>
      </c>
      <c r="G46" s="333" t="str">
        <f ca="1">INDEX('Plan Figures'!$B$94:$AP$131,MATCH('Current - Sales, NWP, GWP'!G$4,'Plan Figures'!$B$94:$B$131,0),MATCH('Current - Sales, NWP, GWP'!$B46,'Plan Figures'!$B$1:$AP$1,0))</f>
        <v>-</v>
      </c>
      <c r="H46" s="333" t="str">
        <f ca="1">INDEX('Plan Figures'!$B$94:$AP$131,MATCH('Current - Sales, NWP, GWP'!H$4,'Plan Figures'!$B$94:$B$131,0),MATCH('Current - Sales, NWP, GWP'!$B46,'Plan Figures'!$B$1:$AP$1,0))</f>
        <v>-</v>
      </c>
      <c r="I46" s="333" t="str">
        <f ca="1">INDEX('Plan Figures'!$B$94:$AP$131,MATCH('Current - Sales, NWP, GWP'!I$4,'Plan Figures'!$B$94:$B$131,0),MATCH('Current - Sales, NWP, GWP'!$B46,'Plan Figures'!$B$1:$AP$1,0))</f>
        <v>-</v>
      </c>
      <c r="J46" s="333" t="str">
        <f ca="1">INDEX('Plan Figures'!$B$94:$AP$131,MATCH('Current - Sales, NWP, GWP'!J$4,'Plan Figures'!$B$94:$B$131,0),MATCH('Current - Sales, NWP, GWP'!$B46,'Plan Figures'!$B$1:$AP$1,0))</f>
        <v>-</v>
      </c>
      <c r="K46" s="333" t="str">
        <f ca="1">INDEX('Plan Figures'!$B$94:$AP$131,MATCH('Current - Sales, NWP, GWP'!K$4,'Plan Figures'!$B$94:$B$131,0),MATCH('Current - Sales, NWP, GWP'!$B46,'Plan Figures'!$B$1:$AP$1,0))</f>
        <v>-</v>
      </c>
      <c r="L46" s="333" t="str">
        <f ca="1">INDEX('Plan Figures'!$B$94:$AP$131,MATCH('Current - Sales, NWP, GWP'!L$4,'Plan Figures'!$B$94:$B$131,0),MATCH('Current - Sales, NWP, GWP'!$B46,'Plan Figures'!$B$1:$AP$1,0))</f>
        <v>-</v>
      </c>
      <c r="M46" s="333" t="str">
        <f ca="1">INDEX('Plan Figures'!$B$94:$AP$131,MATCH('Current - Sales, NWP, GWP'!M$4,'Plan Figures'!$B$94:$B$131,0),MATCH('Current - Sales, NWP, GWP'!$B46,'Plan Figures'!$B$1:$AP$1,0))</f>
        <v>-</v>
      </c>
      <c r="N46" s="333" t="str">
        <f ca="1">INDEX('Plan Figures'!$B$94:$AP$131,MATCH('Current - Sales, NWP, GWP'!N$4,'Plan Figures'!$B$94:$B$131,0),MATCH('Current - Sales, NWP, GWP'!$B46,'Plan Figures'!$B$1:$AP$1,0))</f>
        <v>-</v>
      </c>
      <c r="O46" s="333">
        <f ca="1">INDEX('Plan Figures'!$B$94:$AP$131,MATCH('Current - Sales, NWP, GWP'!O$4,'Plan Figures'!$B$94:$B$131,0),MATCH('Current - Sales, NWP, GWP'!$B46,'Plan Figures'!$B$1:$AP$1,0))</f>
        <v>1201948.8602582696</v>
      </c>
      <c r="P46" s="339">
        <f ca="1">INDEX('Plan Figures'!$B$94:$AP$131,MATCH('Current - Sales, NWP, GWP'!P$4,'Plan Figures'!$B$94:$B$131,0),MATCH('Current - Sales, NWP, GWP'!$B46,'Plan Figures'!$B$1:$AP$1,0))</f>
        <v>1130181.9540233866</v>
      </c>
      <c r="Q46" s="333">
        <f ca="1">INDEX('Plan Figures'!$B$94:$AP$131,MATCH('Current - Sales, NWP, GWP'!Q$4,'Plan Figures'!$B$94:$B$131,0),MATCH('Current - Sales, NWP, GWP'!$B46,'Plan Figures'!$B$1:$AP$1,0))</f>
        <v>1235960.0527141613</v>
      </c>
      <c r="R46" s="333">
        <f ca="1">INDEX('Plan Figures'!$B$94:$AP$131,MATCH('Current - Sales, NWP, GWP'!R$4,'Plan Figures'!$B$94:$B$131,0),MATCH('Current - Sales, NWP, GWP'!$B46,'Plan Figures'!$B$1:$AP$1,0))</f>
        <v>1333459.558352059</v>
      </c>
      <c r="S46" s="333">
        <f ca="1">INDEX('Plan Figures'!$B$94:$AP$131,MATCH('Current - Sales, NWP, GWP'!S$4,'Plan Figures'!$B$94:$B$131,0),MATCH('Current - Sales, NWP, GWP'!$B46,'Plan Figures'!$B$1:$AP$1,0))</f>
        <v>1387558.0023525297</v>
      </c>
      <c r="T46" s="333">
        <f ca="1">INDEX('Plan Figures'!$B$94:$AP$131,MATCH('Current - Sales, NWP, GWP'!T$4,'Plan Figures'!$B$94:$B$131,0),MATCH('Current - Sales, NWP, GWP'!$B46,'Plan Figures'!$B$1:$AP$1,0))</f>
        <v>1433144.0223048357</v>
      </c>
      <c r="U46" s="333">
        <f ca="1">INDEX('Plan Figures'!$B$94:$AP$131,MATCH('Current - Sales, NWP, GWP'!U$4,'Plan Figures'!$B$94:$B$131,0),MATCH('Current - Sales, NWP, GWP'!$B46,'Plan Figures'!$B$1:$AP$1,0))</f>
        <v>1450615.9831731333</v>
      </c>
      <c r="V46" s="333">
        <f ca="1">INDEX('Plan Figures'!$B$94:$AP$131,MATCH('Current - Sales, NWP, GWP'!V$4,'Plan Figures'!$B$94:$B$131,0),MATCH('Current - Sales, NWP, GWP'!$B46,'Plan Figures'!$B$1:$AP$1,0))</f>
        <v>1477938.9090293907</v>
      </c>
      <c r="W46" s="333">
        <f ca="1">INDEX('Plan Figures'!$B$94:$AP$131,MATCH('Current - Sales, NWP, GWP'!W$4,'Plan Figures'!$B$94:$B$131,0),MATCH('Current - Sales, NWP, GWP'!$B46,'Plan Figures'!$B$1:$AP$1,0))</f>
        <v>1091239.3456972765</v>
      </c>
      <c r="X46" s="333">
        <f ca="1">INDEX('Plan Figures'!$B$94:$AP$131,MATCH('Current - Sales, NWP, GWP'!X$4,'Plan Figures'!$B$94:$B$131,0),MATCH('Current - Sales, NWP, GWP'!$B46,'Plan Figures'!$B$1:$AP$1,0))</f>
        <v>1077447.5969932852</v>
      </c>
      <c r="Y46" s="333">
        <f ca="1">INDEX('Plan Figures'!$B$94:$AP$131,MATCH('Current - Sales, NWP, GWP'!Y$4,'Plan Figures'!$B$94:$B$131,0),MATCH('Current - Sales, NWP, GWP'!$B46,'Plan Figures'!$B$1:$AP$1,0))</f>
        <v>1476181.8237554729</v>
      </c>
      <c r="Z46" s="333">
        <f ca="1">INDEX('Plan Figures'!$B$94:$AP$131,MATCH('Current - Sales, NWP, GWP'!Z$4,'Plan Figures'!$B$94:$B$131,0),MATCH('Current - Sales, NWP, GWP'!$B46,'Plan Figures'!$B$1:$AP$1,0))</f>
        <v>1608356.2569974326</v>
      </c>
      <c r="AA46" s="333">
        <f ca="1">INDEX('Plan Figures'!$B$94:$AP$131,MATCH('Current - Sales, NWP, GWP'!AA$4,'Plan Figures'!$B$94:$B$131,0),MATCH('Current - Sales, NWP, GWP'!$B46,'Plan Figures'!$B$1:$AP$1,0))</f>
        <v>1383525.1445630868</v>
      </c>
      <c r="AB46" s="339">
        <f ca="1">INDEX('Plan Figures'!$B$94:$AP$131,MATCH('Current - Sales, NWP, GWP'!AB$4,'Plan Figures'!$B$94:$B$131,0),MATCH('Current - Sales, NWP, GWP'!$B46,'Plan Figures'!$B$1:$AP$1,0))</f>
        <v>1258196.2084745558</v>
      </c>
      <c r="AC46" s="333">
        <f ca="1">INDEX('Plan Figures'!$B$94:$AP$131,MATCH('Current - Sales, NWP, GWP'!AC$4,'Plan Figures'!$B$94:$B$131,0),MATCH('Current - Sales, NWP, GWP'!$B46,'Plan Figures'!$B$1:$AP$1,0))</f>
        <v>2400885.2272898685</v>
      </c>
      <c r="AD46" s="333">
        <f ca="1">INDEX('Plan Figures'!$B$94:$AP$131,MATCH('Current - Sales, NWP, GWP'!AD$4,'Plan Figures'!$B$94:$B$131,0),MATCH('Current - Sales, NWP, GWP'!$B46,'Plan Figures'!$B$1:$AP$1,0))</f>
        <v>2405086.8791497727</v>
      </c>
      <c r="AE46" s="333">
        <f ca="1">INDEX('Plan Figures'!$B$94:$AP$131,MATCH('Current - Sales, NWP, GWP'!AE$4,'Plan Figures'!$B$94:$B$131,0),MATCH('Current - Sales, NWP, GWP'!$B46,'Plan Figures'!$B$1:$AP$1,0))</f>
        <v>2411541.0369314938</v>
      </c>
      <c r="AF46" s="333">
        <f ca="1">INDEX('Plan Figures'!$B$94:$AP$131,MATCH('Current - Sales, NWP, GWP'!AF$4,'Plan Figures'!$B$94:$B$131,0),MATCH('Current - Sales, NWP, GWP'!$B46,'Plan Figures'!$B$1:$AP$1,0))</f>
        <v>677991.49301228079</v>
      </c>
      <c r="AG46" s="333">
        <f ca="1">INDEX('Plan Figures'!$B$94:$AP$131,MATCH('Current - Sales, NWP, GWP'!AG$4,'Plan Figures'!$B$94:$B$131,0),MATCH('Current - Sales, NWP, GWP'!$B46,'Plan Figures'!$B$1:$AP$1,0))</f>
        <v>709226.73728163785</v>
      </c>
      <c r="AH46" s="333">
        <f ca="1">INDEX('Plan Figures'!$B$94:$AP$131,MATCH('Current - Sales, NWP, GWP'!AH$4,'Plan Figures'!$B$94:$B$131,0),MATCH('Current - Sales, NWP, GWP'!$B46,'Plan Figures'!$B$1:$AP$1,0))</f>
        <v>705428.80657560041</v>
      </c>
      <c r="AI46" s="333">
        <f ca="1">INDEX('Plan Figures'!$B$94:$AP$131,MATCH('Current - Sales, NWP, GWP'!AI$4,'Plan Figures'!$B$94:$B$131,0),MATCH('Current - Sales, NWP, GWP'!$B46,'Plan Figures'!$B$1:$AP$1,0))</f>
        <v>756339.23139095912</v>
      </c>
      <c r="AJ46" s="333">
        <f ca="1">INDEX('Plan Figures'!$B$94:$AP$131,MATCH('Current - Sales, NWP, GWP'!AJ$4,'Plan Figures'!$B$94:$B$131,0),MATCH('Current - Sales, NWP, GWP'!$B46,'Plan Figures'!$B$1:$AP$1,0))</f>
        <v>789706.60054368211</v>
      </c>
      <c r="AK46" s="333">
        <f ca="1">INDEX('Plan Figures'!$B$94:$AP$131,MATCH('Current - Sales, NWP, GWP'!AK$4,'Plan Figures'!$B$94:$B$131,0),MATCH('Current - Sales, NWP, GWP'!$B46,'Plan Figures'!$B$1:$AP$1,0))</f>
        <v>752906.953713289</v>
      </c>
      <c r="AL46" s="333">
        <f ca="1">INDEX('Plan Figures'!$B$94:$AP$131,MATCH('Current - Sales, NWP, GWP'!AL$4,'Plan Figures'!$B$94:$B$131,0),MATCH('Current - Sales, NWP, GWP'!$B46,'Plan Figures'!$B$1:$AP$1,0))</f>
        <v>738021.42909150629</v>
      </c>
      <c r="AM46" s="333">
        <f ca="1">INDEX('Plan Figures'!$B$94:$AP$131,MATCH('Current - Sales, NWP, GWP'!AM$4,'Plan Figures'!$B$94:$B$131,0),MATCH('Current - Sales, NWP, GWP'!$B46,'Plan Figures'!$B$1:$AP$1,0))</f>
        <v>794733.35634812503</v>
      </c>
      <c r="AN46" s="339">
        <f ca="1">INDEX('Plan Figures'!$B$94:$AP$131,MATCH('Current - Sales, NWP, GWP'!AN$4,'Plan Figures'!$B$94:$B$131,0),MATCH('Current - Sales, NWP, GWP'!$B46,'Plan Figures'!$B$1:$AP$1,0))</f>
        <v>764997.17324093159</v>
      </c>
      <c r="AO46" s="333">
        <f ca="1">IFERROR(AVERAGE(INDEX($E46:$AN46, $AU$4 - 3):INDEX($E46:$AN46, $AU$4)),"-")</f>
        <v>740175.34394796984</v>
      </c>
      <c r="AP46" s="333">
        <f ca="1">IFERROR(AVERAGE(INDEX($E46:$AN46, $AU$4 - 11):INDEX($E46:$AN46, $AU$4)),"-")</f>
        <v>1381872.1204971534</v>
      </c>
      <c r="AQ46" s="333" t="str" cm="1">
        <f t="array" aca="1" ref="AQ46" ca="1">IFERROR(SUMPRODUCT((YEAR($E$4:$AN$4)=2024)*$E46:$AN46),"-")</f>
        <v>-</v>
      </c>
      <c r="AR46" s="333" t="s">
        <v>491</v>
      </c>
      <c r="AS46" s="339">
        <f ca="1">IFERROR(SUM(INDEX($E46:$AN46, $AU$4 - MONTH(TODAY())+1):INDEX($E46:$AN46, $AU$4)),"-")</f>
        <v>10856206.012175294</v>
      </c>
    </row>
    <row r="47" spans="2:45" ht="15.75" outlineLevel="1" x14ac:dyDescent="0.25">
      <c r="B47" t="str">
        <f t="shared" si="69"/>
        <v>PC Annual Direct</v>
      </c>
      <c r="C47" t="str">
        <f t="shared" si="70"/>
        <v>Boom Annual</v>
      </c>
      <c r="D47" s="213" t="s">
        <v>0</v>
      </c>
      <c r="E47" s="214" t="str">
        <f t="shared" ref="E47:AB47" ca="1" si="75">IFERROR(IF(E45=0,"-",(E45/E46)-1),"-")</f>
        <v>-</v>
      </c>
      <c r="F47" s="214" t="str">
        <f t="shared" ca="1" si="75"/>
        <v>-</v>
      </c>
      <c r="G47" s="214" t="str">
        <f t="shared" ca="1" si="75"/>
        <v>-</v>
      </c>
      <c r="H47" s="214" t="str">
        <f t="shared" ca="1" si="75"/>
        <v>-</v>
      </c>
      <c r="I47" s="214" t="str">
        <f t="shared" ca="1" si="75"/>
        <v>-</v>
      </c>
      <c r="J47" s="214" t="str">
        <f t="shared" ca="1" si="75"/>
        <v>-</v>
      </c>
      <c r="K47" s="214" t="str">
        <f t="shared" ca="1" si="75"/>
        <v>-</v>
      </c>
      <c r="L47" s="214" t="str">
        <f t="shared" ca="1" si="75"/>
        <v>-</v>
      </c>
      <c r="M47" s="214" t="str">
        <f t="shared" ca="1" si="75"/>
        <v>-</v>
      </c>
      <c r="N47" s="214" t="str">
        <f t="shared" ca="1" si="75"/>
        <v>-</v>
      </c>
      <c r="O47" s="214">
        <f t="shared" ca="1" si="75"/>
        <v>0.53338788589580277</v>
      </c>
      <c r="P47" s="294">
        <f t="shared" ca="1" si="75"/>
        <v>0.45077614198330718</v>
      </c>
      <c r="Q47" s="214">
        <f t="shared" ca="1" si="75"/>
        <v>0.34341729266563625</v>
      </c>
      <c r="R47" s="214">
        <f t="shared" ca="1" si="75"/>
        <v>0.1174470528445215</v>
      </c>
      <c r="S47" s="214">
        <f t="shared" ca="1" si="75"/>
        <v>0.40992761608116757</v>
      </c>
      <c r="T47" s="214">
        <f t="shared" ca="1" si="75"/>
        <v>0.14723347418347155</v>
      </c>
      <c r="U47" s="214">
        <f t="shared" ca="1" si="75"/>
        <v>0.12447014824601688</v>
      </c>
      <c r="V47" s="214">
        <f t="shared" ca="1" si="75"/>
        <v>-8.5105312669054523E-2</v>
      </c>
      <c r="W47" s="214">
        <f t="shared" ca="1" si="75"/>
        <v>9.5537352500911776E-3</v>
      </c>
      <c r="X47" s="214">
        <f t="shared" ca="1" si="75"/>
        <v>-0.11763427506632829</v>
      </c>
      <c r="Y47" s="214">
        <f t="shared" ca="1" si="75"/>
        <v>-0.38142178140918637</v>
      </c>
      <c r="Z47" s="214">
        <f t="shared" ca="1" si="75"/>
        <v>-0.44719273744547938</v>
      </c>
      <c r="AA47" s="214">
        <f t="shared" ca="1" si="75"/>
        <v>-0.2718175800279069</v>
      </c>
      <c r="AB47" s="294">
        <f t="shared" ca="1" si="75"/>
        <v>-0.25251400881403019</v>
      </c>
      <c r="AC47" s="214">
        <f t="shared" ref="AC47" ca="1" si="76">IFERROR(IF(AC45=0,"-",(AC45/AC46)-1),"-")</f>
        <v>-0.64989861191238973</v>
      </c>
      <c r="AD47" s="214">
        <f t="shared" ref="AD47:AN47" ca="1" si="77">IFERROR(IF(AD45=0,"-",(AD45/AD46)-1),"-")</f>
        <v>-0.73646902999280617</v>
      </c>
      <c r="AE47" s="214">
        <f t="shared" ca="1" si="77"/>
        <v>-0.69712954619943579</v>
      </c>
      <c r="AF47" s="214">
        <f t="shared" ca="1" si="77"/>
        <v>1.7951721012829047E-2</v>
      </c>
      <c r="AG47" s="214">
        <f t="shared" ca="1" si="77"/>
        <v>4.450637723412143E-2</v>
      </c>
      <c r="AH47" s="214">
        <f t="shared" ca="1" si="77"/>
        <v>-9.3797342371582437E-2</v>
      </c>
      <c r="AI47" s="214">
        <f t="shared" ca="1" si="77"/>
        <v>-0.13311340721807119</v>
      </c>
      <c r="AJ47" s="214">
        <f t="shared" ca="1" si="77"/>
        <v>-0.6240301857390782</v>
      </c>
      <c r="AK47" s="214" t="str">
        <f t="shared" si="77"/>
        <v>-</v>
      </c>
      <c r="AL47" s="214" t="str">
        <f t="shared" si="77"/>
        <v>-</v>
      </c>
      <c r="AM47" s="214" t="str">
        <f t="shared" si="77"/>
        <v>-</v>
      </c>
      <c r="AN47" s="215" t="str">
        <f t="shared" si="77"/>
        <v>-</v>
      </c>
      <c r="AO47" s="242">
        <f ca="1">IFERROR(IF(AO45=0,"-",(AO45/AO46)-1),"-")</f>
        <v>-0.21213955869729528</v>
      </c>
      <c r="AP47" s="242">
        <f ca="1">IFERROR(IF(AP45=0,"-",(AP45/AP46)-1),"-")</f>
        <v>-0.45860146934167878</v>
      </c>
      <c r="AQ47" s="242"/>
      <c r="AR47" s="242"/>
      <c r="AS47" s="243">
        <f ca="1">IFERROR(IF(AS45=0,"-",(AS45/AS46)-1),"-")</f>
        <v>-0.51847498555946936</v>
      </c>
    </row>
    <row r="48" spans="2:45" ht="15.75" outlineLevel="1" x14ac:dyDescent="0.25">
      <c r="B48" t="str">
        <f t="shared" si="69"/>
        <v>PC Annual Direct</v>
      </c>
      <c r="C48" t="str">
        <f t="shared" si="70"/>
        <v>Boom Annual</v>
      </c>
      <c r="D48" s="208" t="s">
        <v>12</v>
      </c>
      <c r="E48" s="332">
        <f t="shared" ref="E48:AB48" si="78">IFERROR(E45/E42,0)</f>
        <v>541.74496438632059</v>
      </c>
      <c r="F48" s="332">
        <f t="shared" si="78"/>
        <v>505.31952904677843</v>
      </c>
      <c r="G48" s="332">
        <f t="shared" si="78"/>
        <v>434.94151295966731</v>
      </c>
      <c r="H48" s="332">
        <f t="shared" si="78"/>
        <v>472.52219471110254</v>
      </c>
      <c r="I48" s="332">
        <f t="shared" si="78"/>
        <v>657.26646178178225</v>
      </c>
      <c r="J48" s="332">
        <f t="shared" si="78"/>
        <v>809.44335531073204</v>
      </c>
      <c r="K48" s="332">
        <f t="shared" si="78"/>
        <v>1364.206865770806</v>
      </c>
      <c r="L48" s="332">
        <f t="shared" si="78"/>
        <v>1247.9796943708577</v>
      </c>
      <c r="M48" s="332">
        <f t="shared" si="78"/>
        <v>1290.8291631679019</v>
      </c>
      <c r="N48" s="332">
        <f t="shared" si="78"/>
        <v>1227.5445975159823</v>
      </c>
      <c r="O48" s="332">
        <f t="shared" si="78"/>
        <v>1011.3551430804258</v>
      </c>
      <c r="P48" s="336">
        <f t="shared" si="78"/>
        <v>996.96911694813195</v>
      </c>
      <c r="Q48" s="332">
        <f t="shared" si="78"/>
        <v>1002.7673401579891</v>
      </c>
      <c r="R48" s="332">
        <f t="shared" si="78"/>
        <v>1000.7593072308655</v>
      </c>
      <c r="S48" s="332">
        <f t="shared" si="78"/>
        <v>1061.6626718383011</v>
      </c>
      <c r="T48" s="332">
        <f t="shared" si="78"/>
        <v>935.43762360433254</v>
      </c>
      <c r="U48" s="332">
        <f t="shared" si="78"/>
        <v>873.13772563321902</v>
      </c>
      <c r="V48" s="332">
        <f t="shared" si="78"/>
        <v>882.58470456285886</v>
      </c>
      <c r="W48" s="332">
        <f t="shared" si="78"/>
        <v>885.76207239013024</v>
      </c>
      <c r="X48" s="332">
        <f t="shared" si="78"/>
        <v>886.75447059104511</v>
      </c>
      <c r="Y48" s="332">
        <f t="shared" si="78"/>
        <v>922.51578195695413</v>
      </c>
      <c r="Z48" s="332">
        <f t="shared" si="78"/>
        <v>889.07448231116371</v>
      </c>
      <c r="AA48" s="332">
        <f t="shared" si="78"/>
        <v>913.61877576669804</v>
      </c>
      <c r="AB48" s="336">
        <f t="shared" si="78"/>
        <v>915.65596574162203</v>
      </c>
      <c r="AC48" s="332">
        <f t="shared" ref="AC48" si="79">IFERROR(AC45/AC42,0)</f>
        <v>895.50277288680275</v>
      </c>
      <c r="AD48" s="332">
        <f t="shared" ref="AD48:AN48" si="80">IFERROR(AD45/AD42,0)</f>
        <v>880.86154977493152</v>
      </c>
      <c r="AE48" s="332">
        <f t="shared" si="80"/>
        <v>915.44483709559893</v>
      </c>
      <c r="AF48" s="332">
        <f t="shared" si="80"/>
        <v>880.81732757890506</v>
      </c>
      <c r="AG48" s="332">
        <f t="shared" si="80"/>
        <v>861.33099274127915</v>
      </c>
      <c r="AH48" s="332">
        <f t="shared" si="80"/>
        <v>900.8062288944609</v>
      </c>
      <c r="AI48" s="332">
        <f t="shared" si="80"/>
        <v>926.65842100622649</v>
      </c>
      <c r="AJ48" s="332">
        <f t="shared" si="80"/>
        <v>907.38355742810518</v>
      </c>
      <c r="AK48" s="332">
        <f t="shared" si="80"/>
        <v>0</v>
      </c>
      <c r="AL48" s="332">
        <f t="shared" si="80"/>
        <v>0</v>
      </c>
      <c r="AM48" s="332">
        <f t="shared" si="80"/>
        <v>0</v>
      </c>
      <c r="AN48" s="336">
        <f t="shared" si="80"/>
        <v>0</v>
      </c>
      <c r="AO48" s="332">
        <f ca="1">IFERROR(AO45/AO42,"-")</f>
        <v>895.62019700458393</v>
      </c>
      <c r="AP48" s="332">
        <f t="shared" ref="AP48:AS48" ca="1" si="81">IFERROR(AP45/AP42,"-")</f>
        <v>901.0389408530317</v>
      </c>
      <c r="AQ48" s="332">
        <f t="shared" si="81"/>
        <v>937.03425867684382</v>
      </c>
      <c r="AR48" s="332">
        <f t="shared" ca="1" si="81"/>
        <v>945.87056878961471</v>
      </c>
      <c r="AS48" s="336">
        <f t="shared" ca="1" si="81"/>
        <v>894.50600525427819</v>
      </c>
    </row>
    <row r="49" spans="1:45" ht="15.75" hidden="1" outlineLevel="1" x14ac:dyDescent="0.25">
      <c r="B49" t="str">
        <f t="shared" si="69"/>
        <v>PC Annual Direct</v>
      </c>
      <c r="C49" t="str">
        <f t="shared" si="70"/>
        <v>Boom Annual</v>
      </c>
      <c r="D49" s="211" t="s">
        <v>13</v>
      </c>
      <c r="E49" s="333">
        <f t="shared" ref="E49:AB49" ca="1" si="82">IFERROR(E46/E43,0)</f>
        <v>0</v>
      </c>
      <c r="F49" s="333">
        <f t="shared" ca="1" si="82"/>
        <v>0</v>
      </c>
      <c r="G49" s="333">
        <f t="shared" ca="1" si="82"/>
        <v>0</v>
      </c>
      <c r="H49" s="333">
        <f t="shared" ca="1" si="82"/>
        <v>0</v>
      </c>
      <c r="I49" s="333">
        <f t="shared" ca="1" si="82"/>
        <v>0</v>
      </c>
      <c r="J49" s="333">
        <f t="shared" ca="1" si="82"/>
        <v>0</v>
      </c>
      <c r="K49" s="333">
        <f t="shared" ca="1" si="82"/>
        <v>0</v>
      </c>
      <c r="L49" s="333">
        <f t="shared" ca="1" si="82"/>
        <v>0</v>
      </c>
      <c r="M49" s="333">
        <f t="shared" ca="1" si="82"/>
        <v>0</v>
      </c>
      <c r="N49" s="333">
        <f t="shared" ca="1" si="82"/>
        <v>0</v>
      </c>
      <c r="O49" s="333">
        <f t="shared" ca="1" si="82"/>
        <v>1079.510683288258</v>
      </c>
      <c r="P49" s="339">
        <f t="shared" ca="1" si="82"/>
        <v>1141.9736170890237</v>
      </c>
      <c r="Q49" s="333">
        <f t="shared" ca="1" si="82"/>
        <v>1020.9920064895846</v>
      </c>
      <c r="R49" s="333">
        <f t="shared" ca="1" si="82"/>
        <v>1103.7366864398034</v>
      </c>
      <c r="S49" s="333">
        <f t="shared" ca="1" si="82"/>
        <v>1150.8123058487083</v>
      </c>
      <c r="T49" s="333">
        <f t="shared" ca="1" si="82"/>
        <v>1190.9976618446992</v>
      </c>
      <c r="U49" s="333">
        <f t="shared" ca="1" si="82"/>
        <v>1207.8192438307085</v>
      </c>
      <c r="V49" s="333">
        <f t="shared" ca="1" si="82"/>
        <v>1202.675541936132</v>
      </c>
      <c r="W49" s="333">
        <f t="shared" ca="1" si="82"/>
        <v>937.75925128360279</v>
      </c>
      <c r="X49" s="333">
        <f t="shared" ca="1" si="82"/>
        <v>942.81019101314519</v>
      </c>
      <c r="Y49" s="333">
        <f t="shared" ca="1" si="82"/>
        <v>932.18321643549291</v>
      </c>
      <c r="Z49" s="333">
        <f t="shared" ca="1" si="82"/>
        <v>983.9190235836345</v>
      </c>
      <c r="AA49" s="333">
        <f t="shared" ca="1" si="82"/>
        <v>970.76380968365265</v>
      </c>
      <c r="AB49" s="339">
        <f t="shared" ca="1" si="82"/>
        <v>969.10956332446642</v>
      </c>
      <c r="AC49" s="333">
        <f t="shared" ref="AC49" ca="1" si="83">IFERROR(AC46/AC43,0)</f>
        <v>970.92957986790816</v>
      </c>
      <c r="AD49" s="333">
        <f t="shared" ref="AD49:AP49" ca="1" si="84">IFERROR(AD46/AD43,0)</f>
        <v>969.35675680883526</v>
      </c>
      <c r="AE49" s="333">
        <f t="shared" ca="1" si="84"/>
        <v>966.81154861556377</v>
      </c>
      <c r="AF49" s="333">
        <f t="shared" ca="1" si="84"/>
        <v>307.01842179350785</v>
      </c>
      <c r="AG49" s="333">
        <f t="shared" ca="1" si="84"/>
        <v>319.00733355930424</v>
      </c>
      <c r="AH49" s="333">
        <f t="shared" ca="1" si="84"/>
        <v>315.1586488632812</v>
      </c>
      <c r="AI49" s="333">
        <f t="shared" ca="1" si="84"/>
        <v>331.74905314813191</v>
      </c>
      <c r="AJ49" s="333">
        <f t="shared" ca="1" si="84"/>
        <v>342.17587018934717</v>
      </c>
      <c r="AK49" s="333">
        <f t="shared" ca="1" si="84"/>
        <v>347.25704293333951</v>
      </c>
      <c r="AL49" s="333">
        <f t="shared" ca="1" si="84"/>
        <v>339.73850664838915</v>
      </c>
      <c r="AM49" s="333">
        <f t="shared" ca="1" si="84"/>
        <v>393.59481253258241</v>
      </c>
      <c r="AN49" s="339">
        <f t="shared" ca="1" si="84"/>
        <v>447.64339258772287</v>
      </c>
      <c r="AO49" s="31">
        <f t="shared" ca="1" si="84"/>
        <v>433.42731909269929</v>
      </c>
      <c r="AP49" s="31">
        <f t="shared" ca="1" si="84"/>
        <v>988.93430748681919</v>
      </c>
      <c r="AQ49" s="31">
        <f ca="1">SUMIFS(AC49:AN49,AC$4:AN$4,"&lt;"&amp;'Title Sheet'!$C$13)</f>
        <v>4522.2072128458794</v>
      </c>
      <c r="AR49" s="31"/>
      <c r="AS49" s="240"/>
    </row>
    <row r="50" spans="1:45" ht="15.75" hidden="1" outlineLevel="1" x14ac:dyDescent="0.25">
      <c r="B50" t="str">
        <f t="shared" si="69"/>
        <v>PC Annual Direct</v>
      </c>
      <c r="C50" t="str">
        <f t="shared" si="70"/>
        <v>Boom Annual</v>
      </c>
      <c r="D50" s="213" t="s">
        <v>0</v>
      </c>
      <c r="E50" s="340" t="str">
        <f t="shared" ref="E50:AB50" ca="1" si="85">IFERROR(IF(E48=0,"-",(E48/E49)-1),"-")</f>
        <v>-</v>
      </c>
      <c r="F50" s="340" t="str">
        <f t="shared" ca="1" si="85"/>
        <v>-</v>
      </c>
      <c r="G50" s="340" t="str">
        <f t="shared" ca="1" si="85"/>
        <v>-</v>
      </c>
      <c r="H50" s="340" t="str">
        <f t="shared" ca="1" si="85"/>
        <v>-</v>
      </c>
      <c r="I50" s="340" t="str">
        <f t="shared" ca="1" si="85"/>
        <v>-</v>
      </c>
      <c r="J50" s="340" t="str">
        <f t="shared" ca="1" si="85"/>
        <v>-</v>
      </c>
      <c r="K50" s="340" t="str">
        <f t="shared" ca="1" si="85"/>
        <v>-</v>
      </c>
      <c r="L50" s="340" t="str">
        <f t="shared" ca="1" si="85"/>
        <v>-</v>
      </c>
      <c r="M50" s="340" t="str">
        <f t="shared" ca="1" si="85"/>
        <v>-</v>
      </c>
      <c r="N50" s="340" t="str">
        <f t="shared" ca="1" si="85"/>
        <v>-</v>
      </c>
      <c r="O50" s="340">
        <f t="shared" ca="1" si="85"/>
        <v>-6.3135586579121217E-2</v>
      </c>
      <c r="P50" s="366">
        <f t="shared" ca="1" si="85"/>
        <v>-0.12697710172194621</v>
      </c>
      <c r="Q50" s="340">
        <f t="shared" ca="1" si="85"/>
        <v>-1.7849959858408981E-2</v>
      </c>
      <c r="R50" s="340">
        <f t="shared" ca="1" si="85"/>
        <v>-9.3298864189338637E-2</v>
      </c>
      <c r="S50" s="340">
        <f t="shared" ca="1" si="85"/>
        <v>-7.746670204804651E-2</v>
      </c>
      <c r="T50" s="340">
        <f t="shared" ca="1" si="85"/>
        <v>-0.21457643992729392</v>
      </c>
      <c r="U50" s="340">
        <f t="shared" ca="1" si="85"/>
        <v>-0.27709569946577162</v>
      </c>
      <c r="V50" s="340">
        <f t="shared" ca="1" si="85"/>
        <v>-0.26614895390486915</v>
      </c>
      <c r="W50" s="340">
        <f t="shared" ca="1" si="85"/>
        <v>-5.5448324100560886E-2</v>
      </c>
      <c r="X50" s="340">
        <f t="shared" ca="1" si="85"/>
        <v>-5.9455997566023933E-2</v>
      </c>
      <c r="Y50" s="340">
        <f t="shared" ca="1" si="85"/>
        <v>-1.037074505106983E-2</v>
      </c>
      <c r="Z50" s="340">
        <f t="shared" ca="1" si="85"/>
        <v>-9.6394661551544747E-2</v>
      </c>
      <c r="AA50" s="340">
        <f t="shared" ca="1" si="85"/>
        <v>-5.8866053047009204E-2</v>
      </c>
      <c r="AB50" s="366">
        <f t="shared" ca="1" si="85"/>
        <v>-5.515743483066593E-2</v>
      </c>
      <c r="AC50" s="340">
        <f t="shared" ref="AC50" ca="1" si="86">IFERROR(IF(AC48=0,"-",(AC48/AC49)-1),"-")</f>
        <v>-7.7685146837700669E-2</v>
      </c>
      <c r="AD50" s="340">
        <f t="shared" ref="AD50:AN50" ca="1" si="87">IFERROR(IF(AD48=0,"-",(AD48/AD49)-1),"-")</f>
        <v>-9.1292711803272364E-2</v>
      </c>
      <c r="AE50" s="340">
        <f t="shared" ca="1" si="87"/>
        <v>-5.3130014420617933E-2</v>
      </c>
      <c r="AF50" s="340">
        <f t="shared" ca="1" si="87"/>
        <v>1.868939663077672</v>
      </c>
      <c r="AG50" s="340">
        <f t="shared" ca="1" si="87"/>
        <v>1.7000350842440919</v>
      </c>
      <c r="AH50" s="340">
        <f t="shared" ca="1" si="87"/>
        <v>1.8582627579585771</v>
      </c>
      <c r="AI50" s="340">
        <f t="shared" ca="1" si="87"/>
        <v>1.7932511403203821</v>
      </c>
      <c r="AJ50" s="340">
        <f t="shared" ca="1" si="87"/>
        <v>1.6518046317117379</v>
      </c>
      <c r="AK50" s="340" t="str">
        <f t="shared" si="87"/>
        <v>-</v>
      </c>
      <c r="AL50" s="340" t="str">
        <f t="shared" si="87"/>
        <v>-</v>
      </c>
      <c r="AM50" s="340" t="str">
        <f t="shared" si="87"/>
        <v>-</v>
      </c>
      <c r="AN50" s="366" t="str">
        <f t="shared" si="87"/>
        <v>-</v>
      </c>
      <c r="AO50" s="275">
        <f t="shared" ref="AO50:AP50" ca="1" si="88">AO48-AO49</f>
        <v>462.19287791188464</v>
      </c>
      <c r="AP50" s="275">
        <f t="shared" ca="1" si="88"/>
        <v>-87.895366633787489</v>
      </c>
      <c r="AQ50" s="275">
        <f t="shared" ref="AQ50" ca="1" si="89">IFERROR(IF(AQ48=0,"-",(AQ48/AQ49)-1),"-")</f>
        <v>-0.79279271944569807</v>
      </c>
      <c r="AR50" s="275"/>
      <c r="AS50" s="276"/>
    </row>
    <row r="51" spans="1:45" outlineLevel="1" x14ac:dyDescent="0.25">
      <c r="B51" t="str">
        <f t="shared" si="69"/>
        <v>PC Annual Direct</v>
      </c>
      <c r="C51" t="str">
        <f t="shared" si="70"/>
        <v>Boom Annual</v>
      </c>
      <c r="D51" s="258" t="s">
        <v>17</v>
      </c>
      <c r="E51" s="345"/>
      <c r="F51" s="345"/>
      <c r="G51" s="345"/>
      <c r="H51" s="345"/>
      <c r="I51" s="345"/>
      <c r="J51" s="345"/>
      <c r="K51" s="345"/>
      <c r="L51" s="345"/>
      <c r="M51" s="345"/>
      <c r="N51" s="345"/>
      <c r="O51" s="345"/>
      <c r="P51" s="367"/>
      <c r="Q51" s="345"/>
      <c r="R51" s="345"/>
      <c r="S51" s="345"/>
      <c r="T51" s="345"/>
      <c r="U51" s="345"/>
      <c r="V51" s="345"/>
      <c r="W51" s="345"/>
      <c r="X51" s="345"/>
      <c r="Y51" s="345"/>
      <c r="Z51" s="345"/>
      <c r="AA51" s="345"/>
      <c r="AB51" s="367"/>
      <c r="AC51" s="345"/>
      <c r="AD51" s="345"/>
      <c r="AE51" s="345"/>
      <c r="AF51" s="345"/>
      <c r="AG51" s="345"/>
      <c r="AH51" s="345"/>
      <c r="AI51" s="345"/>
      <c r="AJ51" s="345"/>
      <c r="AK51" s="345"/>
      <c r="AL51" s="345"/>
      <c r="AM51" s="345"/>
      <c r="AN51" s="367"/>
      <c r="AO51" s="277"/>
      <c r="AP51" s="277"/>
      <c r="AQ51" s="277"/>
      <c r="AR51" s="277"/>
      <c r="AS51" s="278"/>
    </row>
    <row r="52" spans="1:45" ht="15.75" outlineLevel="1" x14ac:dyDescent="0.25">
      <c r="B52" t="str">
        <f t="shared" si="69"/>
        <v>PC Annual Direct</v>
      </c>
      <c r="C52" t="str">
        <f t="shared" si="70"/>
        <v>Boom Annual</v>
      </c>
      <c r="D52" s="208" t="s">
        <v>7</v>
      </c>
      <c r="E52" s="335">
        <v>1310265.0535725218</v>
      </c>
      <c r="F52" s="332">
        <v>1327939.2499983122</v>
      </c>
      <c r="G52" s="332">
        <v>1409536.7321461581</v>
      </c>
      <c r="H52" s="332">
        <v>1108687.1517870072</v>
      </c>
      <c r="I52" s="332">
        <v>1246462.1607149141</v>
      </c>
      <c r="J52" s="332">
        <v>1107291.8392874526</v>
      </c>
      <c r="K52" s="332">
        <v>1048832.0178576689</v>
      </c>
      <c r="L52" s="332">
        <v>1253992.9107235237</v>
      </c>
      <c r="M52" s="332">
        <v>1303893.1696446086</v>
      </c>
      <c r="N52" s="332">
        <v>1566971.7232140885</v>
      </c>
      <c r="O52" s="332">
        <v>2157081.1517849583</v>
      </c>
      <c r="P52" s="336">
        <v>1914532.8749973006</v>
      </c>
      <c r="Q52" s="332">
        <v>1944443.0178594808</v>
      </c>
      <c r="R52" s="332">
        <v>1732662.0535668435</v>
      </c>
      <c r="S52" s="332">
        <v>2205954.4464311609</v>
      </c>
      <c r="T52" s="332">
        <v>1850640.28571464</v>
      </c>
      <c r="U52" s="332">
        <v>1837855.9196469001</v>
      </c>
      <c r="V52" s="332">
        <v>1522427.3660705225</v>
      </c>
      <c r="W52" s="332">
        <v>1241761.1875013036</v>
      </c>
      <c r="X52" s="332">
        <v>1069691.2499979811</v>
      </c>
      <c r="Y52" s="332">
        <v>1027546.1428554314</v>
      </c>
      <c r="Z52" s="332">
        <v>1002417.9196437768</v>
      </c>
      <c r="AA52" s="332">
        <v>1136470.0178602049</v>
      </c>
      <c r="AB52" s="336">
        <v>1060884.4999982724</v>
      </c>
      <c r="AC52" s="332">
        <v>948148.66071369289</v>
      </c>
      <c r="AD52" s="332">
        <v>713776.34821427055</v>
      </c>
      <c r="AE52" s="332">
        <v>809048.59821480233</v>
      </c>
      <c r="AF52" s="332">
        <v>754706.85714331234</v>
      </c>
      <c r="AG52" s="332">
        <v>810480.99999559554</v>
      </c>
      <c r="AH52" s="332">
        <v>698475.58928622515</v>
      </c>
      <c r="AI52" s="332">
        <v>714371.8392878219</v>
      </c>
      <c r="AJ52" s="332">
        <v>323489.88392705191</v>
      </c>
      <c r="AK52" s="332">
        <v>0</v>
      </c>
      <c r="AL52" s="332">
        <v>0</v>
      </c>
      <c r="AM52" s="332">
        <v>0</v>
      </c>
      <c r="AN52" s="336">
        <v>0</v>
      </c>
      <c r="AO52" s="332">
        <f ca="1">IFERROR(AVERAGE(INDEX($E52:$AN52, $AU$4 - 3):INDEX($E52:$AN52, $AU$4)),"-")</f>
        <v>636704.57812417368</v>
      </c>
      <c r="AP52" s="332">
        <f ca="1">IFERROR(AVERAGE(INDEX($E52:$AN52, $AU$4 - 11):INDEX($E52:$AN52, $AU$4)),"-")</f>
        <v>833318.11309503822</v>
      </c>
      <c r="AQ52" s="332" cm="1">
        <f t="array" ref="AQ52">IFERROR(SUMPRODUCT((YEAR($E$4:$AN$4)=2024)*$E52:$AN52),"-")</f>
        <v>17632754.107146516</v>
      </c>
      <c r="AR52" s="332">
        <f ca="1">IFERROR(SUM(INDEX($E52:$AN52, $AU$4 - MONTH(TODAY())-11):INDEX($E52:$AN52, $AU$4-12)),"-")</f>
        <v>13405435.526788833</v>
      </c>
      <c r="AS52" s="336">
        <f ca="1">IFERROR(SUM(INDEX($E52:$AN52, $AU$4 - MONTH(TODAY())+1):INDEX($E52:$AN52, $AU$4)),"-")</f>
        <v>5772498.7767827725</v>
      </c>
    </row>
    <row r="53" spans="1:45" ht="15.75" outlineLevel="1" x14ac:dyDescent="0.25">
      <c r="B53" t="str">
        <f t="shared" si="69"/>
        <v>PC Annual Direct</v>
      </c>
      <c r="C53" t="str">
        <f t="shared" si="70"/>
        <v>Boom Annual</v>
      </c>
      <c r="D53" s="211" t="s">
        <v>493</v>
      </c>
      <c r="E53" s="325">
        <f>IFERROR(E45/E$8,"-")</f>
        <v>0.50369783254873368</v>
      </c>
      <c r="F53" s="325">
        <f t="shared" ref="F53:AS53" si="90">IFERROR(F45/F$8,"-")</f>
        <v>0.49840835057339866</v>
      </c>
      <c r="G53" s="325">
        <f t="shared" si="90"/>
        <v>0.49403060893567935</v>
      </c>
      <c r="H53" s="325">
        <f t="shared" si="90"/>
        <v>0.43431844806305436</v>
      </c>
      <c r="I53" s="325">
        <f t="shared" si="90"/>
        <v>0.4382699513941446</v>
      </c>
      <c r="J53" s="325">
        <f t="shared" si="90"/>
        <v>0.41774274345420892</v>
      </c>
      <c r="K53" s="325">
        <f t="shared" si="90"/>
        <v>0.3762307720597397</v>
      </c>
      <c r="L53" s="325">
        <f t="shared" si="90"/>
        <v>0.39925909361808998</v>
      </c>
      <c r="M53" s="325">
        <f t="shared" si="90"/>
        <v>0.40496040782115683</v>
      </c>
      <c r="N53" s="325">
        <f t="shared" si="90"/>
        <v>0.4167517073607746</v>
      </c>
      <c r="O53" s="325">
        <f t="shared" si="90"/>
        <v>0.47707169937906529</v>
      </c>
      <c r="P53" s="382">
        <f t="shared" si="90"/>
        <v>0.43213332390820364</v>
      </c>
      <c r="Q53" s="325">
        <f t="shared" si="90"/>
        <v>0.42292578079458437</v>
      </c>
      <c r="R53" s="325">
        <f t="shared" si="90"/>
        <v>0.2871394999671314</v>
      </c>
      <c r="S53" s="325">
        <f t="shared" si="90"/>
        <v>0.25798168900295376</v>
      </c>
      <c r="T53" s="325">
        <f t="shared" si="90"/>
        <v>0.2447136310570848</v>
      </c>
      <c r="U53" s="325">
        <f t="shared" si="90"/>
        <v>0.25542909012967446</v>
      </c>
      <c r="V53" s="325">
        <f t="shared" si="90"/>
        <v>0.25256338771381137</v>
      </c>
      <c r="W53" s="325">
        <f t="shared" si="90"/>
        <v>0.24113261698528202</v>
      </c>
      <c r="X53" s="325">
        <f t="shared" si="90"/>
        <v>0.23909504742969448</v>
      </c>
      <c r="Y53" s="325">
        <f t="shared" si="90"/>
        <v>0.25050858131383863</v>
      </c>
      <c r="Z53" s="325">
        <f t="shared" si="90"/>
        <v>0.25640509525909488</v>
      </c>
      <c r="AA53" s="325">
        <f t="shared" si="90"/>
        <v>0.27655799544868698</v>
      </c>
      <c r="AB53" s="382">
        <f t="shared" si="90"/>
        <v>0.25894305674535206</v>
      </c>
      <c r="AC53" s="325">
        <f t="shared" si="90"/>
        <v>0.23259914677721324</v>
      </c>
      <c r="AD53" s="325">
        <f t="shared" si="90"/>
        <v>0.21528569001532577</v>
      </c>
      <c r="AE53" s="325">
        <f t="shared" si="90"/>
        <v>0.1917143130348585</v>
      </c>
      <c r="AF53" s="325">
        <f t="shared" si="90"/>
        <v>0.18508431116680021</v>
      </c>
      <c r="AG53" s="325">
        <f t="shared" si="90"/>
        <v>0.19308384748525168</v>
      </c>
      <c r="AH53" s="325">
        <f t="shared" si="90"/>
        <v>0.18345313800346533</v>
      </c>
      <c r="AI53" s="325">
        <f t="shared" si="90"/>
        <v>0.18650621607392995</v>
      </c>
      <c r="AJ53" s="325">
        <f t="shared" si="90"/>
        <v>0.1738619237208531</v>
      </c>
      <c r="AK53" s="325" t="str">
        <f t="shared" si="90"/>
        <v>-</v>
      </c>
      <c r="AL53" s="325" t="str">
        <f t="shared" si="90"/>
        <v>-</v>
      </c>
      <c r="AM53" s="325" t="str">
        <f t="shared" si="90"/>
        <v>-</v>
      </c>
      <c r="AN53" s="382" t="str">
        <f t="shared" si="90"/>
        <v>-</v>
      </c>
      <c r="AO53" s="325">
        <f t="shared" ca="1" si="90"/>
        <v>0.18594855038019814</v>
      </c>
      <c r="AP53" s="325">
        <f t="shared" ca="1" si="90"/>
        <v>0.21881680525590749</v>
      </c>
      <c r="AQ53" s="325">
        <f t="shared" si="90"/>
        <v>0.26746371751259335</v>
      </c>
      <c r="AR53" s="325">
        <f t="shared" ca="1" si="90"/>
        <v>0.26970545277982028</v>
      </c>
      <c r="AS53" s="382">
        <f t="shared" ca="1" si="90"/>
        <v>0.19622211661276445</v>
      </c>
    </row>
    <row r="54" spans="1:45" ht="16.5" outlineLevel="1" thickBot="1" x14ac:dyDescent="0.3">
      <c r="D54" s="368" t="s">
        <v>492</v>
      </c>
      <c r="E54" s="383">
        <f>IFERROR(E45/E$28,"-")</f>
        <v>1</v>
      </c>
      <c r="F54" s="383">
        <f t="shared" ref="F54:AS54" si="91">IFERROR(F45/F$28,"-")</f>
        <v>1</v>
      </c>
      <c r="G54" s="383">
        <f t="shared" si="91"/>
        <v>1</v>
      </c>
      <c r="H54" s="383">
        <f t="shared" si="91"/>
        <v>1</v>
      </c>
      <c r="I54" s="383">
        <f t="shared" si="91"/>
        <v>1</v>
      </c>
      <c r="J54" s="383">
        <f t="shared" si="91"/>
        <v>1</v>
      </c>
      <c r="K54" s="383">
        <f t="shared" si="91"/>
        <v>1</v>
      </c>
      <c r="L54" s="383">
        <f t="shared" si="91"/>
        <v>1</v>
      </c>
      <c r="M54" s="383">
        <f t="shared" si="91"/>
        <v>1</v>
      </c>
      <c r="N54" s="383">
        <f t="shared" si="91"/>
        <v>1</v>
      </c>
      <c r="O54" s="383">
        <f t="shared" si="91"/>
        <v>1</v>
      </c>
      <c r="P54" s="384">
        <f t="shared" si="91"/>
        <v>1</v>
      </c>
      <c r="Q54" s="383">
        <f t="shared" si="91"/>
        <v>0.80456989798280076</v>
      </c>
      <c r="R54" s="383">
        <f t="shared" si="91"/>
        <v>0.41940861380294908</v>
      </c>
      <c r="S54" s="383">
        <f t="shared" si="91"/>
        <v>0.33154136227444864</v>
      </c>
      <c r="T54" s="383">
        <f t="shared" si="91"/>
        <v>0.30949203753276899</v>
      </c>
      <c r="U54" s="383">
        <f t="shared" si="91"/>
        <v>0.32260638561310639</v>
      </c>
      <c r="V54" s="383">
        <f t="shared" si="91"/>
        <v>0.32036852865725096</v>
      </c>
      <c r="W54" s="383">
        <f t="shared" si="91"/>
        <v>0.31301853192494766</v>
      </c>
      <c r="X54" s="383">
        <f t="shared" si="91"/>
        <v>0.30876536354077638</v>
      </c>
      <c r="Y54" s="383">
        <f t="shared" si="91"/>
        <v>0.31160991790221165</v>
      </c>
      <c r="Z54" s="383">
        <f t="shared" si="91"/>
        <v>0.30770209805762838</v>
      </c>
      <c r="AA54" s="383">
        <f t="shared" si="91"/>
        <v>0.30575774995022476</v>
      </c>
      <c r="AB54" s="384">
        <f t="shared" si="91"/>
        <v>0.2737412268079677</v>
      </c>
      <c r="AC54" s="383">
        <f t="shared" si="91"/>
        <v>0.2345358871702721</v>
      </c>
      <c r="AD54" s="383">
        <f t="shared" si="91"/>
        <v>0.21528569001532596</v>
      </c>
      <c r="AE54" s="383">
        <f t="shared" si="91"/>
        <v>0.19171431303485825</v>
      </c>
      <c r="AF54" s="383">
        <f t="shared" si="91"/>
        <v>0.1850843111668001</v>
      </c>
      <c r="AG54" s="383">
        <f t="shared" si="91"/>
        <v>0.19308384748525143</v>
      </c>
      <c r="AH54" s="383">
        <f t="shared" si="91"/>
        <v>0.18345313800346524</v>
      </c>
      <c r="AI54" s="383">
        <f t="shared" si="91"/>
        <v>0.18650621607393006</v>
      </c>
      <c r="AJ54" s="383">
        <f t="shared" si="91"/>
        <v>0.17386192372085313</v>
      </c>
      <c r="AK54" s="383" t="str">
        <f t="shared" si="91"/>
        <v>-</v>
      </c>
      <c r="AL54" s="383" t="str">
        <f t="shared" si="91"/>
        <v>-</v>
      </c>
      <c r="AM54" s="383" t="str">
        <f t="shared" si="91"/>
        <v>-</v>
      </c>
      <c r="AN54" s="384" t="str">
        <f t="shared" si="91"/>
        <v>-</v>
      </c>
      <c r="AO54" s="383">
        <f t="shared" ca="1" si="91"/>
        <v>0.18594855038019809</v>
      </c>
      <c r="AP54" s="383">
        <f t="shared" ca="1" si="91"/>
        <v>0.22924820125104892</v>
      </c>
      <c r="AQ54" s="383">
        <f t="shared" si="91"/>
        <v>0.34331353502566719</v>
      </c>
      <c r="AR54" s="383">
        <f t="shared" ca="1" si="91"/>
        <v>0.36039267636490807</v>
      </c>
      <c r="AS54" s="384">
        <f t="shared" ca="1" si="91"/>
        <v>0.19644215828872263</v>
      </c>
    </row>
    <row r="55" spans="1:45" outlineLevel="1" x14ac:dyDescent="0.25"/>
    <row r="56" spans="1:45" ht="15.75" outlineLevel="1" thickBot="1" x14ac:dyDescent="0.3">
      <c r="D56" s="291"/>
    </row>
    <row r="57" spans="1:45" ht="21" outlineLevel="1" x14ac:dyDescent="0.25">
      <c r="A57" s="290"/>
      <c r="D57" s="364" t="s">
        <v>351</v>
      </c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33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33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63"/>
      <c r="AO57" s="507" t="s">
        <v>484</v>
      </c>
      <c r="AP57" s="508"/>
      <c r="AQ57" s="508"/>
      <c r="AR57" s="508"/>
      <c r="AS57" s="509"/>
    </row>
    <row r="58" spans="1:45" outlineLevel="1" x14ac:dyDescent="0.25">
      <c r="D58" s="204"/>
      <c r="E58" s="303" t="s">
        <v>341</v>
      </c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17"/>
      <c r="Q58" s="320" t="s">
        <v>341</v>
      </c>
      <c r="R58" s="303"/>
      <c r="S58" s="303"/>
      <c r="T58" s="303"/>
      <c r="U58" s="303"/>
      <c r="V58" s="303"/>
      <c r="W58" s="303"/>
      <c r="X58" s="303"/>
      <c r="Y58" s="303"/>
      <c r="Z58" s="303"/>
      <c r="AA58" s="303"/>
      <c r="AB58" s="317"/>
      <c r="AC58" s="303" t="s">
        <v>341</v>
      </c>
      <c r="AD58" s="303"/>
      <c r="AE58" s="303"/>
      <c r="AF58" s="303"/>
      <c r="AG58" s="303"/>
      <c r="AH58" s="303"/>
      <c r="AI58" s="303"/>
      <c r="AJ58" s="303"/>
      <c r="AK58" s="303"/>
      <c r="AL58" s="303"/>
      <c r="AM58" s="303"/>
      <c r="AN58" s="317"/>
      <c r="AO58" s="510" t="s">
        <v>485</v>
      </c>
      <c r="AP58" s="511"/>
      <c r="AQ58" s="511" t="s">
        <v>486</v>
      </c>
      <c r="AR58" s="511"/>
      <c r="AS58" s="512"/>
    </row>
    <row r="59" spans="1:45" outlineLevel="1" x14ac:dyDescent="0.25">
      <c r="D59" s="354" t="s">
        <v>487</v>
      </c>
      <c r="E59" s="304">
        <f t="shared" ref="E59:AN59" si="92">E$4</f>
        <v>44927</v>
      </c>
      <c r="F59" s="304">
        <f t="shared" si="92"/>
        <v>44958</v>
      </c>
      <c r="G59" s="304">
        <f t="shared" si="92"/>
        <v>44986</v>
      </c>
      <c r="H59" s="304">
        <f t="shared" si="92"/>
        <v>45017</v>
      </c>
      <c r="I59" s="304">
        <f t="shared" si="92"/>
        <v>45047</v>
      </c>
      <c r="J59" s="304">
        <f t="shared" si="92"/>
        <v>45078</v>
      </c>
      <c r="K59" s="304">
        <f t="shared" si="92"/>
        <v>45108</v>
      </c>
      <c r="L59" s="304">
        <f t="shared" si="92"/>
        <v>45139</v>
      </c>
      <c r="M59" s="304">
        <f t="shared" si="92"/>
        <v>45170</v>
      </c>
      <c r="N59" s="304">
        <f t="shared" si="92"/>
        <v>45200</v>
      </c>
      <c r="O59" s="304">
        <f t="shared" si="92"/>
        <v>45231</v>
      </c>
      <c r="P59" s="390">
        <f t="shared" si="92"/>
        <v>45261</v>
      </c>
      <c r="Q59" s="304">
        <f t="shared" si="92"/>
        <v>45292</v>
      </c>
      <c r="R59" s="304">
        <f t="shared" si="92"/>
        <v>45323</v>
      </c>
      <c r="S59" s="304">
        <f t="shared" si="92"/>
        <v>45352</v>
      </c>
      <c r="T59" s="304">
        <f t="shared" si="92"/>
        <v>45383</v>
      </c>
      <c r="U59" s="304">
        <f t="shared" si="92"/>
        <v>45413</v>
      </c>
      <c r="V59" s="304">
        <f t="shared" si="92"/>
        <v>45444</v>
      </c>
      <c r="W59" s="304">
        <f t="shared" si="92"/>
        <v>45474</v>
      </c>
      <c r="X59" s="304">
        <f t="shared" si="92"/>
        <v>45505</v>
      </c>
      <c r="Y59" s="304">
        <f t="shared" si="92"/>
        <v>45536</v>
      </c>
      <c r="Z59" s="304">
        <f t="shared" si="92"/>
        <v>45566</v>
      </c>
      <c r="AA59" s="304">
        <f t="shared" si="92"/>
        <v>45597</v>
      </c>
      <c r="AB59" s="390">
        <f t="shared" si="92"/>
        <v>45627</v>
      </c>
      <c r="AC59" s="304">
        <f t="shared" si="92"/>
        <v>45658</v>
      </c>
      <c r="AD59" s="304">
        <f t="shared" si="92"/>
        <v>45689</v>
      </c>
      <c r="AE59" s="304">
        <f t="shared" si="92"/>
        <v>45717</v>
      </c>
      <c r="AF59" s="304">
        <f t="shared" si="92"/>
        <v>45748</v>
      </c>
      <c r="AG59" s="304">
        <f t="shared" si="92"/>
        <v>45778</v>
      </c>
      <c r="AH59" s="304">
        <f t="shared" si="92"/>
        <v>45809</v>
      </c>
      <c r="AI59" s="304">
        <f t="shared" si="92"/>
        <v>45839</v>
      </c>
      <c r="AJ59" s="304">
        <f t="shared" si="92"/>
        <v>45870</v>
      </c>
      <c r="AK59" s="304">
        <f t="shared" si="92"/>
        <v>45901</v>
      </c>
      <c r="AL59" s="304">
        <f t="shared" si="92"/>
        <v>45931</v>
      </c>
      <c r="AM59" s="304">
        <f t="shared" si="92"/>
        <v>45962</v>
      </c>
      <c r="AN59" s="391">
        <f t="shared" si="92"/>
        <v>45992</v>
      </c>
      <c r="AO59" s="351" t="s">
        <v>349</v>
      </c>
      <c r="AP59" s="352" t="s">
        <v>348</v>
      </c>
      <c r="AQ59" s="352" t="s">
        <v>772</v>
      </c>
      <c r="AR59" s="352" t="s">
        <v>490</v>
      </c>
      <c r="AS59" s="353" t="s">
        <v>773</v>
      </c>
    </row>
    <row r="60" spans="1:45" ht="15.75" outlineLevel="1" x14ac:dyDescent="0.25">
      <c r="B60" t="str">
        <f>$D$2</f>
        <v>PC Annual Direct</v>
      </c>
      <c r="C60" t="s">
        <v>353</v>
      </c>
      <c r="D60" s="223" t="s">
        <v>488</v>
      </c>
      <c r="E60" s="209">
        <v>0</v>
      </c>
      <c r="F60" s="209">
        <v>0</v>
      </c>
      <c r="G60" s="209">
        <v>0</v>
      </c>
      <c r="H60" s="209">
        <v>0</v>
      </c>
      <c r="I60" s="209">
        <v>0</v>
      </c>
      <c r="J60" s="209">
        <v>0</v>
      </c>
      <c r="K60" s="209">
        <v>0</v>
      </c>
      <c r="L60" s="209">
        <v>0</v>
      </c>
      <c r="M60" s="209">
        <v>0</v>
      </c>
      <c r="N60" s="209">
        <v>0</v>
      </c>
      <c r="O60" s="209">
        <v>0</v>
      </c>
      <c r="P60" s="238">
        <v>0</v>
      </c>
      <c r="Q60" s="209">
        <v>273.08196722940011</v>
      </c>
      <c r="R60" s="209">
        <v>1449.8879781919002</v>
      </c>
      <c r="S60" s="209">
        <v>2876.5397260939967</v>
      </c>
      <c r="T60" s="209">
        <v>3056.3397261169957</v>
      </c>
      <c r="U60" s="209">
        <v>2954.6109589979951</v>
      </c>
      <c r="V60" s="209">
        <v>2561.9671233569939</v>
      </c>
      <c r="W60" s="209">
        <v>2169.424657644</v>
      </c>
      <c r="X60" s="209">
        <v>1909.4630137499996</v>
      </c>
      <c r="Y60" s="209">
        <v>1796.6109589239995</v>
      </c>
      <c r="Z60" s="209">
        <v>1784.8273973089997</v>
      </c>
      <c r="AA60" s="209">
        <v>1959.5616439189996</v>
      </c>
      <c r="AB60" s="238">
        <v>2152.7397260720008</v>
      </c>
      <c r="AC60" s="209">
        <v>2484.2602740759976</v>
      </c>
      <c r="AD60" s="209">
        <v>2119.7205479930008</v>
      </c>
      <c r="AE60" s="209">
        <v>2805.8904110549975</v>
      </c>
      <c r="AF60" s="209">
        <v>2866.6904110305964</v>
      </c>
      <c r="AG60" s="209">
        <v>2840.0273973399985</v>
      </c>
      <c r="AH60" s="209">
        <v>2654.9890411679989</v>
      </c>
      <c r="AI60" s="209">
        <v>2583.4739726819989</v>
      </c>
      <c r="AJ60" s="209">
        <v>1184.0602740020001</v>
      </c>
      <c r="AK60" s="209">
        <v>0</v>
      </c>
      <c r="AL60" s="209">
        <v>0</v>
      </c>
      <c r="AM60" s="209">
        <v>0</v>
      </c>
      <c r="AN60" s="265">
        <v>0</v>
      </c>
      <c r="AO60" s="237">
        <f ca="1">IFERROR(AVERAGE(INDEX($E60:$AN60, $AU$4 - 3):INDEX($E60:$AN60, $AU$4)),"-")</f>
        <v>2315.6376712979991</v>
      </c>
      <c r="AP60" s="209">
        <f ca="1">IFERROR(AVERAGE(INDEX($E60:$AN60, $AU$4 - 11):INDEX($E60:$AN60, $AU$4)),"-")</f>
        <v>2269.4043379642162</v>
      </c>
      <c r="AQ60" s="209" cm="1">
        <f t="array" ref="AQ60">IFERROR(SUMPRODUCT((YEAR($E$4:$AN$4)=2024)*$E60:$AN60),"-")</f>
        <v>24945.054877605282</v>
      </c>
      <c r="AR60" s="209">
        <f ca="1">IFERROR(SUM(INDEX($E60:$AN60, $AU$4 - MONTH(TODAY())-11):INDEX($E60:$AN60, $AU$4-12)),"-")</f>
        <v>17251.315151381281</v>
      </c>
      <c r="AS60" s="238">
        <f ca="1">IFERROR(SUM(INDEX($E60:$AN60, $AU$4 - MONTH(TODAY())+1):INDEX($E60:$AN60, $AU$4)),"-")</f>
        <v>19539.11232934659</v>
      </c>
    </row>
    <row r="61" spans="1:45" ht="15.75" hidden="1" outlineLevel="1" x14ac:dyDescent="0.25">
      <c r="B61" t="str">
        <f>"PC Annual Direct - Premium Finance_W VYRs"</f>
        <v>PC Annual Direct - Premium Finance_W VYRs</v>
      </c>
      <c r="C61" t="s">
        <v>353</v>
      </c>
      <c r="D61" s="211" t="s">
        <v>317</v>
      </c>
      <c r="E61" s="31" t="str">
        <f ca="1">INDEX('Plan Figures'!$B$94:$AP$131,MATCH('Current - Sales, NWP, GWP'!E$4,'Plan Figures'!$B$94:$B$131,0),MATCH('Current - Sales, NWP, GWP'!$B61,'Plan Figures'!$B$1:$AP$1,0))</f>
        <v>-</v>
      </c>
      <c r="F61" s="31" t="str">
        <f ca="1">INDEX('Plan Figures'!$B$94:$AP$131,MATCH('Current - Sales, NWP, GWP'!F$4,'Plan Figures'!$B$94:$B$131,0),MATCH('Current - Sales, NWP, GWP'!$B61,'Plan Figures'!$B$1:$AP$1,0))</f>
        <v>-</v>
      </c>
      <c r="G61" s="31" t="str">
        <f ca="1">INDEX('Plan Figures'!$B$94:$AP$131,MATCH('Current - Sales, NWP, GWP'!G$4,'Plan Figures'!$B$94:$B$131,0),MATCH('Current - Sales, NWP, GWP'!$B61,'Plan Figures'!$B$1:$AP$1,0))</f>
        <v>-</v>
      </c>
      <c r="H61" s="31" t="str">
        <f ca="1">INDEX('Plan Figures'!$B$94:$AP$131,MATCH('Current - Sales, NWP, GWP'!H$4,'Plan Figures'!$B$94:$B$131,0),MATCH('Current - Sales, NWP, GWP'!$B61,'Plan Figures'!$B$1:$AP$1,0))</f>
        <v>-</v>
      </c>
      <c r="I61" s="31" t="str">
        <f ca="1">INDEX('Plan Figures'!$B$94:$AP$131,MATCH('Current - Sales, NWP, GWP'!I$4,'Plan Figures'!$B$94:$B$131,0),MATCH('Current - Sales, NWP, GWP'!$B61,'Plan Figures'!$B$1:$AP$1,0))</f>
        <v>-</v>
      </c>
      <c r="J61" s="31" t="str">
        <f ca="1">INDEX('Plan Figures'!$B$94:$AP$131,MATCH('Current - Sales, NWP, GWP'!J$4,'Plan Figures'!$B$94:$B$131,0),MATCH('Current - Sales, NWP, GWP'!$B61,'Plan Figures'!$B$1:$AP$1,0))</f>
        <v>-</v>
      </c>
      <c r="K61" s="31" t="str">
        <f ca="1">INDEX('Plan Figures'!$B$94:$AP$131,MATCH('Current - Sales, NWP, GWP'!K$4,'Plan Figures'!$B$94:$B$131,0),MATCH('Current - Sales, NWP, GWP'!$B61,'Plan Figures'!$B$1:$AP$1,0))</f>
        <v>-</v>
      </c>
      <c r="L61" s="31" t="str">
        <f ca="1">INDEX('Plan Figures'!$B$94:$AP$131,MATCH('Current - Sales, NWP, GWP'!L$4,'Plan Figures'!$B$94:$B$131,0),MATCH('Current - Sales, NWP, GWP'!$B61,'Plan Figures'!$B$1:$AP$1,0))</f>
        <v>-</v>
      </c>
      <c r="M61" s="31" t="str">
        <f ca="1">INDEX('Plan Figures'!$B$94:$AP$131,MATCH('Current - Sales, NWP, GWP'!M$4,'Plan Figures'!$B$94:$B$131,0),MATCH('Current - Sales, NWP, GWP'!$B61,'Plan Figures'!$B$1:$AP$1,0))</f>
        <v>-</v>
      </c>
      <c r="N61" s="31" t="str">
        <f ca="1">INDEX('Plan Figures'!$B$94:$AP$131,MATCH('Current - Sales, NWP, GWP'!N$4,'Plan Figures'!$B$94:$B$131,0),MATCH('Current - Sales, NWP, GWP'!$B61,'Plan Figures'!$B$1:$AP$1,0))</f>
        <v>-</v>
      </c>
      <c r="O61" s="31">
        <f ca="1">INDEX('Plan Figures'!$B$94:$AP$131,MATCH('Current - Sales, NWP, GWP'!O$4,'Plan Figures'!$B$94:$B$131,0),MATCH('Current - Sales, NWP, GWP'!$B61,'Plan Figures'!$B$1:$AP$1,0))</f>
        <v>0</v>
      </c>
      <c r="P61" s="240">
        <f ca="1">INDEX('Plan Figures'!$B$94:$AP$131,MATCH('Current - Sales, NWP, GWP'!P$4,'Plan Figures'!$B$94:$B$131,0),MATCH('Current - Sales, NWP, GWP'!$B61,'Plan Figures'!$B$1:$AP$1,0))</f>
        <v>0</v>
      </c>
      <c r="Q61" s="31">
        <f ca="1">INDEX('Plan Figures'!$B$94:$AP$131,MATCH('Current - Sales, NWP, GWP'!Q$4,'Plan Figures'!$B$94:$B$131,0),MATCH('Current - Sales, NWP, GWP'!$B61,'Plan Figures'!$B$1:$AP$1,0))</f>
        <v>2230.0485070641912</v>
      </c>
      <c r="R61" s="31">
        <f ca="1">INDEX('Plan Figures'!$B$94:$AP$131,MATCH('Current - Sales, NWP, GWP'!R$4,'Plan Figures'!$B$94:$B$131,0),MATCH('Current - Sales, NWP, GWP'!$B61,'Plan Figures'!$B$1:$AP$1,0))</f>
        <v>2225.5973124393126</v>
      </c>
      <c r="S61" s="31">
        <f ca="1">INDEX('Plan Figures'!$B$94:$AP$131,MATCH('Current - Sales, NWP, GWP'!S$4,'Plan Figures'!$B$94:$B$131,0),MATCH('Current - Sales, NWP, GWP'!$B61,'Plan Figures'!$B$1:$AP$1,0))</f>
        <v>2221.1550024344438</v>
      </c>
      <c r="T61" s="31">
        <f ca="1">INDEX('Plan Figures'!$B$94:$AP$131,MATCH('Current - Sales, NWP, GWP'!T$4,'Plan Figures'!$B$94:$B$131,0),MATCH('Current - Sales, NWP, GWP'!$B61,'Plan Figures'!$B$1:$AP$1,0))</f>
        <v>2216.7215593158126</v>
      </c>
      <c r="U61" s="31">
        <f ca="1">INDEX('Plan Figures'!$B$94:$AP$131,MATCH('Current - Sales, NWP, GWP'!U$4,'Plan Figures'!$B$94:$B$131,0),MATCH('Current - Sales, NWP, GWP'!$B61,'Plan Figures'!$B$1:$AP$1,0))</f>
        <v>2212.8780736073654</v>
      </c>
      <c r="V61" s="31">
        <f ca="1">INDEX('Plan Figures'!$B$94:$AP$131,MATCH('Current - Sales, NWP, GWP'!V$4,'Plan Figures'!$B$94:$B$131,0),MATCH('Current - Sales, NWP, GWP'!$B61,'Plan Figures'!$B$1:$AP$1,0))</f>
        <v>2283.9188061757995</v>
      </c>
      <c r="W61" s="31">
        <f ca="1">INDEX('Plan Figures'!$B$94:$AP$131,MATCH('Current - Sales, NWP, GWP'!W$4,'Plan Figures'!$B$94:$B$131,0),MATCH('Current - Sales, NWP, GWP'!$B61,'Plan Figures'!$B$1:$AP$1,0))</f>
        <v>2077.7077704846874</v>
      </c>
      <c r="X61" s="31">
        <f ca="1">INDEX('Plan Figures'!$B$94:$AP$131,MATCH('Current - Sales, NWP, GWP'!X$4,'Plan Figures'!$B$94:$B$131,0),MATCH('Current - Sales, NWP, GWP'!$B61,'Plan Figures'!$B$1:$AP$1,0))</f>
        <v>2067.3639188477955</v>
      </c>
      <c r="Y61" s="31">
        <f ca="1">INDEX('Plan Figures'!$B$94:$AP$131,MATCH('Current - Sales, NWP, GWP'!Y$4,'Plan Figures'!$B$94:$B$131,0),MATCH('Current - Sales, NWP, GWP'!$B61,'Plan Figures'!$B$1:$AP$1,0))</f>
        <v>2807.6994788171282</v>
      </c>
      <c r="Z61" s="31">
        <f ca="1">INDEX('Plan Figures'!$B$94:$AP$131,MATCH('Current - Sales, NWP, GWP'!Z$4,'Plan Figures'!$B$94:$B$131,0),MATCH('Current - Sales, NWP, GWP'!$B61,'Plan Figures'!$B$1:$AP$1,0))</f>
        <v>3068.5526153553747</v>
      </c>
      <c r="AA61" s="31">
        <f ca="1">INDEX('Plan Figures'!$B$94:$AP$131,MATCH('Current - Sales, NWP, GWP'!AA$4,'Plan Figures'!$B$94:$B$131,0),MATCH('Current - Sales, NWP, GWP'!$B61,'Plan Figures'!$B$1:$AP$1,0))</f>
        <v>2501.2873707380145</v>
      </c>
      <c r="AB61" s="240">
        <f ca="1">INDEX('Plan Figures'!$B$94:$AP$131,MATCH('Current - Sales, NWP, GWP'!AB$4,'Plan Figures'!$B$94:$B$131,0),MATCH('Current - Sales, NWP, GWP'!$B61,'Plan Figures'!$B$1:$AP$1,0))</f>
        <v>2274.7026177431503</v>
      </c>
      <c r="AC61" s="31">
        <f ca="1">INDEX('Plan Figures'!$B$94:$AP$131,MATCH('Current - Sales, NWP, GWP'!AC$4,'Plan Figures'!$B$94:$B$131,0),MATCH('Current - Sales, NWP, GWP'!$B61,'Plan Figures'!$B$1:$AP$1,0))</f>
        <v>4334.5242916949601</v>
      </c>
      <c r="AD61" s="31">
        <f ca="1">INDEX('Plan Figures'!$B$94:$AP$131,MATCH('Current - Sales, NWP, GWP'!AD$4,'Plan Figures'!$B$94:$B$131,0),MATCH('Current - Sales, NWP, GWP'!$B61,'Plan Figures'!$B$1:$AP$1,0))</f>
        <v>4354.7582921787525</v>
      </c>
      <c r="AE61" s="31">
        <f ca="1">INDEX('Plan Figures'!$B$94:$AP$131,MATCH('Current - Sales, NWP, GWP'!AE$4,'Plan Figures'!$B$94:$B$131,0),MATCH('Current - Sales, NWP, GWP'!$B61,'Plan Figures'!$B$1:$AP$1,0))</f>
        <v>4385.1428580314368</v>
      </c>
      <c r="AF61" s="31">
        <f ca="1">INDEX('Plan Figures'!$B$94:$AP$131,MATCH('Current - Sales, NWP, GWP'!AF$4,'Plan Figures'!$B$94:$B$131,0),MATCH('Current - Sales, NWP, GWP'!$B61,'Plan Figures'!$B$1:$AP$1,0))</f>
        <v>3888.5174112603418</v>
      </c>
      <c r="AG61" s="31">
        <f ca="1">INDEX('Plan Figures'!$B$94:$AP$131,MATCH('Current - Sales, NWP, GWP'!AG$4,'Plan Figures'!$B$94:$B$131,0),MATCH('Current - Sales, NWP, GWP'!$B61,'Plan Figures'!$B$1:$AP$1,0))</f>
        <v>3909.3819651547269</v>
      </c>
      <c r="AH61" s="31">
        <f ca="1">INDEX('Plan Figures'!$B$94:$AP$131,MATCH('Current - Sales, NWP, GWP'!AH$4,'Plan Figures'!$B$94:$B$131,0),MATCH('Current - Sales, NWP, GWP'!$B61,'Plan Figures'!$B$1:$AP$1,0))</f>
        <v>3923.0742427078881</v>
      </c>
      <c r="AI61" s="31">
        <f ca="1">INDEX('Plan Figures'!$B$94:$AP$131,MATCH('Current - Sales, NWP, GWP'!AI$4,'Plan Figures'!$B$94:$B$131,0),MATCH('Current - Sales, NWP, GWP'!$B61,'Plan Figures'!$B$1:$AP$1,0))</f>
        <v>3958.4470449537657</v>
      </c>
      <c r="AJ61" s="31">
        <f ca="1">INDEX('Plan Figures'!$B$94:$AP$131,MATCH('Current - Sales, NWP, GWP'!AJ$4,'Plan Figures'!$B$94:$B$131,0),MATCH('Current - Sales, NWP, GWP'!$B61,'Plan Figures'!$B$1:$AP$1,0))</f>
        <v>4007.8789740923689</v>
      </c>
      <c r="AK61" s="31">
        <f ca="1">INDEX('Plan Figures'!$B$94:$AP$131,MATCH('Current - Sales, NWP, GWP'!AK$4,'Plan Figures'!$B$94:$B$131,0),MATCH('Current - Sales, NWP, GWP'!$B61,'Plan Figures'!$B$1:$AP$1,0))</f>
        <v>3764.2625896220243</v>
      </c>
      <c r="AL61" s="31">
        <f ca="1">INDEX('Plan Figures'!$B$94:$AP$131,MATCH('Current - Sales, NWP, GWP'!AL$4,'Plan Figures'!$B$94:$B$131,0),MATCH('Current - Sales, NWP, GWP'!$B61,'Plan Figures'!$B$1:$AP$1,0))</f>
        <v>3773.219175636767</v>
      </c>
      <c r="AM61" s="31">
        <f ca="1">INDEX('Plan Figures'!$B$94:$AP$131,MATCH('Current - Sales, NWP, GWP'!AM$4,'Plan Figures'!$B$94:$B$131,0),MATCH('Current - Sales, NWP, GWP'!$B61,'Plan Figures'!$B$1:$AP$1,0))</f>
        <v>3508.5260633432827</v>
      </c>
      <c r="AN61" s="266">
        <f ca="1">INDEX('Plan Figures'!$B$94:$AP$131,MATCH('Current - Sales, NWP, GWP'!AN$4,'Plan Figures'!$B$94:$B$131,0),MATCH('Current - Sales, NWP, GWP'!$B61,'Plan Figures'!$B$1:$AP$1,0))</f>
        <v>2969.1403337705187</v>
      </c>
      <c r="AO61" s="239">
        <f t="shared" ref="AO61:AO62" ca="1" si="93">AVERAGE(Z61:AC61)</f>
        <v>3044.7667238828753</v>
      </c>
      <c r="AP61" s="31">
        <f t="shared" ref="AP61:AP62" ca="1" si="94">AVERAGE(R61:AC61)</f>
        <v>2524.3424014711541</v>
      </c>
      <c r="AQ61" s="31">
        <f ca="1">SUMIFS(AC61:AN61,AC$4:AN$4,"&lt;"&amp;'Title Sheet'!$C$13)</f>
        <v>32761.72508007424</v>
      </c>
      <c r="AR61" s="31"/>
      <c r="AS61" s="240"/>
    </row>
    <row r="62" spans="1:45" ht="15.75" hidden="1" outlineLevel="1" x14ac:dyDescent="0.25">
      <c r="B62" t="str">
        <f t="shared" ref="B62:B71" si="95">$D$2</f>
        <v>PC Annual Direct</v>
      </c>
      <c r="C62" t="s">
        <v>353</v>
      </c>
      <c r="D62" s="213" t="s">
        <v>0</v>
      </c>
      <c r="E62" s="214" t="str">
        <f t="shared" ref="E62:AB62" si="96">IFERROR(IF(E60=0,"-",(E60/E61)-1),"-")</f>
        <v>-</v>
      </c>
      <c r="F62" s="214" t="str">
        <f t="shared" si="96"/>
        <v>-</v>
      </c>
      <c r="G62" s="214" t="str">
        <f t="shared" si="96"/>
        <v>-</v>
      </c>
      <c r="H62" s="214" t="str">
        <f t="shared" si="96"/>
        <v>-</v>
      </c>
      <c r="I62" s="214" t="str">
        <f t="shared" si="96"/>
        <v>-</v>
      </c>
      <c r="J62" s="214" t="str">
        <f t="shared" si="96"/>
        <v>-</v>
      </c>
      <c r="K62" s="214" t="str">
        <f t="shared" si="96"/>
        <v>-</v>
      </c>
      <c r="L62" s="214" t="str">
        <f t="shared" si="96"/>
        <v>-</v>
      </c>
      <c r="M62" s="214" t="str">
        <f t="shared" si="96"/>
        <v>-</v>
      </c>
      <c r="N62" s="214" t="str">
        <f t="shared" si="96"/>
        <v>-</v>
      </c>
      <c r="O62" s="214" t="str">
        <f t="shared" si="96"/>
        <v>-</v>
      </c>
      <c r="P62" s="294" t="str">
        <f t="shared" si="96"/>
        <v>-</v>
      </c>
      <c r="Q62" s="214">
        <f t="shared" ca="1" si="96"/>
        <v>-0.87754438239152632</v>
      </c>
      <c r="R62" s="214">
        <f t="shared" ca="1" si="96"/>
        <v>-0.34853984137733107</v>
      </c>
      <c r="S62" s="214">
        <f t="shared" ca="1" si="96"/>
        <v>0.29506483020826302</v>
      </c>
      <c r="T62" s="214">
        <f t="shared" ca="1" si="96"/>
        <v>0.37876573323910367</v>
      </c>
      <c r="U62" s="214">
        <f t="shared" ca="1" si="96"/>
        <v>0.33518922449327704</v>
      </c>
      <c r="V62" s="214">
        <f t="shared" ca="1" si="96"/>
        <v>0.12174176964143446</v>
      </c>
      <c r="W62" s="214">
        <f t="shared" ca="1" si="96"/>
        <v>4.414330468519978E-2</v>
      </c>
      <c r="X62" s="214">
        <f t="shared" ca="1" si="96"/>
        <v>-7.6377895375962068E-2</v>
      </c>
      <c r="Y62" s="214">
        <f t="shared" ca="1" si="96"/>
        <v>-0.36011279965015908</v>
      </c>
      <c r="Z62" s="214">
        <f t="shared" ca="1" si="96"/>
        <v>-0.41834877186803732</v>
      </c>
      <c r="AA62" s="214">
        <f t="shared" ca="1" si="96"/>
        <v>-0.21657876386237729</v>
      </c>
      <c r="AB62" s="294">
        <f t="shared" ca="1" si="96"/>
        <v>-5.3617070961194502E-2</v>
      </c>
      <c r="AC62" s="214">
        <f t="shared" ref="AC62" ca="1" si="97">IFERROR(IF(AC60=0,"-",(AC60/AC61)-1),"-")</f>
        <v>-0.42686668550089968</v>
      </c>
      <c r="AD62" s="214">
        <f t="shared" ref="AD62:AN62" ca="1" si="98">IFERROR(IF(AD60=0,"-",(AD60/AD61)-1),"-")</f>
        <v>-0.51324036702563536</v>
      </c>
      <c r="AE62" s="214">
        <f t="shared" ca="1" si="98"/>
        <v>-0.36013705781192995</v>
      </c>
      <c r="AF62" s="214">
        <f t="shared" ca="1" si="98"/>
        <v>-0.2627806158899394</v>
      </c>
      <c r="AG62" s="214">
        <f t="shared" ca="1" si="98"/>
        <v>-0.2735354532624712</v>
      </c>
      <c r="AH62" s="214">
        <f t="shared" ca="1" si="98"/>
        <v>-0.32323762516015953</v>
      </c>
      <c r="AI62" s="214">
        <f t="shared" ca="1" si="98"/>
        <v>-0.34735163983678508</v>
      </c>
      <c r="AJ62" s="214">
        <f t="shared" ca="1" si="98"/>
        <v>-0.70456685901546101</v>
      </c>
      <c r="AK62" s="214" t="str">
        <f t="shared" si="98"/>
        <v>-</v>
      </c>
      <c r="AL62" s="214" t="str">
        <f t="shared" si="98"/>
        <v>-</v>
      </c>
      <c r="AM62" s="214" t="str">
        <f t="shared" si="98"/>
        <v>-</v>
      </c>
      <c r="AN62" s="270" t="str">
        <f t="shared" si="98"/>
        <v>-</v>
      </c>
      <c r="AO62" s="274">
        <f t="shared" ca="1" si="93"/>
        <v>-0.2788528230481272</v>
      </c>
      <c r="AP62" s="275">
        <f t="shared" ca="1" si="94"/>
        <v>-6.0461413860723588E-2</v>
      </c>
      <c r="AQ62" s="275">
        <f t="shared" ref="AQ62" ca="1" si="99">IFERROR(IF(AQ60=0,"-",(AQ60/AQ61)-1),"-")</f>
        <v>-0.23859153275243972</v>
      </c>
      <c r="AR62" s="275"/>
      <c r="AS62" s="276"/>
    </row>
    <row r="63" spans="1:45" ht="15.75" outlineLevel="1" x14ac:dyDescent="0.25">
      <c r="B63" t="str">
        <f t="shared" si="95"/>
        <v>PC Annual Direct</v>
      </c>
      <c r="C63" t="s">
        <v>353</v>
      </c>
      <c r="D63" s="208" t="s">
        <v>5</v>
      </c>
      <c r="E63" s="283">
        <v>0</v>
      </c>
      <c r="F63" s="283">
        <v>0</v>
      </c>
      <c r="G63" s="283">
        <v>0</v>
      </c>
      <c r="H63" s="283">
        <v>0</v>
      </c>
      <c r="I63" s="283">
        <v>0</v>
      </c>
      <c r="J63" s="283">
        <v>0</v>
      </c>
      <c r="K63" s="283">
        <v>0</v>
      </c>
      <c r="L63" s="283">
        <v>0</v>
      </c>
      <c r="M63" s="283">
        <v>0</v>
      </c>
      <c r="N63" s="283">
        <v>0</v>
      </c>
      <c r="O63" s="283">
        <v>0</v>
      </c>
      <c r="P63" s="314">
        <v>0</v>
      </c>
      <c r="Q63" s="283">
        <v>403313.7674962228</v>
      </c>
      <c r="R63" s="283">
        <v>2062718.8896380085</v>
      </c>
      <c r="S63" s="283">
        <v>3944434.833921642</v>
      </c>
      <c r="T63" s="283">
        <v>3668266.3146614251</v>
      </c>
      <c r="U63" s="283">
        <v>3425062.7117945501</v>
      </c>
      <c r="V63" s="283">
        <v>2868476.0167907304</v>
      </c>
      <c r="W63" s="283">
        <v>2417822.5735712615</v>
      </c>
      <c r="X63" s="283">
        <v>2128343.4046459794</v>
      </c>
      <c r="Y63" s="283">
        <v>2017241.1082164375</v>
      </c>
      <c r="Z63" s="283">
        <v>2000407.8534997182</v>
      </c>
      <c r="AA63" s="283">
        <v>2287498.4735664497</v>
      </c>
      <c r="AB63" s="314">
        <v>2495184.2039299887</v>
      </c>
      <c r="AC63" s="283">
        <v>2743347.1103559672</v>
      </c>
      <c r="AD63" s="283">
        <v>2310249.2542827395</v>
      </c>
      <c r="AE63" s="283">
        <v>3079370.2921331879</v>
      </c>
      <c r="AF63" s="283">
        <v>3038746.6817797008</v>
      </c>
      <c r="AG63" s="283">
        <v>3095841.0928620389</v>
      </c>
      <c r="AH63" s="283">
        <v>2845342.1089249402</v>
      </c>
      <c r="AI63" s="283">
        <v>2859827.525352106</v>
      </c>
      <c r="AJ63" s="283">
        <v>1410804.7207146788</v>
      </c>
      <c r="AK63" s="283">
        <v>0</v>
      </c>
      <c r="AL63" s="283">
        <v>0</v>
      </c>
      <c r="AM63" s="283">
        <v>0</v>
      </c>
      <c r="AN63" s="284">
        <v>0</v>
      </c>
      <c r="AO63" s="335">
        <f ca="1">IFERROR(AVERAGE(INDEX($E63:$AN63, $AU$4 - 3):INDEX($E63:$AN63, $AU$4)),"-")</f>
        <v>2552953.8619634411</v>
      </c>
      <c r="AP63" s="332">
        <f ca="1">IFERROR(AVERAGE(INDEX($E63:$AN63, $AU$4 - 11):INDEX($E63:$AN63, $AU$4)),"-")</f>
        <v>2515321.7021348295</v>
      </c>
      <c r="AQ63" s="332" cm="1">
        <f t="array" ref="AQ63">IFERROR(SUMPRODUCT((YEAR($E$4:$AN$4)=2024)*$E63:$AN63),"-")</f>
        <v>29718770.151732415</v>
      </c>
      <c r="AR63" s="332">
        <f ca="1">IFERROR(SUM(INDEX($E63:$AN63, $AU$4 - MONTH(TODAY())-11):INDEX($E63:$AN63, $AU$4-12)),"-")</f>
        <v>20918438.512519822</v>
      </c>
      <c r="AS63" s="336">
        <f ca="1">IFERROR(SUM(INDEX($E63:$AN63, $AU$4 - MONTH(TODAY())+1):INDEX($E63:$AN63, $AU$4)),"-")</f>
        <v>21383528.786405358</v>
      </c>
    </row>
    <row r="64" spans="1:45" ht="15.75" outlineLevel="1" x14ac:dyDescent="0.25">
      <c r="B64" t="str">
        <f>"PC Annual Direct - Premium Finance_NWP"</f>
        <v>PC Annual Direct - Premium Finance_NWP</v>
      </c>
      <c r="C64" t="s">
        <v>353</v>
      </c>
      <c r="D64" s="211" t="s">
        <v>6</v>
      </c>
      <c r="E64" s="385" t="str">
        <f ca="1">INDEX('Plan Figures'!$B$94:$AP$131,MATCH('Current - Sales, NWP, GWP'!E$4,'Plan Figures'!$B$94:$B$131,0),MATCH('Current - Sales, NWP, GWP'!$B64,'Plan Figures'!$B$1:$AP$1,0))</f>
        <v>-</v>
      </c>
      <c r="F64" s="385" t="str">
        <f ca="1">INDEX('Plan Figures'!$B$94:$AP$131,MATCH('Current - Sales, NWP, GWP'!F$4,'Plan Figures'!$B$94:$B$131,0),MATCH('Current - Sales, NWP, GWP'!$B64,'Plan Figures'!$B$1:$AP$1,0))</f>
        <v>-</v>
      </c>
      <c r="G64" s="385" t="str">
        <f ca="1">INDEX('Plan Figures'!$B$94:$AP$131,MATCH('Current - Sales, NWP, GWP'!G$4,'Plan Figures'!$B$94:$B$131,0),MATCH('Current - Sales, NWP, GWP'!$B64,'Plan Figures'!$B$1:$AP$1,0))</f>
        <v>-</v>
      </c>
      <c r="H64" s="385" t="str">
        <f ca="1">INDEX('Plan Figures'!$B$94:$AP$131,MATCH('Current - Sales, NWP, GWP'!H$4,'Plan Figures'!$B$94:$B$131,0),MATCH('Current - Sales, NWP, GWP'!$B64,'Plan Figures'!$B$1:$AP$1,0))</f>
        <v>-</v>
      </c>
      <c r="I64" s="385" t="str">
        <f ca="1">INDEX('Plan Figures'!$B$94:$AP$131,MATCH('Current - Sales, NWP, GWP'!I$4,'Plan Figures'!$B$94:$B$131,0),MATCH('Current - Sales, NWP, GWP'!$B64,'Plan Figures'!$B$1:$AP$1,0))</f>
        <v>-</v>
      </c>
      <c r="J64" s="385" t="str">
        <f ca="1">INDEX('Plan Figures'!$B$94:$AP$131,MATCH('Current - Sales, NWP, GWP'!J$4,'Plan Figures'!$B$94:$B$131,0),MATCH('Current - Sales, NWP, GWP'!$B64,'Plan Figures'!$B$1:$AP$1,0))</f>
        <v>-</v>
      </c>
      <c r="K64" s="385" t="str">
        <f ca="1">INDEX('Plan Figures'!$B$94:$AP$131,MATCH('Current - Sales, NWP, GWP'!K$4,'Plan Figures'!$B$94:$B$131,0),MATCH('Current - Sales, NWP, GWP'!$B64,'Plan Figures'!$B$1:$AP$1,0))</f>
        <v>-</v>
      </c>
      <c r="L64" s="385" t="str">
        <f ca="1">INDEX('Plan Figures'!$B$94:$AP$131,MATCH('Current - Sales, NWP, GWP'!L$4,'Plan Figures'!$B$94:$B$131,0),MATCH('Current - Sales, NWP, GWP'!$B64,'Plan Figures'!$B$1:$AP$1,0))</f>
        <v>-</v>
      </c>
      <c r="M64" s="385" t="str">
        <f ca="1">INDEX('Plan Figures'!$B$94:$AP$131,MATCH('Current - Sales, NWP, GWP'!M$4,'Plan Figures'!$B$94:$B$131,0),MATCH('Current - Sales, NWP, GWP'!$B64,'Plan Figures'!$B$1:$AP$1,0))</f>
        <v>-</v>
      </c>
      <c r="N64" s="385" t="str">
        <f ca="1">INDEX('Plan Figures'!$B$94:$AP$131,MATCH('Current - Sales, NWP, GWP'!N$4,'Plan Figures'!$B$94:$B$131,0),MATCH('Current - Sales, NWP, GWP'!$B64,'Plan Figures'!$B$1:$AP$1,0))</f>
        <v>-</v>
      </c>
      <c r="O64" s="385">
        <f ca="1">INDEX('Plan Figures'!$B$94:$AP$131,MATCH('Current - Sales, NWP, GWP'!O$4,'Plan Figures'!$B$94:$B$131,0),MATCH('Current - Sales, NWP, GWP'!$B64,'Plan Figures'!$B$1:$AP$1,0))</f>
        <v>0</v>
      </c>
      <c r="P64" s="386">
        <f ca="1">INDEX('Plan Figures'!$B$94:$AP$131,MATCH('Current - Sales, NWP, GWP'!P$4,'Plan Figures'!$B$94:$B$131,0),MATCH('Current - Sales, NWP, GWP'!$B64,'Plan Figures'!$B$1:$AP$1,0))</f>
        <v>0</v>
      </c>
      <c r="Q64" s="385">
        <f ca="1">INDEX('Plan Figures'!$B$94:$AP$131,MATCH('Current - Sales, NWP, GWP'!Q$4,'Plan Figures'!$B$94:$B$131,0),MATCH('Current - Sales, NWP, GWP'!$B64,'Plan Figures'!$B$1:$AP$1,0))</f>
        <v>0</v>
      </c>
      <c r="R64" s="385">
        <f ca="1">INDEX('Plan Figures'!$B$94:$AP$131,MATCH('Current - Sales, NWP, GWP'!R$4,'Plan Figures'!$B$94:$B$131,0),MATCH('Current - Sales, NWP, GWP'!$B64,'Plan Figures'!$B$1:$AP$1,0))</f>
        <v>1876228.145843385</v>
      </c>
      <c r="S64" s="385">
        <f ca="1">INDEX('Plan Figures'!$B$94:$AP$131,MATCH('Current - Sales, NWP, GWP'!S$4,'Plan Figures'!$B$94:$B$131,0),MATCH('Current - Sales, NWP, GWP'!$B64,'Plan Figures'!$B$1:$AP$1,0))</f>
        <v>3685262.0501178172</v>
      </c>
      <c r="T64" s="385">
        <f ca="1">INDEX('Plan Figures'!$B$94:$AP$131,MATCH('Current - Sales, NWP, GWP'!T$4,'Plan Figures'!$B$94:$B$131,0),MATCH('Current - Sales, NWP, GWP'!$B64,'Plan Figures'!$B$1:$AP$1,0))</f>
        <v>3806335.4964611963</v>
      </c>
      <c r="U64" s="385">
        <f ca="1">INDEX('Plan Figures'!$B$94:$AP$131,MATCH('Current - Sales, NWP, GWP'!U$4,'Plan Figures'!$B$94:$B$131,0),MATCH('Current - Sales, NWP, GWP'!$B64,'Plan Figures'!$B$1:$AP$1,0))</f>
        <v>3852739.866022632</v>
      </c>
      <c r="V64" s="385">
        <f ca="1">INDEX('Plan Figures'!$B$94:$AP$131,MATCH('Current - Sales, NWP, GWP'!V$4,'Plan Figures'!$B$94:$B$131,0),MATCH('Current - Sales, NWP, GWP'!$B64,'Plan Figures'!$B$1:$AP$1,0))</f>
        <v>3925307.745408956</v>
      </c>
      <c r="W64" s="385">
        <f ca="1">INDEX('Plan Figures'!$B$94:$AP$131,MATCH('Current - Sales, NWP, GWP'!W$4,'Plan Figures'!$B$94:$B$131,0),MATCH('Current - Sales, NWP, GWP'!$B64,'Plan Figures'!$B$1:$AP$1,0))</f>
        <v>2546227.2053329675</v>
      </c>
      <c r="X64" s="385">
        <f ca="1">INDEX('Plan Figures'!$B$94:$AP$131,MATCH('Current - Sales, NWP, GWP'!X$4,'Plan Figures'!$B$94:$B$131,0),MATCH('Current - Sales, NWP, GWP'!$B64,'Plan Figures'!$B$1:$AP$1,0))</f>
        <v>2514046.3049153509</v>
      </c>
      <c r="Y64" s="385">
        <f ca="1">INDEX('Plan Figures'!$B$94:$AP$131,MATCH('Current - Sales, NWP, GWP'!Y$4,'Plan Figures'!$B$94:$B$131,0),MATCH('Current - Sales, NWP, GWP'!$B64,'Plan Figures'!$B$1:$AP$1,0))</f>
        <v>3478960.5342832045</v>
      </c>
      <c r="Z64" s="385">
        <f ca="1">INDEX('Plan Figures'!$B$94:$AP$131,MATCH('Current - Sales, NWP, GWP'!Z$4,'Plan Figures'!$B$94:$B$131,0),MATCH('Current - Sales, NWP, GWP'!$B64,'Plan Figures'!$B$1:$AP$1,0))</f>
        <v>3827130.0868501477</v>
      </c>
      <c r="AA64" s="385">
        <f ca="1">INDEX('Plan Figures'!$B$94:$AP$131,MATCH('Current - Sales, NWP, GWP'!AA$4,'Plan Figures'!$B$94:$B$131,0),MATCH('Current - Sales, NWP, GWP'!$B64,'Plan Figures'!$B$1:$AP$1,0))</f>
        <v>3357575.122536459</v>
      </c>
      <c r="AB64" s="386">
        <f ca="1">INDEX('Plan Figures'!$B$94:$AP$131,MATCH('Current - Sales, NWP, GWP'!AB$4,'Plan Figures'!$B$94:$B$131,0),MATCH('Current - Sales, NWP, GWP'!$B64,'Plan Figures'!$B$1:$AP$1,0))</f>
        <v>3081243.9796204995</v>
      </c>
      <c r="AC64" s="385">
        <f ca="1">INDEX('Plan Figures'!$B$94:$AP$131,MATCH('Current - Sales, NWP, GWP'!AC$4,'Plan Figures'!$B$94:$B$131,0),MATCH('Current - Sales, NWP, GWP'!$B64,'Plan Figures'!$B$1:$AP$1,0))</f>
        <v>5989339.2151456662</v>
      </c>
      <c r="AD64" s="385">
        <f ca="1">INDEX('Plan Figures'!$B$94:$AP$131,MATCH('Current - Sales, NWP, GWP'!AD$4,'Plan Figures'!$B$94:$B$131,0),MATCH('Current - Sales, NWP, GWP'!$B64,'Plan Figures'!$B$1:$AP$1,0))</f>
        <v>6120973.0440499661</v>
      </c>
      <c r="AE64" s="385">
        <f ca="1">INDEX('Plan Figures'!$B$94:$AP$131,MATCH('Current - Sales, NWP, GWP'!AE$4,'Plan Figures'!$B$94:$B$131,0),MATCH('Current - Sales, NWP, GWP'!$B64,'Plan Figures'!$B$1:$AP$1,0))</f>
        <v>6258523.0000960343</v>
      </c>
      <c r="AF64" s="385">
        <f ca="1">INDEX('Plan Figures'!$B$94:$AP$131,MATCH('Current - Sales, NWP, GWP'!AF$4,'Plan Figures'!$B$94:$B$131,0),MATCH('Current - Sales, NWP, GWP'!$B64,'Plan Figures'!$B$1:$AP$1,0))</f>
        <v>3070678.6193657215</v>
      </c>
      <c r="AG64" s="385">
        <f ca="1">INDEX('Plan Figures'!$B$94:$AP$131,MATCH('Current - Sales, NWP, GWP'!AG$4,'Plan Figures'!$B$94:$B$131,0),MATCH('Current - Sales, NWP, GWP'!$B64,'Plan Figures'!$B$1:$AP$1,0))</f>
        <v>3266607.1028126306</v>
      </c>
      <c r="AH64" s="385">
        <f ca="1">INDEX('Plan Figures'!$B$94:$AP$131,MATCH('Current - Sales, NWP, GWP'!AH$4,'Plan Figures'!$B$94:$B$131,0),MATCH('Current - Sales, NWP, GWP'!$B64,'Plan Figures'!$B$1:$AP$1,0))</f>
        <v>3343755.1667959113</v>
      </c>
      <c r="AI64" s="385">
        <f ca="1">INDEX('Plan Figures'!$B$94:$AP$131,MATCH('Current - Sales, NWP, GWP'!AI$4,'Plan Figures'!$B$94:$B$131,0),MATCH('Current - Sales, NWP, GWP'!$B64,'Plan Figures'!$B$1:$AP$1,0))</f>
        <v>3640086.821854189</v>
      </c>
      <c r="AJ64" s="385">
        <f ca="1">INDEX('Plan Figures'!$B$94:$AP$131,MATCH('Current - Sales, NWP, GWP'!AJ$4,'Plan Figures'!$B$94:$B$131,0),MATCH('Current - Sales, NWP, GWP'!$B64,'Plan Figures'!$B$1:$AP$1,0))</f>
        <v>3854322.205176333</v>
      </c>
      <c r="AK64" s="385">
        <f ca="1">INDEX('Plan Figures'!$B$94:$AP$131,MATCH('Current - Sales, NWP, GWP'!AK$4,'Plan Figures'!$B$94:$B$131,0),MATCH('Current - Sales, NWP, GWP'!$B64,'Plan Figures'!$B$1:$AP$1,0))</f>
        <v>3011627.814853156</v>
      </c>
      <c r="AL64" s="385">
        <f ca="1">INDEX('Plan Figures'!$B$94:$AP$131,MATCH('Current - Sales, NWP, GWP'!AL$4,'Plan Figures'!$B$94:$B$131,0),MATCH('Current - Sales, NWP, GWP'!$B64,'Plan Figures'!$B$1:$AP$1,0))</f>
        <v>2952085.7163660252</v>
      </c>
      <c r="AM64" s="385">
        <f ca="1">INDEX('Plan Figures'!$B$94:$AP$131,MATCH('Current - Sales, NWP, GWP'!AM$4,'Plan Figures'!$B$94:$B$131,0),MATCH('Current - Sales, NWP, GWP'!$B64,'Plan Figures'!$B$1:$AP$1,0))</f>
        <v>3178933.4253925001</v>
      </c>
      <c r="AN64" s="389">
        <f ca="1">INDEX('Plan Figures'!$B$94:$AP$131,MATCH('Current - Sales, NWP, GWP'!AN$4,'Plan Figures'!$B$94:$B$131,0),MATCH('Current - Sales, NWP, GWP'!$B64,'Plan Figures'!$B$1:$AP$1,0))</f>
        <v>3059988.6929637264</v>
      </c>
      <c r="AO64" s="338">
        <f ca="1">IFERROR(AVERAGE(INDEX($E64:$AN64, $AU$4 - 3):INDEX($E64:$AN64, $AU$4)),"-")</f>
        <v>3526192.8241597661</v>
      </c>
      <c r="AP64" s="333">
        <f ca="1">IFERROR(AVERAGE(INDEX($E64:$AN64, $AU$4 - 11):INDEX($E64:$AN64, $AU$4)),"-")</f>
        <v>4107432.9082155637</v>
      </c>
      <c r="AQ64" s="333" t="str" cm="1">
        <f t="array" aca="1" ref="AQ64" ca="1">IFERROR(SUMPRODUCT((YEAR($E$4:$AN$4)=2024)*$E64:$AN64),"-")</f>
        <v>-</v>
      </c>
      <c r="AR64" s="333" t="s">
        <v>491</v>
      </c>
      <c r="AS64" s="339">
        <f ca="1">IFERROR(SUM(INDEX($E64:$AN64, $AU$4 - MONTH(TODAY())+1):INDEX($E64:$AN64, $AU$4)),"-")</f>
        <v>35544285.175296448</v>
      </c>
    </row>
    <row r="65" spans="2:45" ht="15.75" outlineLevel="1" x14ac:dyDescent="0.25">
      <c r="B65" t="str">
        <f t="shared" si="95"/>
        <v>PC Annual Direct</v>
      </c>
      <c r="C65" t="s">
        <v>353</v>
      </c>
      <c r="D65" s="213" t="s">
        <v>0</v>
      </c>
      <c r="E65" s="214" t="str">
        <f t="shared" ref="E65:AB65" si="100">IFERROR(IF(E63=0,"-",(E63/E64)-1),"-")</f>
        <v>-</v>
      </c>
      <c r="F65" s="214" t="str">
        <f t="shared" si="100"/>
        <v>-</v>
      </c>
      <c r="G65" s="214" t="str">
        <f t="shared" si="100"/>
        <v>-</v>
      </c>
      <c r="H65" s="214" t="str">
        <f t="shared" si="100"/>
        <v>-</v>
      </c>
      <c r="I65" s="214" t="str">
        <f t="shared" si="100"/>
        <v>-</v>
      </c>
      <c r="J65" s="214" t="str">
        <f t="shared" si="100"/>
        <v>-</v>
      </c>
      <c r="K65" s="214" t="str">
        <f t="shared" si="100"/>
        <v>-</v>
      </c>
      <c r="L65" s="214" t="str">
        <f t="shared" si="100"/>
        <v>-</v>
      </c>
      <c r="M65" s="214" t="str">
        <f t="shared" si="100"/>
        <v>-</v>
      </c>
      <c r="N65" s="214" t="str">
        <f t="shared" si="100"/>
        <v>-</v>
      </c>
      <c r="O65" s="214" t="str">
        <f t="shared" si="100"/>
        <v>-</v>
      </c>
      <c r="P65" s="294" t="str">
        <f t="shared" si="100"/>
        <v>-</v>
      </c>
      <c r="Q65" s="214" t="str">
        <f t="shared" ca="1" si="100"/>
        <v>-</v>
      </c>
      <c r="R65" s="214">
        <f t="shared" ca="1" si="100"/>
        <v>9.9396624130054345E-2</v>
      </c>
      <c r="S65" s="214">
        <f t="shared" ca="1" si="100"/>
        <v>7.0326826228148231E-2</v>
      </c>
      <c r="T65" s="214">
        <f t="shared" ca="1" si="100"/>
        <v>-3.6273518697481077E-2</v>
      </c>
      <c r="U65" s="214">
        <f t="shared" ca="1" si="100"/>
        <v>-0.11100597733051554</v>
      </c>
      <c r="V65" s="214">
        <f t="shared" ca="1" si="100"/>
        <v>-0.26923538157085825</v>
      </c>
      <c r="W65" s="214">
        <f t="shared" ca="1" si="100"/>
        <v>-5.0429369183067285E-2</v>
      </c>
      <c r="X65" s="214">
        <f t="shared" ca="1" si="100"/>
        <v>-0.15341917112475711</v>
      </c>
      <c r="Y65" s="214">
        <f t="shared" ca="1" si="100"/>
        <v>-0.42015981833146476</v>
      </c>
      <c r="Z65" s="214">
        <f t="shared" ca="1" si="100"/>
        <v>-0.47730863385777444</v>
      </c>
      <c r="AA65" s="214">
        <f t="shared" ca="1" si="100"/>
        <v>-0.3187051994123743</v>
      </c>
      <c r="AB65" s="294">
        <f t="shared" ca="1" si="100"/>
        <v>-0.19020232723105968</v>
      </c>
      <c r="AC65" s="214">
        <f t="shared" ref="AC65" ca="1" si="101">IFERROR(IF(AC63=0,"-",(AC63/AC64)-1),"-")</f>
        <v>-0.54196164020587267</v>
      </c>
      <c r="AD65" s="214">
        <f t="shared" ref="AD65:AN65" ca="1" si="102">IFERROR(IF(AD63=0,"-",(AD63/AD64)-1),"-")</f>
        <v>-0.62256830120686923</v>
      </c>
      <c r="AE65" s="214">
        <f t="shared" ca="1" si="102"/>
        <v>-0.50797172238786437</v>
      </c>
      <c r="AF65" s="214">
        <f t="shared" ca="1" si="102"/>
        <v>-1.0398983919918225E-2</v>
      </c>
      <c r="AG65" s="214">
        <f t="shared" ca="1" si="102"/>
        <v>-5.227626236517946E-2</v>
      </c>
      <c r="AH65" s="214">
        <f t="shared" ca="1" si="102"/>
        <v>-0.14905788043942392</v>
      </c>
      <c r="AI65" s="214">
        <f t="shared" ca="1" si="102"/>
        <v>-0.21435183683465941</v>
      </c>
      <c r="AJ65" s="214">
        <f t="shared" ca="1" si="102"/>
        <v>-0.63396814131938006</v>
      </c>
      <c r="AK65" s="214" t="str">
        <f t="shared" si="102"/>
        <v>-</v>
      </c>
      <c r="AL65" s="214" t="str">
        <f t="shared" si="102"/>
        <v>-</v>
      </c>
      <c r="AM65" s="214" t="str">
        <f t="shared" si="102"/>
        <v>-</v>
      </c>
      <c r="AN65" s="215" t="str">
        <f t="shared" si="102"/>
        <v>-</v>
      </c>
      <c r="AO65" s="242">
        <f ca="1">IFERROR(IF(AO63=0,"-",(AO63/AO64)-1),"-")</f>
        <v>-0.27600276295957582</v>
      </c>
      <c r="AP65" s="242">
        <f ca="1">IFERROR(IF(AP63=0,"-",(AP63/AP64)-1),"-")</f>
        <v>-0.38761709361003593</v>
      </c>
      <c r="AQ65" s="242"/>
      <c r="AR65" s="242"/>
      <c r="AS65" s="243">
        <f ca="1">IFERROR(IF(AS63=0,"-",(AS63/AS64)-1),"-")</f>
        <v>-0.39839755727407133</v>
      </c>
    </row>
    <row r="66" spans="2:45" ht="15.75" outlineLevel="1" x14ac:dyDescent="0.25">
      <c r="B66" t="str">
        <f t="shared" si="95"/>
        <v>PC Annual Direct</v>
      </c>
      <c r="C66" t="s">
        <v>353</v>
      </c>
      <c r="D66" s="208" t="s">
        <v>12</v>
      </c>
      <c r="E66" s="283">
        <f t="shared" ref="E66:AB66" si="103">IFERROR(E63/E60,0)</f>
        <v>0</v>
      </c>
      <c r="F66" s="283">
        <f t="shared" si="103"/>
        <v>0</v>
      </c>
      <c r="G66" s="283">
        <f t="shared" si="103"/>
        <v>0</v>
      </c>
      <c r="H66" s="283">
        <f t="shared" si="103"/>
        <v>0</v>
      </c>
      <c r="I66" s="283">
        <f t="shared" si="103"/>
        <v>0</v>
      </c>
      <c r="J66" s="283">
        <f t="shared" si="103"/>
        <v>0</v>
      </c>
      <c r="K66" s="283">
        <f t="shared" si="103"/>
        <v>0</v>
      </c>
      <c r="L66" s="283">
        <f t="shared" si="103"/>
        <v>0</v>
      </c>
      <c r="M66" s="283">
        <f t="shared" si="103"/>
        <v>0</v>
      </c>
      <c r="N66" s="283">
        <f t="shared" si="103"/>
        <v>0</v>
      </c>
      <c r="O66" s="283">
        <f t="shared" si="103"/>
        <v>0</v>
      </c>
      <c r="P66" s="314">
        <f t="shared" si="103"/>
        <v>0</v>
      </c>
      <c r="Q66" s="283">
        <f t="shared" si="103"/>
        <v>1476.8963750631788</v>
      </c>
      <c r="R66" s="283">
        <f t="shared" si="103"/>
        <v>1422.6746622248336</v>
      </c>
      <c r="S66" s="283">
        <f t="shared" si="103"/>
        <v>1371.242954908786</v>
      </c>
      <c r="T66" s="283">
        <f t="shared" si="103"/>
        <v>1200.2155006903854</v>
      </c>
      <c r="U66" s="283">
        <f t="shared" si="103"/>
        <v>1159.22629385904</v>
      </c>
      <c r="V66" s="283">
        <f t="shared" si="103"/>
        <v>1119.638105672532</v>
      </c>
      <c r="W66" s="283">
        <f t="shared" si="103"/>
        <v>1114.499443459365</v>
      </c>
      <c r="X66" s="283">
        <f t="shared" si="103"/>
        <v>1114.6292907062493</v>
      </c>
      <c r="Y66" s="283">
        <f t="shared" si="103"/>
        <v>1122.8035197027712</v>
      </c>
      <c r="Z66" s="283">
        <f t="shared" si="103"/>
        <v>1120.7850442657655</v>
      </c>
      <c r="AA66" s="283">
        <f t="shared" si="103"/>
        <v>1167.3521374870336</v>
      </c>
      <c r="AB66" s="314">
        <f t="shared" si="103"/>
        <v>1159.0737949927786</v>
      </c>
      <c r="AC66" s="283">
        <f t="shared" ref="AC66" si="104">IFERROR(AC63/AC60,0)</f>
        <v>1104.2913413637125</v>
      </c>
      <c r="AD66" s="283">
        <f t="shared" ref="AD66:AN66" si="105">IFERROR(AD63/AD60,0)</f>
        <v>1089.8838794906883</v>
      </c>
      <c r="AE66" s="283">
        <f t="shared" si="105"/>
        <v>1097.466344373501</v>
      </c>
      <c r="AF66" s="283">
        <f t="shared" si="105"/>
        <v>1060.0191321975535</v>
      </c>
      <c r="AG66" s="283">
        <f t="shared" si="105"/>
        <v>1090.0743759590623</v>
      </c>
      <c r="AH66" s="283">
        <f t="shared" si="105"/>
        <v>1071.6963666536265</v>
      </c>
      <c r="AI66" s="283">
        <f t="shared" si="105"/>
        <v>1106.9697452315397</v>
      </c>
      <c r="AJ66" s="283">
        <f t="shared" si="105"/>
        <v>1191.4973854720301</v>
      </c>
      <c r="AK66" s="283">
        <f t="shared" si="105"/>
        <v>0</v>
      </c>
      <c r="AL66" s="283">
        <f t="shared" si="105"/>
        <v>0</v>
      </c>
      <c r="AM66" s="283">
        <f t="shared" si="105"/>
        <v>0</v>
      </c>
      <c r="AN66" s="284">
        <f t="shared" si="105"/>
        <v>0</v>
      </c>
      <c r="AO66" s="335">
        <f ca="1">IFERROR(AO63/AO60,"-")</f>
        <v>1102.4841639117133</v>
      </c>
      <c r="AP66" s="332">
        <f t="shared" ref="AP66:AS66" ca="1" si="106">IFERROR(AP63/AP60,"-")</f>
        <v>1108.3620754824215</v>
      </c>
      <c r="AQ66" s="332">
        <f t="shared" si="106"/>
        <v>1191.3692031366422</v>
      </c>
      <c r="AR66" s="332">
        <f t="shared" ca="1" si="106"/>
        <v>1212.5706549882907</v>
      </c>
      <c r="AS66" s="336">
        <f t="shared" ca="1" si="106"/>
        <v>1094.396123322786</v>
      </c>
    </row>
    <row r="67" spans="2:45" ht="15.75" hidden="1" outlineLevel="1" x14ac:dyDescent="0.25">
      <c r="B67" t="str">
        <f t="shared" si="95"/>
        <v>PC Annual Direct</v>
      </c>
      <c r="C67" t="s">
        <v>353</v>
      </c>
      <c r="D67" s="211" t="s">
        <v>13</v>
      </c>
      <c r="E67" s="31">
        <f t="shared" ref="E67:AB67" ca="1" si="107">IFERROR(E64/E61,0)</f>
        <v>0</v>
      </c>
      <c r="F67" s="31">
        <f t="shared" ca="1" si="107"/>
        <v>0</v>
      </c>
      <c r="G67" s="31">
        <f t="shared" ca="1" si="107"/>
        <v>0</v>
      </c>
      <c r="H67" s="31">
        <f t="shared" ca="1" si="107"/>
        <v>0</v>
      </c>
      <c r="I67" s="31">
        <f t="shared" ca="1" si="107"/>
        <v>0</v>
      </c>
      <c r="J67" s="31">
        <f t="shared" ca="1" si="107"/>
        <v>0</v>
      </c>
      <c r="K67" s="31">
        <f t="shared" ca="1" si="107"/>
        <v>0</v>
      </c>
      <c r="L67" s="31">
        <f t="shared" ca="1" si="107"/>
        <v>0</v>
      </c>
      <c r="M67" s="31">
        <f t="shared" ca="1" si="107"/>
        <v>0</v>
      </c>
      <c r="N67" s="31">
        <f t="shared" ca="1" si="107"/>
        <v>0</v>
      </c>
      <c r="O67" s="31">
        <f t="shared" ca="1" si="107"/>
        <v>0</v>
      </c>
      <c r="P67" s="240">
        <f t="shared" ca="1" si="107"/>
        <v>0</v>
      </c>
      <c r="Q67" s="31">
        <f t="shared" ca="1" si="107"/>
        <v>0</v>
      </c>
      <c r="R67" s="31">
        <f t="shared" ca="1" si="107"/>
        <v>843.02229129985335</v>
      </c>
      <c r="S67" s="31">
        <f t="shared" ca="1" si="107"/>
        <v>1659.1647345991946</v>
      </c>
      <c r="T67" s="31">
        <f t="shared" ca="1" si="107"/>
        <v>1717.1013113780584</v>
      </c>
      <c r="U67" s="31">
        <f t="shared" ca="1" si="107"/>
        <v>1741.0538393297081</v>
      </c>
      <c r="V67" s="31">
        <f t="shared" ca="1" si="107"/>
        <v>1718.6721939478675</v>
      </c>
      <c r="W67" s="31">
        <f t="shared" ca="1" si="107"/>
        <v>1225.4982348836206</v>
      </c>
      <c r="X67" s="31">
        <f t="shared" ca="1" si="107"/>
        <v>1216.0637428152972</v>
      </c>
      <c r="Y67" s="31">
        <f t="shared" ca="1" si="107"/>
        <v>1239.078669398363</v>
      </c>
      <c r="Z67" s="31">
        <f t="shared" ca="1" si="107"/>
        <v>1247.2101888358595</v>
      </c>
      <c r="AA67" s="31">
        <f t="shared" ca="1" si="107"/>
        <v>1342.3388139307615</v>
      </c>
      <c r="AB67" s="240">
        <f t="shared" ca="1" si="107"/>
        <v>1354.5700240489284</v>
      </c>
      <c r="AC67" s="31">
        <f t="shared" ref="AC67" ca="1" si="108">IFERROR(AC64/AC61,0)</f>
        <v>1381.7754411069668</v>
      </c>
      <c r="AD67" s="31">
        <f t="shared" ref="AD67:AP67" ca="1" si="109">IFERROR(AD64/AD61,0)</f>
        <v>1405.5827289067631</v>
      </c>
      <c r="AE67" s="31">
        <f t="shared" ca="1" si="109"/>
        <v>1427.2107438035871</v>
      </c>
      <c r="AF67" s="31">
        <f t="shared" ca="1" si="109"/>
        <v>789.6785058679875</v>
      </c>
      <c r="AG67" s="31">
        <f t="shared" ca="1" si="109"/>
        <v>835.58146324117081</v>
      </c>
      <c r="AH67" s="31">
        <f t="shared" ca="1" si="109"/>
        <v>852.33033073773697</v>
      </c>
      <c r="AI67" s="31">
        <f t="shared" ca="1" si="109"/>
        <v>919.5744645604334</v>
      </c>
      <c r="AJ67" s="31">
        <f t="shared" ca="1" si="109"/>
        <v>961.68627598072351</v>
      </c>
      <c r="AK67" s="31">
        <f t="shared" ca="1" si="109"/>
        <v>800.05784483689763</v>
      </c>
      <c r="AL67" s="31">
        <f t="shared" ca="1" si="109"/>
        <v>782.37854175747225</v>
      </c>
      <c r="AM67" s="31">
        <f t="shared" ca="1" si="109"/>
        <v>906.0595155913669</v>
      </c>
      <c r="AN67" s="266">
        <f t="shared" ca="1" si="109"/>
        <v>1030.5975295811766</v>
      </c>
      <c r="AO67" s="239">
        <f t="shared" ca="1" si="109"/>
        <v>1158.1159228063773</v>
      </c>
      <c r="AP67" s="31">
        <f t="shared" ca="1" si="109"/>
        <v>1627.1298639288414</v>
      </c>
      <c r="AQ67" s="31">
        <f ca="1">SUMIFS(AC67:AN67,AC$4:AN$4,"&lt;"&amp;'Title Sheet'!$C$13)</f>
        <v>8573.4199542053702</v>
      </c>
      <c r="AR67" s="31"/>
      <c r="AS67" s="240"/>
    </row>
    <row r="68" spans="2:45" ht="15.75" hidden="1" outlineLevel="1" x14ac:dyDescent="0.25">
      <c r="B68" t="str">
        <f t="shared" si="95"/>
        <v>PC Annual Direct</v>
      </c>
      <c r="C68" t="s">
        <v>353</v>
      </c>
      <c r="D68" s="213" t="s">
        <v>0</v>
      </c>
      <c r="E68" s="214" t="str">
        <f t="shared" ref="E68:AB68" si="110">IFERROR(IF(E66=0,"-",(E66/E67)-1),"-")</f>
        <v>-</v>
      </c>
      <c r="F68" s="214" t="str">
        <f t="shared" si="110"/>
        <v>-</v>
      </c>
      <c r="G68" s="214" t="str">
        <f t="shared" si="110"/>
        <v>-</v>
      </c>
      <c r="H68" s="214" t="str">
        <f t="shared" si="110"/>
        <v>-</v>
      </c>
      <c r="I68" s="214" t="str">
        <f t="shared" si="110"/>
        <v>-</v>
      </c>
      <c r="J68" s="214" t="str">
        <f t="shared" si="110"/>
        <v>-</v>
      </c>
      <c r="K68" s="214" t="str">
        <f t="shared" si="110"/>
        <v>-</v>
      </c>
      <c r="L68" s="214" t="str">
        <f t="shared" si="110"/>
        <v>-</v>
      </c>
      <c r="M68" s="214" t="str">
        <f t="shared" si="110"/>
        <v>-</v>
      </c>
      <c r="N68" s="214" t="str">
        <f t="shared" si="110"/>
        <v>-</v>
      </c>
      <c r="O68" s="214" t="str">
        <f t="shared" si="110"/>
        <v>-</v>
      </c>
      <c r="P68" s="294" t="str">
        <f t="shared" si="110"/>
        <v>-</v>
      </c>
      <c r="Q68" s="214" t="str">
        <f t="shared" ca="1" si="110"/>
        <v>-</v>
      </c>
      <c r="R68" s="214">
        <f t="shared" ca="1" si="110"/>
        <v>0.68758842667281805</v>
      </c>
      <c r="S68" s="214">
        <f t="shared" ca="1" si="110"/>
        <v>-0.17353417275950123</v>
      </c>
      <c r="T68" s="214">
        <f t="shared" ca="1" si="110"/>
        <v>-0.30102231432858595</v>
      </c>
      <c r="U68" s="214">
        <f t="shared" ca="1" si="110"/>
        <v>-0.33418124834937157</v>
      </c>
      <c r="V68" s="214">
        <f t="shared" ca="1" si="110"/>
        <v>-0.34854470234915902</v>
      </c>
      <c r="W68" s="214">
        <f t="shared" ca="1" si="110"/>
        <v>-9.0574419664338879E-2</v>
      </c>
      <c r="X68" s="214">
        <f t="shared" ca="1" si="110"/>
        <v>-8.3412117751507031E-2</v>
      </c>
      <c r="Y68" s="214">
        <f t="shared" ca="1" si="110"/>
        <v>-9.3840005939291538E-2</v>
      </c>
      <c r="Z68" s="214">
        <f t="shared" ca="1" si="110"/>
        <v>-0.1013663500360743</v>
      </c>
      <c r="AA68" s="214">
        <f t="shared" ca="1" si="110"/>
        <v>-0.13035954457080445</v>
      </c>
      <c r="AB68" s="294">
        <f t="shared" ca="1" si="110"/>
        <v>-0.14432345732248997</v>
      </c>
      <c r="AC68" s="214">
        <f t="shared" ref="AC68" ca="1" si="111">IFERROR(IF(AC66=0,"-",(AC66/AC67)-1),"-")</f>
        <v>-0.20081707308457908</v>
      </c>
      <c r="AD68" s="214">
        <f t="shared" ref="AD68:AN68" ca="1" si="112">IFERROR(IF(AD66=0,"-",(AD66/AD67)-1),"-")</f>
        <v>-0.22460353483541995</v>
      </c>
      <c r="AE68" s="214">
        <f t="shared" ca="1" si="112"/>
        <v>-0.23104114151446264</v>
      </c>
      <c r="AF68" s="214">
        <f t="shared" ca="1" si="112"/>
        <v>0.34234264238003642</v>
      </c>
      <c r="AG68" s="214">
        <f t="shared" ca="1" si="112"/>
        <v>0.30456984018138544</v>
      </c>
      <c r="AH68" s="214">
        <f t="shared" ca="1" si="112"/>
        <v>0.25737208685981705</v>
      </c>
      <c r="AI68" s="214">
        <f t="shared" ca="1" si="112"/>
        <v>0.20378478077975259</v>
      </c>
      <c r="AJ68" s="214">
        <f t="shared" ca="1" si="112"/>
        <v>0.23896681821412735</v>
      </c>
      <c r="AK68" s="214" t="str">
        <f t="shared" si="112"/>
        <v>-</v>
      </c>
      <c r="AL68" s="214" t="str">
        <f t="shared" si="112"/>
        <v>-</v>
      </c>
      <c r="AM68" s="214" t="str">
        <f t="shared" si="112"/>
        <v>-</v>
      </c>
      <c r="AN68" s="270" t="str">
        <f t="shared" si="112"/>
        <v>-</v>
      </c>
      <c r="AO68" s="274">
        <f t="shared" ref="AO68:AP68" ca="1" si="113">AO66-AO67</f>
        <v>-55.631758894664017</v>
      </c>
      <c r="AP68" s="275">
        <f t="shared" ca="1" si="113"/>
        <v>-518.7677884464199</v>
      </c>
      <c r="AQ68" s="275">
        <f t="shared" ref="AQ68" ca="1" si="114">IFERROR(IF(AQ66=0,"-",(AQ66/AQ67)-1),"-")</f>
        <v>-0.86103921078166001</v>
      </c>
      <c r="AR68" s="275"/>
      <c r="AS68" s="276"/>
    </row>
    <row r="69" spans="2:45" outlineLevel="1" x14ac:dyDescent="0.25">
      <c r="B69" t="str">
        <f t="shared" si="95"/>
        <v>PC Annual Direct</v>
      </c>
      <c r="C69" t="s">
        <v>353</v>
      </c>
      <c r="D69" s="258" t="s">
        <v>17</v>
      </c>
      <c r="E69" s="259"/>
      <c r="F69" s="259"/>
      <c r="G69" s="259"/>
      <c r="H69" s="259"/>
      <c r="I69" s="259"/>
      <c r="J69" s="259"/>
      <c r="K69" s="259"/>
      <c r="L69" s="259"/>
      <c r="M69" s="259"/>
      <c r="N69" s="259"/>
      <c r="O69" s="259"/>
      <c r="P69" s="313"/>
      <c r="Q69" s="259"/>
      <c r="R69" s="259"/>
      <c r="S69" s="259"/>
      <c r="T69" s="259"/>
      <c r="U69" s="259"/>
      <c r="V69" s="259"/>
      <c r="W69" s="259"/>
      <c r="X69" s="259"/>
      <c r="Y69" s="259"/>
      <c r="Z69" s="259"/>
      <c r="AA69" s="259"/>
      <c r="AB69" s="313"/>
      <c r="AC69" s="259"/>
      <c r="AD69" s="259"/>
      <c r="AE69" s="259"/>
      <c r="AF69" s="259"/>
      <c r="AG69" s="259"/>
      <c r="AH69" s="259"/>
      <c r="AI69" s="259"/>
      <c r="AJ69" s="259"/>
      <c r="AK69" s="259"/>
      <c r="AL69" s="259"/>
      <c r="AM69" s="259"/>
      <c r="AN69" s="267"/>
      <c r="AO69" s="376"/>
      <c r="AP69" s="277"/>
      <c r="AQ69" s="277"/>
      <c r="AR69" s="277"/>
      <c r="AS69" s="278"/>
    </row>
    <row r="70" spans="2:45" ht="15.75" outlineLevel="1" x14ac:dyDescent="0.25">
      <c r="B70" t="str">
        <f t="shared" si="95"/>
        <v>PC Annual Direct</v>
      </c>
      <c r="C70" t="s">
        <v>353</v>
      </c>
      <c r="D70" s="208" t="s">
        <v>7</v>
      </c>
      <c r="E70" s="282">
        <v>0</v>
      </c>
      <c r="F70" s="283">
        <v>0</v>
      </c>
      <c r="G70" s="283">
        <v>0</v>
      </c>
      <c r="H70" s="283">
        <v>0</v>
      </c>
      <c r="I70" s="283">
        <v>0</v>
      </c>
      <c r="J70" s="283">
        <v>0</v>
      </c>
      <c r="K70" s="283">
        <v>0</v>
      </c>
      <c r="L70" s="283">
        <v>0</v>
      </c>
      <c r="M70" s="283">
        <v>0</v>
      </c>
      <c r="N70" s="283">
        <v>0</v>
      </c>
      <c r="O70" s="283">
        <v>0</v>
      </c>
      <c r="P70" s="314">
        <v>0</v>
      </c>
      <c r="Q70" s="283">
        <v>474845.18749523116</v>
      </c>
      <c r="R70" s="283">
        <v>2345456.1696455493</v>
      </c>
      <c r="S70" s="283">
        <v>4253305.1339150965</v>
      </c>
      <c r="T70" s="283">
        <v>3935689.5446633701</v>
      </c>
      <c r="U70" s="283">
        <v>3675903.4017963423</v>
      </c>
      <c r="V70" s="283">
        <v>3075984.2767860945</v>
      </c>
      <c r="W70" s="283">
        <v>2592743.05357278</v>
      </c>
      <c r="X70" s="283">
        <v>2282311.794644319</v>
      </c>
      <c r="Y70" s="283">
        <v>2161423.8482159772</v>
      </c>
      <c r="Z70" s="283">
        <v>2148494.6134996666</v>
      </c>
      <c r="AA70" s="283">
        <v>2459665.30356621</v>
      </c>
      <c r="AB70" s="314">
        <v>2681002.3839300475</v>
      </c>
      <c r="AC70" s="283">
        <v>2941855.0803572889</v>
      </c>
      <c r="AD70" s="283">
        <v>2474484.2142849714</v>
      </c>
      <c r="AE70" s="283">
        <v>3212550.7321336111</v>
      </c>
      <c r="AF70" s="283">
        <v>3130230.901779491</v>
      </c>
      <c r="AG70" s="283">
        <v>3189893.1428629728</v>
      </c>
      <c r="AH70" s="283">
        <v>2928828.5089253853</v>
      </c>
      <c r="AI70" s="283">
        <v>2947462.7053523641</v>
      </c>
      <c r="AJ70" s="283">
        <v>1454513.4107140191</v>
      </c>
      <c r="AK70" s="283">
        <v>0</v>
      </c>
      <c r="AL70" s="283">
        <v>0</v>
      </c>
      <c r="AM70" s="283">
        <v>0</v>
      </c>
      <c r="AN70" s="284">
        <v>0</v>
      </c>
      <c r="AO70" s="335">
        <f ca="1">IFERROR(AVERAGE(INDEX($E70:$AN70, $AU$4 - 3):INDEX($E70:$AN70, $AU$4)),"-")</f>
        <v>2630174.4419636852</v>
      </c>
      <c r="AP70" s="332">
        <f ca="1">IFERROR(AVERAGE(INDEX($E70:$AN70, $AU$4 - 11):INDEX($E70:$AN70, $AU$4)),"-")</f>
        <v>2644200.4038018337</v>
      </c>
      <c r="AQ70" s="332" cm="1">
        <f t="array" ref="AQ70">IFERROR(SUMPRODUCT((YEAR($E$4:$AN$4)=2024)*$E70:$AN70),"-")</f>
        <v>32086824.711730685</v>
      </c>
      <c r="AR70" s="332">
        <f ca="1">IFERROR(SUM(INDEX($E70:$AN70, $AU$4 - MONTH(TODAY())-11):INDEX($E70:$AN70, $AU$4-12)),"-")</f>
        <v>22636238.562518783</v>
      </c>
      <c r="AS70" s="336">
        <f ca="1">IFERROR(SUM(INDEX($E70:$AN70, $AU$4 - MONTH(TODAY())+1):INDEX($E70:$AN70, $AU$4)),"-")</f>
        <v>22279818.696410101</v>
      </c>
    </row>
    <row r="71" spans="2:45" ht="15.75" outlineLevel="1" x14ac:dyDescent="0.25">
      <c r="B71" t="str">
        <f t="shared" si="95"/>
        <v>PC Annual Direct</v>
      </c>
      <c r="C71" t="s">
        <v>353</v>
      </c>
      <c r="D71" s="211" t="s">
        <v>493</v>
      </c>
      <c r="E71" s="325">
        <f>IFERROR(E63/E$8,"-")</f>
        <v>0</v>
      </c>
      <c r="F71" s="325">
        <f t="shared" ref="F71:AS71" si="115">IFERROR(F63/F$8,"-")</f>
        <v>0</v>
      </c>
      <c r="G71" s="325">
        <f t="shared" si="115"/>
        <v>0</v>
      </c>
      <c r="H71" s="325">
        <f t="shared" si="115"/>
        <v>0</v>
      </c>
      <c r="I71" s="325">
        <f t="shared" si="115"/>
        <v>0</v>
      </c>
      <c r="J71" s="325">
        <f t="shared" si="115"/>
        <v>0</v>
      </c>
      <c r="K71" s="325">
        <f t="shared" si="115"/>
        <v>0</v>
      </c>
      <c r="L71" s="325">
        <f t="shared" si="115"/>
        <v>0</v>
      </c>
      <c r="M71" s="325">
        <f t="shared" si="115"/>
        <v>0</v>
      </c>
      <c r="N71" s="325">
        <f t="shared" si="115"/>
        <v>0</v>
      </c>
      <c r="O71" s="325">
        <f t="shared" si="115"/>
        <v>0</v>
      </c>
      <c r="P71" s="382">
        <f t="shared" si="115"/>
        <v>0</v>
      </c>
      <c r="Q71" s="325">
        <f t="shared" si="115"/>
        <v>0.10272871094682205</v>
      </c>
      <c r="R71" s="325">
        <f t="shared" si="115"/>
        <v>0.39748997715190143</v>
      </c>
      <c r="S71" s="325">
        <f t="shared" si="115"/>
        <v>0.52014652773941927</v>
      </c>
      <c r="T71" s="325">
        <f t="shared" si="115"/>
        <v>0.54598080169120355</v>
      </c>
      <c r="U71" s="325">
        <f t="shared" si="115"/>
        <v>0.53633790990734298</v>
      </c>
      <c r="V71" s="325">
        <f t="shared" si="115"/>
        <v>0.5357892909103068</v>
      </c>
      <c r="W71" s="325">
        <f t="shared" si="115"/>
        <v>0.52921352035810787</v>
      </c>
      <c r="X71" s="325">
        <f t="shared" si="115"/>
        <v>0.53526333489617461</v>
      </c>
      <c r="Y71" s="325">
        <f t="shared" si="115"/>
        <v>0.55340864635428832</v>
      </c>
      <c r="Z71" s="325">
        <f t="shared" si="115"/>
        <v>0.57688495013758534</v>
      </c>
      <c r="AA71" s="325">
        <f t="shared" si="115"/>
        <v>0.62794236633677447</v>
      </c>
      <c r="AB71" s="382">
        <f t="shared" si="115"/>
        <v>0.68699796852448547</v>
      </c>
      <c r="AC71" s="325">
        <f t="shared" si="115"/>
        <v>0.75914309609902175</v>
      </c>
      <c r="AD71" s="325">
        <f t="shared" si="115"/>
        <v>0.78471430998467329</v>
      </c>
      <c r="AE71" s="325">
        <f t="shared" si="115"/>
        <v>0.8082856869651428</v>
      </c>
      <c r="AF71" s="325">
        <f t="shared" si="115"/>
        <v>0.81491568883320042</v>
      </c>
      <c r="AG71" s="325">
        <f t="shared" si="115"/>
        <v>0.80691615251474946</v>
      </c>
      <c r="AH71" s="325">
        <f t="shared" si="115"/>
        <v>0.81654686199653503</v>
      </c>
      <c r="AI71" s="325">
        <f t="shared" si="115"/>
        <v>0.81349378392606952</v>
      </c>
      <c r="AJ71" s="325">
        <f t="shared" si="115"/>
        <v>0.82613807627914682</v>
      </c>
      <c r="AK71" s="325" t="str">
        <f t="shared" si="115"/>
        <v>-</v>
      </c>
      <c r="AL71" s="325" t="str">
        <f t="shared" si="115"/>
        <v>-</v>
      </c>
      <c r="AM71" s="325" t="str">
        <f t="shared" si="115"/>
        <v>-</v>
      </c>
      <c r="AN71" s="382" t="str">
        <f t="shared" si="115"/>
        <v>-</v>
      </c>
      <c r="AO71" s="325">
        <f t="shared" ca="1" si="115"/>
        <v>0.81405144961980236</v>
      </c>
      <c r="AP71" s="325">
        <f t="shared" ca="1" si="115"/>
        <v>0.73568056511290947</v>
      </c>
      <c r="AQ71" s="325">
        <f t="shared" si="115"/>
        <v>0.51160174372125189</v>
      </c>
      <c r="AR71" s="325">
        <f t="shared" ca="1" si="115"/>
        <v>0.47866006757480456</v>
      </c>
      <c r="AS71" s="382">
        <f t="shared" ca="1" si="115"/>
        <v>0.80265774869784379</v>
      </c>
    </row>
    <row r="72" spans="2:45" ht="16.5" outlineLevel="1" thickBot="1" x14ac:dyDescent="0.3">
      <c r="D72" s="368" t="s">
        <v>492</v>
      </c>
      <c r="E72" s="383">
        <f>IFERROR(E63/E$28,"-")</f>
        <v>0</v>
      </c>
      <c r="F72" s="383">
        <f t="shared" ref="F72:AS72" si="116">IFERROR(F63/F$28,"-")</f>
        <v>0</v>
      </c>
      <c r="G72" s="383">
        <f t="shared" si="116"/>
        <v>0</v>
      </c>
      <c r="H72" s="383">
        <f t="shared" si="116"/>
        <v>0</v>
      </c>
      <c r="I72" s="383">
        <f t="shared" si="116"/>
        <v>0</v>
      </c>
      <c r="J72" s="383">
        <f t="shared" si="116"/>
        <v>0</v>
      </c>
      <c r="K72" s="383">
        <f t="shared" si="116"/>
        <v>0</v>
      </c>
      <c r="L72" s="383">
        <f t="shared" si="116"/>
        <v>0</v>
      </c>
      <c r="M72" s="383">
        <f t="shared" si="116"/>
        <v>0</v>
      </c>
      <c r="N72" s="383">
        <f t="shared" si="116"/>
        <v>0</v>
      </c>
      <c r="O72" s="383">
        <f t="shared" si="116"/>
        <v>0</v>
      </c>
      <c r="P72" s="384">
        <f t="shared" si="116"/>
        <v>0</v>
      </c>
      <c r="Q72" s="383">
        <f t="shared" si="116"/>
        <v>0.19543010201719918</v>
      </c>
      <c r="R72" s="383">
        <f t="shared" si="116"/>
        <v>0.58059138619705097</v>
      </c>
      <c r="S72" s="383">
        <f t="shared" si="116"/>
        <v>0.66845863772555147</v>
      </c>
      <c r="T72" s="383">
        <f t="shared" si="116"/>
        <v>0.6905079624672309</v>
      </c>
      <c r="U72" s="383">
        <f t="shared" si="116"/>
        <v>0.67739361438689361</v>
      </c>
      <c r="V72" s="383">
        <f t="shared" si="116"/>
        <v>0.67963147134274915</v>
      </c>
      <c r="W72" s="383">
        <f t="shared" si="116"/>
        <v>0.68698146807505234</v>
      </c>
      <c r="X72" s="383">
        <f t="shared" si="116"/>
        <v>0.69123463645922367</v>
      </c>
      <c r="Y72" s="383">
        <f t="shared" si="116"/>
        <v>0.6883900820977884</v>
      </c>
      <c r="Z72" s="383">
        <f t="shared" si="116"/>
        <v>0.69229790194237173</v>
      </c>
      <c r="AA72" s="383">
        <f t="shared" si="116"/>
        <v>0.69424225004977524</v>
      </c>
      <c r="AB72" s="384">
        <f t="shared" si="116"/>
        <v>0.72625877319203236</v>
      </c>
      <c r="AC72" s="383">
        <f t="shared" si="116"/>
        <v>0.76546411282972793</v>
      </c>
      <c r="AD72" s="383">
        <f t="shared" si="116"/>
        <v>0.78471430998467406</v>
      </c>
      <c r="AE72" s="383">
        <f t="shared" si="116"/>
        <v>0.80828568696514169</v>
      </c>
      <c r="AF72" s="383">
        <f t="shared" si="116"/>
        <v>0.81491568883319987</v>
      </c>
      <c r="AG72" s="383">
        <f t="shared" si="116"/>
        <v>0.80691615251474857</v>
      </c>
      <c r="AH72" s="383">
        <f t="shared" si="116"/>
        <v>0.8165468619965347</v>
      </c>
      <c r="AI72" s="383">
        <f t="shared" si="116"/>
        <v>0.81349378392606997</v>
      </c>
      <c r="AJ72" s="383">
        <f t="shared" si="116"/>
        <v>0.82613807627914693</v>
      </c>
      <c r="AK72" s="383" t="str">
        <f t="shared" si="116"/>
        <v>-</v>
      </c>
      <c r="AL72" s="383" t="str">
        <f t="shared" si="116"/>
        <v>-</v>
      </c>
      <c r="AM72" s="383" t="str">
        <f t="shared" si="116"/>
        <v>-</v>
      </c>
      <c r="AN72" s="384" t="str">
        <f t="shared" si="116"/>
        <v>-</v>
      </c>
      <c r="AO72" s="383">
        <f t="shared" ca="1" si="116"/>
        <v>0.81405144961980203</v>
      </c>
      <c r="AP72" s="383">
        <f t="shared" ca="1" si="116"/>
        <v>0.77075179874895117</v>
      </c>
      <c r="AQ72" s="383">
        <f t="shared" si="116"/>
        <v>0.65668646497433281</v>
      </c>
      <c r="AR72" s="383">
        <f t="shared" ca="1" si="116"/>
        <v>0.63960732363509221</v>
      </c>
      <c r="AS72" s="384">
        <f t="shared" ca="1" si="116"/>
        <v>0.80355784171127731</v>
      </c>
    </row>
    <row r="73" spans="2:45" outlineLevel="1" x14ac:dyDescent="0.25"/>
    <row r="74" spans="2:45" ht="15.75" thickBot="1" x14ac:dyDescent="0.3"/>
    <row r="75" spans="2:45" ht="21" x14ac:dyDescent="0.25">
      <c r="D75" s="362" t="s">
        <v>204</v>
      </c>
      <c r="E75" s="202" t="s">
        <v>315</v>
      </c>
      <c r="F75" s="202"/>
      <c r="G75" s="202"/>
      <c r="H75" s="202"/>
      <c r="I75" s="202"/>
      <c r="J75" s="202"/>
      <c r="K75" s="202"/>
      <c r="L75" s="202"/>
      <c r="M75" s="202"/>
      <c r="N75" s="202"/>
      <c r="O75" s="202"/>
      <c r="P75" s="233"/>
      <c r="Q75" s="202"/>
      <c r="R75" s="202"/>
      <c r="S75" s="202"/>
      <c r="T75" s="202"/>
      <c r="U75" s="202"/>
      <c r="V75" s="202"/>
      <c r="W75" s="202"/>
      <c r="X75" s="202"/>
      <c r="Y75" s="202"/>
      <c r="Z75" s="202"/>
      <c r="AA75" s="202"/>
      <c r="AB75" s="263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63"/>
      <c r="AO75" s="507" t="s">
        <v>484</v>
      </c>
      <c r="AP75" s="508"/>
      <c r="AQ75" s="508"/>
      <c r="AR75" s="508"/>
      <c r="AS75" s="509"/>
    </row>
    <row r="76" spans="2:45" x14ac:dyDescent="0.25">
      <c r="D76" s="204"/>
      <c r="E76" s="303" t="s">
        <v>341</v>
      </c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17"/>
      <c r="Q76" s="320" t="s">
        <v>341</v>
      </c>
      <c r="R76" s="303"/>
      <c r="S76" s="303"/>
      <c r="T76" s="303"/>
      <c r="U76" s="303"/>
      <c r="V76" s="303"/>
      <c r="W76" s="303"/>
      <c r="X76" s="303"/>
      <c r="Y76" s="303"/>
      <c r="Z76" s="303"/>
      <c r="AA76" s="303"/>
      <c r="AB76" s="317"/>
      <c r="AC76" s="303" t="s">
        <v>341</v>
      </c>
      <c r="AD76" s="303"/>
      <c r="AE76" s="303"/>
      <c r="AF76" s="303"/>
      <c r="AG76" s="303"/>
      <c r="AH76" s="303"/>
      <c r="AI76" s="303"/>
      <c r="AJ76" s="303"/>
      <c r="AK76" s="303"/>
      <c r="AL76" s="303"/>
      <c r="AM76" s="303"/>
      <c r="AN76" s="317"/>
      <c r="AO76" s="510" t="s">
        <v>485</v>
      </c>
      <c r="AP76" s="511"/>
      <c r="AQ76" s="511" t="s">
        <v>486</v>
      </c>
      <c r="AR76" s="511"/>
      <c r="AS76" s="512"/>
    </row>
    <row r="77" spans="2:45" x14ac:dyDescent="0.25">
      <c r="D77" s="354" t="s">
        <v>487</v>
      </c>
      <c r="E77" s="304">
        <f>E$4</f>
        <v>44927</v>
      </c>
      <c r="F77" s="304">
        <f t="shared" ref="F77:Q77" si="117">F$4</f>
        <v>44958</v>
      </c>
      <c r="G77" s="304">
        <f t="shared" si="117"/>
        <v>44986</v>
      </c>
      <c r="H77" s="304">
        <f t="shared" si="117"/>
        <v>45017</v>
      </c>
      <c r="I77" s="304">
        <f t="shared" si="117"/>
        <v>45047</v>
      </c>
      <c r="J77" s="304">
        <f t="shared" si="117"/>
        <v>45078</v>
      </c>
      <c r="K77" s="304">
        <f t="shared" si="117"/>
        <v>45108</v>
      </c>
      <c r="L77" s="304">
        <f t="shared" si="117"/>
        <v>45139</v>
      </c>
      <c r="M77" s="304">
        <f t="shared" si="117"/>
        <v>45170</v>
      </c>
      <c r="N77" s="304">
        <f t="shared" si="117"/>
        <v>45200</v>
      </c>
      <c r="O77" s="304">
        <f t="shared" si="117"/>
        <v>45231</v>
      </c>
      <c r="P77" s="390">
        <f t="shared" si="117"/>
        <v>45261</v>
      </c>
      <c r="Q77" s="304">
        <f t="shared" si="117"/>
        <v>45292</v>
      </c>
      <c r="R77" s="304">
        <f t="shared" ref="R77:AN77" si="118">R$4</f>
        <v>45323</v>
      </c>
      <c r="S77" s="304">
        <f t="shared" si="118"/>
        <v>45352</v>
      </c>
      <c r="T77" s="304">
        <f t="shared" si="118"/>
        <v>45383</v>
      </c>
      <c r="U77" s="304">
        <f t="shared" si="118"/>
        <v>45413</v>
      </c>
      <c r="V77" s="304">
        <f t="shared" si="118"/>
        <v>45444</v>
      </c>
      <c r="W77" s="304">
        <f t="shared" si="118"/>
        <v>45474</v>
      </c>
      <c r="X77" s="304">
        <f t="shared" si="118"/>
        <v>45505</v>
      </c>
      <c r="Y77" s="304">
        <f t="shared" si="118"/>
        <v>45536</v>
      </c>
      <c r="Z77" s="304">
        <f t="shared" si="118"/>
        <v>45566</v>
      </c>
      <c r="AA77" s="304">
        <f t="shared" si="118"/>
        <v>45597</v>
      </c>
      <c r="AB77" s="390">
        <f t="shared" si="118"/>
        <v>45627</v>
      </c>
      <c r="AC77" s="304">
        <f t="shared" si="118"/>
        <v>45658</v>
      </c>
      <c r="AD77" s="304">
        <f t="shared" si="118"/>
        <v>45689</v>
      </c>
      <c r="AE77" s="304">
        <f t="shared" si="118"/>
        <v>45717</v>
      </c>
      <c r="AF77" s="304">
        <f t="shared" si="118"/>
        <v>45748</v>
      </c>
      <c r="AG77" s="304">
        <f t="shared" si="118"/>
        <v>45778</v>
      </c>
      <c r="AH77" s="304">
        <f t="shared" si="118"/>
        <v>45809</v>
      </c>
      <c r="AI77" s="304">
        <f t="shared" si="118"/>
        <v>45839</v>
      </c>
      <c r="AJ77" s="304">
        <f t="shared" si="118"/>
        <v>45870</v>
      </c>
      <c r="AK77" s="304">
        <f t="shared" si="118"/>
        <v>45901</v>
      </c>
      <c r="AL77" s="304">
        <f t="shared" si="118"/>
        <v>45931</v>
      </c>
      <c r="AM77" s="304">
        <f t="shared" si="118"/>
        <v>45962</v>
      </c>
      <c r="AN77" s="391">
        <f t="shared" si="118"/>
        <v>45992</v>
      </c>
      <c r="AO77" s="351" t="s">
        <v>349</v>
      </c>
      <c r="AP77" s="352" t="s">
        <v>348</v>
      </c>
      <c r="AQ77" s="352" t="s">
        <v>772</v>
      </c>
      <c r="AR77" s="352" t="s">
        <v>490</v>
      </c>
      <c r="AS77" s="353" t="s">
        <v>773</v>
      </c>
    </row>
    <row r="78" spans="2:45" ht="15.75" x14ac:dyDescent="0.25">
      <c r="B78" t="str">
        <f>$D$2</f>
        <v>PC Annual Direct</v>
      </c>
      <c r="C78" t="s">
        <v>73</v>
      </c>
      <c r="D78" s="223" t="s">
        <v>488</v>
      </c>
      <c r="E78" s="209">
        <v>830.03287640139968</v>
      </c>
      <c r="F78" s="209">
        <v>769.7178076418985</v>
      </c>
      <c r="G78" s="209">
        <v>1088.5409834572031</v>
      </c>
      <c r="H78" s="209">
        <v>1050.4426231341004</v>
      </c>
      <c r="I78" s="209">
        <v>1253.5355189670008</v>
      </c>
      <c r="J78" s="209">
        <v>1215.5081968958004</v>
      </c>
      <c r="K78" s="209">
        <v>1350.9754096577994</v>
      </c>
      <c r="L78" s="209">
        <v>1386.5163932302983</v>
      </c>
      <c r="M78" s="209">
        <v>1305.6038253749011</v>
      </c>
      <c r="N78" s="209">
        <v>1429.9480872280976</v>
      </c>
      <c r="O78" s="209">
        <v>1408.2322406890014</v>
      </c>
      <c r="P78" s="238">
        <v>1585.3825134445001</v>
      </c>
      <c r="Q78" s="209">
        <v>1594.4726773750976</v>
      </c>
      <c r="R78" s="209">
        <v>1298.6803272729996</v>
      </c>
      <c r="S78" s="209">
        <v>1385.9589035485992</v>
      </c>
      <c r="T78" s="209">
        <v>1108.7095889984012</v>
      </c>
      <c r="U78" s="209">
        <v>1040.3589037358004</v>
      </c>
      <c r="V78" s="209">
        <v>854.66575339900271</v>
      </c>
      <c r="W78" s="209">
        <v>820.16438327679941</v>
      </c>
      <c r="X78" s="209">
        <v>694.21917784379923</v>
      </c>
      <c r="Y78" s="209">
        <v>557.65479451640033</v>
      </c>
      <c r="Z78" s="209">
        <v>465.11506835559857</v>
      </c>
      <c r="AA78" s="209">
        <v>271.12602739559998</v>
      </c>
      <c r="AB78" s="265">
        <v>152.74794515080035</v>
      </c>
      <c r="AC78" s="209">
        <v>26.076712319399995</v>
      </c>
      <c r="AD78" s="209">
        <v>0</v>
      </c>
      <c r="AE78" s="209">
        <v>0</v>
      </c>
      <c r="AF78" s="209">
        <v>0</v>
      </c>
      <c r="AG78" s="209">
        <v>0</v>
      </c>
      <c r="AH78" s="209">
        <v>0</v>
      </c>
      <c r="AI78" s="209">
        <v>0</v>
      </c>
      <c r="AJ78" s="209">
        <v>0</v>
      </c>
      <c r="AK78" s="209">
        <v>0</v>
      </c>
      <c r="AL78" s="209">
        <v>0</v>
      </c>
      <c r="AM78" s="209">
        <v>0</v>
      </c>
      <c r="AN78" s="265">
        <v>0</v>
      </c>
      <c r="AO78" s="237">
        <f ca="1">IFERROR(AVERAGE(INDEX($E78:$AN78, $AU$4 - 3):INDEX($E78:$AN78, $AU$4)),"-")</f>
        <v>0</v>
      </c>
      <c r="AP78" s="209">
        <f ca="1">IFERROR(AVERAGE(INDEX($E78:$AN78, $AU$4 - 11):INDEX($E78:$AN78, $AU$4)),"-")</f>
        <v>122.72671231148327</v>
      </c>
      <c r="AQ78" s="209" cm="1">
        <f t="array" ref="AQ78">IFERROR(SUMPRODUCT((YEAR($E$4:$AN$4)=2024)*$E78:$AN78),"-")</f>
        <v>10243.873550868901</v>
      </c>
      <c r="AR78" s="209">
        <f ca="1">IFERROR(SUM(INDEX($E78:$AN78, $AU$4 - MONTH(TODAY())-11):INDEX($E78:$AN78, $AU$4-12)),"-")</f>
        <v>8797.2297154505013</v>
      </c>
      <c r="AS78" s="238">
        <f ca="1">IFERROR(SUM(INDEX($E78:$AN78, $AU$4 - MONTH(TODAY())+1):INDEX($E78:$AN78, $AU$4)),"-")</f>
        <v>26.076712319399995</v>
      </c>
    </row>
    <row r="79" spans="2:45" ht="15.75" hidden="1" x14ac:dyDescent="0.25">
      <c r="B79" t="str">
        <f>$D$92&amp;"_W VYRs"</f>
        <v>PC Annual Direct - Subscription_W VYRs</v>
      </c>
      <c r="C79" t="str">
        <f t="shared" ref="C79:C89" si="119">$C78</f>
        <v>Boom Subscription</v>
      </c>
      <c r="D79" s="211" t="s">
        <v>317</v>
      </c>
      <c r="E79" s="31" t="str">
        <f ca="1">INDEX('Plan Figures'!$B$94:$AP$120,MATCH('Current - Sales, NWP, GWP'!E$4,'Plan Figures'!$B$94:$B$120,0),MATCH('Current - Sales, NWP, GWP'!$B79,'Plan Figures'!$B$1:$AP$1,0))</f>
        <v>-</v>
      </c>
      <c r="F79" s="31" t="str">
        <f ca="1">INDEX('Plan Figures'!$B$94:$AP$120,MATCH('Current - Sales, NWP, GWP'!F$4,'Plan Figures'!$B$94:$B$120,0),MATCH('Current - Sales, NWP, GWP'!$B79,'Plan Figures'!$B$1:$AP$1,0))</f>
        <v>-</v>
      </c>
      <c r="G79" s="31" t="str">
        <f ca="1">INDEX('Plan Figures'!$B$94:$AP$120,MATCH('Current - Sales, NWP, GWP'!G$4,'Plan Figures'!$B$94:$B$120,0),MATCH('Current - Sales, NWP, GWP'!$B79,'Plan Figures'!$B$1:$AP$1,0))</f>
        <v>-</v>
      </c>
      <c r="H79" s="31" t="str">
        <f ca="1">INDEX('Plan Figures'!$B$94:$AP$120,MATCH('Current - Sales, NWP, GWP'!H$4,'Plan Figures'!$B$94:$B$120,0),MATCH('Current - Sales, NWP, GWP'!$B79,'Plan Figures'!$B$1:$AP$1,0))</f>
        <v>-</v>
      </c>
      <c r="I79" s="31" t="str">
        <f ca="1">INDEX('Plan Figures'!$B$94:$AP$120,MATCH('Current - Sales, NWP, GWP'!I$4,'Plan Figures'!$B$94:$B$120,0),MATCH('Current - Sales, NWP, GWP'!$B79,'Plan Figures'!$B$1:$AP$1,0))</f>
        <v>-</v>
      </c>
      <c r="J79" s="31" t="str">
        <f ca="1">INDEX('Plan Figures'!$B$94:$AP$120,MATCH('Current - Sales, NWP, GWP'!J$4,'Plan Figures'!$B$94:$B$120,0),MATCH('Current - Sales, NWP, GWP'!$B79,'Plan Figures'!$B$1:$AP$1,0))</f>
        <v>-</v>
      </c>
      <c r="K79" s="31" t="str">
        <f ca="1">INDEX('Plan Figures'!$B$94:$AP$120,MATCH('Current - Sales, NWP, GWP'!K$4,'Plan Figures'!$B$94:$B$120,0),MATCH('Current - Sales, NWP, GWP'!$B79,'Plan Figures'!$B$1:$AP$1,0))</f>
        <v>-</v>
      </c>
      <c r="L79" s="31" t="str">
        <f ca="1">INDEX('Plan Figures'!$B$94:$AP$120,MATCH('Current - Sales, NWP, GWP'!L$4,'Plan Figures'!$B$94:$B$120,0),MATCH('Current - Sales, NWP, GWP'!$B79,'Plan Figures'!$B$1:$AP$1,0))</f>
        <v>-</v>
      </c>
      <c r="M79" s="31" t="str">
        <f ca="1">INDEX('Plan Figures'!$B$94:$AP$120,MATCH('Current - Sales, NWP, GWP'!M$4,'Plan Figures'!$B$94:$B$120,0),MATCH('Current - Sales, NWP, GWP'!$B79,'Plan Figures'!$B$1:$AP$1,0))</f>
        <v>-</v>
      </c>
      <c r="N79" s="31" t="str">
        <f ca="1">INDEX('Plan Figures'!$B$94:$AP$120,MATCH('Current - Sales, NWP, GWP'!N$4,'Plan Figures'!$B$94:$B$120,0),MATCH('Current - Sales, NWP, GWP'!$B79,'Plan Figures'!$B$1:$AP$1,0))</f>
        <v>-</v>
      </c>
      <c r="O79" s="31">
        <f ca="1">INDEX('Plan Figures'!$B$94:$AP$120,MATCH('Current - Sales, NWP, GWP'!O$4,'Plan Figures'!$B$94:$B$120,0),MATCH('Current - Sales, NWP, GWP'!$B79,'Plan Figures'!$B$1:$AP$1,0))</f>
        <v>615.93307879093663</v>
      </c>
      <c r="P79" s="240">
        <f ca="1">INDEX('Plan Figures'!$B$94:$AP$120,MATCH('Current - Sales, NWP, GWP'!P$4,'Plan Figures'!$B$94:$B$120,0),MATCH('Current - Sales, NWP, GWP'!$B79,'Plan Figures'!$B$1:$AP$1,0))</f>
        <v>763.72800510730349</v>
      </c>
      <c r="Q79" s="31">
        <f ca="1">INDEX('Plan Figures'!$B$94:$AP$120,MATCH('Current - Sales, NWP, GWP'!Q$4,'Plan Figures'!$B$94:$B$120,0),MATCH('Current - Sales, NWP, GWP'!$B79,'Plan Figures'!$B$1:$AP$1,0))</f>
        <v>833.27735263273371</v>
      </c>
      <c r="R79" s="31">
        <f ca="1">INDEX('Plan Figures'!$B$94:$AP$120,MATCH('Current - Sales, NWP, GWP'!R$4,'Plan Figures'!$B$94:$B$120,0),MATCH('Current - Sales, NWP, GWP'!$B79,'Plan Figures'!$B$1:$AP$1,0))</f>
        <v>833.27735263273371</v>
      </c>
      <c r="S79" s="31">
        <f ca="1">INDEX('Plan Figures'!$B$94:$AP$120,MATCH('Current - Sales, NWP, GWP'!S$4,'Plan Figures'!$B$94:$B$120,0),MATCH('Current - Sales, NWP, GWP'!$B79,'Plan Figures'!$B$1:$AP$1,0))</f>
        <v>833.27735263273371</v>
      </c>
      <c r="T79" s="31">
        <f ca="1">INDEX('Plan Figures'!$B$94:$AP$120,MATCH('Current - Sales, NWP, GWP'!T$4,'Plan Figures'!$B$94:$B$120,0),MATCH('Current - Sales, NWP, GWP'!$B79,'Plan Figures'!$B$1:$AP$1,0))</f>
        <v>833.27735263273371</v>
      </c>
      <c r="U79" s="31">
        <f ca="1">INDEX('Plan Figures'!$B$94:$AP$120,MATCH('Current - Sales, NWP, GWP'!U$4,'Plan Figures'!$B$94:$B$120,0),MATCH('Current - Sales, NWP, GWP'!$B79,'Plan Figures'!$B$1:$AP$1,0))</f>
        <v>832.96485263273371</v>
      </c>
      <c r="V79" s="31">
        <f ca="1">INDEX('Plan Figures'!$B$94:$AP$120,MATCH('Current - Sales, NWP, GWP'!V$4,'Plan Figures'!$B$94:$B$120,0),MATCH('Current - Sales, NWP, GWP'!$B79,'Plan Figures'!$B$1:$AP$1,0))</f>
        <v>805.37110263273371</v>
      </c>
      <c r="W79" s="31">
        <f ca="1">INDEX('Plan Figures'!$B$94:$AP$120,MATCH('Current - Sales, NWP, GWP'!W$4,'Plan Figures'!$B$94:$B$120,0),MATCH('Current - Sales, NWP, GWP'!$B79,'Plan Figures'!$B$1:$AP$1,0))</f>
        <v>954.34078893945536</v>
      </c>
      <c r="X79" s="31">
        <f ca="1">INDEX('Plan Figures'!$B$94:$AP$120,MATCH('Current - Sales, NWP, GWP'!X$4,'Plan Figures'!$B$94:$B$120,0),MATCH('Current - Sales, NWP, GWP'!$B79,'Plan Figures'!$B$1:$AP$1,0))</f>
        <v>847.62977300462001</v>
      </c>
      <c r="Y79" s="31">
        <f ca="1">INDEX('Plan Figures'!$B$94:$AP$120,MATCH('Current - Sales, NWP, GWP'!Y$4,'Plan Figures'!$B$94:$B$120,0),MATCH('Current - Sales, NWP, GWP'!$B79,'Plan Figures'!$B$1:$AP$1,0))</f>
        <v>739.05926213218527</v>
      </c>
      <c r="Z79" s="31">
        <f ca="1">INDEX('Plan Figures'!$B$94:$AP$120,MATCH('Current - Sales, NWP, GWP'!Z$4,'Plan Figures'!$B$94:$B$120,0),MATCH('Current - Sales, NWP, GWP'!$B79,'Plan Figures'!$B$1:$AP$1,0))</f>
        <v>574.06474961854019</v>
      </c>
      <c r="AA79" s="31">
        <f ca="1">INDEX('Plan Figures'!$B$94:$AP$120,MATCH('Current - Sales, NWP, GWP'!AA$4,'Plan Figures'!$B$94:$B$120,0),MATCH('Current - Sales, NWP, GWP'!$B79,'Plan Figures'!$B$1:$AP$1,0))</f>
        <v>364.6103139038326</v>
      </c>
      <c r="AB79" s="266">
        <f ca="1">INDEX('Plan Figures'!$B$94:$AP$120,MATCH('Current - Sales, NWP, GWP'!AB$4,'Plan Figures'!$B$94:$B$120,0),MATCH('Current - Sales, NWP, GWP'!$B79,'Plan Figures'!$B$1:$AP$1,0))</f>
        <v>181.19222195663252</v>
      </c>
      <c r="AC79" s="31">
        <f ca="1">INDEX('Plan Figures'!$B$94:$AP$120,MATCH('Current - Sales, NWP, GWP'!AC$4,'Plan Figures'!$B$94:$B$120,0),MATCH('Current - Sales, NWP, GWP'!$B79,'Plan Figures'!$B$1:$AP$1,0))</f>
        <v>28.688268332318788</v>
      </c>
      <c r="AD79" s="31" t="e">
        <f>INDEX('Plan Figures'!$B$94:$AP$120,MATCH('Current - Sales, NWP, GWP'!AD$4,'Plan Figures'!$B$94:$B$120,0),MATCH('Current - Sales, NWP, GWP'!$B79,'Plan Figures'!$B$1:$AP$1,0))</f>
        <v>#N/A</v>
      </c>
      <c r="AE79" s="31" t="e">
        <f>INDEX('Plan Figures'!$B$94:$AP$120,MATCH('Current - Sales, NWP, GWP'!AE$4,'Plan Figures'!$B$94:$B$120,0),MATCH('Current - Sales, NWP, GWP'!$B79,'Plan Figures'!$B$1:$AP$1,0))</f>
        <v>#N/A</v>
      </c>
      <c r="AF79" s="31" t="e">
        <f>INDEX('Plan Figures'!$B$94:$AP$120,MATCH('Current - Sales, NWP, GWP'!AF$4,'Plan Figures'!$B$94:$B$120,0),MATCH('Current - Sales, NWP, GWP'!$B79,'Plan Figures'!$B$1:$AP$1,0))</f>
        <v>#N/A</v>
      </c>
      <c r="AG79" s="31" t="e">
        <f>INDEX('Plan Figures'!$B$94:$AP$120,MATCH('Current - Sales, NWP, GWP'!AG$4,'Plan Figures'!$B$94:$B$120,0),MATCH('Current - Sales, NWP, GWP'!$B79,'Plan Figures'!$B$1:$AP$1,0))</f>
        <v>#N/A</v>
      </c>
      <c r="AH79" s="31" t="e">
        <f>INDEX('Plan Figures'!$B$94:$AP$120,MATCH('Current - Sales, NWP, GWP'!AH$4,'Plan Figures'!$B$94:$B$120,0),MATCH('Current - Sales, NWP, GWP'!$B79,'Plan Figures'!$B$1:$AP$1,0))</f>
        <v>#N/A</v>
      </c>
      <c r="AI79" s="31" t="e">
        <f>INDEX('Plan Figures'!$B$94:$AP$120,MATCH('Current - Sales, NWP, GWP'!AI$4,'Plan Figures'!$B$94:$B$120,0),MATCH('Current - Sales, NWP, GWP'!$B79,'Plan Figures'!$B$1:$AP$1,0))</f>
        <v>#N/A</v>
      </c>
      <c r="AJ79" s="31" t="e">
        <f>INDEX('Plan Figures'!$B$94:$AP$120,MATCH('Current - Sales, NWP, GWP'!AJ$4,'Plan Figures'!$B$94:$B$120,0),MATCH('Current - Sales, NWP, GWP'!$B79,'Plan Figures'!$B$1:$AP$1,0))</f>
        <v>#N/A</v>
      </c>
      <c r="AK79" s="31" t="e">
        <f>INDEX('Plan Figures'!$B$94:$AP$120,MATCH('Current - Sales, NWP, GWP'!AK$4,'Plan Figures'!$B$94:$B$120,0),MATCH('Current - Sales, NWP, GWP'!$B79,'Plan Figures'!$B$1:$AP$1,0))</f>
        <v>#N/A</v>
      </c>
      <c r="AL79" s="31" t="e">
        <f>INDEX('Plan Figures'!$B$94:$AP$120,MATCH('Current - Sales, NWP, GWP'!AL$4,'Plan Figures'!$B$94:$B$120,0),MATCH('Current - Sales, NWP, GWP'!$B79,'Plan Figures'!$B$1:$AP$1,0))</f>
        <v>#N/A</v>
      </c>
      <c r="AM79" s="31" t="e">
        <f>INDEX('Plan Figures'!$B$94:$AP$120,MATCH('Current - Sales, NWP, GWP'!AM$4,'Plan Figures'!$B$94:$B$120,0),MATCH('Current - Sales, NWP, GWP'!$B79,'Plan Figures'!$B$1:$AP$1,0))</f>
        <v>#N/A</v>
      </c>
      <c r="AN79" s="266" t="e">
        <f>INDEX('Plan Figures'!$B$94:$AP$120,MATCH('Current - Sales, NWP, GWP'!AN$4,'Plan Figures'!$B$94:$B$120,0),MATCH('Current - Sales, NWP, GWP'!$B79,'Plan Figures'!$B$1:$AP$1,0))</f>
        <v>#N/A</v>
      </c>
      <c r="AO79" s="239">
        <f t="shared" ref="AO79:AO80" ca="1" si="120">AVERAGE(Z79:AC79)</f>
        <v>287.138888452831</v>
      </c>
      <c r="AP79" s="31">
        <f t="shared" ref="AP79:AP80" ca="1" si="121">AVERAGE(R79:AC79)</f>
        <v>652.31278258760449</v>
      </c>
      <c r="AQ79" s="31" t="e">
        <f ca="1">SUMIFS(AC79:AN79,AC$4:AN$4,"&lt;"&amp;'Title Sheet'!$C$13)</f>
        <v>#N/A</v>
      </c>
      <c r="AR79" s="31"/>
      <c r="AS79" s="240"/>
    </row>
    <row r="80" spans="2:45" ht="15.75" hidden="1" x14ac:dyDescent="0.25">
      <c r="B80" t="str">
        <f t="shared" ref="B80:B89" si="122">$D$2</f>
        <v>PC Annual Direct</v>
      </c>
      <c r="C80" t="str">
        <f t="shared" si="119"/>
        <v>Boom Subscription</v>
      </c>
      <c r="D80" s="213" t="s">
        <v>0</v>
      </c>
      <c r="E80" s="214" t="str">
        <f t="shared" ref="E80:AB80" ca="1" si="123">IFERROR(IF(E78=0,"-",(E78/E79)-1),"-")</f>
        <v>-</v>
      </c>
      <c r="F80" s="214" t="str">
        <f t="shared" ca="1" si="123"/>
        <v>-</v>
      </c>
      <c r="G80" s="214" t="str">
        <f t="shared" ca="1" si="123"/>
        <v>-</v>
      </c>
      <c r="H80" s="214" t="str">
        <f t="shared" ca="1" si="123"/>
        <v>-</v>
      </c>
      <c r="I80" s="214" t="str">
        <f t="shared" ca="1" si="123"/>
        <v>-</v>
      </c>
      <c r="J80" s="214" t="str">
        <f t="shared" ca="1" si="123"/>
        <v>-</v>
      </c>
      <c r="K80" s="214" t="str">
        <f t="shared" ca="1" si="123"/>
        <v>-</v>
      </c>
      <c r="L80" s="214" t="str">
        <f t="shared" ca="1" si="123"/>
        <v>-</v>
      </c>
      <c r="M80" s="214" t="str">
        <f t="shared" ca="1" si="123"/>
        <v>-</v>
      </c>
      <c r="N80" s="214" t="str">
        <f t="shared" ca="1" si="123"/>
        <v>-</v>
      </c>
      <c r="O80" s="214">
        <f t="shared" ca="1" si="123"/>
        <v>1.2863396839366557</v>
      </c>
      <c r="P80" s="294">
        <f t="shared" ca="1" si="123"/>
        <v>1.0758470330307639</v>
      </c>
      <c r="Q80" s="214">
        <f t="shared" ca="1" si="123"/>
        <v>0.91349575544969852</v>
      </c>
      <c r="R80" s="214">
        <f t="shared" ca="1" si="123"/>
        <v>0.55852108925057031</v>
      </c>
      <c r="S80" s="214">
        <f t="shared" ca="1" si="123"/>
        <v>0.66326241697277877</v>
      </c>
      <c r="T80" s="214">
        <f t="shared" ca="1" si="123"/>
        <v>0.3305408883314076</v>
      </c>
      <c r="U80" s="214">
        <f t="shared" ca="1" si="123"/>
        <v>0.24898295582047769</v>
      </c>
      <c r="V80" s="214">
        <f t="shared" ca="1" si="123"/>
        <v>6.1207374594303587E-2</v>
      </c>
      <c r="W80" s="214">
        <f t="shared" ca="1" si="123"/>
        <v>-0.14059590370413089</v>
      </c>
      <c r="X80" s="214">
        <f t="shared" ca="1" si="123"/>
        <v>-0.18098773786227607</v>
      </c>
      <c r="Y80" s="214">
        <f t="shared" ca="1" si="123"/>
        <v>-0.24545320911402047</v>
      </c>
      <c r="Z80" s="214">
        <f t="shared" ca="1" si="123"/>
        <v>-0.18978639837289701</v>
      </c>
      <c r="AA80" s="214">
        <f t="shared" ca="1" si="123"/>
        <v>-0.25639506877166807</v>
      </c>
      <c r="AB80" s="270">
        <f t="shared" ca="1" si="123"/>
        <v>-0.15698398363170452</v>
      </c>
      <c r="AC80" s="214">
        <f t="shared" ref="AC80" ca="1" si="124">IFERROR(IF(AC78=0,"-",(AC78/AC79)-1),"-")</f>
        <v>-9.1032194159197277E-2</v>
      </c>
      <c r="AD80" s="214" t="str">
        <f t="shared" ref="AD80:AN80" si="125">IFERROR(IF(AD78=0,"-",(AD78/AD79)-1),"-")</f>
        <v>-</v>
      </c>
      <c r="AE80" s="214" t="str">
        <f t="shared" si="125"/>
        <v>-</v>
      </c>
      <c r="AF80" s="214" t="str">
        <f t="shared" si="125"/>
        <v>-</v>
      </c>
      <c r="AG80" s="214" t="str">
        <f t="shared" si="125"/>
        <v>-</v>
      </c>
      <c r="AH80" s="214" t="str">
        <f t="shared" si="125"/>
        <v>-</v>
      </c>
      <c r="AI80" s="214" t="str">
        <f t="shared" si="125"/>
        <v>-</v>
      </c>
      <c r="AJ80" s="214" t="str">
        <f t="shared" si="125"/>
        <v>-</v>
      </c>
      <c r="AK80" s="214" t="str">
        <f t="shared" si="125"/>
        <v>-</v>
      </c>
      <c r="AL80" s="214" t="str">
        <f t="shared" si="125"/>
        <v>-</v>
      </c>
      <c r="AM80" s="214" t="str">
        <f t="shared" si="125"/>
        <v>-</v>
      </c>
      <c r="AN80" s="270" t="str">
        <f t="shared" si="125"/>
        <v>-</v>
      </c>
      <c r="AO80" s="274">
        <f t="shared" ca="1" si="120"/>
        <v>-0.17354941123386672</v>
      </c>
      <c r="AP80" s="275">
        <f t="shared" ca="1" si="121"/>
        <v>5.0106685779470327E-2</v>
      </c>
      <c r="AQ80" s="275" t="str">
        <f t="shared" ref="AQ80" ca="1" si="126">IFERROR(IF(AQ78=0,"-",(AQ78/AQ79)-1),"-")</f>
        <v>-</v>
      </c>
      <c r="AR80" s="275"/>
      <c r="AS80" s="276"/>
    </row>
    <row r="81" spans="2:46" ht="15.75" x14ac:dyDescent="0.25">
      <c r="B81" t="str">
        <f t="shared" si="122"/>
        <v>PC Annual Direct</v>
      </c>
      <c r="C81" t="str">
        <f t="shared" si="119"/>
        <v>Boom Subscription</v>
      </c>
      <c r="D81" s="208" t="s">
        <v>5</v>
      </c>
      <c r="E81" s="283">
        <v>1070212.2560720325</v>
      </c>
      <c r="F81" s="283">
        <v>1107168.0560714623</v>
      </c>
      <c r="G81" s="283">
        <v>1196806.3042855575</v>
      </c>
      <c r="H81" s="283">
        <v>1196843.1078571794</v>
      </c>
      <c r="I81" s="283">
        <v>1370790.6685737956</v>
      </c>
      <c r="J81" s="283">
        <v>1318028.1692854087</v>
      </c>
      <c r="K81" s="283">
        <v>1486296.7482147964</v>
      </c>
      <c r="L81" s="283">
        <v>1612451.3564286958</v>
      </c>
      <c r="M81" s="283">
        <v>1638559.6060715215</v>
      </c>
      <c r="N81" s="283">
        <v>1872056.7585720269</v>
      </c>
      <c r="O81" s="283">
        <v>2020209.9689292929</v>
      </c>
      <c r="P81" s="314">
        <v>2154653.3017852441</v>
      </c>
      <c r="Q81" s="283">
        <v>1862284.3825005875</v>
      </c>
      <c r="R81" s="283">
        <v>1636571.4160711705</v>
      </c>
      <c r="S81" s="283">
        <v>1682523.5657136443</v>
      </c>
      <c r="T81" s="283">
        <v>1406255.6035711993</v>
      </c>
      <c r="U81" s="283">
        <v>1329779.3617862051</v>
      </c>
      <c r="V81" s="283">
        <v>1133104.5164289197</v>
      </c>
      <c r="W81" s="283">
        <v>1049221.6692862462</v>
      </c>
      <c r="X81" s="283">
        <v>897208.56535697333</v>
      </c>
      <c r="Y81" s="283">
        <v>714745.29999965394</v>
      </c>
      <c r="Z81" s="283">
        <v>578083.90107166034</v>
      </c>
      <c r="AA81" s="283">
        <v>347890.64785722934</v>
      </c>
      <c r="AB81" s="284">
        <v>196342.79285724871</v>
      </c>
      <c r="AC81" s="283">
        <v>29841.401785659804</v>
      </c>
      <c r="AD81" s="283">
        <v>0</v>
      </c>
      <c r="AE81" s="283">
        <v>0</v>
      </c>
      <c r="AF81" s="283">
        <v>0</v>
      </c>
      <c r="AG81" s="283">
        <v>0</v>
      </c>
      <c r="AH81" s="283">
        <v>0</v>
      </c>
      <c r="AI81" s="283">
        <v>0</v>
      </c>
      <c r="AJ81" s="283">
        <v>0</v>
      </c>
      <c r="AK81" s="283">
        <v>0</v>
      </c>
      <c r="AL81" s="283">
        <v>0</v>
      </c>
      <c r="AM81" s="283">
        <v>0</v>
      </c>
      <c r="AN81" s="284">
        <v>0</v>
      </c>
      <c r="AO81" s="335">
        <f ca="1">IFERROR(AVERAGE(INDEX($E81:$AN81, $AU$4 - 3):INDEX($E81:$AN81, $AU$4)),"-")</f>
        <v>0</v>
      </c>
      <c r="AP81" s="332">
        <f ca="1">IFERROR(AVERAGE(INDEX($E81:$AN81, $AU$4 - 11):INDEX($E81:$AN81, $AU$4)),"-")</f>
        <v>155575.33696428771</v>
      </c>
      <c r="AQ81" s="332" cm="1">
        <f t="array" ref="AQ81">IFERROR(SUMPRODUCT((YEAR($E$4:$AN$4)=2024)*$E81:$AN81),"-")</f>
        <v>12834011.722500738</v>
      </c>
      <c r="AR81" s="332">
        <f ca="1">IFERROR(SUM(INDEX($E81:$AN81, $AU$4 - MONTH(TODAY())-11):INDEX($E81:$AN81, $AU$4-12)),"-")</f>
        <v>10996949.080714945</v>
      </c>
      <c r="AS81" s="336">
        <f ca="1">IFERROR(SUM(INDEX($E81:$AN81, $AU$4 - MONTH(TODAY())+1):INDEX($E81:$AN81, $AU$4)),"-")</f>
        <v>29841.401785659804</v>
      </c>
    </row>
    <row r="82" spans="2:46" ht="15.75" x14ac:dyDescent="0.25">
      <c r="B82" t="str">
        <f>$D$92&amp;"_NWP"</f>
        <v>PC Annual Direct - Subscription_NWP</v>
      </c>
      <c r="C82" t="str">
        <f t="shared" si="119"/>
        <v>Boom Subscription</v>
      </c>
      <c r="D82" s="211" t="s">
        <v>6</v>
      </c>
      <c r="E82" s="385" t="str">
        <f ca="1">INDEX('Plan Figures'!$B$94:$AP$131,MATCH('Current - Sales, NWP, GWP'!E$4,'Plan Figures'!$B$94:$B$131,0),MATCH('Current - Sales, NWP, GWP'!$B82,'Plan Figures'!$B$1:$AP$1,0))</f>
        <v>-</v>
      </c>
      <c r="F82" s="385" t="str">
        <f ca="1">INDEX('Plan Figures'!$B$94:$AP$131,MATCH('Current - Sales, NWP, GWP'!F$4,'Plan Figures'!$B$94:$B$131,0),MATCH('Current - Sales, NWP, GWP'!$B82,'Plan Figures'!$B$1:$AP$1,0))</f>
        <v>-</v>
      </c>
      <c r="G82" s="385" t="str">
        <f ca="1">INDEX('Plan Figures'!$B$94:$AP$131,MATCH('Current - Sales, NWP, GWP'!G$4,'Plan Figures'!$B$94:$B$131,0),MATCH('Current - Sales, NWP, GWP'!$B82,'Plan Figures'!$B$1:$AP$1,0))</f>
        <v>-</v>
      </c>
      <c r="H82" s="385" t="str">
        <f ca="1">INDEX('Plan Figures'!$B$94:$AP$131,MATCH('Current - Sales, NWP, GWP'!H$4,'Plan Figures'!$B$94:$B$131,0),MATCH('Current - Sales, NWP, GWP'!$B82,'Plan Figures'!$B$1:$AP$1,0))</f>
        <v>-</v>
      </c>
      <c r="I82" s="385" t="str">
        <f ca="1">INDEX('Plan Figures'!$B$94:$AP$131,MATCH('Current - Sales, NWP, GWP'!I$4,'Plan Figures'!$B$94:$B$131,0),MATCH('Current - Sales, NWP, GWP'!$B82,'Plan Figures'!$B$1:$AP$1,0))</f>
        <v>-</v>
      </c>
      <c r="J82" s="385" t="str">
        <f ca="1">INDEX('Plan Figures'!$B$94:$AP$131,MATCH('Current - Sales, NWP, GWP'!J$4,'Plan Figures'!$B$94:$B$131,0),MATCH('Current - Sales, NWP, GWP'!$B82,'Plan Figures'!$B$1:$AP$1,0))</f>
        <v>-</v>
      </c>
      <c r="K82" s="385" t="str">
        <f ca="1">INDEX('Plan Figures'!$B$94:$AP$131,MATCH('Current - Sales, NWP, GWP'!K$4,'Plan Figures'!$B$94:$B$131,0),MATCH('Current - Sales, NWP, GWP'!$B82,'Plan Figures'!$B$1:$AP$1,0))</f>
        <v>-</v>
      </c>
      <c r="L82" s="385" t="str">
        <f ca="1">INDEX('Plan Figures'!$B$94:$AP$131,MATCH('Current - Sales, NWP, GWP'!L$4,'Plan Figures'!$B$94:$B$131,0),MATCH('Current - Sales, NWP, GWP'!$B82,'Plan Figures'!$B$1:$AP$1,0))</f>
        <v>-</v>
      </c>
      <c r="M82" s="385" t="str">
        <f ca="1">INDEX('Plan Figures'!$B$94:$AP$131,MATCH('Current - Sales, NWP, GWP'!M$4,'Plan Figures'!$B$94:$B$131,0),MATCH('Current - Sales, NWP, GWP'!$B82,'Plan Figures'!$B$1:$AP$1,0))</f>
        <v>-</v>
      </c>
      <c r="N82" s="385" t="str">
        <f ca="1">INDEX('Plan Figures'!$B$94:$AP$131,MATCH('Current - Sales, NWP, GWP'!N$4,'Plan Figures'!$B$94:$B$131,0),MATCH('Current - Sales, NWP, GWP'!$B82,'Plan Figures'!$B$1:$AP$1,0))</f>
        <v>-</v>
      </c>
      <c r="O82" s="385">
        <f ca="1">INDEX('Plan Figures'!$B$94:$AP$131,MATCH('Current - Sales, NWP, GWP'!O$4,'Plan Figures'!$B$94:$B$131,0),MATCH('Current - Sales, NWP, GWP'!$B82,'Plan Figures'!$B$1:$AP$1,0))</f>
        <v>1811220.2312349698</v>
      </c>
      <c r="P82" s="386">
        <f ca="1">INDEX('Plan Figures'!$B$94:$AP$131,MATCH('Current - Sales, NWP, GWP'!P$4,'Plan Figures'!$B$94:$B$131,0),MATCH('Current - Sales, NWP, GWP'!$B82,'Plan Figures'!$B$1:$AP$1,0))</f>
        <v>1916096.3475731572</v>
      </c>
      <c r="Q82" s="385">
        <f ca="1">INDEX('Plan Figures'!$B$94:$AP$131,MATCH('Current - Sales, NWP, GWP'!Q$4,'Plan Figures'!$B$94:$B$131,0),MATCH('Current - Sales, NWP, GWP'!$B82,'Plan Figures'!$B$1:$AP$1,0))</f>
        <v>2026245.4879278806</v>
      </c>
      <c r="R82" s="385">
        <f ca="1">INDEX('Plan Figures'!$B$94:$AP$131,MATCH('Current - Sales, NWP, GWP'!R$4,'Plan Figures'!$B$94:$B$131,0),MATCH('Current - Sales, NWP, GWP'!$B82,'Plan Figures'!$B$1:$AP$1,0))</f>
        <v>2073314.966746679</v>
      </c>
      <c r="S82" s="385">
        <f ca="1">INDEX('Plan Figures'!$B$94:$AP$131,MATCH('Current - Sales, NWP, GWP'!S$4,'Plan Figures'!$B$94:$B$131,0),MATCH('Current - Sales, NWP, GWP'!$B82,'Plan Figures'!$B$1:$AP$1,0))</f>
        <v>1955902.6469528598</v>
      </c>
      <c r="T82" s="385">
        <f ca="1">INDEX('Plan Figures'!$B$94:$AP$131,MATCH('Current - Sales, NWP, GWP'!T$4,'Plan Figures'!$B$94:$B$131,0),MATCH('Current - Sales, NWP, GWP'!$B82,'Plan Figures'!$B$1:$AP$1,0))</f>
        <v>1768843.0862598093</v>
      </c>
      <c r="U82" s="385">
        <f ca="1">INDEX('Plan Figures'!$B$94:$AP$131,MATCH('Current - Sales, NWP, GWP'!U$4,'Plan Figures'!$B$94:$B$131,0),MATCH('Current - Sales, NWP, GWP'!$B82,'Plan Figures'!$B$1:$AP$1,0))</f>
        <v>1606725.6641009036</v>
      </c>
      <c r="V82" s="385">
        <f ca="1">INDEX('Plan Figures'!$B$94:$AP$131,MATCH('Current - Sales, NWP, GWP'!V$4,'Plan Figures'!$B$94:$B$131,0),MATCH('Current - Sales, NWP, GWP'!$B82,'Plan Figures'!$B$1:$AP$1,0))</f>
        <v>1443312.9653584959</v>
      </c>
      <c r="W82" s="385">
        <f ca="1">INDEX('Plan Figures'!$B$94:$AP$131,MATCH('Current - Sales, NWP, GWP'!W$4,'Plan Figures'!$B$94:$B$131,0),MATCH('Current - Sales, NWP, GWP'!$B82,'Plan Figures'!$B$1:$AP$1,0))</f>
        <v>1349487.1149863317</v>
      </c>
      <c r="X82" s="385">
        <f ca="1">INDEX('Plan Figures'!$B$94:$AP$131,MATCH('Current - Sales, NWP, GWP'!X$4,'Plan Figures'!$B$94:$B$131,0),MATCH('Current - Sales, NWP, GWP'!$B82,'Plan Figures'!$B$1:$AP$1,0))</f>
        <v>1181466.7154575591</v>
      </c>
      <c r="Y82" s="385">
        <f ca="1">INDEX('Plan Figures'!$B$94:$AP$131,MATCH('Current - Sales, NWP, GWP'!Y$4,'Plan Figures'!$B$94:$B$131,0),MATCH('Current - Sales, NWP, GWP'!$B82,'Plan Figures'!$B$1:$AP$1,0))</f>
        <v>1008629.6841870487</v>
      </c>
      <c r="Z82" s="385">
        <f ca="1">INDEX('Plan Figures'!$B$94:$AP$131,MATCH('Current - Sales, NWP, GWP'!Z$4,'Plan Figures'!$B$94:$B$131,0),MATCH('Current - Sales, NWP, GWP'!$B82,'Plan Figures'!$B$1:$AP$1,0))</f>
        <v>770535.64091670548</v>
      </c>
      <c r="AA82" s="385">
        <f ca="1">INDEX('Plan Figures'!$B$94:$AP$131,MATCH('Current - Sales, NWP, GWP'!AA$4,'Plan Figures'!$B$94:$B$131,0),MATCH('Current - Sales, NWP, GWP'!$B82,'Plan Figures'!$B$1:$AP$1,0))</f>
        <v>485395.72460503865</v>
      </c>
      <c r="AB82" s="389">
        <f ca="1">INDEX('Plan Figures'!$B$94:$AP$131,MATCH('Current - Sales, NWP, GWP'!AB$4,'Plan Figures'!$B$94:$B$131,0),MATCH('Current - Sales, NWP, GWP'!$B82,'Plan Figures'!$B$1:$AP$1,0))</f>
        <v>234084.38876161337</v>
      </c>
      <c r="AC82" s="385">
        <f ca="1">INDEX('Plan Figures'!$B$94:$AP$131,MATCH('Current - Sales, NWP, GWP'!AC$4,'Plan Figures'!$B$94:$B$131,0),MATCH('Current - Sales, NWP, GWP'!$B82,'Plan Figures'!$B$1:$AP$1,0))</f>
        <v>32406.82355004202</v>
      </c>
      <c r="AD82" s="385">
        <f ca="1">INDEX('Plan Figures'!$B$94:$AP$131,MATCH('Current - Sales, NWP, GWP'!AD$4,'Plan Figures'!$B$94:$B$131,0),MATCH('Current - Sales, NWP, GWP'!$B82,'Plan Figures'!$B$1:$AP$1,0))</f>
        <v>0</v>
      </c>
      <c r="AE82" s="385">
        <f ca="1">INDEX('Plan Figures'!$B$94:$AP$131,MATCH('Current - Sales, NWP, GWP'!AE$4,'Plan Figures'!$B$94:$B$131,0),MATCH('Current - Sales, NWP, GWP'!$B82,'Plan Figures'!$B$1:$AP$1,0))</f>
        <v>0</v>
      </c>
      <c r="AF82" s="385">
        <f ca="1">INDEX('Plan Figures'!$B$94:$AP$131,MATCH('Current - Sales, NWP, GWP'!AF$4,'Plan Figures'!$B$94:$B$131,0),MATCH('Current - Sales, NWP, GWP'!$B82,'Plan Figures'!$B$1:$AP$1,0))</f>
        <v>0</v>
      </c>
      <c r="AG82" s="385">
        <f ca="1">INDEX('Plan Figures'!$B$94:$AP$131,MATCH('Current - Sales, NWP, GWP'!AG$4,'Plan Figures'!$B$94:$B$131,0),MATCH('Current - Sales, NWP, GWP'!$B82,'Plan Figures'!$B$1:$AP$1,0))</f>
        <v>0</v>
      </c>
      <c r="AH82" s="385">
        <f ca="1">INDEX('Plan Figures'!$B$94:$AP$131,MATCH('Current - Sales, NWP, GWP'!AH$4,'Plan Figures'!$B$94:$B$131,0),MATCH('Current - Sales, NWP, GWP'!$B82,'Plan Figures'!$B$1:$AP$1,0))</f>
        <v>0</v>
      </c>
      <c r="AI82" s="385">
        <f ca="1">INDEX('Plan Figures'!$B$94:$AP$131,MATCH('Current - Sales, NWP, GWP'!AI$4,'Plan Figures'!$B$94:$B$131,0),MATCH('Current - Sales, NWP, GWP'!$B82,'Plan Figures'!$B$1:$AP$1,0))</f>
        <v>0</v>
      </c>
      <c r="AJ82" s="385">
        <f ca="1">INDEX('Plan Figures'!$B$94:$AP$131,MATCH('Current - Sales, NWP, GWP'!AJ$4,'Plan Figures'!$B$94:$B$131,0),MATCH('Current - Sales, NWP, GWP'!$B82,'Plan Figures'!$B$1:$AP$1,0))</f>
        <v>0</v>
      </c>
      <c r="AK82" s="385">
        <f ca="1">INDEX('Plan Figures'!$B$94:$AP$131,MATCH('Current - Sales, NWP, GWP'!AK$4,'Plan Figures'!$B$94:$B$131,0),MATCH('Current - Sales, NWP, GWP'!$B82,'Plan Figures'!$B$1:$AP$1,0))</f>
        <v>0</v>
      </c>
      <c r="AL82" s="385">
        <f ca="1">INDEX('Plan Figures'!$B$94:$AP$131,MATCH('Current - Sales, NWP, GWP'!AL$4,'Plan Figures'!$B$94:$B$131,0),MATCH('Current - Sales, NWP, GWP'!$B82,'Plan Figures'!$B$1:$AP$1,0))</f>
        <v>0</v>
      </c>
      <c r="AM82" s="385">
        <f ca="1">INDEX('Plan Figures'!$B$94:$AP$131,MATCH('Current - Sales, NWP, GWP'!AM$4,'Plan Figures'!$B$94:$B$131,0),MATCH('Current - Sales, NWP, GWP'!$B82,'Plan Figures'!$B$1:$AP$1,0))</f>
        <v>0</v>
      </c>
      <c r="AN82" s="389">
        <f ca="1">INDEX('Plan Figures'!$B$94:$AP$131,MATCH('Current - Sales, NWP, GWP'!AN$4,'Plan Figures'!$B$94:$B$131,0),MATCH('Current - Sales, NWP, GWP'!$B82,'Plan Figures'!$B$1:$AP$1,0))</f>
        <v>0</v>
      </c>
      <c r="AO82" s="338">
        <f ca="1">IFERROR(AVERAGE(INDEX($E82:$AN82, $AU$4 - 3):INDEX($E82:$AN82, $AU$4)),"-")</f>
        <v>0</v>
      </c>
      <c r="AP82" s="333">
        <f ca="1">IFERROR(AVERAGE(INDEX($E82:$AN82, $AU$4 - 11):INDEX($E82:$AN82, $AU$4)),"-")</f>
        <v>210921.02183503739</v>
      </c>
      <c r="AQ82" s="333" t="str" cm="1">
        <f t="array" aca="1" ref="AQ82" ca="1">IFERROR(SUMPRODUCT((YEAR($E$4:$AN$4)=2024)*$E82:$AN82),"-")</f>
        <v>-</v>
      </c>
      <c r="AR82" s="333" t="s">
        <v>491</v>
      </c>
      <c r="AS82" s="339">
        <f ca="1">IFERROR(SUM(INDEX($E82:$AN82, $AU$4 - MONTH(TODAY())+1):INDEX($E82:$AN82, $AU$4)),"-")</f>
        <v>32406.82355004202</v>
      </c>
    </row>
    <row r="83" spans="2:46" ht="15.75" x14ac:dyDescent="0.25">
      <c r="B83" t="str">
        <f t="shared" si="122"/>
        <v>PC Annual Direct</v>
      </c>
      <c r="C83" t="str">
        <f t="shared" si="119"/>
        <v>Boom Subscription</v>
      </c>
      <c r="D83" s="213" t="s">
        <v>0</v>
      </c>
      <c r="E83" s="214" t="str">
        <f t="shared" ref="E83:AB83" ca="1" si="127">IFERROR(IF(E81=0,"-",(E81/E82)-1),"-")</f>
        <v>-</v>
      </c>
      <c r="F83" s="214" t="str">
        <f t="shared" ca="1" si="127"/>
        <v>-</v>
      </c>
      <c r="G83" s="214" t="str">
        <f t="shared" ca="1" si="127"/>
        <v>-</v>
      </c>
      <c r="H83" s="214" t="str">
        <f t="shared" ca="1" si="127"/>
        <v>-</v>
      </c>
      <c r="I83" s="214" t="str">
        <f t="shared" ca="1" si="127"/>
        <v>-</v>
      </c>
      <c r="J83" s="214" t="str">
        <f t="shared" ca="1" si="127"/>
        <v>-</v>
      </c>
      <c r="K83" s="214" t="str">
        <f t="shared" ca="1" si="127"/>
        <v>-</v>
      </c>
      <c r="L83" s="214" t="str">
        <f t="shared" ca="1" si="127"/>
        <v>-</v>
      </c>
      <c r="M83" s="214" t="str">
        <f t="shared" ca="1" si="127"/>
        <v>-</v>
      </c>
      <c r="N83" s="214" t="str">
        <f t="shared" ca="1" si="127"/>
        <v>-</v>
      </c>
      <c r="O83" s="214">
        <f t="shared" ca="1" si="127"/>
        <v>0.11538615464328417</v>
      </c>
      <c r="P83" s="294">
        <f t="shared" ca="1" si="127"/>
        <v>0.12450154425388504</v>
      </c>
      <c r="Q83" s="214">
        <f t="shared" ca="1" si="127"/>
        <v>-8.0918677625269497E-2</v>
      </c>
      <c r="R83" s="214">
        <f t="shared" ca="1" si="127"/>
        <v>-0.21064988083350411</v>
      </c>
      <c r="S83" s="214">
        <f t="shared" ca="1" si="127"/>
        <v>-0.13977131308918589</v>
      </c>
      <c r="T83" s="214">
        <f t="shared" ca="1" si="127"/>
        <v>-0.20498566860178391</v>
      </c>
      <c r="U83" s="214">
        <f t="shared" ca="1" si="127"/>
        <v>-0.17236688782815512</v>
      </c>
      <c r="V83" s="214">
        <f t="shared" ca="1" si="127"/>
        <v>-0.21492805536637394</v>
      </c>
      <c r="W83" s="214">
        <f t="shared" ca="1" si="127"/>
        <v>-0.22250338099977096</v>
      </c>
      <c r="X83" s="214">
        <f t="shared" ca="1" si="127"/>
        <v>-0.24059767946192046</v>
      </c>
      <c r="Y83" s="214">
        <f t="shared" ca="1" si="127"/>
        <v>-0.29136995350703399</v>
      </c>
      <c r="Z83" s="214">
        <f t="shared" ca="1" si="127"/>
        <v>-0.24976357954848849</v>
      </c>
      <c r="AA83" s="214">
        <f t="shared" ca="1" si="127"/>
        <v>-0.28328448269645501</v>
      </c>
      <c r="AB83" s="294">
        <f t="shared" ca="1" si="127"/>
        <v>-0.16123072582512077</v>
      </c>
      <c r="AC83" s="214">
        <f t="shared" ref="AC83" ca="1" si="128">IFERROR(IF(AC81=0,"-",(AC81/AC82)-1),"-")</f>
        <v>-7.9163012086659434E-2</v>
      </c>
      <c r="AD83" s="214" t="str">
        <f t="shared" ref="AD83:AN83" si="129">IFERROR(IF(AD81=0,"-",(AD81/AD82)-1),"-")</f>
        <v>-</v>
      </c>
      <c r="AE83" s="214" t="str">
        <f t="shared" si="129"/>
        <v>-</v>
      </c>
      <c r="AF83" s="214" t="str">
        <f t="shared" si="129"/>
        <v>-</v>
      </c>
      <c r="AG83" s="214" t="str">
        <f t="shared" si="129"/>
        <v>-</v>
      </c>
      <c r="AH83" s="214" t="str">
        <f t="shared" si="129"/>
        <v>-</v>
      </c>
      <c r="AI83" s="214" t="str">
        <f t="shared" si="129"/>
        <v>-</v>
      </c>
      <c r="AJ83" s="214" t="str">
        <f t="shared" si="129"/>
        <v>-</v>
      </c>
      <c r="AK83" s="214" t="str">
        <f t="shared" si="129"/>
        <v>-</v>
      </c>
      <c r="AL83" s="214" t="str">
        <f t="shared" si="129"/>
        <v>-</v>
      </c>
      <c r="AM83" s="214" t="str">
        <f t="shared" si="129"/>
        <v>-</v>
      </c>
      <c r="AN83" s="215" t="str">
        <f t="shared" si="129"/>
        <v>-</v>
      </c>
      <c r="AO83" s="242" t="str">
        <f ca="1">IFERROR(IF(AO81=0,"-",(AO81/AO82)-1),"-")</f>
        <v>-</v>
      </c>
      <c r="AP83" s="242">
        <f ca="1">IFERROR(IF(AP81=0,"-",(AP81/AP82)-1),"-")</f>
        <v>-0.26240004144317053</v>
      </c>
      <c r="AQ83" s="242"/>
      <c r="AR83" s="242"/>
      <c r="AS83" s="243">
        <f ca="1">IFERROR(IF(AS81=0,"-",(AS81/AS82)-1),"-")</f>
        <v>-7.9163012086659434E-2</v>
      </c>
    </row>
    <row r="84" spans="2:46" ht="15.75" x14ac:dyDescent="0.25">
      <c r="B84" t="str">
        <f t="shared" si="122"/>
        <v>PC Annual Direct</v>
      </c>
      <c r="C84" t="str">
        <f t="shared" si="119"/>
        <v>Boom Subscription</v>
      </c>
      <c r="D84" s="208" t="s">
        <v>12</v>
      </c>
      <c r="E84" s="283">
        <f t="shared" ref="E84:AB84" si="130">IFERROR(E81/E78,0)</f>
        <v>1289.361284955276</v>
      </c>
      <c r="F84" s="283">
        <f t="shared" si="130"/>
        <v>1438.4077451233379</v>
      </c>
      <c r="G84" s="283">
        <f t="shared" si="130"/>
        <v>1099.4591131373888</v>
      </c>
      <c r="H84" s="283">
        <f t="shared" si="130"/>
        <v>1139.3702821066786</v>
      </c>
      <c r="I84" s="283">
        <f t="shared" si="130"/>
        <v>1093.5395510000556</v>
      </c>
      <c r="J84" s="283">
        <f t="shared" si="130"/>
        <v>1084.3432999065137</v>
      </c>
      <c r="K84" s="283">
        <f t="shared" si="130"/>
        <v>1100.1656563025626</v>
      </c>
      <c r="L84" s="283">
        <f t="shared" si="130"/>
        <v>1162.9515267915554</v>
      </c>
      <c r="M84" s="283">
        <f t="shared" si="130"/>
        <v>1255.0205309034025</v>
      </c>
      <c r="N84" s="283">
        <f t="shared" si="130"/>
        <v>1309.1781270192407</v>
      </c>
      <c r="O84" s="283">
        <f t="shared" si="130"/>
        <v>1434.5715930639899</v>
      </c>
      <c r="P84" s="314">
        <f t="shared" si="130"/>
        <v>1359.0747239313944</v>
      </c>
      <c r="Q84" s="283">
        <f t="shared" si="130"/>
        <v>1167.9625552231946</v>
      </c>
      <c r="R84" s="283">
        <f t="shared" si="130"/>
        <v>1260.1803397666636</v>
      </c>
      <c r="S84" s="283">
        <f t="shared" si="130"/>
        <v>1213.9779624097966</v>
      </c>
      <c r="T84" s="283">
        <f t="shared" si="130"/>
        <v>1268.3714631183075</v>
      </c>
      <c r="U84" s="283">
        <f t="shared" si="130"/>
        <v>1278.1928976732277</v>
      </c>
      <c r="V84" s="283">
        <f t="shared" si="130"/>
        <v>1325.7867323249668</v>
      </c>
      <c r="W84" s="283">
        <f t="shared" si="130"/>
        <v>1279.2821666972359</v>
      </c>
      <c r="X84" s="283">
        <f t="shared" si="130"/>
        <v>1292.3995677325513</v>
      </c>
      <c r="Y84" s="283">
        <f t="shared" si="130"/>
        <v>1281.6984755228061</v>
      </c>
      <c r="Z84" s="283">
        <f t="shared" si="130"/>
        <v>1242.8836225742157</v>
      </c>
      <c r="AA84" s="283">
        <f t="shared" si="130"/>
        <v>1283.1326125308585</v>
      </c>
      <c r="AB84" s="284">
        <f t="shared" si="130"/>
        <v>1285.4038243421826</v>
      </c>
      <c r="AC84" s="283">
        <f t="shared" ref="AC84" si="131">IFERROR(AC81/AC78,0)</f>
        <v>1144.3697894177801</v>
      </c>
      <c r="AD84" s="283">
        <f t="shared" ref="AD84:AN84" si="132">IFERROR(AD81/AD78,0)</f>
        <v>0</v>
      </c>
      <c r="AE84" s="283">
        <f t="shared" si="132"/>
        <v>0</v>
      </c>
      <c r="AF84" s="283">
        <f t="shared" si="132"/>
        <v>0</v>
      </c>
      <c r="AG84" s="283">
        <f t="shared" si="132"/>
        <v>0</v>
      </c>
      <c r="AH84" s="283">
        <f t="shared" si="132"/>
        <v>0</v>
      </c>
      <c r="AI84" s="283">
        <f t="shared" si="132"/>
        <v>0</v>
      </c>
      <c r="AJ84" s="283">
        <f t="shared" si="132"/>
        <v>0</v>
      </c>
      <c r="AK84" s="283">
        <f t="shared" si="132"/>
        <v>0</v>
      </c>
      <c r="AL84" s="283">
        <f t="shared" si="132"/>
        <v>0</v>
      </c>
      <c r="AM84" s="283">
        <f t="shared" si="132"/>
        <v>0</v>
      </c>
      <c r="AN84" s="284">
        <f t="shared" si="132"/>
        <v>0</v>
      </c>
      <c r="AO84" s="335" t="str">
        <f ca="1">IFERROR(AO81/AO78,"-")</f>
        <v>-</v>
      </c>
      <c r="AP84" s="332">
        <f t="shared" ref="AP84:AS84" ca="1" si="133">IFERROR(AP81/AP78,"-")</f>
        <v>1267.6566823482883</v>
      </c>
      <c r="AQ84" s="332">
        <f t="shared" si="133"/>
        <v>1252.8475345551428</v>
      </c>
      <c r="AR84" s="332">
        <f t="shared" ca="1" si="133"/>
        <v>1250.0468256957181</v>
      </c>
      <c r="AS84" s="336">
        <f t="shared" ca="1" si="133"/>
        <v>1144.3697894177801</v>
      </c>
    </row>
    <row r="85" spans="2:46" ht="15.75" hidden="1" x14ac:dyDescent="0.25">
      <c r="B85" t="str">
        <f t="shared" si="122"/>
        <v>PC Annual Direct</v>
      </c>
      <c r="C85" t="str">
        <f t="shared" si="119"/>
        <v>Boom Subscription</v>
      </c>
      <c r="D85" s="211" t="s">
        <v>13</v>
      </c>
      <c r="E85" s="31">
        <f t="shared" ref="E85:AB85" ca="1" si="134">IFERROR(E82/E79,0)</f>
        <v>0</v>
      </c>
      <c r="F85" s="31">
        <f t="shared" ca="1" si="134"/>
        <v>0</v>
      </c>
      <c r="G85" s="31">
        <f t="shared" ca="1" si="134"/>
        <v>0</v>
      </c>
      <c r="H85" s="31">
        <f t="shared" ca="1" si="134"/>
        <v>0</v>
      </c>
      <c r="I85" s="31">
        <f t="shared" ca="1" si="134"/>
        <v>0</v>
      </c>
      <c r="J85" s="31">
        <f t="shared" ca="1" si="134"/>
        <v>0</v>
      </c>
      <c r="K85" s="31">
        <f t="shared" ca="1" si="134"/>
        <v>0</v>
      </c>
      <c r="L85" s="31">
        <f t="shared" ca="1" si="134"/>
        <v>0</v>
      </c>
      <c r="M85" s="31">
        <f t="shared" ca="1" si="134"/>
        <v>0</v>
      </c>
      <c r="N85" s="31">
        <f t="shared" ca="1" si="134"/>
        <v>0</v>
      </c>
      <c r="O85" s="31">
        <f t="shared" ca="1" si="134"/>
        <v>2940.6120463449633</v>
      </c>
      <c r="P85" s="240">
        <f t="shared" ca="1" si="134"/>
        <v>2508.8727069841393</v>
      </c>
      <c r="Q85" s="31">
        <f t="shared" ca="1" si="134"/>
        <v>2431.6579366113488</v>
      </c>
      <c r="R85" s="31">
        <f t="shared" ca="1" si="134"/>
        <v>2488.1451058234757</v>
      </c>
      <c r="S85" s="31">
        <f t="shared" ca="1" si="134"/>
        <v>2347.2408565685837</v>
      </c>
      <c r="T85" s="31">
        <f t="shared" ca="1" si="134"/>
        <v>2122.7543034395003</v>
      </c>
      <c r="U85" s="31">
        <f t="shared" ca="1" si="134"/>
        <v>1928.923722318608</v>
      </c>
      <c r="V85" s="31">
        <f t="shared" ca="1" si="134"/>
        <v>1792.1092036209764</v>
      </c>
      <c r="W85" s="31">
        <f t="shared" ca="1" si="134"/>
        <v>1414.0515952231242</v>
      </c>
      <c r="X85" s="31">
        <f t="shared" ca="1" si="134"/>
        <v>1393.8475889887359</v>
      </c>
      <c r="Y85" s="31">
        <f t="shared" ca="1" si="134"/>
        <v>1364.7480464247928</v>
      </c>
      <c r="Z85" s="31">
        <f t="shared" ca="1" si="134"/>
        <v>1342.2451760515135</v>
      </c>
      <c r="AA85" s="31">
        <f t="shared" ca="1" si="134"/>
        <v>1331.2726110459498</v>
      </c>
      <c r="AB85" s="266">
        <f t="shared" ca="1" si="134"/>
        <v>1291.9119056757322</v>
      </c>
      <c r="AC85" s="31">
        <f t="shared" ref="AC85" ca="1" si="135">IFERROR(AC82/AC79,0)</f>
        <v>1129.6193682605126</v>
      </c>
      <c r="AD85" s="31">
        <f t="shared" ref="AD85:AP85" ca="1" si="136">IFERROR(AD82/AD79,0)</f>
        <v>0</v>
      </c>
      <c r="AE85" s="31">
        <f t="shared" ca="1" si="136"/>
        <v>0</v>
      </c>
      <c r="AF85" s="31">
        <f t="shared" ca="1" si="136"/>
        <v>0</v>
      </c>
      <c r="AG85" s="31">
        <f t="shared" ca="1" si="136"/>
        <v>0</v>
      </c>
      <c r="AH85" s="31">
        <f t="shared" ca="1" si="136"/>
        <v>0</v>
      </c>
      <c r="AI85" s="31">
        <f t="shared" ca="1" si="136"/>
        <v>0</v>
      </c>
      <c r="AJ85" s="31">
        <f t="shared" ca="1" si="136"/>
        <v>0</v>
      </c>
      <c r="AK85" s="31">
        <f t="shared" ca="1" si="136"/>
        <v>0</v>
      </c>
      <c r="AL85" s="31">
        <f t="shared" ca="1" si="136"/>
        <v>0</v>
      </c>
      <c r="AM85" s="31">
        <f t="shared" ca="1" si="136"/>
        <v>0</v>
      </c>
      <c r="AN85" s="266">
        <f t="shared" ca="1" si="136"/>
        <v>0</v>
      </c>
      <c r="AO85" s="239">
        <f t="shared" ca="1" si="136"/>
        <v>0</v>
      </c>
      <c r="AP85" s="31">
        <f t="shared" ca="1" si="136"/>
        <v>323.34338290651397</v>
      </c>
      <c r="AQ85" s="31">
        <f ca="1">SUMIFS(AC85:AN85,AC$4:AN$4,"&lt;"&amp;'Title Sheet'!$C$13)</f>
        <v>1129.6193682605126</v>
      </c>
      <c r="AR85" s="31"/>
      <c r="AS85" s="240"/>
    </row>
    <row r="86" spans="2:46" ht="15.75" hidden="1" x14ac:dyDescent="0.25">
      <c r="B86" t="str">
        <f t="shared" si="122"/>
        <v>PC Annual Direct</v>
      </c>
      <c r="C86" t="str">
        <f t="shared" si="119"/>
        <v>Boom Subscription</v>
      </c>
      <c r="D86" s="213" t="s">
        <v>0</v>
      </c>
      <c r="E86" s="214" t="str">
        <f t="shared" ref="E86:AB86" ca="1" si="137">IFERROR(IF(E84=0,"-",(E84/E85)-1),"-")</f>
        <v>-</v>
      </c>
      <c r="F86" s="214" t="str">
        <f t="shared" ca="1" si="137"/>
        <v>-</v>
      </c>
      <c r="G86" s="214" t="str">
        <f t="shared" ca="1" si="137"/>
        <v>-</v>
      </c>
      <c r="H86" s="214" t="str">
        <f t="shared" ca="1" si="137"/>
        <v>-</v>
      </c>
      <c r="I86" s="214" t="str">
        <f t="shared" ca="1" si="137"/>
        <v>-</v>
      </c>
      <c r="J86" s="214" t="str">
        <f t="shared" ca="1" si="137"/>
        <v>-</v>
      </c>
      <c r="K86" s="214" t="str">
        <f t="shared" ca="1" si="137"/>
        <v>-</v>
      </c>
      <c r="L86" s="214" t="str">
        <f t="shared" ca="1" si="137"/>
        <v>-</v>
      </c>
      <c r="M86" s="214" t="str">
        <f t="shared" ca="1" si="137"/>
        <v>-</v>
      </c>
      <c r="N86" s="214" t="str">
        <f t="shared" ca="1" si="137"/>
        <v>-</v>
      </c>
      <c r="O86" s="214">
        <f t="shared" ca="1" si="137"/>
        <v>-0.51215203826458777</v>
      </c>
      <c r="P86" s="294">
        <f t="shared" ca="1" si="137"/>
        <v>-0.45829267457530432</v>
      </c>
      <c r="Q86" s="214">
        <f t="shared" ca="1" si="137"/>
        <v>-0.5196846819455142</v>
      </c>
      <c r="R86" s="214">
        <f t="shared" ca="1" si="137"/>
        <v>-0.49352618670943849</v>
      </c>
      <c r="S86" s="214">
        <f t="shared" ca="1" si="137"/>
        <v>-0.48280639414887183</v>
      </c>
      <c r="T86" s="214">
        <f t="shared" ca="1" si="137"/>
        <v>-0.40248786161301653</v>
      </c>
      <c r="U86" s="214">
        <f t="shared" ca="1" si="137"/>
        <v>-0.33735435834818173</v>
      </c>
      <c r="V86" s="214">
        <f t="shared" ca="1" si="137"/>
        <v>-0.26020873636148956</v>
      </c>
      <c r="W86" s="214">
        <f t="shared" ca="1" si="137"/>
        <v>-9.5307292167527313E-2</v>
      </c>
      <c r="X86" s="214">
        <f t="shared" ca="1" si="137"/>
        <v>-7.2782721767870706E-2</v>
      </c>
      <c r="Y86" s="214">
        <f t="shared" ca="1" si="137"/>
        <v>-6.0853408890784055E-2</v>
      </c>
      <c r="Z86" s="214">
        <f t="shared" ca="1" si="137"/>
        <v>-7.4026381506238637E-2</v>
      </c>
      <c r="AA86" s="214">
        <f t="shared" ca="1" si="137"/>
        <v>-3.6160887045718515E-2</v>
      </c>
      <c r="AB86" s="270">
        <f t="shared" ca="1" si="137"/>
        <v>-5.0375581376390643E-3</v>
      </c>
      <c r="AC86" s="214">
        <f t="shared" ref="AC86" ca="1" si="138">IFERROR(IF(AC84=0,"-",(AC84/AC85)-1),"-")</f>
        <v>1.3057868492447611E-2</v>
      </c>
      <c r="AD86" s="214" t="str">
        <f t="shared" ref="AD86:AN86" si="139">IFERROR(IF(AD84=0,"-",(AD84/AD85)-1),"-")</f>
        <v>-</v>
      </c>
      <c r="AE86" s="214" t="str">
        <f t="shared" si="139"/>
        <v>-</v>
      </c>
      <c r="AF86" s="214" t="str">
        <f t="shared" si="139"/>
        <v>-</v>
      </c>
      <c r="AG86" s="214" t="str">
        <f t="shared" si="139"/>
        <v>-</v>
      </c>
      <c r="AH86" s="214" t="str">
        <f t="shared" si="139"/>
        <v>-</v>
      </c>
      <c r="AI86" s="214" t="str">
        <f t="shared" si="139"/>
        <v>-</v>
      </c>
      <c r="AJ86" s="214" t="str">
        <f t="shared" si="139"/>
        <v>-</v>
      </c>
      <c r="AK86" s="214" t="str">
        <f t="shared" si="139"/>
        <v>-</v>
      </c>
      <c r="AL86" s="214" t="str">
        <f t="shared" si="139"/>
        <v>-</v>
      </c>
      <c r="AM86" s="214" t="str">
        <f t="shared" si="139"/>
        <v>-</v>
      </c>
      <c r="AN86" s="270" t="str">
        <f t="shared" si="139"/>
        <v>-</v>
      </c>
      <c r="AO86" s="274" t="e">
        <f t="shared" ref="AO86:AP86" ca="1" si="140">AO84-AO85</f>
        <v>#VALUE!</v>
      </c>
      <c r="AP86" s="275">
        <f t="shared" ca="1" si="140"/>
        <v>944.31329944177435</v>
      </c>
      <c r="AQ86" s="275">
        <f t="shared" ref="AQ86" ca="1" si="141">IFERROR(IF(AQ84=0,"-",(AQ84/AQ85)-1),"-")</f>
        <v>0.10908822011824015</v>
      </c>
      <c r="AR86" s="275"/>
      <c r="AS86" s="276"/>
    </row>
    <row r="87" spans="2:46" x14ac:dyDescent="0.25">
      <c r="B87" t="str">
        <f t="shared" si="122"/>
        <v>PC Annual Direct</v>
      </c>
      <c r="C87" t="str">
        <f t="shared" si="119"/>
        <v>Boom Subscription</v>
      </c>
      <c r="D87" s="258" t="s">
        <v>17</v>
      </c>
      <c r="E87" s="259"/>
      <c r="F87" s="259"/>
      <c r="G87" s="259"/>
      <c r="H87" s="259"/>
      <c r="I87" s="259"/>
      <c r="J87" s="259"/>
      <c r="K87" s="259"/>
      <c r="L87" s="259"/>
      <c r="M87" s="259"/>
      <c r="N87" s="259"/>
      <c r="O87" s="259"/>
      <c r="P87" s="313"/>
      <c r="Q87" s="259"/>
      <c r="R87" s="259"/>
      <c r="S87" s="259"/>
      <c r="T87" s="259"/>
      <c r="U87" s="259"/>
      <c r="V87" s="259"/>
      <c r="W87" s="259"/>
      <c r="X87" s="259"/>
      <c r="Y87" s="259"/>
      <c r="Z87" s="259"/>
      <c r="AA87" s="259"/>
      <c r="AB87" s="267"/>
      <c r="AC87" s="259"/>
      <c r="AD87" s="259"/>
      <c r="AE87" s="259"/>
      <c r="AF87" s="259"/>
      <c r="AG87" s="259"/>
      <c r="AH87" s="259"/>
      <c r="AI87" s="259"/>
      <c r="AJ87" s="259"/>
      <c r="AK87" s="259"/>
      <c r="AL87" s="259"/>
      <c r="AM87" s="259"/>
      <c r="AN87" s="267"/>
      <c r="AO87" s="376"/>
      <c r="AP87" s="277"/>
      <c r="AQ87" s="277"/>
      <c r="AR87" s="277"/>
      <c r="AS87" s="278"/>
    </row>
    <row r="88" spans="2:46" ht="15.75" x14ac:dyDescent="0.25">
      <c r="B88" t="str">
        <f t="shared" si="122"/>
        <v>PC Annual Direct</v>
      </c>
      <c r="C88" t="str">
        <f t="shared" si="119"/>
        <v>Boom Subscription</v>
      </c>
      <c r="D88" s="208" t="s">
        <v>7</v>
      </c>
      <c r="E88" s="282">
        <v>1186519.8660717688</v>
      </c>
      <c r="F88" s="283">
        <v>1157236.6160712091</v>
      </c>
      <c r="G88" s="283">
        <v>1396789.464285569</v>
      </c>
      <c r="H88" s="283">
        <v>1365173.5178568573</v>
      </c>
      <c r="I88" s="283">
        <v>1566038.9285736412</v>
      </c>
      <c r="J88" s="283">
        <v>1566907.3392851199</v>
      </c>
      <c r="K88" s="283">
        <v>1765429.598214569</v>
      </c>
      <c r="L88" s="283">
        <v>1910330.1964290359</v>
      </c>
      <c r="M88" s="283">
        <v>1938425.6160724042</v>
      </c>
      <c r="N88" s="283">
        <v>2205989.9285718729</v>
      </c>
      <c r="O88" s="283">
        <v>2374496.2589290282</v>
      </c>
      <c r="P88" s="314">
        <v>2522405.651784393</v>
      </c>
      <c r="Q88" s="283">
        <v>2479069.3125012428</v>
      </c>
      <c r="R88" s="283">
        <v>1942443.1160720733</v>
      </c>
      <c r="S88" s="283">
        <v>1920223.2857131353</v>
      </c>
      <c r="T88" s="283">
        <v>1614257.3035714719</v>
      </c>
      <c r="U88" s="283">
        <v>1513613.1517860643</v>
      </c>
      <c r="V88" s="283">
        <v>1300846.1964293618</v>
      </c>
      <c r="W88" s="283">
        <v>1193804.8392867255</v>
      </c>
      <c r="X88" s="283">
        <v>1018597.7053572248</v>
      </c>
      <c r="Y88" s="283">
        <v>815721.7499990958</v>
      </c>
      <c r="Z88" s="283">
        <v>648881.99107159546</v>
      </c>
      <c r="AA88" s="283">
        <v>389810.76785698062</v>
      </c>
      <c r="AB88" s="284">
        <v>206166.89285729072</v>
      </c>
      <c r="AC88" s="282">
        <v>30917.151785668793</v>
      </c>
      <c r="AD88" s="283">
        <v>0</v>
      </c>
      <c r="AE88" s="283">
        <v>0</v>
      </c>
      <c r="AF88" s="283">
        <v>0</v>
      </c>
      <c r="AG88" s="283">
        <v>0</v>
      </c>
      <c r="AH88" s="283">
        <v>0</v>
      </c>
      <c r="AI88" s="283">
        <v>0</v>
      </c>
      <c r="AJ88" s="283">
        <v>0</v>
      </c>
      <c r="AK88" s="283">
        <v>0</v>
      </c>
      <c r="AL88" s="283">
        <v>0</v>
      </c>
      <c r="AM88" s="283">
        <v>0</v>
      </c>
      <c r="AN88" s="284">
        <v>0</v>
      </c>
      <c r="AO88" s="335">
        <f ca="1">IFERROR(AVERAGE(INDEX($E88:$AN88, $AU$4 - 3):INDEX($E88:$AN88, $AU$4)),"-")</f>
        <v>0</v>
      </c>
      <c r="AP88" s="332">
        <f ca="1">IFERROR(AVERAGE(INDEX($E88:$AN88, $AU$4 - 11):INDEX($E88:$AN88, $AU$4)),"-")</f>
        <v>174291.54613088595</v>
      </c>
      <c r="AQ88" s="332" cm="1">
        <f t="array" ref="AQ88">IFERROR(SUMPRODUCT((YEAR($E$4:$AN$4)=2024)*$E88:$AN88),"-")</f>
        <v>15043436.312502263</v>
      </c>
      <c r="AR88" s="332">
        <f ca="1">IFERROR(SUM(INDEX($E88:$AN88, $AU$4 - MONTH(TODAY())-11):INDEX($E88:$AN88, $AU$4-12)),"-")</f>
        <v>12982854.910717301</v>
      </c>
      <c r="AS88" s="336">
        <f ca="1">IFERROR(SUM(INDEX($E88:$AN88, $AU$4 - MONTH(TODAY())+1):INDEX($E88:$AN88, $AU$4)),"-")</f>
        <v>30917.151785668793</v>
      </c>
    </row>
    <row r="89" spans="2:46" ht="16.5" thickBot="1" x14ac:dyDescent="0.3">
      <c r="B89" t="str">
        <f t="shared" si="122"/>
        <v>PC Annual Direct</v>
      </c>
      <c r="C89" t="str">
        <f t="shared" si="119"/>
        <v>Boom Subscription</v>
      </c>
      <c r="D89" s="226" t="s">
        <v>493</v>
      </c>
      <c r="E89" s="269">
        <f>IFERROR(E81/E$8,"-")</f>
        <v>0.49630216745126626</v>
      </c>
      <c r="F89" s="269">
        <f t="shared" ref="F89:AN89" si="142">IFERROR(F81/F$8,"-")</f>
        <v>0.5015916494266015</v>
      </c>
      <c r="G89" s="269">
        <f t="shared" si="142"/>
        <v>0.50596939106431882</v>
      </c>
      <c r="H89" s="269">
        <f t="shared" si="142"/>
        <v>0.56568155193694636</v>
      </c>
      <c r="I89" s="269">
        <f t="shared" si="142"/>
        <v>0.56173004860585496</v>
      </c>
      <c r="J89" s="269">
        <f t="shared" si="142"/>
        <v>0.58225725654578953</v>
      </c>
      <c r="K89" s="269">
        <f t="shared" si="142"/>
        <v>0.62376922794025857</v>
      </c>
      <c r="L89" s="269">
        <f t="shared" si="142"/>
        <v>0.60074090638191047</v>
      </c>
      <c r="M89" s="269">
        <f t="shared" si="142"/>
        <v>0.59503959217884439</v>
      </c>
      <c r="N89" s="269">
        <f t="shared" si="142"/>
        <v>0.58324829263922451</v>
      </c>
      <c r="O89" s="269">
        <f t="shared" si="142"/>
        <v>0.52292830062093398</v>
      </c>
      <c r="P89" s="280">
        <f t="shared" si="142"/>
        <v>0.56786667609179742</v>
      </c>
      <c r="Q89" s="269">
        <f t="shared" si="142"/>
        <v>0.47434550825859306</v>
      </c>
      <c r="R89" s="269">
        <f t="shared" si="142"/>
        <v>0.31537052288096606</v>
      </c>
      <c r="S89" s="269">
        <f t="shared" si="142"/>
        <v>0.22187178325762755</v>
      </c>
      <c r="T89" s="269">
        <f t="shared" si="142"/>
        <v>0.2093055672517104</v>
      </c>
      <c r="U89" s="269">
        <f t="shared" si="142"/>
        <v>0.20823299996298436</v>
      </c>
      <c r="V89" s="269">
        <f t="shared" si="142"/>
        <v>0.2116473213758818</v>
      </c>
      <c r="W89" s="269">
        <f t="shared" si="142"/>
        <v>0.22965386265660959</v>
      </c>
      <c r="X89" s="269">
        <f t="shared" si="142"/>
        <v>0.22564161767413082</v>
      </c>
      <c r="Y89" s="269">
        <f t="shared" si="142"/>
        <v>0.19608277233187266</v>
      </c>
      <c r="Z89" s="269">
        <f t="shared" si="142"/>
        <v>0.16670995460332136</v>
      </c>
      <c r="AA89" s="269">
        <f t="shared" si="142"/>
        <v>9.5499638214537233E-2</v>
      </c>
      <c r="AB89" s="281">
        <f t="shared" si="142"/>
        <v>5.4058974730163238E-2</v>
      </c>
      <c r="AC89" s="269">
        <f t="shared" si="142"/>
        <v>8.2577571237644684E-3</v>
      </c>
      <c r="AD89" s="269">
        <f t="shared" si="142"/>
        <v>0</v>
      </c>
      <c r="AE89" s="269">
        <f t="shared" si="142"/>
        <v>0</v>
      </c>
      <c r="AF89" s="269">
        <f t="shared" si="142"/>
        <v>0</v>
      </c>
      <c r="AG89" s="269">
        <f t="shared" si="142"/>
        <v>0</v>
      </c>
      <c r="AH89" s="269">
        <f t="shared" si="142"/>
        <v>0</v>
      </c>
      <c r="AI89" s="269">
        <f t="shared" si="142"/>
        <v>0</v>
      </c>
      <c r="AJ89" s="269">
        <f t="shared" si="142"/>
        <v>0</v>
      </c>
      <c r="AK89" s="269" t="str">
        <f t="shared" si="142"/>
        <v>-</v>
      </c>
      <c r="AL89" s="269" t="str">
        <f t="shared" si="142"/>
        <v>-</v>
      </c>
      <c r="AM89" s="269" t="str">
        <f t="shared" si="142"/>
        <v>-</v>
      </c>
      <c r="AN89" s="281" t="str">
        <f t="shared" si="142"/>
        <v>-</v>
      </c>
      <c r="AO89" s="279">
        <f ca="1">IFERROR(AO81/AO$8,"-")</f>
        <v>0</v>
      </c>
      <c r="AP89" s="269">
        <f t="shared" ref="AP89:AS89" ca="1" si="143">IFERROR(AP81/AP$8,"-")</f>
        <v>4.5502629631183213E-2</v>
      </c>
      <c r="AQ89" s="269">
        <f t="shared" si="143"/>
        <v>0.22093453876615468</v>
      </c>
      <c r="AR89" s="269">
        <f t="shared" ca="1" si="143"/>
        <v>0.25163447964537511</v>
      </c>
      <c r="AS89" s="280">
        <f t="shared" ca="1" si="143"/>
        <v>1.1201346893920214E-3</v>
      </c>
    </row>
    <row r="90" spans="2:46" outlineLevel="1" x14ac:dyDescent="0.25"/>
    <row r="91" spans="2:46" hidden="1" outlineLevel="1" x14ac:dyDescent="0.25">
      <c r="E91" s="188"/>
      <c r="F91" s="188"/>
      <c r="G91" s="188"/>
      <c r="H91" s="188"/>
      <c r="I91" s="188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188"/>
      <c r="V91" s="188"/>
      <c r="W91" s="188"/>
      <c r="X91" s="188"/>
      <c r="Y91" s="188"/>
      <c r="Z91" s="188"/>
      <c r="AA91" s="188"/>
      <c r="AB91" s="188"/>
      <c r="AC91" s="188"/>
      <c r="AD91" s="188"/>
      <c r="AE91" s="188"/>
      <c r="AF91" s="188"/>
      <c r="AG91" s="188"/>
      <c r="AH91" s="188"/>
      <c r="AI91" s="188"/>
      <c r="AJ91" s="188"/>
      <c r="AK91" s="188"/>
      <c r="AL91" s="188"/>
      <c r="AM91" s="188"/>
      <c r="AN91" s="188"/>
    </row>
    <row r="92" spans="2:46" ht="18.75" hidden="1" outlineLevel="1" x14ac:dyDescent="0.3">
      <c r="D92" s="68" t="s">
        <v>204</v>
      </c>
      <c r="E92" s="174" t="s">
        <v>300</v>
      </c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"/>
      <c r="S92" s="1"/>
      <c r="T92" s="505" t="s">
        <v>307</v>
      </c>
      <c r="U92" s="505"/>
      <c r="V92" s="505"/>
      <c r="W92" s="505"/>
      <c r="X92" s="505"/>
      <c r="Y92" s="505"/>
      <c r="Z92" s="505"/>
      <c r="AA92" s="505"/>
      <c r="AB92" s="505"/>
      <c r="AC92" s="506"/>
      <c r="AD92" s="193"/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4"/>
      <c r="AP92" s="1"/>
      <c r="AT92" s="118" t="s">
        <v>184</v>
      </c>
    </row>
    <row r="93" spans="2:46" hidden="1" outlineLevel="1" x14ac:dyDescent="0.25">
      <c r="D93" s="19"/>
      <c r="E93" s="503" t="s">
        <v>341</v>
      </c>
      <c r="F93" s="503"/>
      <c r="G93" s="503"/>
      <c r="H93" s="503"/>
      <c r="I93" s="503"/>
      <c r="J93" s="503"/>
      <c r="K93" s="503"/>
      <c r="L93" s="503"/>
      <c r="M93" s="503"/>
      <c r="N93" s="503"/>
      <c r="O93" s="503"/>
      <c r="P93" s="503"/>
      <c r="Q93" s="503"/>
      <c r="R93" s="503"/>
      <c r="S93" s="503"/>
      <c r="T93" s="503"/>
      <c r="U93" s="503"/>
      <c r="V93" s="503"/>
      <c r="W93" s="503"/>
      <c r="X93" s="503"/>
      <c r="Y93" s="503"/>
      <c r="Z93" s="503"/>
      <c r="AA93" s="503"/>
      <c r="AB93" s="503"/>
      <c r="AC93" s="504"/>
      <c r="AD93" s="194"/>
      <c r="AE93" s="194"/>
      <c r="AF93" s="194"/>
      <c r="AG93" s="194"/>
      <c r="AH93" s="194"/>
      <c r="AI93" s="194"/>
      <c r="AJ93" s="194"/>
      <c r="AK93" s="194"/>
      <c r="AL93" s="194"/>
      <c r="AM93" s="194"/>
      <c r="AN93" s="194"/>
      <c r="AO93" s="500" t="s">
        <v>8</v>
      </c>
      <c r="AP93" s="501"/>
      <c r="AQ93" s="502"/>
    </row>
    <row r="94" spans="2:46" hidden="1" outlineLevel="1" x14ac:dyDescent="0.25">
      <c r="D94" s="22" t="s">
        <v>16</v>
      </c>
      <c r="E94" s="23">
        <f>E$4</f>
        <v>44927</v>
      </c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>
        <f t="shared" ref="R94:AC94" si="144">R$4</f>
        <v>45323</v>
      </c>
      <c r="S94" s="23">
        <f t="shared" si="144"/>
        <v>45352</v>
      </c>
      <c r="T94" s="23">
        <f t="shared" si="144"/>
        <v>45383</v>
      </c>
      <c r="U94" s="23">
        <f t="shared" si="144"/>
        <v>45413</v>
      </c>
      <c r="V94" s="23">
        <f t="shared" si="144"/>
        <v>45444</v>
      </c>
      <c r="W94" s="23">
        <f t="shared" si="144"/>
        <v>45474</v>
      </c>
      <c r="X94" s="23">
        <f t="shared" si="144"/>
        <v>45505</v>
      </c>
      <c r="Y94" s="23">
        <f t="shared" si="144"/>
        <v>45536</v>
      </c>
      <c r="Z94" s="23">
        <f t="shared" si="144"/>
        <v>45566</v>
      </c>
      <c r="AA94" s="23">
        <f t="shared" si="144"/>
        <v>45597</v>
      </c>
      <c r="AB94" s="23">
        <f t="shared" si="144"/>
        <v>45627</v>
      </c>
      <c r="AC94" s="24">
        <f t="shared" si="144"/>
        <v>45658</v>
      </c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8" t="s">
        <v>9</v>
      </c>
      <c r="AP94" s="29" t="s">
        <v>10</v>
      </c>
    </row>
    <row r="95" spans="2:46" ht="15.75" hidden="1" outlineLevel="1" x14ac:dyDescent="0.25">
      <c r="B95" t="str">
        <f>$D$2</f>
        <v>PC Annual Direct</v>
      </c>
      <c r="C95" t="s">
        <v>73</v>
      </c>
      <c r="D95" s="5" t="s">
        <v>308</v>
      </c>
      <c r="E95" s="6">
        <v>2339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>
        <v>548</v>
      </c>
      <c r="S95" s="6">
        <v>26</v>
      </c>
      <c r="T95" s="6">
        <v>5</v>
      </c>
      <c r="U95" s="6">
        <v>11</v>
      </c>
      <c r="V95" s="6">
        <v>14</v>
      </c>
      <c r="W95" s="6">
        <v>12</v>
      </c>
      <c r="X95" s="6">
        <v>7</v>
      </c>
      <c r="Y95" s="6">
        <v>8</v>
      </c>
      <c r="Z95" s="6">
        <v>13</v>
      </c>
      <c r="AA95" s="6">
        <v>8</v>
      </c>
      <c r="AB95" s="6">
        <v>2</v>
      </c>
      <c r="AC95" s="7">
        <v>0</v>
      </c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8">
        <f t="shared" ref="AO95:AO100" si="145">AVERAGE(Z95:AC95)</f>
        <v>5.75</v>
      </c>
      <c r="AP95" s="6">
        <f>AVERAGE(R95:AC95)</f>
        <v>54.5</v>
      </c>
      <c r="AR95" t="s">
        <v>314</v>
      </c>
    </row>
    <row r="96" spans="2:46" ht="15.75" hidden="1" outlineLevel="1" x14ac:dyDescent="0.25">
      <c r="B96" t="str">
        <f>$D$92&amp;"_W VYRs"</f>
        <v>PC Annual Direct - Subscription_W VYRs</v>
      </c>
      <c r="C96" t="str">
        <f>$C95</f>
        <v>Boom Subscription</v>
      </c>
      <c r="D96" s="175" t="s">
        <v>4</v>
      </c>
      <c r="E96" s="176" t="str">
        <f ca="1">INDEX('Plan Figures'!$B$94:$AP$120,MATCH('Current - Sales, NWP, GWP'!E$4,'Plan Figures'!$B$94:$B$120,0),MATCH('Current - Sales, NWP, GWP'!$B96,'Plan Figures'!$B$1:$AP$1,0))</f>
        <v>-</v>
      </c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>
        <f ca="1">INDEX('Plan Figures'!$B$94:$AP$120,MATCH('Current - Sales, NWP, GWP'!R$4,'Plan Figures'!$B$94:$B$120,0),MATCH('Current - Sales, NWP, GWP'!$B96,'Plan Figures'!$B$1:$AP$1,0))</f>
        <v>833.27735263273371</v>
      </c>
      <c r="S96" s="176">
        <f ca="1">INDEX('Plan Figures'!$B$94:$AP$120,MATCH('Current - Sales, NWP, GWP'!S$4,'Plan Figures'!$B$94:$B$120,0),MATCH('Current - Sales, NWP, GWP'!$B96,'Plan Figures'!$B$1:$AP$1,0))</f>
        <v>833.27735263273371</v>
      </c>
      <c r="T96" s="176">
        <f ca="1">INDEX('Plan Figures'!$B$94:$AP$120,MATCH('Current - Sales, NWP, GWP'!T$4,'Plan Figures'!$B$94:$B$120,0),MATCH('Current - Sales, NWP, GWP'!$B96,'Plan Figures'!$B$1:$AP$1,0))</f>
        <v>833.27735263273371</v>
      </c>
      <c r="U96" s="176">
        <f ca="1">INDEX('Plan Figures'!$B$94:$AP$120,MATCH('Current - Sales, NWP, GWP'!U$4,'Plan Figures'!$B$94:$B$120,0),MATCH('Current - Sales, NWP, GWP'!$B96,'Plan Figures'!$B$1:$AP$1,0))</f>
        <v>832.96485263273371</v>
      </c>
      <c r="V96" s="176">
        <f ca="1">INDEX('Plan Figures'!$B$94:$AP$120,MATCH('Current - Sales, NWP, GWP'!V$4,'Plan Figures'!$B$94:$B$120,0),MATCH('Current - Sales, NWP, GWP'!$B96,'Plan Figures'!$B$1:$AP$1,0))</f>
        <v>805.37110263273371</v>
      </c>
      <c r="W96" s="176">
        <f ca="1">INDEX('Plan Figures'!$B$94:$AP$120,MATCH('Current - Sales, NWP, GWP'!W$4,'Plan Figures'!$B$94:$B$120,0),MATCH('Current - Sales, NWP, GWP'!$B96,'Plan Figures'!$B$1:$AP$1,0))</f>
        <v>954.34078893945536</v>
      </c>
      <c r="X96" s="176">
        <f ca="1">INDEX('Plan Figures'!$B$94:$AP$120,MATCH('Current - Sales, NWP, GWP'!X$4,'Plan Figures'!$B$94:$B$120,0),MATCH('Current - Sales, NWP, GWP'!$B96,'Plan Figures'!$B$1:$AP$1,0))</f>
        <v>847.62977300462001</v>
      </c>
      <c r="Y96" s="176">
        <f ca="1">INDEX('Plan Figures'!$B$94:$AP$120,MATCH('Current - Sales, NWP, GWP'!Y$4,'Plan Figures'!$B$94:$B$120,0),MATCH('Current - Sales, NWP, GWP'!$B96,'Plan Figures'!$B$1:$AP$1,0))</f>
        <v>739.05926213218527</v>
      </c>
      <c r="Z96" s="176">
        <f ca="1">INDEX('Plan Figures'!$B$94:$AP$120,MATCH('Current - Sales, NWP, GWP'!Z$4,'Plan Figures'!$B$94:$B$120,0),MATCH('Current - Sales, NWP, GWP'!$B96,'Plan Figures'!$B$1:$AP$1,0))</f>
        <v>574.06474961854019</v>
      </c>
      <c r="AA96" s="176">
        <f ca="1">INDEX('Plan Figures'!$B$94:$AP$120,MATCH('Current - Sales, NWP, GWP'!AA$4,'Plan Figures'!$B$94:$B$120,0),MATCH('Current - Sales, NWP, GWP'!$B96,'Plan Figures'!$B$1:$AP$1,0))</f>
        <v>364.6103139038326</v>
      </c>
      <c r="AB96" s="176">
        <f ca="1">INDEX('Plan Figures'!$B$94:$AP$120,MATCH('Current - Sales, NWP, GWP'!AB$4,'Plan Figures'!$B$94:$B$120,0),MATCH('Current - Sales, NWP, GWP'!$B96,'Plan Figures'!$B$1:$AP$1,0))</f>
        <v>181.19222195663252</v>
      </c>
      <c r="AC96" s="177">
        <f ca="1">INDEX('Plan Figures'!$B$94:$AP$120,MATCH('Current - Sales, NWP, GWP'!AC$4,'Plan Figures'!$B$94:$B$120,0),MATCH('Current - Sales, NWP, GWP'!$B96,'Plan Figures'!$B$1:$AP$1,0))</f>
        <v>28.688268332318788</v>
      </c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8">
        <f t="shared" ca="1" si="145"/>
        <v>287.138888452831</v>
      </c>
      <c r="AP96" s="176">
        <f t="shared" ref="AP96:AP100" ca="1" si="146">AVERAGE(R96:AC96)</f>
        <v>652.31278258760449</v>
      </c>
    </row>
    <row r="97" spans="2:44" ht="15.75" hidden="1" outlineLevel="1" x14ac:dyDescent="0.25">
      <c r="B97" t="str">
        <f t="shared" ref="B97:B106" si="147">$D$2</f>
        <v>PC Annual Direct</v>
      </c>
      <c r="C97" t="str">
        <f t="shared" ref="C97:C105" si="148">$C96</f>
        <v>Boom Subscription</v>
      </c>
      <c r="D97" s="179" t="s">
        <v>0</v>
      </c>
      <c r="E97" s="180" t="e">
        <f t="shared" ref="E97:AC97" ca="1" si="149">E95-E96</f>
        <v>#VALUE!</v>
      </c>
      <c r="F97" s="180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>
        <f t="shared" ca="1" si="149"/>
        <v>-285.27735263273371</v>
      </c>
      <c r="S97" s="180">
        <f t="shared" ca="1" si="149"/>
        <v>-807.27735263273371</v>
      </c>
      <c r="T97" s="180">
        <f t="shared" ca="1" si="149"/>
        <v>-828.27735263273371</v>
      </c>
      <c r="U97" s="180">
        <f t="shared" ca="1" si="149"/>
        <v>-821.96485263273371</v>
      </c>
      <c r="V97" s="180">
        <f t="shared" ca="1" si="149"/>
        <v>-791.37110263273371</v>
      </c>
      <c r="W97" s="180">
        <f t="shared" ca="1" si="149"/>
        <v>-942.34078893945536</v>
      </c>
      <c r="X97" s="180">
        <f t="shared" ca="1" si="149"/>
        <v>-840.62977300462001</v>
      </c>
      <c r="Y97" s="180">
        <f t="shared" ca="1" si="149"/>
        <v>-731.05926213218527</v>
      </c>
      <c r="Z97" s="180">
        <f t="shared" ca="1" si="149"/>
        <v>-561.06474961854019</v>
      </c>
      <c r="AA97" s="180">
        <f t="shared" ca="1" si="149"/>
        <v>-356.6103139038326</v>
      </c>
      <c r="AB97" s="180">
        <f t="shared" ca="1" si="149"/>
        <v>-179.19222195663252</v>
      </c>
      <c r="AC97" s="181">
        <f t="shared" ca="1" si="149"/>
        <v>-28.688268332318788</v>
      </c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2">
        <f t="shared" ca="1" si="145"/>
        <v>-281.388888452831</v>
      </c>
      <c r="AP97" s="180">
        <f t="shared" ca="1" si="146"/>
        <v>-597.81278258760449</v>
      </c>
    </row>
    <row r="98" spans="2:44" ht="15.75" hidden="1" outlineLevel="1" x14ac:dyDescent="0.25">
      <c r="B98" t="str">
        <f t="shared" si="147"/>
        <v>PC Annual Direct</v>
      </c>
      <c r="C98" t="str">
        <f t="shared" si="148"/>
        <v>Boom Subscription</v>
      </c>
      <c r="D98" s="9" t="s">
        <v>309</v>
      </c>
      <c r="E98" s="15">
        <v>3953534.2928585261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>
        <v>-499371.03428566817</v>
      </c>
      <c r="S98" s="15">
        <v>-2148791.6399996402</v>
      </c>
      <c r="T98" s="15">
        <v>-1332743.3999999999</v>
      </c>
      <c r="U98" s="15">
        <v>-1626294.6</v>
      </c>
      <c r="V98" s="15">
        <v>-991343.28035714</v>
      </c>
      <c r="W98" s="15">
        <v>-1193156.6399999999</v>
      </c>
      <c r="X98" s="15">
        <v>-963982.92</v>
      </c>
      <c r="Y98" s="15">
        <v>-506199.24</v>
      </c>
      <c r="Z98" s="15">
        <v>-514950.72</v>
      </c>
      <c r="AA98" s="15">
        <v>-151176.6</v>
      </c>
      <c r="AB98" s="15">
        <v>-5492.2082142899999</v>
      </c>
      <c r="AC98" s="16">
        <v>-64.44</v>
      </c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8">
        <f t="shared" si="145"/>
        <v>-167920.99205357247</v>
      </c>
      <c r="AP98" s="6">
        <f t="shared" si="146"/>
        <v>-827797.22690472833</v>
      </c>
    </row>
    <row r="99" spans="2:44" ht="15.75" hidden="1" outlineLevel="1" x14ac:dyDescent="0.25">
      <c r="B99" t="str">
        <f>$D$92&amp;"_NWP"</f>
        <v>PC Annual Direct - Subscription_NWP</v>
      </c>
      <c r="C99" t="str">
        <f t="shared" si="148"/>
        <v>Boom Subscription</v>
      </c>
      <c r="D99" s="175" t="s">
        <v>6</v>
      </c>
      <c r="E99" s="176" t="str">
        <f ca="1">INDEX('Plan Figures'!$B$94:$AP$120,MATCH('Current - Sales, NWP, GWP'!E$4,'Plan Figures'!$B$94:$B$120,0),MATCH('Current - Sales, NWP, GWP'!$B99,'Plan Figures'!$B$1:$AP$1,0))</f>
        <v>-</v>
      </c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>
        <f ca="1">INDEX('Plan Figures'!$B$94:$AP$120,MATCH('Current - Sales, NWP, GWP'!R$4,'Plan Figures'!$B$94:$B$120,0),MATCH('Current - Sales, NWP, GWP'!$B99,'Plan Figures'!$B$1:$AP$1,0))</f>
        <v>2073314.966746679</v>
      </c>
      <c r="S99" s="176">
        <f ca="1">INDEX('Plan Figures'!$B$94:$AP$120,MATCH('Current - Sales, NWP, GWP'!S$4,'Plan Figures'!$B$94:$B$120,0),MATCH('Current - Sales, NWP, GWP'!$B99,'Plan Figures'!$B$1:$AP$1,0))</f>
        <v>1955902.6469528598</v>
      </c>
      <c r="T99" s="176">
        <f ca="1">INDEX('Plan Figures'!$B$94:$AP$120,MATCH('Current - Sales, NWP, GWP'!T$4,'Plan Figures'!$B$94:$B$120,0),MATCH('Current - Sales, NWP, GWP'!$B99,'Plan Figures'!$B$1:$AP$1,0))</f>
        <v>1768843.0862598093</v>
      </c>
      <c r="U99" s="176">
        <f ca="1">INDEX('Plan Figures'!$B$94:$AP$120,MATCH('Current - Sales, NWP, GWP'!U$4,'Plan Figures'!$B$94:$B$120,0),MATCH('Current - Sales, NWP, GWP'!$B99,'Plan Figures'!$B$1:$AP$1,0))</f>
        <v>1606725.6641009036</v>
      </c>
      <c r="V99" s="176">
        <f ca="1">INDEX('Plan Figures'!$B$94:$AP$120,MATCH('Current - Sales, NWP, GWP'!V$4,'Plan Figures'!$B$94:$B$120,0),MATCH('Current - Sales, NWP, GWP'!$B99,'Plan Figures'!$B$1:$AP$1,0))</f>
        <v>1443312.9653584959</v>
      </c>
      <c r="W99" s="176">
        <f ca="1">INDEX('Plan Figures'!$B$94:$AP$120,MATCH('Current - Sales, NWP, GWP'!W$4,'Plan Figures'!$B$94:$B$120,0),MATCH('Current - Sales, NWP, GWP'!$B99,'Plan Figures'!$B$1:$AP$1,0))</f>
        <v>1349487.1149863317</v>
      </c>
      <c r="X99" s="176">
        <f ca="1">INDEX('Plan Figures'!$B$94:$AP$120,MATCH('Current - Sales, NWP, GWP'!X$4,'Plan Figures'!$B$94:$B$120,0),MATCH('Current - Sales, NWP, GWP'!$B99,'Plan Figures'!$B$1:$AP$1,0))</f>
        <v>1181466.7154575591</v>
      </c>
      <c r="Y99" s="176">
        <f ca="1">INDEX('Plan Figures'!$B$94:$AP$120,MATCH('Current - Sales, NWP, GWP'!Y$4,'Plan Figures'!$B$94:$B$120,0),MATCH('Current - Sales, NWP, GWP'!$B99,'Plan Figures'!$B$1:$AP$1,0))</f>
        <v>1008629.6841870487</v>
      </c>
      <c r="Z99" s="176">
        <f ca="1">INDEX('Plan Figures'!$B$94:$AP$120,MATCH('Current - Sales, NWP, GWP'!Z$4,'Plan Figures'!$B$94:$B$120,0),MATCH('Current - Sales, NWP, GWP'!$B99,'Plan Figures'!$B$1:$AP$1,0))</f>
        <v>770535.64091670548</v>
      </c>
      <c r="AA99" s="176">
        <f ca="1">INDEX('Plan Figures'!$B$94:$AP$120,MATCH('Current - Sales, NWP, GWP'!AA$4,'Plan Figures'!$B$94:$B$120,0),MATCH('Current - Sales, NWP, GWP'!$B99,'Plan Figures'!$B$1:$AP$1,0))</f>
        <v>485395.72460503865</v>
      </c>
      <c r="AB99" s="176">
        <f ca="1">INDEX('Plan Figures'!$B$94:$AP$120,MATCH('Current - Sales, NWP, GWP'!AB$4,'Plan Figures'!$B$94:$B$120,0),MATCH('Current - Sales, NWP, GWP'!$B99,'Plan Figures'!$B$1:$AP$1,0))</f>
        <v>234084.38876161337</v>
      </c>
      <c r="AC99" s="177">
        <f ca="1">INDEX('Plan Figures'!$B$94:$AP$120,MATCH('Current - Sales, NWP, GWP'!AC$4,'Plan Figures'!$B$94:$B$120,0),MATCH('Current - Sales, NWP, GWP'!$B99,'Plan Figures'!$B$1:$AP$1,0))</f>
        <v>32406.82355004202</v>
      </c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8">
        <f t="shared" ca="1" si="145"/>
        <v>380605.64445834985</v>
      </c>
      <c r="AP99" s="176">
        <f t="shared" ca="1" si="146"/>
        <v>1159175.4518235906</v>
      </c>
    </row>
    <row r="100" spans="2:44" ht="15.75" hidden="1" outlineLevel="1" x14ac:dyDescent="0.25">
      <c r="B100" t="str">
        <f t="shared" si="147"/>
        <v>PC Annual Direct</v>
      </c>
      <c r="C100" t="str">
        <f t="shared" si="148"/>
        <v>Boom Subscription</v>
      </c>
      <c r="D100" s="179" t="s">
        <v>0</v>
      </c>
      <c r="E100" s="180" t="e">
        <f t="shared" ref="E100:AC100" ca="1" si="150">E98-E99</f>
        <v>#VALUE!</v>
      </c>
      <c r="F100" s="180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>
        <f t="shared" ca="1" si="150"/>
        <v>-2572686.0010323473</v>
      </c>
      <c r="S100" s="180">
        <f t="shared" ca="1" si="150"/>
        <v>-4104694.2869525002</v>
      </c>
      <c r="T100" s="180">
        <f t="shared" ca="1" si="150"/>
        <v>-3101586.4862598092</v>
      </c>
      <c r="U100" s="180">
        <f t="shared" ca="1" si="150"/>
        <v>-3233020.2641009036</v>
      </c>
      <c r="V100" s="180">
        <f t="shared" ca="1" si="150"/>
        <v>-2434656.2457156358</v>
      </c>
      <c r="W100" s="180">
        <f t="shared" ca="1" si="150"/>
        <v>-2542643.7549863318</v>
      </c>
      <c r="X100" s="180">
        <f t="shared" ca="1" si="150"/>
        <v>-2145449.635457559</v>
      </c>
      <c r="Y100" s="180">
        <f t="shared" ca="1" si="150"/>
        <v>-1514828.9241870488</v>
      </c>
      <c r="Z100" s="180">
        <f t="shared" ca="1" si="150"/>
        <v>-1285486.3609167053</v>
      </c>
      <c r="AA100" s="180">
        <f t="shared" ca="1" si="150"/>
        <v>-636572.32460503862</v>
      </c>
      <c r="AB100" s="180">
        <f t="shared" ca="1" si="150"/>
        <v>-239576.59697590338</v>
      </c>
      <c r="AC100" s="181">
        <f t="shared" ca="1" si="150"/>
        <v>-32471.263550042018</v>
      </c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2">
        <f t="shared" ca="1" si="145"/>
        <v>-548526.63651192235</v>
      </c>
      <c r="AP100" s="180">
        <f t="shared" ca="1" si="146"/>
        <v>-1986972.678728319</v>
      </c>
    </row>
    <row r="101" spans="2:44" ht="15.75" hidden="1" outlineLevel="1" x14ac:dyDescent="0.25">
      <c r="B101" t="str">
        <f t="shared" si="147"/>
        <v>PC Annual Direct</v>
      </c>
      <c r="C101" t="str">
        <f t="shared" si="148"/>
        <v>Boom Subscription</v>
      </c>
      <c r="D101" s="9" t="s">
        <v>310</v>
      </c>
      <c r="E101" s="15">
        <f>IFERROR(E98/E95,0)</f>
        <v>1690.2669058822257</v>
      </c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>
        <f t="shared" ref="R101:AP102" si="151">IFERROR(R98/R95,0)</f>
        <v>-911.26101147019733</v>
      </c>
      <c r="S101" s="15">
        <f t="shared" si="151"/>
        <v>-82645.832307678473</v>
      </c>
      <c r="T101" s="15">
        <f t="shared" si="151"/>
        <v>-266548.68</v>
      </c>
      <c r="U101" s="15">
        <f t="shared" si="151"/>
        <v>-147844.96363636365</v>
      </c>
      <c r="V101" s="15">
        <f t="shared" si="151"/>
        <v>-70810.234311224282</v>
      </c>
      <c r="W101" s="15">
        <f t="shared" si="151"/>
        <v>-99429.719999999987</v>
      </c>
      <c r="X101" s="15">
        <f t="shared" si="151"/>
        <v>-137711.84571428571</v>
      </c>
      <c r="Y101" s="15">
        <f t="shared" si="151"/>
        <v>-63274.904999999999</v>
      </c>
      <c r="Z101" s="15">
        <f t="shared" si="151"/>
        <v>-39611.593846153846</v>
      </c>
      <c r="AA101" s="15">
        <f t="shared" si="151"/>
        <v>-18897.075000000001</v>
      </c>
      <c r="AB101" s="15">
        <f t="shared" si="151"/>
        <v>-2746.1041071449999</v>
      </c>
      <c r="AC101" s="16">
        <f t="shared" si="151"/>
        <v>0</v>
      </c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8">
        <f t="shared" si="151"/>
        <v>-29203.650791925647</v>
      </c>
      <c r="AP101" s="6">
        <f t="shared" si="151"/>
        <v>-15188.939943206024</v>
      </c>
    </row>
    <row r="102" spans="2:44" ht="15.75" hidden="1" outlineLevel="1" x14ac:dyDescent="0.25">
      <c r="B102" t="str">
        <f t="shared" si="147"/>
        <v>PC Annual Direct</v>
      </c>
      <c r="C102" t="str">
        <f t="shared" si="148"/>
        <v>Boom Subscription</v>
      </c>
      <c r="D102" s="175" t="s">
        <v>13</v>
      </c>
      <c r="E102" s="176">
        <f ca="1">IFERROR(E99/E96,0)</f>
        <v>0</v>
      </c>
      <c r="F102" s="176"/>
      <c r="G102" s="176"/>
      <c r="H102" s="176"/>
      <c r="I102" s="176"/>
      <c r="J102" s="176"/>
      <c r="K102" s="176"/>
      <c r="L102" s="176"/>
      <c r="M102" s="176"/>
      <c r="N102" s="176"/>
      <c r="O102" s="176"/>
      <c r="P102" s="176"/>
      <c r="Q102" s="176"/>
      <c r="R102" s="176">
        <f t="shared" ca="1" si="151"/>
        <v>2488.1451058234757</v>
      </c>
      <c r="S102" s="176">
        <f t="shared" ca="1" si="151"/>
        <v>2347.2408565685837</v>
      </c>
      <c r="T102" s="176">
        <f t="shared" ca="1" si="151"/>
        <v>2122.7543034395003</v>
      </c>
      <c r="U102" s="176">
        <f t="shared" ca="1" si="151"/>
        <v>1928.923722318608</v>
      </c>
      <c r="V102" s="176">
        <f t="shared" ca="1" si="151"/>
        <v>1792.1092036209764</v>
      </c>
      <c r="W102" s="176">
        <f t="shared" ca="1" si="151"/>
        <v>1414.0515952231242</v>
      </c>
      <c r="X102" s="176">
        <f t="shared" ca="1" si="151"/>
        <v>1393.8475889887359</v>
      </c>
      <c r="Y102" s="176">
        <f t="shared" ca="1" si="151"/>
        <v>1364.7480464247928</v>
      </c>
      <c r="Z102" s="176">
        <f t="shared" ca="1" si="151"/>
        <v>1342.2451760515135</v>
      </c>
      <c r="AA102" s="176">
        <f t="shared" ca="1" si="151"/>
        <v>1331.2726110459498</v>
      </c>
      <c r="AB102" s="176">
        <f t="shared" ca="1" si="151"/>
        <v>1291.9119056757322</v>
      </c>
      <c r="AC102" s="177">
        <f t="shared" ca="1" si="151"/>
        <v>1129.6193682605126</v>
      </c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8">
        <f t="shared" ca="1" si="151"/>
        <v>1325.5106144247434</v>
      </c>
      <c r="AP102" s="176">
        <f t="shared" ca="1" si="151"/>
        <v>1777.0239718825612</v>
      </c>
      <c r="AQ102" s="3"/>
      <c r="AR102" s="3"/>
    </row>
    <row r="103" spans="2:44" ht="15.75" hidden="1" outlineLevel="1" x14ac:dyDescent="0.25">
      <c r="B103" t="str">
        <f t="shared" si="147"/>
        <v>PC Annual Direct</v>
      </c>
      <c r="C103" t="str">
        <f t="shared" si="148"/>
        <v>Boom Subscription</v>
      </c>
      <c r="D103" s="179" t="s">
        <v>0</v>
      </c>
      <c r="E103" s="180">
        <f t="shared" ref="E103:AP103" ca="1" si="152">E101-E102</f>
        <v>1690.2669058822257</v>
      </c>
      <c r="F103" s="180"/>
      <c r="G103" s="180"/>
      <c r="H103" s="180"/>
      <c r="I103" s="180"/>
      <c r="J103" s="180"/>
      <c r="K103" s="180"/>
      <c r="L103" s="180"/>
      <c r="M103" s="180"/>
      <c r="N103" s="180"/>
      <c r="O103" s="180"/>
      <c r="P103" s="180"/>
      <c r="Q103" s="180"/>
      <c r="R103" s="180">
        <f t="shared" ca="1" si="152"/>
        <v>-3399.4061172936731</v>
      </c>
      <c r="S103" s="180">
        <f t="shared" ca="1" si="152"/>
        <v>-84993.073164247064</v>
      </c>
      <c r="T103" s="180">
        <f t="shared" ca="1" si="152"/>
        <v>-268671.43430343951</v>
      </c>
      <c r="U103" s="180">
        <f t="shared" ca="1" si="152"/>
        <v>-149773.88735868226</v>
      </c>
      <c r="V103" s="180">
        <f t="shared" ca="1" si="152"/>
        <v>-72602.343514845255</v>
      </c>
      <c r="W103" s="180">
        <f t="shared" ca="1" si="152"/>
        <v>-100843.77159522311</v>
      </c>
      <c r="X103" s="180">
        <f t="shared" ca="1" si="152"/>
        <v>-139105.69330327446</v>
      </c>
      <c r="Y103" s="180">
        <f t="shared" ca="1" si="152"/>
        <v>-64639.653046424792</v>
      </c>
      <c r="Z103" s="180">
        <f t="shared" ca="1" si="152"/>
        <v>-40953.839022205357</v>
      </c>
      <c r="AA103" s="180">
        <f t="shared" ca="1" si="152"/>
        <v>-20228.347611045952</v>
      </c>
      <c r="AB103" s="180">
        <f t="shared" ca="1" si="152"/>
        <v>-4038.0160128207322</v>
      </c>
      <c r="AC103" s="181">
        <f t="shared" ca="1" si="152"/>
        <v>-1129.6193682605126</v>
      </c>
      <c r="AD103" s="180"/>
      <c r="AE103" s="180"/>
      <c r="AF103" s="180"/>
      <c r="AG103" s="180"/>
      <c r="AH103" s="180"/>
      <c r="AI103" s="180"/>
      <c r="AJ103" s="180"/>
      <c r="AK103" s="180"/>
      <c r="AL103" s="180"/>
      <c r="AM103" s="180"/>
      <c r="AN103" s="180"/>
      <c r="AO103" s="182">
        <f t="shared" ca="1" si="152"/>
        <v>-30529.161406350391</v>
      </c>
      <c r="AP103" s="180">
        <f t="shared" ca="1" si="152"/>
        <v>-16965.963915088585</v>
      </c>
    </row>
    <row r="104" spans="2:44" hidden="1" outlineLevel="1" x14ac:dyDescent="0.25">
      <c r="B104" t="str">
        <f t="shared" si="147"/>
        <v>PC Annual Direct</v>
      </c>
      <c r="C104" t="str">
        <f t="shared" si="148"/>
        <v>Boom Subscription</v>
      </c>
      <c r="D104" s="35" t="s">
        <v>17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7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8"/>
      <c r="AP104" s="39"/>
    </row>
    <row r="105" spans="2:44" ht="15.75" hidden="1" outlineLevel="1" x14ac:dyDescent="0.25">
      <c r="B105" t="str">
        <f t="shared" si="147"/>
        <v>PC Annual Direct</v>
      </c>
      <c r="C105" t="str">
        <f t="shared" si="148"/>
        <v>Boom Subscription</v>
      </c>
      <c r="D105" s="5" t="s">
        <v>311</v>
      </c>
      <c r="E105" s="6">
        <v>2329156.4464303199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>
        <v>590753.14285810187</v>
      </c>
      <c r="S105" s="6">
        <v>1.8000082491198555E-7</v>
      </c>
      <c r="T105" s="6">
        <v>0</v>
      </c>
      <c r="U105" s="6">
        <v>0</v>
      </c>
      <c r="V105" s="6">
        <v>1125.9196429000001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34.151785710000013</v>
      </c>
      <c r="AC105" s="6">
        <v>0</v>
      </c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8">
        <f t="shared" ref="AO105" si="153">AVERAGE(Z105:AC105)</f>
        <v>8.5379464275000032</v>
      </c>
      <c r="AP105" s="6">
        <f>AVERAGE(R105:AC105)</f>
        <v>49326.101190574322</v>
      </c>
    </row>
    <row r="106" spans="2:44" ht="15.75" hidden="1" outlineLevel="1" x14ac:dyDescent="0.25">
      <c r="B106" t="str">
        <f t="shared" si="147"/>
        <v>PC Annual Direct</v>
      </c>
      <c r="C106" t="e">
        <f>#REF!</f>
        <v>#REF!</v>
      </c>
      <c r="D106" s="45" t="s">
        <v>493</v>
      </c>
      <c r="E106" s="41">
        <f>E98/E$8</f>
        <v>1.8334191441987469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>
        <f t="shared" ref="R106:AP106" si="154">R98/R$8</f>
        <v>-9.6229778088358892E-2</v>
      </c>
      <c r="S106" s="41">
        <f t="shared" si="154"/>
        <v>-0.28335783386997349</v>
      </c>
      <c r="T106" s="41">
        <f t="shared" si="154"/>
        <v>-0.19836409016225459</v>
      </c>
      <c r="U106" s="41">
        <f t="shared" si="154"/>
        <v>-0.25466495654340571</v>
      </c>
      <c r="V106" s="41">
        <f t="shared" si="154"/>
        <v>-0.18516839956901743</v>
      </c>
      <c r="W106" s="41">
        <f t="shared" si="154"/>
        <v>-0.26115837973188688</v>
      </c>
      <c r="X106" s="41">
        <f t="shared" si="154"/>
        <v>-0.24243489627463538</v>
      </c>
      <c r="Y106" s="41">
        <f t="shared" si="154"/>
        <v>-0.13887037848522407</v>
      </c>
      <c r="Z106" s="41">
        <f t="shared" si="154"/>
        <v>-0.14850337640436356</v>
      </c>
      <c r="AA106" s="41">
        <f t="shared" si="154"/>
        <v>-4.1499565151946055E-2</v>
      </c>
      <c r="AB106" s="41">
        <f t="shared" si="154"/>
        <v>-1.5121672700508129E-3</v>
      </c>
      <c r="AC106" s="41">
        <f t="shared" si="154"/>
        <v>-1.7831932724792299E-5</v>
      </c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4">
        <f t="shared" ca="1" si="154"/>
        <v>-5.3544378157180925E-2</v>
      </c>
      <c r="AP106" s="41">
        <f t="shared" ca="1" si="154"/>
        <v>-0.24211389388931762</v>
      </c>
    </row>
    <row r="107" spans="2:44" hidden="1" outlineLevel="1" x14ac:dyDescent="0.25"/>
  </sheetData>
  <mergeCells count="18">
    <mergeCell ref="AQ3:AS3"/>
    <mergeCell ref="AO2:AS2"/>
    <mergeCell ref="AO22:AS22"/>
    <mergeCell ref="AQ23:AS23"/>
    <mergeCell ref="AO39:AS39"/>
    <mergeCell ref="AO3:AP3"/>
    <mergeCell ref="AO23:AP23"/>
    <mergeCell ref="T92:AC92"/>
    <mergeCell ref="E93:AC93"/>
    <mergeCell ref="AO93:AQ93"/>
    <mergeCell ref="AO40:AP40"/>
    <mergeCell ref="AO58:AP58"/>
    <mergeCell ref="AO76:AP76"/>
    <mergeCell ref="AQ40:AS40"/>
    <mergeCell ref="AO57:AS57"/>
    <mergeCell ref="AQ58:AS58"/>
    <mergeCell ref="AO75:AS75"/>
    <mergeCell ref="AQ76:AS76"/>
  </mergeCells>
  <conditionalFormatting sqref="E16:AN16 E73:AP74">
    <cfRule type="cellIs" dxfId="322" priority="54" operator="lessThan">
      <formula>0</formula>
    </cfRule>
  </conditionalFormatting>
  <conditionalFormatting sqref="E19:AN19">
    <cfRule type="cellIs" dxfId="321" priority="53" operator="lessThan">
      <formula>0</formula>
    </cfRule>
  </conditionalFormatting>
  <conditionalFormatting sqref="E33:AN33">
    <cfRule type="cellIs" dxfId="320" priority="51" operator="lessThan">
      <formula>0</formula>
    </cfRule>
  </conditionalFormatting>
  <conditionalFormatting sqref="E50:AN50">
    <cfRule type="cellIs" dxfId="319" priority="37" operator="lessThan">
      <formula>0</formula>
    </cfRule>
  </conditionalFormatting>
  <conditionalFormatting sqref="E68:AN68">
    <cfRule type="cellIs" dxfId="318" priority="33" operator="lessThan">
      <formula>0</formula>
    </cfRule>
  </conditionalFormatting>
  <conditionalFormatting sqref="E86:AN86">
    <cfRule type="cellIs" dxfId="317" priority="41" operator="lessThan">
      <formula>0</formula>
    </cfRule>
  </conditionalFormatting>
  <conditionalFormatting sqref="E97:AN98 E100:AN103">
    <cfRule type="cellIs" dxfId="316" priority="99" operator="lessThan">
      <formula>0</formula>
    </cfRule>
  </conditionalFormatting>
  <conditionalFormatting sqref="E105:AN105">
    <cfRule type="cellIs" dxfId="315" priority="92" operator="lessThan">
      <formula>0</formula>
    </cfRule>
  </conditionalFormatting>
  <conditionalFormatting sqref="E37:AP38 E55:AP56">
    <cfRule type="cellIs" dxfId="314" priority="91" operator="lessThan">
      <formula>0</formula>
    </cfRule>
  </conditionalFormatting>
  <conditionalFormatting sqref="E7:AS7">
    <cfRule type="cellIs" dxfId="313" priority="29" operator="lessThan">
      <formula>0</formula>
    </cfRule>
  </conditionalFormatting>
  <conditionalFormatting sqref="E10:AS10">
    <cfRule type="cellIs" dxfId="312" priority="9" operator="greaterThan">
      <formula>0</formula>
    </cfRule>
    <cfRule type="cellIs" dxfId="311" priority="10" operator="lessThan">
      <formula>0</formula>
    </cfRule>
  </conditionalFormatting>
  <conditionalFormatting sqref="E13:AS13">
    <cfRule type="cellIs" dxfId="310" priority="28" operator="lessThan">
      <formula>0</formula>
    </cfRule>
  </conditionalFormatting>
  <conditionalFormatting sqref="E27:AS27">
    <cfRule type="cellIs" dxfId="309" priority="45" operator="lessThan">
      <formula>0</formula>
    </cfRule>
  </conditionalFormatting>
  <conditionalFormatting sqref="E30:AS30">
    <cfRule type="cellIs" dxfId="308" priority="7" operator="greaterThan">
      <formula>0</formula>
    </cfRule>
    <cfRule type="cellIs" dxfId="307" priority="8" operator="lessThan">
      <formula>0</formula>
    </cfRule>
  </conditionalFormatting>
  <conditionalFormatting sqref="E44:AS44">
    <cfRule type="cellIs" dxfId="306" priority="24" operator="lessThan">
      <formula>0</formula>
    </cfRule>
  </conditionalFormatting>
  <conditionalFormatting sqref="E47:AS47">
    <cfRule type="cellIs" dxfId="305" priority="5" operator="greaterThan">
      <formula>0</formula>
    </cfRule>
    <cfRule type="cellIs" dxfId="304" priority="6" operator="lessThan">
      <formula>0</formula>
    </cfRule>
  </conditionalFormatting>
  <conditionalFormatting sqref="E62:AS62">
    <cfRule type="cellIs" dxfId="303" priority="20" operator="lessThan">
      <formula>0</formula>
    </cfRule>
  </conditionalFormatting>
  <conditionalFormatting sqref="E65:AS65">
    <cfRule type="cellIs" dxfId="302" priority="3" operator="greaterThan">
      <formula>0</formula>
    </cfRule>
    <cfRule type="cellIs" dxfId="301" priority="4" operator="lessThan">
      <formula>0</formula>
    </cfRule>
  </conditionalFormatting>
  <conditionalFormatting sqref="E80:AS80">
    <cfRule type="cellIs" dxfId="300" priority="16" operator="lessThan">
      <formula>0</formula>
    </cfRule>
  </conditionalFormatting>
  <conditionalFormatting sqref="E83:AS83">
    <cfRule type="cellIs" dxfId="299" priority="1" operator="greaterThan">
      <formula>0</formula>
    </cfRule>
    <cfRule type="cellIs" dxfId="298" priority="2" operator="lessThan">
      <formula>0</formula>
    </cfRule>
  </conditionalFormatting>
  <conditionalFormatting sqref="AO97:AP97 AO100:AP100 AO103:AP104">
    <cfRule type="cellIs" dxfId="297" priority="98" operator="lessThan">
      <formula>0</formula>
    </cfRule>
  </conditionalFormatting>
  <conditionalFormatting sqref="AO16:AS19">
    <cfRule type="cellIs" dxfId="296" priority="11" operator="lessThan">
      <formula>0</formula>
    </cfRule>
  </conditionalFormatting>
  <conditionalFormatting sqref="AO33:AS34">
    <cfRule type="cellIs" dxfId="295" priority="25" operator="lessThan">
      <formula>0</formula>
    </cfRule>
  </conditionalFormatting>
  <conditionalFormatting sqref="AO50:AS51">
    <cfRule type="cellIs" dxfId="294" priority="21" operator="lessThan">
      <formula>0</formula>
    </cfRule>
  </conditionalFormatting>
  <conditionalFormatting sqref="AO68:AS69">
    <cfRule type="cellIs" dxfId="293" priority="17" operator="lessThan">
      <formula>0</formula>
    </cfRule>
  </conditionalFormatting>
  <conditionalFormatting sqref="AO86:AS87">
    <cfRule type="cellIs" dxfId="292" priority="13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A3421-3FC8-435F-AD25-607C0CD46DC7}">
  <sheetPr>
    <pageSetUpPr autoPageBreaks="0"/>
  </sheetPr>
  <dimension ref="B1:AT104"/>
  <sheetViews>
    <sheetView showGridLines="0" zoomScale="70" zoomScaleNormal="70" workbookViewId="0">
      <pane xSplit="4" topLeftCell="E1" activePane="topRight" state="frozen"/>
      <selection activeCell="E44" sqref="E44"/>
      <selection pane="topRight" activeCell="E44" sqref="E44"/>
    </sheetView>
  </sheetViews>
  <sheetFormatPr defaultRowHeight="15" outlineLevelRow="1" outlineLevelCol="2" x14ac:dyDescent="0.25"/>
  <cols>
    <col min="2" max="2" width="36.5703125" customWidth="1"/>
    <col min="3" max="3" width="24.28515625" customWidth="1"/>
    <col min="4" max="4" width="55.28515625" customWidth="1"/>
    <col min="5" max="16" width="16.7109375" customWidth="1" outlineLevel="2"/>
    <col min="17" max="17" width="16.7109375" customWidth="1" outlineLevel="1"/>
    <col min="18" max="26" width="13.140625" customWidth="1" outlineLevel="1"/>
    <col min="27" max="27" width="13.28515625" customWidth="1" outlineLevel="1"/>
    <col min="28" max="28" width="13.140625" customWidth="1" outlineLevel="1"/>
    <col min="29" max="29" width="13.42578125" bestFit="1" customWidth="1"/>
    <col min="30" max="40" width="13.42578125" customWidth="1"/>
    <col min="41" max="42" width="16" customWidth="1"/>
    <col min="43" max="43" width="14.7109375" customWidth="1"/>
    <col min="46" max="46" width="17.140625" bestFit="1" customWidth="1"/>
  </cols>
  <sheetData>
    <row r="1" spans="2:44" ht="15.75" thickBot="1" x14ac:dyDescent="0.3">
      <c r="D1" s="47" t="s">
        <v>319</v>
      </c>
    </row>
    <row r="2" spans="2:44" ht="18.75" x14ac:dyDescent="0.25">
      <c r="D2" s="257" t="s">
        <v>1</v>
      </c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33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33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63"/>
      <c r="AO2" s="202"/>
      <c r="AP2" s="202"/>
      <c r="AQ2" s="233"/>
    </row>
    <row r="3" spans="2:44" x14ac:dyDescent="0.25">
      <c r="D3" s="204"/>
      <c r="E3" s="303" t="s">
        <v>341</v>
      </c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17"/>
      <c r="Q3" s="320" t="s">
        <v>341</v>
      </c>
      <c r="R3" s="303"/>
      <c r="S3" s="303"/>
      <c r="T3" s="303"/>
      <c r="U3" s="303"/>
      <c r="V3" s="303"/>
      <c r="W3" s="303"/>
      <c r="X3" s="303"/>
      <c r="Y3" s="303"/>
      <c r="Z3" s="303"/>
      <c r="AA3" s="303"/>
      <c r="AB3" s="317"/>
      <c r="AC3" s="303" t="s">
        <v>341</v>
      </c>
      <c r="AD3" s="303"/>
      <c r="AE3" s="303"/>
      <c r="AF3" s="303"/>
      <c r="AG3" s="303"/>
      <c r="AH3" s="303"/>
      <c r="AI3" s="303"/>
      <c r="AJ3" s="303"/>
      <c r="AK3" s="303"/>
      <c r="AL3" s="303"/>
      <c r="AM3" s="303"/>
      <c r="AN3" s="317"/>
      <c r="AO3" s="510" t="s">
        <v>8</v>
      </c>
      <c r="AP3" s="511"/>
      <c r="AQ3" s="512"/>
    </row>
    <row r="4" spans="2:44" x14ac:dyDescent="0.25">
      <c r="D4" s="321" t="s">
        <v>16</v>
      </c>
      <c r="E4" s="318">
        <f t="shared" ref="E4:AM4" si="0">EDATE(F4,-1)</f>
        <v>44562</v>
      </c>
      <c r="F4" s="318">
        <f t="shared" si="0"/>
        <v>44593</v>
      </c>
      <c r="G4" s="318">
        <f t="shared" si="0"/>
        <v>44621</v>
      </c>
      <c r="H4" s="318">
        <f t="shared" si="0"/>
        <v>44652</v>
      </c>
      <c r="I4" s="318">
        <f t="shared" si="0"/>
        <v>44682</v>
      </c>
      <c r="J4" s="318">
        <f t="shared" si="0"/>
        <v>44713</v>
      </c>
      <c r="K4" s="318">
        <f t="shared" si="0"/>
        <v>44743</v>
      </c>
      <c r="L4" s="318">
        <f t="shared" si="0"/>
        <v>44774</v>
      </c>
      <c r="M4" s="318">
        <f t="shared" si="0"/>
        <v>44805</v>
      </c>
      <c r="N4" s="318">
        <f t="shared" si="0"/>
        <v>44835</v>
      </c>
      <c r="O4" s="318">
        <f t="shared" si="0"/>
        <v>44866</v>
      </c>
      <c r="P4" s="319">
        <f t="shared" si="0"/>
        <v>44896</v>
      </c>
      <c r="Q4" s="318">
        <f t="shared" si="0"/>
        <v>44927</v>
      </c>
      <c r="R4" s="318">
        <f t="shared" si="0"/>
        <v>44958</v>
      </c>
      <c r="S4" s="318">
        <f t="shared" si="0"/>
        <v>44986</v>
      </c>
      <c r="T4" s="318">
        <f t="shared" si="0"/>
        <v>45017</v>
      </c>
      <c r="U4" s="318">
        <f t="shared" si="0"/>
        <v>45047</v>
      </c>
      <c r="V4" s="318">
        <f t="shared" si="0"/>
        <v>45078</v>
      </c>
      <c r="W4" s="318">
        <f t="shared" si="0"/>
        <v>45108</v>
      </c>
      <c r="X4" s="318">
        <f t="shared" si="0"/>
        <v>45139</v>
      </c>
      <c r="Y4" s="318">
        <f t="shared" si="0"/>
        <v>45170</v>
      </c>
      <c r="Z4" s="318">
        <f t="shared" si="0"/>
        <v>45200</v>
      </c>
      <c r="AA4" s="318">
        <f t="shared" si="0"/>
        <v>45231</v>
      </c>
      <c r="AB4" s="319">
        <f t="shared" si="0"/>
        <v>45261</v>
      </c>
      <c r="AC4" s="318">
        <f t="shared" si="0"/>
        <v>45292</v>
      </c>
      <c r="AD4" s="318">
        <f t="shared" si="0"/>
        <v>45323</v>
      </c>
      <c r="AE4" s="318">
        <f t="shared" si="0"/>
        <v>45352</v>
      </c>
      <c r="AF4" s="318">
        <f t="shared" si="0"/>
        <v>45383</v>
      </c>
      <c r="AG4" s="318">
        <f t="shared" si="0"/>
        <v>45413</v>
      </c>
      <c r="AH4" s="318">
        <f t="shared" si="0"/>
        <v>45444</v>
      </c>
      <c r="AI4" s="318">
        <f t="shared" si="0"/>
        <v>45474</v>
      </c>
      <c r="AJ4" s="318">
        <f t="shared" si="0"/>
        <v>45505</v>
      </c>
      <c r="AK4" s="318">
        <f t="shared" si="0"/>
        <v>45536</v>
      </c>
      <c r="AL4" s="318">
        <f t="shared" si="0"/>
        <v>45566</v>
      </c>
      <c r="AM4" s="318">
        <f t="shared" si="0"/>
        <v>45597</v>
      </c>
      <c r="AN4" s="316">
        <v>45627</v>
      </c>
      <c r="AO4" s="271" t="s">
        <v>10</v>
      </c>
      <c r="AP4" s="272" t="s">
        <v>348</v>
      </c>
      <c r="AQ4" s="273" t="s">
        <v>346</v>
      </c>
    </row>
    <row r="5" spans="2:44" ht="15.75" x14ac:dyDescent="0.25">
      <c r="B5" t="str">
        <f>$D$2</f>
        <v>PC Annual Direct</v>
      </c>
      <c r="D5" s="208" t="s">
        <v>316</v>
      </c>
      <c r="E5" s="209">
        <v>32.958904109999992</v>
      </c>
      <c r="F5" s="209">
        <v>183.15890411399999</v>
      </c>
      <c r="G5" s="209">
        <v>1639.1780822380022</v>
      </c>
      <c r="H5" s="209">
        <v>1455.495890460001</v>
      </c>
      <c r="I5" s="209">
        <v>1736.6520548730011</v>
      </c>
      <c r="J5" s="209">
        <v>2775.8219179219991</v>
      </c>
      <c r="K5" s="209">
        <v>4091.4082193089994</v>
      </c>
      <c r="L5" s="209">
        <v>3059.1013699454002</v>
      </c>
      <c r="M5" s="209">
        <v>2959.4630137745971</v>
      </c>
      <c r="N5" s="209">
        <v>4092.4931506171965</v>
      </c>
      <c r="O5" s="209">
        <v>3906.9369863469956</v>
      </c>
      <c r="P5" s="238">
        <v>3262.9342463539983</v>
      </c>
      <c r="Q5" s="209">
        <v>2834.9616435823991</v>
      </c>
      <c r="R5" s="209">
        <v>2946.8383556498957</v>
      </c>
      <c r="S5" s="209">
        <v>3775.2622950026089</v>
      </c>
      <c r="T5" s="209">
        <v>2995.1366122641016</v>
      </c>
      <c r="U5" s="209">
        <v>2880.7459015196087</v>
      </c>
      <c r="V5" s="209">
        <v>2383.7486340840082</v>
      </c>
      <c r="W5" s="209">
        <v>2008.112021670996</v>
      </c>
      <c r="X5" s="209">
        <v>2245.2267757455011</v>
      </c>
      <c r="Y5" s="209">
        <v>2169.4972680251039</v>
      </c>
      <c r="Z5" s="209">
        <v>2519.644808569898</v>
      </c>
      <c r="AA5" s="209">
        <v>3230.5928964846084</v>
      </c>
      <c r="AB5" s="238">
        <v>3230.0081965513018</v>
      </c>
      <c r="AC5" s="209">
        <v>3523.3825135083025</v>
      </c>
      <c r="AD5" s="209">
        <v>4237.5081962073973</v>
      </c>
      <c r="AE5" s="209">
        <v>6105.2273968165864</v>
      </c>
      <c r="AF5" s="209">
        <v>5922.6767124173775</v>
      </c>
      <c r="AG5" s="209">
        <v>5863.1452052477716</v>
      </c>
      <c r="AH5" s="209">
        <v>4948.6767124129901</v>
      </c>
      <c r="AI5" s="209">
        <v>4233.336986153784</v>
      </c>
      <c r="AJ5" s="209">
        <v>3675.7972601147862</v>
      </c>
      <c r="AK5" s="209">
        <v>3344.0958904573909</v>
      </c>
      <c r="AL5" s="209">
        <v>3249.9835615825855</v>
      </c>
      <c r="AM5" s="209">
        <v>3333.4000001135914</v>
      </c>
      <c r="AN5" s="265">
        <v>3332.6027397477824</v>
      </c>
      <c r="AO5" s="237">
        <f t="shared" ref="AO5:AO10" si="1">AVERAGE(Z5:AC5)</f>
        <v>3125.9071037785279</v>
      </c>
      <c r="AP5" s="209">
        <f>AVERAGE(R5:AC5)</f>
        <v>2825.6830232563279</v>
      </c>
      <c r="AQ5" s="238">
        <f>SUMIFS(AC5:AN5,AC$4:AN$4,"&lt;"&amp;'Title Sheet'!$C$13)</f>
        <v>51769.833174780353</v>
      </c>
      <c r="AR5" t="s">
        <v>335</v>
      </c>
    </row>
    <row r="6" spans="2:44" ht="15.75" hidden="1" x14ac:dyDescent="0.25">
      <c r="B6" t="str">
        <f>$D$2&amp;"_W VYRs"</f>
        <v>PC Annual Direct_W VYRs</v>
      </c>
      <c r="D6" s="211" t="s">
        <v>317</v>
      </c>
      <c r="E6" s="31" t="e">
        <f>INDEX('Plan Figures'!$B$94:$AP$120,MATCH('Current - MGA and MPM'!E$4,'Plan Figures'!$B$94:$B$120,0),MATCH('Current - MGA and MPM'!$B6,'Plan Figures'!$B$1:$AP$1,0))</f>
        <v>#N/A</v>
      </c>
      <c r="F6" s="31" t="e">
        <f>INDEX('Plan Figures'!$B$94:$AP$120,MATCH('Current - MGA and MPM'!F$4,'Plan Figures'!$B$94:$B$120,0),MATCH('Current - MGA and MPM'!$B6,'Plan Figures'!$B$1:$AP$1,0))</f>
        <v>#N/A</v>
      </c>
      <c r="G6" s="31" t="e">
        <f>INDEX('Plan Figures'!$B$94:$AP$120,MATCH('Current - MGA and MPM'!G$4,'Plan Figures'!$B$94:$B$120,0),MATCH('Current - MGA and MPM'!$B6,'Plan Figures'!$B$1:$AP$1,0))</f>
        <v>#N/A</v>
      </c>
      <c r="H6" s="31" t="e">
        <f>INDEX('Plan Figures'!$B$94:$AP$120,MATCH('Current - MGA and MPM'!H$4,'Plan Figures'!$B$94:$B$120,0),MATCH('Current - MGA and MPM'!$B6,'Plan Figures'!$B$1:$AP$1,0))</f>
        <v>#N/A</v>
      </c>
      <c r="I6" s="31" t="e">
        <f>INDEX('Plan Figures'!$B$94:$AP$120,MATCH('Current - MGA and MPM'!I$4,'Plan Figures'!$B$94:$B$120,0),MATCH('Current - MGA and MPM'!$B6,'Plan Figures'!$B$1:$AP$1,0))</f>
        <v>#N/A</v>
      </c>
      <c r="J6" s="31" t="e">
        <f>INDEX('Plan Figures'!$B$94:$AP$120,MATCH('Current - MGA and MPM'!J$4,'Plan Figures'!$B$94:$B$120,0),MATCH('Current - MGA and MPM'!$B6,'Plan Figures'!$B$1:$AP$1,0))</f>
        <v>#N/A</v>
      </c>
      <c r="K6" s="31" t="e">
        <f>INDEX('Plan Figures'!$B$94:$AP$120,MATCH('Current - MGA and MPM'!K$4,'Plan Figures'!$B$94:$B$120,0),MATCH('Current - MGA and MPM'!$B6,'Plan Figures'!$B$1:$AP$1,0))</f>
        <v>#N/A</v>
      </c>
      <c r="L6" s="31" t="e">
        <f>INDEX('Plan Figures'!$B$94:$AP$120,MATCH('Current - MGA and MPM'!L$4,'Plan Figures'!$B$94:$B$120,0),MATCH('Current - MGA and MPM'!$B6,'Plan Figures'!$B$1:$AP$1,0))</f>
        <v>#N/A</v>
      </c>
      <c r="M6" s="31" t="e">
        <f>INDEX('Plan Figures'!$B$94:$AP$120,MATCH('Current - MGA and MPM'!M$4,'Plan Figures'!$B$94:$B$120,0),MATCH('Current - MGA and MPM'!$B6,'Plan Figures'!$B$1:$AP$1,0))</f>
        <v>#N/A</v>
      </c>
      <c r="N6" s="31" t="e">
        <f>INDEX('Plan Figures'!$B$94:$AP$120,MATCH('Current - MGA and MPM'!N$4,'Plan Figures'!$B$94:$B$120,0),MATCH('Current - MGA and MPM'!$B6,'Plan Figures'!$B$1:$AP$1,0))</f>
        <v>#N/A</v>
      </c>
      <c r="O6" s="31" t="e">
        <f>INDEX('Plan Figures'!$B$94:$AP$120,MATCH('Current - MGA and MPM'!O$4,'Plan Figures'!$B$94:$B$120,0),MATCH('Current - MGA and MPM'!$B6,'Plan Figures'!$B$1:$AP$1,0))</f>
        <v>#N/A</v>
      </c>
      <c r="P6" s="240" t="str">
        <f ca="1">INDEX('Plan Figures'!$B$94:$AP$120,MATCH('Current - MGA and MPM'!P$4,'Plan Figures'!$B$94:$B$120,0),MATCH('Current - MGA and MPM'!$B6,'Plan Figures'!$B$1:$AP$1,0))</f>
        <v>-</v>
      </c>
      <c r="Q6" s="31" t="str">
        <f ca="1">INDEX('Plan Figures'!$B$94:$AP$120,MATCH('Current - MGA and MPM'!Q$4,'Plan Figures'!$B$94:$B$120,0),MATCH('Current - MGA and MPM'!$B6,'Plan Figures'!$B$1:$AP$1,0))</f>
        <v>-</v>
      </c>
      <c r="R6" s="31" t="str">
        <f ca="1">INDEX('Plan Figures'!$B$94:$AP$120,MATCH('Current - MGA and MPM'!R$4,'Plan Figures'!$B$94:$B$120,0),MATCH('Current - MGA and MPM'!$B6,'Plan Figures'!$B$1:$AP$1,0))</f>
        <v>-</v>
      </c>
      <c r="S6" s="31" t="str">
        <f ca="1">INDEX('Plan Figures'!$B$94:$AP$120,MATCH('Current - MGA and MPM'!S$4,'Plan Figures'!$B$94:$B$120,0),MATCH('Current - MGA and MPM'!$B6,'Plan Figures'!$B$1:$AP$1,0))</f>
        <v>-</v>
      </c>
      <c r="T6" s="31" t="str">
        <f ca="1">INDEX('Plan Figures'!$B$94:$AP$120,MATCH('Current - MGA and MPM'!T$4,'Plan Figures'!$B$94:$B$120,0),MATCH('Current - MGA and MPM'!$B6,'Plan Figures'!$B$1:$AP$1,0))</f>
        <v>-</v>
      </c>
      <c r="U6" s="31" t="str">
        <f ca="1">INDEX('Plan Figures'!$B$94:$AP$120,MATCH('Current - MGA and MPM'!U$4,'Plan Figures'!$B$94:$B$120,0),MATCH('Current - MGA and MPM'!$B6,'Plan Figures'!$B$1:$AP$1,0))</f>
        <v>-</v>
      </c>
      <c r="V6" s="31" t="str">
        <f ca="1">INDEX('Plan Figures'!$B$94:$AP$120,MATCH('Current - MGA and MPM'!V$4,'Plan Figures'!$B$94:$B$120,0),MATCH('Current - MGA and MPM'!$B6,'Plan Figures'!$B$1:$AP$1,0))</f>
        <v>-</v>
      </c>
      <c r="W6" s="31" t="str">
        <f ca="1">INDEX('Plan Figures'!$B$94:$AP$120,MATCH('Current - MGA and MPM'!W$4,'Plan Figures'!$B$94:$B$120,0),MATCH('Current - MGA and MPM'!$B6,'Plan Figures'!$B$1:$AP$1,0))</f>
        <v>-</v>
      </c>
      <c r="X6" s="31" t="str">
        <f ca="1">INDEX('Plan Figures'!$B$94:$AP$120,MATCH('Current - MGA and MPM'!X$4,'Plan Figures'!$B$94:$B$120,0),MATCH('Current - MGA and MPM'!$B6,'Plan Figures'!$B$1:$AP$1,0))</f>
        <v>-</v>
      </c>
      <c r="Y6" s="31" t="str">
        <f ca="1">INDEX('Plan Figures'!$B$94:$AP$120,MATCH('Current - MGA and MPM'!Y$4,'Plan Figures'!$B$94:$B$120,0),MATCH('Current - MGA and MPM'!$B6,'Plan Figures'!$B$1:$AP$1,0))</f>
        <v>-</v>
      </c>
      <c r="Z6" s="31" t="str">
        <f ca="1">INDEX('Plan Figures'!$B$94:$AP$120,MATCH('Current - MGA and MPM'!Z$4,'Plan Figures'!$B$94:$B$120,0),MATCH('Current - MGA and MPM'!$B6,'Plan Figures'!$B$1:$AP$1,0))</f>
        <v>-</v>
      </c>
      <c r="AA6" s="31">
        <f ca="1">INDEX('Plan Figures'!$B$94:$AP$120,MATCH('Current - MGA and MPM'!AA$4,'Plan Figures'!$B$94:$B$120,0),MATCH('Current - MGA and MPM'!$B6,'Plan Figures'!$B$1:$AP$1,0))</f>
        <v>1729.3531485183221</v>
      </c>
      <c r="AB6" s="240">
        <f ca="1">INDEX('Plan Figures'!$B$94:$AP$120,MATCH('Current - MGA and MPM'!AB$4,'Plan Figures'!$B$94:$B$120,0),MATCH('Current - MGA and MPM'!$B6,'Plan Figures'!$B$1:$AP$1,0))</f>
        <v>1753.4023172900183</v>
      </c>
      <c r="AC6" s="31">
        <f ca="1">INDEX('Plan Figures'!$B$94:$AP$120,MATCH('Current - MGA and MPM'!AC$4,'Plan Figures'!$B$94:$B$120,0),MATCH('Current - MGA and MPM'!$B6,'Plan Figures'!$B$1:$AP$1,0))</f>
        <v>4273.8740763903043</v>
      </c>
      <c r="AD6" s="31">
        <f ca="1">INDEX('Plan Figures'!$B$94:$AP$120,MATCH('Current - MGA and MPM'!AD$4,'Plan Figures'!$B$94:$B$120,0),MATCH('Current - MGA and MPM'!$B6,'Plan Figures'!$B$1:$AP$1,0))</f>
        <v>4267.0066178598499</v>
      </c>
      <c r="AE6" s="31">
        <f ca="1">INDEX('Plan Figures'!$B$94:$AP$120,MATCH('Current - MGA and MPM'!AE$4,'Plan Figures'!$B$94:$B$120,0),MATCH('Current - MGA and MPM'!$B6,'Plan Figures'!$B$1:$AP$1,0))</f>
        <v>4260.1528668314522</v>
      </c>
      <c r="AF6" s="31">
        <f ca="1">INDEX('Plan Figures'!$B$94:$AP$120,MATCH('Current - MGA and MPM'!AF$4,'Plan Figures'!$B$94:$B$120,0),MATCH('Current - MGA and MPM'!$B6,'Plan Figures'!$B$1:$AP$1,0))</f>
        <v>4253.3127959448284</v>
      </c>
      <c r="AG6" s="31">
        <f ca="1">INDEX('Plan Figures'!$B$94:$AP$120,MATCH('Current - MGA and MPM'!AG$4,'Plan Figures'!$B$94:$B$120,0),MATCH('Current - MGA and MPM'!$B6,'Plan Figures'!$B$1:$AP$1,0))</f>
        <v>4246.8636837603826</v>
      </c>
      <c r="AH6" s="31">
        <f ca="1">INDEX('Plan Figures'!$B$94:$AP$120,MATCH('Current - MGA and MPM'!AH$4,'Plan Figures'!$B$94:$B$120,0),MATCH('Current - MGA and MPM'!$B6,'Plan Figures'!$B$1:$AP$1,0))</f>
        <v>4318.1657423106635</v>
      </c>
      <c r="AI6" s="31">
        <f ca="1">INDEX('Plan Figures'!$B$94:$AP$120,MATCH('Current - MGA and MPM'!AI$4,'Plan Figures'!$B$94:$B$120,0),MATCH('Current - MGA and MPM'!$B6,'Plan Figures'!$B$1:$AP$1,0))</f>
        <v>4195.7154005708344</v>
      </c>
      <c r="AJ6" s="31">
        <f ca="1">INDEX('Plan Figures'!$B$94:$AP$120,MATCH('Current - MGA and MPM'!AJ$4,'Plan Figures'!$B$94:$B$120,0),MATCH('Current - MGA and MPM'!$B6,'Plan Figures'!$B$1:$AP$1,0))</f>
        <v>4057.7980519065409</v>
      </c>
      <c r="AK6" s="31">
        <f ca="1">INDEX('Plan Figures'!$B$94:$AP$120,MATCH('Current - MGA and MPM'!AK$4,'Plan Figures'!$B$94:$B$120,0),MATCH('Current - MGA and MPM'!$B6,'Plan Figures'!$B$1:$AP$1,0))</f>
        <v>5130.3335122267199</v>
      </c>
      <c r="AL6" s="31">
        <f ca="1">INDEX('Plan Figures'!$B$94:$AP$120,MATCH('Current - MGA and MPM'!AL$4,'Plan Figures'!$B$94:$B$120,0),MATCH('Current - MGA and MPM'!$B6,'Plan Figures'!$B$1:$AP$1,0))</f>
        <v>5277.2602760739255</v>
      </c>
      <c r="AM6" s="31">
        <f ca="1">INDEX('Plan Figures'!$B$94:$AP$120,MATCH('Current - MGA and MPM'!AM$4,'Plan Figures'!$B$94:$B$120,0),MATCH('Current - MGA and MPM'!$B6,'Plan Figures'!$B$1:$AP$1,0))</f>
        <v>4291.0900236660455</v>
      </c>
      <c r="AN6" s="266">
        <f ca="1">INDEX('Plan Figures'!$B$94:$AP$120,MATCH('Current - MGA and MPM'!AN$4,'Plan Figures'!$B$94:$B$120,0),MATCH('Current - MGA and MPM'!$B6,'Plan Figures'!$B$1:$AP$1,0))</f>
        <v>3754.1961423496059</v>
      </c>
      <c r="AO6" s="239">
        <f t="shared" ca="1" si="1"/>
        <v>2585.5431807328819</v>
      </c>
      <c r="AP6" s="31">
        <f t="shared" ref="AP6:AP10" ca="1" si="2">AVERAGE(R6:AC6)</f>
        <v>2585.5431807328819</v>
      </c>
      <c r="AQ6" s="240">
        <f ca="1">SUMIFS(AC6:AN6,AC$4:AN$4,"&lt;"&amp;'Title Sheet'!$C$13)</f>
        <v>52325.769189891143</v>
      </c>
    </row>
    <row r="7" spans="2:44" ht="15.75" hidden="1" x14ac:dyDescent="0.25">
      <c r="B7" t="str">
        <f t="shared" ref="B7:B17" si="3">$D$2</f>
        <v>PC Annual Direct</v>
      </c>
      <c r="D7" s="213" t="s">
        <v>0</v>
      </c>
      <c r="E7" s="214" t="str">
        <f t="shared" ref="E7:AN7" si="4">IFERROR(IF(E5=0,"-",(E5/E6)-1),"-")</f>
        <v>-</v>
      </c>
      <c r="F7" s="214" t="str">
        <f t="shared" si="4"/>
        <v>-</v>
      </c>
      <c r="G7" s="214" t="str">
        <f t="shared" si="4"/>
        <v>-</v>
      </c>
      <c r="H7" s="214" t="str">
        <f t="shared" si="4"/>
        <v>-</v>
      </c>
      <c r="I7" s="214" t="str">
        <f t="shared" si="4"/>
        <v>-</v>
      </c>
      <c r="J7" s="214" t="str">
        <f t="shared" si="4"/>
        <v>-</v>
      </c>
      <c r="K7" s="214" t="str">
        <f t="shared" si="4"/>
        <v>-</v>
      </c>
      <c r="L7" s="214" t="str">
        <f t="shared" si="4"/>
        <v>-</v>
      </c>
      <c r="M7" s="214" t="str">
        <f t="shared" si="4"/>
        <v>-</v>
      </c>
      <c r="N7" s="214" t="str">
        <f t="shared" si="4"/>
        <v>-</v>
      </c>
      <c r="O7" s="214" t="str">
        <f t="shared" si="4"/>
        <v>-</v>
      </c>
      <c r="P7" s="294" t="str">
        <f t="shared" ca="1" si="4"/>
        <v>-</v>
      </c>
      <c r="Q7" s="214" t="str">
        <f t="shared" ca="1" si="4"/>
        <v>-</v>
      </c>
      <c r="R7" s="214" t="str">
        <f t="shared" ca="1" si="4"/>
        <v>-</v>
      </c>
      <c r="S7" s="214" t="str">
        <f t="shared" ca="1" si="4"/>
        <v>-</v>
      </c>
      <c r="T7" s="214" t="str">
        <f t="shared" ca="1" si="4"/>
        <v>-</v>
      </c>
      <c r="U7" s="214" t="str">
        <f t="shared" ca="1" si="4"/>
        <v>-</v>
      </c>
      <c r="V7" s="214" t="str">
        <f t="shared" ca="1" si="4"/>
        <v>-</v>
      </c>
      <c r="W7" s="214" t="str">
        <f t="shared" ca="1" si="4"/>
        <v>-</v>
      </c>
      <c r="X7" s="214" t="str">
        <f t="shared" ca="1" si="4"/>
        <v>-</v>
      </c>
      <c r="Y7" s="214" t="str">
        <f t="shared" ca="1" si="4"/>
        <v>-</v>
      </c>
      <c r="Z7" s="214" t="str">
        <f t="shared" ca="1" si="4"/>
        <v>-</v>
      </c>
      <c r="AA7" s="214">
        <f t="shared" ca="1" si="4"/>
        <v>0.86809322274777756</v>
      </c>
      <c r="AB7" s="294">
        <f t="shared" ca="1" si="4"/>
        <v>0.84213752012342535</v>
      </c>
      <c r="AC7" s="214">
        <f t="shared" ca="1" si="4"/>
        <v>-0.17559983038055804</v>
      </c>
      <c r="AD7" s="214">
        <f t="shared" ca="1" si="4"/>
        <v>-6.9131417628894853E-3</v>
      </c>
      <c r="AE7" s="214">
        <f t="shared" ca="1" si="4"/>
        <v>0.43310054537020259</v>
      </c>
      <c r="AF7" s="214">
        <f t="shared" ca="1" si="4"/>
        <v>0.39248557455359157</v>
      </c>
      <c r="AG7" s="214">
        <f t="shared" ca="1" si="4"/>
        <v>0.38058238781430664</v>
      </c>
      <c r="AH7" s="214">
        <f t="shared" ca="1" si="4"/>
        <v>0.14601361034487259</v>
      </c>
      <c r="AI7" s="214">
        <f t="shared" ca="1" si="4"/>
        <v>8.9666676576374282E-3</v>
      </c>
      <c r="AJ7" s="214">
        <f t="shared" ca="1" si="4"/>
        <v>-9.4139921924471626E-2</v>
      </c>
      <c r="AK7" s="214">
        <f t="shared" ca="1" si="4"/>
        <v>-0.34817183278871233</v>
      </c>
      <c r="AL7" s="214">
        <f t="shared" ca="1" si="4"/>
        <v>-0.38415325537052236</v>
      </c>
      <c r="AM7" s="214">
        <f t="shared" ca="1" si="4"/>
        <v>-0.22318106081919531</v>
      </c>
      <c r="AN7" s="270">
        <f t="shared" ca="1" si="4"/>
        <v>-0.11229924772602973</v>
      </c>
      <c r="AO7" s="241">
        <f t="shared" ca="1" si="1"/>
        <v>0.51154363749688159</v>
      </c>
      <c r="AP7" s="242">
        <f t="shared" ca="1" si="2"/>
        <v>0.51154363749688159</v>
      </c>
      <c r="AQ7" s="243">
        <f ca="1">IFERROR(IF(AQ5=0,"-",(AQ5/AQ6)-1),"-")</f>
        <v>-1.062451682445964E-2</v>
      </c>
    </row>
    <row r="8" spans="2:44" ht="15.75" x14ac:dyDescent="0.25">
      <c r="B8" t="s">
        <v>109</v>
      </c>
      <c r="D8" s="208" t="s">
        <v>5</v>
      </c>
      <c r="E8" s="209">
        <v>54404.443214097795</v>
      </c>
      <c r="F8" s="209">
        <v>154577.88964227081</v>
      </c>
      <c r="G8" s="209">
        <v>1330455.7271475941</v>
      </c>
      <c r="H8" s="209">
        <v>1713812.9246342063</v>
      </c>
      <c r="I8" s="209">
        <v>2279345.2964331168</v>
      </c>
      <c r="J8" s="209">
        <v>3041000.180719682</v>
      </c>
      <c r="K8" s="209">
        <v>3927830.2535809851</v>
      </c>
      <c r="L8" s="209">
        <v>2914993.5578613728</v>
      </c>
      <c r="M8" s="209">
        <v>2774467.8075009161</v>
      </c>
      <c r="N8" s="209">
        <v>3582418.9857119559</v>
      </c>
      <c r="O8" s="209">
        <v>3167251.6742823175</v>
      </c>
      <c r="P8" s="238">
        <v>2630569.9350004178</v>
      </c>
      <c r="Q8" s="209">
        <v>2156372.319645613</v>
      </c>
      <c r="R8" s="209">
        <v>2207309.5860689273</v>
      </c>
      <c r="S8" s="209">
        <v>2365372.9364301004</v>
      </c>
      <c r="T8" s="209">
        <v>2115754.1796423746</v>
      </c>
      <c r="U8" s="209">
        <v>2440301.4792887256</v>
      </c>
      <c r="V8" s="209">
        <v>2263652.6285726996</v>
      </c>
      <c r="W8" s="209">
        <v>2382767.026072572</v>
      </c>
      <c r="X8" s="209">
        <v>2684104.477153101</v>
      </c>
      <c r="Y8" s="209">
        <v>2753698.4557139184</v>
      </c>
      <c r="Z8" s="209">
        <v>3209708.0817860342</v>
      </c>
      <c r="AA8" s="209">
        <v>3863263.7907155901</v>
      </c>
      <c r="AB8" s="238">
        <v>3794294.316782441</v>
      </c>
      <c r="AC8" s="209">
        <v>3926008.2578569469</v>
      </c>
      <c r="AD8" s="209">
        <v>5189360.7592770504</v>
      </c>
      <c r="AE8" s="209">
        <v>7583314.746066533</v>
      </c>
      <c r="AF8" s="209">
        <v>6718672.7139466843</v>
      </c>
      <c r="AG8" s="209">
        <v>6386016.4432274783</v>
      </c>
      <c r="AH8" s="209">
        <v>5353738.9892903334</v>
      </c>
      <c r="AI8" s="209">
        <v>4568709.0003580609</v>
      </c>
      <c r="AJ8" s="209">
        <v>3976254.8000019756</v>
      </c>
      <c r="AK8" s="209">
        <v>3645120.3310708916</v>
      </c>
      <c r="AL8" s="209">
        <v>3467602.7742145588</v>
      </c>
      <c r="AM8" s="209">
        <v>3642847.8092838721</v>
      </c>
      <c r="AN8" s="265">
        <v>3632011.0367852668</v>
      </c>
      <c r="AO8" s="237">
        <f t="shared" si="1"/>
        <v>3698318.611785253</v>
      </c>
      <c r="AP8" s="209">
        <f t="shared" si="2"/>
        <v>2833852.934673619</v>
      </c>
      <c r="AQ8" s="238">
        <f>SUMIFS(AC8:AN8,AC$4:AN$4,"&lt;"&amp;'Title Sheet'!$C$13)</f>
        <v>58089657.661379658</v>
      </c>
      <c r="AR8" t="s">
        <v>335</v>
      </c>
    </row>
    <row r="9" spans="2:44" ht="15.75" x14ac:dyDescent="0.25">
      <c r="B9" t="str">
        <f>$D$2&amp;"_NWP"</f>
        <v>PC Annual Direct_NWP</v>
      </c>
      <c r="D9" s="211" t="s">
        <v>6</v>
      </c>
      <c r="E9" s="31" t="e">
        <f>INDEX('Plan Figures'!$B$94:$AP$131,MATCH('Current - MGA and MPM'!E$4,'Plan Figures'!$B$94:$B$131,0),MATCH('Current - MGA and MPM'!$B9,'Plan Figures'!$B$1:$AP$1,0))</f>
        <v>#N/A</v>
      </c>
      <c r="F9" s="31" t="e">
        <f>INDEX('Plan Figures'!$B$94:$AP$131,MATCH('Current - MGA and MPM'!F$4,'Plan Figures'!$B$94:$B$131,0),MATCH('Current - MGA and MPM'!$B9,'Plan Figures'!$B$1:$AP$1,0))</f>
        <v>#N/A</v>
      </c>
      <c r="G9" s="31" t="e">
        <f>INDEX('Plan Figures'!$B$94:$AP$131,MATCH('Current - MGA and MPM'!G$4,'Plan Figures'!$B$94:$B$131,0),MATCH('Current - MGA and MPM'!$B9,'Plan Figures'!$B$1:$AP$1,0))</f>
        <v>#N/A</v>
      </c>
      <c r="H9" s="31" t="e">
        <f>INDEX('Plan Figures'!$B$94:$AP$131,MATCH('Current - MGA and MPM'!H$4,'Plan Figures'!$B$94:$B$131,0),MATCH('Current - MGA and MPM'!$B9,'Plan Figures'!$B$1:$AP$1,0))</f>
        <v>#N/A</v>
      </c>
      <c r="I9" s="31" t="e">
        <f>INDEX('Plan Figures'!$B$94:$AP$131,MATCH('Current - MGA and MPM'!I$4,'Plan Figures'!$B$94:$B$131,0),MATCH('Current - MGA and MPM'!$B9,'Plan Figures'!$B$1:$AP$1,0))</f>
        <v>#N/A</v>
      </c>
      <c r="J9" s="31" t="e">
        <f>INDEX('Plan Figures'!$B$94:$AP$131,MATCH('Current - MGA and MPM'!J$4,'Plan Figures'!$B$94:$B$131,0),MATCH('Current - MGA and MPM'!$B9,'Plan Figures'!$B$1:$AP$1,0))</f>
        <v>#N/A</v>
      </c>
      <c r="K9" s="31" t="e">
        <f>INDEX('Plan Figures'!$B$94:$AP$131,MATCH('Current - MGA and MPM'!K$4,'Plan Figures'!$B$94:$B$131,0),MATCH('Current - MGA and MPM'!$B9,'Plan Figures'!$B$1:$AP$1,0))</f>
        <v>#N/A</v>
      </c>
      <c r="L9" s="31" t="e">
        <f>INDEX('Plan Figures'!$B$94:$AP$131,MATCH('Current - MGA and MPM'!L$4,'Plan Figures'!$B$94:$B$131,0),MATCH('Current - MGA and MPM'!$B9,'Plan Figures'!$B$1:$AP$1,0))</f>
        <v>#N/A</v>
      </c>
      <c r="M9" s="31" t="e">
        <f>INDEX('Plan Figures'!$B$94:$AP$131,MATCH('Current - MGA and MPM'!M$4,'Plan Figures'!$B$94:$B$131,0),MATCH('Current - MGA and MPM'!$B9,'Plan Figures'!$B$1:$AP$1,0))</f>
        <v>#N/A</v>
      </c>
      <c r="N9" s="31" t="e">
        <f>INDEX('Plan Figures'!$B$94:$AP$131,MATCH('Current - MGA and MPM'!N$4,'Plan Figures'!$B$94:$B$131,0),MATCH('Current - MGA and MPM'!$B9,'Plan Figures'!$B$1:$AP$1,0))</f>
        <v>#N/A</v>
      </c>
      <c r="O9" s="31" t="e">
        <f>INDEX('Plan Figures'!$B$94:$AP$131,MATCH('Current - MGA and MPM'!O$4,'Plan Figures'!$B$94:$B$131,0),MATCH('Current - MGA and MPM'!$B9,'Plan Figures'!$B$1:$AP$1,0))</f>
        <v>#N/A</v>
      </c>
      <c r="P9" s="240" t="str">
        <f ca="1">INDEX('Plan Figures'!$B$94:$AP$131,MATCH('Current - MGA and MPM'!P$4,'Plan Figures'!$B$94:$B$131,0),MATCH('Current - MGA and MPM'!$B9,'Plan Figures'!$B$1:$AP$1,0))</f>
        <v>-</v>
      </c>
      <c r="Q9" s="31" t="str">
        <f ca="1">INDEX('Plan Figures'!$B$94:$AP$131,MATCH('Current - MGA and MPM'!Q$4,'Plan Figures'!$B$94:$B$131,0),MATCH('Current - MGA and MPM'!$B9,'Plan Figures'!$B$1:$AP$1,0))</f>
        <v>-</v>
      </c>
      <c r="R9" s="31" t="str">
        <f ca="1">INDEX('Plan Figures'!$B$94:$AP$131,MATCH('Current - MGA and MPM'!R$4,'Plan Figures'!$B$94:$B$131,0),MATCH('Current - MGA and MPM'!$B9,'Plan Figures'!$B$1:$AP$1,0))</f>
        <v>-</v>
      </c>
      <c r="S9" s="31" t="str">
        <f ca="1">INDEX('Plan Figures'!$B$94:$AP$131,MATCH('Current - MGA and MPM'!S$4,'Plan Figures'!$B$94:$B$131,0),MATCH('Current - MGA and MPM'!$B9,'Plan Figures'!$B$1:$AP$1,0))</f>
        <v>-</v>
      </c>
      <c r="T9" s="31" t="str">
        <f ca="1">INDEX('Plan Figures'!$B$94:$AP$131,MATCH('Current - MGA and MPM'!T$4,'Plan Figures'!$B$94:$B$131,0),MATCH('Current - MGA and MPM'!$B9,'Plan Figures'!$B$1:$AP$1,0))</f>
        <v>-</v>
      </c>
      <c r="U9" s="31" t="str">
        <f ca="1">INDEX('Plan Figures'!$B$94:$AP$131,MATCH('Current - MGA and MPM'!U$4,'Plan Figures'!$B$94:$B$131,0),MATCH('Current - MGA and MPM'!$B9,'Plan Figures'!$B$1:$AP$1,0))</f>
        <v>-</v>
      </c>
      <c r="V9" s="31" t="str">
        <f ca="1">INDEX('Plan Figures'!$B$94:$AP$131,MATCH('Current - MGA and MPM'!V$4,'Plan Figures'!$B$94:$B$131,0),MATCH('Current - MGA and MPM'!$B9,'Plan Figures'!$B$1:$AP$1,0))</f>
        <v>-</v>
      </c>
      <c r="W9" s="31" t="str">
        <f ca="1">INDEX('Plan Figures'!$B$94:$AP$131,MATCH('Current - MGA and MPM'!W$4,'Plan Figures'!$B$94:$B$131,0),MATCH('Current - MGA and MPM'!$B9,'Plan Figures'!$B$1:$AP$1,0))</f>
        <v>-</v>
      </c>
      <c r="X9" s="31" t="str">
        <f ca="1">INDEX('Plan Figures'!$B$94:$AP$131,MATCH('Current - MGA and MPM'!X$4,'Plan Figures'!$B$94:$B$131,0),MATCH('Current - MGA and MPM'!$B9,'Plan Figures'!$B$1:$AP$1,0))</f>
        <v>-</v>
      </c>
      <c r="Y9" s="31" t="str">
        <f ca="1">INDEX('Plan Figures'!$B$94:$AP$131,MATCH('Current - MGA and MPM'!Y$4,'Plan Figures'!$B$94:$B$131,0),MATCH('Current - MGA and MPM'!$B9,'Plan Figures'!$B$1:$AP$1,0))</f>
        <v>-</v>
      </c>
      <c r="Z9" s="31" t="str">
        <f ca="1">INDEX('Plan Figures'!$B$94:$AP$131,MATCH('Current - MGA and MPM'!Z$4,'Plan Figures'!$B$94:$B$131,0),MATCH('Current - MGA and MPM'!$B9,'Plan Figures'!$B$1:$AP$1,0))</f>
        <v>-</v>
      </c>
      <c r="AA9" s="31">
        <f ca="1">INDEX('Plan Figures'!$B$94:$AP$131,MATCH('Current - MGA and MPM'!AA$4,'Plan Figures'!$B$94:$B$131,0),MATCH('Current - MGA and MPM'!$B9,'Plan Figures'!$B$1:$AP$1,0))</f>
        <v>3013169.0914932396</v>
      </c>
      <c r="AB9" s="240">
        <f ca="1">INDEX('Plan Figures'!$B$94:$AP$131,MATCH('Current - MGA and MPM'!AB$4,'Plan Figures'!$B$94:$B$131,0),MATCH('Current - MGA and MPM'!$B9,'Plan Figures'!$B$1:$AP$1,0))</f>
        <v>3046278.3015965438</v>
      </c>
      <c r="AC9" s="31">
        <f ca="1">INDEX('Plan Figures'!$B$94:$AP$131,MATCH('Current - MGA and MPM'!AC$4,'Plan Figures'!$B$94:$B$131,0),MATCH('Current - MGA and MPM'!$B9,'Plan Figures'!$B$1:$AP$1,0))</f>
        <v>3262205.5406420417</v>
      </c>
      <c r="AD9" s="31">
        <f ca="1">INDEX('Plan Figures'!$B$94:$AP$131,MATCH('Current - MGA and MPM'!AD$4,'Plan Figures'!$B$94:$B$131,0),MATCH('Current - MGA and MPM'!$B9,'Plan Figures'!$B$1:$AP$1,0))</f>
        <v>5283002.670942123</v>
      </c>
      <c r="AE9" s="31">
        <f ca="1">INDEX('Plan Figures'!$B$94:$AP$131,MATCH('Current - MGA and MPM'!AE$4,'Plan Figures'!$B$94:$B$131,0),MATCH('Current - MGA and MPM'!$B9,'Plan Figures'!$B$1:$AP$1,0))</f>
        <v>7028722.699423207</v>
      </c>
      <c r="AF9" s="31">
        <f ca="1">INDEX('Plan Figures'!$B$94:$AP$131,MATCH('Current - MGA and MPM'!AF$4,'Plan Figures'!$B$94:$B$131,0),MATCH('Current - MGA and MPM'!$B9,'Plan Figures'!$B$1:$AP$1,0))</f>
        <v>7008322.6050258419</v>
      </c>
      <c r="AG9" s="31">
        <f ca="1">INDEX('Plan Figures'!$B$94:$AP$131,MATCH('Current - MGA and MPM'!AG$4,'Plan Figures'!$B$94:$B$131,0),MATCH('Current - MGA and MPM'!$B9,'Plan Figures'!$B$1:$AP$1,0))</f>
        <v>6910081.5132966693</v>
      </c>
      <c r="AH9" s="31">
        <f ca="1">INDEX('Plan Figures'!$B$94:$AP$131,MATCH('Current - MGA and MPM'!AH$4,'Plan Figures'!$B$94:$B$131,0),MATCH('Current - MGA and MPM'!$B9,'Plan Figures'!$B$1:$AP$1,0))</f>
        <v>6846559.6197968423</v>
      </c>
      <c r="AI9" s="31">
        <f ca="1">INDEX('Plan Figures'!$B$94:$AP$131,MATCH('Current - MGA and MPM'!AI$4,'Plan Figures'!$B$94:$B$131,0),MATCH('Current - MGA and MPM'!$B9,'Plan Figures'!$B$1:$AP$1,0))</f>
        <v>4986953.6660165749</v>
      </c>
      <c r="AJ9" s="31">
        <f ca="1">INDEX('Plan Figures'!$B$94:$AP$131,MATCH('Current - MGA and MPM'!AJ$4,'Plan Figures'!$B$94:$B$131,0),MATCH('Current - MGA and MPM'!$B9,'Plan Figures'!$B$1:$AP$1,0))</f>
        <v>4772960.6173661947</v>
      </c>
      <c r="AK9" s="31">
        <f ca="1">INDEX('Plan Figures'!$B$94:$AP$131,MATCH('Current - MGA and MPM'!AK$4,'Plan Figures'!$B$94:$B$131,0),MATCH('Current - MGA and MPM'!$B9,'Plan Figures'!$B$1:$AP$1,0))</f>
        <v>5963772.0422257259</v>
      </c>
      <c r="AL9" s="31">
        <f ca="1">INDEX('Plan Figures'!$B$94:$AP$131,MATCH('Current - MGA and MPM'!AL$4,'Plan Figures'!$B$94:$B$131,0),MATCH('Current - MGA and MPM'!$B9,'Plan Figures'!$B$1:$AP$1,0))</f>
        <v>6206021.9847642854</v>
      </c>
      <c r="AM9" s="31">
        <f ca="1">INDEX('Plan Figures'!$B$94:$AP$131,MATCH('Current - MGA and MPM'!AM$4,'Plan Figures'!$B$94:$B$131,0),MATCH('Current - MGA and MPM'!$B9,'Plan Figures'!$B$1:$AP$1,0))</f>
        <v>5226495.991704585</v>
      </c>
      <c r="AN9" s="266">
        <f ca="1">INDEX('Plan Figures'!$B$94:$AP$131,MATCH('Current - MGA and MPM'!AN$4,'Plan Figures'!$B$94:$B$131,0),MATCH('Current - MGA and MPM'!$B9,'Plan Figures'!$B$1:$AP$1,0))</f>
        <v>4573524.576856669</v>
      </c>
      <c r="AO9" s="239">
        <f t="shared" ca="1" si="1"/>
        <v>3107217.6445772746</v>
      </c>
      <c r="AP9" s="31">
        <f t="shared" ca="1" si="2"/>
        <v>3107217.6445772746</v>
      </c>
      <c r="AQ9" s="240">
        <f ca="1">SUMIFS(AC9:AN9,AC$4:AN$4,"&lt;"&amp;'Title Sheet'!$C$13)</f>
        <v>68068623.528060764</v>
      </c>
    </row>
    <row r="10" spans="2:44" ht="15.75" x14ac:dyDescent="0.25">
      <c r="B10" t="str">
        <f t="shared" si="3"/>
        <v>PC Annual Direct</v>
      </c>
      <c r="D10" s="213" t="s">
        <v>0</v>
      </c>
      <c r="E10" s="214" t="str">
        <f t="shared" ref="E10:AN10" si="5">IFERROR(IF(E8=0,"-",(E8/E9)-1),"-")</f>
        <v>-</v>
      </c>
      <c r="F10" s="214" t="str">
        <f t="shared" si="5"/>
        <v>-</v>
      </c>
      <c r="G10" s="214" t="str">
        <f t="shared" si="5"/>
        <v>-</v>
      </c>
      <c r="H10" s="214" t="str">
        <f t="shared" si="5"/>
        <v>-</v>
      </c>
      <c r="I10" s="214" t="str">
        <f t="shared" si="5"/>
        <v>-</v>
      </c>
      <c r="J10" s="214" t="str">
        <f t="shared" si="5"/>
        <v>-</v>
      </c>
      <c r="K10" s="214" t="str">
        <f t="shared" si="5"/>
        <v>-</v>
      </c>
      <c r="L10" s="214" t="str">
        <f t="shared" si="5"/>
        <v>-</v>
      </c>
      <c r="M10" s="214" t="str">
        <f t="shared" si="5"/>
        <v>-</v>
      </c>
      <c r="N10" s="214" t="str">
        <f t="shared" si="5"/>
        <v>-</v>
      </c>
      <c r="O10" s="214" t="str">
        <f t="shared" si="5"/>
        <v>-</v>
      </c>
      <c r="P10" s="294" t="str">
        <f t="shared" ca="1" si="5"/>
        <v>-</v>
      </c>
      <c r="Q10" s="214" t="str">
        <f t="shared" ca="1" si="5"/>
        <v>-</v>
      </c>
      <c r="R10" s="214" t="str">
        <f t="shared" ca="1" si="5"/>
        <v>-</v>
      </c>
      <c r="S10" s="214" t="str">
        <f t="shared" ca="1" si="5"/>
        <v>-</v>
      </c>
      <c r="T10" s="214" t="str">
        <f t="shared" ca="1" si="5"/>
        <v>-</v>
      </c>
      <c r="U10" s="214" t="str">
        <f t="shared" ca="1" si="5"/>
        <v>-</v>
      </c>
      <c r="V10" s="214" t="str">
        <f t="shared" ca="1" si="5"/>
        <v>-</v>
      </c>
      <c r="W10" s="214" t="str">
        <f t="shared" ca="1" si="5"/>
        <v>-</v>
      </c>
      <c r="X10" s="214" t="str">
        <f t="shared" ca="1" si="5"/>
        <v>-</v>
      </c>
      <c r="Y10" s="214" t="str">
        <f t="shared" ca="1" si="5"/>
        <v>-</v>
      </c>
      <c r="Z10" s="214" t="str">
        <f t="shared" ca="1" si="5"/>
        <v>-</v>
      </c>
      <c r="AA10" s="214">
        <f t="shared" ca="1" si="5"/>
        <v>0.28212645006293635</v>
      </c>
      <c r="AB10" s="294">
        <f t="shared" ca="1" si="5"/>
        <v>0.24555078069980163</v>
      </c>
      <c r="AC10" s="214">
        <f t="shared" ca="1" si="5"/>
        <v>0.20348279988644147</v>
      </c>
      <c r="AD10" s="214">
        <f t="shared" ca="1" si="5"/>
        <v>-1.7725130479325224E-2</v>
      </c>
      <c r="AE10" s="214">
        <f t="shared" ca="1" si="5"/>
        <v>7.8903674303275162E-2</v>
      </c>
      <c r="AF10" s="214">
        <f t="shared" ca="1" si="5"/>
        <v>-4.1329417523023659E-2</v>
      </c>
      <c r="AG10" s="214">
        <f t="shared" ca="1" si="5"/>
        <v>-7.5840649500409363E-2</v>
      </c>
      <c r="AH10" s="214">
        <f t="shared" ca="1" si="5"/>
        <v>-0.21803952837714502</v>
      </c>
      <c r="AI10" s="214">
        <f t="shared" ca="1" si="5"/>
        <v>-8.3867766510169917E-2</v>
      </c>
      <c r="AJ10" s="214">
        <f t="shared" ca="1" si="5"/>
        <v>-0.16692067696210233</v>
      </c>
      <c r="AK10" s="214">
        <f t="shared" ca="1" si="5"/>
        <v>-0.38878945988175218</v>
      </c>
      <c r="AL10" s="214">
        <f t="shared" ca="1" si="5"/>
        <v>-0.44125193518046102</v>
      </c>
      <c r="AM10" s="214">
        <f t="shared" ca="1" si="5"/>
        <v>-0.30300380693570894</v>
      </c>
      <c r="AN10" s="270">
        <f t="shared" ca="1" si="5"/>
        <v>-0.20586169905716212</v>
      </c>
      <c r="AO10" s="241">
        <f t="shared" ca="1" si="1"/>
        <v>0.24372001021639314</v>
      </c>
      <c r="AP10" s="242">
        <f t="shared" ca="1" si="2"/>
        <v>0.24372001021639314</v>
      </c>
      <c r="AQ10" s="243">
        <f t="shared" ref="AQ10" ca="1" si="6">IFERROR(IF(AQ8=0,"-",(AQ8/AQ9)-1),"-")</f>
        <v>-0.14660155221983229</v>
      </c>
    </row>
    <row r="11" spans="2:44" ht="15.75" x14ac:dyDescent="0.25">
      <c r="B11" t="str">
        <f t="shared" si="3"/>
        <v>PC Annual Direct</v>
      </c>
      <c r="D11" s="208" t="s">
        <v>12</v>
      </c>
      <c r="E11" s="209">
        <f t="shared" ref="E11:AP12" si="7">IFERROR(E8/E5,0)</f>
        <v>1650.6751265916957</v>
      </c>
      <c r="F11" s="209">
        <f t="shared" si="7"/>
        <v>843.95509129089317</v>
      </c>
      <c r="G11" s="209">
        <f t="shared" si="7"/>
        <v>811.66027142767587</v>
      </c>
      <c r="H11" s="209">
        <f t="shared" si="7"/>
        <v>1177.4769931453161</v>
      </c>
      <c r="I11" s="209">
        <f t="shared" si="7"/>
        <v>1312.4939391499479</v>
      </c>
      <c r="J11" s="209">
        <f t="shared" si="7"/>
        <v>1095.5314392056523</v>
      </c>
      <c r="K11" s="209">
        <f t="shared" si="7"/>
        <v>960.01915307398951</v>
      </c>
      <c r="L11" s="209">
        <f t="shared" si="7"/>
        <v>952.89210959145191</v>
      </c>
      <c r="M11" s="209">
        <f t="shared" si="7"/>
        <v>937.49027934708602</v>
      </c>
      <c r="N11" s="209">
        <f t="shared" si="7"/>
        <v>875.36346521965095</v>
      </c>
      <c r="O11" s="209">
        <f t="shared" si="7"/>
        <v>810.67385661720459</v>
      </c>
      <c r="P11" s="238">
        <f t="shared" si="7"/>
        <v>806.19765413287621</v>
      </c>
      <c r="Q11" s="209">
        <f t="shared" si="7"/>
        <v>760.63544793527194</v>
      </c>
      <c r="R11" s="209">
        <f t="shared" si="7"/>
        <v>749.04332022043582</v>
      </c>
      <c r="S11" s="209">
        <f t="shared" si="7"/>
        <v>626.54532363517956</v>
      </c>
      <c r="T11" s="209">
        <f t="shared" si="7"/>
        <v>706.39655332549955</v>
      </c>
      <c r="U11" s="209">
        <f t="shared" si="7"/>
        <v>847.10750712218453</v>
      </c>
      <c r="V11" s="209">
        <f t="shared" si="7"/>
        <v>949.61884663755359</v>
      </c>
      <c r="W11" s="209">
        <f t="shared" si="7"/>
        <v>1186.5707691395708</v>
      </c>
      <c r="X11" s="209">
        <f t="shared" si="7"/>
        <v>1195.4714357358739</v>
      </c>
      <c r="Y11" s="209">
        <f t="shared" si="7"/>
        <v>1269.2795221727167</v>
      </c>
      <c r="Z11" s="209">
        <f t="shared" si="7"/>
        <v>1273.8732343817155</v>
      </c>
      <c r="AA11" s="209">
        <f t="shared" si="7"/>
        <v>1195.8373940955007</v>
      </c>
      <c r="AB11" s="238">
        <f t="shared" si="7"/>
        <v>1174.7011418836742</v>
      </c>
      <c r="AC11" s="209">
        <f t="shared" si="7"/>
        <v>1114.2725045620273</v>
      </c>
      <c r="AD11" s="209">
        <f t="shared" si="7"/>
        <v>1224.6255391131913</v>
      </c>
      <c r="AE11" s="209">
        <f t="shared" si="7"/>
        <v>1242.1019321934932</v>
      </c>
      <c r="AF11" s="209">
        <f t="shared" si="7"/>
        <v>1134.3980163327901</v>
      </c>
      <c r="AG11" s="209">
        <f t="shared" si="7"/>
        <v>1089.1793090015431</v>
      </c>
      <c r="AH11" s="209">
        <f t="shared" si="7"/>
        <v>1081.8526447406248</v>
      </c>
      <c r="AI11" s="209">
        <f t="shared" si="7"/>
        <v>1079.2216672807285</v>
      </c>
      <c r="AJ11" s="209">
        <f t="shared" si="7"/>
        <v>1081.7394210359162</v>
      </c>
      <c r="AK11" s="209">
        <f t="shared" si="7"/>
        <v>1090.0166892559794</v>
      </c>
      <c r="AL11" s="209">
        <f t="shared" si="7"/>
        <v>1066.960096415381</v>
      </c>
      <c r="AM11" s="209">
        <f t="shared" si="7"/>
        <v>1092.8324860981988</v>
      </c>
      <c r="AN11" s="265">
        <f t="shared" si="7"/>
        <v>1089.8421805474914</v>
      </c>
      <c r="AO11" s="237">
        <f t="shared" si="7"/>
        <v>1183.1185281593323</v>
      </c>
      <c r="AP11" s="209">
        <f t="shared" si="7"/>
        <v>1002.8913049871659</v>
      </c>
      <c r="AQ11" s="238">
        <f>SUMIFS(AC11:AN11,AC$4:AN$4,"&lt;"&amp;'Title Sheet'!$C$13)</f>
        <v>13387.042486577368</v>
      </c>
    </row>
    <row r="12" spans="2:44" ht="15.75" hidden="1" x14ac:dyDescent="0.25">
      <c r="B12" t="str">
        <f t="shared" si="3"/>
        <v>PC Annual Direct</v>
      </c>
      <c r="D12" s="211" t="s">
        <v>13</v>
      </c>
      <c r="E12" s="31">
        <f t="shared" si="7"/>
        <v>0</v>
      </c>
      <c r="F12" s="31">
        <f t="shared" si="7"/>
        <v>0</v>
      </c>
      <c r="G12" s="31">
        <f t="shared" si="7"/>
        <v>0</v>
      </c>
      <c r="H12" s="31">
        <f t="shared" si="7"/>
        <v>0</v>
      </c>
      <c r="I12" s="31">
        <f t="shared" si="7"/>
        <v>0</v>
      </c>
      <c r="J12" s="31">
        <f t="shared" si="7"/>
        <v>0</v>
      </c>
      <c r="K12" s="31">
        <f t="shared" si="7"/>
        <v>0</v>
      </c>
      <c r="L12" s="31">
        <f t="shared" si="7"/>
        <v>0</v>
      </c>
      <c r="M12" s="31">
        <f t="shared" si="7"/>
        <v>0</v>
      </c>
      <c r="N12" s="31">
        <f t="shared" si="7"/>
        <v>0</v>
      </c>
      <c r="O12" s="31">
        <f t="shared" si="7"/>
        <v>0</v>
      </c>
      <c r="P12" s="240">
        <f t="shared" ca="1" si="7"/>
        <v>0</v>
      </c>
      <c r="Q12" s="31">
        <f t="shared" ca="1" si="7"/>
        <v>0</v>
      </c>
      <c r="R12" s="31">
        <f t="shared" ca="1" si="7"/>
        <v>0</v>
      </c>
      <c r="S12" s="31">
        <f t="shared" ca="1" si="7"/>
        <v>0</v>
      </c>
      <c r="T12" s="31">
        <f t="shared" ca="1" si="7"/>
        <v>0</v>
      </c>
      <c r="U12" s="31">
        <f t="shared" ca="1" si="7"/>
        <v>0</v>
      </c>
      <c r="V12" s="31">
        <f t="shared" ca="1" si="7"/>
        <v>0</v>
      </c>
      <c r="W12" s="31">
        <f t="shared" ca="1" si="7"/>
        <v>0</v>
      </c>
      <c r="X12" s="31">
        <f t="shared" ca="1" si="7"/>
        <v>0</v>
      </c>
      <c r="Y12" s="31">
        <f t="shared" ca="1" si="7"/>
        <v>0</v>
      </c>
      <c r="Z12" s="31">
        <f t="shared" ca="1" si="7"/>
        <v>0</v>
      </c>
      <c r="AA12" s="31">
        <f t="shared" ca="1" si="7"/>
        <v>1742.3677136592185</v>
      </c>
      <c r="AB12" s="240">
        <f t="shared" ca="1" si="7"/>
        <v>1737.3527293523473</v>
      </c>
      <c r="AC12" s="31">
        <f t="shared" ca="1" si="7"/>
        <v>763.2900460645501</v>
      </c>
      <c r="AD12" s="31">
        <f t="shared" ca="1" si="7"/>
        <v>1238.1051036644171</v>
      </c>
      <c r="AE12" s="31">
        <f t="shared" ca="1" si="7"/>
        <v>1649.875701444234</v>
      </c>
      <c r="AF12" s="31">
        <f t="shared" ca="1" si="7"/>
        <v>1647.7327065405773</v>
      </c>
      <c r="AG12" s="31">
        <f t="shared" ca="1" si="7"/>
        <v>1627.1022636587531</v>
      </c>
      <c r="AH12" s="31">
        <f t="shared" ca="1" si="7"/>
        <v>1585.5249724928872</v>
      </c>
      <c r="AI12" s="31">
        <f t="shared" ca="1" si="7"/>
        <v>1188.5824442091784</v>
      </c>
      <c r="AJ12" s="31">
        <f t="shared" ca="1" si="7"/>
        <v>1176.2440013799203</v>
      </c>
      <c r="AK12" s="31">
        <f t="shared" ca="1" si="7"/>
        <v>1162.4530896505535</v>
      </c>
      <c r="AL12" s="31">
        <f t="shared" ca="1" si="7"/>
        <v>1175.9931593484569</v>
      </c>
      <c r="AM12" s="31">
        <f t="shared" ca="1" si="7"/>
        <v>1217.9879617718636</v>
      </c>
      <c r="AN12" s="266">
        <f t="shared" ca="1" si="7"/>
        <v>1218.243374464254</v>
      </c>
      <c r="AO12" s="239">
        <f t="shared" ca="1" si="7"/>
        <v>1201.7659065730716</v>
      </c>
      <c r="AP12" s="31">
        <f t="shared" ca="1" si="7"/>
        <v>1201.7659065730716</v>
      </c>
      <c r="AQ12" s="240">
        <f ca="1">SUMIFS(AC12:AN12,AC$4:AN$4,"&lt;"&amp;'Title Sheet'!$C$13)</f>
        <v>15651.134824689645</v>
      </c>
      <c r="AR12" s="3"/>
    </row>
    <row r="13" spans="2:44" ht="15.75" hidden="1" x14ac:dyDescent="0.25">
      <c r="B13" t="str">
        <f t="shared" si="3"/>
        <v>PC Annual Direct</v>
      </c>
      <c r="D13" s="213" t="s">
        <v>0</v>
      </c>
      <c r="E13" s="214" t="str">
        <f t="shared" ref="E13:AN13" si="8">IFERROR(IF(E11=0,"-",(E11/E12)-1),"-")</f>
        <v>-</v>
      </c>
      <c r="F13" s="214" t="str">
        <f t="shared" si="8"/>
        <v>-</v>
      </c>
      <c r="G13" s="214" t="str">
        <f t="shared" si="8"/>
        <v>-</v>
      </c>
      <c r="H13" s="214" t="str">
        <f t="shared" si="8"/>
        <v>-</v>
      </c>
      <c r="I13" s="214" t="str">
        <f t="shared" si="8"/>
        <v>-</v>
      </c>
      <c r="J13" s="214" t="str">
        <f t="shared" si="8"/>
        <v>-</v>
      </c>
      <c r="K13" s="214" t="str">
        <f t="shared" si="8"/>
        <v>-</v>
      </c>
      <c r="L13" s="214" t="str">
        <f t="shared" si="8"/>
        <v>-</v>
      </c>
      <c r="M13" s="214" t="str">
        <f t="shared" si="8"/>
        <v>-</v>
      </c>
      <c r="N13" s="214" t="str">
        <f t="shared" si="8"/>
        <v>-</v>
      </c>
      <c r="O13" s="214" t="str">
        <f t="shared" si="8"/>
        <v>-</v>
      </c>
      <c r="P13" s="294" t="str">
        <f t="shared" ca="1" si="8"/>
        <v>-</v>
      </c>
      <c r="Q13" s="214" t="str">
        <f t="shared" ca="1" si="8"/>
        <v>-</v>
      </c>
      <c r="R13" s="214" t="str">
        <f t="shared" ca="1" si="8"/>
        <v>-</v>
      </c>
      <c r="S13" s="214" t="str">
        <f t="shared" ca="1" si="8"/>
        <v>-</v>
      </c>
      <c r="T13" s="214" t="str">
        <f t="shared" ca="1" si="8"/>
        <v>-</v>
      </c>
      <c r="U13" s="214" t="str">
        <f t="shared" ca="1" si="8"/>
        <v>-</v>
      </c>
      <c r="V13" s="214" t="str">
        <f t="shared" ca="1" si="8"/>
        <v>-</v>
      </c>
      <c r="W13" s="214" t="str">
        <f t="shared" ca="1" si="8"/>
        <v>-</v>
      </c>
      <c r="X13" s="214" t="str">
        <f t="shared" ca="1" si="8"/>
        <v>-</v>
      </c>
      <c r="Y13" s="214" t="str">
        <f t="shared" ca="1" si="8"/>
        <v>-</v>
      </c>
      <c r="Z13" s="214" t="str">
        <f t="shared" ca="1" si="8"/>
        <v>-</v>
      </c>
      <c r="AA13" s="214">
        <f t="shared" ca="1" si="8"/>
        <v>-0.31367105535715356</v>
      </c>
      <c r="AB13" s="294">
        <f t="shared" ca="1" si="8"/>
        <v>-0.32385570181733858</v>
      </c>
      <c r="AC13" s="214">
        <f t="shared" ca="1" si="8"/>
        <v>0.45982842342450159</v>
      </c>
      <c r="AD13" s="214">
        <f t="shared" ca="1" si="8"/>
        <v>-1.0887253845679457E-2</v>
      </c>
      <c r="AE13" s="214">
        <f t="shared" ca="1" si="8"/>
        <v>-0.24715423646386947</v>
      </c>
      <c r="AF13" s="214">
        <f t="shared" ca="1" si="8"/>
        <v>-0.3115400259824519</v>
      </c>
      <c r="AG13" s="214">
        <f t="shared" ca="1" si="8"/>
        <v>-0.33060181075995776</v>
      </c>
      <c r="AH13" s="214">
        <f t="shared" ca="1" si="8"/>
        <v>-0.31766912315505769</v>
      </c>
      <c r="AI13" s="214">
        <f t="shared" ca="1" si="8"/>
        <v>-9.2009416310378844E-2</v>
      </c>
      <c r="AJ13" s="214">
        <f t="shared" ca="1" si="8"/>
        <v>-8.0344367523350058E-2</v>
      </c>
      <c r="AK13" s="214">
        <f t="shared" ca="1" si="8"/>
        <v>-6.231339659164159E-2</v>
      </c>
      <c r="AL13" s="214">
        <f t="shared" ca="1" si="8"/>
        <v>-9.271572888526336E-2</v>
      </c>
      <c r="AM13" s="214">
        <f t="shared" ca="1" si="8"/>
        <v>-0.10275592173472337</v>
      </c>
      <c r="AN13" s="270">
        <f t="shared" ca="1" si="8"/>
        <v>-0.1053986392277565</v>
      </c>
      <c r="AO13" s="241">
        <f t="shared" ref="AO13:AP13" ca="1" si="9">AO11-AO12</f>
        <v>-18.647378413739261</v>
      </c>
      <c r="AP13" s="242">
        <f t="shared" ca="1" si="9"/>
        <v>-198.87460158590568</v>
      </c>
      <c r="AQ13" s="243">
        <f t="shared" ref="AQ13" ca="1" si="10">IFERROR(IF(AQ11=0,"-",(AQ11/AQ12)-1),"-")</f>
        <v>-0.14465994724808551</v>
      </c>
    </row>
    <row r="14" spans="2:44" ht="15.75" x14ac:dyDescent="0.25">
      <c r="B14" t="str">
        <f t="shared" si="3"/>
        <v>PC Annual Direct</v>
      </c>
      <c r="D14" s="208" t="s">
        <v>7</v>
      </c>
      <c r="E14" s="209">
        <v>63882.723213917787</v>
      </c>
      <c r="F14" s="209">
        <v>190494.91964215893</v>
      </c>
      <c r="G14" s="209">
        <v>1642696.3571451635</v>
      </c>
      <c r="H14" s="209">
        <v>1893030.044629877</v>
      </c>
      <c r="I14" s="209">
        <v>2518272.69643497</v>
      </c>
      <c r="J14" s="209">
        <v>3361762.9107203428</v>
      </c>
      <c r="K14" s="209">
        <v>4345469.5535888178</v>
      </c>
      <c r="L14" s="209">
        <v>3200499.017860631</v>
      </c>
      <c r="M14" s="209">
        <v>2886419.687501987</v>
      </c>
      <c r="N14" s="209">
        <v>3737255.7857106323</v>
      </c>
      <c r="O14" s="209">
        <v>3416574.9642807753</v>
      </c>
      <c r="P14" s="238">
        <v>2984700.3749985681</v>
      </c>
      <c r="Q14" s="209">
        <v>2496784.9196442887</v>
      </c>
      <c r="R14" s="209">
        <v>2485175.8660695194</v>
      </c>
      <c r="S14" s="209">
        <v>2806326.1964317253</v>
      </c>
      <c r="T14" s="209">
        <v>2473860.669643865</v>
      </c>
      <c r="U14" s="209">
        <v>2812501.0892885509</v>
      </c>
      <c r="V14" s="209">
        <v>2674199.1785725723</v>
      </c>
      <c r="W14" s="209">
        <v>2814261.6160722352</v>
      </c>
      <c r="X14" s="209">
        <v>3164323.1071525621</v>
      </c>
      <c r="Y14" s="209">
        <v>3242318.7857170096</v>
      </c>
      <c r="Z14" s="209">
        <v>3772961.6517859623</v>
      </c>
      <c r="AA14" s="209">
        <v>4531577.4107139865</v>
      </c>
      <c r="AB14" s="238">
        <v>4436938.5267816978</v>
      </c>
      <c r="AC14" s="209">
        <v>4898357.5178559562</v>
      </c>
      <c r="AD14" s="209">
        <v>6020561.3392844694</v>
      </c>
      <c r="AE14" s="209">
        <v>8379482.8660593918</v>
      </c>
      <c r="AF14" s="209">
        <v>7400587.1339494968</v>
      </c>
      <c r="AG14" s="209">
        <v>7027372.4732293002</v>
      </c>
      <c r="AH14" s="209">
        <v>5899257.8392859837</v>
      </c>
      <c r="AI14" s="209">
        <v>5028309.0803608084</v>
      </c>
      <c r="AJ14" s="209">
        <v>4370600.7499995213</v>
      </c>
      <c r="AK14" s="209">
        <v>4004691.7410705085</v>
      </c>
      <c r="AL14" s="209">
        <v>3799794.5242150435</v>
      </c>
      <c r="AM14" s="209">
        <v>3985946.0892833942</v>
      </c>
      <c r="AN14" s="265">
        <v>3948053.776785614</v>
      </c>
      <c r="AO14" s="237">
        <f t="shared" ref="AO14:AO16" si="11">AVERAGE(Z14:AC14)</f>
        <v>4409958.7767844005</v>
      </c>
      <c r="AP14" s="209">
        <f>AVERAGE(R14:AC14)</f>
        <v>3342733.4680071366</v>
      </c>
      <c r="AQ14" s="238">
        <f>SUMIFS(AC14:AN14,AC$4:AN$4,"&lt;"&amp;'Title Sheet'!$C$13)</f>
        <v>64763015.131379485</v>
      </c>
    </row>
    <row r="15" spans="2:44" ht="15.75" hidden="1" x14ac:dyDescent="0.25">
      <c r="B15" t="str">
        <f>$D$2&amp;"_GWP"</f>
        <v>PC Annual Direct_GWP</v>
      </c>
      <c r="D15" s="211" t="s">
        <v>23</v>
      </c>
      <c r="E15" s="31" t="e">
        <f>INDEX('Plan Figures'!$B$94:$AP$120,MATCH('Current - MGA and MPM'!E$4,'Plan Figures'!$B$94:$B$120,0),MATCH('Current - MGA and MPM'!$B15,'Plan Figures'!$B$1:$AP$1,0))</f>
        <v>#N/A</v>
      </c>
      <c r="F15" s="31" t="e">
        <f>INDEX('Plan Figures'!$B$94:$AP$120,MATCH('Current - MGA and MPM'!F$4,'Plan Figures'!$B$94:$B$120,0),MATCH('Current - MGA and MPM'!$B15,'Plan Figures'!$B$1:$AP$1,0))</f>
        <v>#N/A</v>
      </c>
      <c r="G15" s="31" t="e">
        <f>INDEX('Plan Figures'!$B$94:$AP$120,MATCH('Current - MGA and MPM'!G$4,'Plan Figures'!$B$94:$B$120,0),MATCH('Current - MGA and MPM'!$B15,'Plan Figures'!$B$1:$AP$1,0))</f>
        <v>#N/A</v>
      </c>
      <c r="H15" s="31" t="e">
        <f>INDEX('Plan Figures'!$B$94:$AP$120,MATCH('Current - MGA and MPM'!H$4,'Plan Figures'!$B$94:$B$120,0),MATCH('Current - MGA and MPM'!$B15,'Plan Figures'!$B$1:$AP$1,0))</f>
        <v>#N/A</v>
      </c>
      <c r="I15" s="31" t="e">
        <f>INDEX('Plan Figures'!$B$94:$AP$120,MATCH('Current - MGA and MPM'!I$4,'Plan Figures'!$B$94:$B$120,0),MATCH('Current - MGA and MPM'!$B15,'Plan Figures'!$B$1:$AP$1,0))</f>
        <v>#N/A</v>
      </c>
      <c r="J15" s="31" t="e">
        <f>INDEX('Plan Figures'!$B$94:$AP$120,MATCH('Current - MGA and MPM'!J$4,'Plan Figures'!$B$94:$B$120,0),MATCH('Current - MGA and MPM'!$B15,'Plan Figures'!$B$1:$AP$1,0))</f>
        <v>#N/A</v>
      </c>
      <c r="K15" s="31" t="e">
        <f>INDEX('Plan Figures'!$B$94:$AP$120,MATCH('Current - MGA and MPM'!K$4,'Plan Figures'!$B$94:$B$120,0),MATCH('Current - MGA and MPM'!$B15,'Plan Figures'!$B$1:$AP$1,0))</f>
        <v>#N/A</v>
      </c>
      <c r="L15" s="31" t="e">
        <f>INDEX('Plan Figures'!$B$94:$AP$120,MATCH('Current - MGA and MPM'!L$4,'Plan Figures'!$B$94:$B$120,0),MATCH('Current - MGA and MPM'!$B15,'Plan Figures'!$B$1:$AP$1,0))</f>
        <v>#N/A</v>
      </c>
      <c r="M15" s="31" t="e">
        <f>INDEX('Plan Figures'!$B$94:$AP$120,MATCH('Current - MGA and MPM'!M$4,'Plan Figures'!$B$94:$B$120,0),MATCH('Current - MGA and MPM'!$B15,'Plan Figures'!$B$1:$AP$1,0))</f>
        <v>#N/A</v>
      </c>
      <c r="N15" s="31" t="e">
        <f>INDEX('Plan Figures'!$B$94:$AP$120,MATCH('Current - MGA and MPM'!N$4,'Plan Figures'!$B$94:$B$120,0),MATCH('Current - MGA and MPM'!$B15,'Plan Figures'!$B$1:$AP$1,0))</f>
        <v>#N/A</v>
      </c>
      <c r="O15" s="31" t="e">
        <f>INDEX('Plan Figures'!$B$94:$AP$120,MATCH('Current - MGA and MPM'!O$4,'Plan Figures'!$B$94:$B$120,0),MATCH('Current - MGA and MPM'!$B15,'Plan Figures'!$B$1:$AP$1,0))</f>
        <v>#N/A</v>
      </c>
      <c r="P15" s="240" t="str">
        <f ca="1">INDEX('Plan Figures'!$B$94:$AP$120,MATCH('Current - MGA and MPM'!P$4,'Plan Figures'!$B$94:$B$120,0),MATCH('Current - MGA and MPM'!$B15,'Plan Figures'!$B$1:$AP$1,0))</f>
        <v>-</v>
      </c>
      <c r="Q15" s="31" t="str">
        <f ca="1">INDEX('Plan Figures'!$B$94:$AP$120,MATCH('Current - MGA and MPM'!Q$4,'Plan Figures'!$B$94:$B$120,0),MATCH('Current - MGA and MPM'!$B15,'Plan Figures'!$B$1:$AP$1,0))</f>
        <v>-</v>
      </c>
      <c r="R15" s="31" t="str">
        <f ca="1">INDEX('Plan Figures'!$B$94:$AP$120,MATCH('Current - MGA and MPM'!R$4,'Plan Figures'!$B$94:$B$120,0),MATCH('Current - MGA and MPM'!$B15,'Plan Figures'!$B$1:$AP$1,0))</f>
        <v>-</v>
      </c>
      <c r="S15" s="31" t="str">
        <f ca="1">INDEX('Plan Figures'!$B$94:$AP$120,MATCH('Current - MGA and MPM'!S$4,'Plan Figures'!$B$94:$B$120,0),MATCH('Current - MGA and MPM'!$B15,'Plan Figures'!$B$1:$AP$1,0))</f>
        <v>-</v>
      </c>
      <c r="T15" s="31" t="str">
        <f ca="1">INDEX('Plan Figures'!$B$94:$AP$120,MATCH('Current - MGA and MPM'!T$4,'Plan Figures'!$B$94:$B$120,0),MATCH('Current - MGA and MPM'!$B15,'Plan Figures'!$B$1:$AP$1,0))</f>
        <v>-</v>
      </c>
      <c r="U15" s="31" t="str">
        <f ca="1">INDEX('Plan Figures'!$B$94:$AP$120,MATCH('Current - MGA and MPM'!U$4,'Plan Figures'!$B$94:$B$120,0),MATCH('Current - MGA and MPM'!$B15,'Plan Figures'!$B$1:$AP$1,0))</f>
        <v>-</v>
      </c>
      <c r="V15" s="31" t="str">
        <f ca="1">INDEX('Plan Figures'!$B$94:$AP$120,MATCH('Current - MGA and MPM'!V$4,'Plan Figures'!$B$94:$B$120,0),MATCH('Current - MGA and MPM'!$B15,'Plan Figures'!$B$1:$AP$1,0))</f>
        <v>-</v>
      </c>
      <c r="W15" s="31" t="str">
        <f ca="1">INDEX('Plan Figures'!$B$94:$AP$120,MATCH('Current - MGA and MPM'!W$4,'Plan Figures'!$B$94:$B$120,0),MATCH('Current - MGA and MPM'!$B15,'Plan Figures'!$B$1:$AP$1,0))</f>
        <v>-</v>
      </c>
      <c r="X15" s="31" t="str">
        <f ca="1">INDEX('Plan Figures'!$B$94:$AP$120,MATCH('Current - MGA and MPM'!X$4,'Plan Figures'!$B$94:$B$120,0),MATCH('Current - MGA and MPM'!$B15,'Plan Figures'!$B$1:$AP$1,0))</f>
        <v>-</v>
      </c>
      <c r="Y15" s="31" t="str">
        <f ca="1">INDEX('Plan Figures'!$B$94:$AP$120,MATCH('Current - MGA and MPM'!Y$4,'Plan Figures'!$B$94:$B$120,0),MATCH('Current - MGA and MPM'!$B15,'Plan Figures'!$B$1:$AP$1,0))</f>
        <v>-</v>
      </c>
      <c r="Z15" s="31" t="str">
        <f ca="1">INDEX('Plan Figures'!$B$94:$AP$120,MATCH('Current - MGA and MPM'!Z$4,'Plan Figures'!$B$94:$B$120,0),MATCH('Current - MGA and MPM'!$B15,'Plan Figures'!$B$1:$AP$1,0))</f>
        <v>-</v>
      </c>
      <c r="AA15" s="31">
        <f ca="1">INDEX('Plan Figures'!$B$94:$AP$120,MATCH('Current - MGA and MPM'!AA$4,'Plan Figures'!$B$94:$B$120,0),MATCH('Current - MGA and MPM'!$B15,'Plan Figures'!$B$1:$AP$1,0))</f>
        <v>2730383.5064988472</v>
      </c>
      <c r="AB15" s="240">
        <f ca="1">INDEX('Plan Figures'!$B$94:$AP$120,MATCH('Current - MGA and MPM'!AB$4,'Plan Figures'!$B$94:$B$120,0),MATCH('Current - MGA and MPM'!$B15,'Plan Figures'!$B$1:$AP$1,0))</f>
        <v>2820707.4327293462</v>
      </c>
      <c r="AC15" s="31">
        <f ca="1">INDEX('Plan Figures'!$B$94:$AP$120,MATCH('Current - MGA and MPM'!AC$4,'Plan Figures'!$B$94:$B$120,0),MATCH('Current - MGA and MPM'!$B15,'Plan Figures'!$B$1:$AP$1,0))</f>
        <v>7198457.7531405166</v>
      </c>
      <c r="AD15" s="31">
        <f ca="1">INDEX('Plan Figures'!$B$94:$AP$120,MATCH('Current - MGA and MPM'!AD$4,'Plan Figures'!$B$94:$B$120,0),MATCH('Current - MGA and MPM'!$B15,'Plan Figures'!$B$1:$AP$1,0))</f>
        <v>7198457.7531405166</v>
      </c>
      <c r="AE15" s="31">
        <f ca="1">INDEX('Plan Figures'!$B$94:$AP$120,MATCH('Current - MGA and MPM'!AE$4,'Plan Figures'!$B$94:$B$120,0),MATCH('Current - MGA and MPM'!$B15,'Plan Figures'!$B$1:$AP$1,0))</f>
        <v>7198457.7531405166</v>
      </c>
      <c r="AF15" s="31">
        <f ca="1">INDEX('Plan Figures'!$B$94:$AP$120,MATCH('Current - MGA and MPM'!AF$4,'Plan Figures'!$B$94:$B$120,0),MATCH('Current - MGA and MPM'!$B15,'Plan Figures'!$B$1:$AP$1,0))</f>
        <v>7198457.7531405166</v>
      </c>
      <c r="AG15" s="31">
        <f ca="1">INDEX('Plan Figures'!$B$94:$AP$120,MATCH('Current - MGA and MPM'!AG$4,'Plan Figures'!$B$94:$B$120,0),MATCH('Current - MGA and MPM'!$B15,'Plan Figures'!$B$1:$AP$1,0))</f>
        <v>7199202.3378039896</v>
      </c>
      <c r="AH15" s="31">
        <f ca="1">INDEX('Plan Figures'!$B$94:$AP$120,MATCH('Current - MGA and MPM'!AH$4,'Plan Figures'!$B$94:$B$120,0),MATCH('Current - MGA and MPM'!$B15,'Plan Figures'!$B$1:$AP$1,0))</f>
        <v>7318060.3548614681</v>
      </c>
      <c r="AI15" s="31">
        <f ca="1">INDEX('Plan Figures'!$B$94:$AP$120,MATCH('Current - MGA and MPM'!AI$4,'Plan Figures'!$B$94:$B$120,0),MATCH('Current - MGA and MPM'!$B15,'Plan Figures'!$B$1:$AP$1,0))</f>
        <v>5702766.7093693437</v>
      </c>
      <c r="AJ15" s="31">
        <f ca="1">INDEX('Plan Figures'!$B$94:$AP$120,MATCH('Current - MGA and MPM'!AJ$4,'Plan Figures'!$B$94:$B$120,0),MATCH('Current - MGA and MPM'!$B15,'Plan Figures'!$B$1:$AP$1,0))</f>
        <v>5426953.6412024517</v>
      </c>
      <c r="AK15" s="31">
        <f ca="1">INDEX('Plan Figures'!$B$94:$AP$120,MATCH('Current - MGA and MPM'!AK$4,'Plan Figures'!$B$94:$B$120,0),MATCH('Current - MGA and MPM'!$B15,'Plan Figures'!$B$1:$AP$1,0))</f>
        <v>6639050.0501694726</v>
      </c>
      <c r="AL15" s="31">
        <f ca="1">INDEX('Plan Figures'!$B$94:$AP$120,MATCH('Current - MGA and MPM'!AL$4,'Plan Figures'!$B$94:$B$120,0),MATCH('Current - MGA and MPM'!$B15,'Plan Figures'!$B$1:$AP$1,0))</f>
        <v>6813714.3506357027</v>
      </c>
      <c r="AM15" s="31">
        <f ca="1">INDEX('Plan Figures'!$B$94:$AP$120,MATCH('Current - MGA and MPM'!AM$4,'Plan Figures'!$B$94:$B$120,0),MATCH('Current - MGA and MPM'!$B15,'Plan Figures'!$B$1:$AP$1,0))</f>
        <v>5575144.8181224335</v>
      </c>
      <c r="AN15" s="266">
        <f ca="1">INDEX('Plan Figures'!$B$94:$AP$120,MATCH('Current - MGA and MPM'!AN$4,'Plan Figures'!$B$94:$B$120,0),MATCH('Current - MGA and MPM'!$B15,'Plan Figures'!$B$1:$AP$1,0))</f>
        <v>4837687.2736693304</v>
      </c>
      <c r="AO15" s="239">
        <f t="shared" ca="1" si="11"/>
        <v>4249849.5641229032</v>
      </c>
      <c r="AP15" s="31">
        <f t="shared" ref="AP15:AP16" ca="1" si="12">AVERAGE(R15:AC15)</f>
        <v>4249849.5641229032</v>
      </c>
      <c r="AQ15" s="240">
        <f ca="1">SUMIFS(AC15:AN15,AC$4:AN$4,"&lt;"&amp;'Title Sheet'!$C$13)</f>
        <v>78306410.54839626</v>
      </c>
      <c r="AR15" s="3"/>
    </row>
    <row r="16" spans="2:44" ht="15.75" hidden="1" x14ac:dyDescent="0.25">
      <c r="B16" t="str">
        <f t="shared" si="3"/>
        <v>PC Annual Direct</v>
      </c>
      <c r="D16" s="213" t="s">
        <v>0</v>
      </c>
      <c r="E16" s="214" t="str">
        <f t="shared" ref="E16:AN16" si="13">IFERROR(IF(E14=0,"-",(E14/E15)-1),"-")</f>
        <v>-</v>
      </c>
      <c r="F16" s="214" t="str">
        <f t="shared" si="13"/>
        <v>-</v>
      </c>
      <c r="G16" s="214" t="str">
        <f t="shared" si="13"/>
        <v>-</v>
      </c>
      <c r="H16" s="214" t="str">
        <f t="shared" si="13"/>
        <v>-</v>
      </c>
      <c r="I16" s="214" t="str">
        <f t="shared" si="13"/>
        <v>-</v>
      </c>
      <c r="J16" s="214" t="str">
        <f t="shared" si="13"/>
        <v>-</v>
      </c>
      <c r="K16" s="214" t="str">
        <f t="shared" si="13"/>
        <v>-</v>
      </c>
      <c r="L16" s="214" t="str">
        <f t="shared" si="13"/>
        <v>-</v>
      </c>
      <c r="M16" s="214" t="str">
        <f t="shared" si="13"/>
        <v>-</v>
      </c>
      <c r="N16" s="214" t="str">
        <f t="shared" si="13"/>
        <v>-</v>
      </c>
      <c r="O16" s="214" t="str">
        <f t="shared" si="13"/>
        <v>-</v>
      </c>
      <c r="P16" s="294" t="str">
        <f t="shared" ca="1" si="13"/>
        <v>-</v>
      </c>
      <c r="Q16" s="214" t="str">
        <f t="shared" ca="1" si="13"/>
        <v>-</v>
      </c>
      <c r="R16" s="214" t="str">
        <f t="shared" ca="1" si="13"/>
        <v>-</v>
      </c>
      <c r="S16" s="214" t="str">
        <f t="shared" ca="1" si="13"/>
        <v>-</v>
      </c>
      <c r="T16" s="214" t="str">
        <f t="shared" ca="1" si="13"/>
        <v>-</v>
      </c>
      <c r="U16" s="214" t="str">
        <f t="shared" ca="1" si="13"/>
        <v>-</v>
      </c>
      <c r="V16" s="214" t="str">
        <f t="shared" ca="1" si="13"/>
        <v>-</v>
      </c>
      <c r="W16" s="214" t="str">
        <f t="shared" ca="1" si="13"/>
        <v>-</v>
      </c>
      <c r="X16" s="214" t="str">
        <f t="shared" ca="1" si="13"/>
        <v>-</v>
      </c>
      <c r="Y16" s="214" t="str">
        <f t="shared" ca="1" si="13"/>
        <v>-</v>
      </c>
      <c r="Z16" s="214" t="str">
        <f t="shared" ca="1" si="13"/>
        <v>-</v>
      </c>
      <c r="AA16" s="214">
        <f t="shared" ca="1" si="13"/>
        <v>0.65968531524159335</v>
      </c>
      <c r="AB16" s="294">
        <f t="shared" ca="1" si="13"/>
        <v>0.5729878523730727</v>
      </c>
      <c r="AC16" s="214">
        <f t="shared" ca="1" si="13"/>
        <v>-0.3195268089586385</v>
      </c>
      <c r="AD16" s="214">
        <f t="shared" ca="1" si="13"/>
        <v>-0.16363177422860598</v>
      </c>
      <c r="AE16" s="214">
        <f t="shared" ca="1" si="13"/>
        <v>0.16406640886426294</v>
      </c>
      <c r="AF16" s="214">
        <f t="shared" ca="1" si="13"/>
        <v>2.8079539776530105E-2</v>
      </c>
      <c r="AG16" s="214">
        <f t="shared" ca="1" si="13"/>
        <v>-2.3867903208163455E-2</v>
      </c>
      <c r="AH16" s="214">
        <f t="shared" ca="1" si="13"/>
        <v>-0.19387685353441475</v>
      </c>
      <c r="AI16" s="214">
        <f t="shared" ca="1" si="13"/>
        <v>-0.11826849376469095</v>
      </c>
      <c r="AJ16" s="214">
        <f t="shared" ca="1" si="13"/>
        <v>-0.19464933018459951</v>
      </c>
      <c r="AK16" s="214">
        <f t="shared" ca="1" si="13"/>
        <v>-0.39679747692694645</v>
      </c>
      <c r="AL16" s="214">
        <f t="shared" ca="1" si="13"/>
        <v>-0.4423314027156815</v>
      </c>
      <c r="AM16" s="214">
        <f t="shared" ca="1" si="13"/>
        <v>-0.28505066337886464</v>
      </c>
      <c r="AN16" s="270">
        <f t="shared" ca="1" si="13"/>
        <v>-0.1838964460819601</v>
      </c>
      <c r="AO16" s="241">
        <f t="shared" ca="1" si="11"/>
        <v>0.30438211955200917</v>
      </c>
      <c r="AP16" s="242">
        <f t="shared" ca="1" si="12"/>
        <v>0.30438211955200917</v>
      </c>
      <c r="AQ16" s="243">
        <f t="shared" ref="AQ16" ca="1" si="14">IFERROR(IF(AQ14=0,"-",(AQ14/AQ15)-1),"-")</f>
        <v>-0.17295385297537624</v>
      </c>
    </row>
    <row r="17" spans="2:44" x14ac:dyDescent="0.25">
      <c r="B17" t="str">
        <f t="shared" si="3"/>
        <v>PC Annual Direct</v>
      </c>
      <c r="D17" s="254" t="s">
        <v>17</v>
      </c>
      <c r="E17" s="259"/>
      <c r="F17" s="259"/>
      <c r="G17" s="259"/>
      <c r="H17" s="259"/>
      <c r="I17" s="259"/>
      <c r="J17" s="259"/>
      <c r="K17" s="259"/>
      <c r="L17" s="259"/>
      <c r="M17" s="259"/>
      <c r="N17" s="259"/>
      <c r="O17" s="259"/>
      <c r="P17" s="313"/>
      <c r="Q17" s="259"/>
      <c r="R17" s="259"/>
      <c r="S17" s="259"/>
      <c r="T17" s="259"/>
      <c r="U17" s="259"/>
      <c r="V17" s="259"/>
      <c r="W17" s="259"/>
      <c r="X17" s="259"/>
      <c r="Y17" s="259"/>
      <c r="Z17" s="259"/>
      <c r="AA17" s="259"/>
      <c r="AB17" s="313"/>
      <c r="AC17" s="259"/>
      <c r="AD17" s="259"/>
      <c r="AE17" s="259"/>
      <c r="AF17" s="259"/>
      <c r="AG17" s="259"/>
      <c r="AH17" s="259"/>
      <c r="AI17" s="259"/>
      <c r="AJ17" s="259"/>
      <c r="AK17" s="259"/>
      <c r="AL17" s="259"/>
      <c r="AM17" s="259"/>
      <c r="AN17" s="267"/>
      <c r="AO17" s="277"/>
      <c r="AP17" s="277"/>
      <c r="AQ17" s="278"/>
    </row>
    <row r="18" spans="2:44" ht="16.5" thickBot="1" x14ac:dyDescent="0.3">
      <c r="D18" s="260" t="s">
        <v>198</v>
      </c>
      <c r="E18" s="261">
        <v>2.9516698974145189E-2</v>
      </c>
      <c r="F18" s="261">
        <v>9.2367606313640174E-2</v>
      </c>
      <c r="G18" s="261">
        <v>0.43927189120481591</v>
      </c>
      <c r="H18" s="261">
        <v>0.46790973807927105</v>
      </c>
      <c r="I18" s="261">
        <v>0.53871339329105239</v>
      </c>
      <c r="J18" s="261">
        <v>0.58822268411269074</v>
      </c>
      <c r="K18" s="261">
        <v>0.60658797543647336</v>
      </c>
      <c r="L18" s="261">
        <v>0.52294010847989936</v>
      </c>
      <c r="M18" s="261">
        <v>0.51998918919452586</v>
      </c>
      <c r="N18" s="261">
        <v>0.55601298723167447</v>
      </c>
      <c r="O18" s="261">
        <v>0.51580449616041879</v>
      </c>
      <c r="P18" s="262">
        <v>0.47335766485683872</v>
      </c>
      <c r="Q18" s="261">
        <v>0.40492146297735487</v>
      </c>
      <c r="R18" s="261">
        <v>0.43647761773757399</v>
      </c>
      <c r="S18" s="261">
        <v>0.41974189886008118</v>
      </c>
      <c r="T18" s="261">
        <v>0.37357172627847784</v>
      </c>
      <c r="U18" s="261">
        <v>0.37647016326788663</v>
      </c>
      <c r="V18" s="261">
        <v>0.31714962764133814</v>
      </c>
      <c r="W18" s="261">
        <v>0.31867873144353187</v>
      </c>
      <c r="X18" s="261">
        <v>0.3539828526059855</v>
      </c>
      <c r="Y18" s="261">
        <v>0.38320015932748008</v>
      </c>
      <c r="Z18" s="261">
        <v>0.4487348413970601</v>
      </c>
      <c r="AA18" s="261">
        <v>0.52816488098012826</v>
      </c>
      <c r="AB18" s="262">
        <v>0.50773738954956182</v>
      </c>
      <c r="AC18" s="261">
        <v>0.49228644433471719</v>
      </c>
      <c r="AD18" s="261">
        <v>0.55599170117844909</v>
      </c>
      <c r="AE18" s="261">
        <v>0.62754529922454128</v>
      </c>
      <c r="AF18" s="261">
        <v>0.58772798071806809</v>
      </c>
      <c r="AG18" s="261">
        <v>0.55085430158179816</v>
      </c>
      <c r="AH18" s="261">
        <v>3.3667734183866669</v>
      </c>
      <c r="AI18" s="261" t="s">
        <v>491</v>
      </c>
      <c r="AJ18" s="261" t="s">
        <v>491</v>
      </c>
      <c r="AK18" s="261" t="s">
        <v>491</v>
      </c>
      <c r="AL18" s="261" t="s">
        <v>491</v>
      </c>
      <c r="AM18" s="261" t="s">
        <v>491</v>
      </c>
      <c r="AN18" s="268" t="s">
        <v>491</v>
      </c>
      <c r="AO18" s="261"/>
      <c r="AP18" s="261"/>
      <c r="AQ18" s="262"/>
    </row>
    <row r="20" spans="2:44" ht="15.75" thickBot="1" x14ac:dyDescent="0.3"/>
    <row r="21" spans="2:44" ht="18.75" x14ac:dyDescent="0.25">
      <c r="D21" s="255" t="s">
        <v>183</v>
      </c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33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33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63"/>
      <c r="AO21" s="202"/>
      <c r="AP21" s="202"/>
      <c r="AQ21" s="233"/>
    </row>
    <row r="22" spans="2:44" x14ac:dyDescent="0.25">
      <c r="D22" s="204"/>
      <c r="E22" s="303" t="s">
        <v>341</v>
      </c>
      <c r="F22" s="303"/>
      <c r="G22" s="303"/>
      <c r="H22" s="303"/>
      <c r="I22" s="303"/>
      <c r="J22" s="303"/>
      <c r="K22" s="303"/>
      <c r="L22" s="303"/>
      <c r="M22" s="303"/>
      <c r="N22" s="303"/>
      <c r="O22" s="303"/>
      <c r="P22" s="317"/>
      <c r="Q22" s="320" t="s">
        <v>341</v>
      </c>
      <c r="R22" s="303"/>
      <c r="S22" s="303"/>
      <c r="T22" s="303"/>
      <c r="U22" s="303"/>
      <c r="V22" s="303"/>
      <c r="W22" s="303"/>
      <c r="X22" s="303"/>
      <c r="Y22" s="303"/>
      <c r="Z22" s="303"/>
      <c r="AA22" s="303"/>
      <c r="AB22" s="317"/>
      <c r="AC22" s="303" t="s">
        <v>341</v>
      </c>
      <c r="AD22" s="303"/>
      <c r="AE22" s="303"/>
      <c r="AF22" s="303"/>
      <c r="AG22" s="303"/>
      <c r="AH22" s="303"/>
      <c r="AI22" s="303"/>
      <c r="AJ22" s="303"/>
      <c r="AK22" s="303"/>
      <c r="AL22" s="303"/>
      <c r="AM22" s="303"/>
      <c r="AN22" s="317"/>
      <c r="AO22" s="510" t="s">
        <v>8</v>
      </c>
      <c r="AP22" s="511"/>
      <c r="AQ22" s="512"/>
    </row>
    <row r="23" spans="2:44" x14ac:dyDescent="0.25">
      <c r="D23" s="321" t="s">
        <v>16</v>
      </c>
      <c r="E23" s="318">
        <f t="shared" ref="E23:AN23" si="15">E$4</f>
        <v>44562</v>
      </c>
      <c r="F23" s="318">
        <f t="shared" si="15"/>
        <v>44593</v>
      </c>
      <c r="G23" s="318">
        <f t="shared" si="15"/>
        <v>44621</v>
      </c>
      <c r="H23" s="318">
        <f t="shared" si="15"/>
        <v>44652</v>
      </c>
      <c r="I23" s="318">
        <f t="shared" si="15"/>
        <v>44682</v>
      </c>
      <c r="J23" s="318">
        <f t="shared" si="15"/>
        <v>44713</v>
      </c>
      <c r="K23" s="318">
        <f t="shared" si="15"/>
        <v>44743</v>
      </c>
      <c r="L23" s="318">
        <f t="shared" si="15"/>
        <v>44774</v>
      </c>
      <c r="M23" s="318">
        <f t="shared" si="15"/>
        <v>44805</v>
      </c>
      <c r="N23" s="318">
        <f t="shared" si="15"/>
        <v>44835</v>
      </c>
      <c r="O23" s="318">
        <f t="shared" si="15"/>
        <v>44866</v>
      </c>
      <c r="P23" s="319">
        <f t="shared" si="15"/>
        <v>44896</v>
      </c>
      <c r="Q23" s="318">
        <f t="shared" si="15"/>
        <v>44927</v>
      </c>
      <c r="R23" s="318">
        <f t="shared" si="15"/>
        <v>44958</v>
      </c>
      <c r="S23" s="318">
        <f t="shared" si="15"/>
        <v>44986</v>
      </c>
      <c r="T23" s="318">
        <f t="shared" si="15"/>
        <v>45017</v>
      </c>
      <c r="U23" s="318">
        <f t="shared" si="15"/>
        <v>45047</v>
      </c>
      <c r="V23" s="318">
        <f t="shared" si="15"/>
        <v>45078</v>
      </c>
      <c r="W23" s="318">
        <f t="shared" si="15"/>
        <v>45108</v>
      </c>
      <c r="X23" s="318">
        <f t="shared" si="15"/>
        <v>45139</v>
      </c>
      <c r="Y23" s="318">
        <f t="shared" si="15"/>
        <v>45170</v>
      </c>
      <c r="Z23" s="318">
        <f t="shared" si="15"/>
        <v>45200</v>
      </c>
      <c r="AA23" s="318">
        <f t="shared" si="15"/>
        <v>45231</v>
      </c>
      <c r="AB23" s="319">
        <f t="shared" si="15"/>
        <v>45261</v>
      </c>
      <c r="AC23" s="318">
        <f t="shared" si="15"/>
        <v>45292</v>
      </c>
      <c r="AD23" s="318">
        <f t="shared" si="15"/>
        <v>45323</v>
      </c>
      <c r="AE23" s="318">
        <f t="shared" si="15"/>
        <v>45352</v>
      </c>
      <c r="AF23" s="318">
        <f t="shared" si="15"/>
        <v>45383</v>
      </c>
      <c r="AG23" s="318">
        <f t="shared" si="15"/>
        <v>45413</v>
      </c>
      <c r="AH23" s="318">
        <f t="shared" si="15"/>
        <v>45444</v>
      </c>
      <c r="AI23" s="318">
        <f t="shared" si="15"/>
        <v>45474</v>
      </c>
      <c r="AJ23" s="318">
        <f t="shared" si="15"/>
        <v>45505</v>
      </c>
      <c r="AK23" s="318">
        <f t="shared" si="15"/>
        <v>45536</v>
      </c>
      <c r="AL23" s="318">
        <f t="shared" si="15"/>
        <v>45566</v>
      </c>
      <c r="AM23" s="318">
        <f t="shared" si="15"/>
        <v>45597</v>
      </c>
      <c r="AN23" s="316">
        <f t="shared" si="15"/>
        <v>45627</v>
      </c>
      <c r="AO23" s="271" t="s">
        <v>9</v>
      </c>
      <c r="AP23" s="272" t="str">
        <f>AP4</f>
        <v>Last Year</v>
      </c>
      <c r="AQ23" s="273" t="s">
        <v>346</v>
      </c>
    </row>
    <row r="24" spans="2:44" ht="15.75" x14ac:dyDescent="0.25">
      <c r="B24" t="str">
        <f>$D$2</f>
        <v>PC Annual Direct</v>
      </c>
      <c r="D24" s="208" t="s">
        <v>316</v>
      </c>
      <c r="E24" s="209">
        <f t="shared" ref="E24:AB24" si="16">E41+E58</f>
        <v>32.958904109999992</v>
      </c>
      <c r="F24" s="209">
        <f t="shared" si="16"/>
        <v>183.15890411399999</v>
      </c>
      <c r="G24" s="209">
        <f t="shared" si="16"/>
        <v>777.1561644049998</v>
      </c>
      <c r="H24" s="209">
        <f t="shared" si="16"/>
        <v>598.16438357899995</v>
      </c>
      <c r="I24" s="209">
        <f t="shared" si="16"/>
        <v>651.84109590900027</v>
      </c>
      <c r="J24" s="209">
        <f t="shared" si="16"/>
        <v>1090.9917808519999</v>
      </c>
      <c r="K24" s="209">
        <f t="shared" si="16"/>
        <v>2201.4493151239999</v>
      </c>
      <c r="L24" s="209">
        <f t="shared" si="16"/>
        <v>1903.8082192210006</v>
      </c>
      <c r="M24" s="209">
        <f t="shared" si="16"/>
        <v>2736.468493230997</v>
      </c>
      <c r="N24" s="209">
        <f t="shared" si="16"/>
        <v>3687.6602740729986</v>
      </c>
      <c r="O24" s="209">
        <f t="shared" si="16"/>
        <v>3341.5972603647956</v>
      </c>
      <c r="P24" s="238">
        <f t="shared" si="16"/>
        <v>2526.2575343179969</v>
      </c>
      <c r="Q24" s="209">
        <f t="shared" si="16"/>
        <v>2004.9287671809998</v>
      </c>
      <c r="R24" s="209">
        <f t="shared" si="16"/>
        <v>2177.1205480079975</v>
      </c>
      <c r="S24" s="209">
        <f t="shared" si="16"/>
        <v>2686.721311545401</v>
      </c>
      <c r="T24" s="209">
        <f t="shared" si="16"/>
        <v>1944.6939891300005</v>
      </c>
      <c r="U24" s="209">
        <f t="shared" si="16"/>
        <v>1627.2103825526017</v>
      </c>
      <c r="V24" s="209">
        <f t="shared" si="16"/>
        <v>1168.2404371882005</v>
      </c>
      <c r="W24" s="209">
        <f t="shared" si="16"/>
        <v>657.13661201320099</v>
      </c>
      <c r="X24" s="209">
        <f t="shared" si="16"/>
        <v>858.71038251520122</v>
      </c>
      <c r="Y24" s="209">
        <f t="shared" si="16"/>
        <v>863.89344265020111</v>
      </c>
      <c r="Z24" s="209">
        <f t="shared" si="16"/>
        <v>1089.696721341802</v>
      </c>
      <c r="AA24" s="209">
        <f t="shared" si="16"/>
        <v>1822.3606557956</v>
      </c>
      <c r="AB24" s="238">
        <f t="shared" si="16"/>
        <v>1644.6256831067997</v>
      </c>
      <c r="AC24" s="209">
        <f>AC41+AC58</f>
        <v>1928.9098361332008</v>
      </c>
      <c r="AD24" s="209">
        <f t="shared" ref="AD24:AN24" si="17">AD41+AD58</f>
        <v>2938.8278689344006</v>
      </c>
      <c r="AE24" s="209">
        <f t="shared" si="17"/>
        <v>4719.2684932679986</v>
      </c>
      <c r="AF24" s="209">
        <f t="shared" si="17"/>
        <v>4813.9671234189964</v>
      </c>
      <c r="AG24" s="209">
        <f t="shared" si="17"/>
        <v>4822.7863015119965</v>
      </c>
      <c r="AH24" s="209">
        <f t="shared" si="17"/>
        <v>4094.0109590139946</v>
      </c>
      <c r="AI24" s="209">
        <f t="shared" si="17"/>
        <v>3413.1726028770031</v>
      </c>
      <c r="AJ24" s="209">
        <f t="shared" si="17"/>
        <v>2981.5780822710012</v>
      </c>
      <c r="AK24" s="209">
        <f t="shared" si="17"/>
        <v>2786.4410959410015</v>
      </c>
      <c r="AL24" s="209">
        <f t="shared" si="17"/>
        <v>2784.8684932270007</v>
      </c>
      <c r="AM24" s="209">
        <f t="shared" si="17"/>
        <v>3062.2739727180015</v>
      </c>
      <c r="AN24" s="265">
        <f t="shared" si="17"/>
        <v>3179.8547945970022</v>
      </c>
      <c r="AO24" s="237">
        <f t="shared" ref="AO24:AO29" si="18">AVERAGE(Z24:AC24)</f>
        <v>1621.3982240943506</v>
      </c>
      <c r="AP24" s="209">
        <f>AVERAGE(R24:AC24)</f>
        <v>1539.1100001650173</v>
      </c>
      <c r="AQ24" s="238">
        <f>SUMIFS(AC24:AN24,AC$4:AN$4,"&lt;"&amp;'Title Sheet'!$C$13)</f>
        <v>41525.959623911593</v>
      </c>
    </row>
    <row r="25" spans="2:44" ht="15.75" hidden="1" x14ac:dyDescent="0.25">
      <c r="B25" t="str">
        <f>$D$21&amp;"_W VYRs"</f>
        <v>PC Annual Direct - Annual_W VYRs</v>
      </c>
      <c r="D25" s="211" t="s">
        <v>317</v>
      </c>
      <c r="E25" s="31" t="str">
        <f>IFERROR(E42+E59,"-")</f>
        <v>-</v>
      </c>
      <c r="F25" s="31" t="str">
        <f t="shared" ref="F25:AN25" si="19">IFERROR(F42+F59,"-")</f>
        <v>-</v>
      </c>
      <c r="G25" s="31" t="str">
        <f t="shared" si="19"/>
        <v>-</v>
      </c>
      <c r="H25" s="31" t="str">
        <f t="shared" si="19"/>
        <v>-</v>
      </c>
      <c r="I25" s="31" t="str">
        <f t="shared" si="19"/>
        <v>-</v>
      </c>
      <c r="J25" s="31" t="str">
        <f t="shared" si="19"/>
        <v>-</v>
      </c>
      <c r="K25" s="31" t="str">
        <f t="shared" si="19"/>
        <v>-</v>
      </c>
      <c r="L25" s="31" t="str">
        <f t="shared" si="19"/>
        <v>-</v>
      </c>
      <c r="M25" s="31" t="str">
        <f t="shared" si="19"/>
        <v>-</v>
      </c>
      <c r="N25" s="31" t="str">
        <f t="shared" si="19"/>
        <v>-</v>
      </c>
      <c r="O25" s="31" t="str">
        <f t="shared" si="19"/>
        <v>-</v>
      </c>
      <c r="P25" s="240" t="str">
        <f t="shared" ca="1" si="19"/>
        <v>-</v>
      </c>
      <c r="Q25" s="31" t="str">
        <f t="shared" ca="1" si="19"/>
        <v>-</v>
      </c>
      <c r="R25" s="31" t="str">
        <f t="shared" ca="1" si="19"/>
        <v>-</v>
      </c>
      <c r="S25" s="31" t="str">
        <f t="shared" ca="1" si="19"/>
        <v>-</v>
      </c>
      <c r="T25" s="31" t="str">
        <f t="shared" ca="1" si="19"/>
        <v>-</v>
      </c>
      <c r="U25" s="31" t="str">
        <f t="shared" ca="1" si="19"/>
        <v>-</v>
      </c>
      <c r="V25" s="31" t="str">
        <f t="shared" ca="1" si="19"/>
        <v>-</v>
      </c>
      <c r="W25" s="31" t="str">
        <f t="shared" ca="1" si="19"/>
        <v>-</v>
      </c>
      <c r="X25" s="31" t="str">
        <f t="shared" ca="1" si="19"/>
        <v>-</v>
      </c>
      <c r="Y25" s="31" t="str">
        <f t="shared" ca="1" si="19"/>
        <v>-</v>
      </c>
      <c r="Z25" s="31" t="str">
        <f t="shared" ca="1" si="19"/>
        <v>-</v>
      </c>
      <c r="AA25" s="31">
        <f t="shared" ca="1" si="19"/>
        <v>1113.4200697273855</v>
      </c>
      <c r="AB25" s="240">
        <f t="shared" ca="1" si="19"/>
        <v>989.67431218271486</v>
      </c>
      <c r="AC25" s="31">
        <f t="shared" ca="1" si="19"/>
        <v>3440.5967237575701</v>
      </c>
      <c r="AD25" s="31">
        <f t="shared" ca="1" si="19"/>
        <v>3433.7292652271162</v>
      </c>
      <c r="AE25" s="31">
        <f t="shared" ca="1" si="19"/>
        <v>3426.8755141987185</v>
      </c>
      <c r="AF25" s="31">
        <f t="shared" ca="1" si="19"/>
        <v>3420.0354433120947</v>
      </c>
      <c r="AG25" s="31">
        <f t="shared" ca="1" si="19"/>
        <v>3413.8988311276489</v>
      </c>
      <c r="AH25" s="31">
        <f t="shared" ca="1" si="19"/>
        <v>3512.7946396779298</v>
      </c>
      <c r="AI25" s="31">
        <f t="shared" ca="1" si="19"/>
        <v>3241.3746116313787</v>
      </c>
      <c r="AJ25" s="31">
        <f t="shared" ca="1" si="19"/>
        <v>3210.168278901921</v>
      </c>
      <c r="AK25" s="31">
        <f t="shared" ca="1" si="19"/>
        <v>4391.2742500945351</v>
      </c>
      <c r="AL25" s="31">
        <f t="shared" ca="1" si="19"/>
        <v>4703.1955264553853</v>
      </c>
      <c r="AM25" s="31">
        <f t="shared" ca="1" si="19"/>
        <v>3926.4797097622131</v>
      </c>
      <c r="AN25" s="266">
        <f t="shared" ca="1" si="19"/>
        <v>3573.0039203929732</v>
      </c>
      <c r="AO25" s="239">
        <f t="shared" ca="1" si="18"/>
        <v>1847.897035222557</v>
      </c>
      <c r="AP25" s="31">
        <f t="shared" ref="AP25:AP29" ca="1" si="20">AVERAGE(R25:AC25)</f>
        <v>1847.897035222557</v>
      </c>
      <c r="AQ25" s="240">
        <f ca="1">SUMIFS(AC25:AN25,AC$4:AN$4,"&lt;"&amp;'Title Sheet'!$C$13)</f>
        <v>43693.426714539484</v>
      </c>
    </row>
    <row r="26" spans="2:44" ht="15.75" hidden="1" x14ac:dyDescent="0.25">
      <c r="B26" t="str">
        <f t="shared" ref="B26:B35" si="21">$D$2</f>
        <v>PC Annual Direct</v>
      </c>
      <c r="D26" s="213" t="s">
        <v>0</v>
      </c>
      <c r="E26" s="214" t="str">
        <f t="shared" ref="E26:AN26" si="22">IFERROR(IF(E24=0,"-",(E24/E25)-1),"-")</f>
        <v>-</v>
      </c>
      <c r="F26" s="214" t="str">
        <f t="shared" si="22"/>
        <v>-</v>
      </c>
      <c r="G26" s="214" t="str">
        <f t="shared" si="22"/>
        <v>-</v>
      </c>
      <c r="H26" s="214" t="str">
        <f t="shared" si="22"/>
        <v>-</v>
      </c>
      <c r="I26" s="214" t="str">
        <f t="shared" si="22"/>
        <v>-</v>
      </c>
      <c r="J26" s="214" t="str">
        <f t="shared" si="22"/>
        <v>-</v>
      </c>
      <c r="K26" s="214" t="str">
        <f t="shared" si="22"/>
        <v>-</v>
      </c>
      <c r="L26" s="214" t="str">
        <f t="shared" si="22"/>
        <v>-</v>
      </c>
      <c r="M26" s="214" t="str">
        <f t="shared" si="22"/>
        <v>-</v>
      </c>
      <c r="N26" s="214" t="str">
        <f t="shared" si="22"/>
        <v>-</v>
      </c>
      <c r="O26" s="214" t="str">
        <f t="shared" si="22"/>
        <v>-</v>
      </c>
      <c r="P26" s="294" t="str">
        <f t="shared" ca="1" si="22"/>
        <v>-</v>
      </c>
      <c r="Q26" s="214" t="str">
        <f t="shared" ca="1" si="22"/>
        <v>-</v>
      </c>
      <c r="R26" s="214" t="str">
        <f t="shared" ca="1" si="22"/>
        <v>-</v>
      </c>
      <c r="S26" s="214" t="str">
        <f t="shared" ca="1" si="22"/>
        <v>-</v>
      </c>
      <c r="T26" s="214" t="str">
        <f t="shared" ca="1" si="22"/>
        <v>-</v>
      </c>
      <c r="U26" s="214" t="str">
        <f t="shared" ca="1" si="22"/>
        <v>-</v>
      </c>
      <c r="V26" s="214" t="str">
        <f t="shared" ca="1" si="22"/>
        <v>-</v>
      </c>
      <c r="W26" s="214" t="str">
        <f t="shared" ca="1" si="22"/>
        <v>-</v>
      </c>
      <c r="X26" s="214" t="str">
        <f t="shared" ca="1" si="22"/>
        <v>-</v>
      </c>
      <c r="Y26" s="214" t="str">
        <f t="shared" ca="1" si="22"/>
        <v>-</v>
      </c>
      <c r="Z26" s="214" t="str">
        <f t="shared" ca="1" si="22"/>
        <v>-</v>
      </c>
      <c r="AA26" s="214">
        <f t="shared" ca="1" si="22"/>
        <v>0.63672337632803289</v>
      </c>
      <c r="AB26" s="294">
        <f t="shared" ca="1" si="22"/>
        <v>0.66178475369295731</v>
      </c>
      <c r="AC26" s="214">
        <f t="shared" ca="1" si="22"/>
        <v>-0.43936764724155597</v>
      </c>
      <c r="AD26" s="214">
        <f t="shared" ca="1" si="22"/>
        <v>-0.14412941675527857</v>
      </c>
      <c r="AE26" s="214">
        <f t="shared" ca="1" si="22"/>
        <v>0.37713449867509152</v>
      </c>
      <c r="AF26" s="214">
        <f t="shared" ca="1" si="22"/>
        <v>0.40757813865138326</v>
      </c>
      <c r="AG26" s="214">
        <f t="shared" ca="1" si="22"/>
        <v>0.41269162915380719</v>
      </c>
      <c r="AH26" s="214">
        <f t="shared" ca="1" si="22"/>
        <v>0.16545695918886771</v>
      </c>
      <c r="AI26" s="214">
        <f t="shared" ca="1" si="22"/>
        <v>5.3001584768740617E-2</v>
      </c>
      <c r="AJ26" s="214">
        <f t="shared" ca="1" si="22"/>
        <v>-7.1208166292488606E-2</v>
      </c>
      <c r="AK26" s="214">
        <f t="shared" ca="1" si="22"/>
        <v>-0.36545955974373157</v>
      </c>
      <c r="AL26" s="214">
        <f t="shared" ca="1" si="22"/>
        <v>-0.40787737240304633</v>
      </c>
      <c r="AM26" s="214">
        <f t="shared" ca="1" si="22"/>
        <v>-0.22009682996593094</v>
      </c>
      <c r="AN26" s="270">
        <f t="shared" ca="1" si="22"/>
        <v>-0.1100332198215811</v>
      </c>
      <c r="AO26" s="274">
        <f t="shared" ca="1" si="18"/>
        <v>0.28638016092647806</v>
      </c>
      <c r="AP26" s="275">
        <f t="shared" ca="1" si="20"/>
        <v>0.28638016092647806</v>
      </c>
      <c r="AQ26" s="276">
        <f t="shared" ref="AQ26" ca="1" si="23">IFERROR(IF(AQ24=0,"-",(AQ24/AQ25)-1),"-")</f>
        <v>-4.9606250953684983E-2</v>
      </c>
    </row>
    <row r="27" spans="2:44" ht="15.75" x14ac:dyDescent="0.25">
      <c r="B27" t="str">
        <f t="shared" si="21"/>
        <v>PC Annual Direct</v>
      </c>
      <c r="D27" s="208" t="s">
        <v>5</v>
      </c>
      <c r="E27" s="209">
        <f t="shared" ref="E27:AB27" si="24">E44+E61</f>
        <v>54404.443214097795</v>
      </c>
      <c r="F27" s="209">
        <f t="shared" si="24"/>
        <v>154577.88964227081</v>
      </c>
      <c r="G27" s="209">
        <f t="shared" si="24"/>
        <v>483467.82464259694</v>
      </c>
      <c r="H27" s="209">
        <f t="shared" si="24"/>
        <v>538846.57178365299</v>
      </c>
      <c r="I27" s="209">
        <f t="shared" si="24"/>
        <v>694728.56106937001</v>
      </c>
      <c r="J27" s="209">
        <f t="shared" si="24"/>
        <v>973925.98714369722</v>
      </c>
      <c r="K27" s="209">
        <f t="shared" si="24"/>
        <v>1780448.7428612791</v>
      </c>
      <c r="L27" s="209">
        <f t="shared" si="24"/>
        <v>1529874.777141179</v>
      </c>
      <c r="M27" s="209">
        <f t="shared" si="24"/>
        <v>2131022.4157159706</v>
      </c>
      <c r="N27" s="209">
        <f t="shared" si="24"/>
        <v>2601431.4985689996</v>
      </c>
      <c r="O27" s="209">
        <f t="shared" si="24"/>
        <v>2062684.991425006</v>
      </c>
      <c r="P27" s="238">
        <f t="shared" si="24"/>
        <v>1540263.1332138116</v>
      </c>
      <c r="Q27" s="209">
        <f t="shared" si="24"/>
        <v>1086160.0635735805</v>
      </c>
      <c r="R27" s="209">
        <f t="shared" si="24"/>
        <v>1100141.5299974654</v>
      </c>
      <c r="S27" s="209">
        <f t="shared" si="24"/>
        <v>1168566.6321445385</v>
      </c>
      <c r="T27" s="209">
        <f t="shared" si="24"/>
        <v>918911.07178519689</v>
      </c>
      <c r="U27" s="209">
        <f t="shared" si="24"/>
        <v>1069510.8107149289</v>
      </c>
      <c r="V27" s="209">
        <f t="shared" si="24"/>
        <v>945624.45928729349</v>
      </c>
      <c r="W27" s="209">
        <f t="shared" si="24"/>
        <v>896470.2778577751</v>
      </c>
      <c r="X27" s="209">
        <f t="shared" si="24"/>
        <v>1071653.1207244031</v>
      </c>
      <c r="Y27" s="209">
        <f t="shared" si="24"/>
        <v>1115138.8496423969</v>
      </c>
      <c r="Z27" s="209">
        <f t="shared" si="24"/>
        <v>1337651.323214008</v>
      </c>
      <c r="AA27" s="209">
        <f t="shared" si="24"/>
        <v>1843053.8217862977</v>
      </c>
      <c r="AB27" s="238">
        <f t="shared" si="24"/>
        <v>1639641.0149972043</v>
      </c>
      <c r="AC27" s="209">
        <f>AC44+AC61</f>
        <v>2063723.8753563585</v>
      </c>
      <c r="AD27" s="209">
        <f t="shared" ref="AD27:AN27" si="25">AD44+AD61</f>
        <v>3552789.3432058739</v>
      </c>
      <c r="AE27" s="209">
        <f t="shared" si="25"/>
        <v>5900791.1803528909</v>
      </c>
      <c r="AF27" s="209">
        <f t="shared" si="25"/>
        <v>5312417.110375477</v>
      </c>
      <c r="AG27" s="209">
        <f t="shared" si="25"/>
        <v>5056237.0814412851</v>
      </c>
      <c r="AH27" s="209">
        <f t="shared" si="25"/>
        <v>4220634.4728614129</v>
      </c>
      <c r="AI27" s="209">
        <f t="shared" si="25"/>
        <v>3519487.3310718127</v>
      </c>
      <c r="AJ27" s="209">
        <f t="shared" si="25"/>
        <v>3079046.2346450021</v>
      </c>
      <c r="AK27" s="209">
        <f t="shared" si="25"/>
        <v>2930375.0310712364</v>
      </c>
      <c r="AL27" s="209">
        <f t="shared" si="25"/>
        <v>2889518.8731429037</v>
      </c>
      <c r="AM27" s="209">
        <f t="shared" si="25"/>
        <v>3294957.1614266383</v>
      </c>
      <c r="AN27" s="265">
        <f t="shared" si="25"/>
        <v>3435668.2439280208</v>
      </c>
      <c r="AO27" s="237">
        <f t="shared" si="18"/>
        <v>1721017.5088384671</v>
      </c>
      <c r="AP27" s="209">
        <f t="shared" si="20"/>
        <v>1264173.8989589887</v>
      </c>
      <c r="AQ27" s="238">
        <f>SUMIFS(AC27:AN27,AC$4:AN$4,"&lt;"&amp;'Title Sheet'!$C$13)</f>
        <v>45255645.938878916</v>
      </c>
    </row>
    <row r="28" spans="2:44" ht="15.75" x14ac:dyDescent="0.25">
      <c r="B28" t="str">
        <f>$D$21&amp;"_NWP"</f>
        <v>PC Annual Direct - Annual_NWP</v>
      </c>
      <c r="D28" s="211" t="s">
        <v>6</v>
      </c>
      <c r="E28" s="31" t="str">
        <f>IFERROR(E45+E62,"-")</f>
        <v>-</v>
      </c>
      <c r="F28" s="31" t="str">
        <f t="shared" ref="F28:AN28" si="26">IFERROR(F45+F62,"-")</f>
        <v>-</v>
      </c>
      <c r="G28" s="31" t="str">
        <f t="shared" si="26"/>
        <v>-</v>
      </c>
      <c r="H28" s="31" t="str">
        <f t="shared" si="26"/>
        <v>-</v>
      </c>
      <c r="I28" s="31" t="str">
        <f t="shared" si="26"/>
        <v>-</v>
      </c>
      <c r="J28" s="31" t="str">
        <f t="shared" si="26"/>
        <v>-</v>
      </c>
      <c r="K28" s="31" t="str">
        <f t="shared" si="26"/>
        <v>-</v>
      </c>
      <c r="L28" s="31" t="str">
        <f t="shared" si="26"/>
        <v>-</v>
      </c>
      <c r="M28" s="31" t="str">
        <f t="shared" si="26"/>
        <v>-</v>
      </c>
      <c r="N28" s="31" t="str">
        <f t="shared" si="26"/>
        <v>-</v>
      </c>
      <c r="O28" s="31" t="str">
        <f t="shared" si="26"/>
        <v>-</v>
      </c>
      <c r="P28" s="240" t="str">
        <f t="shared" ca="1" si="26"/>
        <v>-</v>
      </c>
      <c r="Q28" s="31" t="str">
        <f t="shared" ca="1" si="26"/>
        <v>-</v>
      </c>
      <c r="R28" s="31" t="str">
        <f t="shared" ca="1" si="26"/>
        <v>-</v>
      </c>
      <c r="S28" s="31" t="str">
        <f t="shared" ca="1" si="26"/>
        <v>-</v>
      </c>
      <c r="T28" s="31" t="str">
        <f t="shared" ca="1" si="26"/>
        <v>-</v>
      </c>
      <c r="U28" s="31" t="str">
        <f t="shared" ca="1" si="26"/>
        <v>-</v>
      </c>
      <c r="V28" s="31" t="str">
        <f t="shared" ca="1" si="26"/>
        <v>-</v>
      </c>
      <c r="W28" s="31" t="str">
        <f t="shared" ca="1" si="26"/>
        <v>-</v>
      </c>
      <c r="X28" s="31" t="str">
        <f t="shared" ca="1" si="26"/>
        <v>-</v>
      </c>
      <c r="Y28" s="31" t="str">
        <f t="shared" ca="1" si="26"/>
        <v>-</v>
      </c>
      <c r="Z28" s="31" t="str">
        <f t="shared" ca="1" si="26"/>
        <v>-</v>
      </c>
      <c r="AA28" s="31">
        <f t="shared" ca="1" si="26"/>
        <v>1201948.8602582696</v>
      </c>
      <c r="AB28" s="240">
        <f t="shared" ca="1" si="26"/>
        <v>1130181.9540233866</v>
      </c>
      <c r="AC28" s="31">
        <f t="shared" ca="1" si="26"/>
        <v>1235960.0527141613</v>
      </c>
      <c r="AD28" s="31">
        <f t="shared" ca="1" si="26"/>
        <v>3209687.704195444</v>
      </c>
      <c r="AE28" s="31">
        <f t="shared" ca="1" si="26"/>
        <v>5072820.0524703469</v>
      </c>
      <c r="AF28" s="31">
        <f t="shared" ca="1" si="26"/>
        <v>5239479.5187660325</v>
      </c>
      <c r="AG28" s="31">
        <f t="shared" ca="1" si="26"/>
        <v>5303355.8491957653</v>
      </c>
      <c r="AH28" s="31">
        <f t="shared" ca="1" si="26"/>
        <v>5403246.6544383466</v>
      </c>
      <c r="AI28" s="31">
        <f t="shared" ca="1" si="26"/>
        <v>3637466.5510302437</v>
      </c>
      <c r="AJ28" s="31">
        <f t="shared" ca="1" si="26"/>
        <v>3591493.9019086361</v>
      </c>
      <c r="AK28" s="31">
        <f t="shared" ca="1" si="26"/>
        <v>4955142.3580386769</v>
      </c>
      <c r="AL28" s="31">
        <f t="shared" ca="1" si="26"/>
        <v>5435486.3438475803</v>
      </c>
      <c r="AM28" s="31">
        <f t="shared" ca="1" si="26"/>
        <v>4741100.2670995463</v>
      </c>
      <c r="AN28" s="266">
        <f t="shared" ca="1" si="26"/>
        <v>4339440.1880950555</v>
      </c>
      <c r="AO28" s="239">
        <f t="shared" ca="1" si="18"/>
        <v>1189363.6223319394</v>
      </c>
      <c r="AP28" s="31">
        <f t="shared" ca="1" si="20"/>
        <v>1189363.6223319394</v>
      </c>
      <c r="AQ28" s="240">
        <f ca="1">SUMIFS(AC28:AN28,AC$4:AN$4,"&lt;"&amp;'Title Sheet'!$C$13)</f>
        <v>52164679.441799834</v>
      </c>
    </row>
    <row r="29" spans="2:44" ht="15.75" x14ac:dyDescent="0.25">
      <c r="B29" t="str">
        <f t="shared" si="21"/>
        <v>PC Annual Direct</v>
      </c>
      <c r="D29" s="213" t="s">
        <v>0</v>
      </c>
      <c r="E29" s="214" t="str">
        <f t="shared" ref="E29:AN29" si="27">IFERROR(IF(E27=0,"-",(E27/E28)-1),"-")</f>
        <v>-</v>
      </c>
      <c r="F29" s="214" t="str">
        <f t="shared" si="27"/>
        <v>-</v>
      </c>
      <c r="G29" s="214" t="str">
        <f t="shared" si="27"/>
        <v>-</v>
      </c>
      <c r="H29" s="214" t="str">
        <f t="shared" si="27"/>
        <v>-</v>
      </c>
      <c r="I29" s="214" t="str">
        <f t="shared" si="27"/>
        <v>-</v>
      </c>
      <c r="J29" s="214" t="str">
        <f t="shared" si="27"/>
        <v>-</v>
      </c>
      <c r="K29" s="214" t="str">
        <f t="shared" si="27"/>
        <v>-</v>
      </c>
      <c r="L29" s="214" t="str">
        <f t="shared" si="27"/>
        <v>-</v>
      </c>
      <c r="M29" s="214" t="str">
        <f t="shared" si="27"/>
        <v>-</v>
      </c>
      <c r="N29" s="214" t="str">
        <f t="shared" si="27"/>
        <v>-</v>
      </c>
      <c r="O29" s="214" t="str">
        <f t="shared" si="27"/>
        <v>-</v>
      </c>
      <c r="P29" s="294" t="str">
        <f t="shared" ca="1" si="27"/>
        <v>-</v>
      </c>
      <c r="Q29" s="214" t="str">
        <f t="shared" ca="1" si="27"/>
        <v>-</v>
      </c>
      <c r="R29" s="214" t="str">
        <f t="shared" ca="1" si="27"/>
        <v>-</v>
      </c>
      <c r="S29" s="214" t="str">
        <f t="shared" ca="1" si="27"/>
        <v>-</v>
      </c>
      <c r="T29" s="214" t="str">
        <f t="shared" ca="1" si="27"/>
        <v>-</v>
      </c>
      <c r="U29" s="214" t="str">
        <f t="shared" ca="1" si="27"/>
        <v>-</v>
      </c>
      <c r="V29" s="214" t="str">
        <f t="shared" ca="1" si="27"/>
        <v>-</v>
      </c>
      <c r="W29" s="214" t="str">
        <f t="shared" ca="1" si="27"/>
        <v>-</v>
      </c>
      <c r="X29" s="214" t="str">
        <f t="shared" ca="1" si="27"/>
        <v>-</v>
      </c>
      <c r="Y29" s="214" t="str">
        <f t="shared" ca="1" si="27"/>
        <v>-</v>
      </c>
      <c r="Z29" s="214" t="str">
        <f t="shared" ca="1" si="27"/>
        <v>-</v>
      </c>
      <c r="AA29" s="214">
        <f t="shared" ca="1" si="27"/>
        <v>0.53338788589580277</v>
      </c>
      <c r="AB29" s="294">
        <f t="shared" ca="1" si="27"/>
        <v>0.45077614198330718</v>
      </c>
      <c r="AC29" s="214">
        <f t="shared" ca="1" si="27"/>
        <v>0.66973347627573587</v>
      </c>
      <c r="AD29" s="214">
        <f t="shared" ca="1" si="27"/>
        <v>0.1068956455053105</v>
      </c>
      <c r="AE29" s="214">
        <f t="shared" ca="1" si="27"/>
        <v>0.16321712958837176</v>
      </c>
      <c r="AF29" s="214">
        <f t="shared" ca="1" si="27"/>
        <v>1.3920770440691177E-2</v>
      </c>
      <c r="AG29" s="214">
        <f t="shared" ca="1" si="27"/>
        <v>-4.6596678552497051E-2</v>
      </c>
      <c r="AH29" s="214">
        <f t="shared" ca="1" si="27"/>
        <v>-0.21887066373427722</v>
      </c>
      <c r="AI29" s="214">
        <f t="shared" ca="1" si="27"/>
        <v>-3.2434448070736366E-2</v>
      </c>
      <c r="AJ29" s="214">
        <f t="shared" ca="1" si="27"/>
        <v>-0.14268370802225305</v>
      </c>
      <c r="AK29" s="214">
        <f t="shared" ca="1" si="27"/>
        <v>-0.40861940599601165</v>
      </c>
      <c r="AL29" s="214">
        <f t="shared" ca="1" si="27"/>
        <v>-0.46839736311479352</v>
      </c>
      <c r="AM29" s="214">
        <f t="shared" ca="1" si="27"/>
        <v>-0.30502267916759584</v>
      </c>
      <c r="AN29" s="270">
        <f t="shared" ca="1" si="27"/>
        <v>-0.20826924787360102</v>
      </c>
      <c r="AO29" s="274">
        <f t="shared" ca="1" si="18"/>
        <v>0.55129916805161527</v>
      </c>
      <c r="AP29" s="275">
        <f t="shared" ca="1" si="20"/>
        <v>0.55129916805161527</v>
      </c>
      <c r="AQ29" s="276">
        <f t="shared" ref="AQ29" ca="1" si="28">IFERROR(IF(AQ27=0,"-",(AQ27/AQ28)-1),"-")</f>
        <v>-0.13244658218650285</v>
      </c>
    </row>
    <row r="30" spans="2:44" ht="15.75" x14ac:dyDescent="0.25">
      <c r="B30" t="str">
        <f t="shared" si="21"/>
        <v>PC Annual Direct</v>
      </c>
      <c r="D30" s="208" t="s">
        <v>12</v>
      </c>
      <c r="E30" s="209">
        <f t="shared" ref="E30:AP31" si="29">IFERROR(E27/E24,0)</f>
        <v>1650.6751265916957</v>
      </c>
      <c r="F30" s="209">
        <f t="shared" si="29"/>
        <v>843.95509129089317</v>
      </c>
      <c r="G30" s="209">
        <f t="shared" si="29"/>
        <v>622.09868078798013</v>
      </c>
      <c r="H30" s="209">
        <f t="shared" si="29"/>
        <v>900.8335945372902</v>
      </c>
      <c r="I30" s="209">
        <f t="shared" si="29"/>
        <v>1065.7943560624428</v>
      </c>
      <c r="J30" s="209">
        <f t="shared" si="29"/>
        <v>892.69782251074218</v>
      </c>
      <c r="K30" s="209">
        <f t="shared" si="29"/>
        <v>808.76208715302289</v>
      </c>
      <c r="L30" s="209">
        <f t="shared" si="29"/>
        <v>803.58660168363622</v>
      </c>
      <c r="M30" s="209">
        <f t="shared" si="29"/>
        <v>778.74911441053519</v>
      </c>
      <c r="N30" s="209">
        <f t="shared" si="29"/>
        <v>705.44228731128044</v>
      </c>
      <c r="O30" s="209">
        <f t="shared" si="29"/>
        <v>617.27516235748487</v>
      </c>
      <c r="P30" s="238">
        <f t="shared" si="29"/>
        <v>609.70154954119903</v>
      </c>
      <c r="Q30" s="209">
        <f t="shared" si="29"/>
        <v>541.74496438632059</v>
      </c>
      <c r="R30" s="209">
        <f t="shared" si="29"/>
        <v>505.31952904677843</v>
      </c>
      <c r="S30" s="209">
        <f t="shared" si="29"/>
        <v>434.94151295966731</v>
      </c>
      <c r="T30" s="209">
        <f t="shared" si="29"/>
        <v>472.52219471110254</v>
      </c>
      <c r="U30" s="209">
        <f t="shared" si="29"/>
        <v>657.26646178178225</v>
      </c>
      <c r="V30" s="209">
        <f t="shared" si="29"/>
        <v>809.44335531073204</v>
      </c>
      <c r="W30" s="209">
        <f t="shared" si="29"/>
        <v>1364.206865770806</v>
      </c>
      <c r="X30" s="209">
        <f t="shared" si="29"/>
        <v>1247.9796943708577</v>
      </c>
      <c r="Y30" s="209">
        <f t="shared" si="29"/>
        <v>1290.8291631679019</v>
      </c>
      <c r="Z30" s="209">
        <f t="shared" si="29"/>
        <v>1227.5445975159823</v>
      </c>
      <c r="AA30" s="209">
        <f t="shared" si="29"/>
        <v>1011.3551430804258</v>
      </c>
      <c r="AB30" s="238">
        <f t="shared" si="29"/>
        <v>996.96911694813195</v>
      </c>
      <c r="AC30" s="209">
        <f t="shared" si="29"/>
        <v>1069.8913120239013</v>
      </c>
      <c r="AD30" s="209">
        <f t="shared" si="29"/>
        <v>1208.9137239923111</v>
      </c>
      <c r="AE30" s="209">
        <f t="shared" si="29"/>
        <v>1250.3614042664294</v>
      </c>
      <c r="AF30" s="209">
        <f t="shared" si="29"/>
        <v>1103.5424576398996</v>
      </c>
      <c r="AG30" s="209">
        <f t="shared" si="29"/>
        <v>1048.4057897933606</v>
      </c>
      <c r="AH30" s="209">
        <f t="shared" si="29"/>
        <v>1030.9289630914702</v>
      </c>
      <c r="AI30" s="209">
        <f t="shared" si="29"/>
        <v>1031.1483597709637</v>
      </c>
      <c r="AJ30" s="209">
        <f t="shared" si="29"/>
        <v>1032.6901223729687</v>
      </c>
      <c r="AK30" s="209">
        <f t="shared" si="29"/>
        <v>1051.6551149564593</v>
      </c>
      <c r="AL30" s="209">
        <f t="shared" si="29"/>
        <v>1037.5782124615291</v>
      </c>
      <c r="AM30" s="209">
        <f t="shared" si="29"/>
        <v>1075.9837920387354</v>
      </c>
      <c r="AN30" s="265">
        <f t="shared" si="29"/>
        <v>1080.4481543514753</v>
      </c>
      <c r="AO30" s="237">
        <f t="shared" si="29"/>
        <v>1061.4403563934825</v>
      </c>
      <c r="AP30" s="209">
        <f t="shared" si="29"/>
        <v>821.36682811719049</v>
      </c>
      <c r="AQ30" s="238">
        <f>SUMIFS(AC30:AN30,AC$4:AN$4,"&lt;"&amp;'Title Sheet'!$C$13)</f>
        <v>13021.547406759504</v>
      </c>
    </row>
    <row r="31" spans="2:44" ht="15.75" hidden="1" x14ac:dyDescent="0.25">
      <c r="B31" t="str">
        <f t="shared" si="21"/>
        <v>PC Annual Direct</v>
      </c>
      <c r="D31" s="211" t="s">
        <v>13</v>
      </c>
      <c r="E31" s="31">
        <f t="shared" si="29"/>
        <v>0</v>
      </c>
      <c r="F31" s="31">
        <f t="shared" si="29"/>
        <v>0</v>
      </c>
      <c r="G31" s="31">
        <f t="shared" si="29"/>
        <v>0</v>
      </c>
      <c r="H31" s="31">
        <f t="shared" si="29"/>
        <v>0</v>
      </c>
      <c r="I31" s="31">
        <f t="shared" si="29"/>
        <v>0</v>
      </c>
      <c r="J31" s="31">
        <f t="shared" si="29"/>
        <v>0</v>
      </c>
      <c r="K31" s="31">
        <f t="shared" si="29"/>
        <v>0</v>
      </c>
      <c r="L31" s="31">
        <f t="shared" si="29"/>
        <v>0</v>
      </c>
      <c r="M31" s="31">
        <f t="shared" si="29"/>
        <v>0</v>
      </c>
      <c r="N31" s="31">
        <f t="shared" si="29"/>
        <v>0</v>
      </c>
      <c r="O31" s="31">
        <f t="shared" si="29"/>
        <v>0</v>
      </c>
      <c r="P31" s="240">
        <f t="shared" ca="1" si="29"/>
        <v>0</v>
      </c>
      <c r="Q31" s="31">
        <f t="shared" ca="1" si="29"/>
        <v>0</v>
      </c>
      <c r="R31" s="31">
        <f t="shared" ca="1" si="29"/>
        <v>0</v>
      </c>
      <c r="S31" s="31">
        <f t="shared" ca="1" si="29"/>
        <v>0</v>
      </c>
      <c r="T31" s="31">
        <f t="shared" ca="1" si="29"/>
        <v>0</v>
      </c>
      <c r="U31" s="31">
        <f t="shared" ca="1" si="29"/>
        <v>0</v>
      </c>
      <c r="V31" s="31">
        <f t="shared" ca="1" si="29"/>
        <v>0</v>
      </c>
      <c r="W31" s="31">
        <f t="shared" ca="1" si="29"/>
        <v>0</v>
      </c>
      <c r="X31" s="31">
        <f t="shared" ca="1" si="29"/>
        <v>0</v>
      </c>
      <c r="Y31" s="31">
        <f t="shared" ca="1" si="29"/>
        <v>0</v>
      </c>
      <c r="Z31" s="31">
        <f t="shared" ca="1" si="29"/>
        <v>0</v>
      </c>
      <c r="AA31" s="31">
        <f t="shared" ca="1" si="29"/>
        <v>1079.510683288258</v>
      </c>
      <c r="AB31" s="240">
        <f t="shared" ca="1" si="29"/>
        <v>1141.9736170890237</v>
      </c>
      <c r="AC31" s="31">
        <f t="shared" ca="1" si="29"/>
        <v>359.22839900990647</v>
      </c>
      <c r="AD31" s="31">
        <f t="shared" ca="1" si="29"/>
        <v>934.75270071507703</v>
      </c>
      <c r="AE31" s="31">
        <f t="shared" ca="1" si="29"/>
        <v>1480.3047357430746</v>
      </c>
      <c r="AF31" s="31">
        <f t="shared" ca="1" si="29"/>
        <v>1531.9956782938827</v>
      </c>
      <c r="AG31" s="31">
        <f t="shared" ca="1" si="29"/>
        <v>1553.4601672551637</v>
      </c>
      <c r="AH31" s="31">
        <f t="shared" ca="1" si="29"/>
        <v>1538.161836563763</v>
      </c>
      <c r="AI31" s="31">
        <f t="shared" ca="1" si="29"/>
        <v>1122.1987541882772</v>
      </c>
      <c r="AJ31" s="31">
        <f t="shared" ca="1" si="29"/>
        <v>1118.7868017738786</v>
      </c>
      <c r="AK31" s="31">
        <f t="shared" ca="1" si="29"/>
        <v>1128.4064888299797</v>
      </c>
      <c r="AL31" s="31">
        <f t="shared" ca="1" si="29"/>
        <v>1155.700696106099</v>
      </c>
      <c r="AM31" s="31">
        <f t="shared" ca="1" si="29"/>
        <v>1207.4684240216452</v>
      </c>
      <c r="AN31" s="266">
        <f t="shared" ca="1" si="29"/>
        <v>1214.5075361735921</v>
      </c>
      <c r="AO31" s="239">
        <f t="shared" ca="1" si="29"/>
        <v>643.63089482888574</v>
      </c>
      <c r="AP31" s="31">
        <f t="shared" ca="1" si="29"/>
        <v>643.63089482888574</v>
      </c>
      <c r="AQ31" s="240">
        <f ca="1">SUMIFS(AC31:AN31,AC$4:AN$4,"&lt;"&amp;'Title Sheet'!$C$13)</f>
        <v>14344.97221867434</v>
      </c>
      <c r="AR31" s="3"/>
    </row>
    <row r="32" spans="2:44" ht="15.75" hidden="1" x14ac:dyDescent="0.25">
      <c r="B32" t="str">
        <f t="shared" si="21"/>
        <v>PC Annual Direct</v>
      </c>
      <c r="D32" s="213" t="s">
        <v>0</v>
      </c>
      <c r="E32" s="214" t="str">
        <f t="shared" ref="E32:AN32" si="30">IFERROR(IF(E30=0,"-",(E30/E31)-1),"-")</f>
        <v>-</v>
      </c>
      <c r="F32" s="214" t="str">
        <f t="shared" si="30"/>
        <v>-</v>
      </c>
      <c r="G32" s="214" t="str">
        <f t="shared" si="30"/>
        <v>-</v>
      </c>
      <c r="H32" s="214" t="str">
        <f t="shared" si="30"/>
        <v>-</v>
      </c>
      <c r="I32" s="214" t="str">
        <f t="shared" si="30"/>
        <v>-</v>
      </c>
      <c r="J32" s="214" t="str">
        <f t="shared" si="30"/>
        <v>-</v>
      </c>
      <c r="K32" s="214" t="str">
        <f t="shared" si="30"/>
        <v>-</v>
      </c>
      <c r="L32" s="214" t="str">
        <f t="shared" si="30"/>
        <v>-</v>
      </c>
      <c r="M32" s="214" t="str">
        <f t="shared" si="30"/>
        <v>-</v>
      </c>
      <c r="N32" s="214" t="str">
        <f t="shared" si="30"/>
        <v>-</v>
      </c>
      <c r="O32" s="214" t="str">
        <f t="shared" si="30"/>
        <v>-</v>
      </c>
      <c r="P32" s="294" t="str">
        <f t="shared" ca="1" si="30"/>
        <v>-</v>
      </c>
      <c r="Q32" s="214" t="str">
        <f t="shared" ca="1" si="30"/>
        <v>-</v>
      </c>
      <c r="R32" s="214" t="str">
        <f t="shared" ca="1" si="30"/>
        <v>-</v>
      </c>
      <c r="S32" s="214" t="str">
        <f t="shared" ca="1" si="30"/>
        <v>-</v>
      </c>
      <c r="T32" s="214" t="str">
        <f t="shared" ca="1" si="30"/>
        <v>-</v>
      </c>
      <c r="U32" s="214" t="str">
        <f t="shared" ca="1" si="30"/>
        <v>-</v>
      </c>
      <c r="V32" s="214" t="str">
        <f t="shared" ca="1" si="30"/>
        <v>-</v>
      </c>
      <c r="W32" s="214" t="str">
        <f t="shared" ca="1" si="30"/>
        <v>-</v>
      </c>
      <c r="X32" s="214" t="str">
        <f t="shared" ca="1" si="30"/>
        <v>-</v>
      </c>
      <c r="Y32" s="214" t="str">
        <f t="shared" ca="1" si="30"/>
        <v>-</v>
      </c>
      <c r="Z32" s="214" t="str">
        <f t="shared" ca="1" si="30"/>
        <v>-</v>
      </c>
      <c r="AA32" s="214">
        <f t="shared" ca="1" si="30"/>
        <v>-6.3135586579121217E-2</v>
      </c>
      <c r="AB32" s="294">
        <f t="shared" ca="1" si="30"/>
        <v>-0.12697710172194621</v>
      </c>
      <c r="AC32" s="214">
        <f t="shared" ca="1" si="30"/>
        <v>1.9783038172168474</v>
      </c>
      <c r="AD32" s="214">
        <f t="shared" ca="1" si="30"/>
        <v>0.29329792047405001</v>
      </c>
      <c r="AE32" s="214">
        <f t="shared" ca="1" si="30"/>
        <v>-0.15533513196606752</v>
      </c>
      <c r="AF32" s="214">
        <f t="shared" ca="1" si="30"/>
        <v>-0.27966999301925777</v>
      </c>
      <c r="AG32" s="214">
        <f t="shared" ca="1" si="30"/>
        <v>-0.32511575649486568</v>
      </c>
      <c r="AH32" s="214">
        <f t="shared" ca="1" si="30"/>
        <v>-0.32976560815307032</v>
      </c>
      <c r="AI32" s="214">
        <f t="shared" ca="1" si="30"/>
        <v>-8.1135711546189704E-2</v>
      </c>
      <c r="AJ32" s="214">
        <f t="shared" ca="1" si="30"/>
        <v>-7.6955394239903718E-2</v>
      </c>
      <c r="AK32" s="214">
        <f t="shared" ca="1" si="30"/>
        <v>-6.8017487167325807E-2</v>
      </c>
      <c r="AL32" s="214">
        <f t="shared" ca="1" si="30"/>
        <v>-0.10220854243885102</v>
      </c>
      <c r="AM32" s="214">
        <f t="shared" ca="1" si="30"/>
        <v>-0.10889281190888755</v>
      </c>
      <c r="AN32" s="270">
        <f t="shared" ca="1" si="30"/>
        <v>-0.11038167967609502</v>
      </c>
      <c r="AO32" s="274">
        <f t="shared" ref="AO32:AP32" ca="1" si="31">AO30-AO31</f>
        <v>417.80946156459675</v>
      </c>
      <c r="AP32" s="275">
        <f t="shared" ca="1" si="31"/>
        <v>177.73593328830475</v>
      </c>
      <c r="AQ32" s="276">
        <f t="shared" ref="AQ32" ca="1" si="32">IFERROR(IF(AQ30=0,"-",(AQ30/AQ31)-1),"-")</f>
        <v>-9.2257049490273468E-2</v>
      </c>
    </row>
    <row r="33" spans="2:44" x14ac:dyDescent="0.25">
      <c r="B33" t="str">
        <f t="shared" si="21"/>
        <v>PC Annual Direct</v>
      </c>
      <c r="D33" s="254" t="s">
        <v>17</v>
      </c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313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313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67"/>
      <c r="AO33" s="277"/>
      <c r="AP33" s="277"/>
      <c r="AQ33" s="278">
        <f>SUMIFS(AC33:AN33,AC$4:AN$4,"&lt;"&amp;'Title Sheet'!$C$13)</f>
        <v>0</v>
      </c>
    </row>
    <row r="34" spans="2:44" ht="15.75" x14ac:dyDescent="0.25">
      <c r="B34" t="str">
        <f t="shared" si="21"/>
        <v>PC Annual Direct</v>
      </c>
      <c r="D34" s="208" t="s">
        <v>7</v>
      </c>
      <c r="E34" s="283">
        <f t="shared" ref="E34:AB34" si="33">E51+E68</f>
        <v>63882.723213917787</v>
      </c>
      <c r="F34" s="283">
        <f t="shared" si="33"/>
        <v>190494.91964215893</v>
      </c>
      <c r="G34" s="283">
        <f t="shared" si="33"/>
        <v>596806.79464284331</v>
      </c>
      <c r="H34" s="283">
        <f t="shared" si="33"/>
        <v>595003.65178337891</v>
      </c>
      <c r="I34" s="283">
        <f t="shared" si="33"/>
        <v>767228.99106955796</v>
      </c>
      <c r="J34" s="283">
        <f t="shared" si="33"/>
        <v>1076558.1071435665</v>
      </c>
      <c r="K34" s="283">
        <f t="shared" si="33"/>
        <v>1970118.39286279</v>
      </c>
      <c r="L34" s="283">
        <f t="shared" si="33"/>
        <v>1693961.1071383746</v>
      </c>
      <c r="M34" s="283">
        <f t="shared" si="33"/>
        <v>2359606.7857171055</v>
      </c>
      <c r="N34" s="283">
        <f t="shared" si="33"/>
        <v>2882993.6785684759</v>
      </c>
      <c r="O34" s="283">
        <f t="shared" si="33"/>
        <v>2381454.3214225136</v>
      </c>
      <c r="P34" s="314">
        <f t="shared" si="33"/>
        <v>1845728.2232118105</v>
      </c>
      <c r="Q34" s="283">
        <f t="shared" si="33"/>
        <v>1310265.0535725218</v>
      </c>
      <c r="R34" s="283">
        <f t="shared" si="33"/>
        <v>1327939.2499983122</v>
      </c>
      <c r="S34" s="283">
        <f t="shared" si="33"/>
        <v>1409536.7321461581</v>
      </c>
      <c r="T34" s="283">
        <f t="shared" si="33"/>
        <v>1108687.1517870072</v>
      </c>
      <c r="U34" s="283">
        <f t="shared" si="33"/>
        <v>1246462.1607149141</v>
      </c>
      <c r="V34" s="283">
        <f t="shared" si="33"/>
        <v>1107291.8392874526</v>
      </c>
      <c r="W34" s="283">
        <f t="shared" si="33"/>
        <v>1048832.0178576689</v>
      </c>
      <c r="X34" s="283">
        <f t="shared" si="33"/>
        <v>1253992.9107235237</v>
      </c>
      <c r="Y34" s="283">
        <f t="shared" si="33"/>
        <v>1303893.1696446086</v>
      </c>
      <c r="Z34" s="283">
        <f t="shared" si="33"/>
        <v>1566971.7232140885</v>
      </c>
      <c r="AA34" s="283">
        <f t="shared" si="33"/>
        <v>2157081.1517849583</v>
      </c>
      <c r="AB34" s="314">
        <f t="shared" si="33"/>
        <v>1914532.8749973006</v>
      </c>
      <c r="AC34" s="283">
        <f>AC51+AC68</f>
        <v>2419288.205354712</v>
      </c>
      <c r="AD34" s="283">
        <f t="shared" ref="AD34:AN34" si="34">AD51+AD68</f>
        <v>4078118.223212393</v>
      </c>
      <c r="AE34" s="283">
        <f t="shared" si="34"/>
        <v>6459259.5803462574</v>
      </c>
      <c r="AF34" s="283">
        <f t="shared" si="34"/>
        <v>5786329.8303780099</v>
      </c>
      <c r="AG34" s="283">
        <f t="shared" si="34"/>
        <v>5513759.321443243</v>
      </c>
      <c r="AH34" s="283">
        <f t="shared" si="34"/>
        <v>4598411.6428566165</v>
      </c>
      <c r="AI34" s="283">
        <f t="shared" si="34"/>
        <v>3834504.2410740834</v>
      </c>
      <c r="AJ34" s="283">
        <f t="shared" si="34"/>
        <v>3352003.0446423003</v>
      </c>
      <c r="AK34" s="283">
        <f t="shared" si="34"/>
        <v>3188969.9910714086</v>
      </c>
      <c r="AL34" s="283">
        <f t="shared" si="34"/>
        <v>3150912.5331434435</v>
      </c>
      <c r="AM34" s="283">
        <f t="shared" si="34"/>
        <v>3596135.3214264149</v>
      </c>
      <c r="AN34" s="284">
        <f t="shared" si="34"/>
        <v>3741886.8839283199</v>
      </c>
      <c r="AO34" s="237">
        <f t="shared" ref="AO34" si="35">AVERAGE(Z34:AC34)</f>
        <v>2014468.4888377648</v>
      </c>
      <c r="AP34" s="209">
        <f>AVERAGE(R34:AC34)</f>
        <v>1488709.0989592255</v>
      </c>
      <c r="AQ34" s="238">
        <f>SUMIFS(AC34:AN34,AC$4:AN$4,"&lt;"&amp;'Title Sheet'!$C$13)</f>
        <v>49719578.818877205</v>
      </c>
    </row>
    <row r="35" spans="2:44" ht="16.5" thickBot="1" x14ac:dyDescent="0.3">
      <c r="B35" t="str">
        <f t="shared" si="21"/>
        <v>PC Annual Direct</v>
      </c>
      <c r="D35" s="226" t="s">
        <v>21</v>
      </c>
      <c r="E35" s="269">
        <f t="shared" ref="E35:AN35" si="36">IFERROR(E27/E$8,"-")</f>
        <v>1</v>
      </c>
      <c r="F35" s="269">
        <f t="shared" si="36"/>
        <v>1</v>
      </c>
      <c r="G35" s="269">
        <f t="shared" si="36"/>
        <v>0.36338512795094569</v>
      </c>
      <c r="H35" s="269">
        <f t="shared" si="36"/>
        <v>0.3144138803239937</v>
      </c>
      <c r="I35" s="269">
        <f t="shared" si="36"/>
        <v>0.30479303076919989</v>
      </c>
      <c r="J35" s="269">
        <f t="shared" si="36"/>
        <v>0.32026502113301691</v>
      </c>
      <c r="K35" s="269">
        <f t="shared" si="36"/>
        <v>0.45329065359635945</v>
      </c>
      <c r="L35" s="269">
        <f t="shared" si="36"/>
        <v>0.52482955683222632</v>
      </c>
      <c r="M35" s="269">
        <f t="shared" si="36"/>
        <v>0.76808330951061754</v>
      </c>
      <c r="N35" s="269">
        <f t="shared" si="36"/>
        <v>0.72616617680525197</v>
      </c>
      <c r="O35" s="269">
        <f t="shared" si="36"/>
        <v>0.65125389566410108</v>
      </c>
      <c r="P35" s="280">
        <f t="shared" si="36"/>
        <v>0.58552449517506056</v>
      </c>
      <c r="Q35" s="269">
        <f t="shared" si="36"/>
        <v>0.50369783254873368</v>
      </c>
      <c r="R35" s="269">
        <f t="shared" si="36"/>
        <v>0.49840835057339866</v>
      </c>
      <c r="S35" s="269">
        <f t="shared" si="36"/>
        <v>0.49403060893567935</v>
      </c>
      <c r="T35" s="269">
        <f t="shared" si="36"/>
        <v>0.43431844806305436</v>
      </c>
      <c r="U35" s="269">
        <f t="shared" si="36"/>
        <v>0.4382699513941446</v>
      </c>
      <c r="V35" s="269">
        <f t="shared" si="36"/>
        <v>0.41774274345421003</v>
      </c>
      <c r="W35" s="269">
        <f t="shared" si="36"/>
        <v>0.37623077205974031</v>
      </c>
      <c r="X35" s="269">
        <f t="shared" si="36"/>
        <v>0.39925909361808948</v>
      </c>
      <c r="Y35" s="269">
        <f t="shared" si="36"/>
        <v>0.40496040782115639</v>
      </c>
      <c r="Z35" s="269">
        <f t="shared" si="36"/>
        <v>0.41675170736077505</v>
      </c>
      <c r="AA35" s="269">
        <f t="shared" si="36"/>
        <v>0.47707169937906568</v>
      </c>
      <c r="AB35" s="280">
        <f t="shared" si="36"/>
        <v>0.43213332390820403</v>
      </c>
      <c r="AC35" s="269">
        <f t="shared" si="36"/>
        <v>0.52565449174140655</v>
      </c>
      <c r="AD35" s="269">
        <f t="shared" si="36"/>
        <v>0.68462947711903277</v>
      </c>
      <c r="AE35" s="269">
        <f t="shared" si="36"/>
        <v>0.77812821674237276</v>
      </c>
      <c r="AF35" s="269">
        <f t="shared" si="36"/>
        <v>0.79069443274828843</v>
      </c>
      <c r="AG35" s="269">
        <f t="shared" si="36"/>
        <v>0.7917670000370175</v>
      </c>
      <c r="AH35" s="269">
        <f t="shared" si="36"/>
        <v>0.78835267862411806</v>
      </c>
      <c r="AI35" s="269">
        <f t="shared" si="36"/>
        <v>0.77034613734338997</v>
      </c>
      <c r="AJ35" s="269">
        <f t="shared" si="36"/>
        <v>0.77435838232586907</v>
      </c>
      <c r="AK35" s="269">
        <f t="shared" si="36"/>
        <v>0.80391722766812701</v>
      </c>
      <c r="AL35" s="269">
        <f t="shared" si="36"/>
        <v>0.83329004539668017</v>
      </c>
      <c r="AM35" s="269">
        <f t="shared" si="36"/>
        <v>0.90450036178546156</v>
      </c>
      <c r="AN35" s="281">
        <f t="shared" si="36"/>
        <v>0.94594102526983748</v>
      </c>
      <c r="AO35" s="279">
        <f t="shared" ref="AO35:AP35" si="37">AO27/AO$8</f>
        <v>0.46535133651118749</v>
      </c>
      <c r="AP35" s="269">
        <f t="shared" si="37"/>
        <v>0.44609721397013369</v>
      </c>
      <c r="AQ35" s="280" t="str">
        <f t="shared" ref="AQ35" si="38">IFERROR(IF(AQ33=0,"-",(AQ33/AQ34)-1),"-")</f>
        <v>-</v>
      </c>
    </row>
    <row r="37" spans="2:44" ht="15.75" thickBot="1" x14ac:dyDescent="0.3"/>
    <row r="38" spans="2:44" ht="18.75" outlineLevel="1" x14ac:dyDescent="0.25">
      <c r="D38" s="309" t="s">
        <v>350</v>
      </c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63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33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63"/>
      <c r="AO38" s="202"/>
      <c r="AP38" s="202"/>
      <c r="AQ38" s="233"/>
    </row>
    <row r="39" spans="2:44" outlineLevel="1" x14ac:dyDescent="0.25">
      <c r="D39" s="204"/>
      <c r="E39" s="303" t="s">
        <v>341</v>
      </c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17"/>
      <c r="Q39" s="320" t="s">
        <v>341</v>
      </c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17"/>
      <c r="AC39" s="303" t="s">
        <v>341</v>
      </c>
      <c r="AD39" s="303"/>
      <c r="AE39" s="303"/>
      <c r="AF39" s="303"/>
      <c r="AG39" s="303"/>
      <c r="AH39" s="303"/>
      <c r="AI39" s="303"/>
      <c r="AJ39" s="303"/>
      <c r="AK39" s="303"/>
      <c r="AL39" s="303"/>
      <c r="AM39" s="303"/>
      <c r="AN39" s="317"/>
      <c r="AO39" s="510" t="s">
        <v>8</v>
      </c>
      <c r="AP39" s="511"/>
      <c r="AQ39" s="512"/>
    </row>
    <row r="40" spans="2:44" outlineLevel="1" x14ac:dyDescent="0.25">
      <c r="D40" s="321" t="s">
        <v>16</v>
      </c>
      <c r="E40" s="318">
        <f t="shared" ref="E40:AN40" si="39">E$4</f>
        <v>44562</v>
      </c>
      <c r="F40" s="318">
        <f t="shared" si="39"/>
        <v>44593</v>
      </c>
      <c r="G40" s="318">
        <f t="shared" si="39"/>
        <v>44621</v>
      </c>
      <c r="H40" s="318">
        <f t="shared" si="39"/>
        <v>44652</v>
      </c>
      <c r="I40" s="318">
        <f t="shared" si="39"/>
        <v>44682</v>
      </c>
      <c r="J40" s="318">
        <f t="shared" si="39"/>
        <v>44713</v>
      </c>
      <c r="K40" s="318">
        <f t="shared" si="39"/>
        <v>44743</v>
      </c>
      <c r="L40" s="318">
        <f t="shared" si="39"/>
        <v>44774</v>
      </c>
      <c r="M40" s="318">
        <f t="shared" si="39"/>
        <v>44805</v>
      </c>
      <c r="N40" s="318">
        <f t="shared" si="39"/>
        <v>44835</v>
      </c>
      <c r="O40" s="318">
        <f t="shared" si="39"/>
        <v>44866</v>
      </c>
      <c r="P40" s="319">
        <f t="shared" si="39"/>
        <v>44896</v>
      </c>
      <c r="Q40" s="318">
        <f t="shared" si="39"/>
        <v>44927</v>
      </c>
      <c r="R40" s="318">
        <f t="shared" si="39"/>
        <v>44958</v>
      </c>
      <c r="S40" s="318">
        <f t="shared" si="39"/>
        <v>44986</v>
      </c>
      <c r="T40" s="318">
        <f t="shared" si="39"/>
        <v>45017</v>
      </c>
      <c r="U40" s="318">
        <f t="shared" si="39"/>
        <v>45047</v>
      </c>
      <c r="V40" s="318">
        <f t="shared" si="39"/>
        <v>45078</v>
      </c>
      <c r="W40" s="318">
        <f t="shared" si="39"/>
        <v>45108</v>
      </c>
      <c r="X40" s="318">
        <f t="shared" si="39"/>
        <v>45139</v>
      </c>
      <c r="Y40" s="318">
        <f t="shared" si="39"/>
        <v>45170</v>
      </c>
      <c r="Z40" s="318">
        <f t="shared" si="39"/>
        <v>45200</v>
      </c>
      <c r="AA40" s="318">
        <f t="shared" si="39"/>
        <v>45231</v>
      </c>
      <c r="AB40" s="319">
        <f t="shared" si="39"/>
        <v>45261</v>
      </c>
      <c r="AC40" s="318">
        <f t="shared" si="39"/>
        <v>45292</v>
      </c>
      <c r="AD40" s="318">
        <f t="shared" si="39"/>
        <v>45323</v>
      </c>
      <c r="AE40" s="318">
        <f t="shared" si="39"/>
        <v>45352</v>
      </c>
      <c r="AF40" s="318">
        <f t="shared" si="39"/>
        <v>45383</v>
      </c>
      <c r="AG40" s="318">
        <f t="shared" si="39"/>
        <v>45413</v>
      </c>
      <c r="AH40" s="318">
        <f t="shared" si="39"/>
        <v>45444</v>
      </c>
      <c r="AI40" s="318">
        <f t="shared" si="39"/>
        <v>45474</v>
      </c>
      <c r="AJ40" s="318">
        <f t="shared" si="39"/>
        <v>45505</v>
      </c>
      <c r="AK40" s="318">
        <f t="shared" si="39"/>
        <v>45536</v>
      </c>
      <c r="AL40" s="318">
        <f t="shared" si="39"/>
        <v>45566</v>
      </c>
      <c r="AM40" s="318">
        <f t="shared" si="39"/>
        <v>45597</v>
      </c>
      <c r="AN40" s="316">
        <f t="shared" si="39"/>
        <v>45627</v>
      </c>
      <c r="AO40" s="271" t="s">
        <v>9</v>
      </c>
      <c r="AP40" s="272">
        <f>AP21</f>
        <v>0</v>
      </c>
      <c r="AQ40" s="273" t="s">
        <v>346</v>
      </c>
    </row>
    <row r="41" spans="2:44" ht="15.75" outlineLevel="1" x14ac:dyDescent="0.25">
      <c r="B41" t="str">
        <f>$D$2</f>
        <v>PC Annual Direct</v>
      </c>
      <c r="C41" t="s">
        <v>72</v>
      </c>
      <c r="D41" s="208" t="s">
        <v>316</v>
      </c>
      <c r="E41" s="209">
        <v>32.958904109999992</v>
      </c>
      <c r="F41" s="209">
        <v>183.15890411399999</v>
      </c>
      <c r="G41" s="209">
        <v>777.1561644049998</v>
      </c>
      <c r="H41" s="209">
        <v>598.16438357899995</v>
      </c>
      <c r="I41" s="209">
        <v>651.84109590900027</v>
      </c>
      <c r="J41" s="209">
        <v>1090.9917808519999</v>
      </c>
      <c r="K41" s="209">
        <v>2201.4493151239999</v>
      </c>
      <c r="L41" s="209">
        <v>1903.8082192210006</v>
      </c>
      <c r="M41" s="209">
        <v>2736.468493230997</v>
      </c>
      <c r="N41" s="209">
        <v>3687.6602740729986</v>
      </c>
      <c r="O41" s="209">
        <v>3341.5972603647956</v>
      </c>
      <c r="P41" s="265">
        <v>2526.2575343179969</v>
      </c>
      <c r="Q41" s="209">
        <v>2004.9287671809998</v>
      </c>
      <c r="R41" s="209">
        <v>2177.1205480079975</v>
      </c>
      <c r="S41" s="209">
        <v>2686.721311545401</v>
      </c>
      <c r="T41" s="209">
        <v>1944.6939891300005</v>
      </c>
      <c r="U41" s="209">
        <v>1627.2103825526017</v>
      </c>
      <c r="V41" s="209">
        <v>1168.2404371882005</v>
      </c>
      <c r="W41" s="209">
        <v>657.13661201320099</v>
      </c>
      <c r="X41" s="209">
        <v>858.71038251520122</v>
      </c>
      <c r="Y41" s="209">
        <v>863.89344265020111</v>
      </c>
      <c r="Z41" s="209">
        <v>1089.696721341802</v>
      </c>
      <c r="AA41" s="209">
        <v>1822.3606557956</v>
      </c>
      <c r="AB41" s="238">
        <v>1644.6256831067997</v>
      </c>
      <c r="AC41" s="209">
        <v>1655.8278689038007</v>
      </c>
      <c r="AD41" s="209">
        <v>1488.9398907425007</v>
      </c>
      <c r="AE41" s="209">
        <v>1842.7287671740016</v>
      </c>
      <c r="AF41" s="209">
        <v>1757.6273973020006</v>
      </c>
      <c r="AG41" s="209">
        <v>1868.1753425140009</v>
      </c>
      <c r="AH41" s="209">
        <v>1532.0438356570005</v>
      </c>
      <c r="AI41" s="209">
        <v>1243.7479452330031</v>
      </c>
      <c r="AJ41" s="209">
        <v>1072.1150685210014</v>
      </c>
      <c r="AK41" s="209">
        <v>989.83013701700224</v>
      </c>
      <c r="AL41" s="209">
        <v>1000.0410959180011</v>
      </c>
      <c r="AM41" s="209">
        <v>1102.7123287990016</v>
      </c>
      <c r="AN41" s="265">
        <v>1027.1150685250013</v>
      </c>
      <c r="AO41" s="237">
        <f t="shared" ref="AO41:AO46" si="40">AVERAGE(Z41:AC41)</f>
        <v>1553.1277322870005</v>
      </c>
      <c r="AP41" s="209">
        <f>AVERAGE(R41:AC41)</f>
        <v>1516.3531695625672</v>
      </c>
      <c r="AQ41" s="238">
        <f>SUMIFS(AC41:AN41,AC$4:AN$4,"&lt;"&amp;'Title Sheet'!$C$13)</f>
        <v>16580.904746306318</v>
      </c>
    </row>
    <row r="42" spans="2:44" ht="15.75" hidden="1" outlineLevel="1" x14ac:dyDescent="0.25">
      <c r="B42" t="str">
        <f>$D$21&amp;"_W VYRs"</f>
        <v>PC Annual Direct - Annual_W VYRs</v>
      </c>
      <c r="C42" t="str">
        <f>$C41</f>
        <v>Boom Annual</v>
      </c>
      <c r="D42" s="211" t="s">
        <v>317</v>
      </c>
      <c r="E42" s="31" t="e">
        <f>INDEX('Plan Figures'!$B$94:$AP$131,MATCH('Current - MGA and MPM'!E$4,'Plan Figures'!$B$94:$B$131,0),MATCH('Current - MGA and MPM'!$B42,'Plan Figures'!$B$1:$AP$1,0))</f>
        <v>#N/A</v>
      </c>
      <c r="F42" s="31" t="e">
        <f>INDEX('Plan Figures'!$B$94:$AP$131,MATCH('Current - MGA and MPM'!F$4,'Plan Figures'!$B$94:$B$131,0),MATCH('Current - MGA and MPM'!$B42,'Plan Figures'!$B$1:$AP$1,0))</f>
        <v>#N/A</v>
      </c>
      <c r="G42" s="31" t="e">
        <f>INDEX('Plan Figures'!$B$94:$AP$131,MATCH('Current - MGA and MPM'!G$4,'Plan Figures'!$B$94:$B$131,0),MATCH('Current - MGA and MPM'!$B42,'Plan Figures'!$B$1:$AP$1,0))</f>
        <v>#N/A</v>
      </c>
      <c r="H42" s="31" t="e">
        <f>INDEX('Plan Figures'!$B$94:$AP$131,MATCH('Current - MGA and MPM'!H$4,'Plan Figures'!$B$94:$B$131,0),MATCH('Current - MGA and MPM'!$B42,'Plan Figures'!$B$1:$AP$1,0))</f>
        <v>#N/A</v>
      </c>
      <c r="I42" s="31" t="e">
        <f>INDEX('Plan Figures'!$B$94:$AP$131,MATCH('Current - MGA and MPM'!I$4,'Plan Figures'!$B$94:$B$131,0),MATCH('Current - MGA and MPM'!$B42,'Plan Figures'!$B$1:$AP$1,0))</f>
        <v>#N/A</v>
      </c>
      <c r="J42" s="31" t="e">
        <f>INDEX('Plan Figures'!$B$94:$AP$131,MATCH('Current - MGA and MPM'!J$4,'Plan Figures'!$B$94:$B$131,0),MATCH('Current - MGA and MPM'!$B42,'Plan Figures'!$B$1:$AP$1,0))</f>
        <v>#N/A</v>
      </c>
      <c r="K42" s="31" t="e">
        <f>INDEX('Plan Figures'!$B$94:$AP$131,MATCH('Current - MGA and MPM'!K$4,'Plan Figures'!$B$94:$B$131,0),MATCH('Current - MGA and MPM'!$B42,'Plan Figures'!$B$1:$AP$1,0))</f>
        <v>#N/A</v>
      </c>
      <c r="L42" s="31" t="e">
        <f>INDEX('Plan Figures'!$B$94:$AP$131,MATCH('Current - MGA and MPM'!L$4,'Plan Figures'!$B$94:$B$131,0),MATCH('Current - MGA and MPM'!$B42,'Plan Figures'!$B$1:$AP$1,0))</f>
        <v>#N/A</v>
      </c>
      <c r="M42" s="31" t="e">
        <f>INDEX('Plan Figures'!$B$94:$AP$131,MATCH('Current - MGA and MPM'!M$4,'Plan Figures'!$B$94:$B$131,0),MATCH('Current - MGA and MPM'!$B42,'Plan Figures'!$B$1:$AP$1,0))</f>
        <v>#N/A</v>
      </c>
      <c r="N42" s="31" t="e">
        <f>INDEX('Plan Figures'!$B$94:$AP$131,MATCH('Current - MGA and MPM'!N$4,'Plan Figures'!$B$94:$B$131,0),MATCH('Current - MGA and MPM'!$B42,'Plan Figures'!$B$1:$AP$1,0))</f>
        <v>#N/A</v>
      </c>
      <c r="O42" s="31" t="e">
        <f>INDEX('Plan Figures'!$B$94:$AP$131,MATCH('Current - MGA and MPM'!O$4,'Plan Figures'!$B$94:$B$131,0),MATCH('Current - MGA and MPM'!$B42,'Plan Figures'!$B$1:$AP$1,0))</f>
        <v>#N/A</v>
      </c>
      <c r="P42" s="266" t="str">
        <f ca="1">INDEX('Plan Figures'!$B$94:$AP$131,MATCH('Current - MGA and MPM'!P$4,'Plan Figures'!$B$94:$B$131,0),MATCH('Current - MGA and MPM'!$B42,'Plan Figures'!$B$1:$AP$1,0))</f>
        <v>-</v>
      </c>
      <c r="Q42" s="31" t="str">
        <f ca="1">INDEX('Plan Figures'!$B$94:$AP$131,MATCH('Current - MGA and MPM'!Q$4,'Plan Figures'!$B$94:$B$131,0),MATCH('Current - MGA and MPM'!$B42,'Plan Figures'!$B$1:$AP$1,0))</f>
        <v>-</v>
      </c>
      <c r="R42" s="31" t="str">
        <f ca="1">INDEX('Plan Figures'!$B$94:$AP$131,MATCH('Current - MGA and MPM'!R$4,'Plan Figures'!$B$94:$B$131,0),MATCH('Current - MGA and MPM'!$B42,'Plan Figures'!$B$1:$AP$1,0))</f>
        <v>-</v>
      </c>
      <c r="S42" s="31" t="str">
        <f ca="1">INDEX('Plan Figures'!$B$94:$AP$131,MATCH('Current - MGA and MPM'!S$4,'Plan Figures'!$B$94:$B$131,0),MATCH('Current - MGA and MPM'!$B42,'Plan Figures'!$B$1:$AP$1,0))</f>
        <v>-</v>
      </c>
      <c r="T42" s="31" t="str">
        <f ca="1">INDEX('Plan Figures'!$B$94:$AP$131,MATCH('Current - MGA and MPM'!T$4,'Plan Figures'!$B$94:$B$131,0),MATCH('Current - MGA and MPM'!$B42,'Plan Figures'!$B$1:$AP$1,0))</f>
        <v>-</v>
      </c>
      <c r="U42" s="31" t="str">
        <f ca="1">INDEX('Plan Figures'!$B$94:$AP$131,MATCH('Current - MGA and MPM'!U$4,'Plan Figures'!$B$94:$B$131,0),MATCH('Current - MGA and MPM'!$B42,'Plan Figures'!$B$1:$AP$1,0))</f>
        <v>-</v>
      </c>
      <c r="V42" s="31" t="str">
        <f ca="1">INDEX('Plan Figures'!$B$94:$AP$131,MATCH('Current - MGA and MPM'!V$4,'Plan Figures'!$B$94:$B$131,0),MATCH('Current - MGA and MPM'!$B42,'Plan Figures'!$B$1:$AP$1,0))</f>
        <v>-</v>
      </c>
      <c r="W42" s="31" t="str">
        <f ca="1">INDEX('Plan Figures'!$B$94:$AP$131,MATCH('Current - MGA and MPM'!W$4,'Plan Figures'!$B$94:$B$131,0),MATCH('Current - MGA and MPM'!$B42,'Plan Figures'!$B$1:$AP$1,0))</f>
        <v>-</v>
      </c>
      <c r="X42" s="31" t="str">
        <f ca="1">INDEX('Plan Figures'!$B$94:$AP$131,MATCH('Current - MGA and MPM'!X$4,'Plan Figures'!$B$94:$B$131,0),MATCH('Current - MGA and MPM'!$B42,'Plan Figures'!$B$1:$AP$1,0))</f>
        <v>-</v>
      </c>
      <c r="Y42" s="31" t="str">
        <f ca="1">INDEX('Plan Figures'!$B$94:$AP$131,MATCH('Current - MGA and MPM'!Y$4,'Plan Figures'!$B$94:$B$131,0),MATCH('Current - MGA and MPM'!$B42,'Plan Figures'!$B$1:$AP$1,0))</f>
        <v>-</v>
      </c>
      <c r="Z42" s="31" t="str">
        <f ca="1">INDEX('Plan Figures'!$B$94:$AP$131,MATCH('Current - MGA and MPM'!Z$4,'Plan Figures'!$B$94:$B$131,0),MATCH('Current - MGA and MPM'!$B42,'Plan Figures'!$B$1:$AP$1,0))</f>
        <v>-</v>
      </c>
      <c r="AA42" s="31">
        <f ca="1">INDEX('Plan Figures'!$B$94:$AP$131,MATCH('Current - MGA and MPM'!AA$4,'Plan Figures'!$B$94:$B$131,0),MATCH('Current - MGA and MPM'!$B42,'Plan Figures'!$B$1:$AP$1,0))</f>
        <v>1113.4200697273855</v>
      </c>
      <c r="AB42" s="240">
        <f ca="1">INDEX('Plan Figures'!$B$94:$AP$131,MATCH('Current - MGA and MPM'!AB$4,'Plan Figures'!$B$94:$B$131,0),MATCH('Current - MGA and MPM'!$B42,'Plan Figures'!$B$1:$AP$1,0))</f>
        <v>989.67431218271486</v>
      </c>
      <c r="AC42" s="31">
        <f ca="1">INDEX('Plan Figures'!$B$94:$AP$131,MATCH('Current - MGA and MPM'!AC$4,'Plan Figures'!$B$94:$B$131,0),MATCH('Current - MGA and MPM'!$B42,'Plan Figures'!$B$1:$AP$1,0))</f>
        <v>1210.5482166933789</v>
      </c>
      <c r="AD42" s="31">
        <f ca="1">INDEX('Plan Figures'!$B$94:$AP$131,MATCH('Current - MGA and MPM'!AD$4,'Plan Figures'!$B$94:$B$131,0),MATCH('Current - MGA and MPM'!$B42,'Plan Figures'!$B$1:$AP$1,0))</f>
        <v>1208.1319527878034</v>
      </c>
      <c r="AE42" s="31">
        <f ca="1">INDEX('Plan Figures'!$B$94:$AP$131,MATCH('Current - MGA and MPM'!AE$4,'Plan Figures'!$B$94:$B$131,0),MATCH('Current - MGA and MPM'!$B42,'Plan Figures'!$B$1:$AP$1,0))</f>
        <v>1205.7205117642748</v>
      </c>
      <c r="AF42" s="31">
        <f ca="1">INDEX('Plan Figures'!$B$94:$AP$131,MATCH('Current - MGA and MPM'!AF$4,'Plan Figures'!$B$94:$B$131,0),MATCH('Current - MGA and MPM'!$B42,'Plan Figures'!$B$1:$AP$1,0))</f>
        <v>1203.3138839962821</v>
      </c>
      <c r="AG42" s="31">
        <f ca="1">INDEX('Plan Figures'!$B$94:$AP$131,MATCH('Current - MGA and MPM'!AG$4,'Plan Figures'!$B$94:$B$131,0),MATCH('Current - MGA and MPM'!$B42,'Plan Figures'!$B$1:$AP$1,0))</f>
        <v>1201.0207575202833</v>
      </c>
      <c r="AH42" s="31">
        <f ca="1">INDEX('Plan Figures'!$B$94:$AP$131,MATCH('Current - MGA and MPM'!AH$4,'Plan Figures'!$B$94:$B$131,0),MATCH('Current - MGA and MPM'!$B42,'Plan Figures'!$B$1:$AP$1,0))</f>
        <v>1228.8758335021305</v>
      </c>
      <c r="AI42" s="31">
        <f ca="1">INDEX('Plan Figures'!$B$94:$AP$131,MATCH('Current - MGA and MPM'!AI$4,'Plan Figures'!$B$94:$B$131,0),MATCH('Current - MGA and MPM'!$B42,'Plan Figures'!$B$1:$AP$1,0))</f>
        <v>1163.6668411466915</v>
      </c>
      <c r="AJ42" s="31">
        <f ca="1">INDEX('Plan Figures'!$B$94:$AP$131,MATCH('Current - MGA and MPM'!AJ$4,'Plan Figures'!$B$94:$B$131,0),MATCH('Current - MGA and MPM'!$B42,'Plan Figures'!$B$1:$AP$1,0))</f>
        <v>1142.8043600541255</v>
      </c>
      <c r="AK42" s="31">
        <f ca="1">INDEX('Plan Figures'!$B$94:$AP$131,MATCH('Current - MGA and MPM'!AK$4,'Plan Figures'!$B$94:$B$131,0),MATCH('Current - MGA and MPM'!$B42,'Plan Figures'!$B$1:$AP$1,0))</f>
        <v>1583.5747712774066</v>
      </c>
      <c r="AL42" s="31">
        <f ca="1">INDEX('Plan Figures'!$B$94:$AP$131,MATCH('Current - MGA and MPM'!AL$4,'Plan Figures'!$B$94:$B$131,0),MATCH('Current - MGA and MPM'!$B42,'Plan Figures'!$B$1:$AP$1,0))</f>
        <v>1634.6429111000109</v>
      </c>
      <c r="AM42" s="31">
        <f ca="1">INDEX('Plan Figures'!$B$94:$AP$131,MATCH('Current - MGA and MPM'!AM$4,'Plan Figures'!$B$94:$B$131,0),MATCH('Current - MGA and MPM'!$B42,'Plan Figures'!$B$1:$AP$1,0))</f>
        <v>1425.1923390241984</v>
      </c>
      <c r="AN42" s="266">
        <f ca="1">INDEX('Plan Figures'!$B$94:$AP$131,MATCH('Current - MGA and MPM'!AN$4,'Plan Figures'!$B$94:$B$131,0),MATCH('Current - MGA and MPM'!$B42,'Plan Figures'!$B$1:$AP$1,0))</f>
        <v>1298.3013026498229</v>
      </c>
      <c r="AO42" s="239">
        <f t="shared" ca="1" si="40"/>
        <v>1104.5475328678265</v>
      </c>
      <c r="AP42" s="31">
        <f t="shared" ref="AP42:AP46" ca="1" si="41">AVERAGE(R42:AC42)</f>
        <v>1104.5475328678265</v>
      </c>
      <c r="AQ42" s="240">
        <f ca="1">SUMIFS(AC42:AN42,AC$4:AN$4,"&lt;"&amp;'Title Sheet'!$C$13)</f>
        <v>15505.793681516408</v>
      </c>
    </row>
    <row r="43" spans="2:44" ht="15.75" hidden="1" outlineLevel="1" x14ac:dyDescent="0.25">
      <c r="B43" t="str">
        <f t="shared" ref="B43:B52" si="42">$D$2</f>
        <v>PC Annual Direct</v>
      </c>
      <c r="C43" t="str">
        <f t="shared" ref="C43:C52" si="43">$C42</f>
        <v>Boom Annual</v>
      </c>
      <c r="D43" s="213" t="s">
        <v>0</v>
      </c>
      <c r="E43" s="214" t="str">
        <f t="shared" ref="E43:AN43" si="44">IFERROR(IF(E41=0,"-",(E41/E42)-1),"-")</f>
        <v>-</v>
      </c>
      <c r="F43" s="214" t="str">
        <f t="shared" si="44"/>
        <v>-</v>
      </c>
      <c r="G43" s="214" t="str">
        <f t="shared" si="44"/>
        <v>-</v>
      </c>
      <c r="H43" s="214" t="str">
        <f t="shared" si="44"/>
        <v>-</v>
      </c>
      <c r="I43" s="214" t="str">
        <f t="shared" si="44"/>
        <v>-</v>
      </c>
      <c r="J43" s="214" t="str">
        <f t="shared" si="44"/>
        <v>-</v>
      </c>
      <c r="K43" s="214" t="str">
        <f t="shared" si="44"/>
        <v>-</v>
      </c>
      <c r="L43" s="214" t="str">
        <f t="shared" si="44"/>
        <v>-</v>
      </c>
      <c r="M43" s="214" t="str">
        <f t="shared" si="44"/>
        <v>-</v>
      </c>
      <c r="N43" s="214" t="str">
        <f t="shared" si="44"/>
        <v>-</v>
      </c>
      <c r="O43" s="214" t="str">
        <f t="shared" si="44"/>
        <v>-</v>
      </c>
      <c r="P43" s="270" t="str">
        <f t="shared" ca="1" si="44"/>
        <v>-</v>
      </c>
      <c r="Q43" s="214" t="str">
        <f t="shared" ca="1" si="44"/>
        <v>-</v>
      </c>
      <c r="R43" s="214" t="str">
        <f t="shared" ca="1" si="44"/>
        <v>-</v>
      </c>
      <c r="S43" s="214" t="str">
        <f t="shared" ca="1" si="44"/>
        <v>-</v>
      </c>
      <c r="T43" s="214" t="str">
        <f t="shared" ca="1" si="44"/>
        <v>-</v>
      </c>
      <c r="U43" s="214" t="str">
        <f t="shared" ca="1" si="44"/>
        <v>-</v>
      </c>
      <c r="V43" s="214" t="str">
        <f t="shared" ca="1" si="44"/>
        <v>-</v>
      </c>
      <c r="W43" s="214" t="str">
        <f t="shared" ca="1" si="44"/>
        <v>-</v>
      </c>
      <c r="X43" s="214" t="str">
        <f t="shared" ca="1" si="44"/>
        <v>-</v>
      </c>
      <c r="Y43" s="214" t="str">
        <f t="shared" ca="1" si="44"/>
        <v>-</v>
      </c>
      <c r="Z43" s="214" t="str">
        <f t="shared" ca="1" si="44"/>
        <v>-</v>
      </c>
      <c r="AA43" s="214">
        <f t="shared" ca="1" si="44"/>
        <v>0.63672337632803289</v>
      </c>
      <c r="AB43" s="294">
        <f t="shared" ca="1" si="44"/>
        <v>0.66178475369295731</v>
      </c>
      <c r="AC43" s="214">
        <f t="shared" ca="1" si="44"/>
        <v>0.36783305784110465</v>
      </c>
      <c r="AD43" s="214">
        <f t="shared" ca="1" si="44"/>
        <v>0.23243151321900224</v>
      </c>
      <c r="AE43" s="214">
        <f t="shared" ca="1" si="44"/>
        <v>0.52832165430910871</v>
      </c>
      <c r="AF43" s="214">
        <f t="shared" ca="1" si="44"/>
        <v>0.46065579453368222</v>
      </c>
      <c r="AG43" s="214">
        <f t="shared" ca="1" si="44"/>
        <v>0.55548963730749712</v>
      </c>
      <c r="AH43" s="214">
        <f t="shared" ca="1" si="44"/>
        <v>0.24670352682490471</v>
      </c>
      <c r="AI43" s="214">
        <f t="shared" ca="1" si="44"/>
        <v>6.881789637264113E-2</v>
      </c>
      <c r="AJ43" s="214">
        <f t="shared" ca="1" si="44"/>
        <v>-6.1855986907309424E-2</v>
      </c>
      <c r="AK43" s="214">
        <f t="shared" ca="1" si="44"/>
        <v>-0.37493943767584414</v>
      </c>
      <c r="AL43" s="214">
        <f t="shared" ca="1" si="44"/>
        <v>-0.38822045528889426</v>
      </c>
      <c r="AM43" s="214">
        <f t="shared" ca="1" si="44"/>
        <v>-0.22627122065923577</v>
      </c>
      <c r="AN43" s="270">
        <f t="shared" ca="1" si="44"/>
        <v>-0.20887773398311515</v>
      </c>
      <c r="AO43" s="274">
        <f t="shared" ca="1" si="40"/>
        <v>0.55544706262069832</v>
      </c>
      <c r="AP43" s="275">
        <f t="shared" ca="1" si="41"/>
        <v>0.55544706262069832</v>
      </c>
      <c r="AQ43" s="276">
        <f t="shared" ref="AQ43" ca="1" si="45">IFERROR(IF(AQ41=0,"-",(AQ41/AQ42)-1),"-")</f>
        <v>6.9336087327892759E-2</v>
      </c>
    </row>
    <row r="44" spans="2:44" ht="15.75" outlineLevel="1" x14ac:dyDescent="0.25">
      <c r="B44" t="str">
        <f t="shared" si="42"/>
        <v>PC Annual Direct</v>
      </c>
      <c r="C44" t="str">
        <f t="shared" si="43"/>
        <v>Boom Annual</v>
      </c>
      <c r="D44" s="208" t="s">
        <v>5</v>
      </c>
      <c r="E44" s="209">
        <v>54404.443214097795</v>
      </c>
      <c r="F44" s="209">
        <v>154577.88964227081</v>
      </c>
      <c r="G44" s="209">
        <v>483467.82464259694</v>
      </c>
      <c r="H44" s="209">
        <v>538846.57178365299</v>
      </c>
      <c r="I44" s="209">
        <v>694728.56106937001</v>
      </c>
      <c r="J44" s="209">
        <v>973925.98714369722</v>
      </c>
      <c r="K44" s="209">
        <v>1780448.7428612791</v>
      </c>
      <c r="L44" s="209">
        <v>1529874.777141179</v>
      </c>
      <c r="M44" s="209">
        <v>2131022.4157159706</v>
      </c>
      <c r="N44" s="209">
        <v>2601431.4985689996</v>
      </c>
      <c r="O44" s="209">
        <v>2062684.991425006</v>
      </c>
      <c r="P44" s="265">
        <v>1540263.1332138116</v>
      </c>
      <c r="Q44" s="209">
        <v>1086160.0635735805</v>
      </c>
      <c r="R44" s="209">
        <v>1100141.5299974654</v>
      </c>
      <c r="S44" s="209">
        <v>1168566.6321445385</v>
      </c>
      <c r="T44" s="209">
        <v>918911.07178519689</v>
      </c>
      <c r="U44" s="209">
        <v>1069510.8107149289</v>
      </c>
      <c r="V44" s="209">
        <v>945624.45928729349</v>
      </c>
      <c r="W44" s="209">
        <v>896470.2778577751</v>
      </c>
      <c r="X44" s="209">
        <v>1071653.1207244031</v>
      </c>
      <c r="Y44" s="209">
        <v>1115138.8496423969</v>
      </c>
      <c r="Z44" s="209">
        <v>1337651.323214008</v>
      </c>
      <c r="AA44" s="209">
        <v>1843053.8217862977</v>
      </c>
      <c r="AB44" s="238">
        <v>1639641.0149972043</v>
      </c>
      <c r="AC44" s="209">
        <v>1660410.1078601356</v>
      </c>
      <c r="AD44" s="209">
        <v>1490070.4535678655</v>
      </c>
      <c r="AE44" s="209">
        <v>1956356.3464312493</v>
      </c>
      <c r="AF44" s="209">
        <v>1644150.7957140515</v>
      </c>
      <c r="AG44" s="209">
        <v>1631174.3696467348</v>
      </c>
      <c r="AH44" s="209">
        <v>1352158.456070683</v>
      </c>
      <c r="AI44" s="209">
        <v>1101664.7575005509</v>
      </c>
      <c r="AJ44" s="209">
        <v>950702.82999902265</v>
      </c>
      <c r="AK44" s="209">
        <v>913133.92285479885</v>
      </c>
      <c r="AL44" s="209">
        <v>889111.01964318566</v>
      </c>
      <c r="AM44" s="209">
        <v>1007458.6878601884</v>
      </c>
      <c r="AN44" s="265">
        <v>940484.03999803239</v>
      </c>
      <c r="AO44" s="237">
        <f t="shared" si="40"/>
        <v>1620189.0669644114</v>
      </c>
      <c r="AP44" s="209">
        <f t="shared" si="41"/>
        <v>1230564.4183343037</v>
      </c>
      <c r="AQ44" s="238">
        <f>SUMIFS(AC44:AN44,AC$4:AN$4,"&lt;"&amp;'Title Sheet'!$C$13)</f>
        <v>15536875.787146501</v>
      </c>
    </row>
    <row r="45" spans="2:44" ht="15.75" outlineLevel="1" x14ac:dyDescent="0.25">
      <c r="B45" t="str">
        <f>$D$21&amp;"_NWP"</f>
        <v>PC Annual Direct - Annual_NWP</v>
      </c>
      <c r="C45" t="str">
        <f t="shared" si="43"/>
        <v>Boom Annual</v>
      </c>
      <c r="D45" s="211" t="s">
        <v>6</v>
      </c>
      <c r="E45" s="31" t="e">
        <f>INDEX('Plan Figures'!$B$94:$AP$131,MATCH('Current - MGA and MPM'!E$4,'Plan Figures'!$B$94:$B$131,0),MATCH('Current - MGA and MPM'!$B45,'Plan Figures'!$B$1:$AP$1,0))</f>
        <v>#N/A</v>
      </c>
      <c r="F45" s="31" t="e">
        <f>INDEX('Plan Figures'!$B$94:$AP$131,MATCH('Current - MGA and MPM'!F$4,'Plan Figures'!$B$94:$B$131,0),MATCH('Current - MGA and MPM'!$B45,'Plan Figures'!$B$1:$AP$1,0))</f>
        <v>#N/A</v>
      </c>
      <c r="G45" s="31" t="e">
        <f>INDEX('Plan Figures'!$B$94:$AP$131,MATCH('Current - MGA and MPM'!G$4,'Plan Figures'!$B$94:$B$131,0),MATCH('Current - MGA and MPM'!$B45,'Plan Figures'!$B$1:$AP$1,0))</f>
        <v>#N/A</v>
      </c>
      <c r="H45" s="31" t="e">
        <f>INDEX('Plan Figures'!$B$94:$AP$131,MATCH('Current - MGA and MPM'!H$4,'Plan Figures'!$B$94:$B$131,0),MATCH('Current - MGA and MPM'!$B45,'Plan Figures'!$B$1:$AP$1,0))</f>
        <v>#N/A</v>
      </c>
      <c r="I45" s="31" t="e">
        <f>INDEX('Plan Figures'!$B$94:$AP$131,MATCH('Current - MGA and MPM'!I$4,'Plan Figures'!$B$94:$B$131,0),MATCH('Current - MGA and MPM'!$B45,'Plan Figures'!$B$1:$AP$1,0))</f>
        <v>#N/A</v>
      </c>
      <c r="J45" s="31" t="e">
        <f>INDEX('Plan Figures'!$B$94:$AP$131,MATCH('Current - MGA and MPM'!J$4,'Plan Figures'!$B$94:$B$131,0),MATCH('Current - MGA and MPM'!$B45,'Plan Figures'!$B$1:$AP$1,0))</f>
        <v>#N/A</v>
      </c>
      <c r="K45" s="31" t="e">
        <f>INDEX('Plan Figures'!$B$94:$AP$131,MATCH('Current - MGA and MPM'!K$4,'Plan Figures'!$B$94:$B$131,0),MATCH('Current - MGA and MPM'!$B45,'Plan Figures'!$B$1:$AP$1,0))</f>
        <v>#N/A</v>
      </c>
      <c r="L45" s="31" t="e">
        <f>INDEX('Plan Figures'!$B$94:$AP$131,MATCH('Current - MGA and MPM'!L$4,'Plan Figures'!$B$94:$B$131,0),MATCH('Current - MGA and MPM'!$B45,'Plan Figures'!$B$1:$AP$1,0))</f>
        <v>#N/A</v>
      </c>
      <c r="M45" s="31" t="e">
        <f>INDEX('Plan Figures'!$B$94:$AP$131,MATCH('Current - MGA and MPM'!M$4,'Plan Figures'!$B$94:$B$131,0),MATCH('Current - MGA and MPM'!$B45,'Plan Figures'!$B$1:$AP$1,0))</f>
        <v>#N/A</v>
      </c>
      <c r="N45" s="31" t="e">
        <f>INDEX('Plan Figures'!$B$94:$AP$131,MATCH('Current - MGA and MPM'!N$4,'Plan Figures'!$B$94:$B$131,0),MATCH('Current - MGA and MPM'!$B45,'Plan Figures'!$B$1:$AP$1,0))</f>
        <v>#N/A</v>
      </c>
      <c r="O45" s="31" t="e">
        <f>INDEX('Plan Figures'!$B$94:$AP$131,MATCH('Current - MGA and MPM'!O$4,'Plan Figures'!$B$94:$B$131,0),MATCH('Current - MGA and MPM'!$B45,'Plan Figures'!$B$1:$AP$1,0))</f>
        <v>#N/A</v>
      </c>
      <c r="P45" s="266" t="str">
        <f ca="1">INDEX('Plan Figures'!$B$94:$AP$131,MATCH('Current - MGA and MPM'!P$4,'Plan Figures'!$B$94:$B$131,0),MATCH('Current - MGA and MPM'!$B45,'Plan Figures'!$B$1:$AP$1,0))</f>
        <v>-</v>
      </c>
      <c r="Q45" s="31" t="str">
        <f ca="1">INDEX('Plan Figures'!$B$94:$AP$131,MATCH('Current - MGA and MPM'!Q$4,'Plan Figures'!$B$94:$B$131,0),MATCH('Current - MGA and MPM'!$B45,'Plan Figures'!$B$1:$AP$1,0))</f>
        <v>-</v>
      </c>
      <c r="R45" s="31" t="str">
        <f ca="1">INDEX('Plan Figures'!$B$94:$AP$131,MATCH('Current - MGA and MPM'!R$4,'Plan Figures'!$B$94:$B$131,0),MATCH('Current - MGA and MPM'!$B45,'Plan Figures'!$B$1:$AP$1,0))</f>
        <v>-</v>
      </c>
      <c r="S45" s="31" t="str">
        <f ca="1">INDEX('Plan Figures'!$B$94:$AP$131,MATCH('Current - MGA and MPM'!S$4,'Plan Figures'!$B$94:$B$131,0),MATCH('Current - MGA and MPM'!$B45,'Plan Figures'!$B$1:$AP$1,0))</f>
        <v>-</v>
      </c>
      <c r="T45" s="31" t="str">
        <f ca="1">INDEX('Plan Figures'!$B$94:$AP$131,MATCH('Current - MGA and MPM'!T$4,'Plan Figures'!$B$94:$B$131,0),MATCH('Current - MGA and MPM'!$B45,'Plan Figures'!$B$1:$AP$1,0))</f>
        <v>-</v>
      </c>
      <c r="U45" s="31" t="str">
        <f ca="1">INDEX('Plan Figures'!$B$94:$AP$131,MATCH('Current - MGA and MPM'!U$4,'Plan Figures'!$B$94:$B$131,0),MATCH('Current - MGA and MPM'!$B45,'Plan Figures'!$B$1:$AP$1,0))</f>
        <v>-</v>
      </c>
      <c r="V45" s="31" t="str">
        <f ca="1">INDEX('Plan Figures'!$B$94:$AP$131,MATCH('Current - MGA and MPM'!V$4,'Plan Figures'!$B$94:$B$131,0),MATCH('Current - MGA and MPM'!$B45,'Plan Figures'!$B$1:$AP$1,0))</f>
        <v>-</v>
      </c>
      <c r="W45" s="31" t="str">
        <f ca="1">INDEX('Plan Figures'!$B$94:$AP$131,MATCH('Current - MGA and MPM'!W$4,'Plan Figures'!$B$94:$B$131,0),MATCH('Current - MGA and MPM'!$B45,'Plan Figures'!$B$1:$AP$1,0))</f>
        <v>-</v>
      </c>
      <c r="X45" s="31" t="str">
        <f ca="1">INDEX('Plan Figures'!$B$94:$AP$131,MATCH('Current - MGA and MPM'!X$4,'Plan Figures'!$B$94:$B$131,0),MATCH('Current - MGA and MPM'!$B45,'Plan Figures'!$B$1:$AP$1,0))</f>
        <v>-</v>
      </c>
      <c r="Y45" s="31" t="str">
        <f ca="1">INDEX('Plan Figures'!$B$94:$AP$131,MATCH('Current - MGA and MPM'!Y$4,'Plan Figures'!$B$94:$B$131,0),MATCH('Current - MGA and MPM'!$B45,'Plan Figures'!$B$1:$AP$1,0))</f>
        <v>-</v>
      </c>
      <c r="Z45" s="31" t="str">
        <f ca="1">INDEX('Plan Figures'!$B$94:$AP$131,MATCH('Current - MGA and MPM'!Z$4,'Plan Figures'!$B$94:$B$131,0),MATCH('Current - MGA and MPM'!$B45,'Plan Figures'!$B$1:$AP$1,0))</f>
        <v>-</v>
      </c>
      <c r="AA45" s="31">
        <f ca="1">INDEX('Plan Figures'!$B$94:$AP$131,MATCH('Current - MGA and MPM'!AA$4,'Plan Figures'!$B$94:$B$131,0),MATCH('Current - MGA and MPM'!$B45,'Plan Figures'!$B$1:$AP$1,0))</f>
        <v>1201948.8602582696</v>
      </c>
      <c r="AB45" s="240">
        <f ca="1">INDEX('Plan Figures'!$B$94:$AP$131,MATCH('Current - MGA and MPM'!AB$4,'Plan Figures'!$B$94:$B$131,0),MATCH('Current - MGA and MPM'!$B45,'Plan Figures'!$B$1:$AP$1,0))</f>
        <v>1130181.9540233866</v>
      </c>
      <c r="AC45" s="31">
        <f ca="1">INDEX('Plan Figures'!$B$94:$AP$131,MATCH('Current - MGA and MPM'!AC$4,'Plan Figures'!$B$94:$B$131,0),MATCH('Current - MGA and MPM'!$B45,'Plan Figures'!$B$1:$AP$1,0))</f>
        <v>1235960.0527141613</v>
      </c>
      <c r="AD45" s="31">
        <f ca="1">INDEX('Plan Figures'!$B$94:$AP$131,MATCH('Current - MGA and MPM'!AD$4,'Plan Figures'!$B$94:$B$131,0),MATCH('Current - MGA and MPM'!$B45,'Plan Figures'!$B$1:$AP$1,0))</f>
        <v>1333459.558352059</v>
      </c>
      <c r="AE45" s="31">
        <f ca="1">INDEX('Plan Figures'!$B$94:$AP$131,MATCH('Current - MGA and MPM'!AE$4,'Plan Figures'!$B$94:$B$131,0),MATCH('Current - MGA and MPM'!$B45,'Plan Figures'!$B$1:$AP$1,0))</f>
        <v>1387558.0023525297</v>
      </c>
      <c r="AF45" s="31">
        <f ca="1">INDEX('Plan Figures'!$B$94:$AP$131,MATCH('Current - MGA and MPM'!AF$4,'Plan Figures'!$B$94:$B$131,0),MATCH('Current - MGA and MPM'!$B45,'Plan Figures'!$B$1:$AP$1,0))</f>
        <v>1433144.0223048357</v>
      </c>
      <c r="AG45" s="31">
        <f ca="1">INDEX('Plan Figures'!$B$94:$AP$131,MATCH('Current - MGA and MPM'!AG$4,'Plan Figures'!$B$94:$B$131,0),MATCH('Current - MGA and MPM'!$B45,'Plan Figures'!$B$1:$AP$1,0))</f>
        <v>1450615.9831731333</v>
      </c>
      <c r="AH45" s="31">
        <f ca="1">INDEX('Plan Figures'!$B$94:$AP$131,MATCH('Current - MGA and MPM'!AH$4,'Plan Figures'!$B$94:$B$131,0),MATCH('Current - MGA and MPM'!$B45,'Plan Figures'!$B$1:$AP$1,0))</f>
        <v>1477938.9090293907</v>
      </c>
      <c r="AI45" s="31">
        <f ca="1">INDEX('Plan Figures'!$B$94:$AP$131,MATCH('Current - MGA and MPM'!AI$4,'Plan Figures'!$B$94:$B$131,0),MATCH('Current - MGA and MPM'!$B45,'Plan Figures'!$B$1:$AP$1,0))</f>
        <v>1091239.3456972765</v>
      </c>
      <c r="AJ45" s="31">
        <f ca="1">INDEX('Plan Figures'!$B$94:$AP$131,MATCH('Current - MGA and MPM'!AJ$4,'Plan Figures'!$B$94:$B$131,0),MATCH('Current - MGA and MPM'!$B45,'Plan Figures'!$B$1:$AP$1,0))</f>
        <v>1077447.5969932852</v>
      </c>
      <c r="AK45" s="31">
        <f ca="1">INDEX('Plan Figures'!$B$94:$AP$131,MATCH('Current - MGA and MPM'!AK$4,'Plan Figures'!$B$94:$B$131,0),MATCH('Current - MGA and MPM'!$B45,'Plan Figures'!$B$1:$AP$1,0))</f>
        <v>1476181.8237554729</v>
      </c>
      <c r="AL45" s="31">
        <f ca="1">INDEX('Plan Figures'!$B$94:$AP$131,MATCH('Current - MGA and MPM'!AL$4,'Plan Figures'!$B$94:$B$131,0),MATCH('Current - MGA and MPM'!$B45,'Plan Figures'!$B$1:$AP$1,0))</f>
        <v>1608356.2569974326</v>
      </c>
      <c r="AM45" s="31">
        <f ca="1">INDEX('Plan Figures'!$B$94:$AP$131,MATCH('Current - MGA and MPM'!AM$4,'Plan Figures'!$B$94:$B$131,0),MATCH('Current - MGA and MPM'!$B45,'Plan Figures'!$B$1:$AP$1,0))</f>
        <v>1383525.1445630868</v>
      </c>
      <c r="AN45" s="266">
        <f ca="1">INDEX('Plan Figures'!$B$94:$AP$131,MATCH('Current - MGA and MPM'!AN$4,'Plan Figures'!$B$94:$B$131,0),MATCH('Current - MGA and MPM'!$B45,'Plan Figures'!$B$1:$AP$1,0))</f>
        <v>1258196.2084745558</v>
      </c>
      <c r="AO45" s="239">
        <f t="shared" ca="1" si="40"/>
        <v>1189363.6223319394</v>
      </c>
      <c r="AP45" s="31">
        <f t="shared" ca="1" si="41"/>
        <v>1189363.6223319394</v>
      </c>
      <c r="AQ45" s="240">
        <f ca="1">SUMIFS(AC45:AN45,AC$4:AN$4,"&lt;"&amp;'Title Sheet'!$C$13)</f>
        <v>16213622.90440722</v>
      </c>
    </row>
    <row r="46" spans="2:44" ht="15.75" outlineLevel="1" x14ac:dyDescent="0.25">
      <c r="B46" t="str">
        <f t="shared" si="42"/>
        <v>PC Annual Direct</v>
      </c>
      <c r="C46" t="str">
        <f t="shared" si="43"/>
        <v>Boom Annual</v>
      </c>
      <c r="D46" s="213" t="s">
        <v>0</v>
      </c>
      <c r="E46" s="214" t="str">
        <f t="shared" ref="E46:AN46" si="46">IFERROR(IF(E44=0,"-",(E44/E45)-1),"-")</f>
        <v>-</v>
      </c>
      <c r="F46" s="214" t="str">
        <f t="shared" si="46"/>
        <v>-</v>
      </c>
      <c r="G46" s="214" t="str">
        <f t="shared" si="46"/>
        <v>-</v>
      </c>
      <c r="H46" s="214" t="str">
        <f t="shared" si="46"/>
        <v>-</v>
      </c>
      <c r="I46" s="214" t="str">
        <f t="shared" si="46"/>
        <v>-</v>
      </c>
      <c r="J46" s="214" t="str">
        <f t="shared" si="46"/>
        <v>-</v>
      </c>
      <c r="K46" s="214" t="str">
        <f t="shared" si="46"/>
        <v>-</v>
      </c>
      <c r="L46" s="214" t="str">
        <f t="shared" si="46"/>
        <v>-</v>
      </c>
      <c r="M46" s="214" t="str">
        <f t="shared" si="46"/>
        <v>-</v>
      </c>
      <c r="N46" s="214" t="str">
        <f t="shared" si="46"/>
        <v>-</v>
      </c>
      <c r="O46" s="214" t="str">
        <f t="shared" si="46"/>
        <v>-</v>
      </c>
      <c r="P46" s="270" t="str">
        <f t="shared" ca="1" si="46"/>
        <v>-</v>
      </c>
      <c r="Q46" s="214" t="str">
        <f t="shared" ca="1" si="46"/>
        <v>-</v>
      </c>
      <c r="R46" s="214" t="str">
        <f t="shared" ca="1" si="46"/>
        <v>-</v>
      </c>
      <c r="S46" s="214" t="str">
        <f t="shared" ca="1" si="46"/>
        <v>-</v>
      </c>
      <c r="T46" s="214" t="str">
        <f t="shared" ca="1" si="46"/>
        <v>-</v>
      </c>
      <c r="U46" s="214" t="str">
        <f t="shared" ca="1" si="46"/>
        <v>-</v>
      </c>
      <c r="V46" s="214" t="str">
        <f t="shared" ca="1" si="46"/>
        <v>-</v>
      </c>
      <c r="W46" s="214" t="str">
        <f t="shared" ca="1" si="46"/>
        <v>-</v>
      </c>
      <c r="X46" s="214" t="str">
        <f t="shared" ca="1" si="46"/>
        <v>-</v>
      </c>
      <c r="Y46" s="214" t="str">
        <f t="shared" ca="1" si="46"/>
        <v>-</v>
      </c>
      <c r="Z46" s="214" t="str">
        <f t="shared" ca="1" si="46"/>
        <v>-</v>
      </c>
      <c r="AA46" s="214">
        <f t="shared" ca="1" si="46"/>
        <v>0.53338788589580277</v>
      </c>
      <c r="AB46" s="294">
        <f t="shared" ca="1" si="46"/>
        <v>0.45077614198330718</v>
      </c>
      <c r="AC46" s="214">
        <f t="shared" ca="1" si="46"/>
        <v>0.34341729266563625</v>
      </c>
      <c r="AD46" s="214">
        <f t="shared" ca="1" si="46"/>
        <v>0.1174470528445215</v>
      </c>
      <c r="AE46" s="214">
        <f t="shared" ca="1" si="46"/>
        <v>0.40992761608116757</v>
      </c>
      <c r="AF46" s="214">
        <f t="shared" ca="1" si="46"/>
        <v>0.14723347418347155</v>
      </c>
      <c r="AG46" s="214">
        <f t="shared" ca="1" si="46"/>
        <v>0.12447014824601688</v>
      </c>
      <c r="AH46" s="214">
        <f t="shared" ca="1" si="46"/>
        <v>-8.5105312669054523E-2</v>
      </c>
      <c r="AI46" s="214">
        <f t="shared" ca="1" si="46"/>
        <v>9.5537352500911776E-3</v>
      </c>
      <c r="AJ46" s="214">
        <f t="shared" ca="1" si="46"/>
        <v>-0.11763427506632829</v>
      </c>
      <c r="AK46" s="214">
        <f t="shared" ca="1" si="46"/>
        <v>-0.38142178140918637</v>
      </c>
      <c r="AL46" s="214">
        <f t="shared" ca="1" si="46"/>
        <v>-0.44719273744547938</v>
      </c>
      <c r="AM46" s="214">
        <f t="shared" ca="1" si="46"/>
        <v>-0.2718175800279069</v>
      </c>
      <c r="AN46" s="270">
        <f t="shared" ca="1" si="46"/>
        <v>-0.25251400881403019</v>
      </c>
      <c r="AO46" s="274">
        <f t="shared" ca="1" si="40"/>
        <v>0.44252710684824875</v>
      </c>
      <c r="AP46" s="275">
        <f t="shared" ca="1" si="41"/>
        <v>0.44252710684824875</v>
      </c>
      <c r="AQ46" s="276">
        <f t="shared" ref="AQ46" ca="1" si="47">IFERROR(IF(AQ44=0,"-",(AQ44/AQ45)-1),"-")</f>
        <v>-4.1739413902167621E-2</v>
      </c>
    </row>
    <row r="47" spans="2:44" ht="15.75" outlineLevel="1" x14ac:dyDescent="0.25">
      <c r="B47" t="str">
        <f t="shared" si="42"/>
        <v>PC Annual Direct</v>
      </c>
      <c r="C47" t="str">
        <f t="shared" si="43"/>
        <v>Boom Annual</v>
      </c>
      <c r="D47" s="208" t="s">
        <v>12</v>
      </c>
      <c r="E47" s="209">
        <f t="shared" ref="E47:AP48" si="48">IFERROR(E44/E41,0)</f>
        <v>1650.6751265916957</v>
      </c>
      <c r="F47" s="209">
        <f t="shared" si="48"/>
        <v>843.95509129089317</v>
      </c>
      <c r="G47" s="209">
        <f t="shared" si="48"/>
        <v>622.09868078798013</v>
      </c>
      <c r="H47" s="209">
        <f t="shared" si="48"/>
        <v>900.8335945372902</v>
      </c>
      <c r="I47" s="209">
        <f t="shared" si="48"/>
        <v>1065.7943560624428</v>
      </c>
      <c r="J47" s="209">
        <f t="shared" si="48"/>
        <v>892.69782251074218</v>
      </c>
      <c r="K47" s="209">
        <f t="shared" si="48"/>
        <v>808.76208715302289</v>
      </c>
      <c r="L47" s="209">
        <f t="shared" si="48"/>
        <v>803.58660168363622</v>
      </c>
      <c r="M47" s="209">
        <f t="shared" si="48"/>
        <v>778.74911441053519</v>
      </c>
      <c r="N47" s="209">
        <f t="shared" si="48"/>
        <v>705.44228731128044</v>
      </c>
      <c r="O47" s="209">
        <f t="shared" si="48"/>
        <v>617.27516235748487</v>
      </c>
      <c r="P47" s="265">
        <f t="shared" si="48"/>
        <v>609.70154954119903</v>
      </c>
      <c r="Q47" s="209">
        <f t="shared" si="48"/>
        <v>541.74496438632059</v>
      </c>
      <c r="R47" s="209">
        <f t="shared" si="48"/>
        <v>505.31952904677843</v>
      </c>
      <c r="S47" s="209">
        <f t="shared" si="48"/>
        <v>434.94151295966731</v>
      </c>
      <c r="T47" s="209">
        <f t="shared" si="48"/>
        <v>472.52219471110254</v>
      </c>
      <c r="U47" s="209">
        <f t="shared" si="48"/>
        <v>657.26646178178225</v>
      </c>
      <c r="V47" s="209">
        <f t="shared" si="48"/>
        <v>809.44335531073204</v>
      </c>
      <c r="W47" s="209">
        <f t="shared" si="48"/>
        <v>1364.206865770806</v>
      </c>
      <c r="X47" s="209">
        <f t="shared" si="48"/>
        <v>1247.9796943708577</v>
      </c>
      <c r="Y47" s="209">
        <f t="shared" si="48"/>
        <v>1290.8291631679019</v>
      </c>
      <c r="Z47" s="209">
        <f t="shared" si="48"/>
        <v>1227.5445975159823</v>
      </c>
      <c r="AA47" s="209">
        <f t="shared" si="48"/>
        <v>1011.3551430804258</v>
      </c>
      <c r="AB47" s="238">
        <f t="shared" si="48"/>
        <v>996.96911694813195</v>
      </c>
      <c r="AC47" s="209">
        <f t="shared" si="48"/>
        <v>1002.7673401579891</v>
      </c>
      <c r="AD47" s="209">
        <f t="shared" si="48"/>
        <v>1000.7593072308655</v>
      </c>
      <c r="AE47" s="209">
        <f t="shared" si="48"/>
        <v>1061.6626718383011</v>
      </c>
      <c r="AF47" s="209">
        <f t="shared" si="48"/>
        <v>935.43762360433254</v>
      </c>
      <c r="AG47" s="209">
        <f t="shared" si="48"/>
        <v>873.13772563321902</v>
      </c>
      <c r="AH47" s="209">
        <f t="shared" si="48"/>
        <v>882.58470456285886</v>
      </c>
      <c r="AI47" s="209">
        <f t="shared" si="48"/>
        <v>885.76207239013024</v>
      </c>
      <c r="AJ47" s="209">
        <f t="shared" si="48"/>
        <v>886.75447059104511</v>
      </c>
      <c r="AK47" s="209">
        <f t="shared" si="48"/>
        <v>922.51578195695413</v>
      </c>
      <c r="AL47" s="209">
        <f t="shared" si="48"/>
        <v>889.07448231116371</v>
      </c>
      <c r="AM47" s="209">
        <f t="shared" si="48"/>
        <v>913.61877576669804</v>
      </c>
      <c r="AN47" s="265">
        <f t="shared" si="48"/>
        <v>915.65596574162203</v>
      </c>
      <c r="AO47" s="237">
        <f t="shared" si="48"/>
        <v>1043.1782481783789</v>
      </c>
      <c r="AP47" s="209">
        <f t="shared" si="48"/>
        <v>811.52889909498651</v>
      </c>
      <c r="AQ47" s="238">
        <f>SUMIFS(AC47:AN47,AC$4:AN$4,"&lt;"&amp;'Title Sheet'!$C$13)</f>
        <v>11169.730921785178</v>
      </c>
    </row>
    <row r="48" spans="2:44" ht="15.75" hidden="1" outlineLevel="1" x14ac:dyDescent="0.25">
      <c r="B48" t="str">
        <f t="shared" si="42"/>
        <v>PC Annual Direct</v>
      </c>
      <c r="C48" t="str">
        <f t="shared" si="43"/>
        <v>Boom Annual</v>
      </c>
      <c r="D48" s="211" t="s">
        <v>13</v>
      </c>
      <c r="E48" s="31">
        <f t="shared" si="48"/>
        <v>0</v>
      </c>
      <c r="F48" s="31">
        <f t="shared" si="48"/>
        <v>0</v>
      </c>
      <c r="G48" s="31">
        <f t="shared" si="48"/>
        <v>0</v>
      </c>
      <c r="H48" s="31">
        <f t="shared" si="48"/>
        <v>0</v>
      </c>
      <c r="I48" s="31">
        <f t="shared" si="48"/>
        <v>0</v>
      </c>
      <c r="J48" s="31">
        <f t="shared" si="48"/>
        <v>0</v>
      </c>
      <c r="K48" s="31">
        <f t="shared" si="48"/>
        <v>0</v>
      </c>
      <c r="L48" s="31">
        <f t="shared" si="48"/>
        <v>0</v>
      </c>
      <c r="M48" s="31">
        <f t="shared" si="48"/>
        <v>0</v>
      </c>
      <c r="N48" s="31">
        <f t="shared" si="48"/>
        <v>0</v>
      </c>
      <c r="O48" s="31">
        <f t="shared" si="48"/>
        <v>0</v>
      </c>
      <c r="P48" s="266">
        <f t="shared" ca="1" si="48"/>
        <v>0</v>
      </c>
      <c r="Q48" s="31">
        <f t="shared" ca="1" si="48"/>
        <v>0</v>
      </c>
      <c r="R48" s="31">
        <f t="shared" ca="1" si="48"/>
        <v>0</v>
      </c>
      <c r="S48" s="31">
        <f t="shared" ca="1" si="48"/>
        <v>0</v>
      </c>
      <c r="T48" s="31">
        <f t="shared" ca="1" si="48"/>
        <v>0</v>
      </c>
      <c r="U48" s="31">
        <f t="shared" ca="1" si="48"/>
        <v>0</v>
      </c>
      <c r="V48" s="31">
        <f t="shared" ca="1" si="48"/>
        <v>0</v>
      </c>
      <c r="W48" s="31">
        <f t="shared" ca="1" si="48"/>
        <v>0</v>
      </c>
      <c r="X48" s="31">
        <f t="shared" ca="1" si="48"/>
        <v>0</v>
      </c>
      <c r="Y48" s="31">
        <f t="shared" ca="1" si="48"/>
        <v>0</v>
      </c>
      <c r="Z48" s="31">
        <f t="shared" ca="1" si="48"/>
        <v>0</v>
      </c>
      <c r="AA48" s="31">
        <f t="shared" ca="1" si="48"/>
        <v>1079.510683288258</v>
      </c>
      <c r="AB48" s="240">
        <f t="shared" ca="1" si="48"/>
        <v>1141.9736170890237</v>
      </c>
      <c r="AC48" s="31">
        <f t="shared" ca="1" si="48"/>
        <v>1020.9920064895846</v>
      </c>
      <c r="AD48" s="31">
        <f t="shared" ca="1" si="48"/>
        <v>1103.7366864398034</v>
      </c>
      <c r="AE48" s="31">
        <f t="shared" ca="1" si="48"/>
        <v>1150.8123058487083</v>
      </c>
      <c r="AF48" s="31">
        <f t="shared" ca="1" si="48"/>
        <v>1190.9976618446992</v>
      </c>
      <c r="AG48" s="31">
        <f t="shared" ca="1" si="48"/>
        <v>1207.8192438307085</v>
      </c>
      <c r="AH48" s="31">
        <f t="shared" ca="1" si="48"/>
        <v>1202.675541936132</v>
      </c>
      <c r="AI48" s="31">
        <f t="shared" ca="1" si="48"/>
        <v>937.75925128360279</v>
      </c>
      <c r="AJ48" s="31">
        <f t="shared" ca="1" si="48"/>
        <v>942.81019101314519</v>
      </c>
      <c r="AK48" s="31">
        <f t="shared" ca="1" si="48"/>
        <v>932.18321643549291</v>
      </c>
      <c r="AL48" s="31">
        <f t="shared" ca="1" si="48"/>
        <v>983.9190235836345</v>
      </c>
      <c r="AM48" s="31">
        <f t="shared" ca="1" si="48"/>
        <v>970.76380968365265</v>
      </c>
      <c r="AN48" s="266">
        <f t="shared" ca="1" si="48"/>
        <v>969.10956332446642</v>
      </c>
      <c r="AO48" s="239">
        <f t="shared" ca="1" si="48"/>
        <v>1076.7880846593339</v>
      </c>
      <c r="AP48" s="31">
        <f t="shared" ca="1" si="48"/>
        <v>1076.7880846593339</v>
      </c>
      <c r="AQ48" s="240">
        <f ca="1">SUMIFS(AC48:AN48,AC$4:AN$4,"&lt;"&amp;'Title Sheet'!$C$13)</f>
        <v>12613.57850171363</v>
      </c>
      <c r="AR48" s="3"/>
    </row>
    <row r="49" spans="2:43" ht="15.75" hidden="1" outlineLevel="1" x14ac:dyDescent="0.25">
      <c r="B49" t="str">
        <f t="shared" si="42"/>
        <v>PC Annual Direct</v>
      </c>
      <c r="C49" t="str">
        <f t="shared" si="43"/>
        <v>Boom Annual</v>
      </c>
      <c r="D49" s="213" t="s">
        <v>0</v>
      </c>
      <c r="E49" s="214" t="str">
        <f t="shared" ref="E49:AN49" si="49">IFERROR(IF(E47=0,"-",(E47/E48)-1),"-")</f>
        <v>-</v>
      </c>
      <c r="F49" s="214" t="str">
        <f t="shared" si="49"/>
        <v>-</v>
      </c>
      <c r="G49" s="214" t="str">
        <f t="shared" si="49"/>
        <v>-</v>
      </c>
      <c r="H49" s="214" t="str">
        <f t="shared" si="49"/>
        <v>-</v>
      </c>
      <c r="I49" s="214" t="str">
        <f t="shared" si="49"/>
        <v>-</v>
      </c>
      <c r="J49" s="214" t="str">
        <f t="shared" si="49"/>
        <v>-</v>
      </c>
      <c r="K49" s="214" t="str">
        <f t="shared" si="49"/>
        <v>-</v>
      </c>
      <c r="L49" s="214" t="str">
        <f t="shared" si="49"/>
        <v>-</v>
      </c>
      <c r="M49" s="214" t="str">
        <f t="shared" si="49"/>
        <v>-</v>
      </c>
      <c r="N49" s="214" t="str">
        <f t="shared" si="49"/>
        <v>-</v>
      </c>
      <c r="O49" s="214" t="str">
        <f t="shared" si="49"/>
        <v>-</v>
      </c>
      <c r="P49" s="270" t="str">
        <f t="shared" ca="1" si="49"/>
        <v>-</v>
      </c>
      <c r="Q49" s="214" t="str">
        <f t="shared" ca="1" si="49"/>
        <v>-</v>
      </c>
      <c r="R49" s="214" t="str">
        <f t="shared" ca="1" si="49"/>
        <v>-</v>
      </c>
      <c r="S49" s="214" t="str">
        <f t="shared" ca="1" si="49"/>
        <v>-</v>
      </c>
      <c r="T49" s="214" t="str">
        <f t="shared" ca="1" si="49"/>
        <v>-</v>
      </c>
      <c r="U49" s="214" t="str">
        <f t="shared" ca="1" si="49"/>
        <v>-</v>
      </c>
      <c r="V49" s="214" t="str">
        <f t="shared" ca="1" si="49"/>
        <v>-</v>
      </c>
      <c r="W49" s="214" t="str">
        <f t="shared" ca="1" si="49"/>
        <v>-</v>
      </c>
      <c r="X49" s="214" t="str">
        <f t="shared" ca="1" si="49"/>
        <v>-</v>
      </c>
      <c r="Y49" s="214" t="str">
        <f t="shared" ca="1" si="49"/>
        <v>-</v>
      </c>
      <c r="Z49" s="214" t="str">
        <f t="shared" ca="1" si="49"/>
        <v>-</v>
      </c>
      <c r="AA49" s="214">
        <f t="shared" ca="1" si="49"/>
        <v>-6.3135586579121217E-2</v>
      </c>
      <c r="AB49" s="294">
        <f t="shared" ca="1" si="49"/>
        <v>-0.12697710172194621</v>
      </c>
      <c r="AC49" s="214">
        <f t="shared" ca="1" si="49"/>
        <v>-1.7849959858408981E-2</v>
      </c>
      <c r="AD49" s="214">
        <f t="shared" ca="1" si="49"/>
        <v>-9.3298864189338637E-2</v>
      </c>
      <c r="AE49" s="214">
        <f t="shared" ca="1" si="49"/>
        <v>-7.746670204804651E-2</v>
      </c>
      <c r="AF49" s="214">
        <f t="shared" ca="1" si="49"/>
        <v>-0.21457643992729392</v>
      </c>
      <c r="AG49" s="214">
        <f t="shared" ca="1" si="49"/>
        <v>-0.27709569946577162</v>
      </c>
      <c r="AH49" s="214">
        <f t="shared" ca="1" si="49"/>
        <v>-0.26614895390486915</v>
      </c>
      <c r="AI49" s="214">
        <f t="shared" ca="1" si="49"/>
        <v>-5.5448324100560886E-2</v>
      </c>
      <c r="AJ49" s="214">
        <f t="shared" ca="1" si="49"/>
        <v>-5.9455997566023933E-2</v>
      </c>
      <c r="AK49" s="214">
        <f t="shared" ca="1" si="49"/>
        <v>-1.037074505106983E-2</v>
      </c>
      <c r="AL49" s="214">
        <f t="shared" ca="1" si="49"/>
        <v>-9.6394661551544747E-2</v>
      </c>
      <c r="AM49" s="214">
        <f t="shared" ca="1" si="49"/>
        <v>-5.8866053047009204E-2</v>
      </c>
      <c r="AN49" s="270">
        <f t="shared" ca="1" si="49"/>
        <v>-5.515743483066593E-2</v>
      </c>
      <c r="AO49" s="274">
        <f t="shared" ref="AO49:AP49" ca="1" si="50">AO47-AO48</f>
        <v>-33.609836480954982</v>
      </c>
      <c r="AP49" s="275">
        <f t="shared" ca="1" si="50"/>
        <v>-265.25918556434738</v>
      </c>
      <c r="AQ49" s="276">
        <f t="shared" ref="AQ49" ca="1" si="51">IFERROR(IF(AQ47=0,"-",(AQ47/AQ48)-1),"-")</f>
        <v>-0.11446772061808597</v>
      </c>
    </row>
    <row r="50" spans="2:43" outlineLevel="1" x14ac:dyDescent="0.25">
      <c r="B50" t="str">
        <f t="shared" si="42"/>
        <v>PC Annual Direct</v>
      </c>
      <c r="C50" t="str">
        <f t="shared" si="43"/>
        <v>Boom Annual</v>
      </c>
      <c r="D50" s="258" t="s">
        <v>17</v>
      </c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67"/>
      <c r="Q50" s="259"/>
      <c r="R50" s="259"/>
      <c r="S50" s="259"/>
      <c r="T50" s="259"/>
      <c r="U50" s="259"/>
      <c r="V50" s="259"/>
      <c r="W50" s="259"/>
      <c r="X50" s="259"/>
      <c r="Y50" s="259"/>
      <c r="Z50" s="259"/>
      <c r="AA50" s="259"/>
      <c r="AB50" s="313"/>
      <c r="AC50" s="259"/>
      <c r="AD50" s="259"/>
      <c r="AE50" s="259"/>
      <c r="AF50" s="259"/>
      <c r="AG50" s="259"/>
      <c r="AH50" s="259"/>
      <c r="AI50" s="259"/>
      <c r="AJ50" s="259"/>
      <c r="AK50" s="259"/>
      <c r="AL50" s="259"/>
      <c r="AM50" s="259"/>
      <c r="AN50" s="267"/>
      <c r="AO50" s="277"/>
      <c r="AP50" s="277"/>
      <c r="AQ50" s="278">
        <f>SUMIFS(AC50:AN50,AC$4:AN$4,"&lt;"&amp;'Title Sheet'!$C$13)</f>
        <v>0</v>
      </c>
    </row>
    <row r="51" spans="2:43" ht="15.75" outlineLevel="1" x14ac:dyDescent="0.25">
      <c r="B51" t="str">
        <f t="shared" si="42"/>
        <v>PC Annual Direct</v>
      </c>
      <c r="C51" t="str">
        <f t="shared" si="43"/>
        <v>Boom Annual</v>
      </c>
      <c r="D51" s="208" t="s">
        <v>7</v>
      </c>
      <c r="E51" s="282">
        <v>63882.723213917787</v>
      </c>
      <c r="F51" s="283">
        <v>190494.91964215893</v>
      </c>
      <c r="G51" s="283">
        <v>596806.79464284331</v>
      </c>
      <c r="H51" s="283">
        <v>595003.65178337891</v>
      </c>
      <c r="I51" s="283">
        <v>767228.99106955796</v>
      </c>
      <c r="J51" s="283">
        <v>1076558.1071435665</v>
      </c>
      <c r="K51" s="283">
        <v>1970118.39286279</v>
      </c>
      <c r="L51" s="283">
        <v>1693961.1071383746</v>
      </c>
      <c r="M51" s="283">
        <v>2359606.7857171055</v>
      </c>
      <c r="N51" s="283">
        <v>2882993.6785684759</v>
      </c>
      <c r="O51" s="283">
        <v>2381454.3214225136</v>
      </c>
      <c r="P51" s="284">
        <v>1845728.2232118105</v>
      </c>
      <c r="Q51" s="282">
        <v>1310265.0535725218</v>
      </c>
      <c r="R51" s="283">
        <v>1327939.2499983122</v>
      </c>
      <c r="S51" s="283">
        <v>1409536.7321461581</v>
      </c>
      <c r="T51" s="283">
        <v>1108687.1517870072</v>
      </c>
      <c r="U51" s="283">
        <v>1246462.1607149141</v>
      </c>
      <c r="V51" s="283">
        <v>1107291.8392874526</v>
      </c>
      <c r="W51" s="283">
        <v>1048832.0178576689</v>
      </c>
      <c r="X51" s="283">
        <v>1253992.9107235237</v>
      </c>
      <c r="Y51" s="283">
        <v>1303893.1696446086</v>
      </c>
      <c r="Z51" s="283">
        <v>1566971.7232140885</v>
      </c>
      <c r="AA51" s="283">
        <v>2157081.1517849583</v>
      </c>
      <c r="AB51" s="314">
        <v>1914532.8749973006</v>
      </c>
      <c r="AC51" s="283">
        <v>1944443.0178594808</v>
      </c>
      <c r="AD51" s="283">
        <v>1732662.0535668435</v>
      </c>
      <c r="AE51" s="283">
        <v>2205954.4464311609</v>
      </c>
      <c r="AF51" s="283">
        <v>1850640.28571464</v>
      </c>
      <c r="AG51" s="283">
        <v>1837855.9196469001</v>
      </c>
      <c r="AH51" s="283">
        <v>1522427.3660705225</v>
      </c>
      <c r="AI51" s="283">
        <v>1241761.1875013036</v>
      </c>
      <c r="AJ51" s="283">
        <v>1069691.2499979811</v>
      </c>
      <c r="AK51" s="283">
        <v>1027546.1428554314</v>
      </c>
      <c r="AL51" s="283">
        <v>1002417.9196437768</v>
      </c>
      <c r="AM51" s="283">
        <v>1136470.0178602049</v>
      </c>
      <c r="AN51" s="284">
        <v>1060884.4999982724</v>
      </c>
      <c r="AO51" s="237">
        <f t="shared" ref="AO51" si="52">AVERAGE(Z51:AC51)</f>
        <v>1895757.1919639572</v>
      </c>
      <c r="AP51" s="209">
        <f>AVERAGE(R51:AC51)</f>
        <v>1449138.6666679562</v>
      </c>
      <c r="AQ51" s="238">
        <f>SUMIFS(AC51:AN51,AC$4:AN$4,"&lt;"&amp;'Title Sheet'!$C$13)</f>
        <v>17632754.107146516</v>
      </c>
    </row>
    <row r="52" spans="2:43" ht="16.5" outlineLevel="1" thickBot="1" x14ac:dyDescent="0.3">
      <c r="B52" t="str">
        <f t="shared" si="42"/>
        <v>PC Annual Direct</v>
      </c>
      <c r="C52" t="str">
        <f t="shared" si="43"/>
        <v>Boom Annual</v>
      </c>
      <c r="D52" s="226" t="s">
        <v>21</v>
      </c>
      <c r="E52" s="269">
        <f t="shared" ref="E52:AB52" si="53">IFERROR(E44/E$27,"-")</f>
        <v>1</v>
      </c>
      <c r="F52" s="269">
        <f t="shared" si="53"/>
        <v>1</v>
      </c>
      <c r="G52" s="269">
        <f t="shared" si="53"/>
        <v>1</v>
      </c>
      <c r="H52" s="269">
        <f t="shared" si="53"/>
        <v>1</v>
      </c>
      <c r="I52" s="269">
        <f t="shared" si="53"/>
        <v>1</v>
      </c>
      <c r="J52" s="269">
        <f t="shared" si="53"/>
        <v>1</v>
      </c>
      <c r="K52" s="269">
        <f t="shared" si="53"/>
        <v>1</v>
      </c>
      <c r="L52" s="269">
        <f t="shared" si="53"/>
        <v>1</v>
      </c>
      <c r="M52" s="269">
        <f t="shared" si="53"/>
        <v>1</v>
      </c>
      <c r="N52" s="269">
        <f t="shared" si="53"/>
        <v>1</v>
      </c>
      <c r="O52" s="269">
        <f t="shared" si="53"/>
        <v>1</v>
      </c>
      <c r="P52" s="281">
        <f t="shared" si="53"/>
        <v>1</v>
      </c>
      <c r="Q52" s="269">
        <f t="shared" si="53"/>
        <v>1</v>
      </c>
      <c r="R52" s="269">
        <f t="shared" si="53"/>
        <v>1</v>
      </c>
      <c r="S52" s="269">
        <f t="shared" si="53"/>
        <v>1</v>
      </c>
      <c r="T52" s="269">
        <f t="shared" si="53"/>
        <v>1</v>
      </c>
      <c r="U52" s="269">
        <f t="shared" si="53"/>
        <v>1</v>
      </c>
      <c r="V52" s="269">
        <f t="shared" si="53"/>
        <v>1</v>
      </c>
      <c r="W52" s="269">
        <f t="shared" si="53"/>
        <v>1</v>
      </c>
      <c r="X52" s="269">
        <f t="shared" si="53"/>
        <v>1</v>
      </c>
      <c r="Y52" s="269">
        <f t="shared" si="53"/>
        <v>1</v>
      </c>
      <c r="Z52" s="269">
        <f t="shared" si="53"/>
        <v>1</v>
      </c>
      <c r="AA52" s="269">
        <f t="shared" si="53"/>
        <v>1</v>
      </c>
      <c r="AB52" s="280">
        <f t="shared" si="53"/>
        <v>1</v>
      </c>
      <c r="AC52" s="269">
        <f>IFERROR(AC44/AC$27,"-")</f>
        <v>0.80456989798280076</v>
      </c>
      <c r="AD52" s="269">
        <f t="shared" ref="AD52:AN52" si="54">IFERROR(AD44/AD$27,"-")</f>
        <v>0.41940861380294908</v>
      </c>
      <c r="AE52" s="269">
        <f t="shared" si="54"/>
        <v>0.33154136227444864</v>
      </c>
      <c r="AF52" s="269">
        <f t="shared" si="54"/>
        <v>0.30949203753276899</v>
      </c>
      <c r="AG52" s="269">
        <f t="shared" si="54"/>
        <v>0.32260638561310639</v>
      </c>
      <c r="AH52" s="269">
        <f t="shared" si="54"/>
        <v>0.32036852865725096</v>
      </c>
      <c r="AI52" s="269">
        <f t="shared" si="54"/>
        <v>0.31301853192494766</v>
      </c>
      <c r="AJ52" s="269">
        <f t="shared" si="54"/>
        <v>0.30876536354077638</v>
      </c>
      <c r="AK52" s="269">
        <f t="shared" si="54"/>
        <v>0.31160991790221165</v>
      </c>
      <c r="AL52" s="269">
        <f t="shared" si="54"/>
        <v>0.30770209805762838</v>
      </c>
      <c r="AM52" s="269">
        <f t="shared" si="54"/>
        <v>0.30575774995022476</v>
      </c>
      <c r="AN52" s="281">
        <f t="shared" si="54"/>
        <v>0.2737412268079677</v>
      </c>
      <c r="AO52" s="279">
        <f t="shared" ref="AO52:AP52" si="55">AO44/AO$8</f>
        <v>0.43808801702520528</v>
      </c>
      <c r="AP52" s="269">
        <f t="shared" si="55"/>
        <v>0.43423721932699039</v>
      </c>
      <c r="AQ52" s="280" t="str">
        <f t="shared" ref="AQ52" si="56">IFERROR(IF(AQ50=0,"-",(AQ50/AQ51)-1),"-")</f>
        <v>-</v>
      </c>
    </row>
    <row r="53" spans="2:43" outlineLevel="1" x14ac:dyDescent="0.25"/>
    <row r="54" spans="2:43" ht="15.75" outlineLevel="1" thickBot="1" x14ac:dyDescent="0.3"/>
    <row r="55" spans="2:43" ht="18.75" outlineLevel="1" x14ac:dyDescent="0.25">
      <c r="D55" s="309" t="s">
        <v>351</v>
      </c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33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33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63"/>
      <c r="AO55" s="202"/>
      <c r="AP55" s="202"/>
      <c r="AQ55" s="233"/>
    </row>
    <row r="56" spans="2:43" outlineLevel="1" x14ac:dyDescent="0.25">
      <c r="D56" s="204"/>
      <c r="E56" s="303" t="s">
        <v>341</v>
      </c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17"/>
      <c r="Q56" s="320" t="s">
        <v>341</v>
      </c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17"/>
      <c r="AC56" s="303" t="s">
        <v>341</v>
      </c>
      <c r="AD56" s="303"/>
      <c r="AE56" s="303"/>
      <c r="AF56" s="303"/>
      <c r="AG56" s="303"/>
      <c r="AH56" s="303"/>
      <c r="AI56" s="303"/>
      <c r="AJ56" s="303"/>
      <c r="AK56" s="303"/>
      <c r="AL56" s="303"/>
      <c r="AM56" s="303"/>
      <c r="AN56" s="317"/>
      <c r="AO56" s="510" t="s">
        <v>8</v>
      </c>
      <c r="AP56" s="511"/>
      <c r="AQ56" s="512"/>
    </row>
    <row r="57" spans="2:43" outlineLevel="1" x14ac:dyDescent="0.25">
      <c r="D57" s="321" t="s">
        <v>16</v>
      </c>
      <c r="E57" s="318">
        <f t="shared" ref="E57:AN57" si="57">E$4</f>
        <v>44562</v>
      </c>
      <c r="F57" s="318">
        <f t="shared" si="57"/>
        <v>44593</v>
      </c>
      <c r="G57" s="318">
        <f t="shared" si="57"/>
        <v>44621</v>
      </c>
      <c r="H57" s="318">
        <f t="shared" si="57"/>
        <v>44652</v>
      </c>
      <c r="I57" s="318">
        <f t="shared" si="57"/>
        <v>44682</v>
      </c>
      <c r="J57" s="318">
        <f t="shared" si="57"/>
        <v>44713</v>
      </c>
      <c r="K57" s="318">
        <f t="shared" si="57"/>
        <v>44743</v>
      </c>
      <c r="L57" s="318">
        <f t="shared" si="57"/>
        <v>44774</v>
      </c>
      <c r="M57" s="318">
        <f t="shared" si="57"/>
        <v>44805</v>
      </c>
      <c r="N57" s="318">
        <f t="shared" si="57"/>
        <v>44835</v>
      </c>
      <c r="O57" s="318">
        <f t="shared" si="57"/>
        <v>44866</v>
      </c>
      <c r="P57" s="319">
        <f t="shared" si="57"/>
        <v>44896</v>
      </c>
      <c r="Q57" s="318">
        <f t="shared" si="57"/>
        <v>44927</v>
      </c>
      <c r="R57" s="318">
        <f t="shared" si="57"/>
        <v>44958</v>
      </c>
      <c r="S57" s="318">
        <f t="shared" si="57"/>
        <v>44986</v>
      </c>
      <c r="T57" s="318">
        <f t="shared" si="57"/>
        <v>45017</v>
      </c>
      <c r="U57" s="318">
        <f t="shared" si="57"/>
        <v>45047</v>
      </c>
      <c r="V57" s="318">
        <f t="shared" si="57"/>
        <v>45078</v>
      </c>
      <c r="W57" s="318">
        <f t="shared" si="57"/>
        <v>45108</v>
      </c>
      <c r="X57" s="318">
        <f t="shared" si="57"/>
        <v>45139</v>
      </c>
      <c r="Y57" s="318">
        <f t="shared" si="57"/>
        <v>45170</v>
      </c>
      <c r="Z57" s="318">
        <f t="shared" si="57"/>
        <v>45200</v>
      </c>
      <c r="AA57" s="318">
        <f t="shared" si="57"/>
        <v>45231</v>
      </c>
      <c r="AB57" s="319">
        <f t="shared" si="57"/>
        <v>45261</v>
      </c>
      <c r="AC57" s="318">
        <f t="shared" si="57"/>
        <v>45292</v>
      </c>
      <c r="AD57" s="318">
        <f t="shared" si="57"/>
        <v>45323</v>
      </c>
      <c r="AE57" s="318">
        <f t="shared" si="57"/>
        <v>45352</v>
      </c>
      <c r="AF57" s="318">
        <f t="shared" si="57"/>
        <v>45383</v>
      </c>
      <c r="AG57" s="318">
        <f t="shared" si="57"/>
        <v>45413</v>
      </c>
      <c r="AH57" s="318">
        <f t="shared" si="57"/>
        <v>45444</v>
      </c>
      <c r="AI57" s="318">
        <f t="shared" si="57"/>
        <v>45474</v>
      </c>
      <c r="AJ57" s="318">
        <f t="shared" si="57"/>
        <v>45505</v>
      </c>
      <c r="AK57" s="318">
        <f t="shared" si="57"/>
        <v>45536</v>
      </c>
      <c r="AL57" s="318">
        <f t="shared" si="57"/>
        <v>45566</v>
      </c>
      <c r="AM57" s="318">
        <f t="shared" si="57"/>
        <v>45597</v>
      </c>
      <c r="AN57" s="316">
        <f t="shared" si="57"/>
        <v>45627</v>
      </c>
      <c r="AO57" s="271" t="s">
        <v>9</v>
      </c>
      <c r="AP57" s="272">
        <f>AP38</f>
        <v>0</v>
      </c>
      <c r="AQ57" s="273" t="s">
        <v>346</v>
      </c>
    </row>
    <row r="58" spans="2:43" ht="15.75" outlineLevel="1" x14ac:dyDescent="0.25">
      <c r="B58" t="str">
        <f>$D$2</f>
        <v>PC Annual Direct</v>
      </c>
      <c r="C58" t="s">
        <v>353</v>
      </c>
      <c r="D58" s="208" t="s">
        <v>316</v>
      </c>
      <c r="E58" s="209">
        <v>0</v>
      </c>
      <c r="F58" s="209">
        <v>0</v>
      </c>
      <c r="G58" s="209">
        <v>0</v>
      </c>
      <c r="H58" s="209">
        <v>0</v>
      </c>
      <c r="I58" s="209">
        <v>0</v>
      </c>
      <c r="J58" s="209">
        <v>0</v>
      </c>
      <c r="K58" s="209">
        <v>0</v>
      </c>
      <c r="L58" s="209">
        <v>0</v>
      </c>
      <c r="M58" s="209">
        <v>0</v>
      </c>
      <c r="N58" s="209">
        <v>0</v>
      </c>
      <c r="O58" s="209">
        <v>0</v>
      </c>
      <c r="P58" s="238">
        <v>0</v>
      </c>
      <c r="Q58" s="209">
        <v>0</v>
      </c>
      <c r="R58" s="209">
        <v>0</v>
      </c>
      <c r="S58" s="209">
        <v>0</v>
      </c>
      <c r="T58" s="209">
        <v>0</v>
      </c>
      <c r="U58" s="209">
        <v>0</v>
      </c>
      <c r="V58" s="209">
        <v>0</v>
      </c>
      <c r="W58" s="209">
        <v>0</v>
      </c>
      <c r="X58" s="209">
        <v>0</v>
      </c>
      <c r="Y58" s="209">
        <v>0</v>
      </c>
      <c r="Z58" s="209">
        <v>0</v>
      </c>
      <c r="AA58" s="209">
        <v>0</v>
      </c>
      <c r="AB58" s="238">
        <v>0</v>
      </c>
      <c r="AC58" s="209">
        <v>273.08196722940011</v>
      </c>
      <c r="AD58" s="209">
        <v>1449.8879781919002</v>
      </c>
      <c r="AE58" s="209">
        <v>2876.5397260939967</v>
      </c>
      <c r="AF58" s="209">
        <v>3056.3397261169957</v>
      </c>
      <c r="AG58" s="209">
        <v>2954.6109589979951</v>
      </c>
      <c r="AH58" s="209">
        <v>2561.9671233569939</v>
      </c>
      <c r="AI58" s="209">
        <v>2169.424657644</v>
      </c>
      <c r="AJ58" s="209">
        <v>1909.4630137499996</v>
      </c>
      <c r="AK58" s="209">
        <v>1796.6109589239995</v>
      </c>
      <c r="AL58" s="209">
        <v>1784.8273973089997</v>
      </c>
      <c r="AM58" s="209">
        <v>1959.5616439189996</v>
      </c>
      <c r="AN58" s="265">
        <v>2152.7397260720008</v>
      </c>
      <c r="AO58" s="237">
        <f t="shared" ref="AO58:AO63" si="58">AVERAGE(Z58:AC58)</f>
        <v>68.270491807350027</v>
      </c>
      <c r="AP58" s="209">
        <f>AVERAGE(R58:AC58)</f>
        <v>22.756830602450009</v>
      </c>
      <c r="AQ58" s="238">
        <f>SUMIFS(AC58:AN58,AC$4:AN$4,"&lt;"&amp;'Title Sheet'!$C$13)</f>
        <v>24945.054877605282</v>
      </c>
    </row>
    <row r="59" spans="2:43" ht="15.75" hidden="1" outlineLevel="1" x14ac:dyDescent="0.25">
      <c r="B59" t="str">
        <f>"PC Annual Direct - Premium Finance_W VYRs"</f>
        <v>PC Annual Direct - Premium Finance_W VYRs</v>
      </c>
      <c r="C59" t="s">
        <v>353</v>
      </c>
      <c r="D59" s="211" t="s">
        <v>317</v>
      </c>
      <c r="E59" s="31" t="e">
        <f>INDEX('Plan Figures'!$B$94:$AP$131,MATCH('Current - MGA and MPM'!E$4,'Plan Figures'!$B$94:$B$131,0),MATCH('Current - MGA and MPM'!$B59,'Plan Figures'!$B$1:$AP$1,0))</f>
        <v>#N/A</v>
      </c>
      <c r="F59" s="31" t="e">
        <f>INDEX('Plan Figures'!$B$94:$AP$131,MATCH('Current - MGA and MPM'!F$4,'Plan Figures'!$B$94:$B$131,0),MATCH('Current - MGA and MPM'!$B59,'Plan Figures'!$B$1:$AP$1,0))</f>
        <v>#N/A</v>
      </c>
      <c r="G59" s="31" t="e">
        <f>INDEX('Plan Figures'!$B$94:$AP$131,MATCH('Current - MGA and MPM'!G$4,'Plan Figures'!$B$94:$B$131,0),MATCH('Current - MGA and MPM'!$B59,'Plan Figures'!$B$1:$AP$1,0))</f>
        <v>#N/A</v>
      </c>
      <c r="H59" s="31" t="e">
        <f>INDEX('Plan Figures'!$B$94:$AP$131,MATCH('Current - MGA and MPM'!H$4,'Plan Figures'!$B$94:$B$131,0),MATCH('Current - MGA and MPM'!$B59,'Plan Figures'!$B$1:$AP$1,0))</f>
        <v>#N/A</v>
      </c>
      <c r="I59" s="31" t="e">
        <f>INDEX('Plan Figures'!$B$94:$AP$131,MATCH('Current - MGA and MPM'!I$4,'Plan Figures'!$B$94:$B$131,0),MATCH('Current - MGA and MPM'!$B59,'Plan Figures'!$B$1:$AP$1,0))</f>
        <v>#N/A</v>
      </c>
      <c r="J59" s="31" t="e">
        <f>INDEX('Plan Figures'!$B$94:$AP$131,MATCH('Current - MGA and MPM'!J$4,'Plan Figures'!$B$94:$B$131,0),MATCH('Current - MGA and MPM'!$B59,'Plan Figures'!$B$1:$AP$1,0))</f>
        <v>#N/A</v>
      </c>
      <c r="K59" s="31" t="e">
        <f>INDEX('Plan Figures'!$B$94:$AP$131,MATCH('Current - MGA and MPM'!K$4,'Plan Figures'!$B$94:$B$131,0),MATCH('Current - MGA and MPM'!$B59,'Plan Figures'!$B$1:$AP$1,0))</f>
        <v>#N/A</v>
      </c>
      <c r="L59" s="31" t="e">
        <f>INDEX('Plan Figures'!$B$94:$AP$131,MATCH('Current - MGA and MPM'!L$4,'Plan Figures'!$B$94:$B$131,0),MATCH('Current - MGA and MPM'!$B59,'Plan Figures'!$B$1:$AP$1,0))</f>
        <v>#N/A</v>
      </c>
      <c r="M59" s="31" t="e">
        <f>INDEX('Plan Figures'!$B$94:$AP$131,MATCH('Current - MGA and MPM'!M$4,'Plan Figures'!$B$94:$B$131,0),MATCH('Current - MGA and MPM'!$B59,'Plan Figures'!$B$1:$AP$1,0))</f>
        <v>#N/A</v>
      </c>
      <c r="N59" s="31" t="e">
        <f>INDEX('Plan Figures'!$B$94:$AP$131,MATCH('Current - MGA and MPM'!N$4,'Plan Figures'!$B$94:$B$131,0),MATCH('Current - MGA and MPM'!$B59,'Plan Figures'!$B$1:$AP$1,0))</f>
        <v>#N/A</v>
      </c>
      <c r="O59" s="31" t="e">
        <f>INDEX('Plan Figures'!$B$94:$AP$131,MATCH('Current - MGA and MPM'!O$4,'Plan Figures'!$B$94:$B$131,0),MATCH('Current - MGA and MPM'!$B59,'Plan Figures'!$B$1:$AP$1,0))</f>
        <v>#N/A</v>
      </c>
      <c r="P59" s="240" t="str">
        <f ca="1">INDEX('Plan Figures'!$B$94:$AP$131,MATCH('Current - MGA and MPM'!P$4,'Plan Figures'!$B$94:$B$131,0),MATCH('Current - MGA and MPM'!$B59,'Plan Figures'!$B$1:$AP$1,0))</f>
        <v>-</v>
      </c>
      <c r="Q59" s="31" t="str">
        <f ca="1">INDEX('Plan Figures'!$B$94:$AP$131,MATCH('Current - MGA and MPM'!Q$4,'Plan Figures'!$B$94:$B$131,0),MATCH('Current - MGA and MPM'!$B59,'Plan Figures'!$B$1:$AP$1,0))</f>
        <v>-</v>
      </c>
      <c r="R59" s="31" t="str">
        <f ca="1">INDEX('Plan Figures'!$B$94:$AP$131,MATCH('Current - MGA and MPM'!R$4,'Plan Figures'!$B$94:$B$131,0),MATCH('Current - MGA and MPM'!$B59,'Plan Figures'!$B$1:$AP$1,0))</f>
        <v>-</v>
      </c>
      <c r="S59" s="31" t="str">
        <f ca="1">INDEX('Plan Figures'!$B$94:$AP$131,MATCH('Current - MGA and MPM'!S$4,'Plan Figures'!$B$94:$B$131,0),MATCH('Current - MGA and MPM'!$B59,'Plan Figures'!$B$1:$AP$1,0))</f>
        <v>-</v>
      </c>
      <c r="T59" s="31" t="str">
        <f ca="1">INDEX('Plan Figures'!$B$94:$AP$131,MATCH('Current - MGA and MPM'!T$4,'Plan Figures'!$B$94:$B$131,0),MATCH('Current - MGA and MPM'!$B59,'Plan Figures'!$B$1:$AP$1,0))</f>
        <v>-</v>
      </c>
      <c r="U59" s="31" t="str">
        <f ca="1">INDEX('Plan Figures'!$B$94:$AP$131,MATCH('Current - MGA and MPM'!U$4,'Plan Figures'!$B$94:$B$131,0),MATCH('Current - MGA and MPM'!$B59,'Plan Figures'!$B$1:$AP$1,0))</f>
        <v>-</v>
      </c>
      <c r="V59" s="31" t="str">
        <f ca="1">INDEX('Plan Figures'!$B$94:$AP$131,MATCH('Current - MGA and MPM'!V$4,'Plan Figures'!$B$94:$B$131,0),MATCH('Current - MGA and MPM'!$B59,'Plan Figures'!$B$1:$AP$1,0))</f>
        <v>-</v>
      </c>
      <c r="W59" s="31" t="str">
        <f ca="1">INDEX('Plan Figures'!$B$94:$AP$131,MATCH('Current - MGA and MPM'!W$4,'Plan Figures'!$B$94:$B$131,0),MATCH('Current - MGA and MPM'!$B59,'Plan Figures'!$B$1:$AP$1,0))</f>
        <v>-</v>
      </c>
      <c r="X59" s="31" t="str">
        <f ca="1">INDEX('Plan Figures'!$B$94:$AP$131,MATCH('Current - MGA and MPM'!X$4,'Plan Figures'!$B$94:$B$131,0),MATCH('Current - MGA and MPM'!$B59,'Plan Figures'!$B$1:$AP$1,0))</f>
        <v>-</v>
      </c>
      <c r="Y59" s="31" t="str">
        <f ca="1">INDEX('Plan Figures'!$B$94:$AP$131,MATCH('Current - MGA and MPM'!Y$4,'Plan Figures'!$B$94:$B$131,0),MATCH('Current - MGA and MPM'!$B59,'Plan Figures'!$B$1:$AP$1,0))</f>
        <v>-</v>
      </c>
      <c r="Z59" s="31" t="str">
        <f ca="1">INDEX('Plan Figures'!$B$94:$AP$131,MATCH('Current - MGA and MPM'!Z$4,'Plan Figures'!$B$94:$B$131,0),MATCH('Current - MGA and MPM'!$B59,'Plan Figures'!$B$1:$AP$1,0))</f>
        <v>-</v>
      </c>
      <c r="AA59" s="31">
        <f ca="1">INDEX('Plan Figures'!$B$94:$AP$131,MATCH('Current - MGA and MPM'!AA$4,'Plan Figures'!$B$94:$B$131,0),MATCH('Current - MGA and MPM'!$B59,'Plan Figures'!$B$1:$AP$1,0))</f>
        <v>0</v>
      </c>
      <c r="AB59" s="240">
        <f ca="1">INDEX('Plan Figures'!$B$94:$AP$131,MATCH('Current - MGA and MPM'!AB$4,'Plan Figures'!$B$94:$B$131,0),MATCH('Current - MGA and MPM'!$B59,'Plan Figures'!$B$1:$AP$1,0))</f>
        <v>0</v>
      </c>
      <c r="AC59" s="31">
        <f ca="1">INDEX('Plan Figures'!$B$94:$AP$131,MATCH('Current - MGA and MPM'!AC$4,'Plan Figures'!$B$94:$B$131,0),MATCH('Current - MGA and MPM'!$B59,'Plan Figures'!$B$1:$AP$1,0))</f>
        <v>2230.0485070641912</v>
      </c>
      <c r="AD59" s="31">
        <f ca="1">INDEX('Plan Figures'!$B$94:$AP$131,MATCH('Current - MGA and MPM'!AD$4,'Plan Figures'!$B$94:$B$131,0),MATCH('Current - MGA and MPM'!$B59,'Plan Figures'!$B$1:$AP$1,0))</f>
        <v>2225.5973124393126</v>
      </c>
      <c r="AE59" s="31">
        <f ca="1">INDEX('Plan Figures'!$B$94:$AP$131,MATCH('Current - MGA and MPM'!AE$4,'Plan Figures'!$B$94:$B$131,0),MATCH('Current - MGA and MPM'!$B59,'Plan Figures'!$B$1:$AP$1,0))</f>
        <v>2221.1550024344438</v>
      </c>
      <c r="AF59" s="31">
        <f ca="1">INDEX('Plan Figures'!$B$94:$AP$131,MATCH('Current - MGA and MPM'!AF$4,'Plan Figures'!$B$94:$B$131,0),MATCH('Current - MGA and MPM'!$B59,'Plan Figures'!$B$1:$AP$1,0))</f>
        <v>2216.7215593158126</v>
      </c>
      <c r="AG59" s="31">
        <f ca="1">INDEX('Plan Figures'!$B$94:$AP$131,MATCH('Current - MGA and MPM'!AG$4,'Plan Figures'!$B$94:$B$131,0),MATCH('Current - MGA and MPM'!$B59,'Plan Figures'!$B$1:$AP$1,0))</f>
        <v>2212.8780736073654</v>
      </c>
      <c r="AH59" s="31">
        <f ca="1">INDEX('Plan Figures'!$B$94:$AP$131,MATCH('Current - MGA and MPM'!AH$4,'Plan Figures'!$B$94:$B$131,0),MATCH('Current - MGA and MPM'!$B59,'Plan Figures'!$B$1:$AP$1,0))</f>
        <v>2283.9188061757995</v>
      </c>
      <c r="AI59" s="31">
        <f ca="1">INDEX('Plan Figures'!$B$94:$AP$131,MATCH('Current - MGA and MPM'!AI$4,'Plan Figures'!$B$94:$B$131,0),MATCH('Current - MGA and MPM'!$B59,'Plan Figures'!$B$1:$AP$1,0))</f>
        <v>2077.7077704846874</v>
      </c>
      <c r="AJ59" s="31">
        <f ca="1">INDEX('Plan Figures'!$B$94:$AP$131,MATCH('Current - MGA and MPM'!AJ$4,'Plan Figures'!$B$94:$B$131,0),MATCH('Current - MGA and MPM'!$B59,'Plan Figures'!$B$1:$AP$1,0))</f>
        <v>2067.3639188477955</v>
      </c>
      <c r="AK59" s="31">
        <f ca="1">INDEX('Plan Figures'!$B$94:$AP$131,MATCH('Current - MGA and MPM'!AK$4,'Plan Figures'!$B$94:$B$131,0),MATCH('Current - MGA and MPM'!$B59,'Plan Figures'!$B$1:$AP$1,0))</f>
        <v>2807.6994788171282</v>
      </c>
      <c r="AL59" s="31">
        <f ca="1">INDEX('Plan Figures'!$B$94:$AP$131,MATCH('Current - MGA and MPM'!AL$4,'Plan Figures'!$B$94:$B$131,0),MATCH('Current - MGA and MPM'!$B59,'Plan Figures'!$B$1:$AP$1,0))</f>
        <v>3068.5526153553747</v>
      </c>
      <c r="AM59" s="31">
        <f ca="1">INDEX('Plan Figures'!$B$94:$AP$131,MATCH('Current - MGA and MPM'!AM$4,'Plan Figures'!$B$94:$B$131,0),MATCH('Current - MGA and MPM'!$B59,'Plan Figures'!$B$1:$AP$1,0))</f>
        <v>2501.2873707380145</v>
      </c>
      <c r="AN59" s="266">
        <f ca="1">INDEX('Plan Figures'!$B$94:$AP$131,MATCH('Current - MGA and MPM'!AN$4,'Plan Figures'!$B$94:$B$131,0),MATCH('Current - MGA and MPM'!$B59,'Plan Figures'!$B$1:$AP$1,0))</f>
        <v>2274.7026177431503</v>
      </c>
      <c r="AO59" s="239">
        <f t="shared" ca="1" si="58"/>
        <v>743.34950235473036</v>
      </c>
      <c r="AP59" s="31">
        <f t="shared" ref="AP59:AP63" ca="1" si="59">AVERAGE(R59:AC59)</f>
        <v>743.34950235473036</v>
      </c>
      <c r="AQ59" s="240">
        <f ca="1">SUMIFS(AC59:AN59,AC$4:AN$4,"&lt;"&amp;'Title Sheet'!$C$13)</f>
        <v>28187.633033023074</v>
      </c>
    </row>
    <row r="60" spans="2:43" ht="15.75" hidden="1" outlineLevel="1" x14ac:dyDescent="0.25">
      <c r="B60" t="str">
        <f t="shared" ref="B60:B69" si="60">$D$2</f>
        <v>PC Annual Direct</v>
      </c>
      <c r="C60" t="s">
        <v>353</v>
      </c>
      <c r="D60" s="213" t="s">
        <v>0</v>
      </c>
      <c r="E60" s="214" t="str">
        <f t="shared" ref="E60:AN60" si="61">IFERROR(IF(E58=0,"-",(E58/E59)-1),"-")</f>
        <v>-</v>
      </c>
      <c r="F60" s="214" t="str">
        <f t="shared" si="61"/>
        <v>-</v>
      </c>
      <c r="G60" s="214" t="str">
        <f t="shared" si="61"/>
        <v>-</v>
      </c>
      <c r="H60" s="214" t="str">
        <f t="shared" si="61"/>
        <v>-</v>
      </c>
      <c r="I60" s="214" t="str">
        <f t="shared" si="61"/>
        <v>-</v>
      </c>
      <c r="J60" s="214" t="str">
        <f t="shared" si="61"/>
        <v>-</v>
      </c>
      <c r="K60" s="214" t="str">
        <f t="shared" si="61"/>
        <v>-</v>
      </c>
      <c r="L60" s="214" t="str">
        <f t="shared" si="61"/>
        <v>-</v>
      </c>
      <c r="M60" s="214" t="str">
        <f t="shared" si="61"/>
        <v>-</v>
      </c>
      <c r="N60" s="214" t="str">
        <f t="shared" si="61"/>
        <v>-</v>
      </c>
      <c r="O60" s="214" t="str">
        <f t="shared" si="61"/>
        <v>-</v>
      </c>
      <c r="P60" s="294" t="str">
        <f t="shared" si="61"/>
        <v>-</v>
      </c>
      <c r="Q60" s="214" t="str">
        <f t="shared" si="61"/>
        <v>-</v>
      </c>
      <c r="R60" s="214" t="str">
        <f t="shared" si="61"/>
        <v>-</v>
      </c>
      <c r="S60" s="214" t="str">
        <f t="shared" si="61"/>
        <v>-</v>
      </c>
      <c r="T60" s="214" t="str">
        <f t="shared" si="61"/>
        <v>-</v>
      </c>
      <c r="U60" s="214" t="str">
        <f t="shared" si="61"/>
        <v>-</v>
      </c>
      <c r="V60" s="214" t="str">
        <f t="shared" si="61"/>
        <v>-</v>
      </c>
      <c r="W60" s="214" t="str">
        <f t="shared" si="61"/>
        <v>-</v>
      </c>
      <c r="X60" s="214" t="str">
        <f t="shared" si="61"/>
        <v>-</v>
      </c>
      <c r="Y60" s="214" t="str">
        <f t="shared" si="61"/>
        <v>-</v>
      </c>
      <c r="Z60" s="214" t="str">
        <f t="shared" si="61"/>
        <v>-</v>
      </c>
      <c r="AA60" s="214" t="str">
        <f t="shared" si="61"/>
        <v>-</v>
      </c>
      <c r="AB60" s="294" t="str">
        <f t="shared" si="61"/>
        <v>-</v>
      </c>
      <c r="AC60" s="214">
        <f t="shared" ca="1" si="61"/>
        <v>-0.87754438239152632</v>
      </c>
      <c r="AD60" s="214">
        <f t="shared" ca="1" si="61"/>
        <v>-0.34853984137733107</v>
      </c>
      <c r="AE60" s="214">
        <f t="shared" ca="1" si="61"/>
        <v>0.29506483020826302</v>
      </c>
      <c r="AF60" s="214">
        <f t="shared" ca="1" si="61"/>
        <v>0.37876573323910367</v>
      </c>
      <c r="AG60" s="214">
        <f t="shared" ca="1" si="61"/>
        <v>0.33518922449327704</v>
      </c>
      <c r="AH60" s="214">
        <f t="shared" ca="1" si="61"/>
        <v>0.12174176964143446</v>
      </c>
      <c r="AI60" s="214">
        <f t="shared" ca="1" si="61"/>
        <v>4.414330468519978E-2</v>
      </c>
      <c r="AJ60" s="214">
        <f t="shared" ca="1" si="61"/>
        <v>-7.6377895375962068E-2</v>
      </c>
      <c r="AK60" s="214">
        <f t="shared" ca="1" si="61"/>
        <v>-0.36011279965015908</v>
      </c>
      <c r="AL60" s="214">
        <f t="shared" ca="1" si="61"/>
        <v>-0.41834877186803732</v>
      </c>
      <c r="AM60" s="214">
        <f t="shared" ca="1" si="61"/>
        <v>-0.21657876386237729</v>
      </c>
      <c r="AN60" s="270">
        <f t="shared" ca="1" si="61"/>
        <v>-5.3617070961194502E-2</v>
      </c>
      <c r="AO60" s="274">
        <f t="shared" ca="1" si="58"/>
        <v>-0.87754438239152632</v>
      </c>
      <c r="AP60" s="275">
        <f t="shared" ca="1" si="59"/>
        <v>-0.87754438239152632</v>
      </c>
      <c r="AQ60" s="276">
        <f t="shared" ref="AQ60" ca="1" si="62">IFERROR(IF(AQ58=0,"-",(AQ58/AQ59)-1),"-")</f>
        <v>-0.11503548920262185</v>
      </c>
    </row>
    <row r="61" spans="2:43" ht="15.75" outlineLevel="1" x14ac:dyDescent="0.25">
      <c r="B61" t="str">
        <f t="shared" si="60"/>
        <v>PC Annual Direct</v>
      </c>
      <c r="C61" t="s">
        <v>353</v>
      </c>
      <c r="D61" s="208" t="s">
        <v>5</v>
      </c>
      <c r="E61" s="209">
        <v>0</v>
      </c>
      <c r="F61" s="209">
        <v>0</v>
      </c>
      <c r="G61" s="209">
        <v>0</v>
      </c>
      <c r="H61" s="209">
        <v>0</v>
      </c>
      <c r="I61" s="209">
        <v>0</v>
      </c>
      <c r="J61" s="209">
        <v>0</v>
      </c>
      <c r="K61" s="209">
        <v>0</v>
      </c>
      <c r="L61" s="209">
        <v>0</v>
      </c>
      <c r="M61" s="209">
        <v>0</v>
      </c>
      <c r="N61" s="209">
        <v>0</v>
      </c>
      <c r="O61" s="209">
        <v>0</v>
      </c>
      <c r="P61" s="238">
        <v>0</v>
      </c>
      <c r="Q61" s="209">
        <v>0</v>
      </c>
      <c r="R61" s="209">
        <v>0</v>
      </c>
      <c r="S61" s="209">
        <v>0</v>
      </c>
      <c r="T61" s="209">
        <v>0</v>
      </c>
      <c r="U61" s="209">
        <v>0</v>
      </c>
      <c r="V61" s="209">
        <v>0</v>
      </c>
      <c r="W61" s="209">
        <v>0</v>
      </c>
      <c r="X61" s="209">
        <v>0</v>
      </c>
      <c r="Y61" s="209">
        <v>0</v>
      </c>
      <c r="Z61" s="209">
        <v>0</v>
      </c>
      <c r="AA61" s="209">
        <v>0</v>
      </c>
      <c r="AB61" s="238">
        <v>0</v>
      </c>
      <c r="AC61" s="209">
        <v>403313.7674962228</v>
      </c>
      <c r="AD61" s="209">
        <v>2062718.8896380085</v>
      </c>
      <c r="AE61" s="209">
        <v>3944434.833921642</v>
      </c>
      <c r="AF61" s="209">
        <v>3668266.3146614251</v>
      </c>
      <c r="AG61" s="209">
        <v>3425062.7117945501</v>
      </c>
      <c r="AH61" s="209">
        <v>2868476.0167907304</v>
      </c>
      <c r="AI61" s="209">
        <v>2417822.5735712615</v>
      </c>
      <c r="AJ61" s="209">
        <v>2128343.4046459794</v>
      </c>
      <c r="AK61" s="209">
        <v>2017241.1082164375</v>
      </c>
      <c r="AL61" s="209">
        <v>2000407.8534997182</v>
      </c>
      <c r="AM61" s="209">
        <v>2287498.4735664497</v>
      </c>
      <c r="AN61" s="265">
        <v>2495184.2039299887</v>
      </c>
      <c r="AO61" s="237">
        <f t="shared" si="58"/>
        <v>100828.4418740557</v>
      </c>
      <c r="AP61" s="209">
        <f t="shared" si="59"/>
        <v>33609.480624685231</v>
      </c>
      <c r="AQ61" s="238">
        <f>SUMIFS(AC61:AN61,AC$4:AN$4,"&lt;"&amp;'Title Sheet'!$C$13)</f>
        <v>29718770.151732415</v>
      </c>
    </row>
    <row r="62" spans="2:43" ht="15.75" outlineLevel="1" x14ac:dyDescent="0.25">
      <c r="B62" t="str">
        <f>"PC Annual Direct - Premium Finance_NWP"</f>
        <v>PC Annual Direct - Premium Finance_NWP</v>
      </c>
      <c r="C62" t="s">
        <v>353</v>
      </c>
      <c r="D62" s="211" t="s">
        <v>6</v>
      </c>
      <c r="E62" s="31" t="e">
        <f>INDEX('Plan Figures'!$B$94:$AP$131,MATCH('Current - MGA and MPM'!E$4,'Plan Figures'!$B$94:$B$131,0),MATCH('Current - MGA and MPM'!$B62,'Plan Figures'!$B$1:$AP$1,0))</f>
        <v>#N/A</v>
      </c>
      <c r="F62" s="31" t="e">
        <f>INDEX('Plan Figures'!$B$94:$AP$131,MATCH('Current - MGA and MPM'!F$4,'Plan Figures'!$B$94:$B$131,0),MATCH('Current - MGA and MPM'!$B62,'Plan Figures'!$B$1:$AP$1,0))</f>
        <v>#N/A</v>
      </c>
      <c r="G62" s="31" t="e">
        <f>INDEX('Plan Figures'!$B$94:$AP$131,MATCH('Current - MGA and MPM'!G$4,'Plan Figures'!$B$94:$B$131,0),MATCH('Current - MGA and MPM'!$B62,'Plan Figures'!$B$1:$AP$1,0))</f>
        <v>#N/A</v>
      </c>
      <c r="H62" s="31" t="e">
        <f>INDEX('Plan Figures'!$B$94:$AP$131,MATCH('Current - MGA and MPM'!H$4,'Plan Figures'!$B$94:$B$131,0),MATCH('Current - MGA and MPM'!$B62,'Plan Figures'!$B$1:$AP$1,0))</f>
        <v>#N/A</v>
      </c>
      <c r="I62" s="31" t="e">
        <f>INDEX('Plan Figures'!$B$94:$AP$131,MATCH('Current - MGA and MPM'!I$4,'Plan Figures'!$B$94:$B$131,0),MATCH('Current - MGA and MPM'!$B62,'Plan Figures'!$B$1:$AP$1,0))</f>
        <v>#N/A</v>
      </c>
      <c r="J62" s="31" t="e">
        <f>INDEX('Plan Figures'!$B$94:$AP$131,MATCH('Current - MGA and MPM'!J$4,'Plan Figures'!$B$94:$B$131,0),MATCH('Current - MGA and MPM'!$B62,'Plan Figures'!$B$1:$AP$1,0))</f>
        <v>#N/A</v>
      </c>
      <c r="K62" s="31" t="e">
        <f>INDEX('Plan Figures'!$B$94:$AP$131,MATCH('Current - MGA and MPM'!K$4,'Plan Figures'!$B$94:$B$131,0),MATCH('Current - MGA and MPM'!$B62,'Plan Figures'!$B$1:$AP$1,0))</f>
        <v>#N/A</v>
      </c>
      <c r="L62" s="31" t="e">
        <f>INDEX('Plan Figures'!$B$94:$AP$131,MATCH('Current - MGA and MPM'!L$4,'Plan Figures'!$B$94:$B$131,0),MATCH('Current - MGA and MPM'!$B62,'Plan Figures'!$B$1:$AP$1,0))</f>
        <v>#N/A</v>
      </c>
      <c r="M62" s="31" t="e">
        <f>INDEX('Plan Figures'!$B$94:$AP$131,MATCH('Current - MGA and MPM'!M$4,'Plan Figures'!$B$94:$B$131,0),MATCH('Current - MGA and MPM'!$B62,'Plan Figures'!$B$1:$AP$1,0))</f>
        <v>#N/A</v>
      </c>
      <c r="N62" s="31" t="e">
        <f>INDEX('Plan Figures'!$B$94:$AP$131,MATCH('Current - MGA and MPM'!N$4,'Plan Figures'!$B$94:$B$131,0),MATCH('Current - MGA and MPM'!$B62,'Plan Figures'!$B$1:$AP$1,0))</f>
        <v>#N/A</v>
      </c>
      <c r="O62" s="31" t="e">
        <f>INDEX('Plan Figures'!$B$94:$AP$131,MATCH('Current - MGA and MPM'!O$4,'Plan Figures'!$B$94:$B$131,0),MATCH('Current - MGA and MPM'!$B62,'Plan Figures'!$B$1:$AP$1,0))</f>
        <v>#N/A</v>
      </c>
      <c r="P62" s="240" t="str">
        <f ca="1">INDEX('Plan Figures'!$B$94:$AP$131,MATCH('Current - MGA and MPM'!P$4,'Plan Figures'!$B$94:$B$131,0),MATCH('Current - MGA and MPM'!$B62,'Plan Figures'!$B$1:$AP$1,0))</f>
        <v>-</v>
      </c>
      <c r="Q62" s="31" t="str">
        <f ca="1">INDEX('Plan Figures'!$B$94:$AP$131,MATCH('Current - MGA and MPM'!Q$4,'Plan Figures'!$B$94:$B$131,0),MATCH('Current - MGA and MPM'!$B62,'Plan Figures'!$B$1:$AP$1,0))</f>
        <v>-</v>
      </c>
      <c r="R62" s="31" t="str">
        <f ca="1">INDEX('Plan Figures'!$B$94:$AP$131,MATCH('Current - MGA and MPM'!R$4,'Plan Figures'!$B$94:$B$131,0),MATCH('Current - MGA and MPM'!$B62,'Plan Figures'!$B$1:$AP$1,0))</f>
        <v>-</v>
      </c>
      <c r="S62" s="31" t="str">
        <f ca="1">INDEX('Plan Figures'!$B$94:$AP$131,MATCH('Current - MGA and MPM'!S$4,'Plan Figures'!$B$94:$B$131,0),MATCH('Current - MGA and MPM'!$B62,'Plan Figures'!$B$1:$AP$1,0))</f>
        <v>-</v>
      </c>
      <c r="T62" s="31" t="str">
        <f ca="1">INDEX('Plan Figures'!$B$94:$AP$131,MATCH('Current - MGA and MPM'!T$4,'Plan Figures'!$B$94:$B$131,0),MATCH('Current - MGA and MPM'!$B62,'Plan Figures'!$B$1:$AP$1,0))</f>
        <v>-</v>
      </c>
      <c r="U62" s="31" t="str">
        <f ca="1">INDEX('Plan Figures'!$B$94:$AP$131,MATCH('Current - MGA and MPM'!U$4,'Plan Figures'!$B$94:$B$131,0),MATCH('Current - MGA and MPM'!$B62,'Plan Figures'!$B$1:$AP$1,0))</f>
        <v>-</v>
      </c>
      <c r="V62" s="31" t="str">
        <f ca="1">INDEX('Plan Figures'!$B$94:$AP$131,MATCH('Current - MGA and MPM'!V$4,'Plan Figures'!$B$94:$B$131,0),MATCH('Current - MGA and MPM'!$B62,'Plan Figures'!$B$1:$AP$1,0))</f>
        <v>-</v>
      </c>
      <c r="W62" s="31" t="str">
        <f ca="1">INDEX('Plan Figures'!$B$94:$AP$131,MATCH('Current - MGA and MPM'!W$4,'Plan Figures'!$B$94:$B$131,0),MATCH('Current - MGA and MPM'!$B62,'Plan Figures'!$B$1:$AP$1,0))</f>
        <v>-</v>
      </c>
      <c r="X62" s="31" t="str">
        <f ca="1">INDEX('Plan Figures'!$B$94:$AP$131,MATCH('Current - MGA and MPM'!X$4,'Plan Figures'!$B$94:$B$131,0),MATCH('Current - MGA and MPM'!$B62,'Plan Figures'!$B$1:$AP$1,0))</f>
        <v>-</v>
      </c>
      <c r="Y62" s="31" t="str">
        <f ca="1">INDEX('Plan Figures'!$B$94:$AP$131,MATCH('Current - MGA and MPM'!Y$4,'Plan Figures'!$B$94:$B$131,0),MATCH('Current - MGA and MPM'!$B62,'Plan Figures'!$B$1:$AP$1,0))</f>
        <v>-</v>
      </c>
      <c r="Z62" s="31" t="str">
        <f ca="1">INDEX('Plan Figures'!$B$94:$AP$131,MATCH('Current - MGA and MPM'!Z$4,'Plan Figures'!$B$94:$B$131,0),MATCH('Current - MGA and MPM'!$B62,'Plan Figures'!$B$1:$AP$1,0))</f>
        <v>-</v>
      </c>
      <c r="AA62" s="31">
        <f ca="1">INDEX('Plan Figures'!$B$94:$AP$131,MATCH('Current - MGA and MPM'!AA$4,'Plan Figures'!$B$94:$B$131,0),MATCH('Current - MGA and MPM'!$B62,'Plan Figures'!$B$1:$AP$1,0))</f>
        <v>0</v>
      </c>
      <c r="AB62" s="240">
        <f ca="1">INDEX('Plan Figures'!$B$94:$AP$131,MATCH('Current - MGA and MPM'!AB$4,'Plan Figures'!$B$94:$B$131,0),MATCH('Current - MGA and MPM'!$B62,'Plan Figures'!$B$1:$AP$1,0))</f>
        <v>0</v>
      </c>
      <c r="AC62" s="31">
        <f ca="1">INDEX('Plan Figures'!$B$94:$AP$131,MATCH('Current - MGA and MPM'!AC$4,'Plan Figures'!$B$94:$B$131,0),MATCH('Current - MGA and MPM'!$B62,'Plan Figures'!$B$1:$AP$1,0))</f>
        <v>0</v>
      </c>
      <c r="AD62" s="31">
        <f ca="1">INDEX('Plan Figures'!$B$94:$AP$131,MATCH('Current - MGA and MPM'!AD$4,'Plan Figures'!$B$94:$B$131,0),MATCH('Current - MGA and MPM'!$B62,'Plan Figures'!$B$1:$AP$1,0))</f>
        <v>1876228.145843385</v>
      </c>
      <c r="AE62" s="31">
        <f ca="1">INDEX('Plan Figures'!$B$94:$AP$131,MATCH('Current - MGA and MPM'!AE$4,'Plan Figures'!$B$94:$B$131,0),MATCH('Current - MGA and MPM'!$B62,'Plan Figures'!$B$1:$AP$1,0))</f>
        <v>3685262.0501178172</v>
      </c>
      <c r="AF62" s="31">
        <f ca="1">INDEX('Plan Figures'!$B$94:$AP$131,MATCH('Current - MGA and MPM'!AF$4,'Plan Figures'!$B$94:$B$131,0),MATCH('Current - MGA and MPM'!$B62,'Plan Figures'!$B$1:$AP$1,0))</f>
        <v>3806335.4964611963</v>
      </c>
      <c r="AG62" s="31">
        <f ca="1">INDEX('Plan Figures'!$B$94:$AP$131,MATCH('Current - MGA and MPM'!AG$4,'Plan Figures'!$B$94:$B$131,0),MATCH('Current - MGA and MPM'!$B62,'Plan Figures'!$B$1:$AP$1,0))</f>
        <v>3852739.866022632</v>
      </c>
      <c r="AH62" s="31">
        <f ca="1">INDEX('Plan Figures'!$B$94:$AP$131,MATCH('Current - MGA and MPM'!AH$4,'Plan Figures'!$B$94:$B$131,0),MATCH('Current - MGA and MPM'!$B62,'Plan Figures'!$B$1:$AP$1,0))</f>
        <v>3925307.745408956</v>
      </c>
      <c r="AI62" s="31">
        <f ca="1">INDEX('Plan Figures'!$B$94:$AP$131,MATCH('Current - MGA and MPM'!AI$4,'Plan Figures'!$B$94:$B$131,0),MATCH('Current - MGA and MPM'!$B62,'Plan Figures'!$B$1:$AP$1,0))</f>
        <v>2546227.2053329675</v>
      </c>
      <c r="AJ62" s="31">
        <f ca="1">INDEX('Plan Figures'!$B$94:$AP$131,MATCH('Current - MGA and MPM'!AJ$4,'Plan Figures'!$B$94:$B$131,0),MATCH('Current - MGA and MPM'!$B62,'Plan Figures'!$B$1:$AP$1,0))</f>
        <v>2514046.3049153509</v>
      </c>
      <c r="AK62" s="31">
        <f ca="1">INDEX('Plan Figures'!$B$94:$AP$131,MATCH('Current - MGA and MPM'!AK$4,'Plan Figures'!$B$94:$B$131,0),MATCH('Current - MGA and MPM'!$B62,'Plan Figures'!$B$1:$AP$1,0))</f>
        <v>3478960.5342832045</v>
      </c>
      <c r="AL62" s="31">
        <f ca="1">INDEX('Plan Figures'!$B$94:$AP$131,MATCH('Current - MGA and MPM'!AL$4,'Plan Figures'!$B$94:$B$131,0),MATCH('Current - MGA and MPM'!$B62,'Plan Figures'!$B$1:$AP$1,0))</f>
        <v>3827130.0868501477</v>
      </c>
      <c r="AM62" s="31">
        <f ca="1">INDEX('Plan Figures'!$B$94:$AP$131,MATCH('Current - MGA and MPM'!AM$4,'Plan Figures'!$B$94:$B$131,0),MATCH('Current - MGA and MPM'!$B62,'Plan Figures'!$B$1:$AP$1,0))</f>
        <v>3357575.122536459</v>
      </c>
      <c r="AN62" s="266">
        <f ca="1">INDEX('Plan Figures'!$B$94:$AP$131,MATCH('Current - MGA and MPM'!AN$4,'Plan Figures'!$B$94:$B$131,0),MATCH('Current - MGA and MPM'!$B62,'Plan Figures'!$B$1:$AP$1,0))</f>
        <v>3081243.9796204995</v>
      </c>
      <c r="AO62" s="239">
        <f t="shared" ca="1" si="58"/>
        <v>0</v>
      </c>
      <c r="AP62" s="31">
        <f t="shared" ca="1" si="59"/>
        <v>0</v>
      </c>
      <c r="AQ62" s="240">
        <f ca="1">SUMIFS(AC62:AN62,AC$4:AN$4,"&lt;"&amp;'Title Sheet'!$C$13)</f>
        <v>35951056.537392616</v>
      </c>
    </row>
    <row r="63" spans="2:43" ht="15.75" outlineLevel="1" x14ac:dyDescent="0.25">
      <c r="B63" t="str">
        <f t="shared" si="60"/>
        <v>PC Annual Direct</v>
      </c>
      <c r="C63" t="s">
        <v>353</v>
      </c>
      <c r="D63" s="213" t="s">
        <v>0</v>
      </c>
      <c r="E63" s="214" t="str">
        <f t="shared" ref="E63:AN63" si="63">IFERROR(IF(E61=0,"-",(E61/E62)-1),"-")</f>
        <v>-</v>
      </c>
      <c r="F63" s="214" t="str">
        <f t="shared" si="63"/>
        <v>-</v>
      </c>
      <c r="G63" s="214" t="str">
        <f t="shared" si="63"/>
        <v>-</v>
      </c>
      <c r="H63" s="214" t="str">
        <f t="shared" si="63"/>
        <v>-</v>
      </c>
      <c r="I63" s="214" t="str">
        <f t="shared" si="63"/>
        <v>-</v>
      </c>
      <c r="J63" s="214" t="str">
        <f t="shared" si="63"/>
        <v>-</v>
      </c>
      <c r="K63" s="214" t="str">
        <f t="shared" si="63"/>
        <v>-</v>
      </c>
      <c r="L63" s="214" t="str">
        <f t="shared" si="63"/>
        <v>-</v>
      </c>
      <c r="M63" s="214" t="str">
        <f t="shared" si="63"/>
        <v>-</v>
      </c>
      <c r="N63" s="214" t="str">
        <f t="shared" si="63"/>
        <v>-</v>
      </c>
      <c r="O63" s="214" t="str">
        <f t="shared" si="63"/>
        <v>-</v>
      </c>
      <c r="P63" s="294" t="str">
        <f t="shared" si="63"/>
        <v>-</v>
      </c>
      <c r="Q63" s="214" t="str">
        <f t="shared" si="63"/>
        <v>-</v>
      </c>
      <c r="R63" s="214" t="str">
        <f t="shared" si="63"/>
        <v>-</v>
      </c>
      <c r="S63" s="214" t="str">
        <f t="shared" si="63"/>
        <v>-</v>
      </c>
      <c r="T63" s="214" t="str">
        <f t="shared" si="63"/>
        <v>-</v>
      </c>
      <c r="U63" s="214" t="str">
        <f t="shared" si="63"/>
        <v>-</v>
      </c>
      <c r="V63" s="214" t="str">
        <f t="shared" si="63"/>
        <v>-</v>
      </c>
      <c r="W63" s="214" t="str">
        <f t="shared" si="63"/>
        <v>-</v>
      </c>
      <c r="X63" s="214" t="str">
        <f t="shared" si="63"/>
        <v>-</v>
      </c>
      <c r="Y63" s="214" t="str">
        <f t="shared" si="63"/>
        <v>-</v>
      </c>
      <c r="Z63" s="214" t="str">
        <f t="shared" si="63"/>
        <v>-</v>
      </c>
      <c r="AA63" s="214" t="str">
        <f t="shared" si="63"/>
        <v>-</v>
      </c>
      <c r="AB63" s="294" t="str">
        <f t="shared" si="63"/>
        <v>-</v>
      </c>
      <c r="AC63" s="214" t="str">
        <f t="shared" ca="1" si="63"/>
        <v>-</v>
      </c>
      <c r="AD63" s="214">
        <f t="shared" ca="1" si="63"/>
        <v>9.9396624130054345E-2</v>
      </c>
      <c r="AE63" s="214">
        <f t="shared" ca="1" si="63"/>
        <v>7.0326826228148231E-2</v>
      </c>
      <c r="AF63" s="214">
        <f t="shared" ca="1" si="63"/>
        <v>-3.6273518697481077E-2</v>
      </c>
      <c r="AG63" s="214">
        <f t="shared" ca="1" si="63"/>
        <v>-0.11100597733051554</v>
      </c>
      <c r="AH63" s="214">
        <f t="shared" ca="1" si="63"/>
        <v>-0.26923538157085825</v>
      </c>
      <c r="AI63" s="214">
        <f t="shared" ca="1" si="63"/>
        <v>-5.0429369183067285E-2</v>
      </c>
      <c r="AJ63" s="214">
        <f t="shared" ca="1" si="63"/>
        <v>-0.15341917112475711</v>
      </c>
      <c r="AK63" s="214">
        <f t="shared" ca="1" si="63"/>
        <v>-0.42015981833146476</v>
      </c>
      <c r="AL63" s="214">
        <f t="shared" ca="1" si="63"/>
        <v>-0.47730863385777444</v>
      </c>
      <c r="AM63" s="214">
        <f t="shared" ca="1" si="63"/>
        <v>-0.3187051994123743</v>
      </c>
      <c r="AN63" s="270">
        <f t="shared" ca="1" si="63"/>
        <v>-0.19020232723105968</v>
      </c>
      <c r="AO63" s="274" t="e">
        <f t="shared" ca="1" si="58"/>
        <v>#DIV/0!</v>
      </c>
      <c r="AP63" s="275" t="e">
        <f t="shared" ca="1" si="59"/>
        <v>#DIV/0!</v>
      </c>
      <c r="AQ63" s="276">
        <f t="shared" ref="AQ63" ca="1" si="64">IFERROR(IF(AQ61=0,"-",(AQ61/AQ62)-1),"-")</f>
        <v>-0.17335474909278437</v>
      </c>
    </row>
    <row r="64" spans="2:43" ht="15.75" outlineLevel="1" x14ac:dyDescent="0.25">
      <c r="B64" t="str">
        <f t="shared" si="60"/>
        <v>PC Annual Direct</v>
      </c>
      <c r="C64" t="s">
        <v>353</v>
      </c>
      <c r="D64" s="208" t="s">
        <v>12</v>
      </c>
      <c r="E64" s="209">
        <f t="shared" ref="E64:AP65" si="65">IFERROR(E61/E58,0)</f>
        <v>0</v>
      </c>
      <c r="F64" s="209">
        <f t="shared" si="65"/>
        <v>0</v>
      </c>
      <c r="G64" s="209">
        <f t="shared" si="65"/>
        <v>0</v>
      </c>
      <c r="H64" s="209">
        <f t="shared" si="65"/>
        <v>0</v>
      </c>
      <c r="I64" s="209">
        <f t="shared" si="65"/>
        <v>0</v>
      </c>
      <c r="J64" s="209">
        <f t="shared" si="65"/>
        <v>0</v>
      </c>
      <c r="K64" s="209">
        <f t="shared" si="65"/>
        <v>0</v>
      </c>
      <c r="L64" s="209">
        <f t="shared" si="65"/>
        <v>0</v>
      </c>
      <c r="M64" s="209">
        <f t="shared" si="65"/>
        <v>0</v>
      </c>
      <c r="N64" s="209">
        <f t="shared" si="65"/>
        <v>0</v>
      </c>
      <c r="O64" s="209">
        <f t="shared" si="65"/>
        <v>0</v>
      </c>
      <c r="P64" s="238">
        <f t="shared" si="65"/>
        <v>0</v>
      </c>
      <c r="Q64" s="209">
        <f t="shared" si="65"/>
        <v>0</v>
      </c>
      <c r="R64" s="209">
        <f t="shared" si="65"/>
        <v>0</v>
      </c>
      <c r="S64" s="209">
        <f t="shared" si="65"/>
        <v>0</v>
      </c>
      <c r="T64" s="209">
        <f t="shared" si="65"/>
        <v>0</v>
      </c>
      <c r="U64" s="209">
        <f t="shared" si="65"/>
        <v>0</v>
      </c>
      <c r="V64" s="209">
        <f t="shared" si="65"/>
        <v>0</v>
      </c>
      <c r="W64" s="209">
        <f t="shared" si="65"/>
        <v>0</v>
      </c>
      <c r="X64" s="209">
        <f t="shared" si="65"/>
        <v>0</v>
      </c>
      <c r="Y64" s="209">
        <f t="shared" si="65"/>
        <v>0</v>
      </c>
      <c r="Z64" s="209">
        <f t="shared" si="65"/>
        <v>0</v>
      </c>
      <c r="AA64" s="209">
        <f t="shared" si="65"/>
        <v>0</v>
      </c>
      <c r="AB64" s="238">
        <f t="shared" si="65"/>
        <v>0</v>
      </c>
      <c r="AC64" s="209">
        <f t="shared" si="65"/>
        <v>1476.8963750631788</v>
      </c>
      <c r="AD64" s="209">
        <f t="shared" si="65"/>
        <v>1422.6746622248336</v>
      </c>
      <c r="AE64" s="209">
        <f t="shared" si="65"/>
        <v>1371.242954908786</v>
      </c>
      <c r="AF64" s="209">
        <f t="shared" si="65"/>
        <v>1200.2155006903854</v>
      </c>
      <c r="AG64" s="209">
        <f t="shared" si="65"/>
        <v>1159.22629385904</v>
      </c>
      <c r="AH64" s="209">
        <f t="shared" si="65"/>
        <v>1119.638105672532</v>
      </c>
      <c r="AI64" s="209">
        <f t="shared" si="65"/>
        <v>1114.499443459365</v>
      </c>
      <c r="AJ64" s="209">
        <f t="shared" si="65"/>
        <v>1114.6292907062493</v>
      </c>
      <c r="AK64" s="209">
        <f t="shared" si="65"/>
        <v>1122.8035197027712</v>
      </c>
      <c r="AL64" s="209">
        <f t="shared" si="65"/>
        <v>1120.7850442657655</v>
      </c>
      <c r="AM64" s="209">
        <f t="shared" si="65"/>
        <v>1167.3521374870336</v>
      </c>
      <c r="AN64" s="265">
        <f t="shared" si="65"/>
        <v>1159.0737949927786</v>
      </c>
      <c r="AO64" s="237">
        <f t="shared" si="65"/>
        <v>1476.8963750631788</v>
      </c>
      <c r="AP64" s="209">
        <f t="shared" si="65"/>
        <v>1476.8963750631788</v>
      </c>
      <c r="AQ64" s="238">
        <f>SUMIFS(AC64:AN64,AC$4:AN$4,"&lt;"&amp;'Title Sheet'!$C$13)</f>
        <v>14549.037123032718</v>
      </c>
    </row>
    <row r="65" spans="2:44" ht="15.75" hidden="1" outlineLevel="1" x14ac:dyDescent="0.25">
      <c r="B65" t="str">
        <f t="shared" si="60"/>
        <v>PC Annual Direct</v>
      </c>
      <c r="C65" t="s">
        <v>353</v>
      </c>
      <c r="D65" s="211" t="s">
        <v>13</v>
      </c>
      <c r="E65" s="31">
        <f t="shared" si="65"/>
        <v>0</v>
      </c>
      <c r="F65" s="31">
        <f t="shared" si="65"/>
        <v>0</v>
      </c>
      <c r="G65" s="31">
        <f t="shared" si="65"/>
        <v>0</v>
      </c>
      <c r="H65" s="31">
        <f t="shared" si="65"/>
        <v>0</v>
      </c>
      <c r="I65" s="31">
        <f t="shared" si="65"/>
        <v>0</v>
      </c>
      <c r="J65" s="31">
        <f t="shared" si="65"/>
        <v>0</v>
      </c>
      <c r="K65" s="31">
        <f t="shared" si="65"/>
        <v>0</v>
      </c>
      <c r="L65" s="31">
        <f t="shared" si="65"/>
        <v>0</v>
      </c>
      <c r="M65" s="31">
        <f t="shared" si="65"/>
        <v>0</v>
      </c>
      <c r="N65" s="31">
        <f t="shared" si="65"/>
        <v>0</v>
      </c>
      <c r="O65" s="31">
        <f t="shared" si="65"/>
        <v>0</v>
      </c>
      <c r="P65" s="240">
        <f t="shared" ca="1" si="65"/>
        <v>0</v>
      </c>
      <c r="Q65" s="31">
        <f t="shared" ca="1" si="65"/>
        <v>0</v>
      </c>
      <c r="R65" s="31">
        <f t="shared" ca="1" si="65"/>
        <v>0</v>
      </c>
      <c r="S65" s="31">
        <f t="shared" ca="1" si="65"/>
        <v>0</v>
      </c>
      <c r="T65" s="31">
        <f t="shared" ca="1" si="65"/>
        <v>0</v>
      </c>
      <c r="U65" s="31">
        <f t="shared" ca="1" si="65"/>
        <v>0</v>
      </c>
      <c r="V65" s="31">
        <f t="shared" ca="1" si="65"/>
        <v>0</v>
      </c>
      <c r="W65" s="31">
        <f t="shared" ca="1" si="65"/>
        <v>0</v>
      </c>
      <c r="X65" s="31">
        <f t="shared" ca="1" si="65"/>
        <v>0</v>
      </c>
      <c r="Y65" s="31">
        <f t="shared" ca="1" si="65"/>
        <v>0</v>
      </c>
      <c r="Z65" s="31">
        <f t="shared" ca="1" si="65"/>
        <v>0</v>
      </c>
      <c r="AA65" s="31">
        <f t="shared" ca="1" si="65"/>
        <v>0</v>
      </c>
      <c r="AB65" s="240">
        <f t="shared" ca="1" si="65"/>
        <v>0</v>
      </c>
      <c r="AC65" s="31">
        <f t="shared" ca="1" si="65"/>
        <v>0</v>
      </c>
      <c r="AD65" s="31">
        <f t="shared" ca="1" si="65"/>
        <v>843.02229129985335</v>
      </c>
      <c r="AE65" s="31">
        <f t="shared" ca="1" si="65"/>
        <v>1659.1647345991946</v>
      </c>
      <c r="AF65" s="31">
        <f t="shared" ca="1" si="65"/>
        <v>1717.1013113780584</v>
      </c>
      <c r="AG65" s="31">
        <f t="shared" ca="1" si="65"/>
        <v>1741.0538393297081</v>
      </c>
      <c r="AH65" s="31">
        <f t="shared" ca="1" si="65"/>
        <v>1718.6721939478675</v>
      </c>
      <c r="AI65" s="31">
        <f t="shared" ca="1" si="65"/>
        <v>1225.4982348836206</v>
      </c>
      <c r="AJ65" s="31">
        <f t="shared" ca="1" si="65"/>
        <v>1216.0637428152972</v>
      </c>
      <c r="AK65" s="31">
        <f t="shared" ca="1" si="65"/>
        <v>1239.078669398363</v>
      </c>
      <c r="AL65" s="31">
        <f t="shared" ca="1" si="65"/>
        <v>1247.2101888358595</v>
      </c>
      <c r="AM65" s="31">
        <f t="shared" ca="1" si="65"/>
        <v>1342.3388139307615</v>
      </c>
      <c r="AN65" s="266">
        <f t="shared" ca="1" si="65"/>
        <v>1354.5700240489284</v>
      </c>
      <c r="AO65" s="239">
        <f t="shared" ca="1" si="65"/>
        <v>0</v>
      </c>
      <c r="AP65" s="31">
        <f t="shared" ca="1" si="65"/>
        <v>0</v>
      </c>
      <c r="AQ65" s="240">
        <f ca="1">SUMIFS(AC65:AN65,AC$4:AN$4,"&lt;"&amp;'Title Sheet'!$C$13)</f>
        <v>15303.774044467511</v>
      </c>
      <c r="AR65" s="3"/>
    </row>
    <row r="66" spans="2:44" ht="15.75" hidden="1" outlineLevel="1" x14ac:dyDescent="0.25">
      <c r="B66" t="str">
        <f t="shared" si="60"/>
        <v>PC Annual Direct</v>
      </c>
      <c r="C66" t="s">
        <v>353</v>
      </c>
      <c r="D66" s="213" t="s">
        <v>0</v>
      </c>
      <c r="E66" s="214" t="str">
        <f t="shared" ref="E66:AN66" si="66">IFERROR(IF(E64=0,"-",(E64/E65)-1),"-")</f>
        <v>-</v>
      </c>
      <c r="F66" s="214" t="str">
        <f t="shared" si="66"/>
        <v>-</v>
      </c>
      <c r="G66" s="214" t="str">
        <f t="shared" si="66"/>
        <v>-</v>
      </c>
      <c r="H66" s="214" t="str">
        <f t="shared" si="66"/>
        <v>-</v>
      </c>
      <c r="I66" s="214" t="str">
        <f t="shared" si="66"/>
        <v>-</v>
      </c>
      <c r="J66" s="214" t="str">
        <f t="shared" si="66"/>
        <v>-</v>
      </c>
      <c r="K66" s="214" t="str">
        <f t="shared" si="66"/>
        <v>-</v>
      </c>
      <c r="L66" s="214" t="str">
        <f t="shared" si="66"/>
        <v>-</v>
      </c>
      <c r="M66" s="214" t="str">
        <f t="shared" si="66"/>
        <v>-</v>
      </c>
      <c r="N66" s="214" t="str">
        <f t="shared" si="66"/>
        <v>-</v>
      </c>
      <c r="O66" s="214" t="str">
        <f t="shared" si="66"/>
        <v>-</v>
      </c>
      <c r="P66" s="294" t="str">
        <f t="shared" si="66"/>
        <v>-</v>
      </c>
      <c r="Q66" s="214" t="str">
        <f t="shared" si="66"/>
        <v>-</v>
      </c>
      <c r="R66" s="214" t="str">
        <f t="shared" si="66"/>
        <v>-</v>
      </c>
      <c r="S66" s="214" t="str">
        <f t="shared" si="66"/>
        <v>-</v>
      </c>
      <c r="T66" s="214" t="str">
        <f t="shared" si="66"/>
        <v>-</v>
      </c>
      <c r="U66" s="214" t="str">
        <f t="shared" si="66"/>
        <v>-</v>
      </c>
      <c r="V66" s="214" t="str">
        <f t="shared" si="66"/>
        <v>-</v>
      </c>
      <c r="W66" s="214" t="str">
        <f t="shared" si="66"/>
        <v>-</v>
      </c>
      <c r="X66" s="214" t="str">
        <f t="shared" si="66"/>
        <v>-</v>
      </c>
      <c r="Y66" s="214" t="str">
        <f t="shared" si="66"/>
        <v>-</v>
      </c>
      <c r="Z66" s="214" t="str">
        <f t="shared" si="66"/>
        <v>-</v>
      </c>
      <c r="AA66" s="214" t="str">
        <f t="shared" si="66"/>
        <v>-</v>
      </c>
      <c r="AB66" s="294" t="str">
        <f t="shared" si="66"/>
        <v>-</v>
      </c>
      <c r="AC66" s="214" t="str">
        <f t="shared" ca="1" si="66"/>
        <v>-</v>
      </c>
      <c r="AD66" s="214">
        <f t="shared" ca="1" si="66"/>
        <v>0.68758842667281805</v>
      </c>
      <c r="AE66" s="214">
        <f t="shared" ca="1" si="66"/>
        <v>-0.17353417275950123</v>
      </c>
      <c r="AF66" s="214">
        <f t="shared" ca="1" si="66"/>
        <v>-0.30102231432858595</v>
      </c>
      <c r="AG66" s="214">
        <f t="shared" ca="1" si="66"/>
        <v>-0.33418124834937157</v>
      </c>
      <c r="AH66" s="214">
        <f t="shared" ca="1" si="66"/>
        <v>-0.34854470234915902</v>
      </c>
      <c r="AI66" s="214">
        <f t="shared" ca="1" si="66"/>
        <v>-9.0574419664338879E-2</v>
      </c>
      <c r="AJ66" s="214">
        <f t="shared" ca="1" si="66"/>
        <v>-8.3412117751507031E-2</v>
      </c>
      <c r="AK66" s="214">
        <f t="shared" ca="1" si="66"/>
        <v>-9.3840005939291538E-2</v>
      </c>
      <c r="AL66" s="214">
        <f t="shared" ca="1" si="66"/>
        <v>-0.1013663500360743</v>
      </c>
      <c r="AM66" s="214">
        <f t="shared" ca="1" si="66"/>
        <v>-0.13035954457080445</v>
      </c>
      <c r="AN66" s="270">
        <f t="shared" ca="1" si="66"/>
        <v>-0.14432345732248997</v>
      </c>
      <c r="AO66" s="274">
        <f t="shared" ref="AO66:AP66" ca="1" si="67">AO64-AO65</f>
        <v>1476.8963750631788</v>
      </c>
      <c r="AP66" s="275">
        <f t="shared" ca="1" si="67"/>
        <v>1476.8963750631788</v>
      </c>
      <c r="AQ66" s="276">
        <f t="shared" ref="AQ66" ca="1" si="68">IFERROR(IF(AQ64=0,"-",(AQ64/AQ65)-1),"-")</f>
        <v>-4.9317045536727555E-2</v>
      </c>
    </row>
    <row r="67" spans="2:44" outlineLevel="1" x14ac:dyDescent="0.25">
      <c r="B67" t="str">
        <f t="shared" si="60"/>
        <v>PC Annual Direct</v>
      </c>
      <c r="C67" t="s">
        <v>353</v>
      </c>
      <c r="D67" s="258" t="s">
        <v>17</v>
      </c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313"/>
      <c r="Q67" s="259"/>
      <c r="R67" s="259"/>
      <c r="S67" s="259"/>
      <c r="T67" s="259"/>
      <c r="U67" s="259"/>
      <c r="V67" s="259"/>
      <c r="W67" s="259"/>
      <c r="X67" s="259"/>
      <c r="Y67" s="259"/>
      <c r="Z67" s="259"/>
      <c r="AA67" s="259"/>
      <c r="AB67" s="313"/>
      <c r="AC67" s="259"/>
      <c r="AD67" s="259"/>
      <c r="AE67" s="259"/>
      <c r="AF67" s="259"/>
      <c r="AG67" s="259"/>
      <c r="AH67" s="259"/>
      <c r="AI67" s="259"/>
      <c r="AJ67" s="259"/>
      <c r="AK67" s="259"/>
      <c r="AL67" s="259"/>
      <c r="AM67" s="259"/>
      <c r="AN67" s="267"/>
      <c r="AO67" s="277"/>
      <c r="AP67" s="277"/>
      <c r="AQ67" s="278">
        <f>SUMIFS(AC67:AN67,AC$4:AN$4,"&lt;"&amp;'Title Sheet'!$C$13)</f>
        <v>0</v>
      </c>
    </row>
    <row r="68" spans="2:44" ht="15.75" outlineLevel="1" x14ac:dyDescent="0.25">
      <c r="B68" t="str">
        <f t="shared" si="60"/>
        <v>PC Annual Direct</v>
      </c>
      <c r="C68" t="s">
        <v>353</v>
      </c>
      <c r="D68" s="208" t="s">
        <v>7</v>
      </c>
      <c r="E68" s="282">
        <v>0</v>
      </c>
      <c r="F68" s="283">
        <v>0</v>
      </c>
      <c r="G68" s="283">
        <v>0</v>
      </c>
      <c r="H68" s="283">
        <v>0</v>
      </c>
      <c r="I68" s="283">
        <v>0</v>
      </c>
      <c r="J68" s="283">
        <v>0</v>
      </c>
      <c r="K68" s="283">
        <v>0</v>
      </c>
      <c r="L68" s="283">
        <v>0</v>
      </c>
      <c r="M68" s="283">
        <v>0</v>
      </c>
      <c r="N68" s="283">
        <v>0</v>
      </c>
      <c r="O68" s="283">
        <v>0</v>
      </c>
      <c r="P68" s="314">
        <v>0</v>
      </c>
      <c r="Q68" s="283">
        <v>0</v>
      </c>
      <c r="R68" s="283">
        <v>0</v>
      </c>
      <c r="S68" s="283">
        <v>0</v>
      </c>
      <c r="T68" s="283">
        <v>0</v>
      </c>
      <c r="U68" s="283">
        <v>0</v>
      </c>
      <c r="V68" s="283">
        <v>0</v>
      </c>
      <c r="W68" s="283">
        <v>0</v>
      </c>
      <c r="X68" s="283">
        <v>0</v>
      </c>
      <c r="Y68" s="283">
        <v>0</v>
      </c>
      <c r="Z68" s="283">
        <v>0</v>
      </c>
      <c r="AA68" s="283">
        <v>0</v>
      </c>
      <c r="AB68" s="314">
        <v>0</v>
      </c>
      <c r="AC68" s="283">
        <v>474845.18749523116</v>
      </c>
      <c r="AD68" s="283">
        <v>2345456.1696455493</v>
      </c>
      <c r="AE68" s="283">
        <v>4253305.1339150965</v>
      </c>
      <c r="AF68" s="283">
        <v>3935689.5446633701</v>
      </c>
      <c r="AG68" s="283">
        <v>3675903.4017963423</v>
      </c>
      <c r="AH68" s="283">
        <v>3075984.2767860945</v>
      </c>
      <c r="AI68" s="283">
        <v>2592743.05357278</v>
      </c>
      <c r="AJ68" s="283">
        <v>2282311.794644319</v>
      </c>
      <c r="AK68" s="283">
        <v>2161423.8482159772</v>
      </c>
      <c r="AL68" s="283">
        <v>2148494.6134996666</v>
      </c>
      <c r="AM68" s="283">
        <v>2459665.30356621</v>
      </c>
      <c r="AN68" s="284">
        <v>2681002.3839300475</v>
      </c>
      <c r="AO68" s="237">
        <f t="shared" ref="AO68" si="69">AVERAGE(Z68:AC68)</f>
        <v>118711.29687380779</v>
      </c>
      <c r="AP68" s="209">
        <f>AVERAGE(R68:AC68)</f>
        <v>39570.432291269266</v>
      </c>
      <c r="AQ68" s="238">
        <f>SUMIFS(AC68:AN68,AC$4:AN$4,"&lt;"&amp;'Title Sheet'!$C$13)</f>
        <v>32086824.711730685</v>
      </c>
    </row>
    <row r="69" spans="2:44" ht="16.5" outlineLevel="1" thickBot="1" x14ac:dyDescent="0.3">
      <c r="B69" t="str">
        <f t="shared" si="60"/>
        <v>PC Annual Direct</v>
      </c>
      <c r="C69" t="s">
        <v>353</v>
      </c>
      <c r="D69" s="226" t="s">
        <v>21</v>
      </c>
      <c r="E69" s="269">
        <f t="shared" ref="E69:AB69" si="70">IFERROR(E61/E$27,"-")</f>
        <v>0</v>
      </c>
      <c r="F69" s="269">
        <f t="shared" si="70"/>
        <v>0</v>
      </c>
      <c r="G69" s="269">
        <f t="shared" si="70"/>
        <v>0</v>
      </c>
      <c r="H69" s="269">
        <f t="shared" si="70"/>
        <v>0</v>
      </c>
      <c r="I69" s="269">
        <f t="shared" si="70"/>
        <v>0</v>
      </c>
      <c r="J69" s="269">
        <f t="shared" si="70"/>
        <v>0</v>
      </c>
      <c r="K69" s="269">
        <f t="shared" si="70"/>
        <v>0</v>
      </c>
      <c r="L69" s="269">
        <f t="shared" si="70"/>
        <v>0</v>
      </c>
      <c r="M69" s="269">
        <f t="shared" si="70"/>
        <v>0</v>
      </c>
      <c r="N69" s="269">
        <f t="shared" si="70"/>
        <v>0</v>
      </c>
      <c r="O69" s="269">
        <f t="shared" si="70"/>
        <v>0</v>
      </c>
      <c r="P69" s="280">
        <f t="shared" si="70"/>
        <v>0</v>
      </c>
      <c r="Q69" s="269">
        <f t="shared" si="70"/>
        <v>0</v>
      </c>
      <c r="R69" s="269">
        <f t="shared" si="70"/>
        <v>0</v>
      </c>
      <c r="S69" s="269">
        <f t="shared" si="70"/>
        <v>0</v>
      </c>
      <c r="T69" s="269">
        <f t="shared" si="70"/>
        <v>0</v>
      </c>
      <c r="U69" s="269">
        <f t="shared" si="70"/>
        <v>0</v>
      </c>
      <c r="V69" s="269">
        <f t="shared" si="70"/>
        <v>0</v>
      </c>
      <c r="W69" s="269">
        <f t="shared" si="70"/>
        <v>0</v>
      </c>
      <c r="X69" s="269">
        <f t="shared" si="70"/>
        <v>0</v>
      </c>
      <c r="Y69" s="269">
        <f t="shared" si="70"/>
        <v>0</v>
      </c>
      <c r="Z69" s="269">
        <f t="shared" si="70"/>
        <v>0</v>
      </c>
      <c r="AA69" s="269">
        <f t="shared" si="70"/>
        <v>0</v>
      </c>
      <c r="AB69" s="280">
        <f t="shared" si="70"/>
        <v>0</v>
      </c>
      <c r="AC69" s="269">
        <f>IFERROR(AC61/AC$27,"-")</f>
        <v>0.19543010201719918</v>
      </c>
      <c r="AD69" s="269">
        <f t="shared" ref="AD69:AN69" si="71">IFERROR(AD61/AD$27,"-")</f>
        <v>0.58059138619705097</v>
      </c>
      <c r="AE69" s="269">
        <f t="shared" si="71"/>
        <v>0.66845863772555147</v>
      </c>
      <c r="AF69" s="269">
        <f t="shared" si="71"/>
        <v>0.6905079624672309</v>
      </c>
      <c r="AG69" s="269">
        <f t="shared" si="71"/>
        <v>0.67739361438689361</v>
      </c>
      <c r="AH69" s="269">
        <f t="shared" si="71"/>
        <v>0.67963147134274915</v>
      </c>
      <c r="AI69" s="269">
        <f t="shared" si="71"/>
        <v>0.68698146807505234</v>
      </c>
      <c r="AJ69" s="269">
        <f t="shared" si="71"/>
        <v>0.69123463645922367</v>
      </c>
      <c r="AK69" s="269">
        <f t="shared" si="71"/>
        <v>0.6883900820977884</v>
      </c>
      <c r="AL69" s="269">
        <f t="shared" si="71"/>
        <v>0.69229790194237173</v>
      </c>
      <c r="AM69" s="269">
        <f t="shared" si="71"/>
        <v>0.69424225004977524</v>
      </c>
      <c r="AN69" s="281">
        <f t="shared" si="71"/>
        <v>0.72625877319203236</v>
      </c>
      <c r="AO69" s="279">
        <f t="shared" ref="AO69:AP69" si="72">AO61/AO$8</f>
        <v>2.7263319485982245E-2</v>
      </c>
      <c r="AP69" s="269">
        <f t="shared" si="72"/>
        <v>1.1859994643143367E-2</v>
      </c>
      <c r="AQ69" s="280" t="str">
        <f t="shared" ref="AQ69" si="73">IFERROR(IF(AQ67=0,"-",(AQ67/AQ68)-1),"-")</f>
        <v>-</v>
      </c>
    </row>
    <row r="70" spans="2:44" outlineLevel="1" x14ac:dyDescent="0.25"/>
    <row r="71" spans="2:44" ht="15.75" thickBot="1" x14ac:dyDescent="0.3"/>
    <row r="72" spans="2:44" ht="18.75" x14ac:dyDescent="0.25">
      <c r="D72" s="255" t="s">
        <v>204</v>
      </c>
      <c r="E72" s="202" t="s">
        <v>315</v>
      </c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33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63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63"/>
      <c r="AO72" s="202"/>
      <c r="AP72" s="202"/>
      <c r="AQ72" s="233"/>
    </row>
    <row r="73" spans="2:44" x14ac:dyDescent="0.25">
      <c r="D73" s="204"/>
      <c r="E73" s="303" t="s">
        <v>341</v>
      </c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17"/>
      <c r="Q73" s="320" t="s">
        <v>341</v>
      </c>
      <c r="R73" s="303"/>
      <c r="S73" s="303"/>
      <c r="T73" s="303"/>
      <c r="U73" s="303"/>
      <c r="V73" s="303"/>
      <c r="W73" s="303"/>
      <c r="X73" s="303"/>
      <c r="Y73" s="303"/>
      <c r="Z73" s="303"/>
      <c r="AA73" s="303"/>
      <c r="AB73" s="317"/>
      <c r="AC73" s="303" t="s">
        <v>341</v>
      </c>
      <c r="AD73" s="303"/>
      <c r="AE73" s="303"/>
      <c r="AF73" s="303"/>
      <c r="AG73" s="303"/>
      <c r="AH73" s="303"/>
      <c r="AI73" s="303"/>
      <c r="AJ73" s="303"/>
      <c r="AK73" s="303"/>
      <c r="AL73" s="303"/>
      <c r="AM73" s="303"/>
      <c r="AN73" s="317"/>
      <c r="AO73" s="510" t="s">
        <v>8</v>
      </c>
      <c r="AP73" s="511"/>
      <c r="AQ73" s="512"/>
    </row>
    <row r="74" spans="2:44" x14ac:dyDescent="0.25">
      <c r="D74" s="321" t="s">
        <v>16</v>
      </c>
      <c r="E74" s="318">
        <f>E$4</f>
        <v>44562</v>
      </c>
      <c r="F74" s="318">
        <f t="shared" ref="F74:AN74" si="74">F$4</f>
        <v>44593</v>
      </c>
      <c r="G74" s="318">
        <f t="shared" si="74"/>
        <v>44621</v>
      </c>
      <c r="H74" s="318">
        <f t="shared" si="74"/>
        <v>44652</v>
      </c>
      <c r="I74" s="318">
        <f t="shared" si="74"/>
        <v>44682</v>
      </c>
      <c r="J74" s="318">
        <f t="shared" si="74"/>
        <v>44713</v>
      </c>
      <c r="K74" s="318">
        <f t="shared" si="74"/>
        <v>44743</v>
      </c>
      <c r="L74" s="318">
        <f t="shared" si="74"/>
        <v>44774</v>
      </c>
      <c r="M74" s="318">
        <f t="shared" si="74"/>
        <v>44805</v>
      </c>
      <c r="N74" s="318">
        <f t="shared" si="74"/>
        <v>44835</v>
      </c>
      <c r="O74" s="318">
        <f t="shared" si="74"/>
        <v>44866</v>
      </c>
      <c r="P74" s="319">
        <f t="shared" si="74"/>
        <v>44896</v>
      </c>
      <c r="Q74" s="318">
        <f t="shared" si="74"/>
        <v>44927</v>
      </c>
      <c r="R74" s="318">
        <f t="shared" si="74"/>
        <v>44958</v>
      </c>
      <c r="S74" s="318">
        <f t="shared" si="74"/>
        <v>44986</v>
      </c>
      <c r="T74" s="318">
        <f t="shared" si="74"/>
        <v>45017</v>
      </c>
      <c r="U74" s="318">
        <f t="shared" si="74"/>
        <v>45047</v>
      </c>
      <c r="V74" s="318">
        <f t="shared" si="74"/>
        <v>45078</v>
      </c>
      <c r="W74" s="318">
        <f t="shared" si="74"/>
        <v>45108</v>
      </c>
      <c r="X74" s="318">
        <f t="shared" si="74"/>
        <v>45139</v>
      </c>
      <c r="Y74" s="318">
        <f t="shared" si="74"/>
        <v>45170</v>
      </c>
      <c r="Z74" s="318">
        <f t="shared" si="74"/>
        <v>45200</v>
      </c>
      <c r="AA74" s="318">
        <f t="shared" si="74"/>
        <v>45231</v>
      </c>
      <c r="AB74" s="319">
        <f t="shared" si="74"/>
        <v>45261</v>
      </c>
      <c r="AC74" s="318">
        <f t="shared" si="74"/>
        <v>45292</v>
      </c>
      <c r="AD74" s="318">
        <f t="shared" si="74"/>
        <v>45323</v>
      </c>
      <c r="AE74" s="318">
        <f t="shared" si="74"/>
        <v>45352</v>
      </c>
      <c r="AF74" s="318">
        <f t="shared" si="74"/>
        <v>45383</v>
      </c>
      <c r="AG74" s="318">
        <f t="shared" si="74"/>
        <v>45413</v>
      </c>
      <c r="AH74" s="318">
        <f t="shared" si="74"/>
        <v>45444</v>
      </c>
      <c r="AI74" s="318">
        <f t="shared" si="74"/>
        <v>45474</v>
      </c>
      <c r="AJ74" s="318">
        <f t="shared" si="74"/>
        <v>45505</v>
      </c>
      <c r="AK74" s="318">
        <f t="shared" si="74"/>
        <v>45536</v>
      </c>
      <c r="AL74" s="318">
        <f t="shared" si="74"/>
        <v>45566</v>
      </c>
      <c r="AM74" s="318">
        <f t="shared" si="74"/>
        <v>45597</v>
      </c>
      <c r="AN74" s="316">
        <f t="shared" si="74"/>
        <v>45627</v>
      </c>
      <c r="AO74" s="271" t="s">
        <v>9</v>
      </c>
      <c r="AP74" s="272" t="str">
        <f>AP23</f>
        <v>Last Year</v>
      </c>
      <c r="AQ74" s="273" t="s">
        <v>346</v>
      </c>
    </row>
    <row r="75" spans="2:44" ht="15.75" x14ac:dyDescent="0.25">
      <c r="B75" t="str">
        <f>$D$2</f>
        <v>PC Annual Direct</v>
      </c>
      <c r="C75" t="s">
        <v>73</v>
      </c>
      <c r="D75" s="208" t="s">
        <v>316</v>
      </c>
      <c r="E75" s="209">
        <v>0</v>
      </c>
      <c r="F75" s="209">
        <v>0</v>
      </c>
      <c r="G75" s="209">
        <v>862.02191783300009</v>
      </c>
      <c r="H75" s="209">
        <v>857.33150688100079</v>
      </c>
      <c r="I75" s="209">
        <v>1084.8109589639996</v>
      </c>
      <c r="J75" s="209">
        <v>1684.8301370699987</v>
      </c>
      <c r="K75" s="209">
        <v>1889.9589041850011</v>
      </c>
      <c r="L75" s="209">
        <v>1155.2931507244004</v>
      </c>
      <c r="M75" s="209">
        <v>222.99452054359992</v>
      </c>
      <c r="N75" s="209">
        <v>404.83287654420008</v>
      </c>
      <c r="O75" s="209">
        <v>565.33972598219975</v>
      </c>
      <c r="P75" s="238">
        <v>736.67671203599934</v>
      </c>
      <c r="Q75" s="209">
        <v>830.03287640139968</v>
      </c>
      <c r="R75" s="209">
        <v>769.7178076418985</v>
      </c>
      <c r="S75" s="209">
        <v>1088.5409834572031</v>
      </c>
      <c r="T75" s="209">
        <v>1050.4426231341004</v>
      </c>
      <c r="U75" s="209">
        <v>1253.5355189670008</v>
      </c>
      <c r="V75" s="209">
        <v>1215.5081968958004</v>
      </c>
      <c r="W75" s="209">
        <v>1350.9754096577994</v>
      </c>
      <c r="X75" s="209">
        <v>1386.5163932302983</v>
      </c>
      <c r="Y75" s="209">
        <v>1305.6038253749011</v>
      </c>
      <c r="Z75" s="209">
        <v>1429.9480872280976</v>
      </c>
      <c r="AA75" s="209">
        <v>1408.2322406890014</v>
      </c>
      <c r="AB75" s="265">
        <v>1585.3825134445001</v>
      </c>
      <c r="AC75" s="209">
        <v>1594.4726773750976</v>
      </c>
      <c r="AD75" s="209">
        <v>1298.6803272729996</v>
      </c>
      <c r="AE75" s="209">
        <v>1385.9589035485992</v>
      </c>
      <c r="AF75" s="209">
        <v>1108.7095889984012</v>
      </c>
      <c r="AG75" s="209">
        <v>1040.3589037358004</v>
      </c>
      <c r="AH75" s="209">
        <v>854.66575339900271</v>
      </c>
      <c r="AI75" s="209">
        <v>820.16438327679941</v>
      </c>
      <c r="AJ75" s="209">
        <v>694.21917784379923</v>
      </c>
      <c r="AK75" s="209">
        <v>557.65479451640033</v>
      </c>
      <c r="AL75" s="209">
        <v>465.11506835559857</v>
      </c>
      <c r="AM75" s="209">
        <v>271.12602739559998</v>
      </c>
      <c r="AN75" s="265">
        <v>152.74794515080035</v>
      </c>
      <c r="AO75" s="237">
        <f t="shared" ref="AO75:AO80" si="75">AVERAGE(Z75:AC75)</f>
        <v>1504.5088796841742</v>
      </c>
      <c r="AP75" s="209">
        <f t="shared" ref="AP75:AP80" si="76">AVERAGE(R75:AC75)</f>
        <v>1286.5730230913082</v>
      </c>
      <c r="AQ75" s="238">
        <f>SUMIFS(AC75:AN75,AC$4:AN$4,"&lt;"&amp;'Title Sheet'!$C$13)</f>
        <v>10243.873550868901</v>
      </c>
    </row>
    <row r="76" spans="2:44" ht="15.75" hidden="1" x14ac:dyDescent="0.25">
      <c r="B76" t="str">
        <f>$D$89&amp;"_W VYRs"</f>
        <v>PC Annual Direct - Subscription_W VYRs</v>
      </c>
      <c r="C76" t="str">
        <f t="shared" ref="C76:C86" si="77">$C75</f>
        <v>Boom Subscription</v>
      </c>
      <c r="D76" s="211" t="s">
        <v>317</v>
      </c>
      <c r="E76" s="31" t="e">
        <f>INDEX('Plan Figures'!$B$94:$AP$120,MATCH('Current - MGA and MPM'!E$4,'Plan Figures'!$B$94:$B$120,0),MATCH('Current - MGA and MPM'!$B76,'Plan Figures'!$B$1:$AP$1,0))</f>
        <v>#N/A</v>
      </c>
      <c r="F76" s="31" t="e">
        <f>INDEX('Plan Figures'!$B$94:$AP$120,MATCH('Current - MGA and MPM'!F$4,'Plan Figures'!$B$94:$B$120,0),MATCH('Current - MGA and MPM'!$B76,'Plan Figures'!$B$1:$AP$1,0))</f>
        <v>#N/A</v>
      </c>
      <c r="G76" s="31" t="e">
        <f>INDEX('Plan Figures'!$B$94:$AP$120,MATCH('Current - MGA and MPM'!G$4,'Plan Figures'!$B$94:$B$120,0),MATCH('Current - MGA and MPM'!$B76,'Plan Figures'!$B$1:$AP$1,0))</f>
        <v>#N/A</v>
      </c>
      <c r="H76" s="31" t="e">
        <f>INDEX('Plan Figures'!$B$94:$AP$120,MATCH('Current - MGA and MPM'!H$4,'Plan Figures'!$B$94:$B$120,0),MATCH('Current - MGA and MPM'!$B76,'Plan Figures'!$B$1:$AP$1,0))</f>
        <v>#N/A</v>
      </c>
      <c r="I76" s="31" t="e">
        <f>INDEX('Plan Figures'!$B$94:$AP$120,MATCH('Current - MGA and MPM'!I$4,'Plan Figures'!$B$94:$B$120,0),MATCH('Current - MGA and MPM'!$B76,'Plan Figures'!$B$1:$AP$1,0))</f>
        <v>#N/A</v>
      </c>
      <c r="J76" s="31" t="e">
        <f>INDEX('Plan Figures'!$B$94:$AP$120,MATCH('Current - MGA and MPM'!J$4,'Plan Figures'!$B$94:$B$120,0),MATCH('Current - MGA and MPM'!$B76,'Plan Figures'!$B$1:$AP$1,0))</f>
        <v>#N/A</v>
      </c>
      <c r="K76" s="31" t="e">
        <f>INDEX('Plan Figures'!$B$94:$AP$120,MATCH('Current - MGA and MPM'!K$4,'Plan Figures'!$B$94:$B$120,0),MATCH('Current - MGA and MPM'!$B76,'Plan Figures'!$B$1:$AP$1,0))</f>
        <v>#N/A</v>
      </c>
      <c r="L76" s="31" t="e">
        <f>INDEX('Plan Figures'!$B$94:$AP$120,MATCH('Current - MGA and MPM'!L$4,'Plan Figures'!$B$94:$B$120,0),MATCH('Current - MGA and MPM'!$B76,'Plan Figures'!$B$1:$AP$1,0))</f>
        <v>#N/A</v>
      </c>
      <c r="M76" s="31" t="e">
        <f>INDEX('Plan Figures'!$B$94:$AP$120,MATCH('Current - MGA and MPM'!M$4,'Plan Figures'!$B$94:$B$120,0),MATCH('Current - MGA and MPM'!$B76,'Plan Figures'!$B$1:$AP$1,0))</f>
        <v>#N/A</v>
      </c>
      <c r="N76" s="31" t="e">
        <f>INDEX('Plan Figures'!$B$94:$AP$120,MATCH('Current - MGA and MPM'!N$4,'Plan Figures'!$B$94:$B$120,0),MATCH('Current - MGA and MPM'!$B76,'Plan Figures'!$B$1:$AP$1,0))</f>
        <v>#N/A</v>
      </c>
      <c r="O76" s="31" t="e">
        <f>INDEX('Plan Figures'!$B$94:$AP$120,MATCH('Current - MGA and MPM'!O$4,'Plan Figures'!$B$94:$B$120,0),MATCH('Current - MGA and MPM'!$B76,'Plan Figures'!$B$1:$AP$1,0))</f>
        <v>#N/A</v>
      </c>
      <c r="P76" s="240" t="str">
        <f ca="1">INDEX('Plan Figures'!$B$94:$AP$120,MATCH('Current - MGA and MPM'!P$4,'Plan Figures'!$B$94:$B$120,0),MATCH('Current - MGA and MPM'!$B76,'Plan Figures'!$B$1:$AP$1,0))</f>
        <v>-</v>
      </c>
      <c r="Q76" s="31" t="str">
        <f ca="1">INDEX('Plan Figures'!$B$94:$AP$120,MATCH('Current - MGA and MPM'!Q$4,'Plan Figures'!$B$94:$B$120,0),MATCH('Current - MGA and MPM'!$B76,'Plan Figures'!$B$1:$AP$1,0))</f>
        <v>-</v>
      </c>
      <c r="R76" s="31" t="str">
        <f ca="1">INDEX('Plan Figures'!$B$94:$AP$120,MATCH('Current - MGA and MPM'!R$4,'Plan Figures'!$B$94:$B$120,0),MATCH('Current - MGA and MPM'!$B76,'Plan Figures'!$B$1:$AP$1,0))</f>
        <v>-</v>
      </c>
      <c r="S76" s="31" t="str">
        <f ca="1">INDEX('Plan Figures'!$B$94:$AP$120,MATCH('Current - MGA and MPM'!S$4,'Plan Figures'!$B$94:$B$120,0),MATCH('Current - MGA and MPM'!$B76,'Plan Figures'!$B$1:$AP$1,0))</f>
        <v>-</v>
      </c>
      <c r="T76" s="31" t="str">
        <f ca="1">INDEX('Plan Figures'!$B$94:$AP$120,MATCH('Current - MGA and MPM'!T$4,'Plan Figures'!$B$94:$B$120,0),MATCH('Current - MGA and MPM'!$B76,'Plan Figures'!$B$1:$AP$1,0))</f>
        <v>-</v>
      </c>
      <c r="U76" s="31" t="str">
        <f ca="1">INDEX('Plan Figures'!$B$94:$AP$120,MATCH('Current - MGA and MPM'!U$4,'Plan Figures'!$B$94:$B$120,0),MATCH('Current - MGA and MPM'!$B76,'Plan Figures'!$B$1:$AP$1,0))</f>
        <v>-</v>
      </c>
      <c r="V76" s="31" t="str">
        <f ca="1">INDEX('Plan Figures'!$B$94:$AP$120,MATCH('Current - MGA and MPM'!V$4,'Plan Figures'!$B$94:$B$120,0),MATCH('Current - MGA and MPM'!$B76,'Plan Figures'!$B$1:$AP$1,0))</f>
        <v>-</v>
      </c>
      <c r="W76" s="31" t="str">
        <f ca="1">INDEX('Plan Figures'!$B$94:$AP$120,MATCH('Current - MGA and MPM'!W$4,'Plan Figures'!$B$94:$B$120,0),MATCH('Current - MGA and MPM'!$B76,'Plan Figures'!$B$1:$AP$1,0))</f>
        <v>-</v>
      </c>
      <c r="X76" s="31" t="str">
        <f ca="1">INDEX('Plan Figures'!$B$94:$AP$120,MATCH('Current - MGA and MPM'!X$4,'Plan Figures'!$B$94:$B$120,0),MATCH('Current - MGA and MPM'!$B76,'Plan Figures'!$B$1:$AP$1,0))</f>
        <v>-</v>
      </c>
      <c r="Y76" s="31" t="str">
        <f ca="1">INDEX('Plan Figures'!$B$94:$AP$120,MATCH('Current - MGA and MPM'!Y$4,'Plan Figures'!$B$94:$B$120,0),MATCH('Current - MGA and MPM'!$B76,'Plan Figures'!$B$1:$AP$1,0))</f>
        <v>-</v>
      </c>
      <c r="Z76" s="31" t="str">
        <f ca="1">INDEX('Plan Figures'!$B$94:$AP$120,MATCH('Current - MGA and MPM'!Z$4,'Plan Figures'!$B$94:$B$120,0),MATCH('Current - MGA and MPM'!$B76,'Plan Figures'!$B$1:$AP$1,0))</f>
        <v>-</v>
      </c>
      <c r="AA76" s="31">
        <f ca="1">INDEX('Plan Figures'!$B$94:$AP$120,MATCH('Current - MGA and MPM'!AA$4,'Plan Figures'!$B$94:$B$120,0),MATCH('Current - MGA and MPM'!$B76,'Plan Figures'!$B$1:$AP$1,0))</f>
        <v>615.93307879093663</v>
      </c>
      <c r="AB76" s="266">
        <f ca="1">INDEX('Plan Figures'!$B$94:$AP$120,MATCH('Current - MGA and MPM'!AB$4,'Plan Figures'!$B$94:$B$120,0),MATCH('Current - MGA and MPM'!$B76,'Plan Figures'!$B$1:$AP$1,0))</f>
        <v>763.72800510730349</v>
      </c>
      <c r="AC76" s="31">
        <f ca="1">INDEX('Plan Figures'!$B$94:$AP$120,MATCH('Current - MGA and MPM'!AC$4,'Plan Figures'!$B$94:$B$120,0),MATCH('Current - MGA and MPM'!$B76,'Plan Figures'!$B$1:$AP$1,0))</f>
        <v>833.27735263273371</v>
      </c>
      <c r="AD76" s="31">
        <f ca="1">INDEX('Plan Figures'!$B$94:$AP$120,MATCH('Current - MGA and MPM'!AD$4,'Plan Figures'!$B$94:$B$120,0),MATCH('Current - MGA and MPM'!$B76,'Plan Figures'!$B$1:$AP$1,0))</f>
        <v>833.27735263273371</v>
      </c>
      <c r="AE76" s="31">
        <f ca="1">INDEX('Plan Figures'!$B$94:$AP$120,MATCH('Current - MGA and MPM'!AE$4,'Plan Figures'!$B$94:$B$120,0),MATCH('Current - MGA and MPM'!$B76,'Plan Figures'!$B$1:$AP$1,0))</f>
        <v>833.27735263273371</v>
      </c>
      <c r="AF76" s="31">
        <f ca="1">INDEX('Plan Figures'!$B$94:$AP$120,MATCH('Current - MGA and MPM'!AF$4,'Plan Figures'!$B$94:$B$120,0),MATCH('Current - MGA and MPM'!$B76,'Plan Figures'!$B$1:$AP$1,0))</f>
        <v>833.27735263273371</v>
      </c>
      <c r="AG76" s="31">
        <f ca="1">INDEX('Plan Figures'!$B$94:$AP$120,MATCH('Current - MGA and MPM'!AG$4,'Plan Figures'!$B$94:$B$120,0),MATCH('Current - MGA and MPM'!$B76,'Plan Figures'!$B$1:$AP$1,0))</f>
        <v>832.96485263273371</v>
      </c>
      <c r="AH76" s="31">
        <f ca="1">INDEX('Plan Figures'!$B$94:$AP$120,MATCH('Current - MGA and MPM'!AH$4,'Plan Figures'!$B$94:$B$120,0),MATCH('Current - MGA and MPM'!$B76,'Plan Figures'!$B$1:$AP$1,0))</f>
        <v>805.37110263273371</v>
      </c>
      <c r="AI76" s="31">
        <f ca="1">INDEX('Plan Figures'!$B$94:$AP$120,MATCH('Current - MGA and MPM'!AI$4,'Plan Figures'!$B$94:$B$120,0),MATCH('Current - MGA and MPM'!$B76,'Plan Figures'!$B$1:$AP$1,0))</f>
        <v>954.34078893945536</v>
      </c>
      <c r="AJ76" s="31">
        <f ca="1">INDEX('Plan Figures'!$B$94:$AP$120,MATCH('Current - MGA and MPM'!AJ$4,'Plan Figures'!$B$94:$B$120,0),MATCH('Current - MGA and MPM'!$B76,'Plan Figures'!$B$1:$AP$1,0))</f>
        <v>847.62977300462001</v>
      </c>
      <c r="AK76" s="31">
        <f ca="1">INDEX('Plan Figures'!$B$94:$AP$120,MATCH('Current - MGA and MPM'!AK$4,'Plan Figures'!$B$94:$B$120,0),MATCH('Current - MGA and MPM'!$B76,'Plan Figures'!$B$1:$AP$1,0))</f>
        <v>739.05926213218527</v>
      </c>
      <c r="AL76" s="31">
        <f ca="1">INDEX('Plan Figures'!$B$94:$AP$120,MATCH('Current - MGA and MPM'!AL$4,'Plan Figures'!$B$94:$B$120,0),MATCH('Current - MGA and MPM'!$B76,'Plan Figures'!$B$1:$AP$1,0))</f>
        <v>574.06474961854019</v>
      </c>
      <c r="AM76" s="31">
        <f ca="1">INDEX('Plan Figures'!$B$94:$AP$120,MATCH('Current - MGA and MPM'!AM$4,'Plan Figures'!$B$94:$B$120,0),MATCH('Current - MGA and MPM'!$B76,'Plan Figures'!$B$1:$AP$1,0))</f>
        <v>364.6103139038326</v>
      </c>
      <c r="AN76" s="266">
        <f ca="1">INDEX('Plan Figures'!$B$94:$AP$120,MATCH('Current - MGA and MPM'!AN$4,'Plan Figures'!$B$94:$B$120,0),MATCH('Current - MGA and MPM'!$B76,'Plan Figures'!$B$1:$AP$1,0))</f>
        <v>181.19222195663252</v>
      </c>
      <c r="AO76" s="239">
        <f t="shared" ca="1" si="75"/>
        <v>737.64614551032457</v>
      </c>
      <c r="AP76" s="31">
        <f t="shared" ca="1" si="76"/>
        <v>737.64614551032457</v>
      </c>
      <c r="AQ76" s="240">
        <f ca="1">SUMIFS(AC76:AN76,AC$4:AN$4,"&lt;"&amp;'Title Sheet'!$C$13)</f>
        <v>8632.3424753516683</v>
      </c>
      <c r="AR76" s="3" t="s">
        <v>299</v>
      </c>
    </row>
    <row r="77" spans="2:44" ht="15.75" hidden="1" x14ac:dyDescent="0.25">
      <c r="B77" t="str">
        <f t="shared" ref="B77:B86" si="78">$D$2</f>
        <v>PC Annual Direct</v>
      </c>
      <c r="C77" t="str">
        <f t="shared" si="77"/>
        <v>Boom Subscription</v>
      </c>
      <c r="D77" s="213" t="s">
        <v>0</v>
      </c>
      <c r="E77" s="214" t="str">
        <f t="shared" ref="E77:AN77" si="79">IFERROR(IF(E75=0,"-",(E75/E76)-1),"-")</f>
        <v>-</v>
      </c>
      <c r="F77" s="214" t="str">
        <f t="shared" si="79"/>
        <v>-</v>
      </c>
      <c r="G77" s="214" t="str">
        <f t="shared" si="79"/>
        <v>-</v>
      </c>
      <c r="H77" s="214" t="str">
        <f t="shared" si="79"/>
        <v>-</v>
      </c>
      <c r="I77" s="214" t="str">
        <f t="shared" si="79"/>
        <v>-</v>
      </c>
      <c r="J77" s="214" t="str">
        <f t="shared" si="79"/>
        <v>-</v>
      </c>
      <c r="K77" s="214" t="str">
        <f t="shared" si="79"/>
        <v>-</v>
      </c>
      <c r="L77" s="214" t="str">
        <f t="shared" si="79"/>
        <v>-</v>
      </c>
      <c r="M77" s="214" t="str">
        <f t="shared" si="79"/>
        <v>-</v>
      </c>
      <c r="N77" s="214" t="str">
        <f t="shared" si="79"/>
        <v>-</v>
      </c>
      <c r="O77" s="214" t="str">
        <f t="shared" si="79"/>
        <v>-</v>
      </c>
      <c r="P77" s="294" t="str">
        <f t="shared" ca="1" si="79"/>
        <v>-</v>
      </c>
      <c r="Q77" s="214" t="str">
        <f t="shared" ca="1" si="79"/>
        <v>-</v>
      </c>
      <c r="R77" s="214" t="str">
        <f t="shared" ca="1" si="79"/>
        <v>-</v>
      </c>
      <c r="S77" s="214" t="str">
        <f t="shared" ca="1" si="79"/>
        <v>-</v>
      </c>
      <c r="T77" s="214" t="str">
        <f t="shared" ca="1" si="79"/>
        <v>-</v>
      </c>
      <c r="U77" s="214" t="str">
        <f t="shared" ca="1" si="79"/>
        <v>-</v>
      </c>
      <c r="V77" s="214" t="str">
        <f t="shared" ca="1" si="79"/>
        <v>-</v>
      </c>
      <c r="W77" s="214" t="str">
        <f t="shared" ca="1" si="79"/>
        <v>-</v>
      </c>
      <c r="X77" s="214" t="str">
        <f t="shared" ca="1" si="79"/>
        <v>-</v>
      </c>
      <c r="Y77" s="214" t="str">
        <f t="shared" ca="1" si="79"/>
        <v>-</v>
      </c>
      <c r="Z77" s="214" t="str">
        <f t="shared" ca="1" si="79"/>
        <v>-</v>
      </c>
      <c r="AA77" s="214">
        <f t="shared" ca="1" si="79"/>
        <v>1.2863396839366557</v>
      </c>
      <c r="AB77" s="270">
        <f t="shared" ca="1" si="79"/>
        <v>1.0758470330307639</v>
      </c>
      <c r="AC77" s="214">
        <f t="shared" ca="1" si="79"/>
        <v>0.91349575544969852</v>
      </c>
      <c r="AD77" s="214">
        <f t="shared" ca="1" si="79"/>
        <v>0.55852108925057031</v>
      </c>
      <c r="AE77" s="214">
        <f t="shared" ca="1" si="79"/>
        <v>0.66326241697277877</v>
      </c>
      <c r="AF77" s="214">
        <f t="shared" ca="1" si="79"/>
        <v>0.3305408883314076</v>
      </c>
      <c r="AG77" s="214">
        <f t="shared" ca="1" si="79"/>
        <v>0.24898295582047769</v>
      </c>
      <c r="AH77" s="214">
        <f t="shared" ca="1" si="79"/>
        <v>6.1207374594303587E-2</v>
      </c>
      <c r="AI77" s="214">
        <f t="shared" ca="1" si="79"/>
        <v>-0.14059590370413089</v>
      </c>
      <c r="AJ77" s="214">
        <f t="shared" ca="1" si="79"/>
        <v>-0.18098773786227607</v>
      </c>
      <c r="AK77" s="214">
        <f t="shared" ca="1" si="79"/>
        <v>-0.24545320911402047</v>
      </c>
      <c r="AL77" s="214">
        <f t="shared" ca="1" si="79"/>
        <v>-0.18978639837289701</v>
      </c>
      <c r="AM77" s="214">
        <f t="shared" ca="1" si="79"/>
        <v>-0.25639506877166807</v>
      </c>
      <c r="AN77" s="270">
        <f t="shared" ca="1" si="79"/>
        <v>-0.15698398363170452</v>
      </c>
      <c r="AO77" s="274">
        <f t="shared" ca="1" si="75"/>
        <v>1.0918941574723726</v>
      </c>
      <c r="AP77" s="275">
        <f t="shared" ca="1" si="76"/>
        <v>1.0918941574723726</v>
      </c>
      <c r="AQ77" s="276">
        <f t="shared" ref="AQ77" ca="1" si="80">IFERROR(IF(AQ75=0,"-",(AQ75/AQ76)-1),"-")</f>
        <v>0.18668525723101381</v>
      </c>
    </row>
    <row r="78" spans="2:44" ht="15.75" x14ac:dyDescent="0.25">
      <c r="B78" t="str">
        <f t="shared" si="78"/>
        <v>PC Annual Direct</v>
      </c>
      <c r="C78" t="str">
        <f t="shared" si="77"/>
        <v>Boom Subscription</v>
      </c>
      <c r="D78" s="208" t="s">
        <v>5</v>
      </c>
      <c r="E78" s="209">
        <v>0</v>
      </c>
      <c r="F78" s="209">
        <v>0</v>
      </c>
      <c r="G78" s="209">
        <v>846987.90250499675</v>
      </c>
      <c r="H78" s="209">
        <v>1174966.3528505522</v>
      </c>
      <c r="I78" s="209">
        <v>1584616.7353637449</v>
      </c>
      <c r="J78" s="209">
        <v>2067074.1935759829</v>
      </c>
      <c r="K78" s="209">
        <v>2147381.5107197058</v>
      </c>
      <c r="L78" s="209">
        <v>1385118.7807201962</v>
      </c>
      <c r="M78" s="209">
        <v>643445.39178494341</v>
      </c>
      <c r="N78" s="209">
        <v>980987.4871429553</v>
      </c>
      <c r="O78" s="209">
        <v>1104566.6828573106</v>
      </c>
      <c r="P78" s="238">
        <v>1090306.8017866081</v>
      </c>
      <c r="Q78" s="209">
        <v>1070212.2560720325</v>
      </c>
      <c r="R78" s="209">
        <v>1107168.0560714623</v>
      </c>
      <c r="S78" s="209">
        <v>1196806.3042855575</v>
      </c>
      <c r="T78" s="209">
        <v>1196843.1078571794</v>
      </c>
      <c r="U78" s="209">
        <v>1370790.6685737956</v>
      </c>
      <c r="V78" s="209">
        <v>1318028.1692854087</v>
      </c>
      <c r="W78" s="209">
        <v>1486296.7482147964</v>
      </c>
      <c r="X78" s="209">
        <v>1612451.3564286958</v>
      </c>
      <c r="Y78" s="209">
        <v>1638559.6060715215</v>
      </c>
      <c r="Z78" s="209">
        <v>1872056.7585720269</v>
      </c>
      <c r="AA78" s="209">
        <v>2020209.9689292929</v>
      </c>
      <c r="AB78" s="265">
        <v>2154653.3017852441</v>
      </c>
      <c r="AC78" s="209">
        <v>1862284.3825005875</v>
      </c>
      <c r="AD78" s="209">
        <v>1636571.4160711705</v>
      </c>
      <c r="AE78" s="209">
        <v>1682523.5657136443</v>
      </c>
      <c r="AF78" s="209">
        <v>1406255.6035711993</v>
      </c>
      <c r="AG78" s="209">
        <v>1329779.3617862051</v>
      </c>
      <c r="AH78" s="209">
        <v>1133104.5164289197</v>
      </c>
      <c r="AI78" s="209">
        <v>1049221.6692862462</v>
      </c>
      <c r="AJ78" s="209">
        <v>897208.56535697333</v>
      </c>
      <c r="AK78" s="209">
        <v>714745.29999965394</v>
      </c>
      <c r="AL78" s="209">
        <v>578083.90107166034</v>
      </c>
      <c r="AM78" s="209">
        <v>347890.64785722934</v>
      </c>
      <c r="AN78" s="265">
        <v>196342.79285724871</v>
      </c>
      <c r="AO78" s="237">
        <f t="shared" si="75"/>
        <v>1977301.1029467876</v>
      </c>
      <c r="AP78" s="209">
        <f t="shared" si="76"/>
        <v>1569679.0357146307</v>
      </c>
      <c r="AQ78" s="238">
        <f>SUMIFS(AC78:AN78,AC$4:AN$4,"&lt;"&amp;'Title Sheet'!$C$13)</f>
        <v>12834011.722500738</v>
      </c>
    </row>
    <row r="79" spans="2:44" ht="15.75" x14ac:dyDescent="0.25">
      <c r="B79" t="str">
        <f>$D$89&amp;"_NWP"</f>
        <v>PC Annual Direct - Subscription_NWP</v>
      </c>
      <c r="C79" t="str">
        <f t="shared" si="77"/>
        <v>Boom Subscription</v>
      </c>
      <c r="D79" s="211" t="s">
        <v>6</v>
      </c>
      <c r="E79" s="31" t="e">
        <f>INDEX('Plan Figures'!$B$94:$AP$131,MATCH('Current - MGA and MPM'!E$4,'Plan Figures'!$B$94:$B$131,0),MATCH('Current - MGA and MPM'!$B79,'Plan Figures'!$B$1:$AP$1,0))</f>
        <v>#N/A</v>
      </c>
      <c r="F79" s="31" t="e">
        <f>INDEX('Plan Figures'!$B$94:$AP$131,MATCH('Current - MGA and MPM'!F$4,'Plan Figures'!$B$94:$B$131,0),MATCH('Current - MGA and MPM'!$B79,'Plan Figures'!$B$1:$AP$1,0))</f>
        <v>#N/A</v>
      </c>
      <c r="G79" s="31" t="e">
        <f>INDEX('Plan Figures'!$B$94:$AP$131,MATCH('Current - MGA and MPM'!G$4,'Plan Figures'!$B$94:$B$131,0),MATCH('Current - MGA and MPM'!$B79,'Plan Figures'!$B$1:$AP$1,0))</f>
        <v>#N/A</v>
      </c>
      <c r="H79" s="31" t="e">
        <f>INDEX('Plan Figures'!$B$94:$AP$131,MATCH('Current - MGA and MPM'!H$4,'Plan Figures'!$B$94:$B$131,0),MATCH('Current - MGA and MPM'!$B79,'Plan Figures'!$B$1:$AP$1,0))</f>
        <v>#N/A</v>
      </c>
      <c r="I79" s="31" t="e">
        <f>INDEX('Plan Figures'!$B$94:$AP$131,MATCH('Current - MGA and MPM'!I$4,'Plan Figures'!$B$94:$B$131,0),MATCH('Current - MGA and MPM'!$B79,'Plan Figures'!$B$1:$AP$1,0))</f>
        <v>#N/A</v>
      </c>
      <c r="J79" s="31" t="e">
        <f>INDEX('Plan Figures'!$B$94:$AP$131,MATCH('Current - MGA and MPM'!J$4,'Plan Figures'!$B$94:$B$131,0),MATCH('Current - MGA and MPM'!$B79,'Plan Figures'!$B$1:$AP$1,0))</f>
        <v>#N/A</v>
      </c>
      <c r="K79" s="31" t="e">
        <f>INDEX('Plan Figures'!$B$94:$AP$131,MATCH('Current - MGA and MPM'!K$4,'Plan Figures'!$B$94:$B$131,0),MATCH('Current - MGA and MPM'!$B79,'Plan Figures'!$B$1:$AP$1,0))</f>
        <v>#N/A</v>
      </c>
      <c r="L79" s="31" t="e">
        <f>INDEX('Plan Figures'!$B$94:$AP$131,MATCH('Current - MGA and MPM'!L$4,'Plan Figures'!$B$94:$B$131,0),MATCH('Current - MGA and MPM'!$B79,'Plan Figures'!$B$1:$AP$1,0))</f>
        <v>#N/A</v>
      </c>
      <c r="M79" s="31" t="e">
        <f>INDEX('Plan Figures'!$B$94:$AP$131,MATCH('Current - MGA and MPM'!M$4,'Plan Figures'!$B$94:$B$131,0),MATCH('Current - MGA and MPM'!$B79,'Plan Figures'!$B$1:$AP$1,0))</f>
        <v>#N/A</v>
      </c>
      <c r="N79" s="31" t="e">
        <f>INDEX('Plan Figures'!$B$94:$AP$131,MATCH('Current - MGA and MPM'!N$4,'Plan Figures'!$B$94:$B$131,0),MATCH('Current - MGA and MPM'!$B79,'Plan Figures'!$B$1:$AP$1,0))</f>
        <v>#N/A</v>
      </c>
      <c r="O79" s="31" t="e">
        <f>INDEX('Plan Figures'!$B$94:$AP$131,MATCH('Current - MGA and MPM'!O$4,'Plan Figures'!$B$94:$B$131,0),MATCH('Current - MGA and MPM'!$B79,'Plan Figures'!$B$1:$AP$1,0))</f>
        <v>#N/A</v>
      </c>
      <c r="P79" s="240" t="str">
        <f ca="1">INDEX('Plan Figures'!$B$94:$AP$131,MATCH('Current - MGA and MPM'!P$4,'Plan Figures'!$B$94:$B$131,0),MATCH('Current - MGA and MPM'!$B79,'Plan Figures'!$B$1:$AP$1,0))</f>
        <v>-</v>
      </c>
      <c r="Q79" s="31" t="str">
        <f ca="1">INDEX('Plan Figures'!$B$94:$AP$131,MATCH('Current - MGA and MPM'!Q$4,'Plan Figures'!$B$94:$B$131,0),MATCH('Current - MGA and MPM'!$B79,'Plan Figures'!$B$1:$AP$1,0))</f>
        <v>-</v>
      </c>
      <c r="R79" s="31" t="str">
        <f ca="1">INDEX('Plan Figures'!$B$94:$AP$131,MATCH('Current - MGA and MPM'!R$4,'Plan Figures'!$B$94:$B$131,0),MATCH('Current - MGA and MPM'!$B79,'Plan Figures'!$B$1:$AP$1,0))</f>
        <v>-</v>
      </c>
      <c r="S79" s="31" t="str">
        <f ca="1">INDEX('Plan Figures'!$B$94:$AP$131,MATCH('Current - MGA and MPM'!S$4,'Plan Figures'!$B$94:$B$131,0),MATCH('Current - MGA and MPM'!$B79,'Plan Figures'!$B$1:$AP$1,0))</f>
        <v>-</v>
      </c>
      <c r="T79" s="31" t="str">
        <f ca="1">INDEX('Plan Figures'!$B$94:$AP$131,MATCH('Current - MGA and MPM'!T$4,'Plan Figures'!$B$94:$B$131,0),MATCH('Current - MGA and MPM'!$B79,'Plan Figures'!$B$1:$AP$1,0))</f>
        <v>-</v>
      </c>
      <c r="U79" s="31" t="str">
        <f ca="1">INDEX('Plan Figures'!$B$94:$AP$131,MATCH('Current - MGA and MPM'!U$4,'Plan Figures'!$B$94:$B$131,0),MATCH('Current - MGA and MPM'!$B79,'Plan Figures'!$B$1:$AP$1,0))</f>
        <v>-</v>
      </c>
      <c r="V79" s="31" t="str">
        <f ca="1">INDEX('Plan Figures'!$B$94:$AP$131,MATCH('Current - MGA and MPM'!V$4,'Plan Figures'!$B$94:$B$131,0),MATCH('Current - MGA and MPM'!$B79,'Plan Figures'!$B$1:$AP$1,0))</f>
        <v>-</v>
      </c>
      <c r="W79" s="31" t="str">
        <f ca="1">INDEX('Plan Figures'!$B$94:$AP$131,MATCH('Current - MGA and MPM'!W$4,'Plan Figures'!$B$94:$B$131,0),MATCH('Current - MGA and MPM'!$B79,'Plan Figures'!$B$1:$AP$1,0))</f>
        <v>-</v>
      </c>
      <c r="X79" s="31" t="str">
        <f ca="1">INDEX('Plan Figures'!$B$94:$AP$131,MATCH('Current - MGA and MPM'!X$4,'Plan Figures'!$B$94:$B$131,0),MATCH('Current - MGA and MPM'!$B79,'Plan Figures'!$B$1:$AP$1,0))</f>
        <v>-</v>
      </c>
      <c r="Y79" s="31" t="str">
        <f ca="1">INDEX('Plan Figures'!$B$94:$AP$131,MATCH('Current - MGA and MPM'!Y$4,'Plan Figures'!$B$94:$B$131,0),MATCH('Current - MGA and MPM'!$B79,'Plan Figures'!$B$1:$AP$1,0))</f>
        <v>-</v>
      </c>
      <c r="Z79" s="31" t="str">
        <f ca="1">INDEX('Plan Figures'!$B$94:$AP$131,MATCH('Current - MGA and MPM'!Z$4,'Plan Figures'!$B$94:$B$131,0),MATCH('Current - MGA and MPM'!$B79,'Plan Figures'!$B$1:$AP$1,0))</f>
        <v>-</v>
      </c>
      <c r="AA79" s="31">
        <f ca="1">INDEX('Plan Figures'!$B$94:$AP$131,MATCH('Current - MGA and MPM'!AA$4,'Plan Figures'!$B$94:$B$131,0),MATCH('Current - MGA and MPM'!$B79,'Plan Figures'!$B$1:$AP$1,0))</f>
        <v>1811220.2312349698</v>
      </c>
      <c r="AB79" s="266">
        <f ca="1">INDEX('Plan Figures'!$B$94:$AP$131,MATCH('Current - MGA and MPM'!AB$4,'Plan Figures'!$B$94:$B$131,0),MATCH('Current - MGA and MPM'!$B79,'Plan Figures'!$B$1:$AP$1,0))</f>
        <v>1916096.3475731572</v>
      </c>
      <c r="AC79" s="31">
        <f ca="1">INDEX('Plan Figures'!$B$94:$AP$131,MATCH('Current - MGA and MPM'!AC$4,'Plan Figures'!$B$94:$B$131,0),MATCH('Current - MGA and MPM'!$B79,'Plan Figures'!$B$1:$AP$1,0))</f>
        <v>2026245.4879278806</v>
      </c>
      <c r="AD79" s="31">
        <f ca="1">INDEX('Plan Figures'!$B$94:$AP$131,MATCH('Current - MGA and MPM'!AD$4,'Plan Figures'!$B$94:$B$131,0),MATCH('Current - MGA and MPM'!$B79,'Plan Figures'!$B$1:$AP$1,0))</f>
        <v>2073314.966746679</v>
      </c>
      <c r="AE79" s="31">
        <f ca="1">INDEX('Plan Figures'!$B$94:$AP$131,MATCH('Current - MGA and MPM'!AE$4,'Plan Figures'!$B$94:$B$131,0),MATCH('Current - MGA and MPM'!$B79,'Plan Figures'!$B$1:$AP$1,0))</f>
        <v>1955902.6469528598</v>
      </c>
      <c r="AF79" s="31">
        <f ca="1">INDEX('Plan Figures'!$B$94:$AP$131,MATCH('Current - MGA and MPM'!AF$4,'Plan Figures'!$B$94:$B$131,0),MATCH('Current - MGA and MPM'!$B79,'Plan Figures'!$B$1:$AP$1,0))</f>
        <v>1768843.0862598093</v>
      </c>
      <c r="AG79" s="31">
        <f ca="1">INDEX('Plan Figures'!$B$94:$AP$131,MATCH('Current - MGA and MPM'!AG$4,'Plan Figures'!$B$94:$B$131,0),MATCH('Current - MGA and MPM'!$B79,'Plan Figures'!$B$1:$AP$1,0))</f>
        <v>1606725.6641009036</v>
      </c>
      <c r="AH79" s="31">
        <f ca="1">INDEX('Plan Figures'!$B$94:$AP$131,MATCH('Current - MGA and MPM'!AH$4,'Plan Figures'!$B$94:$B$131,0),MATCH('Current - MGA and MPM'!$B79,'Plan Figures'!$B$1:$AP$1,0))</f>
        <v>1443312.9653584959</v>
      </c>
      <c r="AI79" s="31">
        <f ca="1">INDEX('Plan Figures'!$B$94:$AP$131,MATCH('Current - MGA and MPM'!AI$4,'Plan Figures'!$B$94:$B$131,0),MATCH('Current - MGA and MPM'!$B79,'Plan Figures'!$B$1:$AP$1,0))</f>
        <v>1349487.1149863317</v>
      </c>
      <c r="AJ79" s="31">
        <f ca="1">INDEX('Plan Figures'!$B$94:$AP$131,MATCH('Current - MGA and MPM'!AJ$4,'Plan Figures'!$B$94:$B$131,0),MATCH('Current - MGA and MPM'!$B79,'Plan Figures'!$B$1:$AP$1,0))</f>
        <v>1181466.7154575591</v>
      </c>
      <c r="AK79" s="31">
        <f ca="1">INDEX('Plan Figures'!$B$94:$AP$131,MATCH('Current - MGA and MPM'!AK$4,'Plan Figures'!$B$94:$B$131,0),MATCH('Current - MGA and MPM'!$B79,'Plan Figures'!$B$1:$AP$1,0))</f>
        <v>1008629.6841870487</v>
      </c>
      <c r="AL79" s="31">
        <f ca="1">INDEX('Plan Figures'!$B$94:$AP$131,MATCH('Current - MGA and MPM'!AL$4,'Plan Figures'!$B$94:$B$131,0),MATCH('Current - MGA and MPM'!$B79,'Plan Figures'!$B$1:$AP$1,0))</f>
        <v>770535.64091670548</v>
      </c>
      <c r="AM79" s="31">
        <f ca="1">INDEX('Plan Figures'!$B$94:$AP$131,MATCH('Current - MGA and MPM'!AM$4,'Plan Figures'!$B$94:$B$131,0),MATCH('Current - MGA and MPM'!$B79,'Plan Figures'!$B$1:$AP$1,0))</f>
        <v>485395.72460503865</v>
      </c>
      <c r="AN79" s="266">
        <f ca="1">INDEX('Plan Figures'!$B$94:$AP$131,MATCH('Current - MGA and MPM'!AN$4,'Plan Figures'!$B$94:$B$131,0),MATCH('Current - MGA and MPM'!$B79,'Plan Figures'!$B$1:$AP$1,0))</f>
        <v>234084.38876161337</v>
      </c>
      <c r="AO79" s="239">
        <f t="shared" ca="1" si="75"/>
        <v>1917854.0222453356</v>
      </c>
      <c r="AP79" s="31">
        <f t="shared" ca="1" si="76"/>
        <v>1917854.0222453356</v>
      </c>
      <c r="AQ79" s="240">
        <f ca="1">SUMIFS(AC79:AN79,AC$4:AN$4,"&lt;"&amp;'Title Sheet'!$C$13)</f>
        <v>15903944.086260926</v>
      </c>
    </row>
    <row r="80" spans="2:44" ht="15.75" x14ac:dyDescent="0.25">
      <c r="B80" t="str">
        <f t="shared" si="78"/>
        <v>PC Annual Direct</v>
      </c>
      <c r="C80" t="str">
        <f t="shared" si="77"/>
        <v>Boom Subscription</v>
      </c>
      <c r="D80" s="213" t="s">
        <v>0</v>
      </c>
      <c r="E80" s="214" t="str">
        <f t="shared" ref="E80:AN80" si="81">IFERROR(IF(E78=0,"-",(E78/E79)-1),"-")</f>
        <v>-</v>
      </c>
      <c r="F80" s="214" t="str">
        <f t="shared" si="81"/>
        <v>-</v>
      </c>
      <c r="G80" s="214" t="str">
        <f t="shared" si="81"/>
        <v>-</v>
      </c>
      <c r="H80" s="214" t="str">
        <f t="shared" si="81"/>
        <v>-</v>
      </c>
      <c r="I80" s="214" t="str">
        <f t="shared" si="81"/>
        <v>-</v>
      </c>
      <c r="J80" s="214" t="str">
        <f t="shared" si="81"/>
        <v>-</v>
      </c>
      <c r="K80" s="214" t="str">
        <f t="shared" si="81"/>
        <v>-</v>
      </c>
      <c r="L80" s="214" t="str">
        <f t="shared" si="81"/>
        <v>-</v>
      </c>
      <c r="M80" s="214" t="str">
        <f t="shared" si="81"/>
        <v>-</v>
      </c>
      <c r="N80" s="214" t="str">
        <f t="shared" si="81"/>
        <v>-</v>
      </c>
      <c r="O80" s="214" t="str">
        <f t="shared" si="81"/>
        <v>-</v>
      </c>
      <c r="P80" s="294" t="str">
        <f t="shared" ca="1" si="81"/>
        <v>-</v>
      </c>
      <c r="Q80" s="214" t="str">
        <f t="shared" ca="1" si="81"/>
        <v>-</v>
      </c>
      <c r="R80" s="214" t="str">
        <f t="shared" ca="1" si="81"/>
        <v>-</v>
      </c>
      <c r="S80" s="214" t="str">
        <f t="shared" ca="1" si="81"/>
        <v>-</v>
      </c>
      <c r="T80" s="214" t="str">
        <f t="shared" ca="1" si="81"/>
        <v>-</v>
      </c>
      <c r="U80" s="214" t="str">
        <f t="shared" ca="1" si="81"/>
        <v>-</v>
      </c>
      <c r="V80" s="214" t="str">
        <f t="shared" ca="1" si="81"/>
        <v>-</v>
      </c>
      <c r="W80" s="214" t="str">
        <f t="shared" ca="1" si="81"/>
        <v>-</v>
      </c>
      <c r="X80" s="214" t="str">
        <f t="shared" ca="1" si="81"/>
        <v>-</v>
      </c>
      <c r="Y80" s="214" t="str">
        <f t="shared" ca="1" si="81"/>
        <v>-</v>
      </c>
      <c r="Z80" s="214" t="str">
        <f t="shared" ca="1" si="81"/>
        <v>-</v>
      </c>
      <c r="AA80" s="214">
        <f t="shared" ca="1" si="81"/>
        <v>0.11538615464328417</v>
      </c>
      <c r="AB80" s="270">
        <f t="shared" ca="1" si="81"/>
        <v>0.12450154425388504</v>
      </c>
      <c r="AC80" s="214">
        <f t="shared" ca="1" si="81"/>
        <v>-8.0918677625269497E-2</v>
      </c>
      <c r="AD80" s="214">
        <f t="shared" ca="1" si="81"/>
        <v>-0.21064988083350411</v>
      </c>
      <c r="AE80" s="214">
        <f t="shared" ca="1" si="81"/>
        <v>-0.13977131308918589</v>
      </c>
      <c r="AF80" s="214">
        <f t="shared" ca="1" si="81"/>
        <v>-0.20498566860178391</v>
      </c>
      <c r="AG80" s="214">
        <f t="shared" ca="1" si="81"/>
        <v>-0.17236688782815512</v>
      </c>
      <c r="AH80" s="214">
        <f t="shared" ca="1" si="81"/>
        <v>-0.21492805536637394</v>
      </c>
      <c r="AI80" s="214">
        <f t="shared" ca="1" si="81"/>
        <v>-0.22250338099977096</v>
      </c>
      <c r="AJ80" s="214">
        <f t="shared" ca="1" si="81"/>
        <v>-0.24059767946192046</v>
      </c>
      <c r="AK80" s="214">
        <f t="shared" ca="1" si="81"/>
        <v>-0.29136995350703399</v>
      </c>
      <c r="AL80" s="214">
        <f t="shared" ca="1" si="81"/>
        <v>-0.24976357954848849</v>
      </c>
      <c r="AM80" s="214">
        <f t="shared" ca="1" si="81"/>
        <v>-0.28328448269645501</v>
      </c>
      <c r="AN80" s="270">
        <f t="shared" ca="1" si="81"/>
        <v>-0.16123072582512077</v>
      </c>
      <c r="AO80" s="274">
        <f t="shared" ca="1" si="75"/>
        <v>5.2989673757299904E-2</v>
      </c>
      <c r="AP80" s="275">
        <f t="shared" ca="1" si="76"/>
        <v>5.2989673757299904E-2</v>
      </c>
      <c r="AQ80" s="276">
        <f t="shared" ref="AQ80" ca="1" si="82">IFERROR(IF(AQ78=0,"-",(AQ78/AQ79)-1),"-")</f>
        <v>-0.19302962504830712</v>
      </c>
    </row>
    <row r="81" spans="2:46" ht="15.75" x14ac:dyDescent="0.25">
      <c r="B81" t="str">
        <f t="shared" si="78"/>
        <v>PC Annual Direct</v>
      </c>
      <c r="C81" t="str">
        <f t="shared" si="77"/>
        <v>Boom Subscription</v>
      </c>
      <c r="D81" s="208" t="s">
        <v>12</v>
      </c>
      <c r="E81" s="209">
        <f t="shared" ref="E81:AP82" si="83">IFERROR(E78/E75,0)</f>
        <v>0</v>
      </c>
      <c r="F81" s="209">
        <f t="shared" si="83"/>
        <v>0</v>
      </c>
      <c r="G81" s="209">
        <f t="shared" si="83"/>
        <v>982.559590403691</v>
      </c>
      <c r="H81" s="209">
        <f t="shared" si="83"/>
        <v>1370.4924447780031</v>
      </c>
      <c r="I81" s="209">
        <f t="shared" si="83"/>
        <v>1460.730758912191</v>
      </c>
      <c r="J81" s="209">
        <f t="shared" si="83"/>
        <v>1226.8739430140567</v>
      </c>
      <c r="K81" s="209">
        <f t="shared" si="83"/>
        <v>1136.2053989452813</v>
      </c>
      <c r="L81" s="209">
        <f t="shared" si="83"/>
        <v>1198.9327382852471</v>
      </c>
      <c r="M81" s="209">
        <f t="shared" si="83"/>
        <v>2885.4762449606328</v>
      </c>
      <c r="N81" s="209">
        <f t="shared" si="83"/>
        <v>2423.1912573826007</v>
      </c>
      <c r="O81" s="209">
        <f t="shared" si="83"/>
        <v>1953.810482605443</v>
      </c>
      <c r="P81" s="238">
        <f t="shared" si="83"/>
        <v>1480.0342999485611</v>
      </c>
      <c r="Q81" s="209">
        <f t="shared" si="83"/>
        <v>1289.361284955276</v>
      </c>
      <c r="R81" s="209">
        <f t="shared" si="83"/>
        <v>1438.4077451233379</v>
      </c>
      <c r="S81" s="209">
        <f t="shared" si="83"/>
        <v>1099.4591131373888</v>
      </c>
      <c r="T81" s="209">
        <f t="shared" si="83"/>
        <v>1139.3702821066786</v>
      </c>
      <c r="U81" s="209">
        <f t="shared" si="83"/>
        <v>1093.5395510000556</v>
      </c>
      <c r="V81" s="209">
        <f t="shared" si="83"/>
        <v>1084.3432999065137</v>
      </c>
      <c r="W81" s="209">
        <f t="shared" si="83"/>
        <v>1100.1656563025626</v>
      </c>
      <c r="X81" s="209">
        <f t="shared" si="83"/>
        <v>1162.9515267915554</v>
      </c>
      <c r="Y81" s="209">
        <f t="shared" si="83"/>
        <v>1255.0205309034025</v>
      </c>
      <c r="Z81" s="209">
        <f t="shared" si="83"/>
        <v>1309.1781270192407</v>
      </c>
      <c r="AA81" s="209">
        <f t="shared" si="83"/>
        <v>1434.5715930639899</v>
      </c>
      <c r="AB81" s="265">
        <f t="shared" si="83"/>
        <v>1359.0747239313944</v>
      </c>
      <c r="AC81" s="209">
        <f t="shared" si="83"/>
        <v>1167.9625552231946</v>
      </c>
      <c r="AD81" s="209">
        <f t="shared" si="83"/>
        <v>1260.1803397666636</v>
      </c>
      <c r="AE81" s="209">
        <f t="shared" si="83"/>
        <v>1213.9779624097966</v>
      </c>
      <c r="AF81" s="209">
        <f t="shared" si="83"/>
        <v>1268.3714631183075</v>
      </c>
      <c r="AG81" s="209">
        <f t="shared" si="83"/>
        <v>1278.1928976732277</v>
      </c>
      <c r="AH81" s="209">
        <f t="shared" si="83"/>
        <v>1325.7867323249668</v>
      </c>
      <c r="AI81" s="209">
        <f t="shared" si="83"/>
        <v>1279.2821666972359</v>
      </c>
      <c r="AJ81" s="209">
        <f t="shared" si="83"/>
        <v>1292.3995677325513</v>
      </c>
      <c r="AK81" s="209">
        <f t="shared" si="83"/>
        <v>1281.6984755228061</v>
      </c>
      <c r="AL81" s="209">
        <f t="shared" si="83"/>
        <v>1242.8836225742157</v>
      </c>
      <c r="AM81" s="209">
        <f t="shared" si="83"/>
        <v>1283.1326125308585</v>
      </c>
      <c r="AN81" s="265">
        <f t="shared" si="83"/>
        <v>1285.4038243421826</v>
      </c>
      <c r="AO81" s="237">
        <f t="shared" si="83"/>
        <v>1314.2502045995645</v>
      </c>
      <c r="AP81" s="209">
        <f t="shared" si="83"/>
        <v>1220.0465947460104</v>
      </c>
      <c r="AQ81" s="238">
        <f>SUMIFS(AC81:AN81,AC$4:AN$4,"&lt;"&amp;'Title Sheet'!$C$13)</f>
        <v>15179.272219916007</v>
      </c>
    </row>
    <row r="82" spans="2:46" ht="15.75" hidden="1" x14ac:dyDescent="0.25">
      <c r="B82" t="str">
        <f t="shared" si="78"/>
        <v>PC Annual Direct</v>
      </c>
      <c r="C82" t="str">
        <f t="shared" si="77"/>
        <v>Boom Subscription</v>
      </c>
      <c r="D82" s="211" t="s">
        <v>13</v>
      </c>
      <c r="E82" s="31">
        <f t="shared" si="83"/>
        <v>0</v>
      </c>
      <c r="F82" s="31">
        <f t="shared" si="83"/>
        <v>0</v>
      </c>
      <c r="G82" s="31">
        <f t="shared" si="83"/>
        <v>0</v>
      </c>
      <c r="H82" s="31">
        <f t="shared" si="83"/>
        <v>0</v>
      </c>
      <c r="I82" s="31">
        <f t="shared" si="83"/>
        <v>0</v>
      </c>
      <c r="J82" s="31">
        <f t="shared" si="83"/>
        <v>0</v>
      </c>
      <c r="K82" s="31">
        <f t="shared" si="83"/>
        <v>0</v>
      </c>
      <c r="L82" s="31">
        <f t="shared" si="83"/>
        <v>0</v>
      </c>
      <c r="M82" s="31">
        <f t="shared" si="83"/>
        <v>0</v>
      </c>
      <c r="N82" s="31">
        <f t="shared" si="83"/>
        <v>0</v>
      </c>
      <c r="O82" s="31">
        <f t="shared" si="83"/>
        <v>0</v>
      </c>
      <c r="P82" s="240">
        <f t="shared" ca="1" si="83"/>
        <v>0</v>
      </c>
      <c r="Q82" s="31">
        <f t="shared" ca="1" si="83"/>
        <v>0</v>
      </c>
      <c r="R82" s="31">
        <f t="shared" ca="1" si="83"/>
        <v>0</v>
      </c>
      <c r="S82" s="31">
        <f t="shared" ca="1" si="83"/>
        <v>0</v>
      </c>
      <c r="T82" s="31">
        <f t="shared" ca="1" si="83"/>
        <v>0</v>
      </c>
      <c r="U82" s="31">
        <f t="shared" ca="1" si="83"/>
        <v>0</v>
      </c>
      <c r="V82" s="31">
        <f t="shared" ca="1" si="83"/>
        <v>0</v>
      </c>
      <c r="W82" s="31">
        <f t="shared" ca="1" si="83"/>
        <v>0</v>
      </c>
      <c r="X82" s="31">
        <f t="shared" ca="1" si="83"/>
        <v>0</v>
      </c>
      <c r="Y82" s="31">
        <f t="shared" ca="1" si="83"/>
        <v>0</v>
      </c>
      <c r="Z82" s="31">
        <f t="shared" ca="1" si="83"/>
        <v>0</v>
      </c>
      <c r="AA82" s="31">
        <f t="shared" ca="1" si="83"/>
        <v>2940.6120463449633</v>
      </c>
      <c r="AB82" s="266">
        <f t="shared" ca="1" si="83"/>
        <v>2508.8727069841393</v>
      </c>
      <c r="AC82" s="31">
        <f t="shared" ca="1" si="83"/>
        <v>2431.6579366113488</v>
      </c>
      <c r="AD82" s="31">
        <f t="shared" ca="1" si="83"/>
        <v>2488.1451058234757</v>
      </c>
      <c r="AE82" s="31">
        <f t="shared" ca="1" si="83"/>
        <v>2347.2408565685837</v>
      </c>
      <c r="AF82" s="31">
        <f t="shared" ca="1" si="83"/>
        <v>2122.7543034395003</v>
      </c>
      <c r="AG82" s="31">
        <f t="shared" ca="1" si="83"/>
        <v>1928.923722318608</v>
      </c>
      <c r="AH82" s="31">
        <f t="shared" ca="1" si="83"/>
        <v>1792.1092036209764</v>
      </c>
      <c r="AI82" s="31">
        <f t="shared" ca="1" si="83"/>
        <v>1414.0515952231242</v>
      </c>
      <c r="AJ82" s="31">
        <f t="shared" ca="1" si="83"/>
        <v>1393.8475889887359</v>
      </c>
      <c r="AK82" s="31">
        <f t="shared" ca="1" si="83"/>
        <v>1364.7480464247928</v>
      </c>
      <c r="AL82" s="31">
        <f t="shared" ca="1" si="83"/>
        <v>1342.2451760515135</v>
      </c>
      <c r="AM82" s="31">
        <f t="shared" ca="1" si="83"/>
        <v>1331.2726110459498</v>
      </c>
      <c r="AN82" s="266">
        <f t="shared" ca="1" si="83"/>
        <v>1291.9119056757322</v>
      </c>
      <c r="AO82" s="239">
        <f t="shared" ca="1" si="83"/>
        <v>2599.9648122861263</v>
      </c>
      <c r="AP82" s="31">
        <f t="shared" ca="1" si="83"/>
        <v>2599.9648122861263</v>
      </c>
      <c r="AQ82" s="240">
        <f ca="1">SUMIFS(AC82:AN82,AC$4:AN$4,"&lt;"&amp;'Title Sheet'!$C$13)</f>
        <v>21248.908051792343</v>
      </c>
    </row>
    <row r="83" spans="2:46" ht="15.75" hidden="1" x14ac:dyDescent="0.25">
      <c r="B83" t="str">
        <f t="shared" si="78"/>
        <v>PC Annual Direct</v>
      </c>
      <c r="C83" t="str">
        <f t="shared" si="77"/>
        <v>Boom Subscription</v>
      </c>
      <c r="D83" s="213" t="s">
        <v>0</v>
      </c>
      <c r="E83" s="214" t="str">
        <f t="shared" ref="E83:AN83" si="84">IFERROR(IF(E81=0,"-",(E81/E82)-1),"-")</f>
        <v>-</v>
      </c>
      <c r="F83" s="214" t="str">
        <f t="shared" si="84"/>
        <v>-</v>
      </c>
      <c r="G83" s="214" t="str">
        <f t="shared" si="84"/>
        <v>-</v>
      </c>
      <c r="H83" s="214" t="str">
        <f t="shared" si="84"/>
        <v>-</v>
      </c>
      <c r="I83" s="214" t="str">
        <f t="shared" si="84"/>
        <v>-</v>
      </c>
      <c r="J83" s="214" t="str">
        <f t="shared" si="84"/>
        <v>-</v>
      </c>
      <c r="K83" s="214" t="str">
        <f t="shared" si="84"/>
        <v>-</v>
      </c>
      <c r="L83" s="214" t="str">
        <f t="shared" si="84"/>
        <v>-</v>
      </c>
      <c r="M83" s="214" t="str">
        <f t="shared" si="84"/>
        <v>-</v>
      </c>
      <c r="N83" s="214" t="str">
        <f t="shared" si="84"/>
        <v>-</v>
      </c>
      <c r="O83" s="214" t="str">
        <f t="shared" si="84"/>
        <v>-</v>
      </c>
      <c r="P83" s="294" t="str">
        <f t="shared" ca="1" si="84"/>
        <v>-</v>
      </c>
      <c r="Q83" s="214" t="str">
        <f t="shared" ca="1" si="84"/>
        <v>-</v>
      </c>
      <c r="R83" s="214" t="str">
        <f t="shared" ca="1" si="84"/>
        <v>-</v>
      </c>
      <c r="S83" s="214" t="str">
        <f t="shared" ca="1" si="84"/>
        <v>-</v>
      </c>
      <c r="T83" s="214" t="str">
        <f t="shared" ca="1" si="84"/>
        <v>-</v>
      </c>
      <c r="U83" s="214" t="str">
        <f t="shared" ca="1" si="84"/>
        <v>-</v>
      </c>
      <c r="V83" s="214" t="str">
        <f t="shared" ca="1" si="84"/>
        <v>-</v>
      </c>
      <c r="W83" s="214" t="str">
        <f t="shared" ca="1" si="84"/>
        <v>-</v>
      </c>
      <c r="X83" s="214" t="str">
        <f t="shared" ca="1" si="84"/>
        <v>-</v>
      </c>
      <c r="Y83" s="214" t="str">
        <f t="shared" ca="1" si="84"/>
        <v>-</v>
      </c>
      <c r="Z83" s="214" t="str">
        <f t="shared" ca="1" si="84"/>
        <v>-</v>
      </c>
      <c r="AA83" s="214">
        <f t="shared" ca="1" si="84"/>
        <v>-0.51215203826458777</v>
      </c>
      <c r="AB83" s="270">
        <f t="shared" ca="1" si="84"/>
        <v>-0.45829267457530432</v>
      </c>
      <c r="AC83" s="214">
        <f t="shared" ca="1" si="84"/>
        <v>-0.5196846819455142</v>
      </c>
      <c r="AD83" s="214">
        <f t="shared" ca="1" si="84"/>
        <v>-0.49352618670943849</v>
      </c>
      <c r="AE83" s="214">
        <f t="shared" ca="1" si="84"/>
        <v>-0.48280639414887183</v>
      </c>
      <c r="AF83" s="214">
        <f t="shared" ca="1" si="84"/>
        <v>-0.40248786161301653</v>
      </c>
      <c r="AG83" s="214">
        <f t="shared" ca="1" si="84"/>
        <v>-0.33735435834818173</v>
      </c>
      <c r="AH83" s="214">
        <f t="shared" ca="1" si="84"/>
        <v>-0.26020873636148956</v>
      </c>
      <c r="AI83" s="214">
        <f t="shared" ca="1" si="84"/>
        <v>-9.5307292167527313E-2</v>
      </c>
      <c r="AJ83" s="214">
        <f t="shared" ca="1" si="84"/>
        <v>-7.2782721767870706E-2</v>
      </c>
      <c r="AK83" s="214">
        <f t="shared" ca="1" si="84"/>
        <v>-6.0853408890784055E-2</v>
      </c>
      <c r="AL83" s="214">
        <f t="shared" ca="1" si="84"/>
        <v>-7.4026381506238637E-2</v>
      </c>
      <c r="AM83" s="214">
        <f t="shared" ca="1" si="84"/>
        <v>-3.6160887045718515E-2</v>
      </c>
      <c r="AN83" s="270">
        <f t="shared" ca="1" si="84"/>
        <v>-5.0375581376390643E-3</v>
      </c>
      <c r="AO83" s="274">
        <f t="shared" ref="AO83:AP83" ca="1" si="85">AO81-AO82</f>
        <v>-1285.7146076865617</v>
      </c>
      <c r="AP83" s="275">
        <f t="shared" ca="1" si="85"/>
        <v>-1379.9182175401158</v>
      </c>
      <c r="AQ83" s="276">
        <f t="shared" ref="AQ83" ca="1" si="86">IFERROR(IF(AQ81=0,"-",(AQ81/AQ82)-1),"-")</f>
        <v>-0.28564459957575861</v>
      </c>
    </row>
    <row r="84" spans="2:46" x14ac:dyDescent="0.25">
      <c r="B84" t="str">
        <f t="shared" si="78"/>
        <v>PC Annual Direct</v>
      </c>
      <c r="C84" t="str">
        <f t="shared" si="77"/>
        <v>Boom Subscription</v>
      </c>
      <c r="D84" s="258" t="s">
        <v>17</v>
      </c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313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67"/>
      <c r="AC84" s="259"/>
      <c r="AD84" s="259"/>
      <c r="AE84" s="259"/>
      <c r="AF84" s="259"/>
      <c r="AG84" s="259"/>
      <c r="AH84" s="259"/>
      <c r="AI84" s="259"/>
      <c r="AJ84" s="259"/>
      <c r="AK84" s="259"/>
      <c r="AL84" s="259"/>
      <c r="AM84" s="259"/>
      <c r="AN84" s="267"/>
      <c r="AO84" s="277"/>
      <c r="AP84" s="277"/>
      <c r="AQ84" s="278">
        <f>SUMIFS(AC84:AN84,AC$4:AN$4,"&lt;"&amp;'Title Sheet'!$C$13)</f>
        <v>0</v>
      </c>
    </row>
    <row r="85" spans="2:46" ht="15.75" x14ac:dyDescent="0.25">
      <c r="B85" t="str">
        <f t="shared" si="78"/>
        <v>PC Annual Direct</v>
      </c>
      <c r="C85" t="str">
        <f t="shared" si="77"/>
        <v>Boom Subscription</v>
      </c>
      <c r="D85" s="208" t="s">
        <v>7</v>
      </c>
      <c r="E85" s="282">
        <v>0</v>
      </c>
      <c r="F85" s="283">
        <v>0</v>
      </c>
      <c r="G85" s="283">
        <v>1045889.5625023207</v>
      </c>
      <c r="H85" s="283">
        <v>1298026.3928464968</v>
      </c>
      <c r="I85" s="283">
        <v>1751043.7053654126</v>
      </c>
      <c r="J85" s="283">
        <v>2285204.803576773</v>
      </c>
      <c r="K85" s="283">
        <v>2375351.1607260322</v>
      </c>
      <c r="L85" s="283">
        <v>1506537.9107222594</v>
      </c>
      <c r="M85" s="283">
        <v>526812.90178488032</v>
      </c>
      <c r="N85" s="283">
        <v>854262.10714215401</v>
      </c>
      <c r="O85" s="283">
        <v>1035120.6428582676</v>
      </c>
      <c r="P85" s="314">
        <v>1138972.1517867602</v>
      </c>
      <c r="Q85" s="283">
        <v>1186519.8660717688</v>
      </c>
      <c r="R85" s="283">
        <v>1157236.6160712091</v>
      </c>
      <c r="S85" s="283">
        <v>1396789.464285569</v>
      </c>
      <c r="T85" s="283">
        <v>1365173.5178568573</v>
      </c>
      <c r="U85" s="283">
        <v>1566038.9285736412</v>
      </c>
      <c r="V85" s="283">
        <v>1566907.3392851199</v>
      </c>
      <c r="W85" s="283">
        <v>1765429.598214569</v>
      </c>
      <c r="X85" s="283">
        <v>1910330.1964290359</v>
      </c>
      <c r="Y85" s="283">
        <v>1938425.6160724042</v>
      </c>
      <c r="Z85" s="283">
        <v>2205989.9285718729</v>
      </c>
      <c r="AA85" s="283">
        <v>2374496.2589290282</v>
      </c>
      <c r="AB85" s="284">
        <v>2522405.651784393</v>
      </c>
      <c r="AC85" s="282">
        <v>2479069.3125012428</v>
      </c>
      <c r="AD85" s="283">
        <v>1942443.1160720733</v>
      </c>
      <c r="AE85" s="283">
        <v>1920223.2857131353</v>
      </c>
      <c r="AF85" s="283">
        <v>1614257.3035714719</v>
      </c>
      <c r="AG85" s="283">
        <v>1513613.1517860643</v>
      </c>
      <c r="AH85" s="283">
        <v>1300846.1964293618</v>
      </c>
      <c r="AI85" s="283">
        <v>1193804.8392867255</v>
      </c>
      <c r="AJ85" s="283">
        <v>1018597.7053572248</v>
      </c>
      <c r="AK85" s="283">
        <v>815721.7499990958</v>
      </c>
      <c r="AL85" s="283">
        <v>648881.99107159546</v>
      </c>
      <c r="AM85" s="283">
        <v>389810.76785698062</v>
      </c>
      <c r="AN85" s="284">
        <v>206166.89285729072</v>
      </c>
      <c r="AO85" s="237">
        <f>AVERAGE(Z85:AC85)</f>
        <v>2395490.2879466345</v>
      </c>
      <c r="AP85" s="209">
        <f>AVERAGE(R85:AC85)</f>
        <v>1854024.3690479121</v>
      </c>
      <c r="AQ85" s="238">
        <f>SUMIFS(AC85:AN85,AC$4:AN$4,"&lt;"&amp;'Title Sheet'!$C$13)</f>
        <v>15043436.312502263</v>
      </c>
    </row>
    <row r="86" spans="2:46" ht="16.5" thickBot="1" x14ac:dyDescent="0.3">
      <c r="B86" t="str">
        <f t="shared" si="78"/>
        <v>PC Annual Direct</v>
      </c>
      <c r="C86" t="str">
        <f t="shared" si="77"/>
        <v>Boom Subscription</v>
      </c>
      <c r="D86" s="226" t="s">
        <v>21</v>
      </c>
      <c r="E86" s="269">
        <f>IFERROR(E78/E$8,"-")</f>
        <v>0</v>
      </c>
      <c r="F86" s="269">
        <f t="shared" ref="F86:AN86" si="87">IFERROR(F78/F$8,"-")</f>
        <v>0</v>
      </c>
      <c r="G86" s="269">
        <f t="shared" si="87"/>
        <v>0.63661487204905398</v>
      </c>
      <c r="H86" s="269">
        <f t="shared" si="87"/>
        <v>0.68558611967600558</v>
      </c>
      <c r="I86" s="269">
        <f t="shared" si="87"/>
        <v>0.69520696923079928</v>
      </c>
      <c r="J86" s="269">
        <f t="shared" si="87"/>
        <v>0.67973497886698242</v>
      </c>
      <c r="K86" s="269">
        <f t="shared" si="87"/>
        <v>0.54670934640364044</v>
      </c>
      <c r="L86" s="269">
        <f t="shared" si="87"/>
        <v>0.47517044316777446</v>
      </c>
      <c r="M86" s="269">
        <f t="shared" si="87"/>
        <v>0.23191669048938171</v>
      </c>
      <c r="N86" s="269">
        <f t="shared" si="87"/>
        <v>0.27383382319474775</v>
      </c>
      <c r="O86" s="269">
        <f t="shared" si="87"/>
        <v>0.34874610433589859</v>
      </c>
      <c r="P86" s="280">
        <f t="shared" si="87"/>
        <v>0.41447550482494011</v>
      </c>
      <c r="Q86" s="269">
        <f t="shared" si="87"/>
        <v>0.49630216745126626</v>
      </c>
      <c r="R86" s="269">
        <f t="shared" si="87"/>
        <v>0.5015916494266015</v>
      </c>
      <c r="S86" s="269">
        <f t="shared" si="87"/>
        <v>0.50596939106431882</v>
      </c>
      <c r="T86" s="269">
        <f t="shared" si="87"/>
        <v>0.56568155193694636</v>
      </c>
      <c r="U86" s="269">
        <f t="shared" si="87"/>
        <v>0.56173004860585496</v>
      </c>
      <c r="V86" s="269">
        <f t="shared" si="87"/>
        <v>0.58225725654579108</v>
      </c>
      <c r="W86" s="269">
        <f t="shared" si="87"/>
        <v>0.62376922794025946</v>
      </c>
      <c r="X86" s="269">
        <f t="shared" si="87"/>
        <v>0.60074090638190969</v>
      </c>
      <c r="Y86" s="269">
        <f t="shared" si="87"/>
        <v>0.59503959217884361</v>
      </c>
      <c r="Z86" s="269">
        <f t="shared" si="87"/>
        <v>0.58324829263922517</v>
      </c>
      <c r="AA86" s="269">
        <f t="shared" si="87"/>
        <v>0.52292830062093443</v>
      </c>
      <c r="AB86" s="281">
        <f t="shared" si="87"/>
        <v>0.56786667609179797</v>
      </c>
      <c r="AC86" s="269">
        <f t="shared" si="87"/>
        <v>0.47434550825859317</v>
      </c>
      <c r="AD86" s="269">
        <f t="shared" si="87"/>
        <v>0.31537052288096606</v>
      </c>
      <c r="AE86" s="269">
        <f t="shared" si="87"/>
        <v>0.22187178325762749</v>
      </c>
      <c r="AF86" s="269">
        <f t="shared" si="87"/>
        <v>0.2093055672517104</v>
      </c>
      <c r="AG86" s="269">
        <f t="shared" si="87"/>
        <v>0.20823299996298436</v>
      </c>
      <c r="AH86" s="269">
        <f t="shared" si="87"/>
        <v>0.2116473213758818</v>
      </c>
      <c r="AI86" s="269">
        <f t="shared" si="87"/>
        <v>0.22965386265660959</v>
      </c>
      <c r="AJ86" s="269">
        <f t="shared" si="87"/>
        <v>0.22564161767413082</v>
      </c>
      <c r="AK86" s="269">
        <f t="shared" si="87"/>
        <v>0.19608277233187266</v>
      </c>
      <c r="AL86" s="269">
        <f t="shared" si="87"/>
        <v>0.16670995460332136</v>
      </c>
      <c r="AM86" s="269">
        <f t="shared" si="87"/>
        <v>9.5499638214537233E-2</v>
      </c>
      <c r="AN86" s="281">
        <f t="shared" si="87"/>
        <v>5.4058974730163238E-2</v>
      </c>
      <c r="AO86" s="279">
        <f t="shared" ref="AO86:AP86" si="88">AO78/AO$8</f>
        <v>0.5346486634888129</v>
      </c>
      <c r="AP86" s="269">
        <f t="shared" si="88"/>
        <v>0.55390278602986642</v>
      </c>
      <c r="AQ86" s="280" t="str">
        <f t="shared" ref="AQ86" si="89">IFERROR(IF(AQ84=0,"-",(AQ84/AQ85)-1),"-")</f>
        <v>-</v>
      </c>
    </row>
    <row r="87" spans="2:46" outlineLevel="1" x14ac:dyDescent="0.25"/>
    <row r="88" spans="2:46" hidden="1" outlineLevel="1" x14ac:dyDescent="0.25">
      <c r="E88" s="188"/>
      <c r="F88" s="188"/>
      <c r="G88" s="188"/>
      <c r="H88" s="188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8"/>
      <c r="AB88" s="188"/>
      <c r="AC88" s="188"/>
      <c r="AD88" s="188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</row>
    <row r="89" spans="2:46" ht="18.75" hidden="1" outlineLevel="1" x14ac:dyDescent="0.3">
      <c r="D89" s="68" t="s">
        <v>204</v>
      </c>
      <c r="E89" s="174" t="s">
        <v>300</v>
      </c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"/>
      <c r="S89" s="1"/>
      <c r="T89" s="505" t="s">
        <v>307</v>
      </c>
      <c r="U89" s="505"/>
      <c r="V89" s="505"/>
      <c r="W89" s="505"/>
      <c r="X89" s="505"/>
      <c r="Y89" s="505"/>
      <c r="Z89" s="505"/>
      <c r="AA89" s="505"/>
      <c r="AB89" s="505"/>
      <c r="AC89" s="506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4"/>
      <c r="AP89" s="1"/>
      <c r="AT89" s="118" t="s">
        <v>184</v>
      </c>
    </row>
    <row r="90" spans="2:46" hidden="1" outlineLevel="1" x14ac:dyDescent="0.25">
      <c r="D90" s="19"/>
      <c r="E90" s="503" t="s">
        <v>341</v>
      </c>
      <c r="F90" s="503"/>
      <c r="G90" s="503"/>
      <c r="H90" s="503"/>
      <c r="I90" s="503"/>
      <c r="J90" s="503"/>
      <c r="K90" s="503"/>
      <c r="L90" s="503"/>
      <c r="M90" s="503"/>
      <c r="N90" s="503"/>
      <c r="O90" s="503"/>
      <c r="P90" s="503"/>
      <c r="Q90" s="503"/>
      <c r="R90" s="503"/>
      <c r="S90" s="503"/>
      <c r="T90" s="503"/>
      <c r="U90" s="503"/>
      <c r="V90" s="503"/>
      <c r="W90" s="503"/>
      <c r="X90" s="503"/>
      <c r="Y90" s="503"/>
      <c r="Z90" s="503"/>
      <c r="AA90" s="503"/>
      <c r="AB90" s="503"/>
      <c r="AC90" s="50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  <c r="AN90" s="194"/>
      <c r="AO90" s="500" t="s">
        <v>8</v>
      </c>
      <c r="AP90" s="501"/>
      <c r="AQ90" s="502"/>
    </row>
    <row r="91" spans="2:46" hidden="1" outlineLevel="1" x14ac:dyDescent="0.25">
      <c r="D91" s="22" t="s">
        <v>16</v>
      </c>
      <c r="E91" s="23">
        <f>E$4</f>
        <v>44562</v>
      </c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>
        <f t="shared" ref="R91:AC91" si="90">R$4</f>
        <v>44958</v>
      </c>
      <c r="S91" s="23">
        <f t="shared" si="90"/>
        <v>44986</v>
      </c>
      <c r="T91" s="23">
        <f t="shared" si="90"/>
        <v>45017</v>
      </c>
      <c r="U91" s="23">
        <f t="shared" si="90"/>
        <v>45047</v>
      </c>
      <c r="V91" s="23">
        <f t="shared" si="90"/>
        <v>45078</v>
      </c>
      <c r="W91" s="23">
        <f t="shared" si="90"/>
        <v>45108</v>
      </c>
      <c r="X91" s="23">
        <f t="shared" si="90"/>
        <v>45139</v>
      </c>
      <c r="Y91" s="23">
        <f t="shared" si="90"/>
        <v>45170</v>
      </c>
      <c r="Z91" s="23">
        <f t="shared" si="90"/>
        <v>45200</v>
      </c>
      <c r="AA91" s="23">
        <f t="shared" si="90"/>
        <v>45231</v>
      </c>
      <c r="AB91" s="23">
        <f t="shared" si="90"/>
        <v>45261</v>
      </c>
      <c r="AC91" s="24">
        <f t="shared" si="90"/>
        <v>45292</v>
      </c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8" t="s">
        <v>9</v>
      </c>
      <c r="AP91" s="29" t="s">
        <v>10</v>
      </c>
    </row>
    <row r="92" spans="2:46" ht="15.75" hidden="1" outlineLevel="1" x14ac:dyDescent="0.25">
      <c r="B92" t="str">
        <f>$D$2</f>
        <v>PC Annual Direct</v>
      </c>
      <c r="C92" t="s">
        <v>73</v>
      </c>
      <c r="D92" s="5" t="s">
        <v>308</v>
      </c>
      <c r="E92" s="6">
        <v>2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>
        <v>2242</v>
      </c>
      <c r="S92" s="6">
        <v>2478</v>
      </c>
      <c r="T92" s="6">
        <v>2183</v>
      </c>
      <c r="U92" s="6">
        <v>2872</v>
      </c>
      <c r="V92" s="6">
        <v>1836</v>
      </c>
      <c r="W92" s="6">
        <v>1791</v>
      </c>
      <c r="X92" s="6">
        <v>1999</v>
      </c>
      <c r="Y92" s="6">
        <v>2026</v>
      </c>
      <c r="Z92" s="6">
        <v>3086</v>
      </c>
      <c r="AA92" s="6">
        <v>3887</v>
      </c>
      <c r="AB92" s="6">
        <v>3367</v>
      </c>
      <c r="AC92" s="7">
        <v>2792</v>
      </c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8">
        <f t="shared" ref="AO92:AO97" si="91">AVERAGE(Z92:AC92)</f>
        <v>3283</v>
      </c>
      <c r="AP92" s="6">
        <f>AVERAGE(R92:AC92)</f>
        <v>2546.5833333333335</v>
      </c>
      <c r="AR92" t="s">
        <v>314</v>
      </c>
    </row>
    <row r="93" spans="2:46" ht="15.75" hidden="1" outlineLevel="1" x14ac:dyDescent="0.25">
      <c r="B93" t="str">
        <f>$D$89&amp;"_W VYRs"</f>
        <v>PC Annual Direct - Subscription_W VYRs</v>
      </c>
      <c r="C93" t="str">
        <f>$C92</f>
        <v>Boom Subscription</v>
      </c>
      <c r="D93" s="175" t="s">
        <v>4</v>
      </c>
      <c r="E93" s="176" t="e">
        <f>INDEX('Plan Figures'!$B$94:$AP$120,MATCH('Current - MGA and MPM'!E$4,'Plan Figures'!$B$94:$B$120,0),MATCH('Current - MGA and MPM'!$B93,'Plan Figures'!$B$1:$AP$1,0))</f>
        <v>#N/A</v>
      </c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 t="str">
        <f ca="1">INDEX('Plan Figures'!$B$94:$AP$120,MATCH('Current - MGA and MPM'!R$4,'Plan Figures'!$B$94:$B$120,0),MATCH('Current - MGA and MPM'!$B93,'Plan Figures'!$B$1:$AP$1,0))</f>
        <v>-</v>
      </c>
      <c r="S93" s="176" t="str">
        <f ca="1">INDEX('Plan Figures'!$B$94:$AP$120,MATCH('Current - MGA and MPM'!S$4,'Plan Figures'!$B$94:$B$120,0),MATCH('Current - MGA and MPM'!$B93,'Plan Figures'!$B$1:$AP$1,0))</f>
        <v>-</v>
      </c>
      <c r="T93" s="176" t="str">
        <f ca="1">INDEX('Plan Figures'!$B$94:$AP$120,MATCH('Current - MGA and MPM'!T$4,'Plan Figures'!$B$94:$B$120,0),MATCH('Current - MGA and MPM'!$B93,'Plan Figures'!$B$1:$AP$1,0))</f>
        <v>-</v>
      </c>
      <c r="U93" s="176" t="str">
        <f ca="1">INDEX('Plan Figures'!$B$94:$AP$120,MATCH('Current - MGA and MPM'!U$4,'Plan Figures'!$B$94:$B$120,0),MATCH('Current - MGA and MPM'!$B93,'Plan Figures'!$B$1:$AP$1,0))</f>
        <v>-</v>
      </c>
      <c r="V93" s="176" t="str">
        <f ca="1">INDEX('Plan Figures'!$B$94:$AP$120,MATCH('Current - MGA and MPM'!V$4,'Plan Figures'!$B$94:$B$120,0),MATCH('Current - MGA and MPM'!$B93,'Plan Figures'!$B$1:$AP$1,0))</f>
        <v>-</v>
      </c>
      <c r="W93" s="176" t="str">
        <f ca="1">INDEX('Plan Figures'!$B$94:$AP$120,MATCH('Current - MGA and MPM'!W$4,'Plan Figures'!$B$94:$B$120,0),MATCH('Current - MGA and MPM'!$B93,'Plan Figures'!$B$1:$AP$1,0))</f>
        <v>-</v>
      </c>
      <c r="X93" s="176" t="str">
        <f ca="1">INDEX('Plan Figures'!$B$94:$AP$120,MATCH('Current - MGA and MPM'!X$4,'Plan Figures'!$B$94:$B$120,0),MATCH('Current - MGA and MPM'!$B93,'Plan Figures'!$B$1:$AP$1,0))</f>
        <v>-</v>
      </c>
      <c r="Y93" s="176" t="str">
        <f ca="1">INDEX('Plan Figures'!$B$94:$AP$120,MATCH('Current - MGA and MPM'!Y$4,'Plan Figures'!$B$94:$B$120,0),MATCH('Current - MGA and MPM'!$B93,'Plan Figures'!$B$1:$AP$1,0))</f>
        <v>-</v>
      </c>
      <c r="Z93" s="176" t="str">
        <f ca="1">INDEX('Plan Figures'!$B$94:$AP$120,MATCH('Current - MGA and MPM'!Z$4,'Plan Figures'!$B$94:$B$120,0),MATCH('Current - MGA and MPM'!$B93,'Plan Figures'!$B$1:$AP$1,0))</f>
        <v>-</v>
      </c>
      <c r="AA93" s="176">
        <f ca="1">INDEX('Plan Figures'!$B$94:$AP$120,MATCH('Current - MGA and MPM'!AA$4,'Plan Figures'!$B$94:$B$120,0),MATCH('Current - MGA and MPM'!$B93,'Plan Figures'!$B$1:$AP$1,0))</f>
        <v>615.93307879093663</v>
      </c>
      <c r="AB93" s="176">
        <f ca="1">INDEX('Plan Figures'!$B$94:$AP$120,MATCH('Current - MGA and MPM'!AB$4,'Plan Figures'!$B$94:$B$120,0),MATCH('Current - MGA and MPM'!$B93,'Plan Figures'!$B$1:$AP$1,0))</f>
        <v>763.72800510730349</v>
      </c>
      <c r="AC93" s="177">
        <f ca="1">INDEX('Plan Figures'!$B$94:$AP$120,MATCH('Current - MGA and MPM'!AC$4,'Plan Figures'!$B$94:$B$120,0),MATCH('Current - MGA and MPM'!$B93,'Plan Figures'!$B$1:$AP$1,0))</f>
        <v>833.27735263273371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8">
        <f t="shared" ca="1" si="91"/>
        <v>737.64614551032457</v>
      </c>
      <c r="AP93" s="176">
        <f t="shared" ref="AP93:AP97" ca="1" si="92">AVERAGE(R93:AC93)</f>
        <v>737.64614551032457</v>
      </c>
    </row>
    <row r="94" spans="2:46" ht="15.75" hidden="1" outlineLevel="1" x14ac:dyDescent="0.25">
      <c r="B94" t="str">
        <f t="shared" ref="B94:B103" si="93">$D$2</f>
        <v>PC Annual Direct</v>
      </c>
      <c r="C94" t="str">
        <f t="shared" ref="C94:C102" si="94">$C93</f>
        <v>Boom Subscription</v>
      </c>
      <c r="D94" s="179" t="s">
        <v>0</v>
      </c>
      <c r="E94" s="180" t="e">
        <f t="shared" ref="E94:AC94" si="95">E92-E93</f>
        <v>#N/A</v>
      </c>
      <c r="F94" s="180"/>
      <c r="G94" s="180"/>
      <c r="H94" s="180"/>
      <c r="I94" s="180"/>
      <c r="J94" s="180"/>
      <c r="K94" s="180"/>
      <c r="L94" s="180"/>
      <c r="M94" s="180"/>
      <c r="N94" s="180"/>
      <c r="O94" s="180"/>
      <c r="P94" s="180"/>
      <c r="Q94" s="180"/>
      <c r="R94" s="180" t="e">
        <f t="shared" ca="1" si="95"/>
        <v>#VALUE!</v>
      </c>
      <c r="S94" s="180" t="e">
        <f t="shared" ca="1" si="95"/>
        <v>#VALUE!</v>
      </c>
      <c r="T94" s="180" t="e">
        <f t="shared" ca="1" si="95"/>
        <v>#VALUE!</v>
      </c>
      <c r="U94" s="180" t="e">
        <f t="shared" ca="1" si="95"/>
        <v>#VALUE!</v>
      </c>
      <c r="V94" s="180" t="e">
        <f t="shared" ca="1" si="95"/>
        <v>#VALUE!</v>
      </c>
      <c r="W94" s="180" t="e">
        <f t="shared" ca="1" si="95"/>
        <v>#VALUE!</v>
      </c>
      <c r="X94" s="180" t="e">
        <f t="shared" ca="1" si="95"/>
        <v>#VALUE!</v>
      </c>
      <c r="Y94" s="180" t="e">
        <f t="shared" ca="1" si="95"/>
        <v>#VALUE!</v>
      </c>
      <c r="Z94" s="180" t="e">
        <f t="shared" ca="1" si="95"/>
        <v>#VALUE!</v>
      </c>
      <c r="AA94" s="180">
        <f t="shared" ca="1" si="95"/>
        <v>3271.0669212090634</v>
      </c>
      <c r="AB94" s="180">
        <f t="shared" ca="1" si="95"/>
        <v>2603.2719948926965</v>
      </c>
      <c r="AC94" s="181">
        <f t="shared" ca="1" si="95"/>
        <v>1958.7226473672663</v>
      </c>
      <c r="AD94" s="180"/>
      <c r="AE94" s="180"/>
      <c r="AF94" s="180"/>
      <c r="AG94" s="180"/>
      <c r="AH94" s="180"/>
      <c r="AI94" s="180"/>
      <c r="AJ94" s="180"/>
      <c r="AK94" s="180"/>
      <c r="AL94" s="180"/>
      <c r="AM94" s="180"/>
      <c r="AN94" s="180"/>
      <c r="AO94" s="182" t="e">
        <f t="shared" ca="1" si="91"/>
        <v>#VALUE!</v>
      </c>
      <c r="AP94" s="180" t="e">
        <f t="shared" ca="1" si="92"/>
        <v>#VALUE!</v>
      </c>
    </row>
    <row r="95" spans="2:46" ht="15.75" hidden="1" outlineLevel="1" x14ac:dyDescent="0.25">
      <c r="B95" t="str">
        <f t="shared" si="93"/>
        <v>PC Annual Direct</v>
      </c>
      <c r="C95" t="str">
        <f t="shared" si="94"/>
        <v>Boom Subscription</v>
      </c>
      <c r="D95" s="9" t="s">
        <v>309</v>
      </c>
      <c r="E95" s="15">
        <v>0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>
        <v>5065071.1928567188</v>
      </c>
      <c r="S95" s="15">
        <v>2602918.5557175679</v>
      </c>
      <c r="T95" s="15">
        <v>3058793.5714276335</v>
      </c>
      <c r="U95" s="15">
        <v>3629516.5942827086</v>
      </c>
      <c r="V95" s="15">
        <v>2884434.6771383779</v>
      </c>
      <c r="W95" s="15">
        <v>2912157.9642843842</v>
      </c>
      <c r="X95" s="15">
        <v>3523662.750002387</v>
      </c>
      <c r="Y95" s="15">
        <v>4105968.3728598249</v>
      </c>
      <c r="Z95" s="15">
        <v>5391594.0471423389</v>
      </c>
      <c r="AA95" s="15">
        <v>7273466.7214334616</v>
      </c>
      <c r="AB95" s="15">
        <v>5434775.6699983915</v>
      </c>
      <c r="AC95" s="16">
        <v>639832.0371454074</v>
      </c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8">
        <f t="shared" si="91"/>
        <v>4684917.1189298993</v>
      </c>
      <c r="AP95" s="6">
        <f t="shared" si="92"/>
        <v>3876849.3461907669</v>
      </c>
    </row>
    <row r="96" spans="2:46" ht="15.75" hidden="1" outlineLevel="1" x14ac:dyDescent="0.25">
      <c r="B96" t="str">
        <f>$D$89&amp;"_NWP"</f>
        <v>PC Annual Direct - Subscription_NWP</v>
      </c>
      <c r="C96" t="str">
        <f t="shared" si="94"/>
        <v>Boom Subscription</v>
      </c>
      <c r="D96" s="175" t="s">
        <v>6</v>
      </c>
      <c r="E96" s="176" t="e">
        <f>INDEX('Plan Figures'!$B$94:$AP$120,MATCH('Current - MGA and MPM'!E$4,'Plan Figures'!$B$94:$B$120,0),MATCH('Current - MGA and MPM'!$B96,'Plan Figures'!$B$1:$AP$1,0))</f>
        <v>#N/A</v>
      </c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 t="str">
        <f ca="1">INDEX('Plan Figures'!$B$94:$AP$120,MATCH('Current - MGA and MPM'!R$4,'Plan Figures'!$B$94:$B$120,0),MATCH('Current - MGA and MPM'!$B96,'Plan Figures'!$B$1:$AP$1,0))</f>
        <v>-</v>
      </c>
      <c r="S96" s="176" t="str">
        <f ca="1">INDEX('Plan Figures'!$B$94:$AP$120,MATCH('Current - MGA and MPM'!S$4,'Plan Figures'!$B$94:$B$120,0),MATCH('Current - MGA and MPM'!$B96,'Plan Figures'!$B$1:$AP$1,0))</f>
        <v>-</v>
      </c>
      <c r="T96" s="176" t="str">
        <f ca="1">INDEX('Plan Figures'!$B$94:$AP$120,MATCH('Current - MGA and MPM'!T$4,'Plan Figures'!$B$94:$B$120,0),MATCH('Current - MGA and MPM'!$B96,'Plan Figures'!$B$1:$AP$1,0))</f>
        <v>-</v>
      </c>
      <c r="U96" s="176" t="str">
        <f ca="1">INDEX('Plan Figures'!$B$94:$AP$120,MATCH('Current - MGA and MPM'!U$4,'Plan Figures'!$B$94:$B$120,0),MATCH('Current - MGA and MPM'!$B96,'Plan Figures'!$B$1:$AP$1,0))</f>
        <v>-</v>
      </c>
      <c r="V96" s="176" t="str">
        <f ca="1">INDEX('Plan Figures'!$B$94:$AP$120,MATCH('Current - MGA and MPM'!V$4,'Plan Figures'!$B$94:$B$120,0),MATCH('Current - MGA and MPM'!$B96,'Plan Figures'!$B$1:$AP$1,0))</f>
        <v>-</v>
      </c>
      <c r="W96" s="176" t="str">
        <f ca="1">INDEX('Plan Figures'!$B$94:$AP$120,MATCH('Current - MGA and MPM'!W$4,'Plan Figures'!$B$94:$B$120,0),MATCH('Current - MGA and MPM'!$B96,'Plan Figures'!$B$1:$AP$1,0))</f>
        <v>-</v>
      </c>
      <c r="X96" s="176" t="str">
        <f ca="1">INDEX('Plan Figures'!$B$94:$AP$120,MATCH('Current - MGA and MPM'!X$4,'Plan Figures'!$B$94:$B$120,0),MATCH('Current - MGA and MPM'!$B96,'Plan Figures'!$B$1:$AP$1,0))</f>
        <v>-</v>
      </c>
      <c r="Y96" s="176" t="str">
        <f ca="1">INDEX('Plan Figures'!$B$94:$AP$120,MATCH('Current - MGA and MPM'!Y$4,'Plan Figures'!$B$94:$B$120,0),MATCH('Current - MGA and MPM'!$B96,'Plan Figures'!$B$1:$AP$1,0))</f>
        <v>-</v>
      </c>
      <c r="Z96" s="176" t="str">
        <f ca="1">INDEX('Plan Figures'!$B$94:$AP$120,MATCH('Current - MGA and MPM'!Z$4,'Plan Figures'!$B$94:$B$120,0),MATCH('Current - MGA and MPM'!$B96,'Plan Figures'!$B$1:$AP$1,0))</f>
        <v>-</v>
      </c>
      <c r="AA96" s="176">
        <f ca="1">INDEX('Plan Figures'!$B$94:$AP$120,MATCH('Current - MGA and MPM'!AA$4,'Plan Figures'!$B$94:$B$120,0),MATCH('Current - MGA and MPM'!$B96,'Plan Figures'!$B$1:$AP$1,0))</f>
        <v>1811220.2312349698</v>
      </c>
      <c r="AB96" s="176">
        <f ca="1">INDEX('Plan Figures'!$B$94:$AP$120,MATCH('Current - MGA and MPM'!AB$4,'Plan Figures'!$B$94:$B$120,0),MATCH('Current - MGA and MPM'!$B96,'Plan Figures'!$B$1:$AP$1,0))</f>
        <v>1916096.3475731572</v>
      </c>
      <c r="AC96" s="177">
        <f ca="1">INDEX('Plan Figures'!$B$94:$AP$120,MATCH('Current - MGA and MPM'!AC$4,'Plan Figures'!$B$94:$B$120,0),MATCH('Current - MGA and MPM'!$B96,'Plan Figures'!$B$1:$AP$1,0))</f>
        <v>2026245.4879278806</v>
      </c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8">
        <f t="shared" ca="1" si="91"/>
        <v>1917854.0222453356</v>
      </c>
      <c r="AP96" s="176">
        <f t="shared" ca="1" si="92"/>
        <v>1917854.0222453356</v>
      </c>
    </row>
    <row r="97" spans="2:44" ht="15.75" hidden="1" outlineLevel="1" x14ac:dyDescent="0.25">
      <c r="B97" t="str">
        <f t="shared" si="93"/>
        <v>PC Annual Direct</v>
      </c>
      <c r="C97" t="str">
        <f t="shared" si="94"/>
        <v>Boom Subscription</v>
      </c>
      <c r="D97" s="179" t="s">
        <v>0</v>
      </c>
      <c r="E97" s="180" t="e">
        <f t="shared" ref="E97:AC97" si="96">E95-E96</f>
        <v>#N/A</v>
      </c>
      <c r="F97" s="180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 t="e">
        <f t="shared" ca="1" si="96"/>
        <v>#VALUE!</v>
      </c>
      <c r="S97" s="180" t="e">
        <f t="shared" ca="1" si="96"/>
        <v>#VALUE!</v>
      </c>
      <c r="T97" s="180" t="e">
        <f t="shared" ca="1" si="96"/>
        <v>#VALUE!</v>
      </c>
      <c r="U97" s="180" t="e">
        <f t="shared" ca="1" si="96"/>
        <v>#VALUE!</v>
      </c>
      <c r="V97" s="180" t="e">
        <f t="shared" ca="1" si="96"/>
        <v>#VALUE!</v>
      </c>
      <c r="W97" s="180" t="e">
        <f t="shared" ca="1" si="96"/>
        <v>#VALUE!</v>
      </c>
      <c r="X97" s="180" t="e">
        <f t="shared" ca="1" si="96"/>
        <v>#VALUE!</v>
      </c>
      <c r="Y97" s="180" t="e">
        <f t="shared" ca="1" si="96"/>
        <v>#VALUE!</v>
      </c>
      <c r="Z97" s="180" t="e">
        <f t="shared" ca="1" si="96"/>
        <v>#VALUE!</v>
      </c>
      <c r="AA97" s="180">
        <f t="shared" ca="1" si="96"/>
        <v>5462246.4901984921</v>
      </c>
      <c r="AB97" s="180">
        <f t="shared" ca="1" si="96"/>
        <v>3518679.3224252341</v>
      </c>
      <c r="AC97" s="181">
        <f t="shared" ca="1" si="96"/>
        <v>-1386413.4507824732</v>
      </c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2" t="e">
        <f t="shared" ca="1" si="91"/>
        <v>#VALUE!</v>
      </c>
      <c r="AP97" s="180" t="e">
        <f t="shared" ca="1" si="92"/>
        <v>#VALUE!</v>
      </c>
    </row>
    <row r="98" spans="2:44" ht="15.75" hidden="1" outlineLevel="1" x14ac:dyDescent="0.25">
      <c r="B98" t="str">
        <f t="shared" si="93"/>
        <v>PC Annual Direct</v>
      </c>
      <c r="C98" t="str">
        <f t="shared" si="94"/>
        <v>Boom Subscription</v>
      </c>
      <c r="D98" s="9" t="s">
        <v>310</v>
      </c>
      <c r="E98" s="15">
        <f>IFERROR(E95/E92,0)</f>
        <v>0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>
        <f t="shared" ref="R98:AP99" si="97">IFERROR(R95/R92,0)</f>
        <v>2259.1753759396606</v>
      </c>
      <c r="S98" s="15">
        <f t="shared" si="97"/>
        <v>1050.4110394340469</v>
      </c>
      <c r="T98" s="15">
        <f t="shared" si="97"/>
        <v>1401.1880766961217</v>
      </c>
      <c r="U98" s="15">
        <f t="shared" si="97"/>
        <v>1263.7592598477397</v>
      </c>
      <c r="V98" s="15">
        <f t="shared" si="97"/>
        <v>1571.0428524718834</v>
      </c>
      <c r="W98" s="15">
        <f t="shared" si="97"/>
        <v>1625.9955132799464</v>
      </c>
      <c r="X98" s="15">
        <f t="shared" si="97"/>
        <v>1762.7127313668768</v>
      </c>
      <c r="Y98" s="15">
        <f t="shared" si="97"/>
        <v>2026.6378938103776</v>
      </c>
      <c r="Z98" s="15">
        <f t="shared" si="97"/>
        <v>1747.114078788833</v>
      </c>
      <c r="AA98" s="15">
        <f t="shared" si="97"/>
        <v>1871.2288966898539</v>
      </c>
      <c r="AB98" s="15">
        <f t="shared" si="97"/>
        <v>1614.1299881195105</v>
      </c>
      <c r="AC98" s="16">
        <f t="shared" si="97"/>
        <v>229.16620241597687</v>
      </c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8">
        <f t="shared" si="97"/>
        <v>1427.023185784313</v>
      </c>
      <c r="AP98" s="6">
        <f t="shared" si="97"/>
        <v>1522.3728575637031</v>
      </c>
    </row>
    <row r="99" spans="2:44" ht="15.75" hidden="1" outlineLevel="1" x14ac:dyDescent="0.25">
      <c r="B99" t="str">
        <f t="shared" si="93"/>
        <v>PC Annual Direct</v>
      </c>
      <c r="C99" t="str">
        <f t="shared" si="94"/>
        <v>Boom Subscription</v>
      </c>
      <c r="D99" s="175" t="s">
        <v>13</v>
      </c>
      <c r="E99" s="176">
        <f>IFERROR(E96/E93,0)</f>
        <v>0</v>
      </c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>
        <f t="shared" ca="1" si="97"/>
        <v>0</v>
      </c>
      <c r="S99" s="176">
        <f t="shared" ca="1" si="97"/>
        <v>0</v>
      </c>
      <c r="T99" s="176">
        <f t="shared" ca="1" si="97"/>
        <v>0</v>
      </c>
      <c r="U99" s="176">
        <f t="shared" ca="1" si="97"/>
        <v>0</v>
      </c>
      <c r="V99" s="176">
        <f t="shared" ca="1" si="97"/>
        <v>0</v>
      </c>
      <c r="W99" s="176">
        <f t="shared" ca="1" si="97"/>
        <v>0</v>
      </c>
      <c r="X99" s="176">
        <f t="shared" ca="1" si="97"/>
        <v>0</v>
      </c>
      <c r="Y99" s="176">
        <f t="shared" ca="1" si="97"/>
        <v>0</v>
      </c>
      <c r="Z99" s="176">
        <f t="shared" ca="1" si="97"/>
        <v>0</v>
      </c>
      <c r="AA99" s="176">
        <f t="shared" ca="1" si="97"/>
        <v>2940.6120463449633</v>
      </c>
      <c r="AB99" s="176">
        <f t="shared" ca="1" si="97"/>
        <v>2508.8727069841393</v>
      </c>
      <c r="AC99" s="177">
        <f t="shared" ca="1" si="97"/>
        <v>2431.6579366113488</v>
      </c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8">
        <f t="shared" ca="1" si="97"/>
        <v>2599.9648122861263</v>
      </c>
      <c r="AP99" s="176">
        <f t="shared" ca="1" si="97"/>
        <v>2599.9648122861263</v>
      </c>
      <c r="AQ99" s="3"/>
      <c r="AR99" s="3"/>
    </row>
    <row r="100" spans="2:44" ht="15.75" hidden="1" outlineLevel="1" x14ac:dyDescent="0.25">
      <c r="B100" t="str">
        <f t="shared" si="93"/>
        <v>PC Annual Direct</v>
      </c>
      <c r="C100" t="str">
        <f t="shared" si="94"/>
        <v>Boom Subscription</v>
      </c>
      <c r="D100" s="179" t="s">
        <v>0</v>
      </c>
      <c r="E100" s="180">
        <f t="shared" ref="E100:AP100" si="98">E98-E99</f>
        <v>0</v>
      </c>
      <c r="F100" s="180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>
        <f t="shared" ca="1" si="98"/>
        <v>2259.1753759396606</v>
      </c>
      <c r="S100" s="180">
        <f t="shared" ca="1" si="98"/>
        <v>1050.4110394340469</v>
      </c>
      <c r="T100" s="180">
        <f t="shared" ca="1" si="98"/>
        <v>1401.1880766961217</v>
      </c>
      <c r="U100" s="180">
        <f t="shared" ca="1" si="98"/>
        <v>1263.7592598477397</v>
      </c>
      <c r="V100" s="180">
        <f t="shared" ca="1" si="98"/>
        <v>1571.0428524718834</v>
      </c>
      <c r="W100" s="180">
        <f t="shared" ca="1" si="98"/>
        <v>1625.9955132799464</v>
      </c>
      <c r="X100" s="180">
        <f t="shared" ca="1" si="98"/>
        <v>1762.7127313668768</v>
      </c>
      <c r="Y100" s="180">
        <f t="shared" ca="1" si="98"/>
        <v>2026.6378938103776</v>
      </c>
      <c r="Z100" s="180">
        <f t="shared" ca="1" si="98"/>
        <v>1747.114078788833</v>
      </c>
      <c r="AA100" s="180">
        <f t="shared" ca="1" si="98"/>
        <v>-1069.3831496551095</v>
      </c>
      <c r="AB100" s="180">
        <f t="shared" ca="1" si="98"/>
        <v>-894.74271886462884</v>
      </c>
      <c r="AC100" s="181">
        <f t="shared" ca="1" si="98"/>
        <v>-2202.4917341953719</v>
      </c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2">
        <f t="shared" ca="1" si="98"/>
        <v>-1172.9416265018133</v>
      </c>
      <c r="AP100" s="180">
        <f t="shared" ca="1" si="98"/>
        <v>-1077.5919547224232</v>
      </c>
    </row>
    <row r="101" spans="2:44" hidden="1" outlineLevel="1" x14ac:dyDescent="0.25">
      <c r="B101" t="str">
        <f t="shared" si="93"/>
        <v>PC Annual Direct</v>
      </c>
      <c r="C101" t="str">
        <f t="shared" si="94"/>
        <v>Boom Subscription</v>
      </c>
      <c r="D101" s="35" t="s">
        <v>17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7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8"/>
      <c r="AP101" s="39"/>
    </row>
    <row r="102" spans="2:44" ht="15.75" hidden="1" outlineLevel="1" x14ac:dyDescent="0.25">
      <c r="B102" t="str">
        <f t="shared" si="93"/>
        <v>PC Annual Direct</v>
      </c>
      <c r="C102" t="str">
        <f t="shared" si="94"/>
        <v>Boom Subscription</v>
      </c>
      <c r="D102" s="5" t="s">
        <v>311</v>
      </c>
      <c r="E102" s="6">
        <v>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>
        <v>2134583.1964307697</v>
      </c>
      <c r="S102" s="6">
        <v>2096692.0178588463</v>
      </c>
      <c r="T102" s="6">
        <v>1957264.2857113734</v>
      </c>
      <c r="U102" s="6">
        <v>2579980.8392826831</v>
      </c>
      <c r="V102" s="6">
        <v>2283188.6785669695</v>
      </c>
      <c r="W102" s="6">
        <v>2643649.982142264</v>
      </c>
      <c r="X102" s="6">
        <v>3053209.8750027283</v>
      </c>
      <c r="Y102" s="6">
        <v>3182200.4464298943</v>
      </c>
      <c r="Z102" s="6">
        <v>4370840.3035705909</v>
      </c>
      <c r="AA102" s="6">
        <v>5225971.6607123222</v>
      </c>
      <c r="AB102" s="6">
        <v>4614303.3749993565</v>
      </c>
      <c r="AC102" s="6">
        <v>3740102.6785750035</v>
      </c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8">
        <f t="shared" ref="AO102" si="99">AVERAGE(Z102:AC102)</f>
        <v>4487804.504464319</v>
      </c>
      <c r="AP102" s="6">
        <f>AVERAGE(R102:AC102)</f>
        <v>3156832.2782735671</v>
      </c>
    </row>
    <row r="103" spans="2:44" ht="15.75" hidden="1" outlineLevel="1" x14ac:dyDescent="0.25">
      <c r="B103" t="str">
        <f t="shared" si="93"/>
        <v>PC Annual Direct</v>
      </c>
      <c r="C103" t="e">
        <f>#REF!</f>
        <v>#REF!</v>
      </c>
      <c r="D103" s="45" t="s">
        <v>21</v>
      </c>
      <c r="E103" s="41">
        <f>E95/E$8</f>
        <v>0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>
        <f t="shared" ref="R103:AP103" si="100">R95/R$8</f>
        <v>2.2946809205306251</v>
      </c>
      <c r="S103" s="41">
        <f t="shared" si="100"/>
        <v>1.1004262861170548</v>
      </c>
      <c r="T103" s="41">
        <f t="shared" si="100"/>
        <v>1.4457225706365664</v>
      </c>
      <c r="U103" s="41">
        <f t="shared" si="100"/>
        <v>1.4873230316364858</v>
      </c>
      <c r="V103" s="41">
        <f t="shared" si="100"/>
        <v>1.2742390951376228</v>
      </c>
      <c r="W103" s="41">
        <f t="shared" si="100"/>
        <v>1.2221748632657503</v>
      </c>
      <c r="X103" s="41">
        <f t="shared" si="100"/>
        <v>1.3127889692802734</v>
      </c>
      <c r="Y103" s="41">
        <f t="shared" si="100"/>
        <v>1.4910740732486338</v>
      </c>
      <c r="Z103" s="41">
        <f t="shared" si="100"/>
        <v>1.6797770731044799</v>
      </c>
      <c r="AA103" s="41">
        <f t="shared" si="100"/>
        <v>1.8827258803588458</v>
      </c>
      <c r="AB103" s="41">
        <f t="shared" si="100"/>
        <v>1.4323547980872178</v>
      </c>
      <c r="AC103" s="41">
        <f t="shared" si="100"/>
        <v>0.16297266717790004</v>
      </c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4">
        <f t="shared" si="100"/>
        <v>1.2667694730250392</v>
      </c>
      <c r="AP103" s="41">
        <f t="shared" si="100"/>
        <v>1.3680488845259262</v>
      </c>
    </row>
    <row r="104" spans="2:44" hidden="1" outlineLevel="1" x14ac:dyDescent="0.25"/>
  </sheetData>
  <mergeCells count="8">
    <mergeCell ref="E90:AC90"/>
    <mergeCell ref="AO90:AQ90"/>
    <mergeCell ref="AO3:AQ3"/>
    <mergeCell ref="AO22:AQ22"/>
    <mergeCell ref="AO39:AQ39"/>
    <mergeCell ref="AO56:AQ56"/>
    <mergeCell ref="AO73:AQ73"/>
    <mergeCell ref="T89:AC89"/>
  </mergeCells>
  <conditionalFormatting sqref="E16:AN16 E70:AP71">
    <cfRule type="cellIs" dxfId="291" priority="21" operator="lessThan">
      <formula>0</formula>
    </cfRule>
  </conditionalFormatting>
  <conditionalFormatting sqref="E18:AN18">
    <cfRule type="cellIs" dxfId="290" priority="20" operator="lessThan">
      <formula>0</formula>
    </cfRule>
  </conditionalFormatting>
  <conditionalFormatting sqref="E32:AN32">
    <cfRule type="cellIs" dxfId="289" priority="19" operator="lessThan">
      <formula>0</formula>
    </cfRule>
  </conditionalFormatting>
  <conditionalFormatting sqref="E49:AN49">
    <cfRule type="cellIs" dxfId="288" priority="8" operator="lessThan">
      <formula>0</formula>
    </cfRule>
  </conditionalFormatting>
  <conditionalFormatting sqref="E66:AN66">
    <cfRule type="cellIs" dxfId="287" priority="4" operator="lessThan">
      <formula>0</formula>
    </cfRule>
  </conditionalFormatting>
  <conditionalFormatting sqref="E83:AN83">
    <cfRule type="cellIs" dxfId="286" priority="12" operator="lessThan">
      <formula>0</formula>
    </cfRule>
  </conditionalFormatting>
  <conditionalFormatting sqref="E94:AN95 E97:AN100">
    <cfRule type="cellIs" dxfId="285" priority="25" operator="lessThan">
      <formula>0</formula>
    </cfRule>
  </conditionalFormatting>
  <conditionalFormatting sqref="E102:AN102">
    <cfRule type="cellIs" dxfId="284" priority="23" operator="lessThan">
      <formula>0</formula>
    </cfRule>
  </conditionalFormatting>
  <conditionalFormatting sqref="E36:AP37 E53:AP54">
    <cfRule type="cellIs" dxfId="283" priority="22" operator="lessThan">
      <formula>0</formula>
    </cfRule>
  </conditionalFormatting>
  <conditionalFormatting sqref="E7:AQ7">
    <cfRule type="cellIs" dxfId="282" priority="18" operator="lessThan">
      <formula>0</formula>
    </cfRule>
  </conditionalFormatting>
  <conditionalFormatting sqref="E10:AQ10 E13:AQ13">
    <cfRule type="cellIs" dxfId="281" priority="17" operator="lessThan">
      <formula>0</formula>
    </cfRule>
  </conditionalFormatting>
  <conditionalFormatting sqref="E26:AQ26">
    <cfRule type="cellIs" dxfId="280" priority="15" operator="lessThan">
      <formula>0</formula>
    </cfRule>
  </conditionalFormatting>
  <conditionalFormatting sqref="E29:AQ29">
    <cfRule type="cellIs" dxfId="279" priority="14" operator="lessThan">
      <formula>0</formula>
    </cfRule>
  </conditionalFormatting>
  <conditionalFormatting sqref="E43:AQ43">
    <cfRule type="cellIs" dxfId="278" priority="7" operator="lessThan">
      <formula>0</formula>
    </cfRule>
  </conditionalFormatting>
  <conditionalFormatting sqref="E46:AQ46">
    <cfRule type="cellIs" dxfId="277" priority="6" operator="lessThan">
      <formula>0</formula>
    </cfRule>
  </conditionalFormatting>
  <conditionalFormatting sqref="E60:AQ60">
    <cfRule type="cellIs" dxfId="276" priority="3" operator="lessThan">
      <formula>0</formula>
    </cfRule>
  </conditionalFormatting>
  <conditionalFormatting sqref="E63:AQ63">
    <cfRule type="cellIs" dxfId="275" priority="2" operator="lessThan">
      <formula>0</formula>
    </cfRule>
  </conditionalFormatting>
  <conditionalFormatting sqref="E77:AQ77">
    <cfRule type="cellIs" dxfId="274" priority="11" operator="lessThan">
      <formula>0</formula>
    </cfRule>
  </conditionalFormatting>
  <conditionalFormatting sqref="E80:AQ80">
    <cfRule type="cellIs" dxfId="273" priority="10" operator="lessThan">
      <formula>0</formula>
    </cfRule>
  </conditionalFormatting>
  <conditionalFormatting sqref="AO94:AP94 AO97:AP97 AO100:AP101">
    <cfRule type="cellIs" dxfId="272" priority="24" operator="lessThan">
      <formula>0</formula>
    </cfRule>
  </conditionalFormatting>
  <conditionalFormatting sqref="AO16:AQ17">
    <cfRule type="cellIs" dxfId="271" priority="16" operator="lessThan">
      <formula>0</formula>
    </cfRule>
  </conditionalFormatting>
  <conditionalFormatting sqref="AO32:AQ33">
    <cfRule type="cellIs" dxfId="270" priority="13" operator="lessThan">
      <formula>0</formula>
    </cfRule>
  </conditionalFormatting>
  <conditionalFormatting sqref="AO49:AQ50">
    <cfRule type="cellIs" dxfId="269" priority="5" operator="lessThan">
      <formula>0</formula>
    </cfRule>
  </conditionalFormatting>
  <conditionalFormatting sqref="AO66:AQ67">
    <cfRule type="cellIs" dxfId="268" priority="1" operator="lessThan">
      <formula>0</formula>
    </cfRule>
  </conditionalFormatting>
  <conditionalFormatting sqref="AO83:AQ84">
    <cfRule type="cellIs" dxfId="267" priority="9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D3DC5-4200-45CC-B593-9DC79C380AF0}">
  <sheetPr>
    <pageSetUpPr autoPageBreaks="0"/>
  </sheetPr>
  <dimension ref="B1:AT104"/>
  <sheetViews>
    <sheetView showGridLines="0" zoomScale="70" zoomScaleNormal="70" workbookViewId="0">
      <pane xSplit="4" topLeftCell="E1" activePane="topRight" state="frozen"/>
      <selection activeCell="E44" sqref="E44"/>
      <selection pane="topRight" activeCell="E44" sqref="E44"/>
    </sheetView>
  </sheetViews>
  <sheetFormatPr defaultRowHeight="15" outlineLevelRow="1" outlineLevelCol="2" x14ac:dyDescent="0.25"/>
  <cols>
    <col min="2" max="2" width="36.5703125" customWidth="1"/>
    <col min="3" max="3" width="24.28515625" customWidth="1"/>
    <col min="4" max="4" width="55.28515625" customWidth="1"/>
    <col min="5" max="16" width="16.7109375" customWidth="1" outlineLevel="2"/>
    <col min="17" max="17" width="16.7109375" customWidth="1" outlineLevel="1"/>
    <col min="18" max="26" width="13.140625" customWidth="1" outlineLevel="1"/>
    <col min="27" max="27" width="13.28515625" customWidth="1" outlineLevel="1"/>
    <col min="28" max="28" width="13.140625" customWidth="1" outlineLevel="1"/>
    <col min="29" max="29" width="13.42578125" bestFit="1" customWidth="1"/>
    <col min="30" max="40" width="13.42578125" customWidth="1"/>
    <col min="41" max="42" width="16" customWidth="1"/>
    <col min="43" max="43" width="14.7109375" customWidth="1"/>
    <col min="46" max="46" width="17.140625" bestFit="1" customWidth="1"/>
  </cols>
  <sheetData>
    <row r="1" spans="2:44" ht="15.75" thickBot="1" x14ac:dyDescent="0.3">
      <c r="D1" s="47" t="s">
        <v>319</v>
      </c>
    </row>
    <row r="2" spans="2:44" ht="18.75" x14ac:dyDescent="0.25">
      <c r="D2" s="257" t="s">
        <v>1</v>
      </c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33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33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63"/>
      <c r="AO2" s="202"/>
      <c r="AP2" s="202"/>
      <c r="AQ2" s="233"/>
    </row>
    <row r="3" spans="2:44" x14ac:dyDescent="0.25">
      <c r="D3" s="204"/>
      <c r="E3" s="303" t="s">
        <v>341</v>
      </c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17"/>
      <c r="Q3" s="320" t="s">
        <v>341</v>
      </c>
      <c r="R3" s="303"/>
      <c r="S3" s="303"/>
      <c r="T3" s="303"/>
      <c r="U3" s="303"/>
      <c r="V3" s="303"/>
      <c r="W3" s="303"/>
      <c r="X3" s="303"/>
      <c r="Y3" s="303"/>
      <c r="Z3" s="303"/>
      <c r="AA3" s="303"/>
      <c r="AB3" s="317"/>
      <c r="AC3" s="303" t="s">
        <v>341</v>
      </c>
      <c r="AD3" s="303"/>
      <c r="AE3" s="303"/>
      <c r="AF3" s="303"/>
      <c r="AG3" s="303"/>
      <c r="AH3" s="303"/>
      <c r="AI3" s="303"/>
      <c r="AJ3" s="303"/>
      <c r="AK3" s="303"/>
      <c r="AL3" s="303"/>
      <c r="AM3" s="303"/>
      <c r="AN3" s="317"/>
      <c r="AO3" s="510" t="s">
        <v>8</v>
      </c>
      <c r="AP3" s="511"/>
      <c r="AQ3" s="512"/>
    </row>
    <row r="4" spans="2:44" x14ac:dyDescent="0.25">
      <c r="D4" s="321" t="s">
        <v>16</v>
      </c>
      <c r="E4" s="318">
        <f t="shared" ref="E4:AM4" si="0">EDATE(F4,-1)</f>
        <v>44562</v>
      </c>
      <c r="F4" s="318">
        <f t="shared" si="0"/>
        <v>44593</v>
      </c>
      <c r="G4" s="318">
        <f t="shared" si="0"/>
        <v>44621</v>
      </c>
      <c r="H4" s="318">
        <f t="shared" si="0"/>
        <v>44652</v>
      </c>
      <c r="I4" s="318">
        <f t="shared" si="0"/>
        <v>44682</v>
      </c>
      <c r="J4" s="318">
        <f t="shared" si="0"/>
        <v>44713</v>
      </c>
      <c r="K4" s="318">
        <f t="shared" si="0"/>
        <v>44743</v>
      </c>
      <c r="L4" s="318">
        <f t="shared" si="0"/>
        <v>44774</v>
      </c>
      <c r="M4" s="318">
        <f t="shared" si="0"/>
        <v>44805</v>
      </c>
      <c r="N4" s="318">
        <f t="shared" si="0"/>
        <v>44835</v>
      </c>
      <c r="O4" s="318">
        <f t="shared" si="0"/>
        <v>44866</v>
      </c>
      <c r="P4" s="319">
        <f t="shared" si="0"/>
        <v>44896</v>
      </c>
      <c r="Q4" s="318">
        <f t="shared" si="0"/>
        <v>44927</v>
      </c>
      <c r="R4" s="318">
        <f t="shared" si="0"/>
        <v>44958</v>
      </c>
      <c r="S4" s="318">
        <f t="shared" si="0"/>
        <v>44986</v>
      </c>
      <c r="T4" s="318">
        <f t="shared" si="0"/>
        <v>45017</v>
      </c>
      <c r="U4" s="318">
        <f t="shared" si="0"/>
        <v>45047</v>
      </c>
      <c r="V4" s="318">
        <f t="shared" si="0"/>
        <v>45078</v>
      </c>
      <c r="W4" s="318">
        <f t="shared" si="0"/>
        <v>45108</v>
      </c>
      <c r="X4" s="318">
        <f t="shared" si="0"/>
        <v>45139</v>
      </c>
      <c r="Y4" s="318">
        <f t="shared" si="0"/>
        <v>45170</v>
      </c>
      <c r="Z4" s="318">
        <f t="shared" si="0"/>
        <v>45200</v>
      </c>
      <c r="AA4" s="318">
        <f t="shared" si="0"/>
        <v>45231</v>
      </c>
      <c r="AB4" s="319">
        <f t="shared" si="0"/>
        <v>45261</v>
      </c>
      <c r="AC4" s="318">
        <f t="shared" si="0"/>
        <v>45292</v>
      </c>
      <c r="AD4" s="318">
        <f t="shared" si="0"/>
        <v>45323</v>
      </c>
      <c r="AE4" s="318">
        <f t="shared" si="0"/>
        <v>45352</v>
      </c>
      <c r="AF4" s="318">
        <f t="shared" si="0"/>
        <v>45383</v>
      </c>
      <c r="AG4" s="318">
        <f t="shared" si="0"/>
        <v>45413</v>
      </c>
      <c r="AH4" s="318">
        <f t="shared" si="0"/>
        <v>45444</v>
      </c>
      <c r="AI4" s="318">
        <f t="shared" si="0"/>
        <v>45474</v>
      </c>
      <c r="AJ4" s="318">
        <f t="shared" si="0"/>
        <v>45505</v>
      </c>
      <c r="AK4" s="318">
        <f t="shared" si="0"/>
        <v>45536</v>
      </c>
      <c r="AL4" s="318">
        <f t="shared" si="0"/>
        <v>45566</v>
      </c>
      <c r="AM4" s="318">
        <f t="shared" si="0"/>
        <v>45597</v>
      </c>
      <c r="AN4" s="316">
        <v>45627</v>
      </c>
      <c r="AO4" s="271" t="s">
        <v>10</v>
      </c>
      <c r="AP4" s="272" t="s">
        <v>348</v>
      </c>
      <c r="AQ4" s="273" t="s">
        <v>346</v>
      </c>
    </row>
    <row r="5" spans="2:44" ht="15.75" x14ac:dyDescent="0.25">
      <c r="B5" t="str">
        <f>$D$2</f>
        <v>PC Annual Direct</v>
      </c>
      <c r="D5" s="208" t="s">
        <v>316</v>
      </c>
      <c r="E5" s="209">
        <v>32.958904109999992</v>
      </c>
      <c r="F5" s="209">
        <v>183.15890411399999</v>
      </c>
      <c r="G5" s="209">
        <v>1639.1780822380022</v>
      </c>
      <c r="H5" s="209">
        <v>1455.495890460001</v>
      </c>
      <c r="I5" s="209">
        <v>1736.6520548730011</v>
      </c>
      <c r="J5" s="209">
        <v>2775.8219179219991</v>
      </c>
      <c r="K5" s="209">
        <v>4091.4082193089994</v>
      </c>
      <c r="L5" s="209">
        <v>3059.1013699454002</v>
      </c>
      <c r="M5" s="209">
        <v>2959.4630137745971</v>
      </c>
      <c r="N5" s="209">
        <v>4092.4931506171965</v>
      </c>
      <c r="O5" s="209">
        <v>3906.9369863469956</v>
      </c>
      <c r="P5" s="238">
        <v>3262.9342463539983</v>
      </c>
      <c r="Q5" s="209">
        <v>2834.9616435823991</v>
      </c>
      <c r="R5" s="209">
        <v>2946.8383556498957</v>
      </c>
      <c r="S5" s="209">
        <v>3775.2622950026089</v>
      </c>
      <c r="T5" s="209">
        <v>2995.1366122641016</v>
      </c>
      <c r="U5" s="209">
        <v>2880.7459015196087</v>
      </c>
      <c r="V5" s="209">
        <v>2383.7486340840082</v>
      </c>
      <c r="W5" s="209">
        <v>2008.112021670996</v>
      </c>
      <c r="X5" s="209">
        <v>2245.2267757455011</v>
      </c>
      <c r="Y5" s="209">
        <v>2169.4972680251039</v>
      </c>
      <c r="Z5" s="209">
        <v>2519.644808569898</v>
      </c>
      <c r="AA5" s="209">
        <v>3230.5928964846084</v>
      </c>
      <c r="AB5" s="238">
        <v>3230.0081965513018</v>
      </c>
      <c r="AC5" s="209">
        <v>3523.3825135083025</v>
      </c>
      <c r="AD5" s="209">
        <v>4237.5081962073973</v>
      </c>
      <c r="AE5" s="209">
        <v>6105.2273968165864</v>
      </c>
      <c r="AF5" s="209">
        <v>5922.6767124173775</v>
      </c>
      <c r="AG5" s="209">
        <v>5863.1452052477716</v>
      </c>
      <c r="AH5" s="209">
        <v>4948.6767124129901</v>
      </c>
      <c r="AI5" s="209">
        <v>4233.336986153784</v>
      </c>
      <c r="AJ5" s="209">
        <v>3675.7972601147862</v>
      </c>
      <c r="AK5" s="209">
        <v>3344.0958904573909</v>
      </c>
      <c r="AL5" s="209">
        <v>3249.9835615825855</v>
      </c>
      <c r="AM5" s="209">
        <v>3333.4000001135914</v>
      </c>
      <c r="AN5" s="265">
        <v>3332.6027397477824</v>
      </c>
      <c r="AO5" s="237">
        <f t="shared" ref="AO5:AO10" si="1">AVERAGE(Z5:AC5)</f>
        <v>3125.9071037785279</v>
      </c>
      <c r="AP5" s="209">
        <f>AVERAGE(R5:AC5)</f>
        <v>2825.6830232563279</v>
      </c>
      <c r="AQ5" s="238">
        <f>SUMIFS(AC5:AN5,AC$4:AN$4,"&lt;"&amp;'Title Sheet'!$C$13)</f>
        <v>51769.833174780353</v>
      </c>
      <c r="AR5" t="s">
        <v>335</v>
      </c>
    </row>
    <row r="6" spans="2:44" ht="15.75" hidden="1" x14ac:dyDescent="0.25">
      <c r="B6" t="str">
        <f>$D$2&amp;"_W VYRs"</f>
        <v>PC Annual Direct_W VYRs</v>
      </c>
      <c r="D6" s="211" t="s">
        <v>317</v>
      </c>
      <c r="E6" s="31" t="e">
        <f>INDEX('Plan Figures'!$B$94:$AP$120,MATCH('Current - MGA only'!E$4,'Plan Figures'!$B$94:$B$120,0),MATCH('Current - MGA only'!$B6,'Plan Figures'!$B$1:$AP$1,0))</f>
        <v>#N/A</v>
      </c>
      <c r="F6" s="31" t="e">
        <f>INDEX('Plan Figures'!$B$94:$AP$120,MATCH('Current - MGA only'!F$4,'Plan Figures'!$B$94:$B$120,0),MATCH('Current - MGA only'!$B6,'Plan Figures'!$B$1:$AP$1,0))</f>
        <v>#N/A</v>
      </c>
      <c r="G6" s="31" t="e">
        <f>INDEX('Plan Figures'!$B$94:$AP$120,MATCH('Current - MGA only'!G$4,'Plan Figures'!$B$94:$B$120,0),MATCH('Current - MGA only'!$B6,'Plan Figures'!$B$1:$AP$1,0))</f>
        <v>#N/A</v>
      </c>
      <c r="H6" s="31" t="e">
        <f>INDEX('Plan Figures'!$B$94:$AP$120,MATCH('Current - MGA only'!H$4,'Plan Figures'!$B$94:$B$120,0),MATCH('Current - MGA only'!$B6,'Plan Figures'!$B$1:$AP$1,0))</f>
        <v>#N/A</v>
      </c>
      <c r="I6" s="31" t="e">
        <f>INDEX('Plan Figures'!$B$94:$AP$120,MATCH('Current - MGA only'!I$4,'Plan Figures'!$B$94:$B$120,0),MATCH('Current - MGA only'!$B6,'Plan Figures'!$B$1:$AP$1,0))</f>
        <v>#N/A</v>
      </c>
      <c r="J6" s="31" t="e">
        <f>INDEX('Plan Figures'!$B$94:$AP$120,MATCH('Current - MGA only'!J$4,'Plan Figures'!$B$94:$B$120,0),MATCH('Current - MGA only'!$B6,'Plan Figures'!$B$1:$AP$1,0))</f>
        <v>#N/A</v>
      </c>
      <c r="K6" s="31" t="e">
        <f>INDEX('Plan Figures'!$B$94:$AP$120,MATCH('Current - MGA only'!K$4,'Plan Figures'!$B$94:$B$120,0),MATCH('Current - MGA only'!$B6,'Plan Figures'!$B$1:$AP$1,0))</f>
        <v>#N/A</v>
      </c>
      <c r="L6" s="31" t="e">
        <f>INDEX('Plan Figures'!$B$94:$AP$120,MATCH('Current - MGA only'!L$4,'Plan Figures'!$B$94:$B$120,0),MATCH('Current - MGA only'!$B6,'Plan Figures'!$B$1:$AP$1,0))</f>
        <v>#N/A</v>
      </c>
      <c r="M6" s="31" t="e">
        <f>INDEX('Plan Figures'!$B$94:$AP$120,MATCH('Current - MGA only'!M$4,'Plan Figures'!$B$94:$B$120,0),MATCH('Current - MGA only'!$B6,'Plan Figures'!$B$1:$AP$1,0))</f>
        <v>#N/A</v>
      </c>
      <c r="N6" s="31" t="e">
        <f>INDEX('Plan Figures'!$B$94:$AP$120,MATCH('Current - MGA only'!N$4,'Plan Figures'!$B$94:$B$120,0),MATCH('Current - MGA only'!$B6,'Plan Figures'!$B$1:$AP$1,0))</f>
        <v>#N/A</v>
      </c>
      <c r="O6" s="31" t="e">
        <f>INDEX('Plan Figures'!$B$94:$AP$120,MATCH('Current - MGA only'!O$4,'Plan Figures'!$B$94:$B$120,0),MATCH('Current - MGA only'!$B6,'Plan Figures'!$B$1:$AP$1,0))</f>
        <v>#N/A</v>
      </c>
      <c r="P6" s="240" t="str">
        <f ca="1">INDEX('Plan Figures'!$B$94:$AP$120,MATCH('Current - MGA only'!P$4,'Plan Figures'!$B$94:$B$120,0),MATCH('Current - MGA only'!$B6,'Plan Figures'!$B$1:$AP$1,0))</f>
        <v>-</v>
      </c>
      <c r="Q6" s="31" t="str">
        <f ca="1">INDEX('Plan Figures'!$B$94:$AP$120,MATCH('Current - MGA only'!Q$4,'Plan Figures'!$B$94:$B$120,0),MATCH('Current - MGA only'!$B6,'Plan Figures'!$B$1:$AP$1,0))</f>
        <v>-</v>
      </c>
      <c r="R6" s="31" t="str">
        <f ca="1">INDEX('Plan Figures'!$B$94:$AP$120,MATCH('Current - MGA only'!R$4,'Plan Figures'!$B$94:$B$120,0),MATCH('Current - MGA only'!$B6,'Plan Figures'!$B$1:$AP$1,0))</f>
        <v>-</v>
      </c>
      <c r="S6" s="31" t="str">
        <f ca="1">INDEX('Plan Figures'!$B$94:$AP$120,MATCH('Current - MGA only'!S$4,'Plan Figures'!$B$94:$B$120,0),MATCH('Current - MGA only'!$B6,'Plan Figures'!$B$1:$AP$1,0))</f>
        <v>-</v>
      </c>
      <c r="T6" s="31" t="str">
        <f ca="1">INDEX('Plan Figures'!$B$94:$AP$120,MATCH('Current - MGA only'!T$4,'Plan Figures'!$B$94:$B$120,0),MATCH('Current - MGA only'!$B6,'Plan Figures'!$B$1:$AP$1,0))</f>
        <v>-</v>
      </c>
      <c r="U6" s="31" t="str">
        <f ca="1">INDEX('Plan Figures'!$B$94:$AP$120,MATCH('Current - MGA only'!U$4,'Plan Figures'!$B$94:$B$120,0),MATCH('Current - MGA only'!$B6,'Plan Figures'!$B$1:$AP$1,0))</f>
        <v>-</v>
      </c>
      <c r="V6" s="31" t="str">
        <f ca="1">INDEX('Plan Figures'!$B$94:$AP$120,MATCH('Current - MGA only'!V$4,'Plan Figures'!$B$94:$B$120,0),MATCH('Current - MGA only'!$B6,'Plan Figures'!$B$1:$AP$1,0))</f>
        <v>-</v>
      </c>
      <c r="W6" s="31" t="str">
        <f ca="1">INDEX('Plan Figures'!$B$94:$AP$120,MATCH('Current - MGA only'!W$4,'Plan Figures'!$B$94:$B$120,0),MATCH('Current - MGA only'!$B6,'Plan Figures'!$B$1:$AP$1,0))</f>
        <v>-</v>
      </c>
      <c r="X6" s="31" t="str">
        <f ca="1">INDEX('Plan Figures'!$B$94:$AP$120,MATCH('Current - MGA only'!X$4,'Plan Figures'!$B$94:$B$120,0),MATCH('Current - MGA only'!$B6,'Plan Figures'!$B$1:$AP$1,0))</f>
        <v>-</v>
      </c>
      <c r="Y6" s="31" t="str">
        <f ca="1">INDEX('Plan Figures'!$B$94:$AP$120,MATCH('Current - MGA only'!Y$4,'Plan Figures'!$B$94:$B$120,0),MATCH('Current - MGA only'!$B6,'Plan Figures'!$B$1:$AP$1,0))</f>
        <v>-</v>
      </c>
      <c r="Z6" s="31" t="str">
        <f ca="1">INDEX('Plan Figures'!$B$94:$AP$120,MATCH('Current - MGA only'!Z$4,'Plan Figures'!$B$94:$B$120,0),MATCH('Current - MGA only'!$B6,'Plan Figures'!$B$1:$AP$1,0))</f>
        <v>-</v>
      </c>
      <c r="AA6" s="31">
        <f ca="1">INDEX('Plan Figures'!$B$94:$AP$120,MATCH('Current - MGA only'!AA$4,'Plan Figures'!$B$94:$B$120,0),MATCH('Current - MGA only'!$B6,'Plan Figures'!$B$1:$AP$1,0))</f>
        <v>1729.3531485183221</v>
      </c>
      <c r="AB6" s="240">
        <f ca="1">INDEX('Plan Figures'!$B$94:$AP$120,MATCH('Current - MGA only'!AB$4,'Plan Figures'!$B$94:$B$120,0),MATCH('Current - MGA only'!$B6,'Plan Figures'!$B$1:$AP$1,0))</f>
        <v>1753.4023172900183</v>
      </c>
      <c r="AC6" s="31">
        <f ca="1">INDEX('Plan Figures'!$B$94:$AP$120,MATCH('Current - MGA only'!AC$4,'Plan Figures'!$B$94:$B$120,0),MATCH('Current - MGA only'!$B6,'Plan Figures'!$B$1:$AP$1,0))</f>
        <v>4273.8740763903043</v>
      </c>
      <c r="AD6" s="31">
        <f ca="1">INDEX('Plan Figures'!$B$94:$AP$120,MATCH('Current - MGA only'!AD$4,'Plan Figures'!$B$94:$B$120,0),MATCH('Current - MGA only'!$B6,'Plan Figures'!$B$1:$AP$1,0))</f>
        <v>4267.0066178598499</v>
      </c>
      <c r="AE6" s="31">
        <f ca="1">INDEX('Plan Figures'!$B$94:$AP$120,MATCH('Current - MGA only'!AE$4,'Plan Figures'!$B$94:$B$120,0),MATCH('Current - MGA only'!$B6,'Plan Figures'!$B$1:$AP$1,0))</f>
        <v>4260.1528668314522</v>
      </c>
      <c r="AF6" s="31">
        <f ca="1">INDEX('Plan Figures'!$B$94:$AP$120,MATCH('Current - MGA only'!AF$4,'Plan Figures'!$B$94:$B$120,0),MATCH('Current - MGA only'!$B6,'Plan Figures'!$B$1:$AP$1,0))</f>
        <v>4253.3127959448284</v>
      </c>
      <c r="AG6" s="31">
        <f ca="1">INDEX('Plan Figures'!$B$94:$AP$120,MATCH('Current - MGA only'!AG$4,'Plan Figures'!$B$94:$B$120,0),MATCH('Current - MGA only'!$B6,'Plan Figures'!$B$1:$AP$1,0))</f>
        <v>4246.8636837603826</v>
      </c>
      <c r="AH6" s="31">
        <f ca="1">INDEX('Plan Figures'!$B$94:$AP$120,MATCH('Current - MGA only'!AH$4,'Plan Figures'!$B$94:$B$120,0),MATCH('Current - MGA only'!$B6,'Plan Figures'!$B$1:$AP$1,0))</f>
        <v>4318.1657423106635</v>
      </c>
      <c r="AI6" s="31">
        <f ca="1">INDEX('Plan Figures'!$B$94:$AP$120,MATCH('Current - MGA only'!AI$4,'Plan Figures'!$B$94:$B$120,0),MATCH('Current - MGA only'!$B6,'Plan Figures'!$B$1:$AP$1,0))</f>
        <v>4195.7154005708344</v>
      </c>
      <c r="AJ6" s="31">
        <f ca="1">INDEX('Plan Figures'!$B$94:$AP$120,MATCH('Current - MGA only'!AJ$4,'Plan Figures'!$B$94:$B$120,0),MATCH('Current - MGA only'!$B6,'Plan Figures'!$B$1:$AP$1,0))</f>
        <v>4057.7980519065409</v>
      </c>
      <c r="AK6" s="31">
        <f ca="1">INDEX('Plan Figures'!$B$94:$AP$120,MATCH('Current - MGA only'!AK$4,'Plan Figures'!$B$94:$B$120,0),MATCH('Current - MGA only'!$B6,'Plan Figures'!$B$1:$AP$1,0))</f>
        <v>5130.3335122267199</v>
      </c>
      <c r="AL6" s="31">
        <f ca="1">INDEX('Plan Figures'!$B$94:$AP$120,MATCH('Current - MGA only'!AL$4,'Plan Figures'!$B$94:$B$120,0),MATCH('Current - MGA only'!$B6,'Plan Figures'!$B$1:$AP$1,0))</f>
        <v>5277.2602760739255</v>
      </c>
      <c r="AM6" s="31">
        <f ca="1">INDEX('Plan Figures'!$B$94:$AP$120,MATCH('Current - MGA only'!AM$4,'Plan Figures'!$B$94:$B$120,0),MATCH('Current - MGA only'!$B6,'Plan Figures'!$B$1:$AP$1,0))</f>
        <v>4291.0900236660455</v>
      </c>
      <c r="AN6" s="266">
        <f ca="1">INDEX('Plan Figures'!$B$94:$AP$120,MATCH('Current - MGA only'!AN$4,'Plan Figures'!$B$94:$B$120,0),MATCH('Current - MGA only'!$B6,'Plan Figures'!$B$1:$AP$1,0))</f>
        <v>3754.1961423496059</v>
      </c>
      <c r="AO6" s="239">
        <f t="shared" ca="1" si="1"/>
        <v>2585.5431807328819</v>
      </c>
      <c r="AP6" s="31">
        <f t="shared" ref="AP6:AP10" ca="1" si="2">AVERAGE(R6:AC6)</f>
        <v>2585.5431807328819</v>
      </c>
      <c r="AQ6" s="240">
        <f ca="1">SUMIFS(AC6:AN6,AC$4:AN$4,"&lt;"&amp;'Title Sheet'!$C$13)</f>
        <v>52325.769189891143</v>
      </c>
    </row>
    <row r="7" spans="2:44" ht="15.75" hidden="1" x14ac:dyDescent="0.25">
      <c r="B7" t="str">
        <f t="shared" ref="B7:B17" si="3">$D$2</f>
        <v>PC Annual Direct</v>
      </c>
      <c r="D7" s="213" t="s">
        <v>0</v>
      </c>
      <c r="E7" s="214" t="str">
        <f t="shared" ref="E7:AN7" si="4">IFERROR(IF(E5=0,"-",(E5/E6)-1),"-")</f>
        <v>-</v>
      </c>
      <c r="F7" s="214" t="str">
        <f t="shared" si="4"/>
        <v>-</v>
      </c>
      <c r="G7" s="214" t="str">
        <f t="shared" si="4"/>
        <v>-</v>
      </c>
      <c r="H7" s="214" t="str">
        <f t="shared" si="4"/>
        <v>-</v>
      </c>
      <c r="I7" s="214" t="str">
        <f t="shared" si="4"/>
        <v>-</v>
      </c>
      <c r="J7" s="214" t="str">
        <f t="shared" si="4"/>
        <v>-</v>
      </c>
      <c r="K7" s="214" t="str">
        <f t="shared" si="4"/>
        <v>-</v>
      </c>
      <c r="L7" s="214" t="str">
        <f t="shared" si="4"/>
        <v>-</v>
      </c>
      <c r="M7" s="214" t="str">
        <f t="shared" si="4"/>
        <v>-</v>
      </c>
      <c r="N7" s="214" t="str">
        <f t="shared" si="4"/>
        <v>-</v>
      </c>
      <c r="O7" s="214" t="str">
        <f t="shared" si="4"/>
        <v>-</v>
      </c>
      <c r="P7" s="294" t="str">
        <f t="shared" ca="1" si="4"/>
        <v>-</v>
      </c>
      <c r="Q7" s="214" t="str">
        <f t="shared" ca="1" si="4"/>
        <v>-</v>
      </c>
      <c r="R7" s="214" t="str">
        <f t="shared" ca="1" si="4"/>
        <v>-</v>
      </c>
      <c r="S7" s="214" t="str">
        <f t="shared" ca="1" si="4"/>
        <v>-</v>
      </c>
      <c r="T7" s="214" t="str">
        <f t="shared" ca="1" si="4"/>
        <v>-</v>
      </c>
      <c r="U7" s="214" t="str">
        <f t="shared" ca="1" si="4"/>
        <v>-</v>
      </c>
      <c r="V7" s="214" t="str">
        <f t="shared" ca="1" si="4"/>
        <v>-</v>
      </c>
      <c r="W7" s="214" t="str">
        <f t="shared" ca="1" si="4"/>
        <v>-</v>
      </c>
      <c r="X7" s="214" t="str">
        <f t="shared" ca="1" si="4"/>
        <v>-</v>
      </c>
      <c r="Y7" s="214" t="str">
        <f t="shared" ca="1" si="4"/>
        <v>-</v>
      </c>
      <c r="Z7" s="214" t="str">
        <f t="shared" ca="1" si="4"/>
        <v>-</v>
      </c>
      <c r="AA7" s="214">
        <f t="shared" ca="1" si="4"/>
        <v>0.86809322274777756</v>
      </c>
      <c r="AB7" s="294">
        <f t="shared" ca="1" si="4"/>
        <v>0.84213752012342535</v>
      </c>
      <c r="AC7" s="214">
        <f t="shared" ca="1" si="4"/>
        <v>-0.17559983038055804</v>
      </c>
      <c r="AD7" s="214">
        <f t="shared" ca="1" si="4"/>
        <v>-6.9131417628894853E-3</v>
      </c>
      <c r="AE7" s="214">
        <f t="shared" ca="1" si="4"/>
        <v>0.43310054537020259</v>
      </c>
      <c r="AF7" s="214">
        <f t="shared" ca="1" si="4"/>
        <v>0.39248557455359157</v>
      </c>
      <c r="AG7" s="214">
        <f t="shared" ca="1" si="4"/>
        <v>0.38058238781430664</v>
      </c>
      <c r="AH7" s="214">
        <f t="shared" ca="1" si="4"/>
        <v>0.14601361034487259</v>
      </c>
      <c r="AI7" s="214">
        <f t="shared" ca="1" si="4"/>
        <v>8.9666676576374282E-3</v>
      </c>
      <c r="AJ7" s="214">
        <f t="shared" ca="1" si="4"/>
        <v>-9.4139921924471626E-2</v>
      </c>
      <c r="AK7" s="214">
        <f t="shared" ca="1" si="4"/>
        <v>-0.34817183278871233</v>
      </c>
      <c r="AL7" s="214">
        <f t="shared" ca="1" si="4"/>
        <v>-0.38415325537052236</v>
      </c>
      <c r="AM7" s="214">
        <f t="shared" ca="1" si="4"/>
        <v>-0.22318106081919531</v>
      </c>
      <c r="AN7" s="270">
        <f t="shared" ca="1" si="4"/>
        <v>-0.11229924772602973</v>
      </c>
      <c r="AO7" s="241">
        <f t="shared" ca="1" si="1"/>
        <v>0.51154363749688159</v>
      </c>
      <c r="AP7" s="242">
        <f t="shared" ca="1" si="2"/>
        <v>0.51154363749688159</v>
      </c>
      <c r="AQ7" s="243">
        <f ca="1">IFERROR(IF(AQ5=0,"-",(AQ5/AQ6)-1),"-")</f>
        <v>-1.062451682445964E-2</v>
      </c>
    </row>
    <row r="8" spans="2:44" ht="15.75" x14ac:dyDescent="0.25">
      <c r="B8" t="s">
        <v>479</v>
      </c>
      <c r="D8" s="208" t="s">
        <v>5</v>
      </c>
      <c r="E8" s="209">
        <v>54404.443214097795</v>
      </c>
      <c r="F8" s="209">
        <v>154577.88964227081</v>
      </c>
      <c r="G8" s="209">
        <v>1330455.7271475941</v>
      </c>
      <c r="H8" s="209">
        <v>1713812.9246342063</v>
      </c>
      <c r="I8" s="209">
        <v>2279345.2964331168</v>
      </c>
      <c r="J8" s="209">
        <v>3041000.180719682</v>
      </c>
      <c r="K8" s="209">
        <v>3927830.2535809851</v>
      </c>
      <c r="L8" s="209">
        <v>2914993.5578613728</v>
      </c>
      <c r="M8" s="209">
        <v>2774467.8075009161</v>
      </c>
      <c r="N8" s="209">
        <v>3582418.9857119559</v>
      </c>
      <c r="O8" s="209">
        <v>3167251.6742823175</v>
      </c>
      <c r="P8" s="238">
        <v>2630569.9350004178</v>
      </c>
      <c r="Q8" s="209">
        <v>2156372.319645613</v>
      </c>
      <c r="R8" s="209">
        <v>2207309.5860689273</v>
      </c>
      <c r="S8" s="209">
        <v>2365372.9364301004</v>
      </c>
      <c r="T8" s="209">
        <v>2115754.1796423746</v>
      </c>
      <c r="U8" s="209">
        <v>2391563.5696462826</v>
      </c>
      <c r="V8" s="209">
        <v>1077658.6128572091</v>
      </c>
      <c r="W8" s="209">
        <v>1075831.1921430477</v>
      </c>
      <c r="X8" s="209">
        <v>992254.99535722542</v>
      </c>
      <c r="Y8" s="209">
        <v>820409.54964261292</v>
      </c>
      <c r="Z8" s="209">
        <v>707831.90642843128</v>
      </c>
      <c r="AA8" s="209">
        <v>527841.43107148877</v>
      </c>
      <c r="AB8" s="238">
        <v>439924.24642873014</v>
      </c>
      <c r="AC8" s="209">
        <v>342275.25571446272</v>
      </c>
      <c r="AD8" s="209">
        <v>229576.71178560247</v>
      </c>
      <c r="AE8" s="209">
        <v>177663.46499989592</v>
      </c>
      <c r="AF8" s="209">
        <v>87008.315000018323</v>
      </c>
      <c r="AG8" s="209">
        <v>0</v>
      </c>
      <c r="AH8" s="209">
        <v>0</v>
      </c>
      <c r="AI8" s="209">
        <v>0</v>
      </c>
      <c r="AJ8" s="209">
        <v>0</v>
      </c>
      <c r="AK8" s="209">
        <v>0</v>
      </c>
      <c r="AL8" s="209">
        <v>0</v>
      </c>
      <c r="AM8" s="209">
        <v>0</v>
      </c>
      <c r="AN8" s="265">
        <v>0</v>
      </c>
      <c r="AO8" s="237">
        <f t="shared" si="1"/>
        <v>504468.20991077821</v>
      </c>
      <c r="AP8" s="209">
        <f t="shared" si="2"/>
        <v>1255335.6217859078</v>
      </c>
      <c r="AQ8" s="238">
        <f>SUMIFS(AC8:AN8,AC$4:AN$4,"&lt;"&amp;'Title Sheet'!$C$13)</f>
        <v>836523.74749997945</v>
      </c>
      <c r="AR8" t="s">
        <v>335</v>
      </c>
    </row>
    <row r="9" spans="2:44" ht="15.75" x14ac:dyDescent="0.25">
      <c r="B9" t="str">
        <f>$D$2&amp;"_NWP"</f>
        <v>PC Annual Direct_NWP</v>
      </c>
      <c r="D9" s="211" t="s">
        <v>6</v>
      </c>
      <c r="E9" s="31" t="e">
        <f>INDEX('Plan Figures'!$B$94:$AP$131,MATCH('Current - MGA only'!E$4,'Plan Figures'!$B$94:$B$131,0),MATCH('Current - MGA only'!$B9,'Plan Figures'!$B$1:$AP$1,0))</f>
        <v>#N/A</v>
      </c>
      <c r="F9" s="31" t="e">
        <f>INDEX('Plan Figures'!$B$94:$AP$131,MATCH('Current - MGA only'!F$4,'Plan Figures'!$B$94:$B$131,0),MATCH('Current - MGA only'!$B9,'Plan Figures'!$B$1:$AP$1,0))</f>
        <v>#N/A</v>
      </c>
      <c r="G9" s="31" t="e">
        <f>INDEX('Plan Figures'!$B$94:$AP$131,MATCH('Current - MGA only'!G$4,'Plan Figures'!$B$94:$B$131,0),MATCH('Current - MGA only'!$B9,'Plan Figures'!$B$1:$AP$1,0))</f>
        <v>#N/A</v>
      </c>
      <c r="H9" s="31" t="e">
        <f>INDEX('Plan Figures'!$B$94:$AP$131,MATCH('Current - MGA only'!H$4,'Plan Figures'!$B$94:$B$131,0),MATCH('Current - MGA only'!$B9,'Plan Figures'!$B$1:$AP$1,0))</f>
        <v>#N/A</v>
      </c>
      <c r="I9" s="31" t="e">
        <f>INDEX('Plan Figures'!$B$94:$AP$131,MATCH('Current - MGA only'!I$4,'Plan Figures'!$B$94:$B$131,0),MATCH('Current - MGA only'!$B9,'Plan Figures'!$B$1:$AP$1,0))</f>
        <v>#N/A</v>
      </c>
      <c r="J9" s="31" t="e">
        <f>INDEX('Plan Figures'!$B$94:$AP$131,MATCH('Current - MGA only'!J$4,'Plan Figures'!$B$94:$B$131,0),MATCH('Current - MGA only'!$B9,'Plan Figures'!$B$1:$AP$1,0))</f>
        <v>#N/A</v>
      </c>
      <c r="K9" s="31" t="e">
        <f>INDEX('Plan Figures'!$B$94:$AP$131,MATCH('Current - MGA only'!K$4,'Plan Figures'!$B$94:$B$131,0),MATCH('Current - MGA only'!$B9,'Plan Figures'!$B$1:$AP$1,0))</f>
        <v>#N/A</v>
      </c>
      <c r="L9" s="31" t="e">
        <f>INDEX('Plan Figures'!$B$94:$AP$131,MATCH('Current - MGA only'!L$4,'Plan Figures'!$B$94:$B$131,0),MATCH('Current - MGA only'!$B9,'Plan Figures'!$B$1:$AP$1,0))</f>
        <v>#N/A</v>
      </c>
      <c r="M9" s="31" t="e">
        <f>INDEX('Plan Figures'!$B$94:$AP$131,MATCH('Current - MGA only'!M$4,'Plan Figures'!$B$94:$B$131,0),MATCH('Current - MGA only'!$B9,'Plan Figures'!$B$1:$AP$1,0))</f>
        <v>#N/A</v>
      </c>
      <c r="N9" s="31" t="e">
        <f>INDEX('Plan Figures'!$B$94:$AP$131,MATCH('Current - MGA only'!N$4,'Plan Figures'!$B$94:$B$131,0),MATCH('Current - MGA only'!$B9,'Plan Figures'!$B$1:$AP$1,0))</f>
        <v>#N/A</v>
      </c>
      <c r="O9" s="31" t="e">
        <f>INDEX('Plan Figures'!$B$94:$AP$131,MATCH('Current - MGA only'!O$4,'Plan Figures'!$B$94:$B$131,0),MATCH('Current - MGA only'!$B9,'Plan Figures'!$B$1:$AP$1,0))</f>
        <v>#N/A</v>
      </c>
      <c r="P9" s="240" t="str">
        <f ca="1">INDEX('Plan Figures'!$B$94:$AP$131,MATCH('Current - MGA only'!P$4,'Plan Figures'!$B$94:$B$131,0),MATCH('Current - MGA only'!$B9,'Plan Figures'!$B$1:$AP$1,0))</f>
        <v>-</v>
      </c>
      <c r="Q9" s="31" t="str">
        <f ca="1">INDEX('Plan Figures'!$B$94:$AP$131,MATCH('Current - MGA only'!Q$4,'Plan Figures'!$B$94:$B$131,0),MATCH('Current - MGA only'!$B9,'Plan Figures'!$B$1:$AP$1,0))</f>
        <v>-</v>
      </c>
      <c r="R9" s="31" t="str">
        <f ca="1">INDEX('Plan Figures'!$B$94:$AP$131,MATCH('Current - MGA only'!R$4,'Plan Figures'!$B$94:$B$131,0),MATCH('Current - MGA only'!$B9,'Plan Figures'!$B$1:$AP$1,0))</f>
        <v>-</v>
      </c>
      <c r="S9" s="31" t="str">
        <f ca="1">INDEX('Plan Figures'!$B$94:$AP$131,MATCH('Current - MGA only'!S$4,'Plan Figures'!$B$94:$B$131,0),MATCH('Current - MGA only'!$B9,'Plan Figures'!$B$1:$AP$1,0))</f>
        <v>-</v>
      </c>
      <c r="T9" s="31" t="str">
        <f ca="1">INDEX('Plan Figures'!$B$94:$AP$131,MATCH('Current - MGA only'!T$4,'Plan Figures'!$B$94:$B$131,0),MATCH('Current - MGA only'!$B9,'Plan Figures'!$B$1:$AP$1,0))</f>
        <v>-</v>
      </c>
      <c r="U9" s="31" t="str">
        <f ca="1">INDEX('Plan Figures'!$B$94:$AP$131,MATCH('Current - MGA only'!U$4,'Plan Figures'!$B$94:$B$131,0),MATCH('Current - MGA only'!$B9,'Plan Figures'!$B$1:$AP$1,0))</f>
        <v>-</v>
      </c>
      <c r="V9" s="31" t="str">
        <f ca="1">INDEX('Plan Figures'!$B$94:$AP$131,MATCH('Current - MGA only'!V$4,'Plan Figures'!$B$94:$B$131,0),MATCH('Current - MGA only'!$B9,'Plan Figures'!$B$1:$AP$1,0))</f>
        <v>-</v>
      </c>
      <c r="W9" s="31" t="str">
        <f ca="1">INDEX('Plan Figures'!$B$94:$AP$131,MATCH('Current - MGA only'!W$4,'Plan Figures'!$B$94:$B$131,0),MATCH('Current - MGA only'!$B9,'Plan Figures'!$B$1:$AP$1,0))</f>
        <v>-</v>
      </c>
      <c r="X9" s="31" t="str">
        <f ca="1">INDEX('Plan Figures'!$B$94:$AP$131,MATCH('Current - MGA only'!X$4,'Plan Figures'!$B$94:$B$131,0),MATCH('Current - MGA only'!$B9,'Plan Figures'!$B$1:$AP$1,0))</f>
        <v>-</v>
      </c>
      <c r="Y9" s="31" t="str">
        <f ca="1">INDEX('Plan Figures'!$B$94:$AP$131,MATCH('Current - MGA only'!Y$4,'Plan Figures'!$B$94:$B$131,0),MATCH('Current - MGA only'!$B9,'Plan Figures'!$B$1:$AP$1,0))</f>
        <v>-</v>
      </c>
      <c r="Z9" s="31" t="str">
        <f ca="1">INDEX('Plan Figures'!$B$94:$AP$131,MATCH('Current - MGA only'!Z$4,'Plan Figures'!$B$94:$B$131,0),MATCH('Current - MGA only'!$B9,'Plan Figures'!$B$1:$AP$1,0))</f>
        <v>-</v>
      </c>
      <c r="AA9" s="31">
        <f ca="1">INDEX('Plan Figures'!$B$94:$AP$131,MATCH('Current - MGA only'!AA$4,'Plan Figures'!$B$94:$B$131,0),MATCH('Current - MGA only'!$B9,'Plan Figures'!$B$1:$AP$1,0))</f>
        <v>3013169.0914932396</v>
      </c>
      <c r="AB9" s="240">
        <f ca="1">INDEX('Plan Figures'!$B$94:$AP$131,MATCH('Current - MGA only'!AB$4,'Plan Figures'!$B$94:$B$131,0),MATCH('Current - MGA only'!$B9,'Plan Figures'!$B$1:$AP$1,0))</f>
        <v>3046278.3015965438</v>
      </c>
      <c r="AC9" s="31">
        <f ca="1">INDEX('Plan Figures'!$B$94:$AP$131,MATCH('Current - MGA only'!AC$4,'Plan Figures'!$B$94:$B$131,0),MATCH('Current - MGA only'!$B9,'Plan Figures'!$B$1:$AP$1,0))</f>
        <v>3262205.5406420417</v>
      </c>
      <c r="AD9" s="31">
        <f ca="1">INDEX('Plan Figures'!$B$94:$AP$131,MATCH('Current - MGA only'!AD$4,'Plan Figures'!$B$94:$B$131,0),MATCH('Current - MGA only'!$B9,'Plan Figures'!$B$1:$AP$1,0))</f>
        <v>5283002.670942123</v>
      </c>
      <c r="AE9" s="31">
        <f ca="1">INDEX('Plan Figures'!$B$94:$AP$131,MATCH('Current - MGA only'!AE$4,'Plan Figures'!$B$94:$B$131,0),MATCH('Current - MGA only'!$B9,'Plan Figures'!$B$1:$AP$1,0))</f>
        <v>7028722.699423207</v>
      </c>
      <c r="AF9" s="31">
        <f ca="1">INDEX('Plan Figures'!$B$94:$AP$131,MATCH('Current - MGA only'!AF$4,'Plan Figures'!$B$94:$B$131,0),MATCH('Current - MGA only'!$B9,'Plan Figures'!$B$1:$AP$1,0))</f>
        <v>7008322.6050258419</v>
      </c>
      <c r="AG9" s="31">
        <f ca="1">INDEX('Plan Figures'!$B$94:$AP$131,MATCH('Current - MGA only'!AG$4,'Plan Figures'!$B$94:$B$131,0),MATCH('Current - MGA only'!$B9,'Plan Figures'!$B$1:$AP$1,0))</f>
        <v>6910081.5132966693</v>
      </c>
      <c r="AH9" s="31">
        <f ca="1">INDEX('Plan Figures'!$B$94:$AP$131,MATCH('Current - MGA only'!AH$4,'Plan Figures'!$B$94:$B$131,0),MATCH('Current - MGA only'!$B9,'Plan Figures'!$B$1:$AP$1,0))</f>
        <v>6846559.6197968423</v>
      </c>
      <c r="AI9" s="31">
        <f ca="1">INDEX('Plan Figures'!$B$94:$AP$131,MATCH('Current - MGA only'!AI$4,'Plan Figures'!$B$94:$B$131,0),MATCH('Current - MGA only'!$B9,'Plan Figures'!$B$1:$AP$1,0))</f>
        <v>4986953.6660165749</v>
      </c>
      <c r="AJ9" s="31">
        <f ca="1">INDEX('Plan Figures'!$B$94:$AP$131,MATCH('Current - MGA only'!AJ$4,'Plan Figures'!$B$94:$B$131,0),MATCH('Current - MGA only'!$B9,'Plan Figures'!$B$1:$AP$1,0))</f>
        <v>4772960.6173661947</v>
      </c>
      <c r="AK9" s="31">
        <f ca="1">INDEX('Plan Figures'!$B$94:$AP$131,MATCH('Current - MGA only'!AK$4,'Plan Figures'!$B$94:$B$131,0),MATCH('Current - MGA only'!$B9,'Plan Figures'!$B$1:$AP$1,0))</f>
        <v>5963772.0422257259</v>
      </c>
      <c r="AL9" s="31">
        <f ca="1">INDEX('Plan Figures'!$B$94:$AP$131,MATCH('Current - MGA only'!AL$4,'Plan Figures'!$B$94:$B$131,0),MATCH('Current - MGA only'!$B9,'Plan Figures'!$B$1:$AP$1,0))</f>
        <v>6206021.9847642854</v>
      </c>
      <c r="AM9" s="31">
        <f ca="1">INDEX('Plan Figures'!$B$94:$AP$131,MATCH('Current - MGA only'!AM$4,'Plan Figures'!$B$94:$B$131,0),MATCH('Current - MGA only'!$B9,'Plan Figures'!$B$1:$AP$1,0))</f>
        <v>5226495.991704585</v>
      </c>
      <c r="AN9" s="266">
        <f ca="1">INDEX('Plan Figures'!$B$94:$AP$131,MATCH('Current - MGA only'!AN$4,'Plan Figures'!$B$94:$B$131,0),MATCH('Current - MGA only'!$B9,'Plan Figures'!$B$1:$AP$1,0))</f>
        <v>4573524.576856669</v>
      </c>
      <c r="AO9" s="239">
        <f t="shared" ca="1" si="1"/>
        <v>3107217.6445772746</v>
      </c>
      <c r="AP9" s="31">
        <f t="shared" ca="1" si="2"/>
        <v>3107217.6445772746</v>
      </c>
      <c r="AQ9" s="240">
        <f ca="1">SUMIFS(AC9:AN9,AC$4:AN$4,"&lt;"&amp;'Title Sheet'!$C$13)</f>
        <v>68068623.528060764</v>
      </c>
    </row>
    <row r="10" spans="2:44" ht="15.75" x14ac:dyDescent="0.25">
      <c r="B10" t="str">
        <f t="shared" si="3"/>
        <v>PC Annual Direct</v>
      </c>
      <c r="D10" s="213" t="s">
        <v>0</v>
      </c>
      <c r="E10" s="214" t="str">
        <f t="shared" ref="E10:AN10" si="5">IFERROR(IF(E8=0,"-",(E8/E9)-1),"-")</f>
        <v>-</v>
      </c>
      <c r="F10" s="214" t="str">
        <f t="shared" si="5"/>
        <v>-</v>
      </c>
      <c r="G10" s="214" t="str">
        <f t="shared" si="5"/>
        <v>-</v>
      </c>
      <c r="H10" s="214" t="str">
        <f t="shared" si="5"/>
        <v>-</v>
      </c>
      <c r="I10" s="214" t="str">
        <f t="shared" si="5"/>
        <v>-</v>
      </c>
      <c r="J10" s="214" t="str">
        <f t="shared" si="5"/>
        <v>-</v>
      </c>
      <c r="K10" s="214" t="str">
        <f t="shared" si="5"/>
        <v>-</v>
      </c>
      <c r="L10" s="214" t="str">
        <f t="shared" si="5"/>
        <v>-</v>
      </c>
      <c r="M10" s="214" t="str">
        <f t="shared" si="5"/>
        <v>-</v>
      </c>
      <c r="N10" s="214" t="str">
        <f t="shared" si="5"/>
        <v>-</v>
      </c>
      <c r="O10" s="214" t="str">
        <f t="shared" si="5"/>
        <v>-</v>
      </c>
      <c r="P10" s="294" t="str">
        <f t="shared" ca="1" si="5"/>
        <v>-</v>
      </c>
      <c r="Q10" s="214" t="str">
        <f t="shared" ca="1" si="5"/>
        <v>-</v>
      </c>
      <c r="R10" s="214" t="str">
        <f t="shared" ca="1" si="5"/>
        <v>-</v>
      </c>
      <c r="S10" s="214" t="str">
        <f t="shared" ca="1" si="5"/>
        <v>-</v>
      </c>
      <c r="T10" s="214" t="str">
        <f t="shared" ca="1" si="5"/>
        <v>-</v>
      </c>
      <c r="U10" s="214" t="str">
        <f t="shared" ca="1" si="5"/>
        <v>-</v>
      </c>
      <c r="V10" s="214" t="str">
        <f t="shared" ca="1" si="5"/>
        <v>-</v>
      </c>
      <c r="W10" s="214" t="str">
        <f t="shared" ca="1" si="5"/>
        <v>-</v>
      </c>
      <c r="X10" s="214" t="str">
        <f t="shared" ca="1" si="5"/>
        <v>-</v>
      </c>
      <c r="Y10" s="214" t="str">
        <f t="shared" ca="1" si="5"/>
        <v>-</v>
      </c>
      <c r="Z10" s="214" t="str">
        <f t="shared" ca="1" si="5"/>
        <v>-</v>
      </c>
      <c r="AA10" s="214">
        <f t="shared" ca="1" si="5"/>
        <v>-0.82482183540190712</v>
      </c>
      <c r="AB10" s="294">
        <f t="shared" ca="1" si="5"/>
        <v>-0.85558632440175697</v>
      </c>
      <c r="AC10" s="214">
        <f t="shared" ca="1" si="5"/>
        <v>-0.8950785744643488</v>
      </c>
      <c r="AD10" s="214">
        <f t="shared" ca="1" si="5"/>
        <v>-0.95654427489724103</v>
      </c>
      <c r="AE10" s="214">
        <f t="shared" ca="1" si="5"/>
        <v>-0.97472322175770632</v>
      </c>
      <c r="AF10" s="214">
        <f t="shared" ca="1" si="5"/>
        <v>-0.98758500144704775</v>
      </c>
      <c r="AG10" s="214" t="str">
        <f t="shared" si="5"/>
        <v>-</v>
      </c>
      <c r="AH10" s="214" t="str">
        <f t="shared" si="5"/>
        <v>-</v>
      </c>
      <c r="AI10" s="214" t="str">
        <f t="shared" si="5"/>
        <v>-</v>
      </c>
      <c r="AJ10" s="214" t="str">
        <f t="shared" si="5"/>
        <v>-</v>
      </c>
      <c r="AK10" s="214" t="str">
        <f t="shared" si="5"/>
        <v>-</v>
      </c>
      <c r="AL10" s="214" t="str">
        <f t="shared" si="5"/>
        <v>-</v>
      </c>
      <c r="AM10" s="214" t="str">
        <f t="shared" si="5"/>
        <v>-</v>
      </c>
      <c r="AN10" s="270" t="str">
        <f t="shared" si="5"/>
        <v>-</v>
      </c>
      <c r="AO10" s="241">
        <f t="shared" ca="1" si="1"/>
        <v>-0.85849557808933763</v>
      </c>
      <c r="AP10" s="242">
        <f t="shared" ca="1" si="2"/>
        <v>-0.85849557808933763</v>
      </c>
      <c r="AQ10" s="243">
        <f t="shared" ref="AQ10" ca="1" si="6">IFERROR(IF(AQ8=0,"-",(AQ8/AQ9)-1),"-")</f>
        <v>-0.98771058228972219</v>
      </c>
    </row>
    <row r="11" spans="2:44" ht="15.75" x14ac:dyDescent="0.25">
      <c r="B11" t="str">
        <f t="shared" si="3"/>
        <v>PC Annual Direct</v>
      </c>
      <c r="D11" s="208" t="s">
        <v>12</v>
      </c>
      <c r="E11" s="209">
        <f t="shared" ref="E11:AP12" si="7">IFERROR(E8/E5,0)</f>
        <v>1650.6751265916957</v>
      </c>
      <c r="F11" s="209">
        <f t="shared" si="7"/>
        <v>843.95509129089317</v>
      </c>
      <c r="G11" s="209">
        <f t="shared" si="7"/>
        <v>811.66027142767587</v>
      </c>
      <c r="H11" s="209">
        <f t="shared" si="7"/>
        <v>1177.4769931453161</v>
      </c>
      <c r="I11" s="209">
        <f t="shared" si="7"/>
        <v>1312.4939391499479</v>
      </c>
      <c r="J11" s="209">
        <f t="shared" si="7"/>
        <v>1095.5314392056523</v>
      </c>
      <c r="K11" s="209">
        <f t="shared" si="7"/>
        <v>960.01915307398951</v>
      </c>
      <c r="L11" s="209">
        <f t="shared" si="7"/>
        <v>952.89210959145191</v>
      </c>
      <c r="M11" s="209">
        <f t="shared" si="7"/>
        <v>937.49027934708602</v>
      </c>
      <c r="N11" s="209">
        <f t="shared" si="7"/>
        <v>875.36346521965095</v>
      </c>
      <c r="O11" s="209">
        <f t="shared" si="7"/>
        <v>810.67385661720459</v>
      </c>
      <c r="P11" s="238">
        <f t="shared" si="7"/>
        <v>806.19765413287621</v>
      </c>
      <c r="Q11" s="209">
        <f t="shared" si="7"/>
        <v>760.63544793527194</v>
      </c>
      <c r="R11" s="209">
        <f t="shared" si="7"/>
        <v>749.04332022043582</v>
      </c>
      <c r="S11" s="209">
        <f t="shared" si="7"/>
        <v>626.54532363517956</v>
      </c>
      <c r="T11" s="209">
        <f t="shared" si="7"/>
        <v>706.39655332549955</v>
      </c>
      <c r="U11" s="209">
        <f t="shared" si="7"/>
        <v>830.18900361351564</v>
      </c>
      <c r="V11" s="209">
        <f t="shared" si="7"/>
        <v>452.08567608527056</v>
      </c>
      <c r="W11" s="209">
        <f t="shared" si="7"/>
        <v>535.74261820703805</v>
      </c>
      <c r="X11" s="209">
        <f t="shared" si="7"/>
        <v>441.9397657627519</v>
      </c>
      <c r="Y11" s="209">
        <f t="shared" si="7"/>
        <v>378.15652581550967</v>
      </c>
      <c r="Z11" s="209">
        <f t="shared" si="7"/>
        <v>280.9252732849211</v>
      </c>
      <c r="AA11" s="209">
        <f t="shared" si="7"/>
        <v>163.38840825343948</v>
      </c>
      <c r="AB11" s="238">
        <f t="shared" si="7"/>
        <v>136.19911147545687</v>
      </c>
      <c r="AC11" s="209">
        <f t="shared" si="7"/>
        <v>97.14393892863265</v>
      </c>
      <c r="AD11" s="209">
        <f t="shared" si="7"/>
        <v>54.177290321485494</v>
      </c>
      <c r="AE11" s="209">
        <f t="shared" si="7"/>
        <v>29.100220753863152</v>
      </c>
      <c r="AF11" s="209">
        <f t="shared" si="7"/>
        <v>14.690708141742441</v>
      </c>
      <c r="AG11" s="209">
        <f t="shared" si="7"/>
        <v>0</v>
      </c>
      <c r="AH11" s="209">
        <f t="shared" si="7"/>
        <v>0</v>
      </c>
      <c r="AI11" s="209">
        <f t="shared" si="7"/>
        <v>0</v>
      </c>
      <c r="AJ11" s="209">
        <f t="shared" si="7"/>
        <v>0</v>
      </c>
      <c r="AK11" s="209">
        <f t="shared" si="7"/>
        <v>0</v>
      </c>
      <c r="AL11" s="209">
        <f t="shared" si="7"/>
        <v>0</v>
      </c>
      <c r="AM11" s="209">
        <f t="shared" si="7"/>
        <v>0</v>
      </c>
      <c r="AN11" s="265">
        <f t="shared" si="7"/>
        <v>0</v>
      </c>
      <c r="AO11" s="237">
        <f t="shared" si="7"/>
        <v>161.38298201536062</v>
      </c>
      <c r="AP11" s="209">
        <f t="shared" si="7"/>
        <v>444.25917962279232</v>
      </c>
      <c r="AQ11" s="238">
        <f>SUMIFS(AC11:AN11,AC$4:AN$4,"&lt;"&amp;'Title Sheet'!$C$13)</f>
        <v>195.11215814572373</v>
      </c>
    </row>
    <row r="12" spans="2:44" ht="15.75" hidden="1" x14ac:dyDescent="0.25">
      <c r="B12" t="str">
        <f t="shared" si="3"/>
        <v>PC Annual Direct</v>
      </c>
      <c r="D12" s="211" t="s">
        <v>13</v>
      </c>
      <c r="E12" s="31">
        <f t="shared" si="7"/>
        <v>0</v>
      </c>
      <c r="F12" s="31">
        <f t="shared" si="7"/>
        <v>0</v>
      </c>
      <c r="G12" s="31">
        <f t="shared" si="7"/>
        <v>0</v>
      </c>
      <c r="H12" s="31">
        <f t="shared" si="7"/>
        <v>0</v>
      </c>
      <c r="I12" s="31">
        <f t="shared" si="7"/>
        <v>0</v>
      </c>
      <c r="J12" s="31">
        <f t="shared" si="7"/>
        <v>0</v>
      </c>
      <c r="K12" s="31">
        <f t="shared" si="7"/>
        <v>0</v>
      </c>
      <c r="L12" s="31">
        <f t="shared" si="7"/>
        <v>0</v>
      </c>
      <c r="M12" s="31">
        <f t="shared" si="7"/>
        <v>0</v>
      </c>
      <c r="N12" s="31">
        <f t="shared" si="7"/>
        <v>0</v>
      </c>
      <c r="O12" s="31">
        <f t="shared" si="7"/>
        <v>0</v>
      </c>
      <c r="P12" s="240">
        <f t="shared" ca="1" si="7"/>
        <v>0</v>
      </c>
      <c r="Q12" s="31">
        <f t="shared" ca="1" si="7"/>
        <v>0</v>
      </c>
      <c r="R12" s="31">
        <f t="shared" ca="1" si="7"/>
        <v>0</v>
      </c>
      <c r="S12" s="31">
        <f t="shared" ca="1" si="7"/>
        <v>0</v>
      </c>
      <c r="T12" s="31">
        <f t="shared" ca="1" si="7"/>
        <v>0</v>
      </c>
      <c r="U12" s="31">
        <f t="shared" ca="1" si="7"/>
        <v>0</v>
      </c>
      <c r="V12" s="31">
        <f t="shared" ca="1" si="7"/>
        <v>0</v>
      </c>
      <c r="W12" s="31">
        <f t="shared" ca="1" si="7"/>
        <v>0</v>
      </c>
      <c r="X12" s="31">
        <f t="shared" ca="1" si="7"/>
        <v>0</v>
      </c>
      <c r="Y12" s="31">
        <f t="shared" ca="1" si="7"/>
        <v>0</v>
      </c>
      <c r="Z12" s="31">
        <f t="shared" ca="1" si="7"/>
        <v>0</v>
      </c>
      <c r="AA12" s="31">
        <f t="shared" ca="1" si="7"/>
        <v>1742.3677136592185</v>
      </c>
      <c r="AB12" s="240">
        <f t="shared" ca="1" si="7"/>
        <v>1737.3527293523473</v>
      </c>
      <c r="AC12" s="31">
        <f t="shared" ca="1" si="7"/>
        <v>763.2900460645501</v>
      </c>
      <c r="AD12" s="31">
        <f t="shared" ca="1" si="7"/>
        <v>1238.1051036644171</v>
      </c>
      <c r="AE12" s="31">
        <f t="shared" ca="1" si="7"/>
        <v>1649.875701444234</v>
      </c>
      <c r="AF12" s="31">
        <f t="shared" ca="1" si="7"/>
        <v>1647.7327065405773</v>
      </c>
      <c r="AG12" s="31">
        <f t="shared" ca="1" si="7"/>
        <v>1627.1022636587531</v>
      </c>
      <c r="AH12" s="31">
        <f t="shared" ca="1" si="7"/>
        <v>1585.5249724928872</v>
      </c>
      <c r="AI12" s="31">
        <f t="shared" ca="1" si="7"/>
        <v>1188.5824442091784</v>
      </c>
      <c r="AJ12" s="31">
        <f t="shared" ca="1" si="7"/>
        <v>1176.2440013799203</v>
      </c>
      <c r="AK12" s="31">
        <f t="shared" ca="1" si="7"/>
        <v>1162.4530896505535</v>
      </c>
      <c r="AL12" s="31">
        <f t="shared" ca="1" si="7"/>
        <v>1175.9931593484569</v>
      </c>
      <c r="AM12" s="31">
        <f t="shared" ca="1" si="7"/>
        <v>1217.9879617718636</v>
      </c>
      <c r="AN12" s="266">
        <f t="shared" ca="1" si="7"/>
        <v>1218.243374464254</v>
      </c>
      <c r="AO12" s="239">
        <f t="shared" ca="1" si="7"/>
        <v>1201.7659065730716</v>
      </c>
      <c r="AP12" s="31">
        <f t="shared" ca="1" si="7"/>
        <v>1201.7659065730716</v>
      </c>
      <c r="AQ12" s="240">
        <f ca="1">SUMIFS(AC12:AN12,AC$4:AN$4,"&lt;"&amp;'Title Sheet'!$C$13)</f>
        <v>15651.134824689645</v>
      </c>
      <c r="AR12" s="3"/>
    </row>
    <row r="13" spans="2:44" ht="15.75" hidden="1" x14ac:dyDescent="0.25">
      <c r="B13" t="str">
        <f t="shared" si="3"/>
        <v>PC Annual Direct</v>
      </c>
      <c r="D13" s="213" t="s">
        <v>0</v>
      </c>
      <c r="E13" s="214" t="str">
        <f t="shared" ref="E13:AN13" si="8">IFERROR(IF(E11=0,"-",(E11/E12)-1),"-")</f>
        <v>-</v>
      </c>
      <c r="F13" s="214" t="str">
        <f t="shared" si="8"/>
        <v>-</v>
      </c>
      <c r="G13" s="214" t="str">
        <f t="shared" si="8"/>
        <v>-</v>
      </c>
      <c r="H13" s="214" t="str">
        <f t="shared" si="8"/>
        <v>-</v>
      </c>
      <c r="I13" s="214" t="str">
        <f t="shared" si="8"/>
        <v>-</v>
      </c>
      <c r="J13" s="214" t="str">
        <f t="shared" si="8"/>
        <v>-</v>
      </c>
      <c r="K13" s="214" t="str">
        <f t="shared" si="8"/>
        <v>-</v>
      </c>
      <c r="L13" s="214" t="str">
        <f t="shared" si="8"/>
        <v>-</v>
      </c>
      <c r="M13" s="214" t="str">
        <f t="shared" si="8"/>
        <v>-</v>
      </c>
      <c r="N13" s="214" t="str">
        <f t="shared" si="8"/>
        <v>-</v>
      </c>
      <c r="O13" s="214" t="str">
        <f t="shared" si="8"/>
        <v>-</v>
      </c>
      <c r="P13" s="294" t="str">
        <f t="shared" ca="1" si="8"/>
        <v>-</v>
      </c>
      <c r="Q13" s="214" t="str">
        <f t="shared" ca="1" si="8"/>
        <v>-</v>
      </c>
      <c r="R13" s="214" t="str">
        <f t="shared" ca="1" si="8"/>
        <v>-</v>
      </c>
      <c r="S13" s="214" t="str">
        <f t="shared" ca="1" si="8"/>
        <v>-</v>
      </c>
      <c r="T13" s="214" t="str">
        <f t="shared" ca="1" si="8"/>
        <v>-</v>
      </c>
      <c r="U13" s="214" t="str">
        <f t="shared" ca="1" si="8"/>
        <v>-</v>
      </c>
      <c r="V13" s="214" t="str">
        <f t="shared" ca="1" si="8"/>
        <v>-</v>
      </c>
      <c r="W13" s="214" t="str">
        <f t="shared" ca="1" si="8"/>
        <v>-</v>
      </c>
      <c r="X13" s="214" t="str">
        <f t="shared" ca="1" si="8"/>
        <v>-</v>
      </c>
      <c r="Y13" s="214" t="str">
        <f t="shared" ca="1" si="8"/>
        <v>-</v>
      </c>
      <c r="Z13" s="214" t="str">
        <f t="shared" ca="1" si="8"/>
        <v>-</v>
      </c>
      <c r="AA13" s="214">
        <f t="shared" ca="1" si="8"/>
        <v>-0.90622621908534984</v>
      </c>
      <c r="AB13" s="294">
        <f t="shared" ca="1" si="8"/>
        <v>-0.92160537743752857</v>
      </c>
      <c r="AC13" s="214">
        <f t="shared" ca="1" si="8"/>
        <v>-0.87272998065480167</v>
      </c>
      <c r="AD13" s="214">
        <f t="shared" ca="1" si="8"/>
        <v>-0.95624176803638317</v>
      </c>
      <c r="AE13" s="214">
        <f t="shared" ca="1" si="8"/>
        <v>-0.98236217387261959</v>
      </c>
      <c r="AF13" s="214">
        <f t="shared" ca="1" si="8"/>
        <v>-0.99108428928828773</v>
      </c>
      <c r="AG13" s="214" t="str">
        <f t="shared" si="8"/>
        <v>-</v>
      </c>
      <c r="AH13" s="214" t="str">
        <f t="shared" si="8"/>
        <v>-</v>
      </c>
      <c r="AI13" s="214" t="str">
        <f t="shared" si="8"/>
        <v>-</v>
      </c>
      <c r="AJ13" s="214" t="str">
        <f t="shared" si="8"/>
        <v>-</v>
      </c>
      <c r="AK13" s="214" t="str">
        <f t="shared" si="8"/>
        <v>-</v>
      </c>
      <c r="AL13" s="214" t="str">
        <f t="shared" si="8"/>
        <v>-</v>
      </c>
      <c r="AM13" s="214" t="str">
        <f t="shared" si="8"/>
        <v>-</v>
      </c>
      <c r="AN13" s="270" t="str">
        <f t="shared" si="8"/>
        <v>-</v>
      </c>
      <c r="AO13" s="241">
        <f t="shared" ref="AO13:AP13" ca="1" si="9">AO11-AO12</f>
        <v>-1040.382924557711</v>
      </c>
      <c r="AP13" s="242">
        <f t="shared" ca="1" si="9"/>
        <v>-757.50672695027924</v>
      </c>
      <c r="AQ13" s="243">
        <f t="shared" ref="AQ13" ca="1" si="10">IFERROR(IF(AQ11=0,"-",(AQ11/AQ12)-1),"-")</f>
        <v>-0.98753367341530185</v>
      </c>
    </row>
    <row r="14" spans="2:44" ht="15.75" x14ac:dyDescent="0.25">
      <c r="B14" t="str">
        <f t="shared" si="3"/>
        <v>PC Annual Direct</v>
      </c>
      <c r="D14" s="208" t="s">
        <v>7</v>
      </c>
      <c r="E14" s="209">
        <v>63882.723213917787</v>
      </c>
      <c r="F14" s="209">
        <v>190494.91964215893</v>
      </c>
      <c r="G14" s="209">
        <v>1642696.3571451635</v>
      </c>
      <c r="H14" s="209">
        <v>1893030.044629877</v>
      </c>
      <c r="I14" s="209">
        <v>2518272.69643497</v>
      </c>
      <c r="J14" s="209">
        <v>3361762.9107203428</v>
      </c>
      <c r="K14" s="209">
        <v>4345469.5535888178</v>
      </c>
      <c r="L14" s="209">
        <v>3200499.017860631</v>
      </c>
      <c r="M14" s="209">
        <v>2886419.687501987</v>
      </c>
      <c r="N14" s="209">
        <v>3737255.7857106323</v>
      </c>
      <c r="O14" s="209">
        <v>3416574.9642807753</v>
      </c>
      <c r="P14" s="238">
        <v>2984700.3749985681</v>
      </c>
      <c r="Q14" s="209">
        <v>2496784.9196442887</v>
      </c>
      <c r="R14" s="209">
        <v>2485175.8660695194</v>
      </c>
      <c r="S14" s="209">
        <v>2806326.1964317253</v>
      </c>
      <c r="T14" s="209">
        <v>2473860.669643865</v>
      </c>
      <c r="U14" s="209">
        <v>2812501.0892885509</v>
      </c>
      <c r="V14" s="209">
        <v>2674199.1785725723</v>
      </c>
      <c r="W14" s="209">
        <v>2814261.6160722352</v>
      </c>
      <c r="X14" s="209">
        <v>3164323.1071525621</v>
      </c>
      <c r="Y14" s="209">
        <v>3242318.7857170096</v>
      </c>
      <c r="Z14" s="209">
        <v>3772961.6517859623</v>
      </c>
      <c r="AA14" s="209">
        <v>4531577.4107139865</v>
      </c>
      <c r="AB14" s="238">
        <v>4436938.5267816978</v>
      </c>
      <c r="AC14" s="209">
        <v>4898357.5178559562</v>
      </c>
      <c r="AD14" s="209">
        <v>6020561.3392844694</v>
      </c>
      <c r="AE14" s="209">
        <v>8379482.8660593918</v>
      </c>
      <c r="AF14" s="209">
        <v>7400587.1339494968</v>
      </c>
      <c r="AG14" s="209">
        <v>7027372.4732293002</v>
      </c>
      <c r="AH14" s="209">
        <v>5899257.8392859837</v>
      </c>
      <c r="AI14" s="209">
        <v>5028309.0803608084</v>
      </c>
      <c r="AJ14" s="209">
        <v>4370600.7499995213</v>
      </c>
      <c r="AK14" s="209">
        <v>4004691.7410705085</v>
      </c>
      <c r="AL14" s="209">
        <v>3799794.5242150435</v>
      </c>
      <c r="AM14" s="209">
        <v>3985946.0892833942</v>
      </c>
      <c r="AN14" s="265">
        <v>3948053.776785614</v>
      </c>
      <c r="AO14" s="237">
        <f t="shared" ref="AO14:AO16" si="11">AVERAGE(Z14:AC14)</f>
        <v>4409958.7767844005</v>
      </c>
      <c r="AP14" s="209">
        <f>AVERAGE(R14:AC14)</f>
        <v>3342733.4680071366</v>
      </c>
      <c r="AQ14" s="238">
        <f>SUMIFS(AC14:AN14,AC$4:AN$4,"&lt;"&amp;'Title Sheet'!$C$13)</f>
        <v>64763015.131379485</v>
      </c>
    </row>
    <row r="15" spans="2:44" ht="15.75" hidden="1" x14ac:dyDescent="0.25">
      <c r="B15" t="str">
        <f>$D$2&amp;"_GWP"</f>
        <v>PC Annual Direct_GWP</v>
      </c>
      <c r="D15" s="211" t="s">
        <v>23</v>
      </c>
      <c r="E15" s="31" t="e">
        <f>INDEX('Plan Figures'!$B$94:$AP$120,MATCH('Current - MGA only'!E$4,'Plan Figures'!$B$94:$B$120,0),MATCH('Current - MGA only'!$B15,'Plan Figures'!$B$1:$AP$1,0))</f>
        <v>#N/A</v>
      </c>
      <c r="F15" s="31" t="e">
        <f>INDEX('Plan Figures'!$B$94:$AP$120,MATCH('Current - MGA only'!F$4,'Plan Figures'!$B$94:$B$120,0),MATCH('Current - MGA only'!$B15,'Plan Figures'!$B$1:$AP$1,0))</f>
        <v>#N/A</v>
      </c>
      <c r="G15" s="31" t="e">
        <f>INDEX('Plan Figures'!$B$94:$AP$120,MATCH('Current - MGA only'!G$4,'Plan Figures'!$B$94:$B$120,0),MATCH('Current - MGA only'!$B15,'Plan Figures'!$B$1:$AP$1,0))</f>
        <v>#N/A</v>
      </c>
      <c r="H15" s="31" t="e">
        <f>INDEX('Plan Figures'!$B$94:$AP$120,MATCH('Current - MGA only'!H$4,'Plan Figures'!$B$94:$B$120,0),MATCH('Current - MGA only'!$B15,'Plan Figures'!$B$1:$AP$1,0))</f>
        <v>#N/A</v>
      </c>
      <c r="I15" s="31" t="e">
        <f>INDEX('Plan Figures'!$B$94:$AP$120,MATCH('Current - MGA only'!I$4,'Plan Figures'!$B$94:$B$120,0),MATCH('Current - MGA only'!$B15,'Plan Figures'!$B$1:$AP$1,0))</f>
        <v>#N/A</v>
      </c>
      <c r="J15" s="31" t="e">
        <f>INDEX('Plan Figures'!$B$94:$AP$120,MATCH('Current - MGA only'!J$4,'Plan Figures'!$B$94:$B$120,0),MATCH('Current - MGA only'!$B15,'Plan Figures'!$B$1:$AP$1,0))</f>
        <v>#N/A</v>
      </c>
      <c r="K15" s="31" t="e">
        <f>INDEX('Plan Figures'!$B$94:$AP$120,MATCH('Current - MGA only'!K$4,'Plan Figures'!$B$94:$B$120,0),MATCH('Current - MGA only'!$B15,'Plan Figures'!$B$1:$AP$1,0))</f>
        <v>#N/A</v>
      </c>
      <c r="L15" s="31" t="e">
        <f>INDEX('Plan Figures'!$B$94:$AP$120,MATCH('Current - MGA only'!L$4,'Plan Figures'!$B$94:$B$120,0),MATCH('Current - MGA only'!$B15,'Plan Figures'!$B$1:$AP$1,0))</f>
        <v>#N/A</v>
      </c>
      <c r="M15" s="31" t="e">
        <f>INDEX('Plan Figures'!$B$94:$AP$120,MATCH('Current - MGA only'!M$4,'Plan Figures'!$B$94:$B$120,0),MATCH('Current - MGA only'!$B15,'Plan Figures'!$B$1:$AP$1,0))</f>
        <v>#N/A</v>
      </c>
      <c r="N15" s="31" t="e">
        <f>INDEX('Plan Figures'!$B$94:$AP$120,MATCH('Current - MGA only'!N$4,'Plan Figures'!$B$94:$B$120,0),MATCH('Current - MGA only'!$B15,'Plan Figures'!$B$1:$AP$1,0))</f>
        <v>#N/A</v>
      </c>
      <c r="O15" s="31" t="e">
        <f>INDEX('Plan Figures'!$B$94:$AP$120,MATCH('Current - MGA only'!O$4,'Plan Figures'!$B$94:$B$120,0),MATCH('Current - MGA only'!$B15,'Plan Figures'!$B$1:$AP$1,0))</f>
        <v>#N/A</v>
      </c>
      <c r="P15" s="240" t="str">
        <f ca="1">INDEX('Plan Figures'!$B$94:$AP$120,MATCH('Current - MGA only'!P$4,'Plan Figures'!$B$94:$B$120,0),MATCH('Current - MGA only'!$B15,'Plan Figures'!$B$1:$AP$1,0))</f>
        <v>-</v>
      </c>
      <c r="Q15" s="31" t="str">
        <f ca="1">INDEX('Plan Figures'!$B$94:$AP$120,MATCH('Current - MGA only'!Q$4,'Plan Figures'!$B$94:$B$120,0),MATCH('Current - MGA only'!$B15,'Plan Figures'!$B$1:$AP$1,0))</f>
        <v>-</v>
      </c>
      <c r="R15" s="31" t="str">
        <f ca="1">INDEX('Plan Figures'!$B$94:$AP$120,MATCH('Current - MGA only'!R$4,'Plan Figures'!$B$94:$B$120,0),MATCH('Current - MGA only'!$B15,'Plan Figures'!$B$1:$AP$1,0))</f>
        <v>-</v>
      </c>
      <c r="S15" s="31" t="str">
        <f ca="1">INDEX('Plan Figures'!$B$94:$AP$120,MATCH('Current - MGA only'!S$4,'Plan Figures'!$B$94:$B$120,0),MATCH('Current - MGA only'!$B15,'Plan Figures'!$B$1:$AP$1,0))</f>
        <v>-</v>
      </c>
      <c r="T15" s="31" t="str">
        <f ca="1">INDEX('Plan Figures'!$B$94:$AP$120,MATCH('Current - MGA only'!T$4,'Plan Figures'!$B$94:$B$120,0),MATCH('Current - MGA only'!$B15,'Plan Figures'!$B$1:$AP$1,0))</f>
        <v>-</v>
      </c>
      <c r="U15" s="31" t="str">
        <f ca="1">INDEX('Plan Figures'!$B$94:$AP$120,MATCH('Current - MGA only'!U$4,'Plan Figures'!$B$94:$B$120,0),MATCH('Current - MGA only'!$B15,'Plan Figures'!$B$1:$AP$1,0))</f>
        <v>-</v>
      </c>
      <c r="V15" s="31" t="str">
        <f ca="1">INDEX('Plan Figures'!$B$94:$AP$120,MATCH('Current - MGA only'!V$4,'Plan Figures'!$B$94:$B$120,0),MATCH('Current - MGA only'!$B15,'Plan Figures'!$B$1:$AP$1,0))</f>
        <v>-</v>
      </c>
      <c r="W15" s="31" t="str">
        <f ca="1">INDEX('Plan Figures'!$B$94:$AP$120,MATCH('Current - MGA only'!W$4,'Plan Figures'!$B$94:$B$120,0),MATCH('Current - MGA only'!$B15,'Plan Figures'!$B$1:$AP$1,0))</f>
        <v>-</v>
      </c>
      <c r="X15" s="31" t="str">
        <f ca="1">INDEX('Plan Figures'!$B$94:$AP$120,MATCH('Current - MGA only'!X$4,'Plan Figures'!$B$94:$B$120,0),MATCH('Current - MGA only'!$B15,'Plan Figures'!$B$1:$AP$1,0))</f>
        <v>-</v>
      </c>
      <c r="Y15" s="31" t="str">
        <f ca="1">INDEX('Plan Figures'!$B$94:$AP$120,MATCH('Current - MGA only'!Y$4,'Plan Figures'!$B$94:$B$120,0),MATCH('Current - MGA only'!$B15,'Plan Figures'!$B$1:$AP$1,0))</f>
        <v>-</v>
      </c>
      <c r="Z15" s="31" t="str">
        <f ca="1">INDEX('Plan Figures'!$B$94:$AP$120,MATCH('Current - MGA only'!Z$4,'Plan Figures'!$B$94:$B$120,0),MATCH('Current - MGA only'!$B15,'Plan Figures'!$B$1:$AP$1,0))</f>
        <v>-</v>
      </c>
      <c r="AA15" s="31">
        <f ca="1">INDEX('Plan Figures'!$B$94:$AP$120,MATCH('Current - MGA only'!AA$4,'Plan Figures'!$B$94:$B$120,0),MATCH('Current - MGA only'!$B15,'Plan Figures'!$B$1:$AP$1,0))</f>
        <v>2730383.5064988472</v>
      </c>
      <c r="AB15" s="240">
        <f ca="1">INDEX('Plan Figures'!$B$94:$AP$120,MATCH('Current - MGA only'!AB$4,'Plan Figures'!$B$94:$B$120,0),MATCH('Current - MGA only'!$B15,'Plan Figures'!$B$1:$AP$1,0))</f>
        <v>2820707.4327293462</v>
      </c>
      <c r="AC15" s="31">
        <f ca="1">INDEX('Plan Figures'!$B$94:$AP$120,MATCH('Current - MGA only'!AC$4,'Plan Figures'!$B$94:$B$120,0),MATCH('Current - MGA only'!$B15,'Plan Figures'!$B$1:$AP$1,0))</f>
        <v>7198457.7531405166</v>
      </c>
      <c r="AD15" s="31">
        <f ca="1">INDEX('Plan Figures'!$B$94:$AP$120,MATCH('Current - MGA only'!AD$4,'Plan Figures'!$B$94:$B$120,0),MATCH('Current - MGA only'!$B15,'Plan Figures'!$B$1:$AP$1,0))</f>
        <v>7198457.7531405166</v>
      </c>
      <c r="AE15" s="31">
        <f ca="1">INDEX('Plan Figures'!$B$94:$AP$120,MATCH('Current - MGA only'!AE$4,'Plan Figures'!$B$94:$B$120,0),MATCH('Current - MGA only'!$B15,'Plan Figures'!$B$1:$AP$1,0))</f>
        <v>7198457.7531405166</v>
      </c>
      <c r="AF15" s="31">
        <f ca="1">INDEX('Plan Figures'!$B$94:$AP$120,MATCH('Current - MGA only'!AF$4,'Plan Figures'!$B$94:$B$120,0),MATCH('Current - MGA only'!$B15,'Plan Figures'!$B$1:$AP$1,0))</f>
        <v>7198457.7531405166</v>
      </c>
      <c r="AG15" s="31">
        <f ca="1">INDEX('Plan Figures'!$B$94:$AP$120,MATCH('Current - MGA only'!AG$4,'Plan Figures'!$B$94:$B$120,0),MATCH('Current - MGA only'!$B15,'Plan Figures'!$B$1:$AP$1,0))</f>
        <v>7199202.3378039896</v>
      </c>
      <c r="AH15" s="31">
        <f ca="1">INDEX('Plan Figures'!$B$94:$AP$120,MATCH('Current - MGA only'!AH$4,'Plan Figures'!$B$94:$B$120,0),MATCH('Current - MGA only'!$B15,'Plan Figures'!$B$1:$AP$1,0))</f>
        <v>7318060.3548614681</v>
      </c>
      <c r="AI15" s="31">
        <f ca="1">INDEX('Plan Figures'!$B$94:$AP$120,MATCH('Current - MGA only'!AI$4,'Plan Figures'!$B$94:$B$120,0),MATCH('Current - MGA only'!$B15,'Plan Figures'!$B$1:$AP$1,0))</f>
        <v>5702766.7093693437</v>
      </c>
      <c r="AJ15" s="31">
        <f ca="1">INDEX('Plan Figures'!$B$94:$AP$120,MATCH('Current - MGA only'!AJ$4,'Plan Figures'!$B$94:$B$120,0),MATCH('Current - MGA only'!$B15,'Plan Figures'!$B$1:$AP$1,0))</f>
        <v>5426953.6412024517</v>
      </c>
      <c r="AK15" s="31">
        <f ca="1">INDEX('Plan Figures'!$B$94:$AP$120,MATCH('Current - MGA only'!AK$4,'Plan Figures'!$B$94:$B$120,0),MATCH('Current - MGA only'!$B15,'Plan Figures'!$B$1:$AP$1,0))</f>
        <v>6639050.0501694726</v>
      </c>
      <c r="AL15" s="31">
        <f ca="1">INDEX('Plan Figures'!$B$94:$AP$120,MATCH('Current - MGA only'!AL$4,'Plan Figures'!$B$94:$B$120,0),MATCH('Current - MGA only'!$B15,'Plan Figures'!$B$1:$AP$1,0))</f>
        <v>6813714.3506357027</v>
      </c>
      <c r="AM15" s="31">
        <f ca="1">INDEX('Plan Figures'!$B$94:$AP$120,MATCH('Current - MGA only'!AM$4,'Plan Figures'!$B$94:$B$120,0),MATCH('Current - MGA only'!$B15,'Plan Figures'!$B$1:$AP$1,0))</f>
        <v>5575144.8181224335</v>
      </c>
      <c r="AN15" s="266">
        <f ca="1">INDEX('Plan Figures'!$B$94:$AP$120,MATCH('Current - MGA only'!AN$4,'Plan Figures'!$B$94:$B$120,0),MATCH('Current - MGA only'!$B15,'Plan Figures'!$B$1:$AP$1,0))</f>
        <v>4837687.2736693304</v>
      </c>
      <c r="AO15" s="239">
        <f t="shared" ca="1" si="11"/>
        <v>4249849.5641229032</v>
      </c>
      <c r="AP15" s="31">
        <f t="shared" ref="AP15:AP16" ca="1" si="12">AVERAGE(R15:AC15)</f>
        <v>4249849.5641229032</v>
      </c>
      <c r="AQ15" s="240">
        <f ca="1">SUMIFS(AC15:AN15,AC$4:AN$4,"&lt;"&amp;'Title Sheet'!$C$13)</f>
        <v>78306410.54839626</v>
      </c>
      <c r="AR15" s="3"/>
    </row>
    <row r="16" spans="2:44" ht="15.75" hidden="1" x14ac:dyDescent="0.25">
      <c r="B16" t="str">
        <f t="shared" si="3"/>
        <v>PC Annual Direct</v>
      </c>
      <c r="D16" s="213" t="s">
        <v>0</v>
      </c>
      <c r="E16" s="214" t="str">
        <f t="shared" ref="E16:AN16" si="13">IFERROR(IF(E14=0,"-",(E14/E15)-1),"-")</f>
        <v>-</v>
      </c>
      <c r="F16" s="214" t="str">
        <f t="shared" si="13"/>
        <v>-</v>
      </c>
      <c r="G16" s="214" t="str">
        <f t="shared" si="13"/>
        <v>-</v>
      </c>
      <c r="H16" s="214" t="str">
        <f t="shared" si="13"/>
        <v>-</v>
      </c>
      <c r="I16" s="214" t="str">
        <f t="shared" si="13"/>
        <v>-</v>
      </c>
      <c r="J16" s="214" t="str">
        <f t="shared" si="13"/>
        <v>-</v>
      </c>
      <c r="K16" s="214" t="str">
        <f t="shared" si="13"/>
        <v>-</v>
      </c>
      <c r="L16" s="214" t="str">
        <f t="shared" si="13"/>
        <v>-</v>
      </c>
      <c r="M16" s="214" t="str">
        <f t="shared" si="13"/>
        <v>-</v>
      </c>
      <c r="N16" s="214" t="str">
        <f t="shared" si="13"/>
        <v>-</v>
      </c>
      <c r="O16" s="214" t="str">
        <f t="shared" si="13"/>
        <v>-</v>
      </c>
      <c r="P16" s="294" t="str">
        <f t="shared" ca="1" si="13"/>
        <v>-</v>
      </c>
      <c r="Q16" s="214" t="str">
        <f t="shared" ca="1" si="13"/>
        <v>-</v>
      </c>
      <c r="R16" s="214" t="str">
        <f t="shared" ca="1" si="13"/>
        <v>-</v>
      </c>
      <c r="S16" s="214" t="str">
        <f t="shared" ca="1" si="13"/>
        <v>-</v>
      </c>
      <c r="T16" s="214" t="str">
        <f t="shared" ca="1" si="13"/>
        <v>-</v>
      </c>
      <c r="U16" s="214" t="str">
        <f t="shared" ca="1" si="13"/>
        <v>-</v>
      </c>
      <c r="V16" s="214" t="str">
        <f t="shared" ca="1" si="13"/>
        <v>-</v>
      </c>
      <c r="W16" s="214" t="str">
        <f t="shared" ca="1" si="13"/>
        <v>-</v>
      </c>
      <c r="X16" s="214" t="str">
        <f t="shared" ca="1" si="13"/>
        <v>-</v>
      </c>
      <c r="Y16" s="214" t="str">
        <f t="shared" ca="1" si="13"/>
        <v>-</v>
      </c>
      <c r="Z16" s="214" t="str">
        <f t="shared" ca="1" si="13"/>
        <v>-</v>
      </c>
      <c r="AA16" s="214">
        <f t="shared" ca="1" si="13"/>
        <v>0.65968531524159335</v>
      </c>
      <c r="AB16" s="294">
        <f t="shared" ca="1" si="13"/>
        <v>0.5729878523730727</v>
      </c>
      <c r="AC16" s="214">
        <f t="shared" ca="1" si="13"/>
        <v>-0.3195268089586385</v>
      </c>
      <c r="AD16" s="214">
        <f t="shared" ca="1" si="13"/>
        <v>-0.16363177422860598</v>
      </c>
      <c r="AE16" s="214">
        <f t="shared" ca="1" si="13"/>
        <v>0.16406640886426294</v>
      </c>
      <c r="AF16" s="214">
        <f t="shared" ca="1" si="13"/>
        <v>2.8079539776530105E-2</v>
      </c>
      <c r="AG16" s="214">
        <f t="shared" ca="1" si="13"/>
        <v>-2.3867903208163455E-2</v>
      </c>
      <c r="AH16" s="214">
        <f t="shared" ca="1" si="13"/>
        <v>-0.19387685353441475</v>
      </c>
      <c r="AI16" s="214">
        <f t="shared" ca="1" si="13"/>
        <v>-0.11826849376469095</v>
      </c>
      <c r="AJ16" s="214">
        <f t="shared" ca="1" si="13"/>
        <v>-0.19464933018459951</v>
      </c>
      <c r="AK16" s="214">
        <f t="shared" ca="1" si="13"/>
        <v>-0.39679747692694645</v>
      </c>
      <c r="AL16" s="214">
        <f t="shared" ca="1" si="13"/>
        <v>-0.4423314027156815</v>
      </c>
      <c r="AM16" s="214">
        <f t="shared" ca="1" si="13"/>
        <v>-0.28505066337886464</v>
      </c>
      <c r="AN16" s="270">
        <f t="shared" ca="1" si="13"/>
        <v>-0.1838964460819601</v>
      </c>
      <c r="AO16" s="241">
        <f t="shared" ca="1" si="11"/>
        <v>0.30438211955200917</v>
      </c>
      <c r="AP16" s="242">
        <f t="shared" ca="1" si="12"/>
        <v>0.30438211955200917</v>
      </c>
      <c r="AQ16" s="243">
        <f t="shared" ref="AQ16" ca="1" si="14">IFERROR(IF(AQ14=0,"-",(AQ14/AQ15)-1),"-")</f>
        <v>-0.17295385297537624</v>
      </c>
    </row>
    <row r="17" spans="2:44" x14ac:dyDescent="0.25">
      <c r="B17" t="str">
        <f t="shared" si="3"/>
        <v>PC Annual Direct</v>
      </c>
      <c r="D17" s="254" t="s">
        <v>17</v>
      </c>
      <c r="E17" s="259"/>
      <c r="F17" s="259"/>
      <c r="G17" s="259"/>
      <c r="H17" s="259"/>
      <c r="I17" s="259"/>
      <c r="J17" s="259"/>
      <c r="K17" s="259"/>
      <c r="L17" s="259"/>
      <c r="M17" s="259"/>
      <c r="N17" s="259"/>
      <c r="O17" s="259"/>
      <c r="P17" s="313"/>
      <c r="Q17" s="259"/>
      <c r="R17" s="259"/>
      <c r="S17" s="259"/>
      <c r="T17" s="259"/>
      <c r="U17" s="259"/>
      <c r="V17" s="259"/>
      <c r="W17" s="259"/>
      <c r="X17" s="259"/>
      <c r="Y17" s="259"/>
      <c r="Z17" s="259"/>
      <c r="AA17" s="259"/>
      <c r="AB17" s="313"/>
      <c r="AC17" s="259"/>
      <c r="AD17" s="259"/>
      <c r="AE17" s="259"/>
      <c r="AF17" s="259"/>
      <c r="AG17" s="259"/>
      <c r="AH17" s="259"/>
      <c r="AI17" s="259"/>
      <c r="AJ17" s="259"/>
      <c r="AK17" s="259"/>
      <c r="AL17" s="259"/>
      <c r="AM17" s="259"/>
      <c r="AN17" s="267"/>
      <c r="AO17" s="277"/>
      <c r="AP17" s="277"/>
      <c r="AQ17" s="278"/>
    </row>
    <row r="18" spans="2:44" ht="16.5" thickBot="1" x14ac:dyDescent="0.3">
      <c r="D18" s="260" t="s">
        <v>198</v>
      </c>
      <c r="E18" s="261">
        <v>2.9516698974145189E-2</v>
      </c>
      <c r="F18" s="261">
        <v>9.2367606313640174E-2</v>
      </c>
      <c r="G18" s="261">
        <v>0.43927189120481591</v>
      </c>
      <c r="H18" s="261">
        <v>0.46790973807927105</v>
      </c>
      <c r="I18" s="261">
        <v>0.53871339329105239</v>
      </c>
      <c r="J18" s="261">
        <v>0.58822268411269074</v>
      </c>
      <c r="K18" s="261">
        <v>0.60658797543647336</v>
      </c>
      <c r="L18" s="261">
        <v>0.52294010847989936</v>
      </c>
      <c r="M18" s="261">
        <v>0.51998918919452586</v>
      </c>
      <c r="N18" s="261">
        <v>0.55601298723167447</v>
      </c>
      <c r="O18" s="261">
        <v>0.51580449616041879</v>
      </c>
      <c r="P18" s="262">
        <v>0.47335766485683872</v>
      </c>
      <c r="Q18" s="261">
        <v>0.40492146297735487</v>
      </c>
      <c r="R18" s="261">
        <v>0.43647761773757399</v>
      </c>
      <c r="S18" s="261">
        <v>0.41974189886008118</v>
      </c>
      <c r="T18" s="261">
        <v>0.37357172627847784</v>
      </c>
      <c r="U18" s="261">
        <v>0.36895126900168551</v>
      </c>
      <c r="V18" s="261">
        <v>0.15098563422588682</v>
      </c>
      <c r="W18" s="261">
        <v>0.14388503609798023</v>
      </c>
      <c r="X18" s="261">
        <v>0.13085975481164358</v>
      </c>
      <c r="Y18" s="261">
        <v>0.11416684694887176</v>
      </c>
      <c r="Z18" s="261">
        <v>9.8958793190375441E-2</v>
      </c>
      <c r="AA18" s="261">
        <v>7.2163673443229673E-2</v>
      </c>
      <c r="AB18" s="262">
        <v>5.886891469997925E-2</v>
      </c>
      <c r="AC18" s="261">
        <v>4.2918266481539458E-2</v>
      </c>
      <c r="AD18" s="261">
        <v>2.4597007696650099E-2</v>
      </c>
      <c r="AE18" s="261">
        <v>1.4702260955535224E-2</v>
      </c>
      <c r="AF18" s="261">
        <v>7.6112088589300143E-3</v>
      </c>
      <c r="AG18" s="261">
        <v>0</v>
      </c>
      <c r="AH18" s="261">
        <v>0</v>
      </c>
      <c r="AI18" s="261" t="s">
        <v>491</v>
      </c>
      <c r="AJ18" s="261" t="s">
        <v>491</v>
      </c>
      <c r="AK18" s="261" t="s">
        <v>491</v>
      </c>
      <c r="AL18" s="261" t="s">
        <v>491</v>
      </c>
      <c r="AM18" s="261" t="s">
        <v>491</v>
      </c>
      <c r="AN18" s="268" t="s">
        <v>491</v>
      </c>
      <c r="AO18" s="261"/>
      <c r="AP18" s="261"/>
      <c r="AQ18" s="262"/>
    </row>
    <row r="20" spans="2:44" ht="15.75" thickBot="1" x14ac:dyDescent="0.3"/>
    <row r="21" spans="2:44" ht="18.75" x14ac:dyDescent="0.25">
      <c r="D21" s="255" t="s">
        <v>183</v>
      </c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33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33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63"/>
      <c r="AO21" s="202"/>
      <c r="AP21" s="202"/>
      <c r="AQ21" s="233"/>
    </row>
    <row r="22" spans="2:44" x14ac:dyDescent="0.25">
      <c r="D22" s="204"/>
      <c r="E22" s="303" t="s">
        <v>341</v>
      </c>
      <c r="F22" s="303"/>
      <c r="G22" s="303"/>
      <c r="H22" s="303"/>
      <c r="I22" s="303"/>
      <c r="J22" s="303"/>
      <c r="K22" s="303"/>
      <c r="L22" s="303"/>
      <c r="M22" s="303"/>
      <c r="N22" s="303"/>
      <c r="O22" s="303"/>
      <c r="P22" s="317"/>
      <c r="Q22" s="320" t="s">
        <v>341</v>
      </c>
      <c r="R22" s="303"/>
      <c r="S22" s="303"/>
      <c r="T22" s="303"/>
      <c r="U22" s="303"/>
      <c r="V22" s="303"/>
      <c r="W22" s="303"/>
      <c r="X22" s="303"/>
      <c r="Y22" s="303"/>
      <c r="Z22" s="303"/>
      <c r="AA22" s="303"/>
      <c r="AB22" s="317"/>
      <c r="AC22" s="303" t="s">
        <v>341</v>
      </c>
      <c r="AD22" s="303"/>
      <c r="AE22" s="303"/>
      <c r="AF22" s="303"/>
      <c r="AG22" s="303"/>
      <c r="AH22" s="303"/>
      <c r="AI22" s="303"/>
      <c r="AJ22" s="303"/>
      <c r="AK22" s="303"/>
      <c r="AL22" s="303"/>
      <c r="AM22" s="303"/>
      <c r="AN22" s="317"/>
      <c r="AO22" s="510" t="s">
        <v>8</v>
      </c>
      <c r="AP22" s="511"/>
      <c r="AQ22" s="512"/>
    </row>
    <row r="23" spans="2:44" x14ac:dyDescent="0.25">
      <c r="D23" s="321" t="s">
        <v>16</v>
      </c>
      <c r="E23" s="318">
        <f t="shared" ref="E23:AN23" si="15">E$4</f>
        <v>44562</v>
      </c>
      <c r="F23" s="318">
        <f t="shared" si="15"/>
        <v>44593</v>
      </c>
      <c r="G23" s="318">
        <f t="shared" si="15"/>
        <v>44621</v>
      </c>
      <c r="H23" s="318">
        <f t="shared" si="15"/>
        <v>44652</v>
      </c>
      <c r="I23" s="318">
        <f t="shared" si="15"/>
        <v>44682</v>
      </c>
      <c r="J23" s="318">
        <f t="shared" si="15"/>
        <v>44713</v>
      </c>
      <c r="K23" s="318">
        <f t="shared" si="15"/>
        <v>44743</v>
      </c>
      <c r="L23" s="318">
        <f t="shared" si="15"/>
        <v>44774</v>
      </c>
      <c r="M23" s="318">
        <f t="shared" si="15"/>
        <v>44805</v>
      </c>
      <c r="N23" s="318">
        <f t="shared" si="15"/>
        <v>44835</v>
      </c>
      <c r="O23" s="318">
        <f t="shared" si="15"/>
        <v>44866</v>
      </c>
      <c r="P23" s="319">
        <f t="shared" si="15"/>
        <v>44896</v>
      </c>
      <c r="Q23" s="318">
        <f t="shared" si="15"/>
        <v>44927</v>
      </c>
      <c r="R23" s="318">
        <f t="shared" si="15"/>
        <v>44958</v>
      </c>
      <c r="S23" s="318">
        <f t="shared" si="15"/>
        <v>44986</v>
      </c>
      <c r="T23" s="318">
        <f t="shared" si="15"/>
        <v>45017</v>
      </c>
      <c r="U23" s="318">
        <f t="shared" si="15"/>
        <v>45047</v>
      </c>
      <c r="V23" s="318">
        <f t="shared" si="15"/>
        <v>45078</v>
      </c>
      <c r="W23" s="318">
        <f t="shared" si="15"/>
        <v>45108</v>
      </c>
      <c r="X23" s="318">
        <f t="shared" si="15"/>
        <v>45139</v>
      </c>
      <c r="Y23" s="318">
        <f t="shared" si="15"/>
        <v>45170</v>
      </c>
      <c r="Z23" s="318">
        <f t="shared" si="15"/>
        <v>45200</v>
      </c>
      <c r="AA23" s="318">
        <f t="shared" si="15"/>
        <v>45231</v>
      </c>
      <c r="AB23" s="319">
        <f t="shared" si="15"/>
        <v>45261</v>
      </c>
      <c r="AC23" s="318">
        <f t="shared" si="15"/>
        <v>45292</v>
      </c>
      <c r="AD23" s="318">
        <f t="shared" si="15"/>
        <v>45323</v>
      </c>
      <c r="AE23" s="318">
        <f t="shared" si="15"/>
        <v>45352</v>
      </c>
      <c r="AF23" s="318">
        <f t="shared" si="15"/>
        <v>45383</v>
      </c>
      <c r="AG23" s="318">
        <f t="shared" si="15"/>
        <v>45413</v>
      </c>
      <c r="AH23" s="318">
        <f t="shared" si="15"/>
        <v>45444</v>
      </c>
      <c r="AI23" s="318">
        <f t="shared" si="15"/>
        <v>45474</v>
      </c>
      <c r="AJ23" s="318">
        <f t="shared" si="15"/>
        <v>45505</v>
      </c>
      <c r="AK23" s="318">
        <f t="shared" si="15"/>
        <v>45536</v>
      </c>
      <c r="AL23" s="318">
        <f t="shared" si="15"/>
        <v>45566</v>
      </c>
      <c r="AM23" s="318">
        <f t="shared" si="15"/>
        <v>45597</v>
      </c>
      <c r="AN23" s="316">
        <f t="shared" si="15"/>
        <v>45627</v>
      </c>
      <c r="AO23" s="271" t="s">
        <v>9</v>
      </c>
      <c r="AP23" s="272" t="str">
        <f>AP4</f>
        <v>Last Year</v>
      </c>
      <c r="AQ23" s="273" t="s">
        <v>346</v>
      </c>
    </row>
    <row r="24" spans="2:44" ht="15.75" x14ac:dyDescent="0.25">
      <c r="B24" t="str">
        <f>$D$2</f>
        <v>PC Annual Direct</v>
      </c>
      <c r="D24" s="208" t="s">
        <v>316</v>
      </c>
      <c r="E24" s="209">
        <f t="shared" ref="E24:AB24" si="16">E41+E58</f>
        <v>32.958904109999992</v>
      </c>
      <c r="F24" s="209">
        <f t="shared" si="16"/>
        <v>183.15890411399999</v>
      </c>
      <c r="G24" s="209">
        <f t="shared" si="16"/>
        <v>777.1561644049998</v>
      </c>
      <c r="H24" s="209">
        <f t="shared" si="16"/>
        <v>598.16438357899995</v>
      </c>
      <c r="I24" s="209">
        <f t="shared" si="16"/>
        <v>651.84109590900027</v>
      </c>
      <c r="J24" s="209">
        <f t="shared" si="16"/>
        <v>1090.9917808519999</v>
      </c>
      <c r="K24" s="209">
        <f t="shared" si="16"/>
        <v>2201.4493151239999</v>
      </c>
      <c r="L24" s="209">
        <f t="shared" si="16"/>
        <v>1903.8082192210006</v>
      </c>
      <c r="M24" s="209">
        <f t="shared" si="16"/>
        <v>2736.468493230997</v>
      </c>
      <c r="N24" s="209">
        <f t="shared" si="16"/>
        <v>3687.6602740729986</v>
      </c>
      <c r="O24" s="209">
        <f t="shared" si="16"/>
        <v>3341.5972603647956</v>
      </c>
      <c r="P24" s="238">
        <f t="shared" si="16"/>
        <v>2526.2575343179969</v>
      </c>
      <c r="Q24" s="209">
        <f t="shared" si="16"/>
        <v>2004.9287671809998</v>
      </c>
      <c r="R24" s="209">
        <f t="shared" si="16"/>
        <v>2177.1205480079975</v>
      </c>
      <c r="S24" s="209">
        <f t="shared" si="16"/>
        <v>2686.721311545401</v>
      </c>
      <c r="T24" s="209">
        <f t="shared" si="16"/>
        <v>1944.6939891300005</v>
      </c>
      <c r="U24" s="209">
        <f t="shared" si="16"/>
        <v>1627.2103825526017</v>
      </c>
      <c r="V24" s="209">
        <f t="shared" si="16"/>
        <v>1168.2404371882005</v>
      </c>
      <c r="W24" s="209">
        <f t="shared" si="16"/>
        <v>657.13661201320099</v>
      </c>
      <c r="X24" s="209">
        <f t="shared" si="16"/>
        <v>858.71038251520122</v>
      </c>
      <c r="Y24" s="209">
        <f t="shared" si="16"/>
        <v>863.89344265020111</v>
      </c>
      <c r="Z24" s="209">
        <f t="shared" si="16"/>
        <v>1089.696721341802</v>
      </c>
      <c r="AA24" s="209">
        <f t="shared" si="16"/>
        <v>1822.3606557956</v>
      </c>
      <c r="AB24" s="238">
        <f t="shared" si="16"/>
        <v>1644.6256831067997</v>
      </c>
      <c r="AC24" s="209">
        <f>AC41+AC58</f>
        <v>1928.9098361332008</v>
      </c>
      <c r="AD24" s="209">
        <f t="shared" ref="AD24:AN24" si="17">AD41+AD58</f>
        <v>2938.8278689344006</v>
      </c>
      <c r="AE24" s="209">
        <f t="shared" si="17"/>
        <v>4719.2684932679986</v>
      </c>
      <c r="AF24" s="209">
        <f t="shared" si="17"/>
        <v>4813.9671234189964</v>
      </c>
      <c r="AG24" s="209">
        <f t="shared" si="17"/>
        <v>4822.7863015119965</v>
      </c>
      <c r="AH24" s="209">
        <f t="shared" si="17"/>
        <v>4094.0109590139946</v>
      </c>
      <c r="AI24" s="209">
        <f t="shared" si="17"/>
        <v>3413.1726028770031</v>
      </c>
      <c r="AJ24" s="209">
        <f t="shared" si="17"/>
        <v>2981.5780822710012</v>
      </c>
      <c r="AK24" s="209">
        <f t="shared" si="17"/>
        <v>2786.4410959410015</v>
      </c>
      <c r="AL24" s="209">
        <f t="shared" si="17"/>
        <v>2784.8684932270007</v>
      </c>
      <c r="AM24" s="209">
        <f t="shared" si="17"/>
        <v>3062.2739727180015</v>
      </c>
      <c r="AN24" s="265">
        <f t="shared" si="17"/>
        <v>3179.8547945970022</v>
      </c>
      <c r="AO24" s="237">
        <f t="shared" ref="AO24:AO29" si="18">AVERAGE(Z24:AC24)</f>
        <v>1621.3982240943506</v>
      </c>
      <c r="AP24" s="209">
        <f>AVERAGE(R24:AC24)</f>
        <v>1539.1100001650173</v>
      </c>
      <c r="AQ24" s="238">
        <f>SUMIFS(AC24:AN24,AC$4:AN$4,"&lt;"&amp;'Title Sheet'!$C$13)</f>
        <v>41525.959623911593</v>
      </c>
    </row>
    <row r="25" spans="2:44" ht="15.75" hidden="1" x14ac:dyDescent="0.25">
      <c r="B25" t="str">
        <f>$D$21&amp;"_W VYRs"</f>
        <v>PC Annual Direct - Annual_W VYRs</v>
      </c>
      <c r="D25" s="211" t="s">
        <v>317</v>
      </c>
      <c r="E25" s="31" t="str">
        <f>IFERROR(E42+E59,"-")</f>
        <v>-</v>
      </c>
      <c r="F25" s="31" t="str">
        <f t="shared" ref="F25:AN25" si="19">IFERROR(F42+F59,"-")</f>
        <v>-</v>
      </c>
      <c r="G25" s="31" t="str">
        <f t="shared" si="19"/>
        <v>-</v>
      </c>
      <c r="H25" s="31" t="str">
        <f t="shared" si="19"/>
        <v>-</v>
      </c>
      <c r="I25" s="31" t="str">
        <f t="shared" si="19"/>
        <v>-</v>
      </c>
      <c r="J25" s="31" t="str">
        <f t="shared" si="19"/>
        <v>-</v>
      </c>
      <c r="K25" s="31" t="str">
        <f t="shared" si="19"/>
        <v>-</v>
      </c>
      <c r="L25" s="31" t="str">
        <f t="shared" si="19"/>
        <v>-</v>
      </c>
      <c r="M25" s="31" t="str">
        <f t="shared" si="19"/>
        <v>-</v>
      </c>
      <c r="N25" s="31" t="str">
        <f t="shared" si="19"/>
        <v>-</v>
      </c>
      <c r="O25" s="31" t="str">
        <f t="shared" si="19"/>
        <v>-</v>
      </c>
      <c r="P25" s="240" t="str">
        <f t="shared" ca="1" si="19"/>
        <v>-</v>
      </c>
      <c r="Q25" s="31" t="str">
        <f t="shared" ca="1" si="19"/>
        <v>-</v>
      </c>
      <c r="R25" s="31" t="str">
        <f t="shared" ca="1" si="19"/>
        <v>-</v>
      </c>
      <c r="S25" s="31" t="str">
        <f t="shared" ca="1" si="19"/>
        <v>-</v>
      </c>
      <c r="T25" s="31" t="str">
        <f t="shared" ca="1" si="19"/>
        <v>-</v>
      </c>
      <c r="U25" s="31" t="str">
        <f t="shared" ca="1" si="19"/>
        <v>-</v>
      </c>
      <c r="V25" s="31" t="str">
        <f t="shared" ca="1" si="19"/>
        <v>-</v>
      </c>
      <c r="W25" s="31" t="str">
        <f t="shared" ca="1" si="19"/>
        <v>-</v>
      </c>
      <c r="X25" s="31" t="str">
        <f t="shared" ca="1" si="19"/>
        <v>-</v>
      </c>
      <c r="Y25" s="31" t="str">
        <f t="shared" ca="1" si="19"/>
        <v>-</v>
      </c>
      <c r="Z25" s="31" t="str">
        <f t="shared" ca="1" si="19"/>
        <v>-</v>
      </c>
      <c r="AA25" s="31">
        <f t="shared" ca="1" si="19"/>
        <v>1113.4200697273855</v>
      </c>
      <c r="AB25" s="240">
        <f t="shared" ca="1" si="19"/>
        <v>989.67431218271486</v>
      </c>
      <c r="AC25" s="31">
        <f t="shared" ca="1" si="19"/>
        <v>3440.5967237575701</v>
      </c>
      <c r="AD25" s="31">
        <f t="shared" ca="1" si="19"/>
        <v>3433.7292652271162</v>
      </c>
      <c r="AE25" s="31">
        <f t="shared" ca="1" si="19"/>
        <v>3426.8755141987185</v>
      </c>
      <c r="AF25" s="31">
        <f t="shared" ca="1" si="19"/>
        <v>3420.0354433120947</v>
      </c>
      <c r="AG25" s="31">
        <f t="shared" ca="1" si="19"/>
        <v>3413.8988311276489</v>
      </c>
      <c r="AH25" s="31">
        <f t="shared" ca="1" si="19"/>
        <v>3512.7946396779298</v>
      </c>
      <c r="AI25" s="31">
        <f t="shared" ca="1" si="19"/>
        <v>3241.3746116313787</v>
      </c>
      <c r="AJ25" s="31">
        <f t="shared" ca="1" si="19"/>
        <v>3210.168278901921</v>
      </c>
      <c r="AK25" s="31">
        <f t="shared" ca="1" si="19"/>
        <v>4391.2742500945351</v>
      </c>
      <c r="AL25" s="31">
        <f t="shared" ca="1" si="19"/>
        <v>4703.1955264553853</v>
      </c>
      <c r="AM25" s="31">
        <f t="shared" ca="1" si="19"/>
        <v>3926.4797097622131</v>
      </c>
      <c r="AN25" s="266">
        <f t="shared" ca="1" si="19"/>
        <v>3573.0039203929732</v>
      </c>
      <c r="AO25" s="239">
        <f t="shared" ca="1" si="18"/>
        <v>1847.897035222557</v>
      </c>
      <c r="AP25" s="31">
        <f t="shared" ref="AP25:AP29" ca="1" si="20">AVERAGE(R25:AC25)</f>
        <v>1847.897035222557</v>
      </c>
      <c r="AQ25" s="240">
        <f ca="1">SUMIFS(AC25:AN25,AC$4:AN$4,"&lt;"&amp;'Title Sheet'!$C$13)</f>
        <v>43693.426714539484</v>
      </c>
    </row>
    <row r="26" spans="2:44" ht="15.75" hidden="1" x14ac:dyDescent="0.25">
      <c r="B26" t="str">
        <f t="shared" ref="B26:B35" si="21">$D$2</f>
        <v>PC Annual Direct</v>
      </c>
      <c r="D26" s="213" t="s">
        <v>0</v>
      </c>
      <c r="E26" s="214" t="str">
        <f t="shared" ref="E26:AN26" si="22">IFERROR(IF(E24=0,"-",(E24/E25)-1),"-")</f>
        <v>-</v>
      </c>
      <c r="F26" s="214" t="str">
        <f t="shared" si="22"/>
        <v>-</v>
      </c>
      <c r="G26" s="214" t="str">
        <f t="shared" si="22"/>
        <v>-</v>
      </c>
      <c r="H26" s="214" t="str">
        <f t="shared" si="22"/>
        <v>-</v>
      </c>
      <c r="I26" s="214" t="str">
        <f t="shared" si="22"/>
        <v>-</v>
      </c>
      <c r="J26" s="214" t="str">
        <f t="shared" si="22"/>
        <v>-</v>
      </c>
      <c r="K26" s="214" t="str">
        <f t="shared" si="22"/>
        <v>-</v>
      </c>
      <c r="L26" s="214" t="str">
        <f t="shared" si="22"/>
        <v>-</v>
      </c>
      <c r="M26" s="214" t="str">
        <f t="shared" si="22"/>
        <v>-</v>
      </c>
      <c r="N26" s="214" t="str">
        <f t="shared" si="22"/>
        <v>-</v>
      </c>
      <c r="O26" s="214" t="str">
        <f t="shared" si="22"/>
        <v>-</v>
      </c>
      <c r="P26" s="294" t="str">
        <f t="shared" ca="1" si="22"/>
        <v>-</v>
      </c>
      <c r="Q26" s="214" t="str">
        <f t="shared" ca="1" si="22"/>
        <v>-</v>
      </c>
      <c r="R26" s="214" t="str">
        <f t="shared" ca="1" si="22"/>
        <v>-</v>
      </c>
      <c r="S26" s="214" t="str">
        <f t="shared" ca="1" si="22"/>
        <v>-</v>
      </c>
      <c r="T26" s="214" t="str">
        <f t="shared" ca="1" si="22"/>
        <v>-</v>
      </c>
      <c r="U26" s="214" t="str">
        <f t="shared" ca="1" si="22"/>
        <v>-</v>
      </c>
      <c r="V26" s="214" t="str">
        <f t="shared" ca="1" si="22"/>
        <v>-</v>
      </c>
      <c r="W26" s="214" t="str">
        <f t="shared" ca="1" si="22"/>
        <v>-</v>
      </c>
      <c r="X26" s="214" t="str">
        <f t="shared" ca="1" si="22"/>
        <v>-</v>
      </c>
      <c r="Y26" s="214" t="str">
        <f t="shared" ca="1" si="22"/>
        <v>-</v>
      </c>
      <c r="Z26" s="214" t="str">
        <f t="shared" ca="1" si="22"/>
        <v>-</v>
      </c>
      <c r="AA26" s="214">
        <f t="shared" ca="1" si="22"/>
        <v>0.63672337632803289</v>
      </c>
      <c r="AB26" s="294">
        <f t="shared" ca="1" si="22"/>
        <v>0.66178475369295731</v>
      </c>
      <c r="AC26" s="214">
        <f t="shared" ca="1" si="22"/>
        <v>-0.43936764724155597</v>
      </c>
      <c r="AD26" s="214">
        <f t="shared" ca="1" si="22"/>
        <v>-0.14412941675527857</v>
      </c>
      <c r="AE26" s="214">
        <f t="shared" ca="1" si="22"/>
        <v>0.37713449867509152</v>
      </c>
      <c r="AF26" s="214">
        <f t="shared" ca="1" si="22"/>
        <v>0.40757813865138326</v>
      </c>
      <c r="AG26" s="214">
        <f t="shared" ca="1" si="22"/>
        <v>0.41269162915380719</v>
      </c>
      <c r="AH26" s="214">
        <f t="shared" ca="1" si="22"/>
        <v>0.16545695918886771</v>
      </c>
      <c r="AI26" s="214">
        <f t="shared" ca="1" si="22"/>
        <v>5.3001584768740617E-2</v>
      </c>
      <c r="AJ26" s="214">
        <f t="shared" ca="1" si="22"/>
        <v>-7.1208166292488606E-2</v>
      </c>
      <c r="AK26" s="214">
        <f t="shared" ca="1" si="22"/>
        <v>-0.36545955974373157</v>
      </c>
      <c r="AL26" s="214">
        <f t="shared" ca="1" si="22"/>
        <v>-0.40787737240304633</v>
      </c>
      <c r="AM26" s="214">
        <f t="shared" ca="1" si="22"/>
        <v>-0.22009682996593094</v>
      </c>
      <c r="AN26" s="270">
        <f t="shared" ca="1" si="22"/>
        <v>-0.1100332198215811</v>
      </c>
      <c r="AO26" s="274">
        <f t="shared" ca="1" si="18"/>
        <v>0.28638016092647806</v>
      </c>
      <c r="AP26" s="275">
        <f t="shared" ca="1" si="20"/>
        <v>0.28638016092647806</v>
      </c>
      <c r="AQ26" s="276">
        <f t="shared" ref="AQ26" ca="1" si="23">IFERROR(IF(AQ24=0,"-",(AQ24/AQ25)-1),"-")</f>
        <v>-4.9606250953684983E-2</v>
      </c>
    </row>
    <row r="27" spans="2:44" ht="15.75" x14ac:dyDescent="0.25">
      <c r="B27" t="str">
        <f t="shared" si="21"/>
        <v>PC Annual Direct</v>
      </c>
      <c r="D27" s="208" t="s">
        <v>5</v>
      </c>
      <c r="E27" s="209">
        <f t="shared" ref="E27:AB27" si="24">E44+E61</f>
        <v>54404.443214097795</v>
      </c>
      <c r="F27" s="209">
        <f t="shared" si="24"/>
        <v>154577.88964227081</v>
      </c>
      <c r="G27" s="209">
        <f t="shared" si="24"/>
        <v>483467.82464259694</v>
      </c>
      <c r="H27" s="209">
        <f t="shared" si="24"/>
        <v>538846.57178365299</v>
      </c>
      <c r="I27" s="209">
        <f t="shared" si="24"/>
        <v>694728.56106937001</v>
      </c>
      <c r="J27" s="209">
        <f t="shared" si="24"/>
        <v>973925.98714369722</v>
      </c>
      <c r="K27" s="209">
        <f t="shared" si="24"/>
        <v>1780448.7428612791</v>
      </c>
      <c r="L27" s="209">
        <f t="shared" si="24"/>
        <v>1529874.777141179</v>
      </c>
      <c r="M27" s="209">
        <f t="shared" si="24"/>
        <v>2131022.4157159706</v>
      </c>
      <c r="N27" s="209">
        <f t="shared" si="24"/>
        <v>2601431.4985689996</v>
      </c>
      <c r="O27" s="209">
        <f t="shared" si="24"/>
        <v>2062684.991425006</v>
      </c>
      <c r="P27" s="238">
        <f t="shared" si="24"/>
        <v>1540263.1332138116</v>
      </c>
      <c r="Q27" s="209">
        <f t="shared" si="24"/>
        <v>1086160.0635735805</v>
      </c>
      <c r="R27" s="209">
        <f t="shared" si="24"/>
        <v>1100141.5299974654</v>
      </c>
      <c r="S27" s="209">
        <f t="shared" si="24"/>
        <v>1168566.6321445385</v>
      </c>
      <c r="T27" s="209">
        <f t="shared" si="24"/>
        <v>918911.07178519689</v>
      </c>
      <c r="U27" s="209">
        <f t="shared" si="24"/>
        <v>1028559.628572493</v>
      </c>
      <c r="V27" s="209">
        <f t="shared" si="24"/>
        <v>0</v>
      </c>
      <c r="W27" s="209">
        <f t="shared" si="24"/>
        <v>0</v>
      </c>
      <c r="X27" s="209">
        <f t="shared" si="24"/>
        <v>0</v>
      </c>
      <c r="Y27" s="209">
        <f t="shared" si="24"/>
        <v>0</v>
      </c>
      <c r="Z27" s="209">
        <f t="shared" si="24"/>
        <v>0</v>
      </c>
      <c r="AA27" s="209">
        <f t="shared" si="24"/>
        <v>0</v>
      </c>
      <c r="AB27" s="238">
        <f t="shared" si="24"/>
        <v>0</v>
      </c>
      <c r="AC27" s="209">
        <f>AC44+AC61</f>
        <v>0</v>
      </c>
      <c r="AD27" s="209">
        <f t="shared" ref="AD27:AN27" si="25">AD44+AD61</f>
        <v>0</v>
      </c>
      <c r="AE27" s="209">
        <f t="shared" si="25"/>
        <v>0</v>
      </c>
      <c r="AF27" s="209">
        <f t="shared" si="25"/>
        <v>0</v>
      </c>
      <c r="AG27" s="209">
        <f t="shared" si="25"/>
        <v>0</v>
      </c>
      <c r="AH27" s="209">
        <f t="shared" si="25"/>
        <v>0</v>
      </c>
      <c r="AI27" s="209">
        <f t="shared" si="25"/>
        <v>0</v>
      </c>
      <c r="AJ27" s="209">
        <f t="shared" si="25"/>
        <v>0</v>
      </c>
      <c r="AK27" s="209">
        <f t="shared" si="25"/>
        <v>0</v>
      </c>
      <c r="AL27" s="209">
        <f t="shared" si="25"/>
        <v>0</v>
      </c>
      <c r="AM27" s="209">
        <f t="shared" si="25"/>
        <v>0</v>
      </c>
      <c r="AN27" s="265">
        <f t="shared" si="25"/>
        <v>0</v>
      </c>
      <c r="AO27" s="237">
        <f t="shared" si="18"/>
        <v>0</v>
      </c>
      <c r="AP27" s="209">
        <f t="shared" si="20"/>
        <v>351348.2385416411</v>
      </c>
      <c r="AQ27" s="238">
        <f>SUMIFS(AC27:AN27,AC$4:AN$4,"&lt;"&amp;'Title Sheet'!$C$13)</f>
        <v>0</v>
      </c>
    </row>
    <row r="28" spans="2:44" ht="15.75" x14ac:dyDescent="0.25">
      <c r="B28" t="str">
        <f>$D$21&amp;"_NWP"</f>
        <v>PC Annual Direct - Annual_NWP</v>
      </c>
      <c r="D28" s="211" t="s">
        <v>6</v>
      </c>
      <c r="E28" s="31" t="str">
        <f>IFERROR(E45+E62,"-")</f>
        <v>-</v>
      </c>
      <c r="F28" s="31" t="str">
        <f t="shared" ref="F28:AN28" si="26">IFERROR(F45+F62,"-")</f>
        <v>-</v>
      </c>
      <c r="G28" s="31" t="str">
        <f t="shared" si="26"/>
        <v>-</v>
      </c>
      <c r="H28" s="31" t="str">
        <f t="shared" si="26"/>
        <v>-</v>
      </c>
      <c r="I28" s="31" t="str">
        <f t="shared" si="26"/>
        <v>-</v>
      </c>
      <c r="J28" s="31" t="str">
        <f t="shared" si="26"/>
        <v>-</v>
      </c>
      <c r="K28" s="31" t="str">
        <f t="shared" si="26"/>
        <v>-</v>
      </c>
      <c r="L28" s="31" t="str">
        <f t="shared" si="26"/>
        <v>-</v>
      </c>
      <c r="M28" s="31" t="str">
        <f t="shared" si="26"/>
        <v>-</v>
      </c>
      <c r="N28" s="31" t="str">
        <f t="shared" si="26"/>
        <v>-</v>
      </c>
      <c r="O28" s="31" t="str">
        <f t="shared" si="26"/>
        <v>-</v>
      </c>
      <c r="P28" s="240" t="str">
        <f t="shared" ca="1" si="26"/>
        <v>-</v>
      </c>
      <c r="Q28" s="31" t="str">
        <f t="shared" ca="1" si="26"/>
        <v>-</v>
      </c>
      <c r="R28" s="31" t="str">
        <f t="shared" ca="1" si="26"/>
        <v>-</v>
      </c>
      <c r="S28" s="31" t="str">
        <f t="shared" ca="1" si="26"/>
        <v>-</v>
      </c>
      <c r="T28" s="31" t="str">
        <f t="shared" ca="1" si="26"/>
        <v>-</v>
      </c>
      <c r="U28" s="31" t="str">
        <f t="shared" ca="1" si="26"/>
        <v>-</v>
      </c>
      <c r="V28" s="31" t="str">
        <f t="shared" ca="1" si="26"/>
        <v>-</v>
      </c>
      <c r="W28" s="31" t="str">
        <f t="shared" ca="1" si="26"/>
        <v>-</v>
      </c>
      <c r="X28" s="31" t="str">
        <f t="shared" ca="1" si="26"/>
        <v>-</v>
      </c>
      <c r="Y28" s="31" t="str">
        <f t="shared" ca="1" si="26"/>
        <v>-</v>
      </c>
      <c r="Z28" s="31" t="str">
        <f t="shared" ca="1" si="26"/>
        <v>-</v>
      </c>
      <c r="AA28" s="31">
        <f t="shared" ca="1" si="26"/>
        <v>1201948.8602582696</v>
      </c>
      <c r="AB28" s="240">
        <f t="shared" ca="1" si="26"/>
        <v>1130181.9540233866</v>
      </c>
      <c r="AC28" s="31">
        <f t="shared" ca="1" si="26"/>
        <v>1235960.0527141613</v>
      </c>
      <c r="AD28" s="31">
        <f t="shared" ca="1" si="26"/>
        <v>3209687.704195444</v>
      </c>
      <c r="AE28" s="31">
        <f t="shared" ca="1" si="26"/>
        <v>5072820.0524703469</v>
      </c>
      <c r="AF28" s="31">
        <f t="shared" ca="1" si="26"/>
        <v>5239479.5187660325</v>
      </c>
      <c r="AG28" s="31">
        <f t="shared" ca="1" si="26"/>
        <v>5303355.8491957653</v>
      </c>
      <c r="AH28" s="31">
        <f t="shared" ca="1" si="26"/>
        <v>5403246.6544383466</v>
      </c>
      <c r="AI28" s="31">
        <f t="shared" ca="1" si="26"/>
        <v>3637466.5510302437</v>
      </c>
      <c r="AJ28" s="31">
        <f t="shared" ca="1" si="26"/>
        <v>3591493.9019086361</v>
      </c>
      <c r="AK28" s="31">
        <f t="shared" ca="1" si="26"/>
        <v>4955142.3580386769</v>
      </c>
      <c r="AL28" s="31">
        <f t="shared" ca="1" si="26"/>
        <v>5435486.3438475803</v>
      </c>
      <c r="AM28" s="31">
        <f t="shared" ca="1" si="26"/>
        <v>4741100.2670995463</v>
      </c>
      <c r="AN28" s="266">
        <f t="shared" ca="1" si="26"/>
        <v>4339440.1880950555</v>
      </c>
      <c r="AO28" s="239">
        <f t="shared" ca="1" si="18"/>
        <v>1189363.6223319394</v>
      </c>
      <c r="AP28" s="31">
        <f t="shared" ca="1" si="20"/>
        <v>1189363.6223319394</v>
      </c>
      <c r="AQ28" s="240">
        <f ca="1">SUMIFS(AC28:AN28,AC$4:AN$4,"&lt;"&amp;'Title Sheet'!$C$13)</f>
        <v>52164679.441799834</v>
      </c>
    </row>
    <row r="29" spans="2:44" ht="15.75" x14ac:dyDescent="0.25">
      <c r="B29" t="str">
        <f t="shared" si="21"/>
        <v>PC Annual Direct</v>
      </c>
      <c r="D29" s="213" t="s">
        <v>0</v>
      </c>
      <c r="E29" s="214" t="str">
        <f t="shared" ref="E29:AN29" si="27">IFERROR(IF(E27=0,"-",(E27/E28)-1),"-")</f>
        <v>-</v>
      </c>
      <c r="F29" s="214" t="str">
        <f t="shared" si="27"/>
        <v>-</v>
      </c>
      <c r="G29" s="214" t="str">
        <f t="shared" si="27"/>
        <v>-</v>
      </c>
      <c r="H29" s="214" t="str">
        <f t="shared" si="27"/>
        <v>-</v>
      </c>
      <c r="I29" s="214" t="str">
        <f t="shared" si="27"/>
        <v>-</v>
      </c>
      <c r="J29" s="214" t="str">
        <f t="shared" si="27"/>
        <v>-</v>
      </c>
      <c r="K29" s="214" t="str">
        <f t="shared" si="27"/>
        <v>-</v>
      </c>
      <c r="L29" s="214" t="str">
        <f t="shared" si="27"/>
        <v>-</v>
      </c>
      <c r="M29" s="214" t="str">
        <f t="shared" si="27"/>
        <v>-</v>
      </c>
      <c r="N29" s="214" t="str">
        <f t="shared" si="27"/>
        <v>-</v>
      </c>
      <c r="O29" s="214" t="str">
        <f t="shared" si="27"/>
        <v>-</v>
      </c>
      <c r="P29" s="294" t="str">
        <f t="shared" ca="1" si="27"/>
        <v>-</v>
      </c>
      <c r="Q29" s="214" t="str">
        <f t="shared" ca="1" si="27"/>
        <v>-</v>
      </c>
      <c r="R29" s="214" t="str">
        <f t="shared" ca="1" si="27"/>
        <v>-</v>
      </c>
      <c r="S29" s="214" t="str">
        <f t="shared" ca="1" si="27"/>
        <v>-</v>
      </c>
      <c r="T29" s="214" t="str">
        <f t="shared" ca="1" si="27"/>
        <v>-</v>
      </c>
      <c r="U29" s="214" t="str">
        <f t="shared" ca="1" si="27"/>
        <v>-</v>
      </c>
      <c r="V29" s="214" t="str">
        <f t="shared" si="27"/>
        <v>-</v>
      </c>
      <c r="W29" s="214" t="str">
        <f t="shared" si="27"/>
        <v>-</v>
      </c>
      <c r="X29" s="214" t="str">
        <f t="shared" si="27"/>
        <v>-</v>
      </c>
      <c r="Y29" s="214" t="str">
        <f t="shared" si="27"/>
        <v>-</v>
      </c>
      <c r="Z29" s="214" t="str">
        <f t="shared" si="27"/>
        <v>-</v>
      </c>
      <c r="AA29" s="214" t="str">
        <f t="shared" si="27"/>
        <v>-</v>
      </c>
      <c r="AB29" s="294" t="str">
        <f t="shared" si="27"/>
        <v>-</v>
      </c>
      <c r="AC29" s="214" t="str">
        <f t="shared" si="27"/>
        <v>-</v>
      </c>
      <c r="AD29" s="214" t="str">
        <f t="shared" si="27"/>
        <v>-</v>
      </c>
      <c r="AE29" s="214" t="str">
        <f t="shared" si="27"/>
        <v>-</v>
      </c>
      <c r="AF29" s="214" t="str">
        <f t="shared" si="27"/>
        <v>-</v>
      </c>
      <c r="AG29" s="214" t="str">
        <f t="shared" si="27"/>
        <v>-</v>
      </c>
      <c r="AH29" s="214" t="str">
        <f t="shared" si="27"/>
        <v>-</v>
      </c>
      <c r="AI29" s="214" t="str">
        <f t="shared" si="27"/>
        <v>-</v>
      </c>
      <c r="AJ29" s="214" t="str">
        <f t="shared" si="27"/>
        <v>-</v>
      </c>
      <c r="AK29" s="214" t="str">
        <f t="shared" si="27"/>
        <v>-</v>
      </c>
      <c r="AL29" s="214" t="str">
        <f t="shared" si="27"/>
        <v>-</v>
      </c>
      <c r="AM29" s="214" t="str">
        <f t="shared" si="27"/>
        <v>-</v>
      </c>
      <c r="AN29" s="270" t="str">
        <f t="shared" si="27"/>
        <v>-</v>
      </c>
      <c r="AO29" s="274" t="e">
        <f t="shared" si="18"/>
        <v>#DIV/0!</v>
      </c>
      <c r="AP29" s="275" t="e">
        <f t="shared" ca="1" si="20"/>
        <v>#DIV/0!</v>
      </c>
      <c r="AQ29" s="276" t="str">
        <f t="shared" ref="AQ29" si="28">IFERROR(IF(AQ27=0,"-",(AQ27/AQ28)-1),"-")</f>
        <v>-</v>
      </c>
    </row>
    <row r="30" spans="2:44" ht="15.75" x14ac:dyDescent="0.25">
      <c r="B30" t="str">
        <f t="shared" si="21"/>
        <v>PC Annual Direct</v>
      </c>
      <c r="D30" s="208" t="s">
        <v>12</v>
      </c>
      <c r="E30" s="209">
        <f t="shared" ref="E30:AP31" si="29">IFERROR(E27/E24,0)</f>
        <v>1650.6751265916957</v>
      </c>
      <c r="F30" s="209">
        <f t="shared" si="29"/>
        <v>843.95509129089317</v>
      </c>
      <c r="G30" s="209">
        <f t="shared" si="29"/>
        <v>622.09868078798013</v>
      </c>
      <c r="H30" s="209">
        <f t="shared" si="29"/>
        <v>900.8335945372902</v>
      </c>
      <c r="I30" s="209">
        <f t="shared" si="29"/>
        <v>1065.7943560624428</v>
      </c>
      <c r="J30" s="209">
        <f t="shared" si="29"/>
        <v>892.69782251074218</v>
      </c>
      <c r="K30" s="209">
        <f t="shared" si="29"/>
        <v>808.76208715302289</v>
      </c>
      <c r="L30" s="209">
        <f t="shared" si="29"/>
        <v>803.58660168363622</v>
      </c>
      <c r="M30" s="209">
        <f t="shared" si="29"/>
        <v>778.74911441053519</v>
      </c>
      <c r="N30" s="209">
        <f t="shared" si="29"/>
        <v>705.44228731128044</v>
      </c>
      <c r="O30" s="209">
        <f t="shared" si="29"/>
        <v>617.27516235748487</v>
      </c>
      <c r="P30" s="238">
        <f t="shared" si="29"/>
        <v>609.70154954119903</v>
      </c>
      <c r="Q30" s="209">
        <f t="shared" si="29"/>
        <v>541.74496438632059</v>
      </c>
      <c r="R30" s="209">
        <f t="shared" si="29"/>
        <v>505.31952904677843</v>
      </c>
      <c r="S30" s="209">
        <f t="shared" si="29"/>
        <v>434.94151295966731</v>
      </c>
      <c r="T30" s="209">
        <f t="shared" si="29"/>
        <v>472.52219471110254</v>
      </c>
      <c r="U30" s="209">
        <f t="shared" si="29"/>
        <v>632.09996666748987</v>
      </c>
      <c r="V30" s="209">
        <f t="shared" si="29"/>
        <v>0</v>
      </c>
      <c r="W30" s="209">
        <f t="shared" si="29"/>
        <v>0</v>
      </c>
      <c r="X30" s="209">
        <f t="shared" si="29"/>
        <v>0</v>
      </c>
      <c r="Y30" s="209">
        <f t="shared" si="29"/>
        <v>0</v>
      </c>
      <c r="Z30" s="209">
        <f t="shared" si="29"/>
        <v>0</v>
      </c>
      <c r="AA30" s="209">
        <f t="shared" si="29"/>
        <v>0</v>
      </c>
      <c r="AB30" s="238">
        <f t="shared" si="29"/>
        <v>0</v>
      </c>
      <c r="AC30" s="209">
        <f t="shared" si="29"/>
        <v>0</v>
      </c>
      <c r="AD30" s="209">
        <f t="shared" si="29"/>
        <v>0</v>
      </c>
      <c r="AE30" s="209">
        <f t="shared" si="29"/>
        <v>0</v>
      </c>
      <c r="AF30" s="209">
        <f t="shared" si="29"/>
        <v>0</v>
      </c>
      <c r="AG30" s="209">
        <f t="shared" si="29"/>
        <v>0</v>
      </c>
      <c r="AH30" s="209">
        <f t="shared" si="29"/>
        <v>0</v>
      </c>
      <c r="AI30" s="209">
        <f t="shared" si="29"/>
        <v>0</v>
      </c>
      <c r="AJ30" s="209">
        <f t="shared" si="29"/>
        <v>0</v>
      </c>
      <c r="AK30" s="209">
        <f t="shared" si="29"/>
        <v>0</v>
      </c>
      <c r="AL30" s="209">
        <f t="shared" si="29"/>
        <v>0</v>
      </c>
      <c r="AM30" s="209">
        <f t="shared" si="29"/>
        <v>0</v>
      </c>
      <c r="AN30" s="265">
        <f t="shared" si="29"/>
        <v>0</v>
      </c>
      <c r="AO30" s="237">
        <f t="shared" si="29"/>
        <v>0</v>
      </c>
      <c r="AP30" s="209">
        <f t="shared" si="29"/>
        <v>228.28013495069939</v>
      </c>
      <c r="AQ30" s="238">
        <f>SUMIFS(AC30:AN30,AC$4:AN$4,"&lt;"&amp;'Title Sheet'!$C$13)</f>
        <v>0</v>
      </c>
    </row>
    <row r="31" spans="2:44" ht="15.75" hidden="1" x14ac:dyDescent="0.25">
      <c r="B31" t="str">
        <f t="shared" si="21"/>
        <v>PC Annual Direct</v>
      </c>
      <c r="D31" s="211" t="s">
        <v>13</v>
      </c>
      <c r="E31" s="31">
        <f t="shared" si="29"/>
        <v>0</v>
      </c>
      <c r="F31" s="31">
        <f t="shared" si="29"/>
        <v>0</v>
      </c>
      <c r="G31" s="31">
        <f t="shared" si="29"/>
        <v>0</v>
      </c>
      <c r="H31" s="31">
        <f t="shared" si="29"/>
        <v>0</v>
      </c>
      <c r="I31" s="31">
        <f t="shared" si="29"/>
        <v>0</v>
      </c>
      <c r="J31" s="31">
        <f t="shared" si="29"/>
        <v>0</v>
      </c>
      <c r="K31" s="31">
        <f t="shared" si="29"/>
        <v>0</v>
      </c>
      <c r="L31" s="31">
        <f t="shared" si="29"/>
        <v>0</v>
      </c>
      <c r="M31" s="31">
        <f t="shared" si="29"/>
        <v>0</v>
      </c>
      <c r="N31" s="31">
        <f t="shared" si="29"/>
        <v>0</v>
      </c>
      <c r="O31" s="31">
        <f t="shared" si="29"/>
        <v>0</v>
      </c>
      <c r="P31" s="240">
        <f t="shared" ca="1" si="29"/>
        <v>0</v>
      </c>
      <c r="Q31" s="31">
        <f t="shared" ca="1" si="29"/>
        <v>0</v>
      </c>
      <c r="R31" s="31">
        <f t="shared" ca="1" si="29"/>
        <v>0</v>
      </c>
      <c r="S31" s="31">
        <f t="shared" ca="1" si="29"/>
        <v>0</v>
      </c>
      <c r="T31" s="31">
        <f t="shared" ca="1" si="29"/>
        <v>0</v>
      </c>
      <c r="U31" s="31">
        <f t="shared" ca="1" si="29"/>
        <v>0</v>
      </c>
      <c r="V31" s="31">
        <f t="shared" ca="1" si="29"/>
        <v>0</v>
      </c>
      <c r="W31" s="31">
        <f t="shared" ca="1" si="29"/>
        <v>0</v>
      </c>
      <c r="X31" s="31">
        <f t="shared" ca="1" si="29"/>
        <v>0</v>
      </c>
      <c r="Y31" s="31">
        <f t="shared" ca="1" si="29"/>
        <v>0</v>
      </c>
      <c r="Z31" s="31">
        <f t="shared" ca="1" si="29"/>
        <v>0</v>
      </c>
      <c r="AA31" s="31">
        <f t="shared" ca="1" si="29"/>
        <v>1079.510683288258</v>
      </c>
      <c r="AB31" s="240">
        <f t="shared" ca="1" si="29"/>
        <v>1141.9736170890237</v>
      </c>
      <c r="AC31" s="31">
        <f t="shared" ca="1" si="29"/>
        <v>359.22839900990647</v>
      </c>
      <c r="AD31" s="31">
        <f t="shared" ca="1" si="29"/>
        <v>934.75270071507703</v>
      </c>
      <c r="AE31" s="31">
        <f t="shared" ca="1" si="29"/>
        <v>1480.3047357430746</v>
      </c>
      <c r="AF31" s="31">
        <f t="shared" ca="1" si="29"/>
        <v>1531.9956782938827</v>
      </c>
      <c r="AG31" s="31">
        <f t="shared" ca="1" si="29"/>
        <v>1553.4601672551637</v>
      </c>
      <c r="AH31" s="31">
        <f t="shared" ca="1" si="29"/>
        <v>1538.161836563763</v>
      </c>
      <c r="AI31" s="31">
        <f t="shared" ca="1" si="29"/>
        <v>1122.1987541882772</v>
      </c>
      <c r="AJ31" s="31">
        <f t="shared" ca="1" si="29"/>
        <v>1118.7868017738786</v>
      </c>
      <c r="AK31" s="31">
        <f t="shared" ca="1" si="29"/>
        <v>1128.4064888299797</v>
      </c>
      <c r="AL31" s="31">
        <f t="shared" ca="1" si="29"/>
        <v>1155.700696106099</v>
      </c>
      <c r="AM31" s="31">
        <f t="shared" ca="1" si="29"/>
        <v>1207.4684240216452</v>
      </c>
      <c r="AN31" s="266">
        <f t="shared" ca="1" si="29"/>
        <v>1214.5075361735921</v>
      </c>
      <c r="AO31" s="239">
        <f t="shared" ca="1" si="29"/>
        <v>643.63089482888574</v>
      </c>
      <c r="AP31" s="31">
        <f t="shared" ca="1" si="29"/>
        <v>643.63089482888574</v>
      </c>
      <c r="AQ31" s="240">
        <f ca="1">SUMIFS(AC31:AN31,AC$4:AN$4,"&lt;"&amp;'Title Sheet'!$C$13)</f>
        <v>14344.97221867434</v>
      </c>
      <c r="AR31" s="3"/>
    </row>
    <row r="32" spans="2:44" ht="15.75" hidden="1" x14ac:dyDescent="0.25">
      <c r="B32" t="str">
        <f t="shared" si="21"/>
        <v>PC Annual Direct</v>
      </c>
      <c r="D32" s="213" t="s">
        <v>0</v>
      </c>
      <c r="E32" s="214" t="str">
        <f t="shared" ref="E32:AN32" si="30">IFERROR(IF(E30=0,"-",(E30/E31)-1),"-")</f>
        <v>-</v>
      </c>
      <c r="F32" s="214" t="str">
        <f t="shared" si="30"/>
        <v>-</v>
      </c>
      <c r="G32" s="214" t="str">
        <f t="shared" si="30"/>
        <v>-</v>
      </c>
      <c r="H32" s="214" t="str">
        <f t="shared" si="30"/>
        <v>-</v>
      </c>
      <c r="I32" s="214" t="str">
        <f t="shared" si="30"/>
        <v>-</v>
      </c>
      <c r="J32" s="214" t="str">
        <f t="shared" si="30"/>
        <v>-</v>
      </c>
      <c r="K32" s="214" t="str">
        <f t="shared" si="30"/>
        <v>-</v>
      </c>
      <c r="L32" s="214" t="str">
        <f t="shared" si="30"/>
        <v>-</v>
      </c>
      <c r="M32" s="214" t="str">
        <f t="shared" si="30"/>
        <v>-</v>
      </c>
      <c r="N32" s="214" t="str">
        <f t="shared" si="30"/>
        <v>-</v>
      </c>
      <c r="O32" s="214" t="str">
        <f t="shared" si="30"/>
        <v>-</v>
      </c>
      <c r="P32" s="294" t="str">
        <f t="shared" ca="1" si="30"/>
        <v>-</v>
      </c>
      <c r="Q32" s="214" t="str">
        <f t="shared" ca="1" si="30"/>
        <v>-</v>
      </c>
      <c r="R32" s="214" t="str">
        <f t="shared" ca="1" si="30"/>
        <v>-</v>
      </c>
      <c r="S32" s="214" t="str">
        <f t="shared" ca="1" si="30"/>
        <v>-</v>
      </c>
      <c r="T32" s="214" t="str">
        <f t="shared" ca="1" si="30"/>
        <v>-</v>
      </c>
      <c r="U32" s="214" t="str">
        <f t="shared" ca="1" si="30"/>
        <v>-</v>
      </c>
      <c r="V32" s="214" t="str">
        <f t="shared" si="30"/>
        <v>-</v>
      </c>
      <c r="W32" s="214" t="str">
        <f t="shared" si="30"/>
        <v>-</v>
      </c>
      <c r="X32" s="214" t="str">
        <f t="shared" si="30"/>
        <v>-</v>
      </c>
      <c r="Y32" s="214" t="str">
        <f t="shared" si="30"/>
        <v>-</v>
      </c>
      <c r="Z32" s="214" t="str">
        <f t="shared" si="30"/>
        <v>-</v>
      </c>
      <c r="AA32" s="214" t="str">
        <f t="shared" si="30"/>
        <v>-</v>
      </c>
      <c r="AB32" s="294" t="str">
        <f t="shared" si="30"/>
        <v>-</v>
      </c>
      <c r="AC32" s="214" t="str">
        <f t="shared" si="30"/>
        <v>-</v>
      </c>
      <c r="AD32" s="214" t="str">
        <f t="shared" si="30"/>
        <v>-</v>
      </c>
      <c r="AE32" s="214" t="str">
        <f t="shared" si="30"/>
        <v>-</v>
      </c>
      <c r="AF32" s="214" t="str">
        <f t="shared" si="30"/>
        <v>-</v>
      </c>
      <c r="AG32" s="214" t="str">
        <f t="shared" si="30"/>
        <v>-</v>
      </c>
      <c r="AH32" s="214" t="str">
        <f t="shared" si="30"/>
        <v>-</v>
      </c>
      <c r="AI32" s="214" t="str">
        <f t="shared" si="30"/>
        <v>-</v>
      </c>
      <c r="AJ32" s="214" t="str">
        <f t="shared" si="30"/>
        <v>-</v>
      </c>
      <c r="AK32" s="214" t="str">
        <f t="shared" si="30"/>
        <v>-</v>
      </c>
      <c r="AL32" s="214" t="str">
        <f t="shared" si="30"/>
        <v>-</v>
      </c>
      <c r="AM32" s="214" t="str">
        <f t="shared" si="30"/>
        <v>-</v>
      </c>
      <c r="AN32" s="270" t="str">
        <f t="shared" si="30"/>
        <v>-</v>
      </c>
      <c r="AO32" s="274">
        <f t="shared" ref="AO32:AP32" ca="1" si="31">AO30-AO31</f>
        <v>-643.63089482888574</v>
      </c>
      <c r="AP32" s="275">
        <f t="shared" ca="1" si="31"/>
        <v>-415.35075987818635</v>
      </c>
      <c r="AQ32" s="276" t="str">
        <f t="shared" ref="AQ32" si="32">IFERROR(IF(AQ30=0,"-",(AQ30/AQ31)-1),"-")</f>
        <v>-</v>
      </c>
    </row>
    <row r="33" spans="2:44" x14ac:dyDescent="0.25">
      <c r="B33" t="str">
        <f t="shared" si="21"/>
        <v>PC Annual Direct</v>
      </c>
      <c r="D33" s="254" t="s">
        <v>17</v>
      </c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313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313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67"/>
      <c r="AO33" s="277"/>
      <c r="AP33" s="277"/>
      <c r="AQ33" s="278">
        <f>SUMIFS(AC33:AN33,AC$4:AN$4,"&lt;"&amp;'Title Sheet'!$C$13)</f>
        <v>0</v>
      </c>
    </row>
    <row r="34" spans="2:44" ht="15.75" x14ac:dyDescent="0.25">
      <c r="B34" t="str">
        <f t="shared" si="21"/>
        <v>PC Annual Direct</v>
      </c>
      <c r="D34" s="208" t="s">
        <v>7</v>
      </c>
      <c r="E34" s="283">
        <f t="shared" ref="E34:AB34" si="33">E51+E68</f>
        <v>63882.723213917787</v>
      </c>
      <c r="F34" s="283">
        <f t="shared" si="33"/>
        <v>190494.91964215893</v>
      </c>
      <c r="G34" s="283">
        <f t="shared" si="33"/>
        <v>596806.79464284331</v>
      </c>
      <c r="H34" s="283">
        <f t="shared" si="33"/>
        <v>595003.65178337891</v>
      </c>
      <c r="I34" s="283">
        <f t="shared" si="33"/>
        <v>767228.99106955796</v>
      </c>
      <c r="J34" s="283">
        <f t="shared" si="33"/>
        <v>1076558.1071435665</v>
      </c>
      <c r="K34" s="283">
        <f t="shared" si="33"/>
        <v>1970118.39286279</v>
      </c>
      <c r="L34" s="283">
        <f t="shared" si="33"/>
        <v>1693961.1071383746</v>
      </c>
      <c r="M34" s="283">
        <f t="shared" si="33"/>
        <v>2359606.7857171055</v>
      </c>
      <c r="N34" s="283">
        <f t="shared" si="33"/>
        <v>2882993.6785684759</v>
      </c>
      <c r="O34" s="283">
        <f t="shared" si="33"/>
        <v>2381454.3214225136</v>
      </c>
      <c r="P34" s="314">
        <f t="shared" si="33"/>
        <v>1845728.2232118105</v>
      </c>
      <c r="Q34" s="283">
        <f t="shared" si="33"/>
        <v>1310265.0535725218</v>
      </c>
      <c r="R34" s="283">
        <f t="shared" si="33"/>
        <v>1327939.2499983122</v>
      </c>
      <c r="S34" s="283">
        <f t="shared" si="33"/>
        <v>1409536.7321461581</v>
      </c>
      <c r="T34" s="283">
        <f t="shared" si="33"/>
        <v>1108687.1517870072</v>
      </c>
      <c r="U34" s="283">
        <f t="shared" si="33"/>
        <v>1246462.1607149141</v>
      </c>
      <c r="V34" s="283">
        <f t="shared" si="33"/>
        <v>1107291.8392874526</v>
      </c>
      <c r="W34" s="283">
        <f t="shared" si="33"/>
        <v>1048832.0178576689</v>
      </c>
      <c r="X34" s="283">
        <f t="shared" si="33"/>
        <v>1253992.9107235237</v>
      </c>
      <c r="Y34" s="283">
        <f t="shared" si="33"/>
        <v>1303893.1696446086</v>
      </c>
      <c r="Z34" s="283">
        <f t="shared" si="33"/>
        <v>1566971.7232140885</v>
      </c>
      <c r="AA34" s="283">
        <f t="shared" si="33"/>
        <v>2157081.1517849583</v>
      </c>
      <c r="AB34" s="314">
        <f t="shared" si="33"/>
        <v>1914532.8749973006</v>
      </c>
      <c r="AC34" s="283">
        <f>AC51+AC68</f>
        <v>2419288.205354712</v>
      </c>
      <c r="AD34" s="283">
        <f t="shared" ref="AD34:AN34" si="34">AD51+AD68</f>
        <v>4078118.223212393</v>
      </c>
      <c r="AE34" s="283">
        <f t="shared" si="34"/>
        <v>6459259.5803462574</v>
      </c>
      <c r="AF34" s="283">
        <f t="shared" si="34"/>
        <v>5786329.8303780099</v>
      </c>
      <c r="AG34" s="283">
        <f t="shared" si="34"/>
        <v>5513759.321443243</v>
      </c>
      <c r="AH34" s="283">
        <f t="shared" si="34"/>
        <v>4598411.6428566165</v>
      </c>
      <c r="AI34" s="283">
        <f t="shared" si="34"/>
        <v>3834504.2410740834</v>
      </c>
      <c r="AJ34" s="283">
        <f t="shared" si="34"/>
        <v>3352003.0446423003</v>
      </c>
      <c r="AK34" s="283">
        <f t="shared" si="34"/>
        <v>3188969.9910714086</v>
      </c>
      <c r="AL34" s="283">
        <f t="shared" si="34"/>
        <v>3150912.5331434435</v>
      </c>
      <c r="AM34" s="283">
        <f t="shared" si="34"/>
        <v>3596135.3214264149</v>
      </c>
      <c r="AN34" s="284">
        <f t="shared" si="34"/>
        <v>3741886.8839283199</v>
      </c>
      <c r="AO34" s="237">
        <f t="shared" ref="AO34" si="35">AVERAGE(Z34:AC34)</f>
        <v>2014468.4888377648</v>
      </c>
      <c r="AP34" s="209">
        <f>AVERAGE(R34:AC34)</f>
        <v>1488709.0989592255</v>
      </c>
      <c r="AQ34" s="238">
        <f>SUMIFS(AC34:AN34,AC$4:AN$4,"&lt;"&amp;'Title Sheet'!$C$13)</f>
        <v>49719578.818877205</v>
      </c>
    </row>
    <row r="35" spans="2:44" ht="16.5" thickBot="1" x14ac:dyDescent="0.3">
      <c r="B35" t="str">
        <f t="shared" si="21"/>
        <v>PC Annual Direct</v>
      </c>
      <c r="D35" s="226" t="s">
        <v>21</v>
      </c>
      <c r="E35" s="269">
        <f t="shared" ref="E35:AN35" si="36">IFERROR(E27/E$8,"-")</f>
        <v>1</v>
      </c>
      <c r="F35" s="269">
        <f t="shared" si="36"/>
        <v>1</v>
      </c>
      <c r="G35" s="269">
        <f t="shared" si="36"/>
        <v>0.36338512795094569</v>
      </c>
      <c r="H35" s="269">
        <f t="shared" si="36"/>
        <v>0.3144138803239937</v>
      </c>
      <c r="I35" s="269">
        <f t="shared" si="36"/>
        <v>0.30479303076919989</v>
      </c>
      <c r="J35" s="269">
        <f t="shared" si="36"/>
        <v>0.32026502113301691</v>
      </c>
      <c r="K35" s="269">
        <f t="shared" si="36"/>
        <v>0.45329065359635945</v>
      </c>
      <c r="L35" s="269">
        <f t="shared" si="36"/>
        <v>0.52482955683222632</v>
      </c>
      <c r="M35" s="269">
        <f t="shared" si="36"/>
        <v>0.76808330951061754</v>
      </c>
      <c r="N35" s="269">
        <f t="shared" si="36"/>
        <v>0.72616617680525197</v>
      </c>
      <c r="O35" s="269">
        <f t="shared" si="36"/>
        <v>0.65125389566410108</v>
      </c>
      <c r="P35" s="280">
        <f t="shared" si="36"/>
        <v>0.58552449517506056</v>
      </c>
      <c r="Q35" s="269">
        <f t="shared" si="36"/>
        <v>0.50369783254873368</v>
      </c>
      <c r="R35" s="269">
        <f t="shared" si="36"/>
        <v>0.49840835057339866</v>
      </c>
      <c r="S35" s="269">
        <f t="shared" si="36"/>
        <v>0.49403060893567935</v>
      </c>
      <c r="T35" s="269">
        <f t="shared" si="36"/>
        <v>0.43431844806305436</v>
      </c>
      <c r="U35" s="269">
        <f t="shared" si="36"/>
        <v>0.43007831429905047</v>
      </c>
      <c r="V35" s="269">
        <f t="shared" si="36"/>
        <v>0</v>
      </c>
      <c r="W35" s="269">
        <f t="shared" si="36"/>
        <v>0</v>
      </c>
      <c r="X35" s="269">
        <f t="shared" si="36"/>
        <v>0</v>
      </c>
      <c r="Y35" s="269">
        <f t="shared" si="36"/>
        <v>0</v>
      </c>
      <c r="Z35" s="269">
        <f t="shared" si="36"/>
        <v>0</v>
      </c>
      <c r="AA35" s="269">
        <f t="shared" si="36"/>
        <v>0</v>
      </c>
      <c r="AB35" s="280">
        <f t="shared" si="36"/>
        <v>0</v>
      </c>
      <c r="AC35" s="269">
        <f t="shared" si="36"/>
        <v>0</v>
      </c>
      <c r="AD35" s="269">
        <f t="shared" si="36"/>
        <v>0</v>
      </c>
      <c r="AE35" s="269">
        <f t="shared" si="36"/>
        <v>0</v>
      </c>
      <c r="AF35" s="269">
        <f t="shared" si="36"/>
        <v>0</v>
      </c>
      <c r="AG35" s="269" t="str">
        <f t="shared" si="36"/>
        <v>-</v>
      </c>
      <c r="AH35" s="269" t="str">
        <f t="shared" si="36"/>
        <v>-</v>
      </c>
      <c r="AI35" s="269" t="str">
        <f t="shared" si="36"/>
        <v>-</v>
      </c>
      <c r="AJ35" s="269" t="str">
        <f t="shared" si="36"/>
        <v>-</v>
      </c>
      <c r="AK35" s="269" t="str">
        <f t="shared" si="36"/>
        <v>-</v>
      </c>
      <c r="AL35" s="269" t="str">
        <f t="shared" si="36"/>
        <v>-</v>
      </c>
      <c r="AM35" s="269" t="str">
        <f t="shared" si="36"/>
        <v>-</v>
      </c>
      <c r="AN35" s="281" t="str">
        <f t="shared" si="36"/>
        <v>-</v>
      </c>
      <c r="AO35" s="279">
        <f t="shared" ref="AO35:AP35" si="37">AO27/AO$8</f>
        <v>0</v>
      </c>
      <c r="AP35" s="269">
        <f t="shared" si="37"/>
        <v>0.27988390709553373</v>
      </c>
      <c r="AQ35" s="280" t="str">
        <f t="shared" ref="AQ35" si="38">IFERROR(IF(AQ33=0,"-",(AQ33/AQ34)-1),"-")</f>
        <v>-</v>
      </c>
    </row>
    <row r="37" spans="2:44" ht="15.75" thickBot="1" x14ac:dyDescent="0.3"/>
    <row r="38" spans="2:44" ht="18.75" outlineLevel="1" x14ac:dyDescent="0.25">
      <c r="D38" s="309" t="s">
        <v>350</v>
      </c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63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33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63"/>
      <c r="AO38" s="202"/>
      <c r="AP38" s="202"/>
      <c r="AQ38" s="233"/>
    </row>
    <row r="39" spans="2:44" outlineLevel="1" x14ac:dyDescent="0.25">
      <c r="D39" s="204"/>
      <c r="E39" s="303" t="s">
        <v>341</v>
      </c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17"/>
      <c r="Q39" s="320" t="s">
        <v>341</v>
      </c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17"/>
      <c r="AC39" s="303" t="s">
        <v>341</v>
      </c>
      <c r="AD39" s="303"/>
      <c r="AE39" s="303"/>
      <c r="AF39" s="303"/>
      <c r="AG39" s="303"/>
      <c r="AH39" s="303"/>
      <c r="AI39" s="303"/>
      <c r="AJ39" s="303"/>
      <c r="AK39" s="303"/>
      <c r="AL39" s="303"/>
      <c r="AM39" s="303"/>
      <c r="AN39" s="317"/>
      <c r="AO39" s="510" t="s">
        <v>8</v>
      </c>
      <c r="AP39" s="511"/>
      <c r="AQ39" s="512"/>
    </row>
    <row r="40" spans="2:44" outlineLevel="1" x14ac:dyDescent="0.25">
      <c r="D40" s="321" t="s">
        <v>16</v>
      </c>
      <c r="E40" s="318">
        <f t="shared" ref="E40:AN40" si="39">E$4</f>
        <v>44562</v>
      </c>
      <c r="F40" s="318">
        <f t="shared" si="39"/>
        <v>44593</v>
      </c>
      <c r="G40" s="318">
        <f t="shared" si="39"/>
        <v>44621</v>
      </c>
      <c r="H40" s="318">
        <f t="shared" si="39"/>
        <v>44652</v>
      </c>
      <c r="I40" s="318">
        <f t="shared" si="39"/>
        <v>44682</v>
      </c>
      <c r="J40" s="318">
        <f t="shared" si="39"/>
        <v>44713</v>
      </c>
      <c r="K40" s="318">
        <f t="shared" si="39"/>
        <v>44743</v>
      </c>
      <c r="L40" s="318">
        <f t="shared" si="39"/>
        <v>44774</v>
      </c>
      <c r="M40" s="318">
        <f t="shared" si="39"/>
        <v>44805</v>
      </c>
      <c r="N40" s="318">
        <f t="shared" si="39"/>
        <v>44835</v>
      </c>
      <c r="O40" s="318">
        <f t="shared" si="39"/>
        <v>44866</v>
      </c>
      <c r="P40" s="319">
        <f t="shared" si="39"/>
        <v>44896</v>
      </c>
      <c r="Q40" s="318">
        <f t="shared" si="39"/>
        <v>44927</v>
      </c>
      <c r="R40" s="318">
        <f t="shared" si="39"/>
        <v>44958</v>
      </c>
      <c r="S40" s="318">
        <f t="shared" si="39"/>
        <v>44986</v>
      </c>
      <c r="T40" s="318">
        <f t="shared" si="39"/>
        <v>45017</v>
      </c>
      <c r="U40" s="318">
        <f t="shared" si="39"/>
        <v>45047</v>
      </c>
      <c r="V40" s="318">
        <f t="shared" si="39"/>
        <v>45078</v>
      </c>
      <c r="W40" s="318">
        <f t="shared" si="39"/>
        <v>45108</v>
      </c>
      <c r="X40" s="318">
        <f t="shared" si="39"/>
        <v>45139</v>
      </c>
      <c r="Y40" s="318">
        <f t="shared" si="39"/>
        <v>45170</v>
      </c>
      <c r="Z40" s="318">
        <f t="shared" si="39"/>
        <v>45200</v>
      </c>
      <c r="AA40" s="318">
        <f t="shared" si="39"/>
        <v>45231</v>
      </c>
      <c r="AB40" s="319">
        <f t="shared" si="39"/>
        <v>45261</v>
      </c>
      <c r="AC40" s="318">
        <f t="shared" si="39"/>
        <v>45292</v>
      </c>
      <c r="AD40" s="318">
        <f t="shared" si="39"/>
        <v>45323</v>
      </c>
      <c r="AE40" s="318">
        <f t="shared" si="39"/>
        <v>45352</v>
      </c>
      <c r="AF40" s="318">
        <f t="shared" si="39"/>
        <v>45383</v>
      </c>
      <c r="AG40" s="318">
        <f t="shared" si="39"/>
        <v>45413</v>
      </c>
      <c r="AH40" s="318">
        <f t="shared" si="39"/>
        <v>45444</v>
      </c>
      <c r="AI40" s="318">
        <f t="shared" si="39"/>
        <v>45474</v>
      </c>
      <c r="AJ40" s="318">
        <f t="shared" si="39"/>
        <v>45505</v>
      </c>
      <c r="AK40" s="318">
        <f t="shared" si="39"/>
        <v>45536</v>
      </c>
      <c r="AL40" s="318">
        <f t="shared" si="39"/>
        <v>45566</v>
      </c>
      <c r="AM40" s="318">
        <f t="shared" si="39"/>
        <v>45597</v>
      </c>
      <c r="AN40" s="316">
        <f t="shared" si="39"/>
        <v>45627</v>
      </c>
      <c r="AO40" s="271" t="s">
        <v>9</v>
      </c>
      <c r="AP40" s="272">
        <f>AP21</f>
        <v>0</v>
      </c>
      <c r="AQ40" s="273" t="s">
        <v>346</v>
      </c>
    </row>
    <row r="41" spans="2:44" ht="15.75" outlineLevel="1" x14ac:dyDescent="0.25">
      <c r="B41" t="str">
        <f>$D$2</f>
        <v>PC Annual Direct</v>
      </c>
      <c r="C41" t="s">
        <v>72</v>
      </c>
      <c r="D41" s="208" t="s">
        <v>316</v>
      </c>
      <c r="E41" s="209">
        <v>32.958904109999992</v>
      </c>
      <c r="F41" s="209">
        <v>183.15890411399999</v>
      </c>
      <c r="G41" s="209">
        <v>777.1561644049998</v>
      </c>
      <c r="H41" s="209">
        <v>598.16438357899995</v>
      </c>
      <c r="I41" s="209">
        <v>651.84109590900027</v>
      </c>
      <c r="J41" s="209">
        <v>1090.9917808519999</v>
      </c>
      <c r="K41" s="209">
        <v>2201.4493151239999</v>
      </c>
      <c r="L41" s="209">
        <v>1903.8082192210006</v>
      </c>
      <c r="M41" s="209">
        <v>2736.468493230997</v>
      </c>
      <c r="N41" s="209">
        <v>3687.6602740729986</v>
      </c>
      <c r="O41" s="209">
        <v>3341.5972603647956</v>
      </c>
      <c r="P41" s="265">
        <v>2526.2575343179969</v>
      </c>
      <c r="Q41" s="209">
        <v>2004.9287671809998</v>
      </c>
      <c r="R41" s="209">
        <v>2177.1205480079975</v>
      </c>
      <c r="S41" s="209">
        <v>2686.721311545401</v>
      </c>
      <c r="T41" s="209">
        <v>1944.6939891300005</v>
      </c>
      <c r="U41" s="209">
        <v>1627.2103825526017</v>
      </c>
      <c r="V41" s="209">
        <v>1168.2404371882005</v>
      </c>
      <c r="W41" s="209">
        <v>657.13661201320099</v>
      </c>
      <c r="X41" s="209">
        <v>858.71038251520122</v>
      </c>
      <c r="Y41" s="209">
        <v>863.89344265020111</v>
      </c>
      <c r="Z41" s="209">
        <v>1089.696721341802</v>
      </c>
      <c r="AA41" s="209">
        <v>1822.3606557956</v>
      </c>
      <c r="AB41" s="238">
        <v>1644.6256831067997</v>
      </c>
      <c r="AC41" s="209">
        <v>1655.8278689038007</v>
      </c>
      <c r="AD41" s="209">
        <v>1488.9398907425007</v>
      </c>
      <c r="AE41" s="209">
        <v>1842.7287671740016</v>
      </c>
      <c r="AF41" s="209">
        <v>1757.6273973020006</v>
      </c>
      <c r="AG41" s="209">
        <v>1868.1753425140009</v>
      </c>
      <c r="AH41" s="209">
        <v>1532.0438356570005</v>
      </c>
      <c r="AI41" s="209">
        <v>1243.7479452330031</v>
      </c>
      <c r="AJ41" s="209">
        <v>1072.1150685210014</v>
      </c>
      <c r="AK41" s="209">
        <v>989.83013701700224</v>
      </c>
      <c r="AL41" s="209">
        <v>1000.0410959180011</v>
      </c>
      <c r="AM41" s="209">
        <v>1102.7123287990016</v>
      </c>
      <c r="AN41" s="265">
        <v>1027.1150685250013</v>
      </c>
      <c r="AO41" s="237">
        <f t="shared" ref="AO41:AO46" si="40">AVERAGE(Z41:AC41)</f>
        <v>1553.1277322870005</v>
      </c>
      <c r="AP41" s="209">
        <f>AVERAGE(R41:AC41)</f>
        <v>1516.3531695625672</v>
      </c>
      <c r="AQ41" s="238">
        <f>SUMIFS(AC41:AN41,AC$4:AN$4,"&lt;"&amp;'Title Sheet'!$C$13)</f>
        <v>16580.904746306318</v>
      </c>
    </row>
    <row r="42" spans="2:44" ht="15.75" hidden="1" outlineLevel="1" x14ac:dyDescent="0.25">
      <c r="B42" t="str">
        <f>$D$21&amp;"_W VYRs"</f>
        <v>PC Annual Direct - Annual_W VYRs</v>
      </c>
      <c r="C42" t="str">
        <f>$C41</f>
        <v>Boom Annual</v>
      </c>
      <c r="D42" s="211" t="s">
        <v>317</v>
      </c>
      <c r="E42" s="31" t="e">
        <f>INDEX('Plan Figures'!$B$94:$AP$131,MATCH('Current - MGA only'!E$4,'Plan Figures'!$B$94:$B$131,0),MATCH('Current - MGA only'!$B42,'Plan Figures'!$B$1:$AP$1,0))</f>
        <v>#N/A</v>
      </c>
      <c r="F42" s="31" t="e">
        <f>INDEX('Plan Figures'!$B$94:$AP$131,MATCH('Current - MGA only'!F$4,'Plan Figures'!$B$94:$B$131,0),MATCH('Current - MGA only'!$B42,'Plan Figures'!$B$1:$AP$1,0))</f>
        <v>#N/A</v>
      </c>
      <c r="G42" s="31" t="e">
        <f>INDEX('Plan Figures'!$B$94:$AP$131,MATCH('Current - MGA only'!G$4,'Plan Figures'!$B$94:$B$131,0),MATCH('Current - MGA only'!$B42,'Plan Figures'!$B$1:$AP$1,0))</f>
        <v>#N/A</v>
      </c>
      <c r="H42" s="31" t="e">
        <f>INDEX('Plan Figures'!$B$94:$AP$131,MATCH('Current - MGA only'!H$4,'Plan Figures'!$B$94:$B$131,0),MATCH('Current - MGA only'!$B42,'Plan Figures'!$B$1:$AP$1,0))</f>
        <v>#N/A</v>
      </c>
      <c r="I42" s="31" t="e">
        <f>INDEX('Plan Figures'!$B$94:$AP$131,MATCH('Current - MGA only'!I$4,'Plan Figures'!$B$94:$B$131,0),MATCH('Current - MGA only'!$B42,'Plan Figures'!$B$1:$AP$1,0))</f>
        <v>#N/A</v>
      </c>
      <c r="J42" s="31" t="e">
        <f>INDEX('Plan Figures'!$B$94:$AP$131,MATCH('Current - MGA only'!J$4,'Plan Figures'!$B$94:$B$131,0),MATCH('Current - MGA only'!$B42,'Plan Figures'!$B$1:$AP$1,0))</f>
        <v>#N/A</v>
      </c>
      <c r="K42" s="31" t="e">
        <f>INDEX('Plan Figures'!$B$94:$AP$131,MATCH('Current - MGA only'!K$4,'Plan Figures'!$B$94:$B$131,0),MATCH('Current - MGA only'!$B42,'Plan Figures'!$B$1:$AP$1,0))</f>
        <v>#N/A</v>
      </c>
      <c r="L42" s="31" t="e">
        <f>INDEX('Plan Figures'!$B$94:$AP$131,MATCH('Current - MGA only'!L$4,'Plan Figures'!$B$94:$B$131,0),MATCH('Current - MGA only'!$B42,'Plan Figures'!$B$1:$AP$1,0))</f>
        <v>#N/A</v>
      </c>
      <c r="M42" s="31" t="e">
        <f>INDEX('Plan Figures'!$B$94:$AP$131,MATCH('Current - MGA only'!M$4,'Plan Figures'!$B$94:$B$131,0),MATCH('Current - MGA only'!$B42,'Plan Figures'!$B$1:$AP$1,0))</f>
        <v>#N/A</v>
      </c>
      <c r="N42" s="31" t="e">
        <f>INDEX('Plan Figures'!$B$94:$AP$131,MATCH('Current - MGA only'!N$4,'Plan Figures'!$B$94:$B$131,0),MATCH('Current - MGA only'!$B42,'Plan Figures'!$B$1:$AP$1,0))</f>
        <v>#N/A</v>
      </c>
      <c r="O42" s="31" t="e">
        <f>INDEX('Plan Figures'!$B$94:$AP$131,MATCH('Current - MGA only'!O$4,'Plan Figures'!$B$94:$B$131,0),MATCH('Current - MGA only'!$B42,'Plan Figures'!$B$1:$AP$1,0))</f>
        <v>#N/A</v>
      </c>
      <c r="P42" s="266" t="str">
        <f ca="1">INDEX('Plan Figures'!$B$94:$AP$131,MATCH('Current - MGA only'!P$4,'Plan Figures'!$B$94:$B$131,0),MATCH('Current - MGA only'!$B42,'Plan Figures'!$B$1:$AP$1,0))</f>
        <v>-</v>
      </c>
      <c r="Q42" s="31" t="str">
        <f ca="1">INDEX('Plan Figures'!$B$94:$AP$131,MATCH('Current - MGA only'!Q$4,'Plan Figures'!$B$94:$B$131,0),MATCH('Current - MGA only'!$B42,'Plan Figures'!$B$1:$AP$1,0))</f>
        <v>-</v>
      </c>
      <c r="R42" s="31" t="str">
        <f ca="1">INDEX('Plan Figures'!$B$94:$AP$131,MATCH('Current - MGA only'!R$4,'Plan Figures'!$B$94:$B$131,0),MATCH('Current - MGA only'!$B42,'Plan Figures'!$B$1:$AP$1,0))</f>
        <v>-</v>
      </c>
      <c r="S42" s="31" t="str">
        <f ca="1">INDEX('Plan Figures'!$B$94:$AP$131,MATCH('Current - MGA only'!S$4,'Plan Figures'!$B$94:$B$131,0),MATCH('Current - MGA only'!$B42,'Plan Figures'!$B$1:$AP$1,0))</f>
        <v>-</v>
      </c>
      <c r="T42" s="31" t="str">
        <f ca="1">INDEX('Plan Figures'!$B$94:$AP$131,MATCH('Current - MGA only'!T$4,'Plan Figures'!$B$94:$B$131,0),MATCH('Current - MGA only'!$B42,'Plan Figures'!$B$1:$AP$1,0))</f>
        <v>-</v>
      </c>
      <c r="U42" s="31" t="str">
        <f ca="1">INDEX('Plan Figures'!$B$94:$AP$131,MATCH('Current - MGA only'!U$4,'Plan Figures'!$B$94:$B$131,0),MATCH('Current - MGA only'!$B42,'Plan Figures'!$B$1:$AP$1,0))</f>
        <v>-</v>
      </c>
      <c r="V42" s="31" t="str">
        <f ca="1">INDEX('Plan Figures'!$B$94:$AP$131,MATCH('Current - MGA only'!V$4,'Plan Figures'!$B$94:$B$131,0),MATCH('Current - MGA only'!$B42,'Plan Figures'!$B$1:$AP$1,0))</f>
        <v>-</v>
      </c>
      <c r="W42" s="31" t="str">
        <f ca="1">INDEX('Plan Figures'!$B$94:$AP$131,MATCH('Current - MGA only'!W$4,'Plan Figures'!$B$94:$B$131,0),MATCH('Current - MGA only'!$B42,'Plan Figures'!$B$1:$AP$1,0))</f>
        <v>-</v>
      </c>
      <c r="X42" s="31" t="str">
        <f ca="1">INDEX('Plan Figures'!$B$94:$AP$131,MATCH('Current - MGA only'!X$4,'Plan Figures'!$B$94:$B$131,0),MATCH('Current - MGA only'!$B42,'Plan Figures'!$B$1:$AP$1,0))</f>
        <v>-</v>
      </c>
      <c r="Y42" s="31" t="str">
        <f ca="1">INDEX('Plan Figures'!$B$94:$AP$131,MATCH('Current - MGA only'!Y$4,'Plan Figures'!$B$94:$B$131,0),MATCH('Current - MGA only'!$B42,'Plan Figures'!$B$1:$AP$1,0))</f>
        <v>-</v>
      </c>
      <c r="Z42" s="31" t="str">
        <f ca="1">INDEX('Plan Figures'!$B$94:$AP$131,MATCH('Current - MGA only'!Z$4,'Plan Figures'!$B$94:$B$131,0),MATCH('Current - MGA only'!$B42,'Plan Figures'!$B$1:$AP$1,0))</f>
        <v>-</v>
      </c>
      <c r="AA42" s="31">
        <f ca="1">INDEX('Plan Figures'!$B$94:$AP$131,MATCH('Current - MGA only'!AA$4,'Plan Figures'!$B$94:$B$131,0),MATCH('Current - MGA only'!$B42,'Plan Figures'!$B$1:$AP$1,0))</f>
        <v>1113.4200697273855</v>
      </c>
      <c r="AB42" s="240">
        <f ca="1">INDEX('Plan Figures'!$B$94:$AP$131,MATCH('Current - MGA only'!AB$4,'Plan Figures'!$B$94:$B$131,0),MATCH('Current - MGA only'!$B42,'Plan Figures'!$B$1:$AP$1,0))</f>
        <v>989.67431218271486</v>
      </c>
      <c r="AC42" s="31">
        <f ca="1">INDEX('Plan Figures'!$B$94:$AP$131,MATCH('Current - MGA only'!AC$4,'Plan Figures'!$B$94:$B$131,0),MATCH('Current - MGA only'!$B42,'Plan Figures'!$B$1:$AP$1,0))</f>
        <v>1210.5482166933789</v>
      </c>
      <c r="AD42" s="31">
        <f ca="1">INDEX('Plan Figures'!$B$94:$AP$131,MATCH('Current - MGA only'!AD$4,'Plan Figures'!$B$94:$B$131,0),MATCH('Current - MGA only'!$B42,'Plan Figures'!$B$1:$AP$1,0))</f>
        <v>1208.1319527878034</v>
      </c>
      <c r="AE42" s="31">
        <f ca="1">INDEX('Plan Figures'!$B$94:$AP$131,MATCH('Current - MGA only'!AE$4,'Plan Figures'!$B$94:$B$131,0),MATCH('Current - MGA only'!$B42,'Plan Figures'!$B$1:$AP$1,0))</f>
        <v>1205.7205117642748</v>
      </c>
      <c r="AF42" s="31">
        <f ca="1">INDEX('Plan Figures'!$B$94:$AP$131,MATCH('Current - MGA only'!AF$4,'Plan Figures'!$B$94:$B$131,0),MATCH('Current - MGA only'!$B42,'Plan Figures'!$B$1:$AP$1,0))</f>
        <v>1203.3138839962821</v>
      </c>
      <c r="AG42" s="31">
        <f ca="1">INDEX('Plan Figures'!$B$94:$AP$131,MATCH('Current - MGA only'!AG$4,'Plan Figures'!$B$94:$B$131,0),MATCH('Current - MGA only'!$B42,'Plan Figures'!$B$1:$AP$1,0))</f>
        <v>1201.0207575202833</v>
      </c>
      <c r="AH42" s="31">
        <f ca="1">INDEX('Plan Figures'!$B$94:$AP$131,MATCH('Current - MGA only'!AH$4,'Plan Figures'!$B$94:$B$131,0),MATCH('Current - MGA only'!$B42,'Plan Figures'!$B$1:$AP$1,0))</f>
        <v>1228.8758335021305</v>
      </c>
      <c r="AI42" s="31">
        <f ca="1">INDEX('Plan Figures'!$B$94:$AP$131,MATCH('Current - MGA only'!AI$4,'Plan Figures'!$B$94:$B$131,0),MATCH('Current - MGA only'!$B42,'Plan Figures'!$B$1:$AP$1,0))</f>
        <v>1163.6668411466915</v>
      </c>
      <c r="AJ42" s="31">
        <f ca="1">INDEX('Plan Figures'!$B$94:$AP$131,MATCH('Current - MGA only'!AJ$4,'Plan Figures'!$B$94:$B$131,0),MATCH('Current - MGA only'!$B42,'Plan Figures'!$B$1:$AP$1,0))</f>
        <v>1142.8043600541255</v>
      </c>
      <c r="AK42" s="31">
        <f ca="1">INDEX('Plan Figures'!$B$94:$AP$131,MATCH('Current - MGA only'!AK$4,'Plan Figures'!$B$94:$B$131,0),MATCH('Current - MGA only'!$B42,'Plan Figures'!$B$1:$AP$1,0))</f>
        <v>1583.5747712774066</v>
      </c>
      <c r="AL42" s="31">
        <f ca="1">INDEX('Plan Figures'!$B$94:$AP$131,MATCH('Current - MGA only'!AL$4,'Plan Figures'!$B$94:$B$131,0),MATCH('Current - MGA only'!$B42,'Plan Figures'!$B$1:$AP$1,0))</f>
        <v>1634.6429111000109</v>
      </c>
      <c r="AM42" s="31">
        <f ca="1">INDEX('Plan Figures'!$B$94:$AP$131,MATCH('Current - MGA only'!AM$4,'Plan Figures'!$B$94:$B$131,0),MATCH('Current - MGA only'!$B42,'Plan Figures'!$B$1:$AP$1,0))</f>
        <v>1425.1923390241984</v>
      </c>
      <c r="AN42" s="266">
        <f ca="1">INDEX('Plan Figures'!$B$94:$AP$131,MATCH('Current - MGA only'!AN$4,'Plan Figures'!$B$94:$B$131,0),MATCH('Current - MGA only'!$B42,'Plan Figures'!$B$1:$AP$1,0))</f>
        <v>1298.3013026498229</v>
      </c>
      <c r="AO42" s="239">
        <f t="shared" ca="1" si="40"/>
        <v>1104.5475328678265</v>
      </c>
      <c r="AP42" s="31">
        <f t="shared" ref="AP42:AP46" ca="1" si="41">AVERAGE(R42:AC42)</f>
        <v>1104.5475328678265</v>
      </c>
      <c r="AQ42" s="240">
        <f ca="1">SUMIFS(AC42:AN42,AC$4:AN$4,"&lt;"&amp;'Title Sheet'!$C$13)</f>
        <v>15505.793681516408</v>
      </c>
    </row>
    <row r="43" spans="2:44" ht="15.75" hidden="1" outlineLevel="1" x14ac:dyDescent="0.25">
      <c r="B43" t="str">
        <f t="shared" ref="B43:B52" si="42">$D$2</f>
        <v>PC Annual Direct</v>
      </c>
      <c r="C43" t="str">
        <f t="shared" ref="C43:C52" si="43">$C42</f>
        <v>Boom Annual</v>
      </c>
      <c r="D43" s="213" t="s">
        <v>0</v>
      </c>
      <c r="E43" s="214" t="str">
        <f t="shared" ref="E43:AN43" si="44">IFERROR(IF(E41=0,"-",(E41/E42)-1),"-")</f>
        <v>-</v>
      </c>
      <c r="F43" s="214" t="str">
        <f t="shared" si="44"/>
        <v>-</v>
      </c>
      <c r="G43" s="214" t="str">
        <f t="shared" si="44"/>
        <v>-</v>
      </c>
      <c r="H43" s="214" t="str">
        <f t="shared" si="44"/>
        <v>-</v>
      </c>
      <c r="I43" s="214" t="str">
        <f t="shared" si="44"/>
        <v>-</v>
      </c>
      <c r="J43" s="214" t="str">
        <f t="shared" si="44"/>
        <v>-</v>
      </c>
      <c r="K43" s="214" t="str">
        <f t="shared" si="44"/>
        <v>-</v>
      </c>
      <c r="L43" s="214" t="str">
        <f t="shared" si="44"/>
        <v>-</v>
      </c>
      <c r="M43" s="214" t="str">
        <f t="shared" si="44"/>
        <v>-</v>
      </c>
      <c r="N43" s="214" t="str">
        <f t="shared" si="44"/>
        <v>-</v>
      </c>
      <c r="O43" s="214" t="str">
        <f t="shared" si="44"/>
        <v>-</v>
      </c>
      <c r="P43" s="270" t="str">
        <f t="shared" ca="1" si="44"/>
        <v>-</v>
      </c>
      <c r="Q43" s="214" t="str">
        <f t="shared" ca="1" si="44"/>
        <v>-</v>
      </c>
      <c r="R43" s="214" t="str">
        <f t="shared" ca="1" si="44"/>
        <v>-</v>
      </c>
      <c r="S43" s="214" t="str">
        <f t="shared" ca="1" si="44"/>
        <v>-</v>
      </c>
      <c r="T43" s="214" t="str">
        <f t="shared" ca="1" si="44"/>
        <v>-</v>
      </c>
      <c r="U43" s="214" t="str">
        <f t="shared" ca="1" si="44"/>
        <v>-</v>
      </c>
      <c r="V43" s="214" t="str">
        <f t="shared" ca="1" si="44"/>
        <v>-</v>
      </c>
      <c r="W43" s="214" t="str">
        <f t="shared" ca="1" si="44"/>
        <v>-</v>
      </c>
      <c r="X43" s="214" t="str">
        <f t="shared" ca="1" si="44"/>
        <v>-</v>
      </c>
      <c r="Y43" s="214" t="str">
        <f t="shared" ca="1" si="44"/>
        <v>-</v>
      </c>
      <c r="Z43" s="214" t="str">
        <f t="shared" ca="1" si="44"/>
        <v>-</v>
      </c>
      <c r="AA43" s="214">
        <f t="shared" ca="1" si="44"/>
        <v>0.63672337632803289</v>
      </c>
      <c r="AB43" s="294">
        <f t="shared" ca="1" si="44"/>
        <v>0.66178475369295731</v>
      </c>
      <c r="AC43" s="214">
        <f t="shared" ca="1" si="44"/>
        <v>0.36783305784110465</v>
      </c>
      <c r="AD43" s="214">
        <f t="shared" ca="1" si="44"/>
        <v>0.23243151321900224</v>
      </c>
      <c r="AE43" s="214">
        <f t="shared" ca="1" si="44"/>
        <v>0.52832165430910871</v>
      </c>
      <c r="AF43" s="214">
        <f t="shared" ca="1" si="44"/>
        <v>0.46065579453368222</v>
      </c>
      <c r="AG43" s="214">
        <f t="shared" ca="1" si="44"/>
        <v>0.55548963730749712</v>
      </c>
      <c r="AH43" s="214">
        <f t="shared" ca="1" si="44"/>
        <v>0.24670352682490471</v>
      </c>
      <c r="AI43" s="214">
        <f t="shared" ca="1" si="44"/>
        <v>6.881789637264113E-2</v>
      </c>
      <c r="AJ43" s="214">
        <f t="shared" ca="1" si="44"/>
        <v>-6.1855986907309424E-2</v>
      </c>
      <c r="AK43" s="214">
        <f t="shared" ca="1" si="44"/>
        <v>-0.37493943767584414</v>
      </c>
      <c r="AL43" s="214">
        <f t="shared" ca="1" si="44"/>
        <v>-0.38822045528889426</v>
      </c>
      <c r="AM43" s="214">
        <f t="shared" ca="1" si="44"/>
        <v>-0.22627122065923577</v>
      </c>
      <c r="AN43" s="270">
        <f t="shared" ca="1" si="44"/>
        <v>-0.20887773398311515</v>
      </c>
      <c r="AO43" s="274">
        <f t="shared" ca="1" si="40"/>
        <v>0.55544706262069832</v>
      </c>
      <c r="AP43" s="275">
        <f t="shared" ca="1" si="41"/>
        <v>0.55544706262069832</v>
      </c>
      <c r="AQ43" s="276">
        <f t="shared" ref="AQ43" ca="1" si="45">IFERROR(IF(AQ41=0,"-",(AQ41/AQ42)-1),"-")</f>
        <v>6.9336087327892759E-2</v>
      </c>
    </row>
    <row r="44" spans="2:44" ht="15.75" outlineLevel="1" x14ac:dyDescent="0.25">
      <c r="B44" t="str">
        <f t="shared" si="42"/>
        <v>PC Annual Direct</v>
      </c>
      <c r="C44" t="str">
        <f t="shared" si="43"/>
        <v>Boom Annual</v>
      </c>
      <c r="D44" s="208" t="s">
        <v>5</v>
      </c>
      <c r="E44" s="209">
        <v>54404.443214097795</v>
      </c>
      <c r="F44" s="209">
        <v>154577.88964227081</v>
      </c>
      <c r="G44" s="209">
        <v>483467.82464259694</v>
      </c>
      <c r="H44" s="209">
        <v>538846.57178365299</v>
      </c>
      <c r="I44" s="209">
        <v>694728.56106937001</v>
      </c>
      <c r="J44" s="209">
        <v>973925.98714369722</v>
      </c>
      <c r="K44" s="209">
        <v>1780448.7428612791</v>
      </c>
      <c r="L44" s="209">
        <v>1529874.777141179</v>
      </c>
      <c r="M44" s="209">
        <v>2131022.4157159706</v>
      </c>
      <c r="N44" s="209">
        <v>2601431.4985689996</v>
      </c>
      <c r="O44" s="209">
        <v>2062684.991425006</v>
      </c>
      <c r="P44" s="265">
        <v>1540263.1332138116</v>
      </c>
      <c r="Q44" s="209">
        <v>1086160.0635735805</v>
      </c>
      <c r="R44" s="209">
        <v>1100141.5299974654</v>
      </c>
      <c r="S44" s="209">
        <v>1168566.6321445385</v>
      </c>
      <c r="T44" s="209">
        <v>918911.07178519689</v>
      </c>
      <c r="U44" s="209">
        <v>1028559.628572493</v>
      </c>
      <c r="V44" s="209">
        <v>0</v>
      </c>
      <c r="W44" s="209">
        <v>0</v>
      </c>
      <c r="X44" s="209">
        <v>0</v>
      </c>
      <c r="Y44" s="209">
        <v>0</v>
      </c>
      <c r="Z44" s="209">
        <v>0</v>
      </c>
      <c r="AA44" s="209">
        <v>0</v>
      </c>
      <c r="AB44" s="238">
        <v>0</v>
      </c>
      <c r="AC44" s="209">
        <v>0</v>
      </c>
      <c r="AD44" s="209">
        <v>0</v>
      </c>
      <c r="AE44" s="209">
        <v>0</v>
      </c>
      <c r="AF44" s="209">
        <v>0</v>
      </c>
      <c r="AG44" s="209">
        <v>0</v>
      </c>
      <c r="AH44" s="209">
        <v>0</v>
      </c>
      <c r="AI44" s="209">
        <v>0</v>
      </c>
      <c r="AJ44" s="209">
        <v>0</v>
      </c>
      <c r="AK44" s="209">
        <v>0</v>
      </c>
      <c r="AL44" s="209">
        <v>0</v>
      </c>
      <c r="AM44" s="209">
        <v>0</v>
      </c>
      <c r="AN44" s="265">
        <v>0</v>
      </c>
      <c r="AO44" s="237">
        <f t="shared" si="40"/>
        <v>0</v>
      </c>
      <c r="AP44" s="209">
        <f t="shared" si="41"/>
        <v>351348.2385416411</v>
      </c>
      <c r="AQ44" s="238">
        <f>SUMIFS(AC44:AN44,AC$4:AN$4,"&lt;"&amp;'Title Sheet'!$C$13)</f>
        <v>0</v>
      </c>
    </row>
    <row r="45" spans="2:44" ht="15.75" outlineLevel="1" x14ac:dyDescent="0.25">
      <c r="B45" t="str">
        <f>$D$21&amp;"_NWP"</f>
        <v>PC Annual Direct - Annual_NWP</v>
      </c>
      <c r="C45" t="str">
        <f t="shared" si="43"/>
        <v>Boom Annual</v>
      </c>
      <c r="D45" s="211" t="s">
        <v>6</v>
      </c>
      <c r="E45" s="31" t="e">
        <f>INDEX('Plan Figures'!$B$94:$AP$131,MATCH('Current - MGA only'!E$4,'Plan Figures'!$B$94:$B$131,0),MATCH('Current - MGA only'!$B45,'Plan Figures'!$B$1:$AP$1,0))</f>
        <v>#N/A</v>
      </c>
      <c r="F45" s="31" t="e">
        <f>INDEX('Plan Figures'!$B$94:$AP$131,MATCH('Current - MGA only'!F$4,'Plan Figures'!$B$94:$B$131,0),MATCH('Current - MGA only'!$B45,'Plan Figures'!$B$1:$AP$1,0))</f>
        <v>#N/A</v>
      </c>
      <c r="G45" s="31" t="e">
        <f>INDEX('Plan Figures'!$B$94:$AP$131,MATCH('Current - MGA only'!G$4,'Plan Figures'!$B$94:$B$131,0),MATCH('Current - MGA only'!$B45,'Plan Figures'!$B$1:$AP$1,0))</f>
        <v>#N/A</v>
      </c>
      <c r="H45" s="31" t="e">
        <f>INDEX('Plan Figures'!$B$94:$AP$131,MATCH('Current - MGA only'!H$4,'Plan Figures'!$B$94:$B$131,0),MATCH('Current - MGA only'!$B45,'Plan Figures'!$B$1:$AP$1,0))</f>
        <v>#N/A</v>
      </c>
      <c r="I45" s="31" t="e">
        <f>INDEX('Plan Figures'!$B$94:$AP$131,MATCH('Current - MGA only'!I$4,'Plan Figures'!$B$94:$B$131,0),MATCH('Current - MGA only'!$B45,'Plan Figures'!$B$1:$AP$1,0))</f>
        <v>#N/A</v>
      </c>
      <c r="J45" s="31" t="e">
        <f>INDEX('Plan Figures'!$B$94:$AP$131,MATCH('Current - MGA only'!J$4,'Plan Figures'!$B$94:$B$131,0),MATCH('Current - MGA only'!$B45,'Plan Figures'!$B$1:$AP$1,0))</f>
        <v>#N/A</v>
      </c>
      <c r="K45" s="31" t="e">
        <f>INDEX('Plan Figures'!$B$94:$AP$131,MATCH('Current - MGA only'!K$4,'Plan Figures'!$B$94:$B$131,0),MATCH('Current - MGA only'!$B45,'Plan Figures'!$B$1:$AP$1,0))</f>
        <v>#N/A</v>
      </c>
      <c r="L45" s="31" t="e">
        <f>INDEX('Plan Figures'!$B$94:$AP$131,MATCH('Current - MGA only'!L$4,'Plan Figures'!$B$94:$B$131,0),MATCH('Current - MGA only'!$B45,'Plan Figures'!$B$1:$AP$1,0))</f>
        <v>#N/A</v>
      </c>
      <c r="M45" s="31" t="e">
        <f>INDEX('Plan Figures'!$B$94:$AP$131,MATCH('Current - MGA only'!M$4,'Plan Figures'!$B$94:$B$131,0),MATCH('Current - MGA only'!$B45,'Plan Figures'!$B$1:$AP$1,0))</f>
        <v>#N/A</v>
      </c>
      <c r="N45" s="31" t="e">
        <f>INDEX('Plan Figures'!$B$94:$AP$131,MATCH('Current - MGA only'!N$4,'Plan Figures'!$B$94:$B$131,0),MATCH('Current - MGA only'!$B45,'Plan Figures'!$B$1:$AP$1,0))</f>
        <v>#N/A</v>
      </c>
      <c r="O45" s="31" t="e">
        <f>INDEX('Plan Figures'!$B$94:$AP$131,MATCH('Current - MGA only'!O$4,'Plan Figures'!$B$94:$B$131,0),MATCH('Current - MGA only'!$B45,'Plan Figures'!$B$1:$AP$1,0))</f>
        <v>#N/A</v>
      </c>
      <c r="P45" s="266" t="str">
        <f ca="1">INDEX('Plan Figures'!$B$94:$AP$131,MATCH('Current - MGA only'!P$4,'Plan Figures'!$B$94:$B$131,0),MATCH('Current - MGA only'!$B45,'Plan Figures'!$B$1:$AP$1,0))</f>
        <v>-</v>
      </c>
      <c r="Q45" s="31" t="str">
        <f ca="1">INDEX('Plan Figures'!$B$94:$AP$131,MATCH('Current - MGA only'!Q$4,'Plan Figures'!$B$94:$B$131,0),MATCH('Current - MGA only'!$B45,'Plan Figures'!$B$1:$AP$1,0))</f>
        <v>-</v>
      </c>
      <c r="R45" s="31" t="str">
        <f ca="1">INDEX('Plan Figures'!$B$94:$AP$131,MATCH('Current - MGA only'!R$4,'Plan Figures'!$B$94:$B$131,0),MATCH('Current - MGA only'!$B45,'Plan Figures'!$B$1:$AP$1,0))</f>
        <v>-</v>
      </c>
      <c r="S45" s="31" t="str">
        <f ca="1">INDEX('Plan Figures'!$B$94:$AP$131,MATCH('Current - MGA only'!S$4,'Plan Figures'!$B$94:$B$131,0),MATCH('Current - MGA only'!$B45,'Plan Figures'!$B$1:$AP$1,0))</f>
        <v>-</v>
      </c>
      <c r="T45" s="31" t="str">
        <f ca="1">INDEX('Plan Figures'!$B$94:$AP$131,MATCH('Current - MGA only'!T$4,'Plan Figures'!$B$94:$B$131,0),MATCH('Current - MGA only'!$B45,'Plan Figures'!$B$1:$AP$1,0))</f>
        <v>-</v>
      </c>
      <c r="U45" s="31" t="str">
        <f ca="1">INDEX('Plan Figures'!$B$94:$AP$131,MATCH('Current - MGA only'!U$4,'Plan Figures'!$B$94:$B$131,0),MATCH('Current - MGA only'!$B45,'Plan Figures'!$B$1:$AP$1,0))</f>
        <v>-</v>
      </c>
      <c r="V45" s="31" t="str">
        <f ca="1">INDEX('Plan Figures'!$B$94:$AP$131,MATCH('Current - MGA only'!V$4,'Plan Figures'!$B$94:$B$131,0),MATCH('Current - MGA only'!$B45,'Plan Figures'!$B$1:$AP$1,0))</f>
        <v>-</v>
      </c>
      <c r="W45" s="31" t="str">
        <f ca="1">INDEX('Plan Figures'!$B$94:$AP$131,MATCH('Current - MGA only'!W$4,'Plan Figures'!$B$94:$B$131,0),MATCH('Current - MGA only'!$B45,'Plan Figures'!$B$1:$AP$1,0))</f>
        <v>-</v>
      </c>
      <c r="X45" s="31" t="str">
        <f ca="1">INDEX('Plan Figures'!$B$94:$AP$131,MATCH('Current - MGA only'!X$4,'Plan Figures'!$B$94:$B$131,0),MATCH('Current - MGA only'!$B45,'Plan Figures'!$B$1:$AP$1,0))</f>
        <v>-</v>
      </c>
      <c r="Y45" s="31" t="str">
        <f ca="1">INDEX('Plan Figures'!$B$94:$AP$131,MATCH('Current - MGA only'!Y$4,'Plan Figures'!$B$94:$B$131,0),MATCH('Current - MGA only'!$B45,'Plan Figures'!$B$1:$AP$1,0))</f>
        <v>-</v>
      </c>
      <c r="Z45" s="31" t="str">
        <f ca="1">INDEX('Plan Figures'!$B$94:$AP$131,MATCH('Current - MGA only'!Z$4,'Plan Figures'!$B$94:$B$131,0),MATCH('Current - MGA only'!$B45,'Plan Figures'!$B$1:$AP$1,0))</f>
        <v>-</v>
      </c>
      <c r="AA45" s="31">
        <f ca="1">INDEX('Plan Figures'!$B$94:$AP$131,MATCH('Current - MGA only'!AA$4,'Plan Figures'!$B$94:$B$131,0),MATCH('Current - MGA only'!$B45,'Plan Figures'!$B$1:$AP$1,0))</f>
        <v>1201948.8602582696</v>
      </c>
      <c r="AB45" s="240">
        <f ca="1">INDEX('Plan Figures'!$B$94:$AP$131,MATCH('Current - MGA only'!AB$4,'Plan Figures'!$B$94:$B$131,0),MATCH('Current - MGA only'!$B45,'Plan Figures'!$B$1:$AP$1,0))</f>
        <v>1130181.9540233866</v>
      </c>
      <c r="AC45" s="31">
        <f ca="1">INDEX('Plan Figures'!$B$94:$AP$131,MATCH('Current - MGA only'!AC$4,'Plan Figures'!$B$94:$B$131,0),MATCH('Current - MGA only'!$B45,'Plan Figures'!$B$1:$AP$1,0))</f>
        <v>1235960.0527141613</v>
      </c>
      <c r="AD45" s="31">
        <f ca="1">INDEX('Plan Figures'!$B$94:$AP$131,MATCH('Current - MGA only'!AD$4,'Plan Figures'!$B$94:$B$131,0),MATCH('Current - MGA only'!$B45,'Plan Figures'!$B$1:$AP$1,0))</f>
        <v>1333459.558352059</v>
      </c>
      <c r="AE45" s="31">
        <f ca="1">INDEX('Plan Figures'!$B$94:$AP$131,MATCH('Current - MGA only'!AE$4,'Plan Figures'!$B$94:$B$131,0),MATCH('Current - MGA only'!$B45,'Plan Figures'!$B$1:$AP$1,0))</f>
        <v>1387558.0023525297</v>
      </c>
      <c r="AF45" s="31">
        <f ca="1">INDEX('Plan Figures'!$B$94:$AP$131,MATCH('Current - MGA only'!AF$4,'Plan Figures'!$B$94:$B$131,0),MATCH('Current - MGA only'!$B45,'Plan Figures'!$B$1:$AP$1,0))</f>
        <v>1433144.0223048357</v>
      </c>
      <c r="AG45" s="31">
        <f ca="1">INDEX('Plan Figures'!$B$94:$AP$131,MATCH('Current - MGA only'!AG$4,'Plan Figures'!$B$94:$B$131,0),MATCH('Current - MGA only'!$B45,'Plan Figures'!$B$1:$AP$1,0))</f>
        <v>1450615.9831731333</v>
      </c>
      <c r="AH45" s="31">
        <f ca="1">INDEX('Plan Figures'!$B$94:$AP$131,MATCH('Current - MGA only'!AH$4,'Plan Figures'!$B$94:$B$131,0),MATCH('Current - MGA only'!$B45,'Plan Figures'!$B$1:$AP$1,0))</f>
        <v>1477938.9090293907</v>
      </c>
      <c r="AI45" s="31">
        <f ca="1">INDEX('Plan Figures'!$B$94:$AP$131,MATCH('Current - MGA only'!AI$4,'Plan Figures'!$B$94:$B$131,0),MATCH('Current - MGA only'!$B45,'Plan Figures'!$B$1:$AP$1,0))</f>
        <v>1091239.3456972765</v>
      </c>
      <c r="AJ45" s="31">
        <f ca="1">INDEX('Plan Figures'!$B$94:$AP$131,MATCH('Current - MGA only'!AJ$4,'Plan Figures'!$B$94:$B$131,0),MATCH('Current - MGA only'!$B45,'Plan Figures'!$B$1:$AP$1,0))</f>
        <v>1077447.5969932852</v>
      </c>
      <c r="AK45" s="31">
        <f ca="1">INDEX('Plan Figures'!$B$94:$AP$131,MATCH('Current - MGA only'!AK$4,'Plan Figures'!$B$94:$B$131,0),MATCH('Current - MGA only'!$B45,'Plan Figures'!$B$1:$AP$1,0))</f>
        <v>1476181.8237554729</v>
      </c>
      <c r="AL45" s="31">
        <f ca="1">INDEX('Plan Figures'!$B$94:$AP$131,MATCH('Current - MGA only'!AL$4,'Plan Figures'!$B$94:$B$131,0),MATCH('Current - MGA only'!$B45,'Plan Figures'!$B$1:$AP$1,0))</f>
        <v>1608356.2569974326</v>
      </c>
      <c r="AM45" s="31">
        <f ca="1">INDEX('Plan Figures'!$B$94:$AP$131,MATCH('Current - MGA only'!AM$4,'Plan Figures'!$B$94:$B$131,0),MATCH('Current - MGA only'!$B45,'Plan Figures'!$B$1:$AP$1,0))</f>
        <v>1383525.1445630868</v>
      </c>
      <c r="AN45" s="266">
        <f ca="1">INDEX('Plan Figures'!$B$94:$AP$131,MATCH('Current - MGA only'!AN$4,'Plan Figures'!$B$94:$B$131,0),MATCH('Current - MGA only'!$B45,'Plan Figures'!$B$1:$AP$1,0))</f>
        <v>1258196.2084745558</v>
      </c>
      <c r="AO45" s="239">
        <f t="shared" ca="1" si="40"/>
        <v>1189363.6223319394</v>
      </c>
      <c r="AP45" s="31">
        <f t="shared" ca="1" si="41"/>
        <v>1189363.6223319394</v>
      </c>
      <c r="AQ45" s="240">
        <f ca="1">SUMIFS(AC45:AN45,AC$4:AN$4,"&lt;"&amp;'Title Sheet'!$C$13)</f>
        <v>16213622.90440722</v>
      </c>
    </row>
    <row r="46" spans="2:44" ht="15.75" outlineLevel="1" x14ac:dyDescent="0.25">
      <c r="B46" t="str">
        <f t="shared" si="42"/>
        <v>PC Annual Direct</v>
      </c>
      <c r="C46" t="str">
        <f t="shared" si="43"/>
        <v>Boom Annual</v>
      </c>
      <c r="D46" s="213" t="s">
        <v>0</v>
      </c>
      <c r="E46" s="214" t="str">
        <f t="shared" ref="E46:AN46" si="46">IFERROR(IF(E44=0,"-",(E44/E45)-1),"-")</f>
        <v>-</v>
      </c>
      <c r="F46" s="214" t="str">
        <f t="shared" si="46"/>
        <v>-</v>
      </c>
      <c r="G46" s="214" t="str">
        <f t="shared" si="46"/>
        <v>-</v>
      </c>
      <c r="H46" s="214" t="str">
        <f t="shared" si="46"/>
        <v>-</v>
      </c>
      <c r="I46" s="214" t="str">
        <f t="shared" si="46"/>
        <v>-</v>
      </c>
      <c r="J46" s="214" t="str">
        <f t="shared" si="46"/>
        <v>-</v>
      </c>
      <c r="K46" s="214" t="str">
        <f t="shared" si="46"/>
        <v>-</v>
      </c>
      <c r="L46" s="214" t="str">
        <f t="shared" si="46"/>
        <v>-</v>
      </c>
      <c r="M46" s="214" t="str">
        <f t="shared" si="46"/>
        <v>-</v>
      </c>
      <c r="N46" s="214" t="str">
        <f t="shared" si="46"/>
        <v>-</v>
      </c>
      <c r="O46" s="214" t="str">
        <f t="shared" si="46"/>
        <v>-</v>
      </c>
      <c r="P46" s="270" t="str">
        <f t="shared" ca="1" si="46"/>
        <v>-</v>
      </c>
      <c r="Q46" s="214" t="str">
        <f t="shared" ca="1" si="46"/>
        <v>-</v>
      </c>
      <c r="R46" s="214" t="str">
        <f t="shared" ca="1" si="46"/>
        <v>-</v>
      </c>
      <c r="S46" s="214" t="str">
        <f t="shared" ca="1" si="46"/>
        <v>-</v>
      </c>
      <c r="T46" s="214" t="str">
        <f t="shared" ca="1" si="46"/>
        <v>-</v>
      </c>
      <c r="U46" s="214" t="str">
        <f t="shared" ca="1" si="46"/>
        <v>-</v>
      </c>
      <c r="V46" s="214" t="str">
        <f t="shared" si="46"/>
        <v>-</v>
      </c>
      <c r="W46" s="214" t="str">
        <f t="shared" si="46"/>
        <v>-</v>
      </c>
      <c r="X46" s="214" t="str">
        <f t="shared" si="46"/>
        <v>-</v>
      </c>
      <c r="Y46" s="214" t="str">
        <f t="shared" si="46"/>
        <v>-</v>
      </c>
      <c r="Z46" s="214" t="str">
        <f t="shared" si="46"/>
        <v>-</v>
      </c>
      <c r="AA46" s="214" t="str">
        <f t="shared" si="46"/>
        <v>-</v>
      </c>
      <c r="AB46" s="294" t="str">
        <f t="shared" si="46"/>
        <v>-</v>
      </c>
      <c r="AC46" s="214" t="str">
        <f t="shared" si="46"/>
        <v>-</v>
      </c>
      <c r="AD46" s="214" t="str">
        <f t="shared" si="46"/>
        <v>-</v>
      </c>
      <c r="AE46" s="214" t="str">
        <f t="shared" si="46"/>
        <v>-</v>
      </c>
      <c r="AF46" s="214" t="str">
        <f t="shared" si="46"/>
        <v>-</v>
      </c>
      <c r="AG46" s="214" t="str">
        <f t="shared" si="46"/>
        <v>-</v>
      </c>
      <c r="AH46" s="214" t="str">
        <f t="shared" si="46"/>
        <v>-</v>
      </c>
      <c r="AI46" s="214" t="str">
        <f t="shared" si="46"/>
        <v>-</v>
      </c>
      <c r="AJ46" s="214" t="str">
        <f t="shared" si="46"/>
        <v>-</v>
      </c>
      <c r="AK46" s="214" t="str">
        <f t="shared" si="46"/>
        <v>-</v>
      </c>
      <c r="AL46" s="214" t="str">
        <f t="shared" si="46"/>
        <v>-</v>
      </c>
      <c r="AM46" s="214" t="str">
        <f t="shared" si="46"/>
        <v>-</v>
      </c>
      <c r="AN46" s="270" t="str">
        <f t="shared" si="46"/>
        <v>-</v>
      </c>
      <c r="AO46" s="274" t="e">
        <f t="shared" si="40"/>
        <v>#DIV/0!</v>
      </c>
      <c r="AP46" s="275" t="e">
        <f t="shared" ca="1" si="41"/>
        <v>#DIV/0!</v>
      </c>
      <c r="AQ46" s="276" t="str">
        <f t="shared" ref="AQ46" si="47">IFERROR(IF(AQ44=0,"-",(AQ44/AQ45)-1),"-")</f>
        <v>-</v>
      </c>
    </row>
    <row r="47" spans="2:44" ht="15.75" outlineLevel="1" x14ac:dyDescent="0.25">
      <c r="B47" t="str">
        <f t="shared" si="42"/>
        <v>PC Annual Direct</v>
      </c>
      <c r="C47" t="str">
        <f t="shared" si="43"/>
        <v>Boom Annual</v>
      </c>
      <c r="D47" s="208" t="s">
        <v>12</v>
      </c>
      <c r="E47" s="209">
        <f t="shared" ref="E47:AP48" si="48">IFERROR(E44/E41,0)</f>
        <v>1650.6751265916957</v>
      </c>
      <c r="F47" s="209">
        <f t="shared" si="48"/>
        <v>843.95509129089317</v>
      </c>
      <c r="G47" s="209">
        <f t="shared" si="48"/>
        <v>622.09868078798013</v>
      </c>
      <c r="H47" s="209">
        <f t="shared" si="48"/>
        <v>900.8335945372902</v>
      </c>
      <c r="I47" s="209">
        <f t="shared" si="48"/>
        <v>1065.7943560624428</v>
      </c>
      <c r="J47" s="209">
        <f t="shared" si="48"/>
        <v>892.69782251074218</v>
      </c>
      <c r="K47" s="209">
        <f t="shared" si="48"/>
        <v>808.76208715302289</v>
      </c>
      <c r="L47" s="209">
        <f t="shared" si="48"/>
        <v>803.58660168363622</v>
      </c>
      <c r="M47" s="209">
        <f t="shared" si="48"/>
        <v>778.74911441053519</v>
      </c>
      <c r="N47" s="209">
        <f t="shared" si="48"/>
        <v>705.44228731128044</v>
      </c>
      <c r="O47" s="209">
        <f t="shared" si="48"/>
        <v>617.27516235748487</v>
      </c>
      <c r="P47" s="265">
        <f t="shared" si="48"/>
        <v>609.70154954119903</v>
      </c>
      <c r="Q47" s="209">
        <f t="shared" si="48"/>
        <v>541.74496438632059</v>
      </c>
      <c r="R47" s="209">
        <f t="shared" si="48"/>
        <v>505.31952904677843</v>
      </c>
      <c r="S47" s="209">
        <f t="shared" si="48"/>
        <v>434.94151295966731</v>
      </c>
      <c r="T47" s="209">
        <f t="shared" si="48"/>
        <v>472.52219471110254</v>
      </c>
      <c r="U47" s="209">
        <f t="shared" si="48"/>
        <v>632.09996666748987</v>
      </c>
      <c r="V47" s="209">
        <f t="shared" si="48"/>
        <v>0</v>
      </c>
      <c r="W47" s="209">
        <f t="shared" si="48"/>
        <v>0</v>
      </c>
      <c r="X47" s="209">
        <f t="shared" si="48"/>
        <v>0</v>
      </c>
      <c r="Y47" s="209">
        <f t="shared" si="48"/>
        <v>0</v>
      </c>
      <c r="Z47" s="209">
        <f t="shared" si="48"/>
        <v>0</v>
      </c>
      <c r="AA47" s="209">
        <f t="shared" si="48"/>
        <v>0</v>
      </c>
      <c r="AB47" s="238">
        <f t="shared" si="48"/>
        <v>0</v>
      </c>
      <c r="AC47" s="209">
        <f t="shared" si="48"/>
        <v>0</v>
      </c>
      <c r="AD47" s="209">
        <f t="shared" si="48"/>
        <v>0</v>
      </c>
      <c r="AE47" s="209">
        <f t="shared" si="48"/>
        <v>0</v>
      </c>
      <c r="AF47" s="209">
        <f t="shared" si="48"/>
        <v>0</v>
      </c>
      <c r="AG47" s="209">
        <f t="shared" si="48"/>
        <v>0</v>
      </c>
      <c r="AH47" s="209">
        <f t="shared" si="48"/>
        <v>0</v>
      </c>
      <c r="AI47" s="209">
        <f t="shared" si="48"/>
        <v>0</v>
      </c>
      <c r="AJ47" s="209">
        <f t="shared" si="48"/>
        <v>0</v>
      </c>
      <c r="AK47" s="209">
        <f t="shared" si="48"/>
        <v>0</v>
      </c>
      <c r="AL47" s="209">
        <f t="shared" si="48"/>
        <v>0</v>
      </c>
      <c r="AM47" s="209">
        <f t="shared" si="48"/>
        <v>0</v>
      </c>
      <c r="AN47" s="265">
        <f t="shared" si="48"/>
        <v>0</v>
      </c>
      <c r="AO47" s="237">
        <f t="shared" si="48"/>
        <v>0</v>
      </c>
      <c r="AP47" s="209">
        <f t="shared" si="48"/>
        <v>231.70607322501058</v>
      </c>
      <c r="AQ47" s="238">
        <f>SUMIFS(AC47:AN47,AC$4:AN$4,"&lt;"&amp;'Title Sheet'!$C$13)</f>
        <v>0</v>
      </c>
    </row>
    <row r="48" spans="2:44" ht="15.75" hidden="1" outlineLevel="1" x14ac:dyDescent="0.25">
      <c r="B48" t="str">
        <f t="shared" si="42"/>
        <v>PC Annual Direct</v>
      </c>
      <c r="C48" t="str">
        <f t="shared" si="43"/>
        <v>Boom Annual</v>
      </c>
      <c r="D48" s="211" t="s">
        <v>13</v>
      </c>
      <c r="E48" s="31">
        <f t="shared" si="48"/>
        <v>0</v>
      </c>
      <c r="F48" s="31">
        <f t="shared" si="48"/>
        <v>0</v>
      </c>
      <c r="G48" s="31">
        <f t="shared" si="48"/>
        <v>0</v>
      </c>
      <c r="H48" s="31">
        <f t="shared" si="48"/>
        <v>0</v>
      </c>
      <c r="I48" s="31">
        <f t="shared" si="48"/>
        <v>0</v>
      </c>
      <c r="J48" s="31">
        <f t="shared" si="48"/>
        <v>0</v>
      </c>
      <c r="K48" s="31">
        <f t="shared" si="48"/>
        <v>0</v>
      </c>
      <c r="L48" s="31">
        <f t="shared" si="48"/>
        <v>0</v>
      </c>
      <c r="M48" s="31">
        <f t="shared" si="48"/>
        <v>0</v>
      </c>
      <c r="N48" s="31">
        <f t="shared" si="48"/>
        <v>0</v>
      </c>
      <c r="O48" s="31">
        <f t="shared" si="48"/>
        <v>0</v>
      </c>
      <c r="P48" s="266">
        <f t="shared" ca="1" si="48"/>
        <v>0</v>
      </c>
      <c r="Q48" s="31">
        <f t="shared" ca="1" si="48"/>
        <v>0</v>
      </c>
      <c r="R48" s="31">
        <f t="shared" ca="1" si="48"/>
        <v>0</v>
      </c>
      <c r="S48" s="31">
        <f t="shared" ca="1" si="48"/>
        <v>0</v>
      </c>
      <c r="T48" s="31">
        <f t="shared" ca="1" si="48"/>
        <v>0</v>
      </c>
      <c r="U48" s="31">
        <f t="shared" ca="1" si="48"/>
        <v>0</v>
      </c>
      <c r="V48" s="31">
        <f t="shared" ca="1" si="48"/>
        <v>0</v>
      </c>
      <c r="W48" s="31">
        <f t="shared" ca="1" si="48"/>
        <v>0</v>
      </c>
      <c r="X48" s="31">
        <f t="shared" ca="1" si="48"/>
        <v>0</v>
      </c>
      <c r="Y48" s="31">
        <f t="shared" ca="1" si="48"/>
        <v>0</v>
      </c>
      <c r="Z48" s="31">
        <f t="shared" ca="1" si="48"/>
        <v>0</v>
      </c>
      <c r="AA48" s="31">
        <f t="shared" ca="1" si="48"/>
        <v>1079.510683288258</v>
      </c>
      <c r="AB48" s="240">
        <f t="shared" ca="1" si="48"/>
        <v>1141.9736170890237</v>
      </c>
      <c r="AC48" s="31">
        <f t="shared" ca="1" si="48"/>
        <v>1020.9920064895846</v>
      </c>
      <c r="AD48" s="31">
        <f t="shared" ca="1" si="48"/>
        <v>1103.7366864398034</v>
      </c>
      <c r="AE48" s="31">
        <f t="shared" ca="1" si="48"/>
        <v>1150.8123058487083</v>
      </c>
      <c r="AF48" s="31">
        <f t="shared" ca="1" si="48"/>
        <v>1190.9976618446992</v>
      </c>
      <c r="AG48" s="31">
        <f t="shared" ca="1" si="48"/>
        <v>1207.8192438307085</v>
      </c>
      <c r="AH48" s="31">
        <f t="shared" ca="1" si="48"/>
        <v>1202.675541936132</v>
      </c>
      <c r="AI48" s="31">
        <f t="shared" ca="1" si="48"/>
        <v>937.75925128360279</v>
      </c>
      <c r="AJ48" s="31">
        <f t="shared" ca="1" si="48"/>
        <v>942.81019101314519</v>
      </c>
      <c r="AK48" s="31">
        <f t="shared" ca="1" si="48"/>
        <v>932.18321643549291</v>
      </c>
      <c r="AL48" s="31">
        <f t="shared" ca="1" si="48"/>
        <v>983.9190235836345</v>
      </c>
      <c r="AM48" s="31">
        <f t="shared" ca="1" si="48"/>
        <v>970.76380968365265</v>
      </c>
      <c r="AN48" s="266">
        <f t="shared" ca="1" si="48"/>
        <v>969.10956332446642</v>
      </c>
      <c r="AO48" s="239">
        <f t="shared" ca="1" si="48"/>
        <v>1076.7880846593339</v>
      </c>
      <c r="AP48" s="31">
        <f t="shared" ca="1" si="48"/>
        <v>1076.7880846593339</v>
      </c>
      <c r="AQ48" s="240">
        <f ca="1">SUMIFS(AC48:AN48,AC$4:AN$4,"&lt;"&amp;'Title Sheet'!$C$13)</f>
        <v>12613.57850171363</v>
      </c>
      <c r="AR48" s="3"/>
    </row>
    <row r="49" spans="2:43" ht="15.75" hidden="1" outlineLevel="1" x14ac:dyDescent="0.25">
      <c r="B49" t="str">
        <f t="shared" si="42"/>
        <v>PC Annual Direct</v>
      </c>
      <c r="C49" t="str">
        <f t="shared" si="43"/>
        <v>Boom Annual</v>
      </c>
      <c r="D49" s="213" t="s">
        <v>0</v>
      </c>
      <c r="E49" s="214" t="str">
        <f t="shared" ref="E49:AN49" si="49">IFERROR(IF(E47=0,"-",(E47/E48)-1),"-")</f>
        <v>-</v>
      </c>
      <c r="F49" s="214" t="str">
        <f t="shared" si="49"/>
        <v>-</v>
      </c>
      <c r="G49" s="214" t="str">
        <f t="shared" si="49"/>
        <v>-</v>
      </c>
      <c r="H49" s="214" t="str">
        <f t="shared" si="49"/>
        <v>-</v>
      </c>
      <c r="I49" s="214" t="str">
        <f t="shared" si="49"/>
        <v>-</v>
      </c>
      <c r="J49" s="214" t="str">
        <f t="shared" si="49"/>
        <v>-</v>
      </c>
      <c r="K49" s="214" t="str">
        <f t="shared" si="49"/>
        <v>-</v>
      </c>
      <c r="L49" s="214" t="str">
        <f t="shared" si="49"/>
        <v>-</v>
      </c>
      <c r="M49" s="214" t="str">
        <f t="shared" si="49"/>
        <v>-</v>
      </c>
      <c r="N49" s="214" t="str">
        <f t="shared" si="49"/>
        <v>-</v>
      </c>
      <c r="O49" s="214" t="str">
        <f t="shared" si="49"/>
        <v>-</v>
      </c>
      <c r="P49" s="270" t="str">
        <f t="shared" ca="1" si="49"/>
        <v>-</v>
      </c>
      <c r="Q49" s="214" t="str">
        <f t="shared" ca="1" si="49"/>
        <v>-</v>
      </c>
      <c r="R49" s="214" t="str">
        <f t="shared" ca="1" si="49"/>
        <v>-</v>
      </c>
      <c r="S49" s="214" t="str">
        <f t="shared" ca="1" si="49"/>
        <v>-</v>
      </c>
      <c r="T49" s="214" t="str">
        <f t="shared" ca="1" si="49"/>
        <v>-</v>
      </c>
      <c r="U49" s="214" t="str">
        <f t="shared" ca="1" si="49"/>
        <v>-</v>
      </c>
      <c r="V49" s="214" t="str">
        <f t="shared" si="49"/>
        <v>-</v>
      </c>
      <c r="W49" s="214" t="str">
        <f t="shared" si="49"/>
        <v>-</v>
      </c>
      <c r="X49" s="214" t="str">
        <f t="shared" si="49"/>
        <v>-</v>
      </c>
      <c r="Y49" s="214" t="str">
        <f t="shared" si="49"/>
        <v>-</v>
      </c>
      <c r="Z49" s="214" t="str">
        <f t="shared" si="49"/>
        <v>-</v>
      </c>
      <c r="AA49" s="214" t="str">
        <f t="shared" si="49"/>
        <v>-</v>
      </c>
      <c r="AB49" s="294" t="str">
        <f t="shared" si="49"/>
        <v>-</v>
      </c>
      <c r="AC49" s="214" t="str">
        <f t="shared" si="49"/>
        <v>-</v>
      </c>
      <c r="AD49" s="214" t="str">
        <f t="shared" si="49"/>
        <v>-</v>
      </c>
      <c r="AE49" s="214" t="str">
        <f t="shared" si="49"/>
        <v>-</v>
      </c>
      <c r="AF49" s="214" t="str">
        <f t="shared" si="49"/>
        <v>-</v>
      </c>
      <c r="AG49" s="214" t="str">
        <f t="shared" si="49"/>
        <v>-</v>
      </c>
      <c r="AH49" s="214" t="str">
        <f t="shared" si="49"/>
        <v>-</v>
      </c>
      <c r="AI49" s="214" t="str">
        <f t="shared" si="49"/>
        <v>-</v>
      </c>
      <c r="AJ49" s="214" t="str">
        <f t="shared" si="49"/>
        <v>-</v>
      </c>
      <c r="AK49" s="214" t="str">
        <f t="shared" si="49"/>
        <v>-</v>
      </c>
      <c r="AL49" s="214" t="str">
        <f t="shared" si="49"/>
        <v>-</v>
      </c>
      <c r="AM49" s="214" t="str">
        <f t="shared" si="49"/>
        <v>-</v>
      </c>
      <c r="AN49" s="270" t="str">
        <f t="shared" si="49"/>
        <v>-</v>
      </c>
      <c r="AO49" s="274">
        <f t="shared" ref="AO49:AP49" ca="1" si="50">AO47-AO48</f>
        <v>-1076.7880846593339</v>
      </c>
      <c r="AP49" s="275">
        <f t="shared" ca="1" si="50"/>
        <v>-845.08201143432325</v>
      </c>
      <c r="AQ49" s="276" t="str">
        <f t="shared" ref="AQ49" si="51">IFERROR(IF(AQ47=0,"-",(AQ47/AQ48)-1),"-")</f>
        <v>-</v>
      </c>
    </row>
    <row r="50" spans="2:43" outlineLevel="1" x14ac:dyDescent="0.25">
      <c r="B50" t="str">
        <f t="shared" si="42"/>
        <v>PC Annual Direct</v>
      </c>
      <c r="C50" t="str">
        <f t="shared" si="43"/>
        <v>Boom Annual</v>
      </c>
      <c r="D50" s="258" t="s">
        <v>17</v>
      </c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67"/>
      <c r="Q50" s="259"/>
      <c r="R50" s="259"/>
      <c r="S50" s="259"/>
      <c r="T50" s="259"/>
      <c r="U50" s="259"/>
      <c r="V50" s="259"/>
      <c r="W50" s="259"/>
      <c r="X50" s="259"/>
      <c r="Y50" s="259"/>
      <c r="Z50" s="259"/>
      <c r="AA50" s="259"/>
      <c r="AB50" s="313"/>
      <c r="AC50" s="259"/>
      <c r="AD50" s="259"/>
      <c r="AE50" s="259"/>
      <c r="AF50" s="259"/>
      <c r="AG50" s="259"/>
      <c r="AH50" s="259"/>
      <c r="AI50" s="259"/>
      <c r="AJ50" s="259"/>
      <c r="AK50" s="259"/>
      <c r="AL50" s="259"/>
      <c r="AM50" s="259"/>
      <c r="AN50" s="267"/>
      <c r="AO50" s="277"/>
      <c r="AP50" s="277"/>
      <c r="AQ50" s="278">
        <f>SUMIFS(AC50:AN50,AC$4:AN$4,"&lt;"&amp;'Title Sheet'!$C$13)</f>
        <v>0</v>
      </c>
    </row>
    <row r="51" spans="2:43" ht="15.75" outlineLevel="1" x14ac:dyDescent="0.25">
      <c r="B51" t="str">
        <f t="shared" si="42"/>
        <v>PC Annual Direct</v>
      </c>
      <c r="C51" t="str">
        <f t="shared" si="43"/>
        <v>Boom Annual</v>
      </c>
      <c r="D51" s="208" t="s">
        <v>7</v>
      </c>
      <c r="E51" s="282">
        <v>63882.723213917787</v>
      </c>
      <c r="F51" s="283">
        <v>190494.91964215893</v>
      </c>
      <c r="G51" s="283">
        <v>596806.79464284331</v>
      </c>
      <c r="H51" s="283">
        <v>595003.65178337891</v>
      </c>
      <c r="I51" s="283">
        <v>767228.99106955796</v>
      </c>
      <c r="J51" s="283">
        <v>1076558.1071435665</v>
      </c>
      <c r="K51" s="283">
        <v>1970118.39286279</v>
      </c>
      <c r="L51" s="283">
        <v>1693961.1071383746</v>
      </c>
      <c r="M51" s="283">
        <v>2359606.7857171055</v>
      </c>
      <c r="N51" s="283">
        <v>2882993.6785684759</v>
      </c>
      <c r="O51" s="283">
        <v>2381454.3214225136</v>
      </c>
      <c r="P51" s="284">
        <v>1845728.2232118105</v>
      </c>
      <c r="Q51" s="282">
        <v>1310265.0535725218</v>
      </c>
      <c r="R51" s="283">
        <v>1327939.2499983122</v>
      </c>
      <c r="S51" s="283">
        <v>1409536.7321461581</v>
      </c>
      <c r="T51" s="283">
        <v>1108687.1517870072</v>
      </c>
      <c r="U51" s="283">
        <v>1246462.1607149141</v>
      </c>
      <c r="V51" s="283">
        <v>1107291.8392874526</v>
      </c>
      <c r="W51" s="283">
        <v>1048832.0178576689</v>
      </c>
      <c r="X51" s="283">
        <v>1253992.9107235237</v>
      </c>
      <c r="Y51" s="283">
        <v>1303893.1696446086</v>
      </c>
      <c r="Z51" s="283">
        <v>1566971.7232140885</v>
      </c>
      <c r="AA51" s="283">
        <v>2157081.1517849583</v>
      </c>
      <c r="AB51" s="314">
        <v>1914532.8749973006</v>
      </c>
      <c r="AC51" s="283">
        <v>1944443.0178594808</v>
      </c>
      <c r="AD51" s="283">
        <v>1732662.0535668435</v>
      </c>
      <c r="AE51" s="283">
        <v>2205954.4464311609</v>
      </c>
      <c r="AF51" s="283">
        <v>1850640.28571464</v>
      </c>
      <c r="AG51" s="283">
        <v>1837855.9196469001</v>
      </c>
      <c r="AH51" s="283">
        <v>1522427.3660705225</v>
      </c>
      <c r="AI51" s="283">
        <v>1241761.1875013036</v>
      </c>
      <c r="AJ51" s="283">
        <v>1069691.2499979811</v>
      </c>
      <c r="AK51" s="283">
        <v>1027546.1428554314</v>
      </c>
      <c r="AL51" s="283">
        <v>1002417.9196437768</v>
      </c>
      <c r="AM51" s="283">
        <v>1136470.0178602049</v>
      </c>
      <c r="AN51" s="284">
        <v>1060884.4999982724</v>
      </c>
      <c r="AO51" s="237">
        <f t="shared" ref="AO51" si="52">AVERAGE(Z51:AC51)</f>
        <v>1895757.1919639572</v>
      </c>
      <c r="AP51" s="209">
        <f>AVERAGE(R51:AC51)</f>
        <v>1449138.6666679562</v>
      </c>
      <c r="AQ51" s="238">
        <f>SUMIFS(AC51:AN51,AC$4:AN$4,"&lt;"&amp;'Title Sheet'!$C$13)</f>
        <v>17632754.107146516</v>
      </c>
    </row>
    <row r="52" spans="2:43" ht="16.5" outlineLevel="1" thickBot="1" x14ac:dyDescent="0.3">
      <c r="B52" t="str">
        <f t="shared" si="42"/>
        <v>PC Annual Direct</v>
      </c>
      <c r="C52" t="str">
        <f t="shared" si="43"/>
        <v>Boom Annual</v>
      </c>
      <c r="D52" s="226" t="s">
        <v>21</v>
      </c>
      <c r="E52" s="269">
        <f t="shared" ref="E52:AB52" si="53">IFERROR(E44/E$27,"-")</f>
        <v>1</v>
      </c>
      <c r="F52" s="269">
        <f t="shared" si="53"/>
        <v>1</v>
      </c>
      <c r="G52" s="269">
        <f t="shared" si="53"/>
        <v>1</v>
      </c>
      <c r="H52" s="269">
        <f t="shared" si="53"/>
        <v>1</v>
      </c>
      <c r="I52" s="269">
        <f t="shared" si="53"/>
        <v>1</v>
      </c>
      <c r="J52" s="269">
        <f t="shared" si="53"/>
        <v>1</v>
      </c>
      <c r="K52" s="269">
        <f t="shared" si="53"/>
        <v>1</v>
      </c>
      <c r="L52" s="269">
        <f t="shared" si="53"/>
        <v>1</v>
      </c>
      <c r="M52" s="269">
        <f t="shared" si="53"/>
        <v>1</v>
      </c>
      <c r="N52" s="269">
        <f t="shared" si="53"/>
        <v>1</v>
      </c>
      <c r="O52" s="269">
        <f t="shared" si="53"/>
        <v>1</v>
      </c>
      <c r="P52" s="281">
        <f t="shared" si="53"/>
        <v>1</v>
      </c>
      <c r="Q52" s="269">
        <f t="shared" si="53"/>
        <v>1</v>
      </c>
      <c r="R52" s="269">
        <f t="shared" si="53"/>
        <v>1</v>
      </c>
      <c r="S52" s="269">
        <f t="shared" si="53"/>
        <v>1</v>
      </c>
      <c r="T52" s="269">
        <f t="shared" si="53"/>
        <v>1</v>
      </c>
      <c r="U52" s="269">
        <f t="shared" si="53"/>
        <v>1</v>
      </c>
      <c r="V52" s="269" t="str">
        <f t="shared" si="53"/>
        <v>-</v>
      </c>
      <c r="W52" s="269" t="str">
        <f t="shared" si="53"/>
        <v>-</v>
      </c>
      <c r="X52" s="269" t="str">
        <f t="shared" si="53"/>
        <v>-</v>
      </c>
      <c r="Y52" s="269" t="str">
        <f t="shared" si="53"/>
        <v>-</v>
      </c>
      <c r="Z52" s="269" t="str">
        <f t="shared" si="53"/>
        <v>-</v>
      </c>
      <c r="AA52" s="269" t="str">
        <f t="shared" si="53"/>
        <v>-</v>
      </c>
      <c r="AB52" s="280" t="str">
        <f t="shared" si="53"/>
        <v>-</v>
      </c>
      <c r="AC52" s="269" t="str">
        <f>IFERROR(AC44/AC$27,"-")</f>
        <v>-</v>
      </c>
      <c r="AD52" s="269" t="str">
        <f t="shared" ref="AD52:AN52" si="54">IFERROR(AD44/AD$27,"-")</f>
        <v>-</v>
      </c>
      <c r="AE52" s="269" t="str">
        <f t="shared" si="54"/>
        <v>-</v>
      </c>
      <c r="AF52" s="269" t="str">
        <f t="shared" si="54"/>
        <v>-</v>
      </c>
      <c r="AG52" s="269" t="str">
        <f t="shared" si="54"/>
        <v>-</v>
      </c>
      <c r="AH52" s="269" t="str">
        <f t="shared" si="54"/>
        <v>-</v>
      </c>
      <c r="AI52" s="269" t="str">
        <f t="shared" si="54"/>
        <v>-</v>
      </c>
      <c r="AJ52" s="269" t="str">
        <f t="shared" si="54"/>
        <v>-</v>
      </c>
      <c r="AK52" s="269" t="str">
        <f t="shared" si="54"/>
        <v>-</v>
      </c>
      <c r="AL52" s="269" t="str">
        <f t="shared" si="54"/>
        <v>-</v>
      </c>
      <c r="AM52" s="269" t="str">
        <f t="shared" si="54"/>
        <v>-</v>
      </c>
      <c r="AN52" s="281" t="str">
        <f t="shared" si="54"/>
        <v>-</v>
      </c>
      <c r="AO52" s="279">
        <f t="shared" ref="AO52:AP52" si="55">AO44/AO$8</f>
        <v>0</v>
      </c>
      <c r="AP52" s="269">
        <f t="shared" si="55"/>
        <v>0.27988390709553373</v>
      </c>
      <c r="AQ52" s="280" t="str">
        <f t="shared" ref="AQ52" si="56">IFERROR(IF(AQ50=0,"-",(AQ50/AQ51)-1),"-")</f>
        <v>-</v>
      </c>
    </row>
    <row r="53" spans="2:43" outlineLevel="1" x14ac:dyDescent="0.25"/>
    <row r="54" spans="2:43" ht="15.75" outlineLevel="1" thickBot="1" x14ac:dyDescent="0.3"/>
    <row r="55" spans="2:43" ht="18.75" outlineLevel="1" x14ac:dyDescent="0.25">
      <c r="D55" s="309" t="s">
        <v>351</v>
      </c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33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33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63"/>
      <c r="AO55" s="202"/>
      <c r="AP55" s="202"/>
      <c r="AQ55" s="233"/>
    </row>
    <row r="56" spans="2:43" outlineLevel="1" x14ac:dyDescent="0.25">
      <c r="D56" s="204"/>
      <c r="E56" s="303" t="s">
        <v>341</v>
      </c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17"/>
      <c r="Q56" s="320" t="s">
        <v>341</v>
      </c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17"/>
      <c r="AC56" s="303" t="s">
        <v>341</v>
      </c>
      <c r="AD56" s="303"/>
      <c r="AE56" s="303"/>
      <c r="AF56" s="303"/>
      <c r="AG56" s="303"/>
      <c r="AH56" s="303"/>
      <c r="AI56" s="303"/>
      <c r="AJ56" s="303"/>
      <c r="AK56" s="303"/>
      <c r="AL56" s="303"/>
      <c r="AM56" s="303"/>
      <c r="AN56" s="317"/>
      <c r="AO56" s="510" t="s">
        <v>8</v>
      </c>
      <c r="AP56" s="511"/>
      <c r="AQ56" s="512"/>
    </row>
    <row r="57" spans="2:43" outlineLevel="1" x14ac:dyDescent="0.25">
      <c r="D57" s="321" t="s">
        <v>16</v>
      </c>
      <c r="E57" s="318">
        <f t="shared" ref="E57:AN57" si="57">E$4</f>
        <v>44562</v>
      </c>
      <c r="F57" s="318">
        <f t="shared" si="57"/>
        <v>44593</v>
      </c>
      <c r="G57" s="318">
        <f t="shared" si="57"/>
        <v>44621</v>
      </c>
      <c r="H57" s="318">
        <f t="shared" si="57"/>
        <v>44652</v>
      </c>
      <c r="I57" s="318">
        <f t="shared" si="57"/>
        <v>44682</v>
      </c>
      <c r="J57" s="318">
        <f t="shared" si="57"/>
        <v>44713</v>
      </c>
      <c r="K57" s="318">
        <f t="shared" si="57"/>
        <v>44743</v>
      </c>
      <c r="L57" s="318">
        <f t="shared" si="57"/>
        <v>44774</v>
      </c>
      <c r="M57" s="318">
        <f t="shared" si="57"/>
        <v>44805</v>
      </c>
      <c r="N57" s="318">
        <f t="shared" si="57"/>
        <v>44835</v>
      </c>
      <c r="O57" s="318">
        <f t="shared" si="57"/>
        <v>44866</v>
      </c>
      <c r="P57" s="319">
        <f t="shared" si="57"/>
        <v>44896</v>
      </c>
      <c r="Q57" s="318">
        <f t="shared" si="57"/>
        <v>44927</v>
      </c>
      <c r="R57" s="318">
        <f t="shared" si="57"/>
        <v>44958</v>
      </c>
      <c r="S57" s="318">
        <f t="shared" si="57"/>
        <v>44986</v>
      </c>
      <c r="T57" s="318">
        <f t="shared" si="57"/>
        <v>45017</v>
      </c>
      <c r="U57" s="318">
        <f t="shared" si="57"/>
        <v>45047</v>
      </c>
      <c r="V57" s="318">
        <f t="shared" si="57"/>
        <v>45078</v>
      </c>
      <c r="W57" s="318">
        <f t="shared" si="57"/>
        <v>45108</v>
      </c>
      <c r="X57" s="318">
        <f t="shared" si="57"/>
        <v>45139</v>
      </c>
      <c r="Y57" s="318">
        <f t="shared" si="57"/>
        <v>45170</v>
      </c>
      <c r="Z57" s="318">
        <f t="shared" si="57"/>
        <v>45200</v>
      </c>
      <c r="AA57" s="318">
        <f t="shared" si="57"/>
        <v>45231</v>
      </c>
      <c r="AB57" s="319">
        <f t="shared" si="57"/>
        <v>45261</v>
      </c>
      <c r="AC57" s="318">
        <f t="shared" si="57"/>
        <v>45292</v>
      </c>
      <c r="AD57" s="318">
        <f t="shared" si="57"/>
        <v>45323</v>
      </c>
      <c r="AE57" s="318">
        <f t="shared" si="57"/>
        <v>45352</v>
      </c>
      <c r="AF57" s="318">
        <f t="shared" si="57"/>
        <v>45383</v>
      </c>
      <c r="AG57" s="318">
        <f t="shared" si="57"/>
        <v>45413</v>
      </c>
      <c r="AH57" s="318">
        <f t="shared" si="57"/>
        <v>45444</v>
      </c>
      <c r="AI57" s="318">
        <f t="shared" si="57"/>
        <v>45474</v>
      </c>
      <c r="AJ57" s="318">
        <f t="shared" si="57"/>
        <v>45505</v>
      </c>
      <c r="AK57" s="318">
        <f t="shared" si="57"/>
        <v>45536</v>
      </c>
      <c r="AL57" s="318">
        <f t="shared" si="57"/>
        <v>45566</v>
      </c>
      <c r="AM57" s="318">
        <f t="shared" si="57"/>
        <v>45597</v>
      </c>
      <c r="AN57" s="316">
        <f t="shared" si="57"/>
        <v>45627</v>
      </c>
      <c r="AO57" s="271" t="s">
        <v>9</v>
      </c>
      <c r="AP57" s="272">
        <f>AP38</f>
        <v>0</v>
      </c>
      <c r="AQ57" s="273" t="s">
        <v>346</v>
      </c>
    </row>
    <row r="58" spans="2:43" ht="15.75" outlineLevel="1" x14ac:dyDescent="0.25">
      <c r="B58" t="str">
        <f>$D$2</f>
        <v>PC Annual Direct</v>
      </c>
      <c r="C58" t="s">
        <v>353</v>
      </c>
      <c r="D58" s="208" t="s">
        <v>316</v>
      </c>
      <c r="E58" s="209">
        <v>0</v>
      </c>
      <c r="F58" s="209">
        <v>0</v>
      </c>
      <c r="G58" s="209">
        <v>0</v>
      </c>
      <c r="H58" s="209">
        <v>0</v>
      </c>
      <c r="I58" s="209">
        <v>0</v>
      </c>
      <c r="J58" s="209">
        <v>0</v>
      </c>
      <c r="K58" s="209">
        <v>0</v>
      </c>
      <c r="L58" s="209">
        <v>0</v>
      </c>
      <c r="M58" s="209">
        <v>0</v>
      </c>
      <c r="N58" s="209">
        <v>0</v>
      </c>
      <c r="O58" s="209">
        <v>0</v>
      </c>
      <c r="P58" s="238">
        <v>0</v>
      </c>
      <c r="Q58" s="209">
        <v>0</v>
      </c>
      <c r="R58" s="209">
        <v>0</v>
      </c>
      <c r="S58" s="209">
        <v>0</v>
      </c>
      <c r="T58" s="209">
        <v>0</v>
      </c>
      <c r="U58" s="209">
        <v>0</v>
      </c>
      <c r="V58" s="209">
        <v>0</v>
      </c>
      <c r="W58" s="209">
        <v>0</v>
      </c>
      <c r="X58" s="209">
        <v>0</v>
      </c>
      <c r="Y58" s="209">
        <v>0</v>
      </c>
      <c r="Z58" s="209">
        <v>0</v>
      </c>
      <c r="AA58" s="209">
        <v>0</v>
      </c>
      <c r="AB58" s="238">
        <v>0</v>
      </c>
      <c r="AC58" s="209">
        <v>273.08196722940011</v>
      </c>
      <c r="AD58" s="209">
        <v>1449.8879781919002</v>
      </c>
      <c r="AE58" s="209">
        <v>2876.5397260939967</v>
      </c>
      <c r="AF58" s="209">
        <v>3056.3397261169957</v>
      </c>
      <c r="AG58" s="209">
        <v>2954.6109589979951</v>
      </c>
      <c r="AH58" s="209">
        <v>2561.9671233569939</v>
      </c>
      <c r="AI58" s="209">
        <v>2169.424657644</v>
      </c>
      <c r="AJ58" s="209">
        <v>1909.4630137499996</v>
      </c>
      <c r="AK58" s="209">
        <v>1796.6109589239995</v>
      </c>
      <c r="AL58" s="209">
        <v>1784.8273973089997</v>
      </c>
      <c r="AM58" s="209">
        <v>1959.5616439189996</v>
      </c>
      <c r="AN58" s="265">
        <v>2152.7397260720008</v>
      </c>
      <c r="AO58" s="237">
        <f t="shared" ref="AO58:AO63" si="58">AVERAGE(Z58:AC58)</f>
        <v>68.270491807350027</v>
      </c>
      <c r="AP58" s="209">
        <f>AVERAGE(R58:AC58)</f>
        <v>22.756830602450009</v>
      </c>
      <c r="AQ58" s="238">
        <f>SUMIFS(AC58:AN58,AC$4:AN$4,"&lt;"&amp;'Title Sheet'!$C$13)</f>
        <v>24945.054877605282</v>
      </c>
    </row>
    <row r="59" spans="2:43" ht="15.75" hidden="1" outlineLevel="1" x14ac:dyDescent="0.25">
      <c r="B59" t="str">
        <f>"PC Annual Direct - Premium Finance_W VYRs"</f>
        <v>PC Annual Direct - Premium Finance_W VYRs</v>
      </c>
      <c r="C59" t="s">
        <v>353</v>
      </c>
      <c r="D59" s="211" t="s">
        <v>317</v>
      </c>
      <c r="E59" s="31" t="e">
        <f>INDEX('Plan Figures'!$B$94:$AP$131,MATCH('Current - MGA only'!E$4,'Plan Figures'!$B$94:$B$131,0),MATCH('Current - MGA only'!$B59,'Plan Figures'!$B$1:$AP$1,0))</f>
        <v>#N/A</v>
      </c>
      <c r="F59" s="31" t="e">
        <f>INDEX('Plan Figures'!$B$94:$AP$131,MATCH('Current - MGA only'!F$4,'Plan Figures'!$B$94:$B$131,0),MATCH('Current - MGA only'!$B59,'Plan Figures'!$B$1:$AP$1,0))</f>
        <v>#N/A</v>
      </c>
      <c r="G59" s="31" t="e">
        <f>INDEX('Plan Figures'!$B$94:$AP$131,MATCH('Current - MGA only'!G$4,'Plan Figures'!$B$94:$B$131,0),MATCH('Current - MGA only'!$B59,'Plan Figures'!$B$1:$AP$1,0))</f>
        <v>#N/A</v>
      </c>
      <c r="H59" s="31" t="e">
        <f>INDEX('Plan Figures'!$B$94:$AP$131,MATCH('Current - MGA only'!H$4,'Plan Figures'!$B$94:$B$131,0),MATCH('Current - MGA only'!$B59,'Plan Figures'!$B$1:$AP$1,0))</f>
        <v>#N/A</v>
      </c>
      <c r="I59" s="31" t="e">
        <f>INDEX('Plan Figures'!$B$94:$AP$131,MATCH('Current - MGA only'!I$4,'Plan Figures'!$B$94:$B$131,0),MATCH('Current - MGA only'!$B59,'Plan Figures'!$B$1:$AP$1,0))</f>
        <v>#N/A</v>
      </c>
      <c r="J59" s="31" t="e">
        <f>INDEX('Plan Figures'!$B$94:$AP$131,MATCH('Current - MGA only'!J$4,'Plan Figures'!$B$94:$B$131,0),MATCH('Current - MGA only'!$B59,'Plan Figures'!$B$1:$AP$1,0))</f>
        <v>#N/A</v>
      </c>
      <c r="K59" s="31" t="e">
        <f>INDEX('Plan Figures'!$B$94:$AP$131,MATCH('Current - MGA only'!K$4,'Plan Figures'!$B$94:$B$131,0),MATCH('Current - MGA only'!$B59,'Plan Figures'!$B$1:$AP$1,0))</f>
        <v>#N/A</v>
      </c>
      <c r="L59" s="31" t="e">
        <f>INDEX('Plan Figures'!$B$94:$AP$131,MATCH('Current - MGA only'!L$4,'Plan Figures'!$B$94:$B$131,0),MATCH('Current - MGA only'!$B59,'Plan Figures'!$B$1:$AP$1,0))</f>
        <v>#N/A</v>
      </c>
      <c r="M59" s="31" t="e">
        <f>INDEX('Plan Figures'!$B$94:$AP$131,MATCH('Current - MGA only'!M$4,'Plan Figures'!$B$94:$B$131,0),MATCH('Current - MGA only'!$B59,'Plan Figures'!$B$1:$AP$1,0))</f>
        <v>#N/A</v>
      </c>
      <c r="N59" s="31" t="e">
        <f>INDEX('Plan Figures'!$B$94:$AP$131,MATCH('Current - MGA only'!N$4,'Plan Figures'!$B$94:$B$131,0),MATCH('Current - MGA only'!$B59,'Plan Figures'!$B$1:$AP$1,0))</f>
        <v>#N/A</v>
      </c>
      <c r="O59" s="31" t="e">
        <f>INDEX('Plan Figures'!$B$94:$AP$131,MATCH('Current - MGA only'!O$4,'Plan Figures'!$B$94:$B$131,0),MATCH('Current - MGA only'!$B59,'Plan Figures'!$B$1:$AP$1,0))</f>
        <v>#N/A</v>
      </c>
      <c r="P59" s="240" t="str">
        <f ca="1">INDEX('Plan Figures'!$B$94:$AP$131,MATCH('Current - MGA only'!P$4,'Plan Figures'!$B$94:$B$131,0),MATCH('Current - MGA only'!$B59,'Plan Figures'!$B$1:$AP$1,0))</f>
        <v>-</v>
      </c>
      <c r="Q59" s="31" t="str">
        <f ca="1">INDEX('Plan Figures'!$B$94:$AP$131,MATCH('Current - MGA only'!Q$4,'Plan Figures'!$B$94:$B$131,0),MATCH('Current - MGA only'!$B59,'Plan Figures'!$B$1:$AP$1,0))</f>
        <v>-</v>
      </c>
      <c r="R59" s="31" t="str">
        <f ca="1">INDEX('Plan Figures'!$B$94:$AP$131,MATCH('Current - MGA only'!R$4,'Plan Figures'!$B$94:$B$131,0),MATCH('Current - MGA only'!$B59,'Plan Figures'!$B$1:$AP$1,0))</f>
        <v>-</v>
      </c>
      <c r="S59" s="31" t="str">
        <f ca="1">INDEX('Plan Figures'!$B$94:$AP$131,MATCH('Current - MGA only'!S$4,'Plan Figures'!$B$94:$B$131,0),MATCH('Current - MGA only'!$B59,'Plan Figures'!$B$1:$AP$1,0))</f>
        <v>-</v>
      </c>
      <c r="T59" s="31" t="str">
        <f ca="1">INDEX('Plan Figures'!$B$94:$AP$131,MATCH('Current - MGA only'!T$4,'Plan Figures'!$B$94:$B$131,0),MATCH('Current - MGA only'!$B59,'Plan Figures'!$B$1:$AP$1,0))</f>
        <v>-</v>
      </c>
      <c r="U59" s="31" t="str">
        <f ca="1">INDEX('Plan Figures'!$B$94:$AP$131,MATCH('Current - MGA only'!U$4,'Plan Figures'!$B$94:$B$131,0),MATCH('Current - MGA only'!$B59,'Plan Figures'!$B$1:$AP$1,0))</f>
        <v>-</v>
      </c>
      <c r="V59" s="31" t="str">
        <f ca="1">INDEX('Plan Figures'!$B$94:$AP$131,MATCH('Current - MGA only'!V$4,'Plan Figures'!$B$94:$B$131,0),MATCH('Current - MGA only'!$B59,'Plan Figures'!$B$1:$AP$1,0))</f>
        <v>-</v>
      </c>
      <c r="W59" s="31" t="str">
        <f ca="1">INDEX('Plan Figures'!$B$94:$AP$131,MATCH('Current - MGA only'!W$4,'Plan Figures'!$B$94:$B$131,0),MATCH('Current - MGA only'!$B59,'Plan Figures'!$B$1:$AP$1,0))</f>
        <v>-</v>
      </c>
      <c r="X59" s="31" t="str">
        <f ca="1">INDEX('Plan Figures'!$B$94:$AP$131,MATCH('Current - MGA only'!X$4,'Plan Figures'!$B$94:$B$131,0),MATCH('Current - MGA only'!$B59,'Plan Figures'!$B$1:$AP$1,0))</f>
        <v>-</v>
      </c>
      <c r="Y59" s="31" t="str">
        <f ca="1">INDEX('Plan Figures'!$B$94:$AP$131,MATCH('Current - MGA only'!Y$4,'Plan Figures'!$B$94:$B$131,0),MATCH('Current - MGA only'!$B59,'Plan Figures'!$B$1:$AP$1,0))</f>
        <v>-</v>
      </c>
      <c r="Z59" s="31" t="str">
        <f ca="1">INDEX('Plan Figures'!$B$94:$AP$131,MATCH('Current - MGA only'!Z$4,'Plan Figures'!$B$94:$B$131,0),MATCH('Current - MGA only'!$B59,'Plan Figures'!$B$1:$AP$1,0))</f>
        <v>-</v>
      </c>
      <c r="AA59" s="31">
        <f ca="1">INDEX('Plan Figures'!$B$94:$AP$131,MATCH('Current - MGA only'!AA$4,'Plan Figures'!$B$94:$B$131,0),MATCH('Current - MGA only'!$B59,'Plan Figures'!$B$1:$AP$1,0))</f>
        <v>0</v>
      </c>
      <c r="AB59" s="240">
        <f ca="1">INDEX('Plan Figures'!$B$94:$AP$131,MATCH('Current - MGA only'!AB$4,'Plan Figures'!$B$94:$B$131,0),MATCH('Current - MGA only'!$B59,'Plan Figures'!$B$1:$AP$1,0))</f>
        <v>0</v>
      </c>
      <c r="AC59" s="31">
        <f ca="1">INDEX('Plan Figures'!$B$94:$AP$131,MATCH('Current - MGA only'!AC$4,'Plan Figures'!$B$94:$B$131,0),MATCH('Current - MGA only'!$B59,'Plan Figures'!$B$1:$AP$1,0))</f>
        <v>2230.0485070641912</v>
      </c>
      <c r="AD59" s="31">
        <f ca="1">INDEX('Plan Figures'!$B$94:$AP$131,MATCH('Current - MGA only'!AD$4,'Plan Figures'!$B$94:$B$131,0),MATCH('Current - MGA only'!$B59,'Plan Figures'!$B$1:$AP$1,0))</f>
        <v>2225.5973124393126</v>
      </c>
      <c r="AE59" s="31">
        <f ca="1">INDEX('Plan Figures'!$B$94:$AP$131,MATCH('Current - MGA only'!AE$4,'Plan Figures'!$B$94:$B$131,0),MATCH('Current - MGA only'!$B59,'Plan Figures'!$B$1:$AP$1,0))</f>
        <v>2221.1550024344438</v>
      </c>
      <c r="AF59" s="31">
        <f ca="1">INDEX('Plan Figures'!$B$94:$AP$131,MATCH('Current - MGA only'!AF$4,'Plan Figures'!$B$94:$B$131,0),MATCH('Current - MGA only'!$B59,'Plan Figures'!$B$1:$AP$1,0))</f>
        <v>2216.7215593158126</v>
      </c>
      <c r="AG59" s="31">
        <f ca="1">INDEX('Plan Figures'!$B$94:$AP$131,MATCH('Current - MGA only'!AG$4,'Plan Figures'!$B$94:$B$131,0),MATCH('Current - MGA only'!$B59,'Plan Figures'!$B$1:$AP$1,0))</f>
        <v>2212.8780736073654</v>
      </c>
      <c r="AH59" s="31">
        <f ca="1">INDEX('Plan Figures'!$B$94:$AP$131,MATCH('Current - MGA only'!AH$4,'Plan Figures'!$B$94:$B$131,0),MATCH('Current - MGA only'!$B59,'Plan Figures'!$B$1:$AP$1,0))</f>
        <v>2283.9188061757995</v>
      </c>
      <c r="AI59" s="31">
        <f ca="1">INDEX('Plan Figures'!$B$94:$AP$131,MATCH('Current - MGA only'!AI$4,'Plan Figures'!$B$94:$B$131,0),MATCH('Current - MGA only'!$B59,'Plan Figures'!$B$1:$AP$1,0))</f>
        <v>2077.7077704846874</v>
      </c>
      <c r="AJ59" s="31">
        <f ca="1">INDEX('Plan Figures'!$B$94:$AP$131,MATCH('Current - MGA only'!AJ$4,'Plan Figures'!$B$94:$B$131,0),MATCH('Current - MGA only'!$B59,'Plan Figures'!$B$1:$AP$1,0))</f>
        <v>2067.3639188477955</v>
      </c>
      <c r="AK59" s="31">
        <f ca="1">INDEX('Plan Figures'!$B$94:$AP$131,MATCH('Current - MGA only'!AK$4,'Plan Figures'!$B$94:$B$131,0),MATCH('Current - MGA only'!$B59,'Plan Figures'!$B$1:$AP$1,0))</f>
        <v>2807.6994788171282</v>
      </c>
      <c r="AL59" s="31">
        <f ca="1">INDEX('Plan Figures'!$B$94:$AP$131,MATCH('Current - MGA only'!AL$4,'Plan Figures'!$B$94:$B$131,0),MATCH('Current - MGA only'!$B59,'Plan Figures'!$B$1:$AP$1,0))</f>
        <v>3068.5526153553747</v>
      </c>
      <c r="AM59" s="31">
        <f ca="1">INDEX('Plan Figures'!$B$94:$AP$131,MATCH('Current - MGA only'!AM$4,'Plan Figures'!$B$94:$B$131,0),MATCH('Current - MGA only'!$B59,'Plan Figures'!$B$1:$AP$1,0))</f>
        <v>2501.2873707380145</v>
      </c>
      <c r="AN59" s="266">
        <f ca="1">INDEX('Plan Figures'!$B$94:$AP$131,MATCH('Current - MGA only'!AN$4,'Plan Figures'!$B$94:$B$131,0),MATCH('Current - MGA only'!$B59,'Plan Figures'!$B$1:$AP$1,0))</f>
        <v>2274.7026177431503</v>
      </c>
      <c r="AO59" s="239">
        <f t="shared" ca="1" si="58"/>
        <v>743.34950235473036</v>
      </c>
      <c r="AP59" s="31">
        <f t="shared" ref="AP59:AP63" ca="1" si="59">AVERAGE(R59:AC59)</f>
        <v>743.34950235473036</v>
      </c>
      <c r="AQ59" s="240">
        <f ca="1">SUMIFS(AC59:AN59,AC$4:AN$4,"&lt;"&amp;'Title Sheet'!$C$13)</f>
        <v>28187.633033023074</v>
      </c>
    </row>
    <row r="60" spans="2:43" ht="15.75" hidden="1" outlineLevel="1" x14ac:dyDescent="0.25">
      <c r="B60" t="str">
        <f t="shared" ref="B60:B69" si="60">$D$2</f>
        <v>PC Annual Direct</v>
      </c>
      <c r="C60" t="s">
        <v>353</v>
      </c>
      <c r="D60" s="213" t="s">
        <v>0</v>
      </c>
      <c r="E60" s="214" t="str">
        <f t="shared" ref="E60:AN60" si="61">IFERROR(IF(E58=0,"-",(E58/E59)-1),"-")</f>
        <v>-</v>
      </c>
      <c r="F60" s="214" t="str">
        <f t="shared" si="61"/>
        <v>-</v>
      </c>
      <c r="G60" s="214" t="str">
        <f t="shared" si="61"/>
        <v>-</v>
      </c>
      <c r="H60" s="214" t="str">
        <f t="shared" si="61"/>
        <v>-</v>
      </c>
      <c r="I60" s="214" t="str">
        <f t="shared" si="61"/>
        <v>-</v>
      </c>
      <c r="J60" s="214" t="str">
        <f t="shared" si="61"/>
        <v>-</v>
      </c>
      <c r="K60" s="214" t="str">
        <f t="shared" si="61"/>
        <v>-</v>
      </c>
      <c r="L60" s="214" t="str">
        <f t="shared" si="61"/>
        <v>-</v>
      </c>
      <c r="M60" s="214" t="str">
        <f t="shared" si="61"/>
        <v>-</v>
      </c>
      <c r="N60" s="214" t="str">
        <f t="shared" si="61"/>
        <v>-</v>
      </c>
      <c r="O60" s="214" t="str">
        <f t="shared" si="61"/>
        <v>-</v>
      </c>
      <c r="P60" s="294" t="str">
        <f t="shared" si="61"/>
        <v>-</v>
      </c>
      <c r="Q60" s="214" t="str">
        <f t="shared" si="61"/>
        <v>-</v>
      </c>
      <c r="R60" s="214" t="str">
        <f t="shared" si="61"/>
        <v>-</v>
      </c>
      <c r="S60" s="214" t="str">
        <f t="shared" si="61"/>
        <v>-</v>
      </c>
      <c r="T60" s="214" t="str">
        <f t="shared" si="61"/>
        <v>-</v>
      </c>
      <c r="U60" s="214" t="str">
        <f t="shared" si="61"/>
        <v>-</v>
      </c>
      <c r="V60" s="214" t="str">
        <f t="shared" si="61"/>
        <v>-</v>
      </c>
      <c r="W60" s="214" t="str">
        <f t="shared" si="61"/>
        <v>-</v>
      </c>
      <c r="X60" s="214" t="str">
        <f t="shared" si="61"/>
        <v>-</v>
      </c>
      <c r="Y60" s="214" t="str">
        <f t="shared" si="61"/>
        <v>-</v>
      </c>
      <c r="Z60" s="214" t="str">
        <f t="shared" si="61"/>
        <v>-</v>
      </c>
      <c r="AA60" s="214" t="str">
        <f t="shared" si="61"/>
        <v>-</v>
      </c>
      <c r="AB60" s="294" t="str">
        <f t="shared" si="61"/>
        <v>-</v>
      </c>
      <c r="AC60" s="214">
        <f t="shared" ca="1" si="61"/>
        <v>-0.87754438239152632</v>
      </c>
      <c r="AD60" s="214">
        <f t="shared" ca="1" si="61"/>
        <v>-0.34853984137733107</v>
      </c>
      <c r="AE60" s="214">
        <f t="shared" ca="1" si="61"/>
        <v>0.29506483020826302</v>
      </c>
      <c r="AF60" s="214">
        <f t="shared" ca="1" si="61"/>
        <v>0.37876573323910367</v>
      </c>
      <c r="AG60" s="214">
        <f t="shared" ca="1" si="61"/>
        <v>0.33518922449327704</v>
      </c>
      <c r="AH60" s="214">
        <f t="shared" ca="1" si="61"/>
        <v>0.12174176964143446</v>
      </c>
      <c r="AI60" s="214">
        <f t="shared" ca="1" si="61"/>
        <v>4.414330468519978E-2</v>
      </c>
      <c r="AJ60" s="214">
        <f t="shared" ca="1" si="61"/>
        <v>-7.6377895375962068E-2</v>
      </c>
      <c r="AK60" s="214">
        <f t="shared" ca="1" si="61"/>
        <v>-0.36011279965015908</v>
      </c>
      <c r="AL60" s="214">
        <f t="shared" ca="1" si="61"/>
        <v>-0.41834877186803732</v>
      </c>
      <c r="AM60" s="214">
        <f t="shared" ca="1" si="61"/>
        <v>-0.21657876386237729</v>
      </c>
      <c r="AN60" s="270">
        <f t="shared" ca="1" si="61"/>
        <v>-5.3617070961194502E-2</v>
      </c>
      <c r="AO60" s="274">
        <f t="shared" ca="1" si="58"/>
        <v>-0.87754438239152632</v>
      </c>
      <c r="AP60" s="275">
        <f t="shared" ca="1" si="59"/>
        <v>-0.87754438239152632</v>
      </c>
      <c r="AQ60" s="276">
        <f t="shared" ref="AQ60" ca="1" si="62">IFERROR(IF(AQ58=0,"-",(AQ58/AQ59)-1),"-")</f>
        <v>-0.11503548920262185</v>
      </c>
    </row>
    <row r="61" spans="2:43" ht="15.75" outlineLevel="1" x14ac:dyDescent="0.25">
      <c r="B61" t="str">
        <f t="shared" si="60"/>
        <v>PC Annual Direct</v>
      </c>
      <c r="C61" t="s">
        <v>353</v>
      </c>
      <c r="D61" s="208" t="s">
        <v>5</v>
      </c>
      <c r="E61" s="209">
        <v>0</v>
      </c>
      <c r="F61" s="209">
        <v>0</v>
      </c>
      <c r="G61" s="209">
        <v>0</v>
      </c>
      <c r="H61" s="209">
        <v>0</v>
      </c>
      <c r="I61" s="209">
        <v>0</v>
      </c>
      <c r="J61" s="209">
        <v>0</v>
      </c>
      <c r="K61" s="209">
        <v>0</v>
      </c>
      <c r="L61" s="209">
        <v>0</v>
      </c>
      <c r="M61" s="209">
        <v>0</v>
      </c>
      <c r="N61" s="209">
        <v>0</v>
      </c>
      <c r="O61" s="209">
        <v>0</v>
      </c>
      <c r="P61" s="238">
        <v>0</v>
      </c>
      <c r="Q61" s="209">
        <v>0</v>
      </c>
      <c r="R61" s="209">
        <v>0</v>
      </c>
      <c r="S61" s="209">
        <v>0</v>
      </c>
      <c r="T61" s="209">
        <v>0</v>
      </c>
      <c r="U61" s="209">
        <v>0</v>
      </c>
      <c r="V61" s="209">
        <v>0</v>
      </c>
      <c r="W61" s="209">
        <v>0</v>
      </c>
      <c r="X61" s="209">
        <v>0</v>
      </c>
      <c r="Y61" s="209">
        <v>0</v>
      </c>
      <c r="Z61" s="209">
        <v>0</v>
      </c>
      <c r="AA61" s="209">
        <v>0</v>
      </c>
      <c r="AB61" s="238">
        <v>0</v>
      </c>
      <c r="AC61" s="209">
        <v>0</v>
      </c>
      <c r="AD61" s="209">
        <v>0</v>
      </c>
      <c r="AE61" s="209">
        <v>0</v>
      </c>
      <c r="AF61" s="209">
        <v>0</v>
      </c>
      <c r="AG61" s="209">
        <v>0</v>
      </c>
      <c r="AH61" s="209">
        <v>0</v>
      </c>
      <c r="AI61" s="209">
        <v>0</v>
      </c>
      <c r="AJ61" s="209">
        <v>0</v>
      </c>
      <c r="AK61" s="209">
        <v>0</v>
      </c>
      <c r="AL61" s="209">
        <v>0</v>
      </c>
      <c r="AM61" s="209">
        <v>0</v>
      </c>
      <c r="AN61" s="265">
        <v>0</v>
      </c>
      <c r="AO61" s="237">
        <f t="shared" si="58"/>
        <v>0</v>
      </c>
      <c r="AP61" s="209">
        <f t="shared" si="59"/>
        <v>0</v>
      </c>
      <c r="AQ61" s="238">
        <f>SUMIFS(AC61:AN61,AC$4:AN$4,"&lt;"&amp;'Title Sheet'!$C$13)</f>
        <v>0</v>
      </c>
    </row>
    <row r="62" spans="2:43" ht="15.75" outlineLevel="1" x14ac:dyDescent="0.25">
      <c r="B62" t="str">
        <f>"PC Annual Direct - Premium Finance_NWP"</f>
        <v>PC Annual Direct - Premium Finance_NWP</v>
      </c>
      <c r="C62" t="s">
        <v>353</v>
      </c>
      <c r="D62" s="211" t="s">
        <v>6</v>
      </c>
      <c r="E62" s="31" t="e">
        <f>INDEX('Plan Figures'!$B$94:$AP$131,MATCH('Current - MGA only'!E$4,'Plan Figures'!$B$94:$B$131,0),MATCH('Current - MGA only'!$B62,'Plan Figures'!$B$1:$AP$1,0))</f>
        <v>#N/A</v>
      </c>
      <c r="F62" s="31" t="e">
        <f>INDEX('Plan Figures'!$B$94:$AP$131,MATCH('Current - MGA only'!F$4,'Plan Figures'!$B$94:$B$131,0),MATCH('Current - MGA only'!$B62,'Plan Figures'!$B$1:$AP$1,0))</f>
        <v>#N/A</v>
      </c>
      <c r="G62" s="31" t="e">
        <f>INDEX('Plan Figures'!$B$94:$AP$131,MATCH('Current - MGA only'!G$4,'Plan Figures'!$B$94:$B$131,0),MATCH('Current - MGA only'!$B62,'Plan Figures'!$B$1:$AP$1,0))</f>
        <v>#N/A</v>
      </c>
      <c r="H62" s="31" t="e">
        <f>INDEX('Plan Figures'!$B$94:$AP$131,MATCH('Current - MGA only'!H$4,'Plan Figures'!$B$94:$B$131,0),MATCH('Current - MGA only'!$B62,'Plan Figures'!$B$1:$AP$1,0))</f>
        <v>#N/A</v>
      </c>
      <c r="I62" s="31" t="e">
        <f>INDEX('Plan Figures'!$B$94:$AP$131,MATCH('Current - MGA only'!I$4,'Plan Figures'!$B$94:$B$131,0),MATCH('Current - MGA only'!$B62,'Plan Figures'!$B$1:$AP$1,0))</f>
        <v>#N/A</v>
      </c>
      <c r="J62" s="31" t="e">
        <f>INDEX('Plan Figures'!$B$94:$AP$131,MATCH('Current - MGA only'!J$4,'Plan Figures'!$B$94:$B$131,0),MATCH('Current - MGA only'!$B62,'Plan Figures'!$B$1:$AP$1,0))</f>
        <v>#N/A</v>
      </c>
      <c r="K62" s="31" t="e">
        <f>INDEX('Plan Figures'!$B$94:$AP$131,MATCH('Current - MGA only'!K$4,'Plan Figures'!$B$94:$B$131,0),MATCH('Current - MGA only'!$B62,'Plan Figures'!$B$1:$AP$1,0))</f>
        <v>#N/A</v>
      </c>
      <c r="L62" s="31" t="e">
        <f>INDEX('Plan Figures'!$B$94:$AP$131,MATCH('Current - MGA only'!L$4,'Plan Figures'!$B$94:$B$131,0),MATCH('Current - MGA only'!$B62,'Plan Figures'!$B$1:$AP$1,0))</f>
        <v>#N/A</v>
      </c>
      <c r="M62" s="31" t="e">
        <f>INDEX('Plan Figures'!$B$94:$AP$131,MATCH('Current - MGA only'!M$4,'Plan Figures'!$B$94:$B$131,0),MATCH('Current - MGA only'!$B62,'Plan Figures'!$B$1:$AP$1,0))</f>
        <v>#N/A</v>
      </c>
      <c r="N62" s="31" t="e">
        <f>INDEX('Plan Figures'!$B$94:$AP$131,MATCH('Current - MGA only'!N$4,'Plan Figures'!$B$94:$B$131,0),MATCH('Current - MGA only'!$B62,'Plan Figures'!$B$1:$AP$1,0))</f>
        <v>#N/A</v>
      </c>
      <c r="O62" s="31" t="e">
        <f>INDEX('Plan Figures'!$B$94:$AP$131,MATCH('Current - MGA only'!O$4,'Plan Figures'!$B$94:$B$131,0),MATCH('Current - MGA only'!$B62,'Plan Figures'!$B$1:$AP$1,0))</f>
        <v>#N/A</v>
      </c>
      <c r="P62" s="240" t="str">
        <f ca="1">INDEX('Plan Figures'!$B$94:$AP$131,MATCH('Current - MGA only'!P$4,'Plan Figures'!$B$94:$B$131,0),MATCH('Current - MGA only'!$B62,'Plan Figures'!$B$1:$AP$1,0))</f>
        <v>-</v>
      </c>
      <c r="Q62" s="31" t="str">
        <f ca="1">INDEX('Plan Figures'!$B$94:$AP$131,MATCH('Current - MGA only'!Q$4,'Plan Figures'!$B$94:$B$131,0),MATCH('Current - MGA only'!$B62,'Plan Figures'!$B$1:$AP$1,0))</f>
        <v>-</v>
      </c>
      <c r="R62" s="31" t="str">
        <f ca="1">INDEX('Plan Figures'!$B$94:$AP$131,MATCH('Current - MGA only'!R$4,'Plan Figures'!$B$94:$B$131,0),MATCH('Current - MGA only'!$B62,'Plan Figures'!$B$1:$AP$1,0))</f>
        <v>-</v>
      </c>
      <c r="S62" s="31" t="str">
        <f ca="1">INDEX('Plan Figures'!$B$94:$AP$131,MATCH('Current - MGA only'!S$4,'Plan Figures'!$B$94:$B$131,0),MATCH('Current - MGA only'!$B62,'Plan Figures'!$B$1:$AP$1,0))</f>
        <v>-</v>
      </c>
      <c r="T62" s="31" t="str">
        <f ca="1">INDEX('Plan Figures'!$B$94:$AP$131,MATCH('Current - MGA only'!T$4,'Plan Figures'!$B$94:$B$131,0),MATCH('Current - MGA only'!$B62,'Plan Figures'!$B$1:$AP$1,0))</f>
        <v>-</v>
      </c>
      <c r="U62" s="31" t="str">
        <f ca="1">INDEX('Plan Figures'!$B$94:$AP$131,MATCH('Current - MGA only'!U$4,'Plan Figures'!$B$94:$B$131,0),MATCH('Current - MGA only'!$B62,'Plan Figures'!$B$1:$AP$1,0))</f>
        <v>-</v>
      </c>
      <c r="V62" s="31" t="str">
        <f ca="1">INDEX('Plan Figures'!$B$94:$AP$131,MATCH('Current - MGA only'!V$4,'Plan Figures'!$B$94:$B$131,0),MATCH('Current - MGA only'!$B62,'Plan Figures'!$B$1:$AP$1,0))</f>
        <v>-</v>
      </c>
      <c r="W62" s="31" t="str">
        <f ca="1">INDEX('Plan Figures'!$B$94:$AP$131,MATCH('Current - MGA only'!W$4,'Plan Figures'!$B$94:$B$131,0),MATCH('Current - MGA only'!$B62,'Plan Figures'!$B$1:$AP$1,0))</f>
        <v>-</v>
      </c>
      <c r="X62" s="31" t="str">
        <f ca="1">INDEX('Plan Figures'!$B$94:$AP$131,MATCH('Current - MGA only'!X$4,'Plan Figures'!$B$94:$B$131,0),MATCH('Current - MGA only'!$B62,'Plan Figures'!$B$1:$AP$1,0))</f>
        <v>-</v>
      </c>
      <c r="Y62" s="31" t="str">
        <f ca="1">INDEX('Plan Figures'!$B$94:$AP$131,MATCH('Current - MGA only'!Y$4,'Plan Figures'!$B$94:$B$131,0),MATCH('Current - MGA only'!$B62,'Plan Figures'!$B$1:$AP$1,0))</f>
        <v>-</v>
      </c>
      <c r="Z62" s="31" t="str">
        <f ca="1">INDEX('Plan Figures'!$B$94:$AP$131,MATCH('Current - MGA only'!Z$4,'Plan Figures'!$B$94:$B$131,0),MATCH('Current - MGA only'!$B62,'Plan Figures'!$B$1:$AP$1,0))</f>
        <v>-</v>
      </c>
      <c r="AA62" s="31">
        <f ca="1">INDEX('Plan Figures'!$B$94:$AP$131,MATCH('Current - MGA only'!AA$4,'Plan Figures'!$B$94:$B$131,0),MATCH('Current - MGA only'!$B62,'Plan Figures'!$B$1:$AP$1,0))</f>
        <v>0</v>
      </c>
      <c r="AB62" s="240">
        <f ca="1">INDEX('Plan Figures'!$B$94:$AP$131,MATCH('Current - MGA only'!AB$4,'Plan Figures'!$B$94:$B$131,0),MATCH('Current - MGA only'!$B62,'Plan Figures'!$B$1:$AP$1,0))</f>
        <v>0</v>
      </c>
      <c r="AC62" s="31">
        <f ca="1">INDEX('Plan Figures'!$B$94:$AP$131,MATCH('Current - MGA only'!AC$4,'Plan Figures'!$B$94:$B$131,0),MATCH('Current - MGA only'!$B62,'Plan Figures'!$B$1:$AP$1,0))</f>
        <v>0</v>
      </c>
      <c r="AD62" s="31">
        <f ca="1">INDEX('Plan Figures'!$B$94:$AP$131,MATCH('Current - MGA only'!AD$4,'Plan Figures'!$B$94:$B$131,0),MATCH('Current - MGA only'!$B62,'Plan Figures'!$B$1:$AP$1,0))</f>
        <v>1876228.145843385</v>
      </c>
      <c r="AE62" s="31">
        <f ca="1">INDEX('Plan Figures'!$B$94:$AP$131,MATCH('Current - MGA only'!AE$4,'Plan Figures'!$B$94:$B$131,0),MATCH('Current - MGA only'!$B62,'Plan Figures'!$B$1:$AP$1,0))</f>
        <v>3685262.0501178172</v>
      </c>
      <c r="AF62" s="31">
        <f ca="1">INDEX('Plan Figures'!$B$94:$AP$131,MATCH('Current - MGA only'!AF$4,'Plan Figures'!$B$94:$B$131,0),MATCH('Current - MGA only'!$B62,'Plan Figures'!$B$1:$AP$1,0))</f>
        <v>3806335.4964611963</v>
      </c>
      <c r="AG62" s="31">
        <f ca="1">INDEX('Plan Figures'!$B$94:$AP$131,MATCH('Current - MGA only'!AG$4,'Plan Figures'!$B$94:$B$131,0),MATCH('Current - MGA only'!$B62,'Plan Figures'!$B$1:$AP$1,0))</f>
        <v>3852739.866022632</v>
      </c>
      <c r="AH62" s="31">
        <f ca="1">INDEX('Plan Figures'!$B$94:$AP$131,MATCH('Current - MGA only'!AH$4,'Plan Figures'!$B$94:$B$131,0),MATCH('Current - MGA only'!$B62,'Plan Figures'!$B$1:$AP$1,0))</f>
        <v>3925307.745408956</v>
      </c>
      <c r="AI62" s="31">
        <f ca="1">INDEX('Plan Figures'!$B$94:$AP$131,MATCH('Current - MGA only'!AI$4,'Plan Figures'!$B$94:$B$131,0),MATCH('Current - MGA only'!$B62,'Plan Figures'!$B$1:$AP$1,0))</f>
        <v>2546227.2053329675</v>
      </c>
      <c r="AJ62" s="31">
        <f ca="1">INDEX('Plan Figures'!$B$94:$AP$131,MATCH('Current - MGA only'!AJ$4,'Plan Figures'!$B$94:$B$131,0),MATCH('Current - MGA only'!$B62,'Plan Figures'!$B$1:$AP$1,0))</f>
        <v>2514046.3049153509</v>
      </c>
      <c r="AK62" s="31">
        <f ca="1">INDEX('Plan Figures'!$B$94:$AP$131,MATCH('Current - MGA only'!AK$4,'Plan Figures'!$B$94:$B$131,0),MATCH('Current - MGA only'!$B62,'Plan Figures'!$B$1:$AP$1,0))</f>
        <v>3478960.5342832045</v>
      </c>
      <c r="AL62" s="31">
        <f ca="1">INDEX('Plan Figures'!$B$94:$AP$131,MATCH('Current - MGA only'!AL$4,'Plan Figures'!$B$94:$B$131,0),MATCH('Current - MGA only'!$B62,'Plan Figures'!$B$1:$AP$1,0))</f>
        <v>3827130.0868501477</v>
      </c>
      <c r="AM62" s="31">
        <f ca="1">INDEX('Plan Figures'!$B$94:$AP$131,MATCH('Current - MGA only'!AM$4,'Plan Figures'!$B$94:$B$131,0),MATCH('Current - MGA only'!$B62,'Plan Figures'!$B$1:$AP$1,0))</f>
        <v>3357575.122536459</v>
      </c>
      <c r="AN62" s="266">
        <f ca="1">INDEX('Plan Figures'!$B$94:$AP$131,MATCH('Current - MGA only'!AN$4,'Plan Figures'!$B$94:$B$131,0),MATCH('Current - MGA only'!$B62,'Plan Figures'!$B$1:$AP$1,0))</f>
        <v>3081243.9796204995</v>
      </c>
      <c r="AO62" s="239">
        <f t="shared" ca="1" si="58"/>
        <v>0</v>
      </c>
      <c r="AP62" s="31">
        <f t="shared" ca="1" si="59"/>
        <v>0</v>
      </c>
      <c r="AQ62" s="240">
        <f ca="1">SUMIFS(AC62:AN62,AC$4:AN$4,"&lt;"&amp;'Title Sheet'!$C$13)</f>
        <v>35951056.537392616</v>
      </c>
    </row>
    <row r="63" spans="2:43" ht="15.75" outlineLevel="1" x14ac:dyDescent="0.25">
      <c r="B63" t="str">
        <f t="shared" si="60"/>
        <v>PC Annual Direct</v>
      </c>
      <c r="C63" t="s">
        <v>353</v>
      </c>
      <c r="D63" s="213" t="s">
        <v>0</v>
      </c>
      <c r="E63" s="214" t="str">
        <f t="shared" ref="E63:AN63" si="63">IFERROR(IF(E61=0,"-",(E61/E62)-1),"-")</f>
        <v>-</v>
      </c>
      <c r="F63" s="214" t="str">
        <f t="shared" si="63"/>
        <v>-</v>
      </c>
      <c r="G63" s="214" t="str">
        <f t="shared" si="63"/>
        <v>-</v>
      </c>
      <c r="H63" s="214" t="str">
        <f t="shared" si="63"/>
        <v>-</v>
      </c>
      <c r="I63" s="214" t="str">
        <f t="shared" si="63"/>
        <v>-</v>
      </c>
      <c r="J63" s="214" t="str">
        <f t="shared" si="63"/>
        <v>-</v>
      </c>
      <c r="K63" s="214" t="str">
        <f t="shared" si="63"/>
        <v>-</v>
      </c>
      <c r="L63" s="214" t="str">
        <f t="shared" si="63"/>
        <v>-</v>
      </c>
      <c r="M63" s="214" t="str">
        <f t="shared" si="63"/>
        <v>-</v>
      </c>
      <c r="N63" s="214" t="str">
        <f t="shared" si="63"/>
        <v>-</v>
      </c>
      <c r="O63" s="214" t="str">
        <f t="shared" si="63"/>
        <v>-</v>
      </c>
      <c r="P63" s="294" t="str">
        <f t="shared" si="63"/>
        <v>-</v>
      </c>
      <c r="Q63" s="214" t="str">
        <f t="shared" si="63"/>
        <v>-</v>
      </c>
      <c r="R63" s="214" t="str">
        <f t="shared" si="63"/>
        <v>-</v>
      </c>
      <c r="S63" s="214" t="str">
        <f t="shared" si="63"/>
        <v>-</v>
      </c>
      <c r="T63" s="214" t="str">
        <f t="shared" si="63"/>
        <v>-</v>
      </c>
      <c r="U63" s="214" t="str">
        <f t="shared" si="63"/>
        <v>-</v>
      </c>
      <c r="V63" s="214" t="str">
        <f t="shared" si="63"/>
        <v>-</v>
      </c>
      <c r="W63" s="214" t="str">
        <f t="shared" si="63"/>
        <v>-</v>
      </c>
      <c r="X63" s="214" t="str">
        <f t="shared" si="63"/>
        <v>-</v>
      </c>
      <c r="Y63" s="214" t="str">
        <f t="shared" si="63"/>
        <v>-</v>
      </c>
      <c r="Z63" s="214" t="str">
        <f t="shared" si="63"/>
        <v>-</v>
      </c>
      <c r="AA63" s="214" t="str">
        <f t="shared" si="63"/>
        <v>-</v>
      </c>
      <c r="AB63" s="294" t="str">
        <f t="shared" si="63"/>
        <v>-</v>
      </c>
      <c r="AC63" s="214" t="str">
        <f t="shared" si="63"/>
        <v>-</v>
      </c>
      <c r="AD63" s="214" t="str">
        <f t="shared" si="63"/>
        <v>-</v>
      </c>
      <c r="AE63" s="214" t="str">
        <f t="shared" si="63"/>
        <v>-</v>
      </c>
      <c r="AF63" s="214" t="str">
        <f t="shared" si="63"/>
        <v>-</v>
      </c>
      <c r="AG63" s="214" t="str">
        <f t="shared" si="63"/>
        <v>-</v>
      </c>
      <c r="AH63" s="214" t="str">
        <f t="shared" si="63"/>
        <v>-</v>
      </c>
      <c r="AI63" s="214" t="str">
        <f t="shared" si="63"/>
        <v>-</v>
      </c>
      <c r="AJ63" s="214" t="str">
        <f t="shared" si="63"/>
        <v>-</v>
      </c>
      <c r="AK63" s="214" t="str">
        <f t="shared" si="63"/>
        <v>-</v>
      </c>
      <c r="AL63" s="214" t="str">
        <f t="shared" si="63"/>
        <v>-</v>
      </c>
      <c r="AM63" s="214" t="str">
        <f t="shared" si="63"/>
        <v>-</v>
      </c>
      <c r="AN63" s="270" t="str">
        <f t="shared" si="63"/>
        <v>-</v>
      </c>
      <c r="AO63" s="274" t="e">
        <f t="shared" si="58"/>
        <v>#DIV/0!</v>
      </c>
      <c r="AP63" s="275" t="e">
        <f t="shared" si="59"/>
        <v>#DIV/0!</v>
      </c>
      <c r="AQ63" s="276" t="str">
        <f t="shared" ref="AQ63" si="64">IFERROR(IF(AQ61=0,"-",(AQ61/AQ62)-1),"-")</f>
        <v>-</v>
      </c>
    </row>
    <row r="64" spans="2:43" ht="15.75" outlineLevel="1" x14ac:dyDescent="0.25">
      <c r="B64" t="str">
        <f t="shared" si="60"/>
        <v>PC Annual Direct</v>
      </c>
      <c r="C64" t="s">
        <v>353</v>
      </c>
      <c r="D64" s="208" t="s">
        <v>12</v>
      </c>
      <c r="E64" s="209">
        <f t="shared" ref="E64:AP65" si="65">IFERROR(E61/E58,0)</f>
        <v>0</v>
      </c>
      <c r="F64" s="209">
        <f t="shared" si="65"/>
        <v>0</v>
      </c>
      <c r="G64" s="209">
        <f t="shared" si="65"/>
        <v>0</v>
      </c>
      <c r="H64" s="209">
        <f t="shared" si="65"/>
        <v>0</v>
      </c>
      <c r="I64" s="209">
        <f t="shared" si="65"/>
        <v>0</v>
      </c>
      <c r="J64" s="209">
        <f t="shared" si="65"/>
        <v>0</v>
      </c>
      <c r="K64" s="209">
        <f t="shared" si="65"/>
        <v>0</v>
      </c>
      <c r="L64" s="209">
        <f t="shared" si="65"/>
        <v>0</v>
      </c>
      <c r="M64" s="209">
        <f t="shared" si="65"/>
        <v>0</v>
      </c>
      <c r="N64" s="209">
        <f t="shared" si="65"/>
        <v>0</v>
      </c>
      <c r="O64" s="209">
        <f t="shared" si="65"/>
        <v>0</v>
      </c>
      <c r="P64" s="238">
        <f t="shared" si="65"/>
        <v>0</v>
      </c>
      <c r="Q64" s="209">
        <f t="shared" si="65"/>
        <v>0</v>
      </c>
      <c r="R64" s="209">
        <f t="shared" si="65"/>
        <v>0</v>
      </c>
      <c r="S64" s="209">
        <f t="shared" si="65"/>
        <v>0</v>
      </c>
      <c r="T64" s="209">
        <f t="shared" si="65"/>
        <v>0</v>
      </c>
      <c r="U64" s="209">
        <f t="shared" si="65"/>
        <v>0</v>
      </c>
      <c r="V64" s="209">
        <f t="shared" si="65"/>
        <v>0</v>
      </c>
      <c r="W64" s="209">
        <f t="shared" si="65"/>
        <v>0</v>
      </c>
      <c r="X64" s="209">
        <f t="shared" si="65"/>
        <v>0</v>
      </c>
      <c r="Y64" s="209">
        <f t="shared" si="65"/>
        <v>0</v>
      </c>
      <c r="Z64" s="209">
        <f t="shared" si="65"/>
        <v>0</v>
      </c>
      <c r="AA64" s="209">
        <f t="shared" si="65"/>
        <v>0</v>
      </c>
      <c r="AB64" s="238">
        <f t="shared" si="65"/>
        <v>0</v>
      </c>
      <c r="AC64" s="209">
        <f t="shared" si="65"/>
        <v>0</v>
      </c>
      <c r="AD64" s="209">
        <f t="shared" si="65"/>
        <v>0</v>
      </c>
      <c r="AE64" s="209">
        <f t="shared" si="65"/>
        <v>0</v>
      </c>
      <c r="AF64" s="209">
        <f t="shared" si="65"/>
        <v>0</v>
      </c>
      <c r="AG64" s="209">
        <f t="shared" si="65"/>
        <v>0</v>
      </c>
      <c r="AH64" s="209">
        <f t="shared" si="65"/>
        <v>0</v>
      </c>
      <c r="AI64" s="209">
        <f t="shared" si="65"/>
        <v>0</v>
      </c>
      <c r="AJ64" s="209">
        <f t="shared" si="65"/>
        <v>0</v>
      </c>
      <c r="AK64" s="209">
        <f t="shared" si="65"/>
        <v>0</v>
      </c>
      <c r="AL64" s="209">
        <f t="shared" si="65"/>
        <v>0</v>
      </c>
      <c r="AM64" s="209">
        <f t="shared" si="65"/>
        <v>0</v>
      </c>
      <c r="AN64" s="265">
        <f t="shared" si="65"/>
        <v>0</v>
      </c>
      <c r="AO64" s="237">
        <f t="shared" si="65"/>
        <v>0</v>
      </c>
      <c r="AP64" s="209">
        <f t="shared" si="65"/>
        <v>0</v>
      </c>
      <c r="AQ64" s="238">
        <f>SUMIFS(AC64:AN64,AC$4:AN$4,"&lt;"&amp;'Title Sheet'!$C$13)</f>
        <v>0</v>
      </c>
    </row>
    <row r="65" spans="2:44" ht="15.75" hidden="1" outlineLevel="1" x14ac:dyDescent="0.25">
      <c r="B65" t="str">
        <f t="shared" si="60"/>
        <v>PC Annual Direct</v>
      </c>
      <c r="C65" t="s">
        <v>353</v>
      </c>
      <c r="D65" s="211" t="s">
        <v>13</v>
      </c>
      <c r="E65" s="31">
        <f t="shared" si="65"/>
        <v>0</v>
      </c>
      <c r="F65" s="31">
        <f t="shared" si="65"/>
        <v>0</v>
      </c>
      <c r="G65" s="31">
        <f t="shared" si="65"/>
        <v>0</v>
      </c>
      <c r="H65" s="31">
        <f t="shared" si="65"/>
        <v>0</v>
      </c>
      <c r="I65" s="31">
        <f t="shared" si="65"/>
        <v>0</v>
      </c>
      <c r="J65" s="31">
        <f t="shared" si="65"/>
        <v>0</v>
      </c>
      <c r="K65" s="31">
        <f t="shared" si="65"/>
        <v>0</v>
      </c>
      <c r="L65" s="31">
        <f t="shared" si="65"/>
        <v>0</v>
      </c>
      <c r="M65" s="31">
        <f t="shared" si="65"/>
        <v>0</v>
      </c>
      <c r="N65" s="31">
        <f t="shared" si="65"/>
        <v>0</v>
      </c>
      <c r="O65" s="31">
        <f t="shared" si="65"/>
        <v>0</v>
      </c>
      <c r="P65" s="240">
        <f t="shared" ca="1" si="65"/>
        <v>0</v>
      </c>
      <c r="Q65" s="31">
        <f t="shared" ca="1" si="65"/>
        <v>0</v>
      </c>
      <c r="R65" s="31">
        <f t="shared" ca="1" si="65"/>
        <v>0</v>
      </c>
      <c r="S65" s="31">
        <f t="shared" ca="1" si="65"/>
        <v>0</v>
      </c>
      <c r="T65" s="31">
        <f t="shared" ca="1" si="65"/>
        <v>0</v>
      </c>
      <c r="U65" s="31">
        <f t="shared" ca="1" si="65"/>
        <v>0</v>
      </c>
      <c r="V65" s="31">
        <f t="shared" ca="1" si="65"/>
        <v>0</v>
      </c>
      <c r="W65" s="31">
        <f t="shared" ca="1" si="65"/>
        <v>0</v>
      </c>
      <c r="X65" s="31">
        <f t="shared" ca="1" si="65"/>
        <v>0</v>
      </c>
      <c r="Y65" s="31">
        <f t="shared" ca="1" si="65"/>
        <v>0</v>
      </c>
      <c r="Z65" s="31">
        <f t="shared" ca="1" si="65"/>
        <v>0</v>
      </c>
      <c r="AA65" s="31">
        <f t="shared" ca="1" si="65"/>
        <v>0</v>
      </c>
      <c r="AB65" s="240">
        <f t="shared" ca="1" si="65"/>
        <v>0</v>
      </c>
      <c r="AC65" s="31">
        <f t="shared" ca="1" si="65"/>
        <v>0</v>
      </c>
      <c r="AD65" s="31">
        <f t="shared" ca="1" si="65"/>
        <v>843.02229129985335</v>
      </c>
      <c r="AE65" s="31">
        <f t="shared" ca="1" si="65"/>
        <v>1659.1647345991946</v>
      </c>
      <c r="AF65" s="31">
        <f t="shared" ca="1" si="65"/>
        <v>1717.1013113780584</v>
      </c>
      <c r="AG65" s="31">
        <f t="shared" ca="1" si="65"/>
        <v>1741.0538393297081</v>
      </c>
      <c r="AH65" s="31">
        <f t="shared" ca="1" si="65"/>
        <v>1718.6721939478675</v>
      </c>
      <c r="AI65" s="31">
        <f t="shared" ca="1" si="65"/>
        <v>1225.4982348836206</v>
      </c>
      <c r="AJ65" s="31">
        <f t="shared" ca="1" si="65"/>
        <v>1216.0637428152972</v>
      </c>
      <c r="AK65" s="31">
        <f t="shared" ca="1" si="65"/>
        <v>1239.078669398363</v>
      </c>
      <c r="AL65" s="31">
        <f t="shared" ca="1" si="65"/>
        <v>1247.2101888358595</v>
      </c>
      <c r="AM65" s="31">
        <f t="shared" ca="1" si="65"/>
        <v>1342.3388139307615</v>
      </c>
      <c r="AN65" s="266">
        <f t="shared" ca="1" si="65"/>
        <v>1354.5700240489284</v>
      </c>
      <c r="AO65" s="239">
        <f t="shared" ca="1" si="65"/>
        <v>0</v>
      </c>
      <c r="AP65" s="31">
        <f t="shared" ca="1" si="65"/>
        <v>0</v>
      </c>
      <c r="AQ65" s="240">
        <f ca="1">SUMIFS(AC65:AN65,AC$4:AN$4,"&lt;"&amp;'Title Sheet'!$C$13)</f>
        <v>15303.774044467511</v>
      </c>
      <c r="AR65" s="3"/>
    </row>
    <row r="66" spans="2:44" ht="15.75" hidden="1" outlineLevel="1" x14ac:dyDescent="0.25">
      <c r="B66" t="str">
        <f t="shared" si="60"/>
        <v>PC Annual Direct</v>
      </c>
      <c r="C66" t="s">
        <v>353</v>
      </c>
      <c r="D66" s="213" t="s">
        <v>0</v>
      </c>
      <c r="E66" s="214" t="str">
        <f t="shared" ref="E66:AN66" si="66">IFERROR(IF(E64=0,"-",(E64/E65)-1),"-")</f>
        <v>-</v>
      </c>
      <c r="F66" s="214" t="str">
        <f t="shared" si="66"/>
        <v>-</v>
      </c>
      <c r="G66" s="214" t="str">
        <f t="shared" si="66"/>
        <v>-</v>
      </c>
      <c r="H66" s="214" t="str">
        <f t="shared" si="66"/>
        <v>-</v>
      </c>
      <c r="I66" s="214" t="str">
        <f t="shared" si="66"/>
        <v>-</v>
      </c>
      <c r="J66" s="214" t="str">
        <f t="shared" si="66"/>
        <v>-</v>
      </c>
      <c r="K66" s="214" t="str">
        <f t="shared" si="66"/>
        <v>-</v>
      </c>
      <c r="L66" s="214" t="str">
        <f t="shared" si="66"/>
        <v>-</v>
      </c>
      <c r="M66" s="214" t="str">
        <f t="shared" si="66"/>
        <v>-</v>
      </c>
      <c r="N66" s="214" t="str">
        <f t="shared" si="66"/>
        <v>-</v>
      </c>
      <c r="O66" s="214" t="str">
        <f t="shared" si="66"/>
        <v>-</v>
      </c>
      <c r="P66" s="294" t="str">
        <f t="shared" si="66"/>
        <v>-</v>
      </c>
      <c r="Q66" s="214" t="str">
        <f t="shared" si="66"/>
        <v>-</v>
      </c>
      <c r="R66" s="214" t="str">
        <f t="shared" si="66"/>
        <v>-</v>
      </c>
      <c r="S66" s="214" t="str">
        <f t="shared" si="66"/>
        <v>-</v>
      </c>
      <c r="T66" s="214" t="str">
        <f t="shared" si="66"/>
        <v>-</v>
      </c>
      <c r="U66" s="214" t="str">
        <f t="shared" si="66"/>
        <v>-</v>
      </c>
      <c r="V66" s="214" t="str">
        <f t="shared" si="66"/>
        <v>-</v>
      </c>
      <c r="W66" s="214" t="str">
        <f t="shared" si="66"/>
        <v>-</v>
      </c>
      <c r="X66" s="214" t="str">
        <f t="shared" si="66"/>
        <v>-</v>
      </c>
      <c r="Y66" s="214" t="str">
        <f t="shared" si="66"/>
        <v>-</v>
      </c>
      <c r="Z66" s="214" t="str">
        <f t="shared" si="66"/>
        <v>-</v>
      </c>
      <c r="AA66" s="214" t="str">
        <f t="shared" si="66"/>
        <v>-</v>
      </c>
      <c r="AB66" s="294" t="str">
        <f t="shared" si="66"/>
        <v>-</v>
      </c>
      <c r="AC66" s="214" t="str">
        <f t="shared" si="66"/>
        <v>-</v>
      </c>
      <c r="AD66" s="214" t="str">
        <f t="shared" si="66"/>
        <v>-</v>
      </c>
      <c r="AE66" s="214" t="str">
        <f t="shared" si="66"/>
        <v>-</v>
      </c>
      <c r="AF66" s="214" t="str">
        <f t="shared" si="66"/>
        <v>-</v>
      </c>
      <c r="AG66" s="214" t="str">
        <f t="shared" si="66"/>
        <v>-</v>
      </c>
      <c r="AH66" s="214" t="str">
        <f t="shared" si="66"/>
        <v>-</v>
      </c>
      <c r="AI66" s="214" t="str">
        <f t="shared" si="66"/>
        <v>-</v>
      </c>
      <c r="AJ66" s="214" t="str">
        <f t="shared" si="66"/>
        <v>-</v>
      </c>
      <c r="AK66" s="214" t="str">
        <f t="shared" si="66"/>
        <v>-</v>
      </c>
      <c r="AL66" s="214" t="str">
        <f t="shared" si="66"/>
        <v>-</v>
      </c>
      <c r="AM66" s="214" t="str">
        <f t="shared" si="66"/>
        <v>-</v>
      </c>
      <c r="AN66" s="270" t="str">
        <f t="shared" si="66"/>
        <v>-</v>
      </c>
      <c r="AO66" s="274">
        <f t="shared" ref="AO66:AP66" ca="1" si="67">AO64-AO65</f>
        <v>0</v>
      </c>
      <c r="AP66" s="275">
        <f t="shared" ca="1" si="67"/>
        <v>0</v>
      </c>
      <c r="AQ66" s="276" t="str">
        <f t="shared" ref="AQ66" si="68">IFERROR(IF(AQ64=0,"-",(AQ64/AQ65)-1),"-")</f>
        <v>-</v>
      </c>
    </row>
    <row r="67" spans="2:44" outlineLevel="1" x14ac:dyDescent="0.25">
      <c r="B67" t="str">
        <f t="shared" si="60"/>
        <v>PC Annual Direct</v>
      </c>
      <c r="C67" t="s">
        <v>353</v>
      </c>
      <c r="D67" s="258" t="s">
        <v>17</v>
      </c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313"/>
      <c r="Q67" s="259"/>
      <c r="R67" s="259"/>
      <c r="S67" s="259"/>
      <c r="T67" s="259"/>
      <c r="U67" s="259"/>
      <c r="V67" s="259"/>
      <c r="W67" s="259"/>
      <c r="X67" s="259"/>
      <c r="Y67" s="259"/>
      <c r="Z67" s="259"/>
      <c r="AA67" s="259"/>
      <c r="AB67" s="313"/>
      <c r="AC67" s="259"/>
      <c r="AD67" s="259"/>
      <c r="AE67" s="259"/>
      <c r="AF67" s="259"/>
      <c r="AG67" s="259"/>
      <c r="AH67" s="259"/>
      <c r="AI67" s="259"/>
      <c r="AJ67" s="259"/>
      <c r="AK67" s="259"/>
      <c r="AL67" s="259"/>
      <c r="AM67" s="259"/>
      <c r="AN67" s="267"/>
      <c r="AO67" s="277"/>
      <c r="AP67" s="277"/>
      <c r="AQ67" s="278">
        <f>SUMIFS(AC67:AN67,AC$4:AN$4,"&lt;"&amp;'Title Sheet'!$C$13)</f>
        <v>0</v>
      </c>
    </row>
    <row r="68" spans="2:44" ht="15.75" outlineLevel="1" x14ac:dyDescent="0.25">
      <c r="B68" t="str">
        <f t="shared" si="60"/>
        <v>PC Annual Direct</v>
      </c>
      <c r="C68" t="s">
        <v>353</v>
      </c>
      <c r="D68" s="208" t="s">
        <v>7</v>
      </c>
      <c r="E68" s="282">
        <v>0</v>
      </c>
      <c r="F68" s="283">
        <v>0</v>
      </c>
      <c r="G68" s="283">
        <v>0</v>
      </c>
      <c r="H68" s="283">
        <v>0</v>
      </c>
      <c r="I68" s="283">
        <v>0</v>
      </c>
      <c r="J68" s="283">
        <v>0</v>
      </c>
      <c r="K68" s="283">
        <v>0</v>
      </c>
      <c r="L68" s="283">
        <v>0</v>
      </c>
      <c r="M68" s="283">
        <v>0</v>
      </c>
      <c r="N68" s="283">
        <v>0</v>
      </c>
      <c r="O68" s="283">
        <v>0</v>
      </c>
      <c r="P68" s="314">
        <v>0</v>
      </c>
      <c r="Q68" s="283">
        <v>0</v>
      </c>
      <c r="R68" s="283">
        <v>0</v>
      </c>
      <c r="S68" s="283">
        <v>0</v>
      </c>
      <c r="T68" s="283">
        <v>0</v>
      </c>
      <c r="U68" s="283">
        <v>0</v>
      </c>
      <c r="V68" s="283">
        <v>0</v>
      </c>
      <c r="W68" s="283">
        <v>0</v>
      </c>
      <c r="X68" s="283">
        <v>0</v>
      </c>
      <c r="Y68" s="283">
        <v>0</v>
      </c>
      <c r="Z68" s="283">
        <v>0</v>
      </c>
      <c r="AA68" s="283">
        <v>0</v>
      </c>
      <c r="AB68" s="314">
        <v>0</v>
      </c>
      <c r="AC68" s="283">
        <v>474845.18749523116</v>
      </c>
      <c r="AD68" s="283">
        <v>2345456.1696455493</v>
      </c>
      <c r="AE68" s="283">
        <v>4253305.1339150965</v>
      </c>
      <c r="AF68" s="283">
        <v>3935689.5446633701</v>
      </c>
      <c r="AG68" s="283">
        <v>3675903.4017963423</v>
      </c>
      <c r="AH68" s="283">
        <v>3075984.2767860945</v>
      </c>
      <c r="AI68" s="283">
        <v>2592743.05357278</v>
      </c>
      <c r="AJ68" s="283">
        <v>2282311.794644319</v>
      </c>
      <c r="AK68" s="283">
        <v>2161423.8482159772</v>
      </c>
      <c r="AL68" s="283">
        <v>2148494.6134996666</v>
      </c>
      <c r="AM68" s="283">
        <v>2459665.30356621</v>
      </c>
      <c r="AN68" s="284">
        <v>2681002.3839300475</v>
      </c>
      <c r="AO68" s="237">
        <f t="shared" ref="AO68" si="69">AVERAGE(Z68:AC68)</f>
        <v>118711.29687380779</v>
      </c>
      <c r="AP68" s="209">
        <f>AVERAGE(R68:AC68)</f>
        <v>39570.432291269266</v>
      </c>
      <c r="AQ68" s="238">
        <f>SUMIFS(AC68:AN68,AC$4:AN$4,"&lt;"&amp;'Title Sheet'!$C$13)</f>
        <v>32086824.711730685</v>
      </c>
    </row>
    <row r="69" spans="2:44" ht="16.5" outlineLevel="1" thickBot="1" x14ac:dyDescent="0.3">
      <c r="B69" t="str">
        <f t="shared" si="60"/>
        <v>PC Annual Direct</v>
      </c>
      <c r="C69" t="s">
        <v>353</v>
      </c>
      <c r="D69" s="226" t="s">
        <v>21</v>
      </c>
      <c r="E69" s="269">
        <f t="shared" ref="E69:AB69" si="70">IFERROR(E61/E$27,"-")</f>
        <v>0</v>
      </c>
      <c r="F69" s="269">
        <f t="shared" si="70"/>
        <v>0</v>
      </c>
      <c r="G69" s="269">
        <f t="shared" si="70"/>
        <v>0</v>
      </c>
      <c r="H69" s="269">
        <f t="shared" si="70"/>
        <v>0</v>
      </c>
      <c r="I69" s="269">
        <f t="shared" si="70"/>
        <v>0</v>
      </c>
      <c r="J69" s="269">
        <f t="shared" si="70"/>
        <v>0</v>
      </c>
      <c r="K69" s="269">
        <f t="shared" si="70"/>
        <v>0</v>
      </c>
      <c r="L69" s="269">
        <f t="shared" si="70"/>
        <v>0</v>
      </c>
      <c r="M69" s="269">
        <f t="shared" si="70"/>
        <v>0</v>
      </c>
      <c r="N69" s="269">
        <f t="shared" si="70"/>
        <v>0</v>
      </c>
      <c r="O69" s="269">
        <f t="shared" si="70"/>
        <v>0</v>
      </c>
      <c r="P69" s="280">
        <f t="shared" si="70"/>
        <v>0</v>
      </c>
      <c r="Q69" s="269">
        <f t="shared" si="70"/>
        <v>0</v>
      </c>
      <c r="R69" s="269">
        <f t="shared" si="70"/>
        <v>0</v>
      </c>
      <c r="S69" s="269">
        <f t="shared" si="70"/>
        <v>0</v>
      </c>
      <c r="T69" s="269">
        <f t="shared" si="70"/>
        <v>0</v>
      </c>
      <c r="U69" s="269">
        <f t="shared" si="70"/>
        <v>0</v>
      </c>
      <c r="V69" s="269" t="str">
        <f t="shared" si="70"/>
        <v>-</v>
      </c>
      <c r="W69" s="269" t="str">
        <f t="shared" si="70"/>
        <v>-</v>
      </c>
      <c r="X69" s="269" t="str">
        <f t="shared" si="70"/>
        <v>-</v>
      </c>
      <c r="Y69" s="269" t="str">
        <f t="shared" si="70"/>
        <v>-</v>
      </c>
      <c r="Z69" s="269" t="str">
        <f t="shared" si="70"/>
        <v>-</v>
      </c>
      <c r="AA69" s="269" t="str">
        <f t="shared" si="70"/>
        <v>-</v>
      </c>
      <c r="AB69" s="280" t="str">
        <f t="shared" si="70"/>
        <v>-</v>
      </c>
      <c r="AC69" s="269" t="str">
        <f>IFERROR(AC61/AC$27,"-")</f>
        <v>-</v>
      </c>
      <c r="AD69" s="269" t="str">
        <f t="shared" ref="AD69:AN69" si="71">IFERROR(AD61/AD$27,"-")</f>
        <v>-</v>
      </c>
      <c r="AE69" s="269" t="str">
        <f t="shared" si="71"/>
        <v>-</v>
      </c>
      <c r="AF69" s="269" t="str">
        <f t="shared" si="71"/>
        <v>-</v>
      </c>
      <c r="AG69" s="269" t="str">
        <f t="shared" si="71"/>
        <v>-</v>
      </c>
      <c r="AH69" s="269" t="str">
        <f t="shared" si="71"/>
        <v>-</v>
      </c>
      <c r="AI69" s="269" t="str">
        <f t="shared" si="71"/>
        <v>-</v>
      </c>
      <c r="AJ69" s="269" t="str">
        <f t="shared" si="71"/>
        <v>-</v>
      </c>
      <c r="AK69" s="269" t="str">
        <f t="shared" si="71"/>
        <v>-</v>
      </c>
      <c r="AL69" s="269" t="str">
        <f t="shared" si="71"/>
        <v>-</v>
      </c>
      <c r="AM69" s="269" t="str">
        <f t="shared" si="71"/>
        <v>-</v>
      </c>
      <c r="AN69" s="281" t="str">
        <f t="shared" si="71"/>
        <v>-</v>
      </c>
      <c r="AO69" s="279">
        <f t="shared" ref="AO69:AP69" si="72">AO61/AO$8</f>
        <v>0</v>
      </c>
      <c r="AP69" s="269">
        <f t="shared" si="72"/>
        <v>0</v>
      </c>
      <c r="AQ69" s="280" t="str">
        <f t="shared" ref="AQ69" si="73">IFERROR(IF(AQ67=0,"-",(AQ67/AQ68)-1),"-")</f>
        <v>-</v>
      </c>
    </row>
    <row r="70" spans="2:44" outlineLevel="1" x14ac:dyDescent="0.25"/>
    <row r="71" spans="2:44" ht="15.75" thickBot="1" x14ac:dyDescent="0.3"/>
    <row r="72" spans="2:44" ht="18.75" x14ac:dyDescent="0.25">
      <c r="D72" s="255" t="s">
        <v>204</v>
      </c>
      <c r="E72" s="202" t="s">
        <v>315</v>
      </c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33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63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63"/>
      <c r="AO72" s="202"/>
      <c r="AP72" s="202"/>
      <c r="AQ72" s="233"/>
    </row>
    <row r="73" spans="2:44" x14ac:dyDescent="0.25">
      <c r="D73" s="204"/>
      <c r="E73" s="303" t="s">
        <v>341</v>
      </c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17"/>
      <c r="Q73" s="320" t="s">
        <v>341</v>
      </c>
      <c r="R73" s="303"/>
      <c r="S73" s="303"/>
      <c r="T73" s="303"/>
      <c r="U73" s="303"/>
      <c r="V73" s="303"/>
      <c r="W73" s="303"/>
      <c r="X73" s="303"/>
      <c r="Y73" s="303"/>
      <c r="Z73" s="303"/>
      <c r="AA73" s="303"/>
      <c r="AB73" s="317"/>
      <c r="AC73" s="303" t="s">
        <v>341</v>
      </c>
      <c r="AD73" s="303"/>
      <c r="AE73" s="303"/>
      <c r="AF73" s="303"/>
      <c r="AG73" s="303"/>
      <c r="AH73" s="303"/>
      <c r="AI73" s="303"/>
      <c r="AJ73" s="303"/>
      <c r="AK73" s="303"/>
      <c r="AL73" s="303"/>
      <c r="AM73" s="303"/>
      <c r="AN73" s="317"/>
      <c r="AO73" s="510" t="s">
        <v>8</v>
      </c>
      <c r="AP73" s="511"/>
      <c r="AQ73" s="512"/>
    </row>
    <row r="74" spans="2:44" x14ac:dyDescent="0.25">
      <c r="D74" s="321" t="s">
        <v>16</v>
      </c>
      <c r="E74" s="318">
        <f>E$4</f>
        <v>44562</v>
      </c>
      <c r="F74" s="318">
        <f t="shared" ref="F74:AN74" si="74">F$4</f>
        <v>44593</v>
      </c>
      <c r="G74" s="318">
        <f t="shared" si="74"/>
        <v>44621</v>
      </c>
      <c r="H74" s="318">
        <f t="shared" si="74"/>
        <v>44652</v>
      </c>
      <c r="I74" s="318">
        <f t="shared" si="74"/>
        <v>44682</v>
      </c>
      <c r="J74" s="318">
        <f t="shared" si="74"/>
        <v>44713</v>
      </c>
      <c r="K74" s="318">
        <f t="shared" si="74"/>
        <v>44743</v>
      </c>
      <c r="L74" s="318">
        <f t="shared" si="74"/>
        <v>44774</v>
      </c>
      <c r="M74" s="318">
        <f t="shared" si="74"/>
        <v>44805</v>
      </c>
      <c r="N74" s="318">
        <f t="shared" si="74"/>
        <v>44835</v>
      </c>
      <c r="O74" s="318">
        <f t="shared" si="74"/>
        <v>44866</v>
      </c>
      <c r="P74" s="319">
        <f t="shared" si="74"/>
        <v>44896</v>
      </c>
      <c r="Q74" s="318">
        <f t="shared" si="74"/>
        <v>44927</v>
      </c>
      <c r="R74" s="318">
        <f t="shared" si="74"/>
        <v>44958</v>
      </c>
      <c r="S74" s="318">
        <f t="shared" si="74"/>
        <v>44986</v>
      </c>
      <c r="T74" s="318">
        <f t="shared" si="74"/>
        <v>45017</v>
      </c>
      <c r="U74" s="318">
        <f t="shared" si="74"/>
        <v>45047</v>
      </c>
      <c r="V74" s="318">
        <f t="shared" si="74"/>
        <v>45078</v>
      </c>
      <c r="W74" s="318">
        <f t="shared" si="74"/>
        <v>45108</v>
      </c>
      <c r="X74" s="318">
        <f t="shared" si="74"/>
        <v>45139</v>
      </c>
      <c r="Y74" s="318">
        <f t="shared" si="74"/>
        <v>45170</v>
      </c>
      <c r="Z74" s="318">
        <f t="shared" si="74"/>
        <v>45200</v>
      </c>
      <c r="AA74" s="318">
        <f t="shared" si="74"/>
        <v>45231</v>
      </c>
      <c r="AB74" s="319">
        <f t="shared" si="74"/>
        <v>45261</v>
      </c>
      <c r="AC74" s="318">
        <f t="shared" si="74"/>
        <v>45292</v>
      </c>
      <c r="AD74" s="318">
        <f t="shared" si="74"/>
        <v>45323</v>
      </c>
      <c r="AE74" s="318">
        <f t="shared" si="74"/>
        <v>45352</v>
      </c>
      <c r="AF74" s="318">
        <f t="shared" si="74"/>
        <v>45383</v>
      </c>
      <c r="AG74" s="318">
        <f t="shared" si="74"/>
        <v>45413</v>
      </c>
      <c r="AH74" s="318">
        <f t="shared" si="74"/>
        <v>45444</v>
      </c>
      <c r="AI74" s="318">
        <f t="shared" si="74"/>
        <v>45474</v>
      </c>
      <c r="AJ74" s="318">
        <f t="shared" si="74"/>
        <v>45505</v>
      </c>
      <c r="AK74" s="318">
        <f t="shared" si="74"/>
        <v>45536</v>
      </c>
      <c r="AL74" s="318">
        <f t="shared" si="74"/>
        <v>45566</v>
      </c>
      <c r="AM74" s="318">
        <f t="shared" si="74"/>
        <v>45597</v>
      </c>
      <c r="AN74" s="316">
        <f t="shared" si="74"/>
        <v>45627</v>
      </c>
      <c r="AO74" s="271" t="s">
        <v>9</v>
      </c>
      <c r="AP74" s="272" t="str">
        <f>AP23</f>
        <v>Last Year</v>
      </c>
      <c r="AQ74" s="273" t="s">
        <v>346</v>
      </c>
    </row>
    <row r="75" spans="2:44" ht="15.75" x14ac:dyDescent="0.25">
      <c r="B75" t="str">
        <f>$D$2</f>
        <v>PC Annual Direct</v>
      </c>
      <c r="C75" t="s">
        <v>73</v>
      </c>
      <c r="D75" s="208" t="s">
        <v>316</v>
      </c>
      <c r="E75" s="209">
        <v>0</v>
      </c>
      <c r="F75" s="209">
        <v>0</v>
      </c>
      <c r="G75" s="209">
        <v>862.02191783300009</v>
      </c>
      <c r="H75" s="209">
        <v>857.33150688100079</v>
      </c>
      <c r="I75" s="209">
        <v>1084.8109589639996</v>
      </c>
      <c r="J75" s="209">
        <v>1684.8301370699987</v>
      </c>
      <c r="K75" s="209">
        <v>1889.9589041850011</v>
      </c>
      <c r="L75" s="209">
        <v>1155.2931507244004</v>
      </c>
      <c r="M75" s="209">
        <v>222.99452054359992</v>
      </c>
      <c r="N75" s="209">
        <v>404.83287654420008</v>
      </c>
      <c r="O75" s="209">
        <v>565.33972598219975</v>
      </c>
      <c r="P75" s="238">
        <v>736.67671203599934</v>
      </c>
      <c r="Q75" s="209">
        <v>830.03287640139968</v>
      </c>
      <c r="R75" s="209">
        <v>769.7178076418985</v>
      </c>
      <c r="S75" s="209">
        <v>1088.5409834572031</v>
      </c>
      <c r="T75" s="209">
        <v>1050.4426231341004</v>
      </c>
      <c r="U75" s="209">
        <v>1253.5355189670008</v>
      </c>
      <c r="V75" s="209">
        <v>1215.5081968958004</v>
      </c>
      <c r="W75" s="209">
        <v>1350.9754096577994</v>
      </c>
      <c r="X75" s="209">
        <v>1386.5163932302983</v>
      </c>
      <c r="Y75" s="209">
        <v>1305.6038253749011</v>
      </c>
      <c r="Z75" s="209">
        <v>1429.9480872280976</v>
      </c>
      <c r="AA75" s="209">
        <v>1408.2322406890014</v>
      </c>
      <c r="AB75" s="265">
        <v>1585.3825134445001</v>
      </c>
      <c r="AC75" s="209">
        <v>1594.4726773750976</v>
      </c>
      <c r="AD75" s="209">
        <v>1298.6803272729996</v>
      </c>
      <c r="AE75" s="209">
        <v>1385.9589035485992</v>
      </c>
      <c r="AF75" s="209">
        <v>1108.7095889984012</v>
      </c>
      <c r="AG75" s="209">
        <v>1040.3589037358004</v>
      </c>
      <c r="AH75" s="209">
        <v>854.66575339900271</v>
      </c>
      <c r="AI75" s="209">
        <v>820.16438327679941</v>
      </c>
      <c r="AJ75" s="209">
        <v>694.21917784379923</v>
      </c>
      <c r="AK75" s="209">
        <v>557.65479451640033</v>
      </c>
      <c r="AL75" s="209">
        <v>465.11506835559857</v>
      </c>
      <c r="AM75" s="209">
        <v>271.12602739559998</v>
      </c>
      <c r="AN75" s="265">
        <v>152.74794515080035</v>
      </c>
      <c r="AO75" s="237">
        <f t="shared" ref="AO75:AO80" si="75">AVERAGE(Z75:AC75)</f>
        <v>1504.5088796841742</v>
      </c>
      <c r="AP75" s="209">
        <f t="shared" ref="AP75:AP80" si="76">AVERAGE(R75:AC75)</f>
        <v>1286.5730230913082</v>
      </c>
      <c r="AQ75" s="238">
        <f>SUMIFS(AC75:AN75,AC$4:AN$4,"&lt;"&amp;'Title Sheet'!$C$13)</f>
        <v>10243.873550868901</v>
      </c>
    </row>
    <row r="76" spans="2:44" ht="15.75" hidden="1" x14ac:dyDescent="0.25">
      <c r="B76" t="str">
        <f>$D$89&amp;"_W VYRs"</f>
        <v>PC Annual Direct - Subscription_W VYRs</v>
      </c>
      <c r="C76" t="str">
        <f t="shared" ref="C76:C86" si="77">$C75</f>
        <v>Boom Subscription</v>
      </c>
      <c r="D76" s="211" t="s">
        <v>317</v>
      </c>
      <c r="E76" s="31" t="e">
        <f>INDEX('Plan Figures'!$B$94:$AP$120,MATCH('Current - MGA only'!E$4,'Plan Figures'!$B$94:$B$120,0),MATCH('Current - MGA only'!$B76,'Plan Figures'!$B$1:$AP$1,0))</f>
        <v>#N/A</v>
      </c>
      <c r="F76" s="31" t="e">
        <f>INDEX('Plan Figures'!$B$94:$AP$120,MATCH('Current - MGA only'!F$4,'Plan Figures'!$B$94:$B$120,0),MATCH('Current - MGA only'!$B76,'Plan Figures'!$B$1:$AP$1,0))</f>
        <v>#N/A</v>
      </c>
      <c r="G76" s="31" t="e">
        <f>INDEX('Plan Figures'!$B$94:$AP$120,MATCH('Current - MGA only'!G$4,'Plan Figures'!$B$94:$B$120,0),MATCH('Current - MGA only'!$B76,'Plan Figures'!$B$1:$AP$1,0))</f>
        <v>#N/A</v>
      </c>
      <c r="H76" s="31" t="e">
        <f>INDEX('Plan Figures'!$B$94:$AP$120,MATCH('Current - MGA only'!H$4,'Plan Figures'!$B$94:$B$120,0),MATCH('Current - MGA only'!$B76,'Plan Figures'!$B$1:$AP$1,0))</f>
        <v>#N/A</v>
      </c>
      <c r="I76" s="31" t="e">
        <f>INDEX('Plan Figures'!$B$94:$AP$120,MATCH('Current - MGA only'!I$4,'Plan Figures'!$B$94:$B$120,0),MATCH('Current - MGA only'!$B76,'Plan Figures'!$B$1:$AP$1,0))</f>
        <v>#N/A</v>
      </c>
      <c r="J76" s="31" t="e">
        <f>INDEX('Plan Figures'!$B$94:$AP$120,MATCH('Current - MGA only'!J$4,'Plan Figures'!$B$94:$B$120,0),MATCH('Current - MGA only'!$B76,'Plan Figures'!$B$1:$AP$1,0))</f>
        <v>#N/A</v>
      </c>
      <c r="K76" s="31" t="e">
        <f>INDEX('Plan Figures'!$B$94:$AP$120,MATCH('Current - MGA only'!K$4,'Plan Figures'!$B$94:$B$120,0),MATCH('Current - MGA only'!$B76,'Plan Figures'!$B$1:$AP$1,0))</f>
        <v>#N/A</v>
      </c>
      <c r="L76" s="31" t="e">
        <f>INDEX('Plan Figures'!$B$94:$AP$120,MATCH('Current - MGA only'!L$4,'Plan Figures'!$B$94:$B$120,0),MATCH('Current - MGA only'!$B76,'Plan Figures'!$B$1:$AP$1,0))</f>
        <v>#N/A</v>
      </c>
      <c r="M76" s="31" t="e">
        <f>INDEX('Plan Figures'!$B$94:$AP$120,MATCH('Current - MGA only'!M$4,'Plan Figures'!$B$94:$B$120,0),MATCH('Current - MGA only'!$B76,'Plan Figures'!$B$1:$AP$1,0))</f>
        <v>#N/A</v>
      </c>
      <c r="N76" s="31" t="e">
        <f>INDEX('Plan Figures'!$B$94:$AP$120,MATCH('Current - MGA only'!N$4,'Plan Figures'!$B$94:$B$120,0),MATCH('Current - MGA only'!$B76,'Plan Figures'!$B$1:$AP$1,0))</f>
        <v>#N/A</v>
      </c>
      <c r="O76" s="31" t="e">
        <f>INDEX('Plan Figures'!$B$94:$AP$120,MATCH('Current - MGA only'!O$4,'Plan Figures'!$B$94:$B$120,0),MATCH('Current - MGA only'!$B76,'Plan Figures'!$B$1:$AP$1,0))</f>
        <v>#N/A</v>
      </c>
      <c r="P76" s="240" t="str">
        <f ca="1">INDEX('Plan Figures'!$B$94:$AP$120,MATCH('Current - MGA only'!P$4,'Plan Figures'!$B$94:$B$120,0),MATCH('Current - MGA only'!$B76,'Plan Figures'!$B$1:$AP$1,0))</f>
        <v>-</v>
      </c>
      <c r="Q76" s="31" t="str">
        <f ca="1">INDEX('Plan Figures'!$B$94:$AP$120,MATCH('Current - MGA only'!Q$4,'Plan Figures'!$B$94:$B$120,0),MATCH('Current - MGA only'!$B76,'Plan Figures'!$B$1:$AP$1,0))</f>
        <v>-</v>
      </c>
      <c r="R76" s="31" t="str">
        <f ca="1">INDEX('Plan Figures'!$B$94:$AP$120,MATCH('Current - MGA only'!R$4,'Plan Figures'!$B$94:$B$120,0),MATCH('Current - MGA only'!$B76,'Plan Figures'!$B$1:$AP$1,0))</f>
        <v>-</v>
      </c>
      <c r="S76" s="31" t="str">
        <f ca="1">INDEX('Plan Figures'!$B$94:$AP$120,MATCH('Current - MGA only'!S$4,'Plan Figures'!$B$94:$B$120,0),MATCH('Current - MGA only'!$B76,'Plan Figures'!$B$1:$AP$1,0))</f>
        <v>-</v>
      </c>
      <c r="T76" s="31" t="str">
        <f ca="1">INDEX('Plan Figures'!$B$94:$AP$120,MATCH('Current - MGA only'!T$4,'Plan Figures'!$B$94:$B$120,0),MATCH('Current - MGA only'!$B76,'Plan Figures'!$B$1:$AP$1,0))</f>
        <v>-</v>
      </c>
      <c r="U76" s="31" t="str">
        <f ca="1">INDEX('Plan Figures'!$B$94:$AP$120,MATCH('Current - MGA only'!U$4,'Plan Figures'!$B$94:$B$120,0),MATCH('Current - MGA only'!$B76,'Plan Figures'!$B$1:$AP$1,0))</f>
        <v>-</v>
      </c>
      <c r="V76" s="31" t="str">
        <f ca="1">INDEX('Plan Figures'!$B$94:$AP$120,MATCH('Current - MGA only'!V$4,'Plan Figures'!$B$94:$B$120,0),MATCH('Current - MGA only'!$B76,'Plan Figures'!$B$1:$AP$1,0))</f>
        <v>-</v>
      </c>
      <c r="W76" s="31" t="str">
        <f ca="1">INDEX('Plan Figures'!$B$94:$AP$120,MATCH('Current - MGA only'!W$4,'Plan Figures'!$B$94:$B$120,0),MATCH('Current - MGA only'!$B76,'Plan Figures'!$B$1:$AP$1,0))</f>
        <v>-</v>
      </c>
      <c r="X76" s="31" t="str">
        <f ca="1">INDEX('Plan Figures'!$B$94:$AP$120,MATCH('Current - MGA only'!X$4,'Plan Figures'!$B$94:$B$120,0),MATCH('Current - MGA only'!$B76,'Plan Figures'!$B$1:$AP$1,0))</f>
        <v>-</v>
      </c>
      <c r="Y76" s="31" t="str">
        <f ca="1">INDEX('Plan Figures'!$B$94:$AP$120,MATCH('Current - MGA only'!Y$4,'Plan Figures'!$B$94:$B$120,0),MATCH('Current - MGA only'!$B76,'Plan Figures'!$B$1:$AP$1,0))</f>
        <v>-</v>
      </c>
      <c r="Z76" s="31" t="str">
        <f ca="1">INDEX('Plan Figures'!$B$94:$AP$120,MATCH('Current - MGA only'!Z$4,'Plan Figures'!$B$94:$B$120,0),MATCH('Current - MGA only'!$B76,'Plan Figures'!$B$1:$AP$1,0))</f>
        <v>-</v>
      </c>
      <c r="AA76" s="31">
        <f ca="1">INDEX('Plan Figures'!$B$94:$AP$120,MATCH('Current - MGA only'!AA$4,'Plan Figures'!$B$94:$B$120,0),MATCH('Current - MGA only'!$B76,'Plan Figures'!$B$1:$AP$1,0))</f>
        <v>615.93307879093663</v>
      </c>
      <c r="AB76" s="266">
        <f ca="1">INDEX('Plan Figures'!$B$94:$AP$120,MATCH('Current - MGA only'!AB$4,'Plan Figures'!$B$94:$B$120,0),MATCH('Current - MGA only'!$B76,'Plan Figures'!$B$1:$AP$1,0))</f>
        <v>763.72800510730349</v>
      </c>
      <c r="AC76" s="31">
        <f ca="1">INDEX('Plan Figures'!$B$94:$AP$120,MATCH('Current - MGA only'!AC$4,'Plan Figures'!$B$94:$B$120,0),MATCH('Current - MGA only'!$B76,'Plan Figures'!$B$1:$AP$1,0))</f>
        <v>833.27735263273371</v>
      </c>
      <c r="AD76" s="31">
        <f ca="1">INDEX('Plan Figures'!$B$94:$AP$120,MATCH('Current - MGA only'!AD$4,'Plan Figures'!$B$94:$B$120,0),MATCH('Current - MGA only'!$B76,'Plan Figures'!$B$1:$AP$1,0))</f>
        <v>833.27735263273371</v>
      </c>
      <c r="AE76" s="31">
        <f ca="1">INDEX('Plan Figures'!$B$94:$AP$120,MATCH('Current - MGA only'!AE$4,'Plan Figures'!$B$94:$B$120,0),MATCH('Current - MGA only'!$B76,'Plan Figures'!$B$1:$AP$1,0))</f>
        <v>833.27735263273371</v>
      </c>
      <c r="AF76" s="31">
        <f ca="1">INDEX('Plan Figures'!$B$94:$AP$120,MATCH('Current - MGA only'!AF$4,'Plan Figures'!$B$94:$B$120,0),MATCH('Current - MGA only'!$B76,'Plan Figures'!$B$1:$AP$1,0))</f>
        <v>833.27735263273371</v>
      </c>
      <c r="AG76" s="31">
        <f ca="1">INDEX('Plan Figures'!$B$94:$AP$120,MATCH('Current - MGA only'!AG$4,'Plan Figures'!$B$94:$B$120,0),MATCH('Current - MGA only'!$B76,'Plan Figures'!$B$1:$AP$1,0))</f>
        <v>832.96485263273371</v>
      </c>
      <c r="AH76" s="31">
        <f ca="1">INDEX('Plan Figures'!$B$94:$AP$120,MATCH('Current - MGA only'!AH$4,'Plan Figures'!$B$94:$B$120,0),MATCH('Current - MGA only'!$B76,'Plan Figures'!$B$1:$AP$1,0))</f>
        <v>805.37110263273371</v>
      </c>
      <c r="AI76" s="31">
        <f ca="1">INDEX('Plan Figures'!$B$94:$AP$120,MATCH('Current - MGA only'!AI$4,'Plan Figures'!$B$94:$B$120,0),MATCH('Current - MGA only'!$B76,'Plan Figures'!$B$1:$AP$1,0))</f>
        <v>954.34078893945536</v>
      </c>
      <c r="AJ76" s="31">
        <f ca="1">INDEX('Plan Figures'!$B$94:$AP$120,MATCH('Current - MGA only'!AJ$4,'Plan Figures'!$B$94:$B$120,0),MATCH('Current - MGA only'!$B76,'Plan Figures'!$B$1:$AP$1,0))</f>
        <v>847.62977300462001</v>
      </c>
      <c r="AK76" s="31">
        <f ca="1">INDEX('Plan Figures'!$B$94:$AP$120,MATCH('Current - MGA only'!AK$4,'Plan Figures'!$B$94:$B$120,0),MATCH('Current - MGA only'!$B76,'Plan Figures'!$B$1:$AP$1,0))</f>
        <v>739.05926213218527</v>
      </c>
      <c r="AL76" s="31">
        <f ca="1">INDEX('Plan Figures'!$B$94:$AP$120,MATCH('Current - MGA only'!AL$4,'Plan Figures'!$B$94:$B$120,0),MATCH('Current - MGA only'!$B76,'Plan Figures'!$B$1:$AP$1,0))</f>
        <v>574.06474961854019</v>
      </c>
      <c r="AM76" s="31">
        <f ca="1">INDEX('Plan Figures'!$B$94:$AP$120,MATCH('Current - MGA only'!AM$4,'Plan Figures'!$B$94:$B$120,0),MATCH('Current - MGA only'!$B76,'Plan Figures'!$B$1:$AP$1,0))</f>
        <v>364.6103139038326</v>
      </c>
      <c r="AN76" s="266">
        <f ca="1">INDEX('Plan Figures'!$B$94:$AP$120,MATCH('Current - MGA only'!AN$4,'Plan Figures'!$B$94:$B$120,0),MATCH('Current - MGA only'!$B76,'Plan Figures'!$B$1:$AP$1,0))</f>
        <v>181.19222195663252</v>
      </c>
      <c r="AO76" s="239">
        <f t="shared" ca="1" si="75"/>
        <v>737.64614551032457</v>
      </c>
      <c r="AP76" s="31">
        <f t="shared" ca="1" si="76"/>
        <v>737.64614551032457</v>
      </c>
      <c r="AQ76" s="240">
        <f ca="1">SUMIFS(AC76:AN76,AC$4:AN$4,"&lt;"&amp;'Title Sheet'!$C$13)</f>
        <v>8632.3424753516683</v>
      </c>
      <c r="AR76" s="3" t="s">
        <v>299</v>
      </c>
    </row>
    <row r="77" spans="2:44" ht="15.75" hidden="1" x14ac:dyDescent="0.25">
      <c r="B77" t="str">
        <f t="shared" ref="B77:B86" si="78">$D$2</f>
        <v>PC Annual Direct</v>
      </c>
      <c r="C77" t="str">
        <f t="shared" si="77"/>
        <v>Boom Subscription</v>
      </c>
      <c r="D77" s="213" t="s">
        <v>0</v>
      </c>
      <c r="E77" s="214" t="str">
        <f t="shared" ref="E77:AN77" si="79">IFERROR(IF(E75=0,"-",(E75/E76)-1),"-")</f>
        <v>-</v>
      </c>
      <c r="F77" s="214" t="str">
        <f t="shared" si="79"/>
        <v>-</v>
      </c>
      <c r="G77" s="214" t="str">
        <f t="shared" si="79"/>
        <v>-</v>
      </c>
      <c r="H77" s="214" t="str">
        <f t="shared" si="79"/>
        <v>-</v>
      </c>
      <c r="I77" s="214" t="str">
        <f t="shared" si="79"/>
        <v>-</v>
      </c>
      <c r="J77" s="214" t="str">
        <f t="shared" si="79"/>
        <v>-</v>
      </c>
      <c r="K77" s="214" t="str">
        <f t="shared" si="79"/>
        <v>-</v>
      </c>
      <c r="L77" s="214" t="str">
        <f t="shared" si="79"/>
        <v>-</v>
      </c>
      <c r="M77" s="214" t="str">
        <f t="shared" si="79"/>
        <v>-</v>
      </c>
      <c r="N77" s="214" t="str">
        <f t="shared" si="79"/>
        <v>-</v>
      </c>
      <c r="O77" s="214" t="str">
        <f t="shared" si="79"/>
        <v>-</v>
      </c>
      <c r="P77" s="294" t="str">
        <f t="shared" ca="1" si="79"/>
        <v>-</v>
      </c>
      <c r="Q77" s="214" t="str">
        <f t="shared" ca="1" si="79"/>
        <v>-</v>
      </c>
      <c r="R77" s="214" t="str">
        <f t="shared" ca="1" si="79"/>
        <v>-</v>
      </c>
      <c r="S77" s="214" t="str">
        <f t="shared" ca="1" si="79"/>
        <v>-</v>
      </c>
      <c r="T77" s="214" t="str">
        <f t="shared" ca="1" si="79"/>
        <v>-</v>
      </c>
      <c r="U77" s="214" t="str">
        <f t="shared" ca="1" si="79"/>
        <v>-</v>
      </c>
      <c r="V77" s="214" t="str">
        <f t="shared" ca="1" si="79"/>
        <v>-</v>
      </c>
      <c r="W77" s="214" t="str">
        <f t="shared" ca="1" si="79"/>
        <v>-</v>
      </c>
      <c r="X77" s="214" t="str">
        <f t="shared" ca="1" si="79"/>
        <v>-</v>
      </c>
      <c r="Y77" s="214" t="str">
        <f t="shared" ca="1" si="79"/>
        <v>-</v>
      </c>
      <c r="Z77" s="214" t="str">
        <f t="shared" ca="1" si="79"/>
        <v>-</v>
      </c>
      <c r="AA77" s="214">
        <f t="shared" ca="1" si="79"/>
        <v>1.2863396839366557</v>
      </c>
      <c r="AB77" s="270">
        <f t="shared" ca="1" si="79"/>
        <v>1.0758470330307639</v>
      </c>
      <c r="AC77" s="214">
        <f t="shared" ca="1" si="79"/>
        <v>0.91349575544969852</v>
      </c>
      <c r="AD77" s="214">
        <f t="shared" ca="1" si="79"/>
        <v>0.55852108925057031</v>
      </c>
      <c r="AE77" s="214">
        <f t="shared" ca="1" si="79"/>
        <v>0.66326241697277877</v>
      </c>
      <c r="AF77" s="214">
        <f t="shared" ca="1" si="79"/>
        <v>0.3305408883314076</v>
      </c>
      <c r="AG77" s="214">
        <f t="shared" ca="1" si="79"/>
        <v>0.24898295582047769</v>
      </c>
      <c r="AH77" s="214">
        <f t="shared" ca="1" si="79"/>
        <v>6.1207374594303587E-2</v>
      </c>
      <c r="AI77" s="214">
        <f t="shared" ca="1" si="79"/>
        <v>-0.14059590370413089</v>
      </c>
      <c r="AJ77" s="214">
        <f t="shared" ca="1" si="79"/>
        <v>-0.18098773786227607</v>
      </c>
      <c r="AK77" s="214">
        <f t="shared" ca="1" si="79"/>
        <v>-0.24545320911402047</v>
      </c>
      <c r="AL77" s="214">
        <f t="shared" ca="1" si="79"/>
        <v>-0.18978639837289701</v>
      </c>
      <c r="AM77" s="214">
        <f t="shared" ca="1" si="79"/>
        <v>-0.25639506877166807</v>
      </c>
      <c r="AN77" s="270">
        <f t="shared" ca="1" si="79"/>
        <v>-0.15698398363170452</v>
      </c>
      <c r="AO77" s="274">
        <f t="shared" ca="1" si="75"/>
        <v>1.0918941574723726</v>
      </c>
      <c r="AP77" s="275">
        <f t="shared" ca="1" si="76"/>
        <v>1.0918941574723726</v>
      </c>
      <c r="AQ77" s="276">
        <f t="shared" ref="AQ77" ca="1" si="80">IFERROR(IF(AQ75=0,"-",(AQ75/AQ76)-1),"-")</f>
        <v>0.18668525723101381</v>
      </c>
    </row>
    <row r="78" spans="2:44" ht="15.75" x14ac:dyDescent="0.25">
      <c r="B78" t="str">
        <f t="shared" si="78"/>
        <v>PC Annual Direct</v>
      </c>
      <c r="C78" t="str">
        <f t="shared" si="77"/>
        <v>Boom Subscription</v>
      </c>
      <c r="D78" s="208" t="s">
        <v>5</v>
      </c>
      <c r="E78" s="209">
        <v>0</v>
      </c>
      <c r="F78" s="209">
        <v>0</v>
      </c>
      <c r="G78" s="209">
        <v>846987.90250499675</v>
      </c>
      <c r="H78" s="209">
        <v>1174966.3528505522</v>
      </c>
      <c r="I78" s="209">
        <v>1584616.7353637449</v>
      </c>
      <c r="J78" s="209">
        <v>2067074.1935759829</v>
      </c>
      <c r="K78" s="209">
        <v>2147381.5107197058</v>
      </c>
      <c r="L78" s="209">
        <v>1385118.7807201962</v>
      </c>
      <c r="M78" s="209">
        <v>643445.39178494341</v>
      </c>
      <c r="N78" s="209">
        <v>980987.4871429553</v>
      </c>
      <c r="O78" s="209">
        <v>1104566.6828573106</v>
      </c>
      <c r="P78" s="238">
        <v>1090306.8017866081</v>
      </c>
      <c r="Q78" s="209">
        <v>1070212.2560720325</v>
      </c>
      <c r="R78" s="209">
        <v>1107168.0560714623</v>
      </c>
      <c r="S78" s="209">
        <v>1196806.3042855575</v>
      </c>
      <c r="T78" s="209">
        <v>1196843.1078571794</v>
      </c>
      <c r="U78" s="209">
        <v>1363003.9410737888</v>
      </c>
      <c r="V78" s="209">
        <v>1077658.6128572091</v>
      </c>
      <c r="W78" s="209">
        <v>1075831.1921430477</v>
      </c>
      <c r="X78" s="209">
        <v>992254.99535722542</v>
      </c>
      <c r="Y78" s="209">
        <v>820409.54964261292</v>
      </c>
      <c r="Z78" s="209">
        <v>707831.90642843128</v>
      </c>
      <c r="AA78" s="209">
        <v>527841.43107148877</v>
      </c>
      <c r="AB78" s="265">
        <v>439924.24642873014</v>
      </c>
      <c r="AC78" s="209">
        <v>342275.25571446272</v>
      </c>
      <c r="AD78" s="209">
        <v>229576.71178560247</v>
      </c>
      <c r="AE78" s="209">
        <v>177663.46499989592</v>
      </c>
      <c r="AF78" s="209">
        <v>87008.315000018323</v>
      </c>
      <c r="AG78" s="209">
        <v>0</v>
      </c>
      <c r="AH78" s="209">
        <v>0</v>
      </c>
      <c r="AI78" s="209">
        <v>0</v>
      </c>
      <c r="AJ78" s="209">
        <v>0</v>
      </c>
      <c r="AK78" s="209">
        <v>0</v>
      </c>
      <c r="AL78" s="209">
        <v>0</v>
      </c>
      <c r="AM78" s="209">
        <v>0</v>
      </c>
      <c r="AN78" s="265">
        <v>0</v>
      </c>
      <c r="AO78" s="237">
        <f t="shared" si="75"/>
        <v>504468.20991077821</v>
      </c>
      <c r="AP78" s="209">
        <f t="shared" si="76"/>
        <v>903987.38324426627</v>
      </c>
      <c r="AQ78" s="238">
        <f>SUMIFS(AC78:AN78,AC$4:AN$4,"&lt;"&amp;'Title Sheet'!$C$13)</f>
        <v>836523.74749997945</v>
      </c>
    </row>
    <row r="79" spans="2:44" ht="15.75" x14ac:dyDescent="0.25">
      <c r="B79" t="str">
        <f>$D$89&amp;"_NWP"</f>
        <v>PC Annual Direct - Subscription_NWP</v>
      </c>
      <c r="C79" t="str">
        <f t="shared" si="77"/>
        <v>Boom Subscription</v>
      </c>
      <c r="D79" s="211" t="s">
        <v>6</v>
      </c>
      <c r="E79" s="31" t="e">
        <f>INDEX('Plan Figures'!$B$94:$AP$131,MATCH('Current - MGA only'!E$4,'Plan Figures'!$B$94:$B$131,0),MATCH('Current - MGA only'!$B79,'Plan Figures'!$B$1:$AP$1,0))</f>
        <v>#N/A</v>
      </c>
      <c r="F79" s="31" t="e">
        <f>INDEX('Plan Figures'!$B$94:$AP$131,MATCH('Current - MGA only'!F$4,'Plan Figures'!$B$94:$B$131,0),MATCH('Current - MGA only'!$B79,'Plan Figures'!$B$1:$AP$1,0))</f>
        <v>#N/A</v>
      </c>
      <c r="G79" s="31" t="e">
        <f>INDEX('Plan Figures'!$B$94:$AP$131,MATCH('Current - MGA only'!G$4,'Plan Figures'!$B$94:$B$131,0),MATCH('Current - MGA only'!$B79,'Plan Figures'!$B$1:$AP$1,0))</f>
        <v>#N/A</v>
      </c>
      <c r="H79" s="31" t="e">
        <f>INDEX('Plan Figures'!$B$94:$AP$131,MATCH('Current - MGA only'!H$4,'Plan Figures'!$B$94:$B$131,0),MATCH('Current - MGA only'!$B79,'Plan Figures'!$B$1:$AP$1,0))</f>
        <v>#N/A</v>
      </c>
      <c r="I79" s="31" t="e">
        <f>INDEX('Plan Figures'!$B$94:$AP$131,MATCH('Current - MGA only'!I$4,'Plan Figures'!$B$94:$B$131,0),MATCH('Current - MGA only'!$B79,'Plan Figures'!$B$1:$AP$1,0))</f>
        <v>#N/A</v>
      </c>
      <c r="J79" s="31" t="e">
        <f>INDEX('Plan Figures'!$B$94:$AP$131,MATCH('Current - MGA only'!J$4,'Plan Figures'!$B$94:$B$131,0),MATCH('Current - MGA only'!$B79,'Plan Figures'!$B$1:$AP$1,0))</f>
        <v>#N/A</v>
      </c>
      <c r="K79" s="31" t="e">
        <f>INDEX('Plan Figures'!$B$94:$AP$131,MATCH('Current - MGA only'!K$4,'Plan Figures'!$B$94:$B$131,0),MATCH('Current - MGA only'!$B79,'Plan Figures'!$B$1:$AP$1,0))</f>
        <v>#N/A</v>
      </c>
      <c r="L79" s="31" t="e">
        <f>INDEX('Plan Figures'!$B$94:$AP$131,MATCH('Current - MGA only'!L$4,'Plan Figures'!$B$94:$B$131,0),MATCH('Current - MGA only'!$B79,'Plan Figures'!$B$1:$AP$1,0))</f>
        <v>#N/A</v>
      </c>
      <c r="M79" s="31" t="e">
        <f>INDEX('Plan Figures'!$B$94:$AP$131,MATCH('Current - MGA only'!M$4,'Plan Figures'!$B$94:$B$131,0),MATCH('Current - MGA only'!$B79,'Plan Figures'!$B$1:$AP$1,0))</f>
        <v>#N/A</v>
      </c>
      <c r="N79" s="31" t="e">
        <f>INDEX('Plan Figures'!$B$94:$AP$131,MATCH('Current - MGA only'!N$4,'Plan Figures'!$B$94:$B$131,0),MATCH('Current - MGA only'!$B79,'Plan Figures'!$B$1:$AP$1,0))</f>
        <v>#N/A</v>
      </c>
      <c r="O79" s="31" t="e">
        <f>INDEX('Plan Figures'!$B$94:$AP$131,MATCH('Current - MGA only'!O$4,'Plan Figures'!$B$94:$B$131,0),MATCH('Current - MGA only'!$B79,'Plan Figures'!$B$1:$AP$1,0))</f>
        <v>#N/A</v>
      </c>
      <c r="P79" s="240" t="str">
        <f ca="1">INDEX('Plan Figures'!$B$94:$AP$131,MATCH('Current - MGA only'!P$4,'Plan Figures'!$B$94:$B$131,0),MATCH('Current - MGA only'!$B79,'Plan Figures'!$B$1:$AP$1,0))</f>
        <v>-</v>
      </c>
      <c r="Q79" s="31" t="str">
        <f ca="1">INDEX('Plan Figures'!$B$94:$AP$131,MATCH('Current - MGA only'!Q$4,'Plan Figures'!$B$94:$B$131,0),MATCH('Current - MGA only'!$B79,'Plan Figures'!$B$1:$AP$1,0))</f>
        <v>-</v>
      </c>
      <c r="R79" s="31" t="str">
        <f ca="1">INDEX('Plan Figures'!$B$94:$AP$131,MATCH('Current - MGA only'!R$4,'Plan Figures'!$B$94:$B$131,0),MATCH('Current - MGA only'!$B79,'Plan Figures'!$B$1:$AP$1,0))</f>
        <v>-</v>
      </c>
      <c r="S79" s="31" t="str">
        <f ca="1">INDEX('Plan Figures'!$B$94:$AP$131,MATCH('Current - MGA only'!S$4,'Plan Figures'!$B$94:$B$131,0),MATCH('Current - MGA only'!$B79,'Plan Figures'!$B$1:$AP$1,0))</f>
        <v>-</v>
      </c>
      <c r="T79" s="31" t="str">
        <f ca="1">INDEX('Plan Figures'!$B$94:$AP$131,MATCH('Current - MGA only'!T$4,'Plan Figures'!$B$94:$B$131,0),MATCH('Current - MGA only'!$B79,'Plan Figures'!$B$1:$AP$1,0))</f>
        <v>-</v>
      </c>
      <c r="U79" s="31" t="str">
        <f ca="1">INDEX('Plan Figures'!$B$94:$AP$131,MATCH('Current - MGA only'!U$4,'Plan Figures'!$B$94:$B$131,0),MATCH('Current - MGA only'!$B79,'Plan Figures'!$B$1:$AP$1,0))</f>
        <v>-</v>
      </c>
      <c r="V79" s="31" t="str">
        <f ca="1">INDEX('Plan Figures'!$B$94:$AP$131,MATCH('Current - MGA only'!V$4,'Plan Figures'!$B$94:$B$131,0),MATCH('Current - MGA only'!$B79,'Plan Figures'!$B$1:$AP$1,0))</f>
        <v>-</v>
      </c>
      <c r="W79" s="31" t="str">
        <f ca="1">INDEX('Plan Figures'!$B$94:$AP$131,MATCH('Current - MGA only'!W$4,'Plan Figures'!$B$94:$B$131,0),MATCH('Current - MGA only'!$B79,'Plan Figures'!$B$1:$AP$1,0))</f>
        <v>-</v>
      </c>
      <c r="X79" s="31" t="str">
        <f ca="1">INDEX('Plan Figures'!$B$94:$AP$131,MATCH('Current - MGA only'!X$4,'Plan Figures'!$B$94:$B$131,0),MATCH('Current - MGA only'!$B79,'Plan Figures'!$B$1:$AP$1,0))</f>
        <v>-</v>
      </c>
      <c r="Y79" s="31" t="str">
        <f ca="1">INDEX('Plan Figures'!$B$94:$AP$131,MATCH('Current - MGA only'!Y$4,'Plan Figures'!$B$94:$B$131,0),MATCH('Current - MGA only'!$B79,'Plan Figures'!$B$1:$AP$1,0))</f>
        <v>-</v>
      </c>
      <c r="Z79" s="31" t="str">
        <f ca="1">INDEX('Plan Figures'!$B$94:$AP$131,MATCH('Current - MGA only'!Z$4,'Plan Figures'!$B$94:$B$131,0),MATCH('Current - MGA only'!$B79,'Plan Figures'!$B$1:$AP$1,0))</f>
        <v>-</v>
      </c>
      <c r="AA79" s="31">
        <f ca="1">INDEX('Plan Figures'!$B$94:$AP$131,MATCH('Current - MGA only'!AA$4,'Plan Figures'!$B$94:$B$131,0),MATCH('Current - MGA only'!$B79,'Plan Figures'!$B$1:$AP$1,0))</f>
        <v>1811220.2312349698</v>
      </c>
      <c r="AB79" s="266">
        <f ca="1">INDEX('Plan Figures'!$B$94:$AP$131,MATCH('Current - MGA only'!AB$4,'Plan Figures'!$B$94:$B$131,0),MATCH('Current - MGA only'!$B79,'Plan Figures'!$B$1:$AP$1,0))</f>
        <v>1916096.3475731572</v>
      </c>
      <c r="AC79" s="31">
        <f ca="1">INDEX('Plan Figures'!$B$94:$AP$131,MATCH('Current - MGA only'!AC$4,'Plan Figures'!$B$94:$B$131,0),MATCH('Current - MGA only'!$B79,'Plan Figures'!$B$1:$AP$1,0))</f>
        <v>2026245.4879278806</v>
      </c>
      <c r="AD79" s="31">
        <f ca="1">INDEX('Plan Figures'!$B$94:$AP$131,MATCH('Current - MGA only'!AD$4,'Plan Figures'!$B$94:$B$131,0),MATCH('Current - MGA only'!$B79,'Plan Figures'!$B$1:$AP$1,0))</f>
        <v>2073314.966746679</v>
      </c>
      <c r="AE79" s="31">
        <f ca="1">INDEX('Plan Figures'!$B$94:$AP$131,MATCH('Current - MGA only'!AE$4,'Plan Figures'!$B$94:$B$131,0),MATCH('Current - MGA only'!$B79,'Plan Figures'!$B$1:$AP$1,0))</f>
        <v>1955902.6469528598</v>
      </c>
      <c r="AF79" s="31">
        <f ca="1">INDEX('Plan Figures'!$B$94:$AP$131,MATCH('Current - MGA only'!AF$4,'Plan Figures'!$B$94:$B$131,0),MATCH('Current - MGA only'!$B79,'Plan Figures'!$B$1:$AP$1,0))</f>
        <v>1768843.0862598093</v>
      </c>
      <c r="AG79" s="31">
        <f ca="1">INDEX('Plan Figures'!$B$94:$AP$131,MATCH('Current - MGA only'!AG$4,'Plan Figures'!$B$94:$B$131,0),MATCH('Current - MGA only'!$B79,'Plan Figures'!$B$1:$AP$1,0))</f>
        <v>1606725.6641009036</v>
      </c>
      <c r="AH79" s="31">
        <f ca="1">INDEX('Plan Figures'!$B$94:$AP$131,MATCH('Current - MGA only'!AH$4,'Plan Figures'!$B$94:$B$131,0),MATCH('Current - MGA only'!$B79,'Plan Figures'!$B$1:$AP$1,0))</f>
        <v>1443312.9653584959</v>
      </c>
      <c r="AI79" s="31">
        <f ca="1">INDEX('Plan Figures'!$B$94:$AP$131,MATCH('Current - MGA only'!AI$4,'Plan Figures'!$B$94:$B$131,0),MATCH('Current - MGA only'!$B79,'Plan Figures'!$B$1:$AP$1,0))</f>
        <v>1349487.1149863317</v>
      </c>
      <c r="AJ79" s="31">
        <f ca="1">INDEX('Plan Figures'!$B$94:$AP$131,MATCH('Current - MGA only'!AJ$4,'Plan Figures'!$B$94:$B$131,0),MATCH('Current - MGA only'!$B79,'Plan Figures'!$B$1:$AP$1,0))</f>
        <v>1181466.7154575591</v>
      </c>
      <c r="AK79" s="31">
        <f ca="1">INDEX('Plan Figures'!$B$94:$AP$131,MATCH('Current - MGA only'!AK$4,'Plan Figures'!$B$94:$B$131,0),MATCH('Current - MGA only'!$B79,'Plan Figures'!$B$1:$AP$1,0))</f>
        <v>1008629.6841870487</v>
      </c>
      <c r="AL79" s="31">
        <f ca="1">INDEX('Plan Figures'!$B$94:$AP$131,MATCH('Current - MGA only'!AL$4,'Plan Figures'!$B$94:$B$131,0),MATCH('Current - MGA only'!$B79,'Plan Figures'!$B$1:$AP$1,0))</f>
        <v>770535.64091670548</v>
      </c>
      <c r="AM79" s="31">
        <f ca="1">INDEX('Plan Figures'!$B$94:$AP$131,MATCH('Current - MGA only'!AM$4,'Plan Figures'!$B$94:$B$131,0),MATCH('Current - MGA only'!$B79,'Plan Figures'!$B$1:$AP$1,0))</f>
        <v>485395.72460503865</v>
      </c>
      <c r="AN79" s="266">
        <f ca="1">INDEX('Plan Figures'!$B$94:$AP$131,MATCH('Current - MGA only'!AN$4,'Plan Figures'!$B$94:$B$131,0),MATCH('Current - MGA only'!$B79,'Plan Figures'!$B$1:$AP$1,0))</f>
        <v>234084.38876161337</v>
      </c>
      <c r="AO79" s="239">
        <f t="shared" ca="1" si="75"/>
        <v>1917854.0222453356</v>
      </c>
      <c r="AP79" s="31">
        <f t="shared" ca="1" si="76"/>
        <v>1917854.0222453356</v>
      </c>
      <c r="AQ79" s="240">
        <f ca="1">SUMIFS(AC79:AN79,AC$4:AN$4,"&lt;"&amp;'Title Sheet'!$C$13)</f>
        <v>15903944.086260926</v>
      </c>
    </row>
    <row r="80" spans="2:44" ht="15.75" x14ac:dyDescent="0.25">
      <c r="B80" t="str">
        <f t="shared" si="78"/>
        <v>PC Annual Direct</v>
      </c>
      <c r="C80" t="str">
        <f t="shared" si="77"/>
        <v>Boom Subscription</v>
      </c>
      <c r="D80" s="213" t="s">
        <v>0</v>
      </c>
      <c r="E80" s="214" t="str">
        <f t="shared" ref="E80:AN80" si="81">IFERROR(IF(E78=0,"-",(E78/E79)-1),"-")</f>
        <v>-</v>
      </c>
      <c r="F80" s="214" t="str">
        <f t="shared" si="81"/>
        <v>-</v>
      </c>
      <c r="G80" s="214" t="str">
        <f t="shared" si="81"/>
        <v>-</v>
      </c>
      <c r="H80" s="214" t="str">
        <f t="shared" si="81"/>
        <v>-</v>
      </c>
      <c r="I80" s="214" t="str">
        <f t="shared" si="81"/>
        <v>-</v>
      </c>
      <c r="J80" s="214" t="str">
        <f t="shared" si="81"/>
        <v>-</v>
      </c>
      <c r="K80" s="214" t="str">
        <f t="shared" si="81"/>
        <v>-</v>
      </c>
      <c r="L80" s="214" t="str">
        <f t="shared" si="81"/>
        <v>-</v>
      </c>
      <c r="M80" s="214" t="str">
        <f t="shared" si="81"/>
        <v>-</v>
      </c>
      <c r="N80" s="214" t="str">
        <f t="shared" si="81"/>
        <v>-</v>
      </c>
      <c r="O80" s="214" t="str">
        <f t="shared" si="81"/>
        <v>-</v>
      </c>
      <c r="P80" s="294" t="str">
        <f t="shared" ca="1" si="81"/>
        <v>-</v>
      </c>
      <c r="Q80" s="214" t="str">
        <f t="shared" ca="1" si="81"/>
        <v>-</v>
      </c>
      <c r="R80" s="214" t="str">
        <f t="shared" ca="1" si="81"/>
        <v>-</v>
      </c>
      <c r="S80" s="214" t="str">
        <f t="shared" ca="1" si="81"/>
        <v>-</v>
      </c>
      <c r="T80" s="214" t="str">
        <f t="shared" ca="1" si="81"/>
        <v>-</v>
      </c>
      <c r="U80" s="214" t="str">
        <f t="shared" ca="1" si="81"/>
        <v>-</v>
      </c>
      <c r="V80" s="214" t="str">
        <f t="shared" ca="1" si="81"/>
        <v>-</v>
      </c>
      <c r="W80" s="214" t="str">
        <f t="shared" ca="1" si="81"/>
        <v>-</v>
      </c>
      <c r="X80" s="214" t="str">
        <f t="shared" ca="1" si="81"/>
        <v>-</v>
      </c>
      <c r="Y80" s="214" t="str">
        <f t="shared" ca="1" si="81"/>
        <v>-</v>
      </c>
      <c r="Z80" s="214" t="str">
        <f t="shared" ca="1" si="81"/>
        <v>-</v>
      </c>
      <c r="AA80" s="214">
        <f t="shared" ca="1" si="81"/>
        <v>-0.70857136974912027</v>
      </c>
      <c r="AB80" s="270">
        <f t="shared" ca="1" si="81"/>
        <v>-0.77040598872498312</v>
      </c>
      <c r="AC80" s="214">
        <f t="shared" ca="1" si="81"/>
        <v>-0.83107907815035431</v>
      </c>
      <c r="AD80" s="214">
        <f t="shared" ca="1" si="81"/>
        <v>-0.88927070152498811</v>
      </c>
      <c r="AE80" s="214">
        <f t="shared" ca="1" si="81"/>
        <v>-0.90916548669910469</v>
      </c>
      <c r="AF80" s="214">
        <f t="shared" ca="1" si="81"/>
        <v>-0.95081060854075194</v>
      </c>
      <c r="AG80" s="214" t="str">
        <f t="shared" si="81"/>
        <v>-</v>
      </c>
      <c r="AH80" s="214" t="str">
        <f t="shared" si="81"/>
        <v>-</v>
      </c>
      <c r="AI80" s="214" t="str">
        <f t="shared" si="81"/>
        <v>-</v>
      </c>
      <c r="AJ80" s="214" t="str">
        <f t="shared" si="81"/>
        <v>-</v>
      </c>
      <c r="AK80" s="214" t="str">
        <f t="shared" si="81"/>
        <v>-</v>
      </c>
      <c r="AL80" s="214" t="str">
        <f t="shared" si="81"/>
        <v>-</v>
      </c>
      <c r="AM80" s="214" t="str">
        <f t="shared" si="81"/>
        <v>-</v>
      </c>
      <c r="AN80" s="270" t="str">
        <f t="shared" si="81"/>
        <v>-</v>
      </c>
      <c r="AO80" s="274">
        <f t="shared" ca="1" si="75"/>
        <v>-0.7700188122081526</v>
      </c>
      <c r="AP80" s="275">
        <f t="shared" ca="1" si="76"/>
        <v>-0.7700188122081526</v>
      </c>
      <c r="AQ80" s="276">
        <f t="shared" ref="AQ80" ca="1" si="82">IFERROR(IF(AQ78=0,"-",(AQ78/AQ79)-1),"-")</f>
        <v>-0.94740149091553749</v>
      </c>
    </row>
    <row r="81" spans="2:46" ht="15.75" x14ac:dyDescent="0.25">
      <c r="B81" t="str">
        <f t="shared" si="78"/>
        <v>PC Annual Direct</v>
      </c>
      <c r="C81" t="str">
        <f t="shared" si="77"/>
        <v>Boom Subscription</v>
      </c>
      <c r="D81" s="208" t="s">
        <v>12</v>
      </c>
      <c r="E81" s="209">
        <f t="shared" ref="E81:AP82" si="83">IFERROR(E78/E75,0)</f>
        <v>0</v>
      </c>
      <c r="F81" s="209">
        <f t="shared" si="83"/>
        <v>0</v>
      </c>
      <c r="G81" s="209">
        <f t="shared" si="83"/>
        <v>982.559590403691</v>
      </c>
      <c r="H81" s="209">
        <f t="shared" si="83"/>
        <v>1370.4924447780031</v>
      </c>
      <c r="I81" s="209">
        <f t="shared" si="83"/>
        <v>1460.730758912191</v>
      </c>
      <c r="J81" s="209">
        <f t="shared" si="83"/>
        <v>1226.8739430140567</v>
      </c>
      <c r="K81" s="209">
        <f t="shared" si="83"/>
        <v>1136.2053989452813</v>
      </c>
      <c r="L81" s="209">
        <f t="shared" si="83"/>
        <v>1198.9327382852471</v>
      </c>
      <c r="M81" s="209">
        <f t="shared" si="83"/>
        <v>2885.4762449606328</v>
      </c>
      <c r="N81" s="209">
        <f t="shared" si="83"/>
        <v>2423.1912573826007</v>
      </c>
      <c r="O81" s="209">
        <f t="shared" si="83"/>
        <v>1953.810482605443</v>
      </c>
      <c r="P81" s="238">
        <f t="shared" si="83"/>
        <v>1480.0342999485611</v>
      </c>
      <c r="Q81" s="209">
        <f t="shared" si="83"/>
        <v>1289.361284955276</v>
      </c>
      <c r="R81" s="209">
        <f t="shared" si="83"/>
        <v>1438.4077451233379</v>
      </c>
      <c r="S81" s="209">
        <f t="shared" si="83"/>
        <v>1099.4591131373888</v>
      </c>
      <c r="T81" s="209">
        <f t="shared" si="83"/>
        <v>1139.3702821066786</v>
      </c>
      <c r="U81" s="209">
        <f t="shared" si="83"/>
        <v>1087.3277385845415</v>
      </c>
      <c r="V81" s="209">
        <f t="shared" si="83"/>
        <v>886.59098771144807</v>
      </c>
      <c r="W81" s="209">
        <f t="shared" si="83"/>
        <v>796.33662052779664</v>
      </c>
      <c r="X81" s="209">
        <f t="shared" si="83"/>
        <v>715.64606102166249</v>
      </c>
      <c r="Y81" s="209">
        <f t="shared" si="83"/>
        <v>628.37557128559592</v>
      </c>
      <c r="Z81" s="209">
        <f t="shared" si="83"/>
        <v>495.00531715143427</v>
      </c>
      <c r="AA81" s="209">
        <f t="shared" si="83"/>
        <v>374.82555491928906</v>
      </c>
      <c r="AB81" s="265">
        <f t="shared" si="83"/>
        <v>277.48776254187612</v>
      </c>
      <c r="AC81" s="209">
        <f t="shared" si="83"/>
        <v>214.66360670283402</v>
      </c>
      <c r="AD81" s="209">
        <f t="shared" si="83"/>
        <v>176.77692266862408</v>
      </c>
      <c r="AE81" s="209">
        <f t="shared" si="83"/>
        <v>128.18811910296017</v>
      </c>
      <c r="AF81" s="209">
        <f t="shared" si="83"/>
        <v>78.477101545248559</v>
      </c>
      <c r="AG81" s="209">
        <f t="shared" si="83"/>
        <v>0</v>
      </c>
      <c r="AH81" s="209">
        <f t="shared" si="83"/>
        <v>0</v>
      </c>
      <c r="AI81" s="209">
        <f t="shared" si="83"/>
        <v>0</v>
      </c>
      <c r="AJ81" s="209">
        <f t="shared" si="83"/>
        <v>0</v>
      </c>
      <c r="AK81" s="209">
        <f t="shared" si="83"/>
        <v>0</v>
      </c>
      <c r="AL81" s="209">
        <f t="shared" si="83"/>
        <v>0</v>
      </c>
      <c r="AM81" s="209">
        <f t="shared" si="83"/>
        <v>0</v>
      </c>
      <c r="AN81" s="265">
        <f t="shared" si="83"/>
        <v>0</v>
      </c>
      <c r="AO81" s="237">
        <f t="shared" si="83"/>
        <v>335.30424228315354</v>
      </c>
      <c r="AP81" s="209">
        <f t="shared" si="83"/>
        <v>702.63200535031751</v>
      </c>
      <c r="AQ81" s="238">
        <f>SUMIFS(AC81:AN81,AC$4:AN$4,"&lt;"&amp;'Title Sheet'!$C$13)</f>
        <v>598.10575001966686</v>
      </c>
    </row>
    <row r="82" spans="2:46" ht="15.75" hidden="1" x14ac:dyDescent="0.25">
      <c r="B82" t="str">
        <f t="shared" si="78"/>
        <v>PC Annual Direct</v>
      </c>
      <c r="C82" t="str">
        <f t="shared" si="77"/>
        <v>Boom Subscription</v>
      </c>
      <c r="D82" s="211" t="s">
        <v>13</v>
      </c>
      <c r="E82" s="31">
        <f t="shared" si="83"/>
        <v>0</v>
      </c>
      <c r="F82" s="31">
        <f t="shared" si="83"/>
        <v>0</v>
      </c>
      <c r="G82" s="31">
        <f t="shared" si="83"/>
        <v>0</v>
      </c>
      <c r="H82" s="31">
        <f t="shared" si="83"/>
        <v>0</v>
      </c>
      <c r="I82" s="31">
        <f t="shared" si="83"/>
        <v>0</v>
      </c>
      <c r="J82" s="31">
        <f t="shared" si="83"/>
        <v>0</v>
      </c>
      <c r="K82" s="31">
        <f t="shared" si="83"/>
        <v>0</v>
      </c>
      <c r="L82" s="31">
        <f t="shared" si="83"/>
        <v>0</v>
      </c>
      <c r="M82" s="31">
        <f t="shared" si="83"/>
        <v>0</v>
      </c>
      <c r="N82" s="31">
        <f t="shared" si="83"/>
        <v>0</v>
      </c>
      <c r="O82" s="31">
        <f t="shared" si="83"/>
        <v>0</v>
      </c>
      <c r="P82" s="240">
        <f t="shared" ca="1" si="83"/>
        <v>0</v>
      </c>
      <c r="Q82" s="31">
        <f t="shared" ca="1" si="83"/>
        <v>0</v>
      </c>
      <c r="R82" s="31">
        <f t="shared" ca="1" si="83"/>
        <v>0</v>
      </c>
      <c r="S82" s="31">
        <f t="shared" ca="1" si="83"/>
        <v>0</v>
      </c>
      <c r="T82" s="31">
        <f t="shared" ca="1" si="83"/>
        <v>0</v>
      </c>
      <c r="U82" s="31">
        <f t="shared" ca="1" si="83"/>
        <v>0</v>
      </c>
      <c r="V82" s="31">
        <f t="shared" ca="1" si="83"/>
        <v>0</v>
      </c>
      <c r="W82" s="31">
        <f t="shared" ca="1" si="83"/>
        <v>0</v>
      </c>
      <c r="X82" s="31">
        <f t="shared" ca="1" si="83"/>
        <v>0</v>
      </c>
      <c r="Y82" s="31">
        <f t="shared" ca="1" si="83"/>
        <v>0</v>
      </c>
      <c r="Z82" s="31">
        <f t="shared" ca="1" si="83"/>
        <v>0</v>
      </c>
      <c r="AA82" s="31">
        <f t="shared" ca="1" si="83"/>
        <v>2940.6120463449633</v>
      </c>
      <c r="AB82" s="266">
        <f t="shared" ca="1" si="83"/>
        <v>2508.8727069841393</v>
      </c>
      <c r="AC82" s="31">
        <f t="shared" ca="1" si="83"/>
        <v>2431.6579366113488</v>
      </c>
      <c r="AD82" s="31">
        <f t="shared" ca="1" si="83"/>
        <v>2488.1451058234757</v>
      </c>
      <c r="AE82" s="31">
        <f t="shared" ca="1" si="83"/>
        <v>2347.2408565685837</v>
      </c>
      <c r="AF82" s="31">
        <f t="shared" ca="1" si="83"/>
        <v>2122.7543034395003</v>
      </c>
      <c r="AG82" s="31">
        <f t="shared" ca="1" si="83"/>
        <v>1928.923722318608</v>
      </c>
      <c r="AH82" s="31">
        <f t="shared" ca="1" si="83"/>
        <v>1792.1092036209764</v>
      </c>
      <c r="AI82" s="31">
        <f t="shared" ca="1" si="83"/>
        <v>1414.0515952231242</v>
      </c>
      <c r="AJ82" s="31">
        <f t="shared" ca="1" si="83"/>
        <v>1393.8475889887359</v>
      </c>
      <c r="AK82" s="31">
        <f t="shared" ca="1" si="83"/>
        <v>1364.7480464247928</v>
      </c>
      <c r="AL82" s="31">
        <f t="shared" ca="1" si="83"/>
        <v>1342.2451760515135</v>
      </c>
      <c r="AM82" s="31">
        <f t="shared" ca="1" si="83"/>
        <v>1331.2726110459498</v>
      </c>
      <c r="AN82" s="266">
        <f t="shared" ca="1" si="83"/>
        <v>1291.9119056757322</v>
      </c>
      <c r="AO82" s="239">
        <f t="shared" ca="1" si="83"/>
        <v>2599.9648122861263</v>
      </c>
      <c r="AP82" s="31">
        <f t="shared" ca="1" si="83"/>
        <v>2599.9648122861263</v>
      </c>
      <c r="AQ82" s="240">
        <f ca="1">SUMIFS(AC82:AN82,AC$4:AN$4,"&lt;"&amp;'Title Sheet'!$C$13)</f>
        <v>21248.908051792343</v>
      </c>
    </row>
    <row r="83" spans="2:46" ht="15.75" hidden="1" x14ac:dyDescent="0.25">
      <c r="B83" t="str">
        <f t="shared" si="78"/>
        <v>PC Annual Direct</v>
      </c>
      <c r="C83" t="str">
        <f t="shared" si="77"/>
        <v>Boom Subscription</v>
      </c>
      <c r="D83" s="213" t="s">
        <v>0</v>
      </c>
      <c r="E83" s="214" t="str">
        <f t="shared" ref="E83:AN83" si="84">IFERROR(IF(E81=0,"-",(E81/E82)-1),"-")</f>
        <v>-</v>
      </c>
      <c r="F83" s="214" t="str">
        <f t="shared" si="84"/>
        <v>-</v>
      </c>
      <c r="G83" s="214" t="str">
        <f t="shared" si="84"/>
        <v>-</v>
      </c>
      <c r="H83" s="214" t="str">
        <f t="shared" si="84"/>
        <v>-</v>
      </c>
      <c r="I83" s="214" t="str">
        <f t="shared" si="84"/>
        <v>-</v>
      </c>
      <c r="J83" s="214" t="str">
        <f t="shared" si="84"/>
        <v>-</v>
      </c>
      <c r="K83" s="214" t="str">
        <f t="shared" si="84"/>
        <v>-</v>
      </c>
      <c r="L83" s="214" t="str">
        <f t="shared" si="84"/>
        <v>-</v>
      </c>
      <c r="M83" s="214" t="str">
        <f t="shared" si="84"/>
        <v>-</v>
      </c>
      <c r="N83" s="214" t="str">
        <f t="shared" si="84"/>
        <v>-</v>
      </c>
      <c r="O83" s="214" t="str">
        <f t="shared" si="84"/>
        <v>-</v>
      </c>
      <c r="P83" s="294" t="str">
        <f t="shared" ca="1" si="84"/>
        <v>-</v>
      </c>
      <c r="Q83" s="214" t="str">
        <f t="shared" ca="1" si="84"/>
        <v>-</v>
      </c>
      <c r="R83" s="214" t="str">
        <f t="shared" ca="1" si="84"/>
        <v>-</v>
      </c>
      <c r="S83" s="214" t="str">
        <f t="shared" ca="1" si="84"/>
        <v>-</v>
      </c>
      <c r="T83" s="214" t="str">
        <f t="shared" ca="1" si="84"/>
        <v>-</v>
      </c>
      <c r="U83" s="214" t="str">
        <f t="shared" ca="1" si="84"/>
        <v>-</v>
      </c>
      <c r="V83" s="214" t="str">
        <f t="shared" ca="1" si="84"/>
        <v>-</v>
      </c>
      <c r="W83" s="214" t="str">
        <f t="shared" ca="1" si="84"/>
        <v>-</v>
      </c>
      <c r="X83" s="214" t="str">
        <f t="shared" ca="1" si="84"/>
        <v>-</v>
      </c>
      <c r="Y83" s="214" t="str">
        <f t="shared" ca="1" si="84"/>
        <v>-</v>
      </c>
      <c r="Z83" s="214" t="str">
        <f t="shared" ca="1" si="84"/>
        <v>-</v>
      </c>
      <c r="AA83" s="214">
        <f t="shared" ca="1" si="84"/>
        <v>-0.8725348502244018</v>
      </c>
      <c r="AB83" s="270">
        <f t="shared" ca="1" si="84"/>
        <v>-0.88939743265195859</v>
      </c>
      <c r="AC83" s="214">
        <f t="shared" ca="1" si="84"/>
        <v>-0.91172129785574207</v>
      </c>
      <c r="AD83" s="214">
        <f t="shared" ca="1" si="84"/>
        <v>-0.92895232586922694</v>
      </c>
      <c r="AE83" s="214">
        <f t="shared" ca="1" si="84"/>
        <v>-0.94538774376552159</v>
      </c>
      <c r="AF83" s="214">
        <f t="shared" ca="1" si="84"/>
        <v>-0.9630305299967632</v>
      </c>
      <c r="AG83" s="214" t="str">
        <f t="shared" si="84"/>
        <v>-</v>
      </c>
      <c r="AH83" s="214" t="str">
        <f t="shared" si="84"/>
        <v>-</v>
      </c>
      <c r="AI83" s="214" t="str">
        <f t="shared" si="84"/>
        <v>-</v>
      </c>
      <c r="AJ83" s="214" t="str">
        <f t="shared" si="84"/>
        <v>-</v>
      </c>
      <c r="AK83" s="214" t="str">
        <f t="shared" si="84"/>
        <v>-</v>
      </c>
      <c r="AL83" s="214" t="str">
        <f t="shared" si="84"/>
        <v>-</v>
      </c>
      <c r="AM83" s="214" t="str">
        <f t="shared" si="84"/>
        <v>-</v>
      </c>
      <c r="AN83" s="270" t="str">
        <f t="shared" si="84"/>
        <v>-</v>
      </c>
      <c r="AO83" s="274">
        <f t="shared" ref="AO83:AP83" ca="1" si="85">AO81-AO82</f>
        <v>-2264.6605700029727</v>
      </c>
      <c r="AP83" s="275">
        <f t="shared" ca="1" si="85"/>
        <v>-1897.3328069358088</v>
      </c>
      <c r="AQ83" s="276">
        <f t="shared" ref="AQ83" ca="1" si="86">IFERROR(IF(AQ81=0,"-",(AQ81/AQ82)-1),"-")</f>
        <v>-0.9718524006710445</v>
      </c>
    </row>
    <row r="84" spans="2:46" x14ac:dyDescent="0.25">
      <c r="B84" t="str">
        <f t="shared" si="78"/>
        <v>PC Annual Direct</v>
      </c>
      <c r="C84" t="str">
        <f t="shared" si="77"/>
        <v>Boom Subscription</v>
      </c>
      <c r="D84" s="258" t="s">
        <v>17</v>
      </c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313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67"/>
      <c r="AC84" s="259"/>
      <c r="AD84" s="259"/>
      <c r="AE84" s="259"/>
      <c r="AF84" s="259"/>
      <c r="AG84" s="259"/>
      <c r="AH84" s="259"/>
      <c r="AI84" s="259"/>
      <c r="AJ84" s="259"/>
      <c r="AK84" s="259"/>
      <c r="AL84" s="259"/>
      <c r="AM84" s="259"/>
      <c r="AN84" s="267"/>
      <c r="AO84" s="277"/>
      <c r="AP84" s="277"/>
      <c r="AQ84" s="278">
        <f>SUMIFS(AC84:AN84,AC$4:AN$4,"&lt;"&amp;'Title Sheet'!$C$13)</f>
        <v>0</v>
      </c>
    </row>
    <row r="85" spans="2:46" ht="15.75" x14ac:dyDescent="0.25">
      <c r="B85" t="str">
        <f t="shared" si="78"/>
        <v>PC Annual Direct</v>
      </c>
      <c r="C85" t="str">
        <f t="shared" si="77"/>
        <v>Boom Subscription</v>
      </c>
      <c r="D85" s="208" t="s">
        <v>7</v>
      </c>
      <c r="E85" s="282">
        <v>0</v>
      </c>
      <c r="F85" s="283">
        <v>0</v>
      </c>
      <c r="G85" s="283">
        <v>1045889.5625023207</v>
      </c>
      <c r="H85" s="283">
        <v>1298026.3928464968</v>
      </c>
      <c r="I85" s="283">
        <v>1751043.7053654126</v>
      </c>
      <c r="J85" s="283">
        <v>2285204.803576773</v>
      </c>
      <c r="K85" s="283">
        <v>2375351.1607260322</v>
      </c>
      <c r="L85" s="283">
        <v>1506537.9107222594</v>
      </c>
      <c r="M85" s="283">
        <v>526812.90178488032</v>
      </c>
      <c r="N85" s="283">
        <v>854262.10714215401</v>
      </c>
      <c r="O85" s="283">
        <v>1035120.6428582676</v>
      </c>
      <c r="P85" s="314">
        <v>1138972.1517867602</v>
      </c>
      <c r="Q85" s="283">
        <v>1186519.8660717688</v>
      </c>
      <c r="R85" s="283">
        <v>1157236.6160712091</v>
      </c>
      <c r="S85" s="283">
        <v>1396789.464285569</v>
      </c>
      <c r="T85" s="283">
        <v>1365173.5178568573</v>
      </c>
      <c r="U85" s="283">
        <v>1566038.9285736412</v>
      </c>
      <c r="V85" s="283">
        <v>1566907.3392851199</v>
      </c>
      <c r="W85" s="283">
        <v>1765429.598214569</v>
      </c>
      <c r="X85" s="283">
        <v>1910330.1964290359</v>
      </c>
      <c r="Y85" s="283">
        <v>1938425.6160724042</v>
      </c>
      <c r="Z85" s="283">
        <v>2205989.9285718729</v>
      </c>
      <c r="AA85" s="283">
        <v>2374496.2589290282</v>
      </c>
      <c r="AB85" s="284">
        <v>2522405.651784393</v>
      </c>
      <c r="AC85" s="282">
        <v>2479069.3125012428</v>
      </c>
      <c r="AD85" s="283">
        <v>1942443.1160720733</v>
      </c>
      <c r="AE85" s="283">
        <v>1920223.2857131353</v>
      </c>
      <c r="AF85" s="283">
        <v>1614257.3035714719</v>
      </c>
      <c r="AG85" s="283">
        <v>1513613.1517860643</v>
      </c>
      <c r="AH85" s="283">
        <v>1300846.1964293618</v>
      </c>
      <c r="AI85" s="283">
        <v>1193804.8392867255</v>
      </c>
      <c r="AJ85" s="283">
        <v>1018597.7053572248</v>
      </c>
      <c r="AK85" s="283">
        <v>815721.7499990958</v>
      </c>
      <c r="AL85" s="283">
        <v>648881.99107159546</v>
      </c>
      <c r="AM85" s="283">
        <v>389810.76785698062</v>
      </c>
      <c r="AN85" s="284">
        <v>206166.89285729072</v>
      </c>
      <c r="AO85" s="237">
        <f>AVERAGE(Z85:AC85)</f>
        <v>2395490.2879466345</v>
      </c>
      <c r="AP85" s="209">
        <f>AVERAGE(R85:AC85)</f>
        <v>1854024.3690479121</v>
      </c>
      <c r="AQ85" s="238">
        <f>SUMIFS(AC85:AN85,AC$4:AN$4,"&lt;"&amp;'Title Sheet'!$C$13)</f>
        <v>15043436.312502263</v>
      </c>
    </row>
    <row r="86" spans="2:46" ht="16.5" thickBot="1" x14ac:dyDescent="0.3">
      <c r="B86" t="str">
        <f t="shared" si="78"/>
        <v>PC Annual Direct</v>
      </c>
      <c r="C86" t="str">
        <f t="shared" si="77"/>
        <v>Boom Subscription</v>
      </c>
      <c r="D86" s="226" t="s">
        <v>21</v>
      </c>
      <c r="E86" s="269">
        <f>IFERROR(E78/E$8,"-")</f>
        <v>0</v>
      </c>
      <c r="F86" s="269">
        <f t="shared" ref="F86:AN86" si="87">IFERROR(F78/F$8,"-")</f>
        <v>0</v>
      </c>
      <c r="G86" s="269">
        <f t="shared" si="87"/>
        <v>0.63661487204905398</v>
      </c>
      <c r="H86" s="269">
        <f t="shared" si="87"/>
        <v>0.68558611967600558</v>
      </c>
      <c r="I86" s="269">
        <f t="shared" si="87"/>
        <v>0.69520696923079928</v>
      </c>
      <c r="J86" s="269">
        <f t="shared" si="87"/>
        <v>0.67973497886698242</v>
      </c>
      <c r="K86" s="269">
        <f t="shared" si="87"/>
        <v>0.54670934640364044</v>
      </c>
      <c r="L86" s="269">
        <f t="shared" si="87"/>
        <v>0.47517044316777446</v>
      </c>
      <c r="M86" s="269">
        <f t="shared" si="87"/>
        <v>0.23191669048938171</v>
      </c>
      <c r="N86" s="269">
        <f t="shared" si="87"/>
        <v>0.27383382319474775</v>
      </c>
      <c r="O86" s="269">
        <f t="shared" si="87"/>
        <v>0.34874610433589859</v>
      </c>
      <c r="P86" s="280">
        <f t="shared" si="87"/>
        <v>0.41447550482494011</v>
      </c>
      <c r="Q86" s="269">
        <f t="shared" si="87"/>
        <v>0.49630216745126626</v>
      </c>
      <c r="R86" s="269">
        <f t="shared" si="87"/>
        <v>0.5015916494266015</v>
      </c>
      <c r="S86" s="269">
        <f t="shared" si="87"/>
        <v>0.50596939106431882</v>
      </c>
      <c r="T86" s="269">
        <f t="shared" si="87"/>
        <v>0.56568155193694636</v>
      </c>
      <c r="U86" s="269">
        <f t="shared" si="87"/>
        <v>0.56992168570094925</v>
      </c>
      <c r="V86" s="269">
        <f t="shared" si="87"/>
        <v>1</v>
      </c>
      <c r="W86" s="269">
        <f t="shared" si="87"/>
        <v>1</v>
      </c>
      <c r="X86" s="269">
        <f t="shared" si="87"/>
        <v>1</v>
      </c>
      <c r="Y86" s="269">
        <f t="shared" si="87"/>
        <v>1</v>
      </c>
      <c r="Z86" s="269">
        <f t="shared" si="87"/>
        <v>1</v>
      </c>
      <c r="AA86" s="269">
        <f t="shared" si="87"/>
        <v>1</v>
      </c>
      <c r="AB86" s="281">
        <f t="shared" si="87"/>
        <v>1</v>
      </c>
      <c r="AC86" s="269">
        <f t="shared" si="87"/>
        <v>1</v>
      </c>
      <c r="AD86" s="269">
        <f t="shared" si="87"/>
        <v>1</v>
      </c>
      <c r="AE86" s="269">
        <f t="shared" si="87"/>
        <v>1</v>
      </c>
      <c r="AF86" s="269">
        <f t="shared" si="87"/>
        <v>1</v>
      </c>
      <c r="AG86" s="269" t="str">
        <f t="shared" si="87"/>
        <v>-</v>
      </c>
      <c r="AH86" s="269" t="str">
        <f t="shared" si="87"/>
        <v>-</v>
      </c>
      <c r="AI86" s="269" t="str">
        <f t="shared" si="87"/>
        <v>-</v>
      </c>
      <c r="AJ86" s="269" t="str">
        <f t="shared" si="87"/>
        <v>-</v>
      </c>
      <c r="AK86" s="269" t="str">
        <f t="shared" si="87"/>
        <v>-</v>
      </c>
      <c r="AL86" s="269" t="str">
        <f t="shared" si="87"/>
        <v>-</v>
      </c>
      <c r="AM86" s="269" t="str">
        <f t="shared" si="87"/>
        <v>-</v>
      </c>
      <c r="AN86" s="281" t="str">
        <f t="shared" si="87"/>
        <v>-</v>
      </c>
      <c r="AO86" s="279">
        <f t="shared" ref="AO86:AP86" si="88">AO78/AO$8</f>
        <v>1</v>
      </c>
      <c r="AP86" s="269">
        <f t="shared" si="88"/>
        <v>0.72011609290446588</v>
      </c>
      <c r="AQ86" s="280" t="str">
        <f t="shared" ref="AQ86" si="89">IFERROR(IF(AQ84=0,"-",(AQ84/AQ85)-1),"-")</f>
        <v>-</v>
      </c>
    </row>
    <row r="87" spans="2:46" outlineLevel="1" x14ac:dyDescent="0.25"/>
    <row r="88" spans="2:46" hidden="1" outlineLevel="1" x14ac:dyDescent="0.25">
      <c r="E88" s="188"/>
      <c r="F88" s="188"/>
      <c r="G88" s="188"/>
      <c r="H88" s="188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8"/>
      <c r="AB88" s="188"/>
      <c r="AC88" s="188"/>
      <c r="AD88" s="188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</row>
    <row r="89" spans="2:46" ht="18.75" hidden="1" outlineLevel="1" x14ac:dyDescent="0.3">
      <c r="D89" s="68" t="s">
        <v>204</v>
      </c>
      <c r="E89" s="174" t="s">
        <v>300</v>
      </c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"/>
      <c r="S89" s="1"/>
      <c r="T89" s="505" t="s">
        <v>307</v>
      </c>
      <c r="U89" s="505"/>
      <c r="V89" s="505"/>
      <c r="W89" s="505"/>
      <c r="X89" s="505"/>
      <c r="Y89" s="505"/>
      <c r="Z89" s="505"/>
      <c r="AA89" s="505"/>
      <c r="AB89" s="505"/>
      <c r="AC89" s="506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4"/>
      <c r="AP89" s="1"/>
      <c r="AT89" s="118" t="s">
        <v>184</v>
      </c>
    </row>
    <row r="90" spans="2:46" hidden="1" outlineLevel="1" x14ac:dyDescent="0.25">
      <c r="D90" s="19"/>
      <c r="E90" s="503" t="s">
        <v>341</v>
      </c>
      <c r="F90" s="503"/>
      <c r="G90" s="503"/>
      <c r="H90" s="503"/>
      <c r="I90" s="503"/>
      <c r="J90" s="503"/>
      <c r="K90" s="503"/>
      <c r="L90" s="503"/>
      <c r="M90" s="503"/>
      <c r="N90" s="503"/>
      <c r="O90" s="503"/>
      <c r="P90" s="503"/>
      <c r="Q90" s="503"/>
      <c r="R90" s="503"/>
      <c r="S90" s="503"/>
      <c r="T90" s="503"/>
      <c r="U90" s="503"/>
      <c r="V90" s="503"/>
      <c r="W90" s="503"/>
      <c r="X90" s="503"/>
      <c r="Y90" s="503"/>
      <c r="Z90" s="503"/>
      <c r="AA90" s="503"/>
      <c r="AB90" s="503"/>
      <c r="AC90" s="50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  <c r="AN90" s="194"/>
      <c r="AO90" s="500" t="s">
        <v>8</v>
      </c>
      <c r="AP90" s="501"/>
      <c r="AQ90" s="502"/>
    </row>
    <row r="91" spans="2:46" hidden="1" outlineLevel="1" x14ac:dyDescent="0.25">
      <c r="D91" s="22" t="s">
        <v>16</v>
      </c>
      <c r="E91" s="23">
        <f>E$4</f>
        <v>44562</v>
      </c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>
        <f t="shared" ref="R91:AC91" si="90">R$4</f>
        <v>44958</v>
      </c>
      <c r="S91" s="23">
        <f t="shared" si="90"/>
        <v>44986</v>
      </c>
      <c r="T91" s="23">
        <f t="shared" si="90"/>
        <v>45017</v>
      </c>
      <c r="U91" s="23">
        <f t="shared" si="90"/>
        <v>45047</v>
      </c>
      <c r="V91" s="23">
        <f t="shared" si="90"/>
        <v>45078</v>
      </c>
      <c r="W91" s="23">
        <f t="shared" si="90"/>
        <v>45108</v>
      </c>
      <c r="X91" s="23">
        <f t="shared" si="90"/>
        <v>45139</v>
      </c>
      <c r="Y91" s="23">
        <f t="shared" si="90"/>
        <v>45170</v>
      </c>
      <c r="Z91" s="23">
        <f t="shared" si="90"/>
        <v>45200</v>
      </c>
      <c r="AA91" s="23">
        <f t="shared" si="90"/>
        <v>45231</v>
      </c>
      <c r="AB91" s="23">
        <f t="shared" si="90"/>
        <v>45261</v>
      </c>
      <c r="AC91" s="24">
        <f t="shared" si="90"/>
        <v>45292</v>
      </c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8" t="s">
        <v>9</v>
      </c>
      <c r="AP91" s="29" t="s">
        <v>10</v>
      </c>
    </row>
    <row r="92" spans="2:46" ht="15.75" hidden="1" outlineLevel="1" x14ac:dyDescent="0.25">
      <c r="B92" t="str">
        <f>$D$2</f>
        <v>PC Annual Direct</v>
      </c>
      <c r="C92" t="s">
        <v>73</v>
      </c>
      <c r="D92" s="5" t="s">
        <v>308</v>
      </c>
      <c r="E92" s="6">
        <v>2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>
        <v>2242</v>
      </c>
      <c r="S92" s="6">
        <v>2478</v>
      </c>
      <c r="T92" s="6">
        <v>2183</v>
      </c>
      <c r="U92" s="6">
        <v>2872</v>
      </c>
      <c r="V92" s="6">
        <v>1836</v>
      </c>
      <c r="W92" s="6">
        <v>1791</v>
      </c>
      <c r="X92" s="6">
        <v>1999</v>
      </c>
      <c r="Y92" s="6">
        <v>2026</v>
      </c>
      <c r="Z92" s="6">
        <v>3086</v>
      </c>
      <c r="AA92" s="6">
        <v>3887</v>
      </c>
      <c r="AB92" s="6">
        <v>3367</v>
      </c>
      <c r="AC92" s="7">
        <v>2792</v>
      </c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8">
        <f t="shared" ref="AO92:AO97" si="91">AVERAGE(Z92:AC92)</f>
        <v>3283</v>
      </c>
      <c r="AP92" s="6">
        <f>AVERAGE(R92:AC92)</f>
        <v>2546.5833333333335</v>
      </c>
      <c r="AR92" t="s">
        <v>314</v>
      </c>
    </row>
    <row r="93" spans="2:46" ht="15.75" hidden="1" outlineLevel="1" x14ac:dyDescent="0.25">
      <c r="B93" t="str">
        <f>$D$89&amp;"_W VYRs"</f>
        <v>PC Annual Direct - Subscription_W VYRs</v>
      </c>
      <c r="C93" t="str">
        <f>$C92</f>
        <v>Boom Subscription</v>
      </c>
      <c r="D93" s="175" t="s">
        <v>4</v>
      </c>
      <c r="E93" s="176" t="e">
        <f>INDEX('Plan Figures'!$B$94:$AP$120,MATCH('Current - MGA only'!E$4,'Plan Figures'!$B$94:$B$120,0),MATCH('Current - MGA only'!$B93,'Plan Figures'!$B$1:$AP$1,0))</f>
        <v>#N/A</v>
      </c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 t="str">
        <f ca="1">INDEX('Plan Figures'!$B$94:$AP$120,MATCH('Current - MGA only'!R$4,'Plan Figures'!$B$94:$B$120,0),MATCH('Current - MGA only'!$B93,'Plan Figures'!$B$1:$AP$1,0))</f>
        <v>-</v>
      </c>
      <c r="S93" s="176" t="str">
        <f ca="1">INDEX('Plan Figures'!$B$94:$AP$120,MATCH('Current - MGA only'!S$4,'Plan Figures'!$B$94:$B$120,0),MATCH('Current - MGA only'!$B93,'Plan Figures'!$B$1:$AP$1,0))</f>
        <v>-</v>
      </c>
      <c r="T93" s="176" t="str">
        <f ca="1">INDEX('Plan Figures'!$B$94:$AP$120,MATCH('Current - MGA only'!T$4,'Plan Figures'!$B$94:$B$120,0),MATCH('Current - MGA only'!$B93,'Plan Figures'!$B$1:$AP$1,0))</f>
        <v>-</v>
      </c>
      <c r="U93" s="176" t="str">
        <f ca="1">INDEX('Plan Figures'!$B$94:$AP$120,MATCH('Current - MGA only'!U$4,'Plan Figures'!$B$94:$B$120,0),MATCH('Current - MGA only'!$B93,'Plan Figures'!$B$1:$AP$1,0))</f>
        <v>-</v>
      </c>
      <c r="V93" s="176" t="str">
        <f ca="1">INDEX('Plan Figures'!$B$94:$AP$120,MATCH('Current - MGA only'!V$4,'Plan Figures'!$B$94:$B$120,0),MATCH('Current - MGA only'!$B93,'Plan Figures'!$B$1:$AP$1,0))</f>
        <v>-</v>
      </c>
      <c r="W93" s="176" t="str">
        <f ca="1">INDEX('Plan Figures'!$B$94:$AP$120,MATCH('Current - MGA only'!W$4,'Plan Figures'!$B$94:$B$120,0),MATCH('Current - MGA only'!$B93,'Plan Figures'!$B$1:$AP$1,0))</f>
        <v>-</v>
      </c>
      <c r="X93" s="176" t="str">
        <f ca="1">INDEX('Plan Figures'!$B$94:$AP$120,MATCH('Current - MGA only'!X$4,'Plan Figures'!$B$94:$B$120,0),MATCH('Current - MGA only'!$B93,'Plan Figures'!$B$1:$AP$1,0))</f>
        <v>-</v>
      </c>
      <c r="Y93" s="176" t="str">
        <f ca="1">INDEX('Plan Figures'!$B$94:$AP$120,MATCH('Current - MGA only'!Y$4,'Plan Figures'!$B$94:$B$120,0),MATCH('Current - MGA only'!$B93,'Plan Figures'!$B$1:$AP$1,0))</f>
        <v>-</v>
      </c>
      <c r="Z93" s="176" t="str">
        <f ca="1">INDEX('Plan Figures'!$B$94:$AP$120,MATCH('Current - MGA only'!Z$4,'Plan Figures'!$B$94:$B$120,0),MATCH('Current - MGA only'!$B93,'Plan Figures'!$B$1:$AP$1,0))</f>
        <v>-</v>
      </c>
      <c r="AA93" s="176">
        <f ca="1">INDEX('Plan Figures'!$B$94:$AP$120,MATCH('Current - MGA only'!AA$4,'Plan Figures'!$B$94:$B$120,0),MATCH('Current - MGA only'!$B93,'Plan Figures'!$B$1:$AP$1,0))</f>
        <v>615.93307879093663</v>
      </c>
      <c r="AB93" s="176">
        <f ca="1">INDEX('Plan Figures'!$B$94:$AP$120,MATCH('Current - MGA only'!AB$4,'Plan Figures'!$B$94:$B$120,0),MATCH('Current - MGA only'!$B93,'Plan Figures'!$B$1:$AP$1,0))</f>
        <v>763.72800510730349</v>
      </c>
      <c r="AC93" s="177">
        <f ca="1">INDEX('Plan Figures'!$B$94:$AP$120,MATCH('Current - MGA only'!AC$4,'Plan Figures'!$B$94:$B$120,0),MATCH('Current - MGA only'!$B93,'Plan Figures'!$B$1:$AP$1,0))</f>
        <v>833.27735263273371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8">
        <f t="shared" ca="1" si="91"/>
        <v>737.64614551032457</v>
      </c>
      <c r="AP93" s="176">
        <f t="shared" ref="AP93:AP97" ca="1" si="92">AVERAGE(R93:AC93)</f>
        <v>737.64614551032457</v>
      </c>
    </row>
    <row r="94" spans="2:46" ht="15.75" hidden="1" outlineLevel="1" x14ac:dyDescent="0.25">
      <c r="B94" t="str">
        <f t="shared" ref="B94:B103" si="93">$D$2</f>
        <v>PC Annual Direct</v>
      </c>
      <c r="C94" t="str">
        <f t="shared" ref="C94:C102" si="94">$C93</f>
        <v>Boom Subscription</v>
      </c>
      <c r="D94" s="179" t="s">
        <v>0</v>
      </c>
      <c r="E94" s="180" t="e">
        <f t="shared" ref="E94:AC94" si="95">E92-E93</f>
        <v>#N/A</v>
      </c>
      <c r="F94" s="180"/>
      <c r="G94" s="180"/>
      <c r="H94" s="180"/>
      <c r="I94" s="180"/>
      <c r="J94" s="180"/>
      <c r="K94" s="180"/>
      <c r="L94" s="180"/>
      <c r="M94" s="180"/>
      <c r="N94" s="180"/>
      <c r="O94" s="180"/>
      <c r="P94" s="180"/>
      <c r="Q94" s="180"/>
      <c r="R94" s="180" t="e">
        <f t="shared" ca="1" si="95"/>
        <v>#VALUE!</v>
      </c>
      <c r="S94" s="180" t="e">
        <f t="shared" ca="1" si="95"/>
        <v>#VALUE!</v>
      </c>
      <c r="T94" s="180" t="e">
        <f t="shared" ca="1" si="95"/>
        <v>#VALUE!</v>
      </c>
      <c r="U94" s="180" t="e">
        <f t="shared" ca="1" si="95"/>
        <v>#VALUE!</v>
      </c>
      <c r="V94" s="180" t="e">
        <f t="shared" ca="1" si="95"/>
        <v>#VALUE!</v>
      </c>
      <c r="W94" s="180" t="e">
        <f t="shared" ca="1" si="95"/>
        <v>#VALUE!</v>
      </c>
      <c r="X94" s="180" t="e">
        <f t="shared" ca="1" si="95"/>
        <v>#VALUE!</v>
      </c>
      <c r="Y94" s="180" t="e">
        <f t="shared" ca="1" si="95"/>
        <v>#VALUE!</v>
      </c>
      <c r="Z94" s="180" t="e">
        <f t="shared" ca="1" si="95"/>
        <v>#VALUE!</v>
      </c>
      <c r="AA94" s="180">
        <f t="shared" ca="1" si="95"/>
        <v>3271.0669212090634</v>
      </c>
      <c r="AB94" s="180">
        <f t="shared" ca="1" si="95"/>
        <v>2603.2719948926965</v>
      </c>
      <c r="AC94" s="181">
        <f t="shared" ca="1" si="95"/>
        <v>1958.7226473672663</v>
      </c>
      <c r="AD94" s="180"/>
      <c r="AE94" s="180"/>
      <c r="AF94" s="180"/>
      <c r="AG94" s="180"/>
      <c r="AH94" s="180"/>
      <c r="AI94" s="180"/>
      <c r="AJ94" s="180"/>
      <c r="AK94" s="180"/>
      <c r="AL94" s="180"/>
      <c r="AM94" s="180"/>
      <c r="AN94" s="180"/>
      <c r="AO94" s="182" t="e">
        <f t="shared" ca="1" si="91"/>
        <v>#VALUE!</v>
      </c>
      <c r="AP94" s="180" t="e">
        <f t="shared" ca="1" si="92"/>
        <v>#VALUE!</v>
      </c>
    </row>
    <row r="95" spans="2:46" ht="15.75" hidden="1" outlineLevel="1" x14ac:dyDescent="0.25">
      <c r="B95" t="str">
        <f t="shared" si="93"/>
        <v>PC Annual Direct</v>
      </c>
      <c r="C95" t="str">
        <f t="shared" si="94"/>
        <v>Boom Subscription</v>
      </c>
      <c r="D95" s="9" t="s">
        <v>309</v>
      </c>
      <c r="E95" s="15">
        <v>0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>
        <v>5065071.1928567188</v>
      </c>
      <c r="S95" s="15">
        <v>2602918.5557175679</v>
      </c>
      <c r="T95" s="15">
        <v>3058793.5714276335</v>
      </c>
      <c r="U95" s="15">
        <v>3629516.5942827086</v>
      </c>
      <c r="V95" s="15">
        <v>2884434.6771383779</v>
      </c>
      <c r="W95" s="15">
        <v>2912157.9642843842</v>
      </c>
      <c r="X95" s="15">
        <v>3523662.750002387</v>
      </c>
      <c r="Y95" s="15">
        <v>4105968.3728598249</v>
      </c>
      <c r="Z95" s="15">
        <v>5391594.0471423389</v>
      </c>
      <c r="AA95" s="15">
        <v>7273466.7214334616</v>
      </c>
      <c r="AB95" s="15">
        <v>5434775.6699983915</v>
      </c>
      <c r="AC95" s="16">
        <v>639832.0371454074</v>
      </c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8">
        <f t="shared" si="91"/>
        <v>4684917.1189298993</v>
      </c>
      <c r="AP95" s="6">
        <f t="shared" si="92"/>
        <v>3876849.3461907669</v>
      </c>
    </row>
    <row r="96" spans="2:46" ht="15.75" hidden="1" outlineLevel="1" x14ac:dyDescent="0.25">
      <c r="B96" t="str">
        <f>$D$89&amp;"_NWP"</f>
        <v>PC Annual Direct - Subscription_NWP</v>
      </c>
      <c r="C96" t="str">
        <f t="shared" si="94"/>
        <v>Boom Subscription</v>
      </c>
      <c r="D96" s="175" t="s">
        <v>6</v>
      </c>
      <c r="E96" s="176" t="e">
        <f>INDEX('Plan Figures'!$B$94:$AP$120,MATCH('Current - MGA only'!E$4,'Plan Figures'!$B$94:$B$120,0),MATCH('Current - MGA only'!$B96,'Plan Figures'!$B$1:$AP$1,0))</f>
        <v>#N/A</v>
      </c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 t="str">
        <f ca="1">INDEX('Plan Figures'!$B$94:$AP$120,MATCH('Current - MGA only'!R$4,'Plan Figures'!$B$94:$B$120,0),MATCH('Current - MGA only'!$B96,'Plan Figures'!$B$1:$AP$1,0))</f>
        <v>-</v>
      </c>
      <c r="S96" s="176" t="str">
        <f ca="1">INDEX('Plan Figures'!$B$94:$AP$120,MATCH('Current - MGA only'!S$4,'Plan Figures'!$B$94:$B$120,0),MATCH('Current - MGA only'!$B96,'Plan Figures'!$B$1:$AP$1,0))</f>
        <v>-</v>
      </c>
      <c r="T96" s="176" t="str">
        <f ca="1">INDEX('Plan Figures'!$B$94:$AP$120,MATCH('Current - MGA only'!T$4,'Plan Figures'!$B$94:$B$120,0),MATCH('Current - MGA only'!$B96,'Plan Figures'!$B$1:$AP$1,0))</f>
        <v>-</v>
      </c>
      <c r="U96" s="176" t="str">
        <f ca="1">INDEX('Plan Figures'!$B$94:$AP$120,MATCH('Current - MGA only'!U$4,'Plan Figures'!$B$94:$B$120,0),MATCH('Current - MGA only'!$B96,'Plan Figures'!$B$1:$AP$1,0))</f>
        <v>-</v>
      </c>
      <c r="V96" s="176" t="str">
        <f ca="1">INDEX('Plan Figures'!$B$94:$AP$120,MATCH('Current - MGA only'!V$4,'Plan Figures'!$B$94:$B$120,0),MATCH('Current - MGA only'!$B96,'Plan Figures'!$B$1:$AP$1,0))</f>
        <v>-</v>
      </c>
      <c r="W96" s="176" t="str">
        <f ca="1">INDEX('Plan Figures'!$B$94:$AP$120,MATCH('Current - MGA only'!W$4,'Plan Figures'!$B$94:$B$120,0),MATCH('Current - MGA only'!$B96,'Plan Figures'!$B$1:$AP$1,0))</f>
        <v>-</v>
      </c>
      <c r="X96" s="176" t="str">
        <f ca="1">INDEX('Plan Figures'!$B$94:$AP$120,MATCH('Current - MGA only'!X$4,'Plan Figures'!$B$94:$B$120,0),MATCH('Current - MGA only'!$B96,'Plan Figures'!$B$1:$AP$1,0))</f>
        <v>-</v>
      </c>
      <c r="Y96" s="176" t="str">
        <f ca="1">INDEX('Plan Figures'!$B$94:$AP$120,MATCH('Current - MGA only'!Y$4,'Plan Figures'!$B$94:$B$120,0),MATCH('Current - MGA only'!$B96,'Plan Figures'!$B$1:$AP$1,0))</f>
        <v>-</v>
      </c>
      <c r="Z96" s="176" t="str">
        <f ca="1">INDEX('Plan Figures'!$B$94:$AP$120,MATCH('Current - MGA only'!Z$4,'Plan Figures'!$B$94:$B$120,0),MATCH('Current - MGA only'!$B96,'Plan Figures'!$B$1:$AP$1,0))</f>
        <v>-</v>
      </c>
      <c r="AA96" s="176">
        <f ca="1">INDEX('Plan Figures'!$B$94:$AP$120,MATCH('Current - MGA only'!AA$4,'Plan Figures'!$B$94:$B$120,0),MATCH('Current - MGA only'!$B96,'Plan Figures'!$B$1:$AP$1,0))</f>
        <v>1811220.2312349698</v>
      </c>
      <c r="AB96" s="176">
        <f ca="1">INDEX('Plan Figures'!$B$94:$AP$120,MATCH('Current - MGA only'!AB$4,'Plan Figures'!$B$94:$B$120,0),MATCH('Current - MGA only'!$B96,'Plan Figures'!$B$1:$AP$1,0))</f>
        <v>1916096.3475731572</v>
      </c>
      <c r="AC96" s="177">
        <f ca="1">INDEX('Plan Figures'!$B$94:$AP$120,MATCH('Current - MGA only'!AC$4,'Plan Figures'!$B$94:$B$120,0),MATCH('Current - MGA only'!$B96,'Plan Figures'!$B$1:$AP$1,0))</f>
        <v>2026245.4879278806</v>
      </c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8">
        <f t="shared" ca="1" si="91"/>
        <v>1917854.0222453356</v>
      </c>
      <c r="AP96" s="176">
        <f t="shared" ca="1" si="92"/>
        <v>1917854.0222453356</v>
      </c>
    </row>
    <row r="97" spans="2:44" ht="15.75" hidden="1" outlineLevel="1" x14ac:dyDescent="0.25">
      <c r="B97" t="str">
        <f t="shared" si="93"/>
        <v>PC Annual Direct</v>
      </c>
      <c r="C97" t="str">
        <f t="shared" si="94"/>
        <v>Boom Subscription</v>
      </c>
      <c r="D97" s="179" t="s">
        <v>0</v>
      </c>
      <c r="E97" s="180" t="e">
        <f t="shared" ref="E97:AC97" si="96">E95-E96</f>
        <v>#N/A</v>
      </c>
      <c r="F97" s="180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 t="e">
        <f t="shared" ca="1" si="96"/>
        <v>#VALUE!</v>
      </c>
      <c r="S97" s="180" t="e">
        <f t="shared" ca="1" si="96"/>
        <v>#VALUE!</v>
      </c>
      <c r="T97" s="180" t="e">
        <f t="shared" ca="1" si="96"/>
        <v>#VALUE!</v>
      </c>
      <c r="U97" s="180" t="e">
        <f t="shared" ca="1" si="96"/>
        <v>#VALUE!</v>
      </c>
      <c r="V97" s="180" t="e">
        <f t="shared" ca="1" si="96"/>
        <v>#VALUE!</v>
      </c>
      <c r="W97" s="180" t="e">
        <f t="shared" ca="1" si="96"/>
        <v>#VALUE!</v>
      </c>
      <c r="X97" s="180" t="e">
        <f t="shared" ca="1" si="96"/>
        <v>#VALUE!</v>
      </c>
      <c r="Y97" s="180" t="e">
        <f t="shared" ca="1" si="96"/>
        <v>#VALUE!</v>
      </c>
      <c r="Z97" s="180" t="e">
        <f t="shared" ca="1" si="96"/>
        <v>#VALUE!</v>
      </c>
      <c r="AA97" s="180">
        <f t="shared" ca="1" si="96"/>
        <v>5462246.4901984921</v>
      </c>
      <c r="AB97" s="180">
        <f t="shared" ca="1" si="96"/>
        <v>3518679.3224252341</v>
      </c>
      <c r="AC97" s="181">
        <f t="shared" ca="1" si="96"/>
        <v>-1386413.4507824732</v>
      </c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2" t="e">
        <f t="shared" ca="1" si="91"/>
        <v>#VALUE!</v>
      </c>
      <c r="AP97" s="180" t="e">
        <f t="shared" ca="1" si="92"/>
        <v>#VALUE!</v>
      </c>
    </row>
    <row r="98" spans="2:44" ht="15.75" hidden="1" outlineLevel="1" x14ac:dyDescent="0.25">
      <c r="B98" t="str">
        <f t="shared" si="93"/>
        <v>PC Annual Direct</v>
      </c>
      <c r="C98" t="str">
        <f t="shared" si="94"/>
        <v>Boom Subscription</v>
      </c>
      <c r="D98" s="9" t="s">
        <v>310</v>
      </c>
      <c r="E98" s="15">
        <f>IFERROR(E95/E92,0)</f>
        <v>0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>
        <f t="shared" ref="R98:AP99" si="97">IFERROR(R95/R92,0)</f>
        <v>2259.1753759396606</v>
      </c>
      <c r="S98" s="15">
        <f t="shared" si="97"/>
        <v>1050.4110394340469</v>
      </c>
      <c r="T98" s="15">
        <f t="shared" si="97"/>
        <v>1401.1880766961217</v>
      </c>
      <c r="U98" s="15">
        <f t="shared" si="97"/>
        <v>1263.7592598477397</v>
      </c>
      <c r="V98" s="15">
        <f t="shared" si="97"/>
        <v>1571.0428524718834</v>
      </c>
      <c r="W98" s="15">
        <f t="shared" si="97"/>
        <v>1625.9955132799464</v>
      </c>
      <c r="X98" s="15">
        <f t="shared" si="97"/>
        <v>1762.7127313668768</v>
      </c>
      <c r="Y98" s="15">
        <f t="shared" si="97"/>
        <v>2026.6378938103776</v>
      </c>
      <c r="Z98" s="15">
        <f t="shared" si="97"/>
        <v>1747.114078788833</v>
      </c>
      <c r="AA98" s="15">
        <f t="shared" si="97"/>
        <v>1871.2288966898539</v>
      </c>
      <c r="AB98" s="15">
        <f t="shared" si="97"/>
        <v>1614.1299881195105</v>
      </c>
      <c r="AC98" s="16">
        <f t="shared" si="97"/>
        <v>229.16620241597687</v>
      </c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8">
        <f t="shared" si="97"/>
        <v>1427.023185784313</v>
      </c>
      <c r="AP98" s="6">
        <f t="shared" si="97"/>
        <v>1522.3728575637031</v>
      </c>
    </row>
    <row r="99" spans="2:44" ht="15.75" hidden="1" outlineLevel="1" x14ac:dyDescent="0.25">
      <c r="B99" t="str">
        <f t="shared" si="93"/>
        <v>PC Annual Direct</v>
      </c>
      <c r="C99" t="str">
        <f t="shared" si="94"/>
        <v>Boom Subscription</v>
      </c>
      <c r="D99" s="175" t="s">
        <v>13</v>
      </c>
      <c r="E99" s="176">
        <f>IFERROR(E96/E93,0)</f>
        <v>0</v>
      </c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>
        <f t="shared" ca="1" si="97"/>
        <v>0</v>
      </c>
      <c r="S99" s="176">
        <f t="shared" ca="1" si="97"/>
        <v>0</v>
      </c>
      <c r="T99" s="176">
        <f t="shared" ca="1" si="97"/>
        <v>0</v>
      </c>
      <c r="U99" s="176">
        <f t="shared" ca="1" si="97"/>
        <v>0</v>
      </c>
      <c r="V99" s="176">
        <f t="shared" ca="1" si="97"/>
        <v>0</v>
      </c>
      <c r="W99" s="176">
        <f t="shared" ca="1" si="97"/>
        <v>0</v>
      </c>
      <c r="X99" s="176">
        <f t="shared" ca="1" si="97"/>
        <v>0</v>
      </c>
      <c r="Y99" s="176">
        <f t="shared" ca="1" si="97"/>
        <v>0</v>
      </c>
      <c r="Z99" s="176">
        <f t="shared" ca="1" si="97"/>
        <v>0</v>
      </c>
      <c r="AA99" s="176">
        <f t="shared" ca="1" si="97"/>
        <v>2940.6120463449633</v>
      </c>
      <c r="AB99" s="176">
        <f t="shared" ca="1" si="97"/>
        <v>2508.8727069841393</v>
      </c>
      <c r="AC99" s="177">
        <f t="shared" ca="1" si="97"/>
        <v>2431.6579366113488</v>
      </c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8">
        <f t="shared" ca="1" si="97"/>
        <v>2599.9648122861263</v>
      </c>
      <c r="AP99" s="176">
        <f t="shared" ca="1" si="97"/>
        <v>2599.9648122861263</v>
      </c>
      <c r="AQ99" s="3"/>
      <c r="AR99" s="3"/>
    </row>
    <row r="100" spans="2:44" ht="15.75" hidden="1" outlineLevel="1" x14ac:dyDescent="0.25">
      <c r="B100" t="str">
        <f t="shared" si="93"/>
        <v>PC Annual Direct</v>
      </c>
      <c r="C100" t="str">
        <f t="shared" si="94"/>
        <v>Boom Subscription</v>
      </c>
      <c r="D100" s="179" t="s">
        <v>0</v>
      </c>
      <c r="E100" s="180">
        <f t="shared" ref="E100:AP100" si="98">E98-E99</f>
        <v>0</v>
      </c>
      <c r="F100" s="180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>
        <f t="shared" ca="1" si="98"/>
        <v>2259.1753759396606</v>
      </c>
      <c r="S100" s="180">
        <f t="shared" ca="1" si="98"/>
        <v>1050.4110394340469</v>
      </c>
      <c r="T100" s="180">
        <f t="shared" ca="1" si="98"/>
        <v>1401.1880766961217</v>
      </c>
      <c r="U100" s="180">
        <f t="shared" ca="1" si="98"/>
        <v>1263.7592598477397</v>
      </c>
      <c r="V100" s="180">
        <f t="shared" ca="1" si="98"/>
        <v>1571.0428524718834</v>
      </c>
      <c r="W100" s="180">
        <f t="shared" ca="1" si="98"/>
        <v>1625.9955132799464</v>
      </c>
      <c r="X100" s="180">
        <f t="shared" ca="1" si="98"/>
        <v>1762.7127313668768</v>
      </c>
      <c r="Y100" s="180">
        <f t="shared" ca="1" si="98"/>
        <v>2026.6378938103776</v>
      </c>
      <c r="Z100" s="180">
        <f t="shared" ca="1" si="98"/>
        <v>1747.114078788833</v>
      </c>
      <c r="AA100" s="180">
        <f t="shared" ca="1" si="98"/>
        <v>-1069.3831496551095</v>
      </c>
      <c r="AB100" s="180">
        <f t="shared" ca="1" si="98"/>
        <v>-894.74271886462884</v>
      </c>
      <c r="AC100" s="181">
        <f t="shared" ca="1" si="98"/>
        <v>-2202.4917341953719</v>
      </c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2">
        <f t="shared" ca="1" si="98"/>
        <v>-1172.9416265018133</v>
      </c>
      <c r="AP100" s="180">
        <f t="shared" ca="1" si="98"/>
        <v>-1077.5919547224232</v>
      </c>
    </row>
    <row r="101" spans="2:44" hidden="1" outlineLevel="1" x14ac:dyDescent="0.25">
      <c r="B101" t="str">
        <f t="shared" si="93"/>
        <v>PC Annual Direct</v>
      </c>
      <c r="C101" t="str">
        <f t="shared" si="94"/>
        <v>Boom Subscription</v>
      </c>
      <c r="D101" s="35" t="s">
        <v>17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7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8"/>
      <c r="AP101" s="39"/>
    </row>
    <row r="102" spans="2:44" ht="15.75" hidden="1" outlineLevel="1" x14ac:dyDescent="0.25">
      <c r="B102" t="str">
        <f t="shared" si="93"/>
        <v>PC Annual Direct</v>
      </c>
      <c r="C102" t="str">
        <f t="shared" si="94"/>
        <v>Boom Subscription</v>
      </c>
      <c r="D102" s="5" t="s">
        <v>311</v>
      </c>
      <c r="E102" s="6">
        <v>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>
        <v>2134583.1964307697</v>
      </c>
      <c r="S102" s="6">
        <v>2096692.0178588463</v>
      </c>
      <c r="T102" s="6">
        <v>1957264.2857113734</v>
      </c>
      <c r="U102" s="6">
        <v>2579980.8392826831</v>
      </c>
      <c r="V102" s="6">
        <v>2283188.6785669695</v>
      </c>
      <c r="W102" s="6">
        <v>2643649.982142264</v>
      </c>
      <c r="X102" s="6">
        <v>3053209.8750027283</v>
      </c>
      <c r="Y102" s="6">
        <v>3182200.4464298943</v>
      </c>
      <c r="Z102" s="6">
        <v>4370840.3035705909</v>
      </c>
      <c r="AA102" s="6">
        <v>5225971.6607123222</v>
      </c>
      <c r="AB102" s="6">
        <v>4614303.3749993565</v>
      </c>
      <c r="AC102" s="6">
        <v>3740102.6785750035</v>
      </c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8">
        <f t="shared" ref="AO102" si="99">AVERAGE(Z102:AC102)</f>
        <v>4487804.504464319</v>
      </c>
      <c r="AP102" s="6">
        <f>AVERAGE(R102:AC102)</f>
        <v>3156832.2782735671</v>
      </c>
    </row>
    <row r="103" spans="2:44" ht="15.75" hidden="1" outlineLevel="1" x14ac:dyDescent="0.25">
      <c r="B103" t="str">
        <f t="shared" si="93"/>
        <v>PC Annual Direct</v>
      </c>
      <c r="C103" t="e">
        <f>#REF!</f>
        <v>#REF!</v>
      </c>
      <c r="D103" s="45" t="s">
        <v>21</v>
      </c>
      <c r="E103" s="41">
        <f>E95/E$8</f>
        <v>0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>
        <f t="shared" ref="R103:AP103" si="100">R95/R$8</f>
        <v>2.2946809205306251</v>
      </c>
      <c r="S103" s="41">
        <f t="shared" si="100"/>
        <v>1.1004262861170548</v>
      </c>
      <c r="T103" s="41">
        <f t="shared" si="100"/>
        <v>1.4457225706365664</v>
      </c>
      <c r="U103" s="41">
        <f t="shared" si="100"/>
        <v>1.5176333342540094</v>
      </c>
      <c r="V103" s="41">
        <f t="shared" si="100"/>
        <v>2.6765755339632484</v>
      </c>
      <c r="W103" s="41">
        <f t="shared" si="100"/>
        <v>2.706891179166675</v>
      </c>
      <c r="X103" s="41">
        <f t="shared" si="100"/>
        <v>3.551166551430482</v>
      </c>
      <c r="Y103" s="41">
        <f t="shared" si="100"/>
        <v>5.0047788627624676</v>
      </c>
      <c r="Z103" s="41">
        <f t="shared" si="100"/>
        <v>7.6170542725986623</v>
      </c>
      <c r="AA103" s="41">
        <f t="shared" si="100"/>
        <v>13.779643455930938</v>
      </c>
      <c r="AB103" s="41">
        <f t="shared" si="100"/>
        <v>12.353889821071391</v>
      </c>
      <c r="AC103" s="41">
        <f t="shared" si="100"/>
        <v>1.8693493802519465</v>
      </c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4">
        <f t="shared" si="100"/>
        <v>9.286843109020662</v>
      </c>
      <c r="AP103" s="41">
        <f t="shared" si="100"/>
        <v>3.088297088770056</v>
      </c>
    </row>
    <row r="104" spans="2:44" hidden="1" outlineLevel="1" x14ac:dyDescent="0.25"/>
  </sheetData>
  <mergeCells count="8">
    <mergeCell ref="E90:AC90"/>
    <mergeCell ref="AO90:AQ90"/>
    <mergeCell ref="AO3:AQ3"/>
    <mergeCell ref="AO22:AQ22"/>
    <mergeCell ref="AO39:AQ39"/>
    <mergeCell ref="AO56:AQ56"/>
    <mergeCell ref="AO73:AQ73"/>
    <mergeCell ref="T89:AC89"/>
  </mergeCells>
  <conditionalFormatting sqref="E16:AN16 E70:AP71">
    <cfRule type="cellIs" dxfId="266" priority="21" operator="lessThan">
      <formula>0</formula>
    </cfRule>
  </conditionalFormatting>
  <conditionalFormatting sqref="E18:AN18">
    <cfRule type="cellIs" dxfId="265" priority="20" operator="lessThan">
      <formula>0</formula>
    </cfRule>
  </conditionalFormatting>
  <conditionalFormatting sqref="E32:AN32">
    <cfRule type="cellIs" dxfId="264" priority="19" operator="lessThan">
      <formula>0</formula>
    </cfRule>
  </conditionalFormatting>
  <conditionalFormatting sqref="E49:AN49">
    <cfRule type="cellIs" dxfId="263" priority="8" operator="lessThan">
      <formula>0</formula>
    </cfRule>
  </conditionalFormatting>
  <conditionalFormatting sqref="E66:AN66">
    <cfRule type="cellIs" dxfId="262" priority="4" operator="lessThan">
      <formula>0</formula>
    </cfRule>
  </conditionalFormatting>
  <conditionalFormatting sqref="E83:AN83">
    <cfRule type="cellIs" dxfId="261" priority="12" operator="lessThan">
      <formula>0</formula>
    </cfRule>
  </conditionalFormatting>
  <conditionalFormatting sqref="E94:AN95 E97:AN100">
    <cfRule type="cellIs" dxfId="260" priority="25" operator="lessThan">
      <formula>0</formula>
    </cfRule>
  </conditionalFormatting>
  <conditionalFormatting sqref="E102:AN102">
    <cfRule type="cellIs" dxfId="259" priority="23" operator="lessThan">
      <formula>0</formula>
    </cfRule>
  </conditionalFormatting>
  <conditionalFormatting sqref="E36:AP37 E53:AP54">
    <cfRule type="cellIs" dxfId="258" priority="22" operator="lessThan">
      <formula>0</formula>
    </cfRule>
  </conditionalFormatting>
  <conditionalFormatting sqref="E7:AQ7">
    <cfRule type="cellIs" dxfId="257" priority="18" operator="lessThan">
      <formula>0</formula>
    </cfRule>
  </conditionalFormatting>
  <conditionalFormatting sqref="E10:AQ10 E13:AQ13">
    <cfRule type="cellIs" dxfId="256" priority="17" operator="lessThan">
      <formula>0</formula>
    </cfRule>
  </conditionalFormatting>
  <conditionalFormatting sqref="E26:AQ26">
    <cfRule type="cellIs" dxfId="255" priority="15" operator="lessThan">
      <formula>0</formula>
    </cfRule>
  </conditionalFormatting>
  <conditionalFormatting sqref="E29:AQ29">
    <cfRule type="cellIs" dxfId="254" priority="14" operator="lessThan">
      <formula>0</formula>
    </cfRule>
  </conditionalFormatting>
  <conditionalFormatting sqref="E43:AQ43">
    <cfRule type="cellIs" dxfId="253" priority="7" operator="lessThan">
      <formula>0</formula>
    </cfRule>
  </conditionalFormatting>
  <conditionalFormatting sqref="E46:AQ46">
    <cfRule type="cellIs" dxfId="252" priority="6" operator="lessThan">
      <formula>0</formula>
    </cfRule>
  </conditionalFormatting>
  <conditionalFormatting sqref="E60:AQ60">
    <cfRule type="cellIs" dxfId="251" priority="3" operator="lessThan">
      <formula>0</formula>
    </cfRule>
  </conditionalFormatting>
  <conditionalFormatting sqref="E63:AQ63">
    <cfRule type="cellIs" dxfId="250" priority="2" operator="lessThan">
      <formula>0</formula>
    </cfRule>
  </conditionalFormatting>
  <conditionalFormatting sqref="E77:AQ77">
    <cfRule type="cellIs" dxfId="249" priority="11" operator="lessThan">
      <formula>0</formula>
    </cfRule>
  </conditionalFormatting>
  <conditionalFormatting sqref="E80:AQ80">
    <cfRule type="cellIs" dxfId="248" priority="10" operator="lessThan">
      <formula>0</formula>
    </cfRule>
  </conditionalFormatting>
  <conditionalFormatting sqref="AO94:AP94 AO97:AP97 AO100:AP101">
    <cfRule type="cellIs" dxfId="247" priority="24" operator="lessThan">
      <formula>0</formula>
    </cfRule>
  </conditionalFormatting>
  <conditionalFormatting sqref="AO16:AQ17">
    <cfRule type="cellIs" dxfId="246" priority="16" operator="lessThan">
      <formula>0</formula>
    </cfRule>
  </conditionalFormatting>
  <conditionalFormatting sqref="AO32:AQ33">
    <cfRule type="cellIs" dxfId="245" priority="13" operator="lessThan">
      <formula>0</formula>
    </cfRule>
  </conditionalFormatting>
  <conditionalFormatting sqref="AO49:AQ50">
    <cfRule type="cellIs" dxfId="244" priority="5" operator="lessThan">
      <formula>0</formula>
    </cfRule>
  </conditionalFormatting>
  <conditionalFormatting sqref="AO66:AQ67">
    <cfRule type="cellIs" dxfId="243" priority="1" operator="lessThan">
      <formula>0</formula>
    </cfRule>
  </conditionalFormatting>
  <conditionalFormatting sqref="AO83:AQ84">
    <cfRule type="cellIs" dxfId="242" priority="9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A9695-5801-44DC-B6E7-A65386EE4906}">
  <sheetPr>
    <pageSetUpPr autoPageBreaks="0"/>
  </sheetPr>
  <dimension ref="B1:AT104"/>
  <sheetViews>
    <sheetView showGridLines="0" zoomScale="70" zoomScaleNormal="70" workbookViewId="0">
      <pane xSplit="4" topLeftCell="E1" activePane="topRight" state="frozen"/>
      <selection activeCell="E44" sqref="E44"/>
      <selection pane="topRight" activeCell="E44" sqref="E44"/>
    </sheetView>
  </sheetViews>
  <sheetFormatPr defaultRowHeight="15" outlineLevelRow="1" outlineLevelCol="2" x14ac:dyDescent="0.25"/>
  <cols>
    <col min="2" max="2" width="36.5703125" customWidth="1"/>
    <col min="3" max="3" width="24.28515625" customWidth="1"/>
    <col min="4" max="4" width="55.28515625" customWidth="1"/>
    <col min="5" max="16" width="16.7109375" customWidth="1" outlineLevel="2"/>
    <col min="17" max="17" width="16.7109375" customWidth="1" outlineLevel="1"/>
    <col min="18" max="26" width="13.140625" customWidth="1" outlineLevel="1"/>
    <col min="27" max="27" width="13.28515625" customWidth="1" outlineLevel="1"/>
    <col min="28" max="28" width="13.140625" customWidth="1" outlineLevel="1"/>
    <col min="29" max="29" width="13.42578125" bestFit="1" customWidth="1"/>
    <col min="30" max="40" width="13.42578125" customWidth="1"/>
    <col min="41" max="42" width="16" customWidth="1"/>
    <col min="43" max="43" width="14.7109375" customWidth="1"/>
    <col min="46" max="46" width="17.140625" bestFit="1" customWidth="1"/>
  </cols>
  <sheetData>
    <row r="1" spans="2:44" ht="15.75" thickBot="1" x14ac:dyDescent="0.3">
      <c r="D1" s="47" t="s">
        <v>319</v>
      </c>
    </row>
    <row r="2" spans="2:44" ht="18.75" x14ac:dyDescent="0.25">
      <c r="D2" s="257" t="s">
        <v>1</v>
      </c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33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33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63"/>
      <c r="AO2" s="202"/>
      <c r="AP2" s="202"/>
      <c r="AQ2" s="233"/>
    </row>
    <row r="3" spans="2:44" x14ac:dyDescent="0.25">
      <c r="D3" s="204"/>
      <c r="E3" s="303" t="s">
        <v>341</v>
      </c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17"/>
      <c r="Q3" s="320" t="s">
        <v>341</v>
      </c>
      <c r="R3" s="303"/>
      <c r="S3" s="303"/>
      <c r="T3" s="303"/>
      <c r="U3" s="303"/>
      <c r="V3" s="303"/>
      <c r="W3" s="303"/>
      <c r="X3" s="303"/>
      <c r="Y3" s="303"/>
      <c r="Z3" s="303"/>
      <c r="AA3" s="303"/>
      <c r="AB3" s="317"/>
      <c r="AC3" s="303" t="s">
        <v>341</v>
      </c>
      <c r="AD3" s="303"/>
      <c r="AE3" s="303"/>
      <c r="AF3" s="303"/>
      <c r="AG3" s="303"/>
      <c r="AH3" s="303"/>
      <c r="AI3" s="303"/>
      <c r="AJ3" s="303"/>
      <c r="AK3" s="303"/>
      <c r="AL3" s="303"/>
      <c r="AM3" s="303"/>
      <c r="AN3" s="317"/>
      <c r="AO3" s="510" t="s">
        <v>8</v>
      </c>
      <c r="AP3" s="511"/>
      <c r="AQ3" s="512"/>
    </row>
    <row r="4" spans="2:44" x14ac:dyDescent="0.25">
      <c r="D4" s="321" t="s">
        <v>16</v>
      </c>
      <c r="E4" s="318">
        <f t="shared" ref="E4:AM4" si="0">EDATE(F4,-1)</f>
        <v>44562</v>
      </c>
      <c r="F4" s="318">
        <f t="shared" si="0"/>
        <v>44593</v>
      </c>
      <c r="G4" s="318">
        <f t="shared" si="0"/>
        <v>44621</v>
      </c>
      <c r="H4" s="318">
        <f t="shared" si="0"/>
        <v>44652</v>
      </c>
      <c r="I4" s="318">
        <f t="shared" si="0"/>
        <v>44682</v>
      </c>
      <c r="J4" s="318">
        <f t="shared" si="0"/>
        <v>44713</v>
      </c>
      <c r="K4" s="318">
        <f t="shared" si="0"/>
        <v>44743</v>
      </c>
      <c r="L4" s="318">
        <f t="shared" si="0"/>
        <v>44774</v>
      </c>
      <c r="M4" s="318">
        <f t="shared" si="0"/>
        <v>44805</v>
      </c>
      <c r="N4" s="318">
        <f t="shared" si="0"/>
        <v>44835</v>
      </c>
      <c r="O4" s="318">
        <f t="shared" si="0"/>
        <v>44866</v>
      </c>
      <c r="P4" s="319">
        <f t="shared" si="0"/>
        <v>44896</v>
      </c>
      <c r="Q4" s="318">
        <f t="shared" si="0"/>
        <v>44927</v>
      </c>
      <c r="R4" s="318">
        <f t="shared" si="0"/>
        <v>44958</v>
      </c>
      <c r="S4" s="318">
        <f t="shared" si="0"/>
        <v>44986</v>
      </c>
      <c r="T4" s="318">
        <f t="shared" si="0"/>
        <v>45017</v>
      </c>
      <c r="U4" s="318">
        <f t="shared" si="0"/>
        <v>45047</v>
      </c>
      <c r="V4" s="318">
        <f t="shared" si="0"/>
        <v>45078</v>
      </c>
      <c r="W4" s="318">
        <f t="shared" si="0"/>
        <v>45108</v>
      </c>
      <c r="X4" s="318">
        <f t="shared" si="0"/>
        <v>45139</v>
      </c>
      <c r="Y4" s="318">
        <f t="shared" si="0"/>
        <v>45170</v>
      </c>
      <c r="Z4" s="318">
        <f t="shared" si="0"/>
        <v>45200</v>
      </c>
      <c r="AA4" s="318">
        <f t="shared" si="0"/>
        <v>45231</v>
      </c>
      <c r="AB4" s="319">
        <f t="shared" si="0"/>
        <v>45261</v>
      </c>
      <c r="AC4" s="318">
        <f t="shared" si="0"/>
        <v>45292</v>
      </c>
      <c r="AD4" s="318">
        <f t="shared" si="0"/>
        <v>45323</v>
      </c>
      <c r="AE4" s="318">
        <f t="shared" si="0"/>
        <v>45352</v>
      </c>
      <c r="AF4" s="318">
        <f t="shared" si="0"/>
        <v>45383</v>
      </c>
      <c r="AG4" s="318">
        <f t="shared" si="0"/>
        <v>45413</v>
      </c>
      <c r="AH4" s="318">
        <f t="shared" si="0"/>
        <v>45444</v>
      </c>
      <c r="AI4" s="318">
        <f t="shared" si="0"/>
        <v>45474</v>
      </c>
      <c r="AJ4" s="318">
        <f t="shared" si="0"/>
        <v>45505</v>
      </c>
      <c r="AK4" s="318">
        <f t="shared" si="0"/>
        <v>45536</v>
      </c>
      <c r="AL4" s="318">
        <f t="shared" si="0"/>
        <v>45566</v>
      </c>
      <c r="AM4" s="318">
        <f t="shared" si="0"/>
        <v>45597</v>
      </c>
      <c r="AN4" s="316">
        <v>45627</v>
      </c>
      <c r="AO4" s="271" t="s">
        <v>10</v>
      </c>
      <c r="AP4" s="272" t="s">
        <v>348</v>
      </c>
      <c r="AQ4" s="273" t="s">
        <v>346</v>
      </c>
    </row>
    <row r="5" spans="2:44" ht="15.75" x14ac:dyDescent="0.25">
      <c r="B5" t="str">
        <f>$D$2</f>
        <v>PC Annual Direct</v>
      </c>
      <c r="D5" s="208" t="s">
        <v>316</v>
      </c>
      <c r="E5" s="209">
        <v>32.958904109999992</v>
      </c>
      <c r="F5" s="209">
        <v>183.15890411399999</v>
      </c>
      <c r="G5" s="209">
        <v>1639.1780822380022</v>
      </c>
      <c r="H5" s="209">
        <v>1455.495890460001</v>
      </c>
      <c r="I5" s="209">
        <v>1736.6520548730011</v>
      </c>
      <c r="J5" s="209">
        <v>2775.8219179219991</v>
      </c>
      <c r="K5" s="209">
        <v>4091.4082193089994</v>
      </c>
      <c r="L5" s="209">
        <v>3059.1013699454002</v>
      </c>
      <c r="M5" s="209">
        <v>2959.4630137745971</v>
      </c>
      <c r="N5" s="209">
        <v>4092.4931506171965</v>
      </c>
      <c r="O5" s="209">
        <v>3906.9369863469956</v>
      </c>
      <c r="P5" s="238">
        <v>3262.9342463539983</v>
      </c>
      <c r="Q5" s="209">
        <v>2834.9616435823991</v>
      </c>
      <c r="R5" s="209">
        <v>2946.8383556498957</v>
      </c>
      <c r="S5" s="209">
        <v>3775.2622950026089</v>
      </c>
      <c r="T5" s="209">
        <v>2995.1366122641016</v>
      </c>
      <c r="U5" s="209">
        <v>2880.7459015196087</v>
      </c>
      <c r="V5" s="209">
        <v>2383.7486340840082</v>
      </c>
      <c r="W5" s="209">
        <v>2008.112021670996</v>
      </c>
      <c r="X5" s="209">
        <v>2245.2267757455011</v>
      </c>
      <c r="Y5" s="209">
        <v>2169.4972680251039</v>
      </c>
      <c r="Z5" s="209">
        <v>2519.644808569898</v>
      </c>
      <c r="AA5" s="209">
        <v>3230.5928964846084</v>
      </c>
      <c r="AB5" s="238">
        <v>3230.0081965513018</v>
      </c>
      <c r="AC5" s="209">
        <v>3523.3825135083025</v>
      </c>
      <c r="AD5" s="209">
        <v>4237.5081962073973</v>
      </c>
      <c r="AE5" s="209">
        <v>6105.2273968165864</v>
      </c>
      <c r="AF5" s="209">
        <v>5922.6767124173775</v>
      </c>
      <c r="AG5" s="209">
        <v>5863.1452052477716</v>
      </c>
      <c r="AH5" s="209">
        <v>4948.6767124129901</v>
      </c>
      <c r="AI5" s="209">
        <v>4233.336986153784</v>
      </c>
      <c r="AJ5" s="209">
        <v>3675.7972601147862</v>
      </c>
      <c r="AK5" s="209">
        <v>3344.0958904573909</v>
      </c>
      <c r="AL5" s="209">
        <v>3249.9835615825855</v>
      </c>
      <c r="AM5" s="209">
        <v>3333.4000001135914</v>
      </c>
      <c r="AN5" s="265">
        <v>3332.6027397477824</v>
      </c>
      <c r="AO5" s="237">
        <f t="shared" ref="AO5:AO10" si="1">AVERAGE(Z5:AC5)</f>
        <v>3125.9071037785279</v>
      </c>
      <c r="AP5" s="209">
        <f>AVERAGE(R5:AC5)</f>
        <v>2825.6830232563279</v>
      </c>
      <c r="AQ5" s="238">
        <f>SUMIFS(AC5:AN5,AC$4:AN$4,"&lt;"&amp;'Title Sheet'!$C$13)</f>
        <v>51769.833174780353</v>
      </c>
      <c r="AR5" t="s">
        <v>335</v>
      </c>
    </row>
    <row r="6" spans="2:44" ht="15.75" hidden="1" x14ac:dyDescent="0.25">
      <c r="B6" t="str">
        <f>$D$2&amp;"_W VYRs"</f>
        <v>PC Annual Direct_W VYRs</v>
      </c>
      <c r="D6" s="211" t="s">
        <v>317</v>
      </c>
      <c r="E6" s="31" t="e">
        <f>INDEX('Plan Figures'!$B$94:$AP$120,MATCH('Current - MPM only'!E$4,'Plan Figures'!$B$94:$B$120,0),MATCH('Current - MPM only'!$B6,'Plan Figures'!$B$1:$AP$1,0))</f>
        <v>#N/A</v>
      </c>
      <c r="F6" s="31" t="e">
        <f>INDEX('Plan Figures'!$B$94:$AP$120,MATCH('Current - MPM only'!F$4,'Plan Figures'!$B$94:$B$120,0),MATCH('Current - MPM only'!$B6,'Plan Figures'!$B$1:$AP$1,0))</f>
        <v>#N/A</v>
      </c>
      <c r="G6" s="31" t="e">
        <f>INDEX('Plan Figures'!$B$94:$AP$120,MATCH('Current - MPM only'!G$4,'Plan Figures'!$B$94:$B$120,0),MATCH('Current - MPM only'!$B6,'Plan Figures'!$B$1:$AP$1,0))</f>
        <v>#N/A</v>
      </c>
      <c r="H6" s="31" t="e">
        <f>INDEX('Plan Figures'!$B$94:$AP$120,MATCH('Current - MPM only'!H$4,'Plan Figures'!$B$94:$B$120,0),MATCH('Current - MPM only'!$B6,'Plan Figures'!$B$1:$AP$1,0))</f>
        <v>#N/A</v>
      </c>
      <c r="I6" s="31" t="e">
        <f>INDEX('Plan Figures'!$B$94:$AP$120,MATCH('Current - MPM only'!I$4,'Plan Figures'!$B$94:$B$120,0),MATCH('Current - MPM only'!$B6,'Plan Figures'!$B$1:$AP$1,0))</f>
        <v>#N/A</v>
      </c>
      <c r="J6" s="31" t="e">
        <f>INDEX('Plan Figures'!$B$94:$AP$120,MATCH('Current - MPM only'!J$4,'Plan Figures'!$B$94:$B$120,0),MATCH('Current - MPM only'!$B6,'Plan Figures'!$B$1:$AP$1,0))</f>
        <v>#N/A</v>
      </c>
      <c r="K6" s="31" t="e">
        <f>INDEX('Plan Figures'!$B$94:$AP$120,MATCH('Current - MPM only'!K$4,'Plan Figures'!$B$94:$B$120,0),MATCH('Current - MPM only'!$B6,'Plan Figures'!$B$1:$AP$1,0))</f>
        <v>#N/A</v>
      </c>
      <c r="L6" s="31" t="e">
        <f>INDEX('Plan Figures'!$B$94:$AP$120,MATCH('Current - MPM only'!L$4,'Plan Figures'!$B$94:$B$120,0),MATCH('Current - MPM only'!$B6,'Plan Figures'!$B$1:$AP$1,0))</f>
        <v>#N/A</v>
      </c>
      <c r="M6" s="31" t="e">
        <f>INDEX('Plan Figures'!$B$94:$AP$120,MATCH('Current - MPM only'!M$4,'Plan Figures'!$B$94:$B$120,0),MATCH('Current - MPM only'!$B6,'Plan Figures'!$B$1:$AP$1,0))</f>
        <v>#N/A</v>
      </c>
      <c r="N6" s="31" t="e">
        <f>INDEX('Plan Figures'!$B$94:$AP$120,MATCH('Current - MPM only'!N$4,'Plan Figures'!$B$94:$B$120,0),MATCH('Current - MPM only'!$B6,'Plan Figures'!$B$1:$AP$1,0))</f>
        <v>#N/A</v>
      </c>
      <c r="O6" s="31" t="e">
        <f>INDEX('Plan Figures'!$B$94:$AP$120,MATCH('Current - MPM only'!O$4,'Plan Figures'!$B$94:$B$120,0),MATCH('Current - MPM only'!$B6,'Plan Figures'!$B$1:$AP$1,0))</f>
        <v>#N/A</v>
      </c>
      <c r="P6" s="240" t="str">
        <f ca="1">INDEX('Plan Figures'!$B$94:$AP$120,MATCH('Current - MPM only'!P$4,'Plan Figures'!$B$94:$B$120,0),MATCH('Current - MPM only'!$B6,'Plan Figures'!$B$1:$AP$1,0))</f>
        <v>-</v>
      </c>
      <c r="Q6" s="31" t="str">
        <f ca="1">INDEX('Plan Figures'!$B$94:$AP$120,MATCH('Current - MPM only'!Q$4,'Plan Figures'!$B$94:$B$120,0),MATCH('Current - MPM only'!$B6,'Plan Figures'!$B$1:$AP$1,0))</f>
        <v>-</v>
      </c>
      <c r="R6" s="31" t="str">
        <f ca="1">INDEX('Plan Figures'!$B$94:$AP$120,MATCH('Current - MPM only'!R$4,'Plan Figures'!$B$94:$B$120,0),MATCH('Current - MPM only'!$B6,'Plan Figures'!$B$1:$AP$1,0))</f>
        <v>-</v>
      </c>
      <c r="S6" s="31" t="str">
        <f ca="1">INDEX('Plan Figures'!$B$94:$AP$120,MATCH('Current - MPM only'!S$4,'Plan Figures'!$B$94:$B$120,0),MATCH('Current - MPM only'!$B6,'Plan Figures'!$B$1:$AP$1,0))</f>
        <v>-</v>
      </c>
      <c r="T6" s="31" t="str">
        <f ca="1">INDEX('Plan Figures'!$B$94:$AP$120,MATCH('Current - MPM only'!T$4,'Plan Figures'!$B$94:$B$120,0),MATCH('Current - MPM only'!$B6,'Plan Figures'!$B$1:$AP$1,0))</f>
        <v>-</v>
      </c>
      <c r="U6" s="31" t="str">
        <f ca="1">INDEX('Plan Figures'!$B$94:$AP$120,MATCH('Current - MPM only'!U$4,'Plan Figures'!$B$94:$B$120,0),MATCH('Current - MPM only'!$B6,'Plan Figures'!$B$1:$AP$1,0))</f>
        <v>-</v>
      </c>
      <c r="V6" s="31" t="str">
        <f ca="1">INDEX('Plan Figures'!$B$94:$AP$120,MATCH('Current - MPM only'!V$4,'Plan Figures'!$B$94:$B$120,0),MATCH('Current - MPM only'!$B6,'Plan Figures'!$B$1:$AP$1,0))</f>
        <v>-</v>
      </c>
      <c r="W6" s="31" t="str">
        <f ca="1">INDEX('Plan Figures'!$B$94:$AP$120,MATCH('Current - MPM only'!W$4,'Plan Figures'!$B$94:$B$120,0),MATCH('Current - MPM only'!$B6,'Plan Figures'!$B$1:$AP$1,0))</f>
        <v>-</v>
      </c>
      <c r="X6" s="31" t="str">
        <f ca="1">INDEX('Plan Figures'!$B$94:$AP$120,MATCH('Current - MPM only'!X$4,'Plan Figures'!$B$94:$B$120,0),MATCH('Current - MPM only'!$B6,'Plan Figures'!$B$1:$AP$1,0))</f>
        <v>-</v>
      </c>
      <c r="Y6" s="31" t="str">
        <f ca="1">INDEX('Plan Figures'!$B$94:$AP$120,MATCH('Current - MPM only'!Y$4,'Plan Figures'!$B$94:$B$120,0),MATCH('Current - MPM only'!$B6,'Plan Figures'!$B$1:$AP$1,0))</f>
        <v>-</v>
      </c>
      <c r="Z6" s="31" t="str">
        <f ca="1">INDEX('Plan Figures'!$B$94:$AP$120,MATCH('Current - MPM only'!Z$4,'Plan Figures'!$B$94:$B$120,0),MATCH('Current - MPM only'!$B6,'Plan Figures'!$B$1:$AP$1,0))</f>
        <v>-</v>
      </c>
      <c r="AA6" s="31">
        <f ca="1">INDEX('Plan Figures'!$B$94:$AP$120,MATCH('Current - MPM only'!AA$4,'Plan Figures'!$B$94:$B$120,0),MATCH('Current - MPM only'!$B6,'Plan Figures'!$B$1:$AP$1,0))</f>
        <v>1729.3531485183221</v>
      </c>
      <c r="AB6" s="240">
        <f ca="1">INDEX('Plan Figures'!$B$94:$AP$120,MATCH('Current - MPM only'!AB$4,'Plan Figures'!$B$94:$B$120,0),MATCH('Current - MPM only'!$B6,'Plan Figures'!$B$1:$AP$1,0))</f>
        <v>1753.4023172900183</v>
      </c>
      <c r="AC6" s="31">
        <f ca="1">INDEX('Plan Figures'!$B$94:$AP$120,MATCH('Current - MPM only'!AC$4,'Plan Figures'!$B$94:$B$120,0),MATCH('Current - MPM only'!$B6,'Plan Figures'!$B$1:$AP$1,0))</f>
        <v>4273.8740763903043</v>
      </c>
      <c r="AD6" s="31">
        <f ca="1">INDEX('Plan Figures'!$B$94:$AP$120,MATCH('Current - MPM only'!AD$4,'Plan Figures'!$B$94:$B$120,0),MATCH('Current - MPM only'!$B6,'Plan Figures'!$B$1:$AP$1,0))</f>
        <v>4267.0066178598499</v>
      </c>
      <c r="AE6" s="31">
        <f ca="1">INDEX('Plan Figures'!$B$94:$AP$120,MATCH('Current - MPM only'!AE$4,'Plan Figures'!$B$94:$B$120,0),MATCH('Current - MPM only'!$B6,'Plan Figures'!$B$1:$AP$1,0))</f>
        <v>4260.1528668314522</v>
      </c>
      <c r="AF6" s="31">
        <f ca="1">INDEX('Plan Figures'!$B$94:$AP$120,MATCH('Current - MPM only'!AF$4,'Plan Figures'!$B$94:$B$120,0),MATCH('Current - MPM only'!$B6,'Plan Figures'!$B$1:$AP$1,0))</f>
        <v>4253.3127959448284</v>
      </c>
      <c r="AG6" s="31">
        <f ca="1">INDEX('Plan Figures'!$B$94:$AP$120,MATCH('Current - MPM only'!AG$4,'Plan Figures'!$B$94:$B$120,0),MATCH('Current - MPM only'!$B6,'Plan Figures'!$B$1:$AP$1,0))</f>
        <v>4246.8636837603826</v>
      </c>
      <c r="AH6" s="31">
        <f ca="1">INDEX('Plan Figures'!$B$94:$AP$120,MATCH('Current - MPM only'!AH$4,'Plan Figures'!$B$94:$B$120,0),MATCH('Current - MPM only'!$B6,'Plan Figures'!$B$1:$AP$1,0))</f>
        <v>4318.1657423106635</v>
      </c>
      <c r="AI6" s="31">
        <f ca="1">INDEX('Plan Figures'!$B$94:$AP$120,MATCH('Current - MPM only'!AI$4,'Plan Figures'!$B$94:$B$120,0),MATCH('Current - MPM only'!$B6,'Plan Figures'!$B$1:$AP$1,0))</f>
        <v>4195.7154005708344</v>
      </c>
      <c r="AJ6" s="31">
        <f ca="1">INDEX('Plan Figures'!$B$94:$AP$120,MATCH('Current - MPM only'!AJ$4,'Plan Figures'!$B$94:$B$120,0),MATCH('Current - MPM only'!$B6,'Plan Figures'!$B$1:$AP$1,0))</f>
        <v>4057.7980519065409</v>
      </c>
      <c r="AK6" s="31">
        <f ca="1">INDEX('Plan Figures'!$B$94:$AP$120,MATCH('Current - MPM only'!AK$4,'Plan Figures'!$B$94:$B$120,0),MATCH('Current - MPM only'!$B6,'Plan Figures'!$B$1:$AP$1,0))</f>
        <v>5130.3335122267199</v>
      </c>
      <c r="AL6" s="31">
        <f ca="1">INDEX('Plan Figures'!$B$94:$AP$120,MATCH('Current - MPM only'!AL$4,'Plan Figures'!$B$94:$B$120,0),MATCH('Current - MPM only'!$B6,'Plan Figures'!$B$1:$AP$1,0))</f>
        <v>5277.2602760739255</v>
      </c>
      <c r="AM6" s="31">
        <f ca="1">INDEX('Plan Figures'!$B$94:$AP$120,MATCH('Current - MPM only'!AM$4,'Plan Figures'!$B$94:$B$120,0),MATCH('Current - MPM only'!$B6,'Plan Figures'!$B$1:$AP$1,0))</f>
        <v>4291.0900236660455</v>
      </c>
      <c r="AN6" s="266">
        <f ca="1">INDEX('Plan Figures'!$B$94:$AP$120,MATCH('Current - MPM only'!AN$4,'Plan Figures'!$B$94:$B$120,0),MATCH('Current - MPM only'!$B6,'Plan Figures'!$B$1:$AP$1,0))</f>
        <v>3754.1961423496059</v>
      </c>
      <c r="AO6" s="239">
        <f t="shared" ca="1" si="1"/>
        <v>2585.5431807328819</v>
      </c>
      <c r="AP6" s="31">
        <f t="shared" ref="AP6:AP10" ca="1" si="2">AVERAGE(R6:AC6)</f>
        <v>2585.5431807328819</v>
      </c>
      <c r="AQ6" s="240">
        <f ca="1">SUMIFS(AC6:AN6,AC$4:AN$4,"&lt;"&amp;'Title Sheet'!$C$13)</f>
        <v>52325.769189891143</v>
      </c>
    </row>
    <row r="7" spans="2:44" ht="15.75" hidden="1" x14ac:dyDescent="0.25">
      <c r="B7" t="str">
        <f t="shared" ref="B7:B17" si="3">$D$2</f>
        <v>PC Annual Direct</v>
      </c>
      <c r="D7" s="213" t="s">
        <v>0</v>
      </c>
      <c r="E7" s="214" t="str">
        <f t="shared" ref="E7:AN7" si="4">IFERROR(IF(E5=0,"-",(E5/E6)-1),"-")</f>
        <v>-</v>
      </c>
      <c r="F7" s="214" t="str">
        <f t="shared" si="4"/>
        <v>-</v>
      </c>
      <c r="G7" s="214" t="str">
        <f t="shared" si="4"/>
        <v>-</v>
      </c>
      <c r="H7" s="214" t="str">
        <f t="shared" si="4"/>
        <v>-</v>
      </c>
      <c r="I7" s="214" t="str">
        <f t="shared" si="4"/>
        <v>-</v>
      </c>
      <c r="J7" s="214" t="str">
        <f t="shared" si="4"/>
        <v>-</v>
      </c>
      <c r="K7" s="214" t="str">
        <f t="shared" si="4"/>
        <v>-</v>
      </c>
      <c r="L7" s="214" t="str">
        <f t="shared" si="4"/>
        <v>-</v>
      </c>
      <c r="M7" s="214" t="str">
        <f t="shared" si="4"/>
        <v>-</v>
      </c>
      <c r="N7" s="214" t="str">
        <f t="shared" si="4"/>
        <v>-</v>
      </c>
      <c r="O7" s="214" t="str">
        <f t="shared" si="4"/>
        <v>-</v>
      </c>
      <c r="P7" s="294" t="str">
        <f t="shared" ca="1" si="4"/>
        <v>-</v>
      </c>
      <c r="Q7" s="214" t="str">
        <f t="shared" ca="1" si="4"/>
        <v>-</v>
      </c>
      <c r="R7" s="214" t="str">
        <f t="shared" ca="1" si="4"/>
        <v>-</v>
      </c>
      <c r="S7" s="214" t="str">
        <f t="shared" ca="1" si="4"/>
        <v>-</v>
      </c>
      <c r="T7" s="214" t="str">
        <f t="shared" ca="1" si="4"/>
        <v>-</v>
      </c>
      <c r="U7" s="214" t="str">
        <f t="shared" ca="1" si="4"/>
        <v>-</v>
      </c>
      <c r="V7" s="214" t="str">
        <f t="shared" ca="1" si="4"/>
        <v>-</v>
      </c>
      <c r="W7" s="214" t="str">
        <f t="shared" ca="1" si="4"/>
        <v>-</v>
      </c>
      <c r="X7" s="214" t="str">
        <f t="shared" ca="1" si="4"/>
        <v>-</v>
      </c>
      <c r="Y7" s="214" t="str">
        <f t="shared" ca="1" si="4"/>
        <v>-</v>
      </c>
      <c r="Z7" s="214" t="str">
        <f t="shared" ca="1" si="4"/>
        <v>-</v>
      </c>
      <c r="AA7" s="214">
        <f t="shared" ca="1" si="4"/>
        <v>0.86809322274777756</v>
      </c>
      <c r="AB7" s="294">
        <f t="shared" ca="1" si="4"/>
        <v>0.84213752012342535</v>
      </c>
      <c r="AC7" s="214">
        <f t="shared" ca="1" si="4"/>
        <v>-0.17559983038055804</v>
      </c>
      <c r="AD7" s="214">
        <f t="shared" ca="1" si="4"/>
        <v>-6.9131417628894853E-3</v>
      </c>
      <c r="AE7" s="214">
        <f t="shared" ca="1" si="4"/>
        <v>0.43310054537020259</v>
      </c>
      <c r="AF7" s="214">
        <f t="shared" ca="1" si="4"/>
        <v>0.39248557455359157</v>
      </c>
      <c r="AG7" s="214">
        <f t="shared" ca="1" si="4"/>
        <v>0.38058238781430664</v>
      </c>
      <c r="AH7" s="214">
        <f t="shared" ca="1" si="4"/>
        <v>0.14601361034487259</v>
      </c>
      <c r="AI7" s="214">
        <f t="shared" ca="1" si="4"/>
        <v>8.9666676576374282E-3</v>
      </c>
      <c r="AJ7" s="214">
        <f t="shared" ca="1" si="4"/>
        <v>-9.4139921924471626E-2</v>
      </c>
      <c r="AK7" s="214">
        <f t="shared" ca="1" si="4"/>
        <v>-0.34817183278871233</v>
      </c>
      <c r="AL7" s="214">
        <f t="shared" ca="1" si="4"/>
        <v>-0.38415325537052236</v>
      </c>
      <c r="AM7" s="214">
        <f t="shared" ca="1" si="4"/>
        <v>-0.22318106081919531</v>
      </c>
      <c r="AN7" s="270">
        <f t="shared" ca="1" si="4"/>
        <v>-0.11229924772602973</v>
      </c>
      <c r="AO7" s="241">
        <f t="shared" ca="1" si="1"/>
        <v>0.51154363749688159</v>
      </c>
      <c r="AP7" s="242">
        <f t="shared" ca="1" si="2"/>
        <v>0.51154363749688159</v>
      </c>
      <c r="AQ7" s="243">
        <f ca="1">IFERROR(IF(AQ5=0,"-",(AQ5/AQ6)-1),"-")</f>
        <v>-1.062451682445964E-2</v>
      </c>
    </row>
    <row r="8" spans="2:44" ht="15.75" x14ac:dyDescent="0.25">
      <c r="B8" t="s">
        <v>109</v>
      </c>
      <c r="D8" s="208" t="s">
        <v>5</v>
      </c>
      <c r="E8" s="209">
        <v>0</v>
      </c>
      <c r="F8" s="209">
        <v>0</v>
      </c>
      <c r="G8" s="209">
        <v>0</v>
      </c>
      <c r="H8" s="209">
        <v>0</v>
      </c>
      <c r="I8" s="209">
        <v>0</v>
      </c>
      <c r="J8" s="209">
        <v>0</v>
      </c>
      <c r="K8" s="209">
        <v>0</v>
      </c>
      <c r="L8" s="209">
        <v>0</v>
      </c>
      <c r="M8" s="209">
        <v>0</v>
      </c>
      <c r="N8" s="209">
        <v>0</v>
      </c>
      <c r="O8" s="209">
        <v>0</v>
      </c>
      <c r="P8" s="238">
        <v>0</v>
      </c>
      <c r="Q8" s="209">
        <v>0</v>
      </c>
      <c r="R8" s="209">
        <v>0</v>
      </c>
      <c r="S8" s="209">
        <v>0</v>
      </c>
      <c r="T8" s="209">
        <v>0</v>
      </c>
      <c r="U8" s="209">
        <v>48737.909642443105</v>
      </c>
      <c r="V8" s="209">
        <v>1185994.0157154906</v>
      </c>
      <c r="W8" s="209">
        <v>1306935.8339295245</v>
      </c>
      <c r="X8" s="209">
        <v>1691849.4817958754</v>
      </c>
      <c r="Y8" s="209">
        <v>1933288.9060713055</v>
      </c>
      <c r="Z8" s="209">
        <v>2501876.175357603</v>
      </c>
      <c r="AA8" s="209">
        <v>3335422.3596441015</v>
      </c>
      <c r="AB8" s="238">
        <v>3354370.070353711</v>
      </c>
      <c r="AC8" s="209">
        <v>3583733.0021424843</v>
      </c>
      <c r="AD8" s="209">
        <v>4959784.047491448</v>
      </c>
      <c r="AE8" s="209">
        <v>7405651.2810666375</v>
      </c>
      <c r="AF8" s="209">
        <v>6631664.3989466662</v>
      </c>
      <c r="AG8" s="209">
        <v>6386016.4432274783</v>
      </c>
      <c r="AH8" s="209">
        <v>5353738.9892903334</v>
      </c>
      <c r="AI8" s="209">
        <v>4568709.0003580609</v>
      </c>
      <c r="AJ8" s="209">
        <v>3976254.8000019756</v>
      </c>
      <c r="AK8" s="209">
        <v>3645120.3310708916</v>
      </c>
      <c r="AL8" s="209">
        <v>3467602.7742145588</v>
      </c>
      <c r="AM8" s="209">
        <v>3642847.8092838721</v>
      </c>
      <c r="AN8" s="265">
        <v>3632011.0367852668</v>
      </c>
      <c r="AO8" s="237">
        <f t="shared" si="1"/>
        <v>3193850.4018744752</v>
      </c>
      <c r="AP8" s="209">
        <f t="shared" si="2"/>
        <v>1578517.3128877115</v>
      </c>
      <c r="AQ8" s="238">
        <f>SUMIFS(AC8:AN8,AC$4:AN$4,"&lt;"&amp;'Title Sheet'!$C$13)</f>
        <v>57253133.913879678</v>
      </c>
      <c r="AR8" t="s">
        <v>335</v>
      </c>
    </row>
    <row r="9" spans="2:44" ht="15.75" x14ac:dyDescent="0.25">
      <c r="B9" t="str">
        <f>$D$2&amp;"_NWP"</f>
        <v>PC Annual Direct_NWP</v>
      </c>
      <c r="D9" s="211" t="s">
        <v>6</v>
      </c>
      <c r="E9" s="31" t="e">
        <f>INDEX('Plan Figures'!$B$94:$AP$131,MATCH('Current - MPM only'!E$4,'Plan Figures'!$B$94:$B$131,0),MATCH('Current - MPM only'!$B9,'Plan Figures'!$B$1:$AP$1,0))</f>
        <v>#N/A</v>
      </c>
      <c r="F9" s="31" t="e">
        <f>INDEX('Plan Figures'!$B$94:$AP$131,MATCH('Current - MPM only'!F$4,'Plan Figures'!$B$94:$B$131,0),MATCH('Current - MPM only'!$B9,'Plan Figures'!$B$1:$AP$1,0))</f>
        <v>#N/A</v>
      </c>
      <c r="G9" s="31" t="e">
        <f>INDEX('Plan Figures'!$B$94:$AP$131,MATCH('Current - MPM only'!G$4,'Plan Figures'!$B$94:$B$131,0),MATCH('Current - MPM only'!$B9,'Plan Figures'!$B$1:$AP$1,0))</f>
        <v>#N/A</v>
      </c>
      <c r="H9" s="31" t="e">
        <f>INDEX('Plan Figures'!$B$94:$AP$131,MATCH('Current - MPM only'!H$4,'Plan Figures'!$B$94:$B$131,0),MATCH('Current - MPM only'!$B9,'Plan Figures'!$B$1:$AP$1,0))</f>
        <v>#N/A</v>
      </c>
      <c r="I9" s="31" t="e">
        <f>INDEX('Plan Figures'!$B$94:$AP$131,MATCH('Current - MPM only'!I$4,'Plan Figures'!$B$94:$B$131,0),MATCH('Current - MPM only'!$B9,'Plan Figures'!$B$1:$AP$1,0))</f>
        <v>#N/A</v>
      </c>
      <c r="J9" s="31" t="e">
        <f>INDEX('Plan Figures'!$B$94:$AP$131,MATCH('Current - MPM only'!J$4,'Plan Figures'!$B$94:$B$131,0),MATCH('Current - MPM only'!$B9,'Plan Figures'!$B$1:$AP$1,0))</f>
        <v>#N/A</v>
      </c>
      <c r="K9" s="31" t="e">
        <f>INDEX('Plan Figures'!$B$94:$AP$131,MATCH('Current - MPM only'!K$4,'Plan Figures'!$B$94:$B$131,0),MATCH('Current - MPM only'!$B9,'Plan Figures'!$B$1:$AP$1,0))</f>
        <v>#N/A</v>
      </c>
      <c r="L9" s="31" t="e">
        <f>INDEX('Plan Figures'!$B$94:$AP$131,MATCH('Current - MPM only'!L$4,'Plan Figures'!$B$94:$B$131,0),MATCH('Current - MPM only'!$B9,'Plan Figures'!$B$1:$AP$1,0))</f>
        <v>#N/A</v>
      </c>
      <c r="M9" s="31" t="e">
        <f>INDEX('Plan Figures'!$B$94:$AP$131,MATCH('Current - MPM only'!M$4,'Plan Figures'!$B$94:$B$131,0),MATCH('Current - MPM only'!$B9,'Plan Figures'!$B$1:$AP$1,0))</f>
        <v>#N/A</v>
      </c>
      <c r="N9" s="31" t="e">
        <f>INDEX('Plan Figures'!$B$94:$AP$131,MATCH('Current - MPM only'!N$4,'Plan Figures'!$B$94:$B$131,0),MATCH('Current - MPM only'!$B9,'Plan Figures'!$B$1:$AP$1,0))</f>
        <v>#N/A</v>
      </c>
      <c r="O9" s="31" t="e">
        <f>INDEX('Plan Figures'!$B$94:$AP$131,MATCH('Current - MPM only'!O$4,'Plan Figures'!$B$94:$B$131,0),MATCH('Current - MPM only'!$B9,'Plan Figures'!$B$1:$AP$1,0))</f>
        <v>#N/A</v>
      </c>
      <c r="P9" s="240" t="str">
        <f ca="1">INDEX('Plan Figures'!$B$94:$AP$131,MATCH('Current - MPM only'!P$4,'Plan Figures'!$B$94:$B$131,0),MATCH('Current - MPM only'!$B9,'Plan Figures'!$B$1:$AP$1,0))</f>
        <v>-</v>
      </c>
      <c r="Q9" s="31" t="str">
        <f ca="1">INDEX('Plan Figures'!$B$94:$AP$131,MATCH('Current - MPM only'!Q$4,'Plan Figures'!$B$94:$B$131,0),MATCH('Current - MPM only'!$B9,'Plan Figures'!$B$1:$AP$1,0))</f>
        <v>-</v>
      </c>
      <c r="R9" s="31" t="str">
        <f ca="1">INDEX('Plan Figures'!$B$94:$AP$131,MATCH('Current - MPM only'!R$4,'Plan Figures'!$B$94:$B$131,0),MATCH('Current - MPM only'!$B9,'Plan Figures'!$B$1:$AP$1,0))</f>
        <v>-</v>
      </c>
      <c r="S9" s="31" t="str">
        <f ca="1">INDEX('Plan Figures'!$B$94:$AP$131,MATCH('Current - MPM only'!S$4,'Plan Figures'!$B$94:$B$131,0),MATCH('Current - MPM only'!$B9,'Plan Figures'!$B$1:$AP$1,0))</f>
        <v>-</v>
      </c>
      <c r="T9" s="31" t="str">
        <f ca="1">INDEX('Plan Figures'!$B$94:$AP$131,MATCH('Current - MPM only'!T$4,'Plan Figures'!$B$94:$B$131,0),MATCH('Current - MPM only'!$B9,'Plan Figures'!$B$1:$AP$1,0))</f>
        <v>-</v>
      </c>
      <c r="U9" s="31" t="str">
        <f ca="1">INDEX('Plan Figures'!$B$94:$AP$131,MATCH('Current - MPM only'!U$4,'Plan Figures'!$B$94:$B$131,0),MATCH('Current - MPM only'!$B9,'Plan Figures'!$B$1:$AP$1,0))</f>
        <v>-</v>
      </c>
      <c r="V9" s="31" t="str">
        <f ca="1">INDEX('Plan Figures'!$B$94:$AP$131,MATCH('Current - MPM only'!V$4,'Plan Figures'!$B$94:$B$131,0),MATCH('Current - MPM only'!$B9,'Plan Figures'!$B$1:$AP$1,0))</f>
        <v>-</v>
      </c>
      <c r="W9" s="31" t="str">
        <f ca="1">INDEX('Plan Figures'!$B$94:$AP$131,MATCH('Current - MPM only'!W$4,'Plan Figures'!$B$94:$B$131,0),MATCH('Current - MPM only'!$B9,'Plan Figures'!$B$1:$AP$1,0))</f>
        <v>-</v>
      </c>
      <c r="X9" s="31" t="str">
        <f ca="1">INDEX('Plan Figures'!$B$94:$AP$131,MATCH('Current - MPM only'!X$4,'Plan Figures'!$B$94:$B$131,0),MATCH('Current - MPM only'!$B9,'Plan Figures'!$B$1:$AP$1,0))</f>
        <v>-</v>
      </c>
      <c r="Y9" s="31" t="str">
        <f ca="1">INDEX('Plan Figures'!$B$94:$AP$131,MATCH('Current - MPM only'!Y$4,'Plan Figures'!$B$94:$B$131,0),MATCH('Current - MPM only'!$B9,'Plan Figures'!$B$1:$AP$1,0))</f>
        <v>-</v>
      </c>
      <c r="Z9" s="31" t="str">
        <f ca="1">INDEX('Plan Figures'!$B$94:$AP$131,MATCH('Current - MPM only'!Z$4,'Plan Figures'!$B$94:$B$131,0),MATCH('Current - MPM only'!$B9,'Plan Figures'!$B$1:$AP$1,0))</f>
        <v>-</v>
      </c>
      <c r="AA9" s="31">
        <f ca="1">INDEX('Plan Figures'!$B$94:$AP$131,MATCH('Current - MPM only'!AA$4,'Plan Figures'!$B$94:$B$131,0),MATCH('Current - MPM only'!$B9,'Plan Figures'!$B$1:$AP$1,0))</f>
        <v>3013169.0914932396</v>
      </c>
      <c r="AB9" s="240">
        <f ca="1">INDEX('Plan Figures'!$B$94:$AP$131,MATCH('Current - MPM only'!AB$4,'Plan Figures'!$B$94:$B$131,0),MATCH('Current - MPM only'!$B9,'Plan Figures'!$B$1:$AP$1,0))</f>
        <v>3046278.3015965438</v>
      </c>
      <c r="AC9" s="31">
        <f ca="1">INDEX('Plan Figures'!$B$94:$AP$131,MATCH('Current - MPM only'!AC$4,'Plan Figures'!$B$94:$B$131,0),MATCH('Current - MPM only'!$B9,'Plan Figures'!$B$1:$AP$1,0))</f>
        <v>3262205.5406420417</v>
      </c>
      <c r="AD9" s="31">
        <f ca="1">INDEX('Plan Figures'!$B$94:$AP$131,MATCH('Current - MPM only'!AD$4,'Plan Figures'!$B$94:$B$131,0),MATCH('Current - MPM only'!$B9,'Plan Figures'!$B$1:$AP$1,0))</f>
        <v>5283002.670942123</v>
      </c>
      <c r="AE9" s="31">
        <f ca="1">INDEX('Plan Figures'!$B$94:$AP$131,MATCH('Current - MPM only'!AE$4,'Plan Figures'!$B$94:$B$131,0),MATCH('Current - MPM only'!$B9,'Plan Figures'!$B$1:$AP$1,0))</f>
        <v>7028722.699423207</v>
      </c>
      <c r="AF9" s="31">
        <f ca="1">INDEX('Plan Figures'!$B$94:$AP$131,MATCH('Current - MPM only'!AF$4,'Plan Figures'!$B$94:$B$131,0),MATCH('Current - MPM only'!$B9,'Plan Figures'!$B$1:$AP$1,0))</f>
        <v>7008322.6050258419</v>
      </c>
      <c r="AG9" s="31">
        <f ca="1">INDEX('Plan Figures'!$B$94:$AP$131,MATCH('Current - MPM only'!AG$4,'Plan Figures'!$B$94:$B$131,0),MATCH('Current - MPM only'!$B9,'Plan Figures'!$B$1:$AP$1,0))</f>
        <v>6910081.5132966693</v>
      </c>
      <c r="AH9" s="31">
        <f ca="1">INDEX('Plan Figures'!$B$94:$AP$131,MATCH('Current - MPM only'!AH$4,'Plan Figures'!$B$94:$B$131,0),MATCH('Current - MPM only'!$B9,'Plan Figures'!$B$1:$AP$1,0))</f>
        <v>6846559.6197968423</v>
      </c>
      <c r="AI9" s="31">
        <f ca="1">INDEX('Plan Figures'!$B$94:$AP$131,MATCH('Current - MPM only'!AI$4,'Plan Figures'!$B$94:$B$131,0),MATCH('Current - MPM only'!$B9,'Plan Figures'!$B$1:$AP$1,0))</f>
        <v>4986953.6660165749</v>
      </c>
      <c r="AJ9" s="31">
        <f ca="1">INDEX('Plan Figures'!$B$94:$AP$131,MATCH('Current - MPM only'!AJ$4,'Plan Figures'!$B$94:$B$131,0),MATCH('Current - MPM only'!$B9,'Plan Figures'!$B$1:$AP$1,0))</f>
        <v>4772960.6173661947</v>
      </c>
      <c r="AK9" s="31">
        <f ca="1">INDEX('Plan Figures'!$B$94:$AP$131,MATCH('Current - MPM only'!AK$4,'Plan Figures'!$B$94:$B$131,0),MATCH('Current - MPM only'!$B9,'Plan Figures'!$B$1:$AP$1,0))</f>
        <v>5963772.0422257259</v>
      </c>
      <c r="AL9" s="31">
        <f ca="1">INDEX('Plan Figures'!$B$94:$AP$131,MATCH('Current - MPM only'!AL$4,'Plan Figures'!$B$94:$B$131,0),MATCH('Current - MPM only'!$B9,'Plan Figures'!$B$1:$AP$1,0))</f>
        <v>6206021.9847642854</v>
      </c>
      <c r="AM9" s="31">
        <f ca="1">INDEX('Plan Figures'!$B$94:$AP$131,MATCH('Current - MPM only'!AM$4,'Plan Figures'!$B$94:$B$131,0),MATCH('Current - MPM only'!$B9,'Plan Figures'!$B$1:$AP$1,0))</f>
        <v>5226495.991704585</v>
      </c>
      <c r="AN9" s="266">
        <f ca="1">INDEX('Plan Figures'!$B$94:$AP$131,MATCH('Current - MPM only'!AN$4,'Plan Figures'!$B$94:$B$131,0),MATCH('Current - MPM only'!$B9,'Plan Figures'!$B$1:$AP$1,0))</f>
        <v>4573524.576856669</v>
      </c>
      <c r="AO9" s="239">
        <f t="shared" ca="1" si="1"/>
        <v>3107217.6445772746</v>
      </c>
      <c r="AP9" s="31">
        <f t="shared" ca="1" si="2"/>
        <v>3107217.6445772746</v>
      </c>
      <c r="AQ9" s="240">
        <f ca="1">SUMIFS(AC9:AN9,AC$4:AN$4,"&lt;"&amp;'Title Sheet'!$C$13)</f>
        <v>68068623.528060764</v>
      </c>
    </row>
    <row r="10" spans="2:44" ht="15.75" x14ac:dyDescent="0.25">
      <c r="B10" t="str">
        <f t="shared" si="3"/>
        <v>PC Annual Direct</v>
      </c>
      <c r="D10" s="213" t="s">
        <v>0</v>
      </c>
      <c r="E10" s="214" t="str">
        <f t="shared" ref="E10:AN10" si="5">IFERROR(IF(E8=0,"-",(E8/E9)-1),"-")</f>
        <v>-</v>
      </c>
      <c r="F10" s="214" t="str">
        <f t="shared" si="5"/>
        <v>-</v>
      </c>
      <c r="G10" s="214" t="str">
        <f t="shared" si="5"/>
        <v>-</v>
      </c>
      <c r="H10" s="214" t="str">
        <f t="shared" si="5"/>
        <v>-</v>
      </c>
      <c r="I10" s="214" t="str">
        <f t="shared" si="5"/>
        <v>-</v>
      </c>
      <c r="J10" s="214" t="str">
        <f t="shared" si="5"/>
        <v>-</v>
      </c>
      <c r="K10" s="214" t="str">
        <f t="shared" si="5"/>
        <v>-</v>
      </c>
      <c r="L10" s="214" t="str">
        <f t="shared" si="5"/>
        <v>-</v>
      </c>
      <c r="M10" s="214" t="str">
        <f t="shared" si="5"/>
        <v>-</v>
      </c>
      <c r="N10" s="214" t="str">
        <f t="shared" si="5"/>
        <v>-</v>
      </c>
      <c r="O10" s="214" t="str">
        <f t="shared" si="5"/>
        <v>-</v>
      </c>
      <c r="P10" s="294" t="str">
        <f t="shared" si="5"/>
        <v>-</v>
      </c>
      <c r="Q10" s="214" t="str">
        <f t="shared" si="5"/>
        <v>-</v>
      </c>
      <c r="R10" s="214" t="str">
        <f t="shared" si="5"/>
        <v>-</v>
      </c>
      <c r="S10" s="214" t="str">
        <f t="shared" si="5"/>
        <v>-</v>
      </c>
      <c r="T10" s="214" t="str">
        <f t="shared" si="5"/>
        <v>-</v>
      </c>
      <c r="U10" s="214" t="str">
        <f t="shared" ca="1" si="5"/>
        <v>-</v>
      </c>
      <c r="V10" s="214" t="str">
        <f t="shared" ca="1" si="5"/>
        <v>-</v>
      </c>
      <c r="W10" s="214" t="str">
        <f t="shared" ca="1" si="5"/>
        <v>-</v>
      </c>
      <c r="X10" s="214" t="str">
        <f t="shared" ca="1" si="5"/>
        <v>-</v>
      </c>
      <c r="Y10" s="214" t="str">
        <f t="shared" ca="1" si="5"/>
        <v>-</v>
      </c>
      <c r="Z10" s="214" t="str">
        <f t="shared" ca="1" si="5"/>
        <v>-</v>
      </c>
      <c r="AA10" s="214">
        <f t="shared" ca="1" si="5"/>
        <v>0.10694828546484336</v>
      </c>
      <c r="AB10" s="294">
        <f t="shared" ca="1" si="5"/>
        <v>0.1011371051015586</v>
      </c>
      <c r="AC10" s="214">
        <f t="shared" ca="1" si="5"/>
        <v>9.8561374350790265E-2</v>
      </c>
      <c r="AD10" s="214">
        <f t="shared" ca="1" si="5"/>
        <v>-6.1180855582084193E-2</v>
      </c>
      <c r="AE10" s="214">
        <f t="shared" ca="1" si="5"/>
        <v>5.3626896060981588E-2</v>
      </c>
      <c r="AF10" s="214">
        <f t="shared" ca="1" si="5"/>
        <v>-5.3744416075975798E-2</v>
      </c>
      <c r="AG10" s="214">
        <f t="shared" ca="1" si="5"/>
        <v>-7.5840649500409363E-2</v>
      </c>
      <c r="AH10" s="214">
        <f t="shared" ca="1" si="5"/>
        <v>-0.21803952837714502</v>
      </c>
      <c r="AI10" s="214">
        <f t="shared" ca="1" si="5"/>
        <v>-8.3867766510169917E-2</v>
      </c>
      <c r="AJ10" s="214">
        <f t="shared" ca="1" si="5"/>
        <v>-0.16692067696210233</v>
      </c>
      <c r="AK10" s="214">
        <f t="shared" ca="1" si="5"/>
        <v>-0.38878945988175218</v>
      </c>
      <c r="AL10" s="214">
        <f t="shared" ca="1" si="5"/>
        <v>-0.44125193518046102</v>
      </c>
      <c r="AM10" s="214">
        <f t="shared" ca="1" si="5"/>
        <v>-0.30300380693570894</v>
      </c>
      <c r="AN10" s="270">
        <f t="shared" ca="1" si="5"/>
        <v>-0.20586169905716212</v>
      </c>
      <c r="AO10" s="241">
        <f t="shared" ca="1" si="1"/>
        <v>0.10221558830573074</v>
      </c>
      <c r="AP10" s="242">
        <f t="shared" ca="1" si="2"/>
        <v>0.10221558830573074</v>
      </c>
      <c r="AQ10" s="243">
        <f t="shared" ref="AQ10" ca="1" si="6">IFERROR(IF(AQ8=0,"-",(AQ8/AQ9)-1),"-")</f>
        <v>-0.15889096993011009</v>
      </c>
    </row>
    <row r="11" spans="2:44" ht="15.75" x14ac:dyDescent="0.25">
      <c r="B11" t="str">
        <f t="shared" si="3"/>
        <v>PC Annual Direct</v>
      </c>
      <c r="D11" s="208" t="s">
        <v>12</v>
      </c>
      <c r="E11" s="209">
        <f t="shared" ref="E11:AP12" si="7">IFERROR(E8/E5,0)</f>
        <v>0</v>
      </c>
      <c r="F11" s="209">
        <f t="shared" si="7"/>
        <v>0</v>
      </c>
      <c r="G11" s="209">
        <f t="shared" si="7"/>
        <v>0</v>
      </c>
      <c r="H11" s="209">
        <f t="shared" si="7"/>
        <v>0</v>
      </c>
      <c r="I11" s="209">
        <f t="shared" si="7"/>
        <v>0</v>
      </c>
      <c r="J11" s="209">
        <f t="shared" si="7"/>
        <v>0</v>
      </c>
      <c r="K11" s="209">
        <f t="shared" si="7"/>
        <v>0</v>
      </c>
      <c r="L11" s="209">
        <f t="shared" si="7"/>
        <v>0</v>
      </c>
      <c r="M11" s="209">
        <f t="shared" si="7"/>
        <v>0</v>
      </c>
      <c r="N11" s="209">
        <f t="shared" si="7"/>
        <v>0</v>
      </c>
      <c r="O11" s="209">
        <f t="shared" si="7"/>
        <v>0</v>
      </c>
      <c r="P11" s="238">
        <f t="shared" si="7"/>
        <v>0</v>
      </c>
      <c r="Q11" s="209">
        <f t="shared" si="7"/>
        <v>0</v>
      </c>
      <c r="R11" s="209">
        <f t="shared" si="7"/>
        <v>0</v>
      </c>
      <c r="S11" s="209">
        <f t="shared" si="7"/>
        <v>0</v>
      </c>
      <c r="T11" s="209">
        <f t="shared" si="7"/>
        <v>0</v>
      </c>
      <c r="U11" s="209">
        <f t="shared" si="7"/>
        <v>16.91850350866892</v>
      </c>
      <c r="V11" s="209">
        <f t="shared" si="7"/>
        <v>497.53317055228302</v>
      </c>
      <c r="W11" s="209">
        <f t="shared" si="7"/>
        <v>650.82815093253282</v>
      </c>
      <c r="X11" s="209">
        <f t="shared" si="7"/>
        <v>753.53166997312189</v>
      </c>
      <c r="Y11" s="209">
        <f t="shared" si="7"/>
        <v>891.12299635720717</v>
      </c>
      <c r="Z11" s="209">
        <f t="shared" si="7"/>
        <v>992.94796109679442</v>
      </c>
      <c r="AA11" s="209">
        <f t="shared" si="7"/>
        <v>1032.4489858420613</v>
      </c>
      <c r="AB11" s="238">
        <f t="shared" si="7"/>
        <v>1038.5020304082173</v>
      </c>
      <c r="AC11" s="209">
        <f t="shared" si="7"/>
        <v>1017.1285656333946</v>
      </c>
      <c r="AD11" s="209">
        <f t="shared" si="7"/>
        <v>1170.4482487917057</v>
      </c>
      <c r="AE11" s="209">
        <f t="shared" si="7"/>
        <v>1213.0017114396301</v>
      </c>
      <c r="AF11" s="209">
        <f t="shared" si="7"/>
        <v>1119.7073081910478</v>
      </c>
      <c r="AG11" s="209">
        <f t="shared" si="7"/>
        <v>1089.1793090015431</v>
      </c>
      <c r="AH11" s="209">
        <f t="shared" si="7"/>
        <v>1081.8526447406248</v>
      </c>
      <c r="AI11" s="209">
        <f t="shared" si="7"/>
        <v>1079.2216672807285</v>
      </c>
      <c r="AJ11" s="209">
        <f t="shared" si="7"/>
        <v>1081.7394210359162</v>
      </c>
      <c r="AK11" s="209">
        <f t="shared" si="7"/>
        <v>1090.0166892559794</v>
      </c>
      <c r="AL11" s="209">
        <f t="shared" si="7"/>
        <v>1066.960096415381</v>
      </c>
      <c r="AM11" s="209">
        <f t="shared" si="7"/>
        <v>1092.8324860981988</v>
      </c>
      <c r="AN11" s="265">
        <f t="shared" si="7"/>
        <v>1089.8421805474914</v>
      </c>
      <c r="AO11" s="237">
        <f t="shared" si="7"/>
        <v>1021.7355461439718</v>
      </c>
      <c r="AP11" s="209">
        <f t="shared" si="7"/>
        <v>558.63212536437368</v>
      </c>
      <c r="AQ11" s="238">
        <f>SUMIFS(AC11:AN11,AC$4:AN$4,"&lt;"&amp;'Title Sheet'!$C$13)</f>
        <v>13191.930328431643</v>
      </c>
    </row>
    <row r="12" spans="2:44" ht="15.75" hidden="1" x14ac:dyDescent="0.25">
      <c r="B12" t="str">
        <f t="shared" si="3"/>
        <v>PC Annual Direct</v>
      </c>
      <c r="D12" s="211" t="s">
        <v>13</v>
      </c>
      <c r="E12" s="31">
        <f t="shared" si="7"/>
        <v>0</v>
      </c>
      <c r="F12" s="31">
        <f t="shared" si="7"/>
        <v>0</v>
      </c>
      <c r="G12" s="31">
        <f t="shared" si="7"/>
        <v>0</v>
      </c>
      <c r="H12" s="31">
        <f t="shared" si="7"/>
        <v>0</v>
      </c>
      <c r="I12" s="31">
        <f t="shared" si="7"/>
        <v>0</v>
      </c>
      <c r="J12" s="31">
        <f t="shared" si="7"/>
        <v>0</v>
      </c>
      <c r="K12" s="31">
        <f t="shared" si="7"/>
        <v>0</v>
      </c>
      <c r="L12" s="31">
        <f t="shared" si="7"/>
        <v>0</v>
      </c>
      <c r="M12" s="31">
        <f t="shared" si="7"/>
        <v>0</v>
      </c>
      <c r="N12" s="31">
        <f t="shared" si="7"/>
        <v>0</v>
      </c>
      <c r="O12" s="31">
        <f t="shared" si="7"/>
        <v>0</v>
      </c>
      <c r="P12" s="240">
        <f t="shared" ca="1" si="7"/>
        <v>0</v>
      </c>
      <c r="Q12" s="31">
        <f t="shared" ca="1" si="7"/>
        <v>0</v>
      </c>
      <c r="R12" s="31">
        <f t="shared" ca="1" si="7"/>
        <v>0</v>
      </c>
      <c r="S12" s="31">
        <f t="shared" ca="1" si="7"/>
        <v>0</v>
      </c>
      <c r="T12" s="31">
        <f t="shared" ca="1" si="7"/>
        <v>0</v>
      </c>
      <c r="U12" s="31">
        <f t="shared" ca="1" si="7"/>
        <v>0</v>
      </c>
      <c r="V12" s="31">
        <f t="shared" ca="1" si="7"/>
        <v>0</v>
      </c>
      <c r="W12" s="31">
        <f t="shared" ca="1" si="7"/>
        <v>0</v>
      </c>
      <c r="X12" s="31">
        <f t="shared" ca="1" si="7"/>
        <v>0</v>
      </c>
      <c r="Y12" s="31">
        <f t="shared" ca="1" si="7"/>
        <v>0</v>
      </c>
      <c r="Z12" s="31">
        <f t="shared" ca="1" si="7"/>
        <v>0</v>
      </c>
      <c r="AA12" s="31">
        <f t="shared" ca="1" si="7"/>
        <v>1742.3677136592185</v>
      </c>
      <c r="AB12" s="240">
        <f t="shared" ca="1" si="7"/>
        <v>1737.3527293523473</v>
      </c>
      <c r="AC12" s="31">
        <f t="shared" ca="1" si="7"/>
        <v>763.2900460645501</v>
      </c>
      <c r="AD12" s="31">
        <f t="shared" ca="1" si="7"/>
        <v>1238.1051036644171</v>
      </c>
      <c r="AE12" s="31">
        <f t="shared" ca="1" si="7"/>
        <v>1649.875701444234</v>
      </c>
      <c r="AF12" s="31">
        <f t="shared" ca="1" si="7"/>
        <v>1647.7327065405773</v>
      </c>
      <c r="AG12" s="31">
        <f t="shared" ca="1" si="7"/>
        <v>1627.1022636587531</v>
      </c>
      <c r="AH12" s="31">
        <f t="shared" ca="1" si="7"/>
        <v>1585.5249724928872</v>
      </c>
      <c r="AI12" s="31">
        <f t="shared" ca="1" si="7"/>
        <v>1188.5824442091784</v>
      </c>
      <c r="AJ12" s="31">
        <f t="shared" ca="1" si="7"/>
        <v>1176.2440013799203</v>
      </c>
      <c r="AK12" s="31">
        <f t="shared" ca="1" si="7"/>
        <v>1162.4530896505535</v>
      </c>
      <c r="AL12" s="31">
        <f t="shared" ca="1" si="7"/>
        <v>1175.9931593484569</v>
      </c>
      <c r="AM12" s="31">
        <f t="shared" ca="1" si="7"/>
        <v>1217.9879617718636</v>
      </c>
      <c r="AN12" s="266">
        <f t="shared" ca="1" si="7"/>
        <v>1218.243374464254</v>
      </c>
      <c r="AO12" s="239">
        <f t="shared" ca="1" si="7"/>
        <v>1201.7659065730716</v>
      </c>
      <c r="AP12" s="31">
        <f t="shared" ca="1" si="7"/>
        <v>1201.7659065730716</v>
      </c>
      <c r="AQ12" s="240">
        <f ca="1">SUMIFS(AC12:AN12,AC$4:AN$4,"&lt;"&amp;'Title Sheet'!$C$13)</f>
        <v>15651.134824689645</v>
      </c>
      <c r="AR12" s="3"/>
    </row>
    <row r="13" spans="2:44" ht="15.75" hidden="1" x14ac:dyDescent="0.25">
      <c r="B13" t="str">
        <f t="shared" si="3"/>
        <v>PC Annual Direct</v>
      </c>
      <c r="D13" s="213" t="s">
        <v>0</v>
      </c>
      <c r="E13" s="214" t="str">
        <f t="shared" ref="E13:AN13" si="8">IFERROR(IF(E11=0,"-",(E11/E12)-1),"-")</f>
        <v>-</v>
      </c>
      <c r="F13" s="214" t="str">
        <f t="shared" si="8"/>
        <v>-</v>
      </c>
      <c r="G13" s="214" t="str">
        <f t="shared" si="8"/>
        <v>-</v>
      </c>
      <c r="H13" s="214" t="str">
        <f t="shared" si="8"/>
        <v>-</v>
      </c>
      <c r="I13" s="214" t="str">
        <f t="shared" si="8"/>
        <v>-</v>
      </c>
      <c r="J13" s="214" t="str">
        <f t="shared" si="8"/>
        <v>-</v>
      </c>
      <c r="K13" s="214" t="str">
        <f t="shared" si="8"/>
        <v>-</v>
      </c>
      <c r="L13" s="214" t="str">
        <f t="shared" si="8"/>
        <v>-</v>
      </c>
      <c r="M13" s="214" t="str">
        <f t="shared" si="8"/>
        <v>-</v>
      </c>
      <c r="N13" s="214" t="str">
        <f t="shared" si="8"/>
        <v>-</v>
      </c>
      <c r="O13" s="214" t="str">
        <f t="shared" si="8"/>
        <v>-</v>
      </c>
      <c r="P13" s="294" t="str">
        <f t="shared" si="8"/>
        <v>-</v>
      </c>
      <c r="Q13" s="214" t="str">
        <f t="shared" si="8"/>
        <v>-</v>
      </c>
      <c r="R13" s="214" t="str">
        <f t="shared" si="8"/>
        <v>-</v>
      </c>
      <c r="S13" s="214" t="str">
        <f t="shared" si="8"/>
        <v>-</v>
      </c>
      <c r="T13" s="214" t="str">
        <f t="shared" si="8"/>
        <v>-</v>
      </c>
      <c r="U13" s="214" t="str">
        <f t="shared" ca="1" si="8"/>
        <v>-</v>
      </c>
      <c r="V13" s="214" t="str">
        <f t="shared" ca="1" si="8"/>
        <v>-</v>
      </c>
      <c r="W13" s="214" t="str">
        <f t="shared" ca="1" si="8"/>
        <v>-</v>
      </c>
      <c r="X13" s="214" t="str">
        <f t="shared" ca="1" si="8"/>
        <v>-</v>
      </c>
      <c r="Y13" s="214" t="str">
        <f t="shared" ca="1" si="8"/>
        <v>-</v>
      </c>
      <c r="Z13" s="214" t="str">
        <f t="shared" ca="1" si="8"/>
        <v>-</v>
      </c>
      <c r="AA13" s="214">
        <f t="shared" ca="1" si="8"/>
        <v>-0.40744483627180361</v>
      </c>
      <c r="AB13" s="294">
        <f t="shared" ca="1" si="8"/>
        <v>-0.40225032437981001</v>
      </c>
      <c r="AC13" s="214">
        <f t="shared" ca="1" si="8"/>
        <v>0.33255840407930304</v>
      </c>
      <c r="AD13" s="214">
        <f t="shared" ca="1" si="8"/>
        <v>-5.4645485809296401E-2</v>
      </c>
      <c r="AE13" s="214">
        <f t="shared" ca="1" si="8"/>
        <v>-0.26479206259124988</v>
      </c>
      <c r="AF13" s="214">
        <f t="shared" ca="1" si="8"/>
        <v>-0.32045573669416405</v>
      </c>
      <c r="AG13" s="214">
        <f t="shared" ca="1" si="8"/>
        <v>-0.33060181075995776</v>
      </c>
      <c r="AH13" s="214">
        <f t="shared" ca="1" si="8"/>
        <v>-0.31766912315505769</v>
      </c>
      <c r="AI13" s="214">
        <f t="shared" ca="1" si="8"/>
        <v>-9.2009416310378844E-2</v>
      </c>
      <c r="AJ13" s="214">
        <f t="shared" ca="1" si="8"/>
        <v>-8.0344367523350058E-2</v>
      </c>
      <c r="AK13" s="214">
        <f t="shared" ca="1" si="8"/>
        <v>-6.231339659164159E-2</v>
      </c>
      <c r="AL13" s="214">
        <f t="shared" ca="1" si="8"/>
        <v>-9.271572888526336E-2</v>
      </c>
      <c r="AM13" s="214">
        <f t="shared" ca="1" si="8"/>
        <v>-0.10275592173472337</v>
      </c>
      <c r="AN13" s="270">
        <f t="shared" ca="1" si="8"/>
        <v>-0.1053986392277565</v>
      </c>
      <c r="AO13" s="241">
        <f t="shared" ref="AO13:AP13" ca="1" si="9">AO11-AO12</f>
        <v>-180.0303604290998</v>
      </c>
      <c r="AP13" s="242">
        <f t="shared" ca="1" si="9"/>
        <v>-643.13378120869788</v>
      </c>
      <c r="AQ13" s="243">
        <f t="shared" ref="AQ13" ca="1" si="10">IFERROR(IF(AQ11=0,"-",(AQ11/AQ12)-1),"-")</f>
        <v>-0.15712627383278366</v>
      </c>
    </row>
    <row r="14" spans="2:44" ht="15.75" x14ac:dyDescent="0.25">
      <c r="B14" t="str">
        <f t="shared" si="3"/>
        <v>PC Annual Direct</v>
      </c>
      <c r="D14" s="208" t="s">
        <v>7</v>
      </c>
      <c r="E14" s="209">
        <v>63882.723213917787</v>
      </c>
      <c r="F14" s="209">
        <v>190494.91964215893</v>
      </c>
      <c r="G14" s="209">
        <v>1642696.3571451635</v>
      </c>
      <c r="H14" s="209">
        <v>1893030.044629877</v>
      </c>
      <c r="I14" s="209">
        <v>2518272.69643497</v>
      </c>
      <c r="J14" s="209">
        <v>3361762.9107203428</v>
      </c>
      <c r="K14" s="209">
        <v>4345469.5535888178</v>
      </c>
      <c r="L14" s="209">
        <v>3200499.017860631</v>
      </c>
      <c r="M14" s="209">
        <v>2886419.687501987</v>
      </c>
      <c r="N14" s="209">
        <v>3737255.7857106323</v>
      </c>
      <c r="O14" s="209">
        <v>3416574.9642807753</v>
      </c>
      <c r="P14" s="238">
        <v>2984700.3749985681</v>
      </c>
      <c r="Q14" s="209">
        <v>2496784.9196442887</v>
      </c>
      <c r="R14" s="209">
        <v>2485175.8660695194</v>
      </c>
      <c r="S14" s="209">
        <v>2806326.1964317253</v>
      </c>
      <c r="T14" s="209">
        <v>2473860.669643865</v>
      </c>
      <c r="U14" s="209">
        <v>2812501.0892885509</v>
      </c>
      <c r="V14" s="209">
        <v>2674199.1785725723</v>
      </c>
      <c r="W14" s="209">
        <v>2814261.6160722352</v>
      </c>
      <c r="X14" s="209">
        <v>3164323.1071525621</v>
      </c>
      <c r="Y14" s="209">
        <v>3242318.7857170096</v>
      </c>
      <c r="Z14" s="209">
        <v>3772961.6517859623</v>
      </c>
      <c r="AA14" s="209">
        <v>4531577.4107139865</v>
      </c>
      <c r="AB14" s="238">
        <v>4436938.5267816978</v>
      </c>
      <c r="AC14" s="209">
        <v>4898357.5178559562</v>
      </c>
      <c r="AD14" s="209">
        <v>6020561.3392844694</v>
      </c>
      <c r="AE14" s="209">
        <v>8379482.8660593918</v>
      </c>
      <c r="AF14" s="209">
        <v>7400587.1339494968</v>
      </c>
      <c r="AG14" s="209">
        <v>7027372.4732293002</v>
      </c>
      <c r="AH14" s="209">
        <v>5899257.8392859837</v>
      </c>
      <c r="AI14" s="209">
        <v>5028309.0803608084</v>
      </c>
      <c r="AJ14" s="209">
        <v>4370600.7499995213</v>
      </c>
      <c r="AK14" s="209">
        <v>4004691.7410705085</v>
      </c>
      <c r="AL14" s="209">
        <v>3799794.5242150435</v>
      </c>
      <c r="AM14" s="209">
        <v>3985946.0892833942</v>
      </c>
      <c r="AN14" s="265">
        <v>3948053.776785614</v>
      </c>
      <c r="AO14" s="237">
        <f t="shared" ref="AO14:AO16" si="11">AVERAGE(Z14:AC14)</f>
        <v>4409958.7767844005</v>
      </c>
      <c r="AP14" s="209">
        <f>AVERAGE(R14:AC14)</f>
        <v>3342733.4680071366</v>
      </c>
      <c r="AQ14" s="238">
        <f>SUMIFS(AC14:AN14,AC$4:AN$4,"&lt;"&amp;'Title Sheet'!$C$13)</f>
        <v>64763015.131379485</v>
      </c>
    </row>
    <row r="15" spans="2:44" ht="15.75" hidden="1" x14ac:dyDescent="0.25">
      <c r="B15" t="str">
        <f>$D$2&amp;"_GWP"</f>
        <v>PC Annual Direct_GWP</v>
      </c>
      <c r="D15" s="211" t="s">
        <v>23</v>
      </c>
      <c r="E15" s="31" t="e">
        <f>INDEX('Plan Figures'!$B$94:$AP$120,MATCH('Current - MPM only'!E$4,'Plan Figures'!$B$94:$B$120,0),MATCH('Current - MPM only'!$B15,'Plan Figures'!$B$1:$AP$1,0))</f>
        <v>#N/A</v>
      </c>
      <c r="F15" s="31" t="e">
        <f>INDEX('Plan Figures'!$B$94:$AP$120,MATCH('Current - MPM only'!F$4,'Plan Figures'!$B$94:$B$120,0),MATCH('Current - MPM only'!$B15,'Plan Figures'!$B$1:$AP$1,0))</f>
        <v>#N/A</v>
      </c>
      <c r="G15" s="31" t="e">
        <f>INDEX('Plan Figures'!$B$94:$AP$120,MATCH('Current - MPM only'!G$4,'Plan Figures'!$B$94:$B$120,0),MATCH('Current - MPM only'!$B15,'Plan Figures'!$B$1:$AP$1,0))</f>
        <v>#N/A</v>
      </c>
      <c r="H15" s="31" t="e">
        <f>INDEX('Plan Figures'!$B$94:$AP$120,MATCH('Current - MPM only'!H$4,'Plan Figures'!$B$94:$B$120,0),MATCH('Current - MPM only'!$B15,'Plan Figures'!$B$1:$AP$1,0))</f>
        <v>#N/A</v>
      </c>
      <c r="I15" s="31" t="e">
        <f>INDEX('Plan Figures'!$B$94:$AP$120,MATCH('Current - MPM only'!I$4,'Plan Figures'!$B$94:$B$120,0),MATCH('Current - MPM only'!$B15,'Plan Figures'!$B$1:$AP$1,0))</f>
        <v>#N/A</v>
      </c>
      <c r="J15" s="31" t="e">
        <f>INDEX('Plan Figures'!$B$94:$AP$120,MATCH('Current - MPM only'!J$4,'Plan Figures'!$B$94:$B$120,0),MATCH('Current - MPM only'!$B15,'Plan Figures'!$B$1:$AP$1,0))</f>
        <v>#N/A</v>
      </c>
      <c r="K15" s="31" t="e">
        <f>INDEX('Plan Figures'!$B$94:$AP$120,MATCH('Current - MPM only'!K$4,'Plan Figures'!$B$94:$B$120,0),MATCH('Current - MPM only'!$B15,'Plan Figures'!$B$1:$AP$1,0))</f>
        <v>#N/A</v>
      </c>
      <c r="L15" s="31" t="e">
        <f>INDEX('Plan Figures'!$B$94:$AP$120,MATCH('Current - MPM only'!L$4,'Plan Figures'!$B$94:$B$120,0),MATCH('Current - MPM only'!$B15,'Plan Figures'!$B$1:$AP$1,0))</f>
        <v>#N/A</v>
      </c>
      <c r="M15" s="31" t="e">
        <f>INDEX('Plan Figures'!$B$94:$AP$120,MATCH('Current - MPM only'!M$4,'Plan Figures'!$B$94:$B$120,0),MATCH('Current - MPM only'!$B15,'Plan Figures'!$B$1:$AP$1,0))</f>
        <v>#N/A</v>
      </c>
      <c r="N15" s="31" t="e">
        <f>INDEX('Plan Figures'!$B$94:$AP$120,MATCH('Current - MPM only'!N$4,'Plan Figures'!$B$94:$B$120,0),MATCH('Current - MPM only'!$B15,'Plan Figures'!$B$1:$AP$1,0))</f>
        <v>#N/A</v>
      </c>
      <c r="O15" s="31" t="e">
        <f>INDEX('Plan Figures'!$B$94:$AP$120,MATCH('Current - MPM only'!O$4,'Plan Figures'!$B$94:$B$120,0),MATCH('Current - MPM only'!$B15,'Plan Figures'!$B$1:$AP$1,0))</f>
        <v>#N/A</v>
      </c>
      <c r="P15" s="240" t="str">
        <f ca="1">INDEX('Plan Figures'!$B$94:$AP$120,MATCH('Current - MPM only'!P$4,'Plan Figures'!$B$94:$B$120,0),MATCH('Current - MPM only'!$B15,'Plan Figures'!$B$1:$AP$1,0))</f>
        <v>-</v>
      </c>
      <c r="Q15" s="31" t="str">
        <f ca="1">INDEX('Plan Figures'!$B$94:$AP$120,MATCH('Current - MPM only'!Q$4,'Plan Figures'!$B$94:$B$120,0),MATCH('Current - MPM only'!$B15,'Plan Figures'!$B$1:$AP$1,0))</f>
        <v>-</v>
      </c>
      <c r="R15" s="31" t="str">
        <f ca="1">INDEX('Plan Figures'!$B$94:$AP$120,MATCH('Current - MPM only'!R$4,'Plan Figures'!$B$94:$B$120,0),MATCH('Current - MPM only'!$B15,'Plan Figures'!$B$1:$AP$1,0))</f>
        <v>-</v>
      </c>
      <c r="S15" s="31" t="str">
        <f ca="1">INDEX('Plan Figures'!$B$94:$AP$120,MATCH('Current - MPM only'!S$4,'Plan Figures'!$B$94:$B$120,0),MATCH('Current - MPM only'!$B15,'Plan Figures'!$B$1:$AP$1,0))</f>
        <v>-</v>
      </c>
      <c r="T15" s="31" t="str">
        <f ca="1">INDEX('Plan Figures'!$B$94:$AP$120,MATCH('Current - MPM only'!T$4,'Plan Figures'!$B$94:$B$120,0),MATCH('Current - MPM only'!$B15,'Plan Figures'!$B$1:$AP$1,0))</f>
        <v>-</v>
      </c>
      <c r="U15" s="31" t="str">
        <f ca="1">INDEX('Plan Figures'!$B$94:$AP$120,MATCH('Current - MPM only'!U$4,'Plan Figures'!$B$94:$B$120,0),MATCH('Current - MPM only'!$B15,'Plan Figures'!$B$1:$AP$1,0))</f>
        <v>-</v>
      </c>
      <c r="V15" s="31" t="str">
        <f ca="1">INDEX('Plan Figures'!$B$94:$AP$120,MATCH('Current - MPM only'!V$4,'Plan Figures'!$B$94:$B$120,0),MATCH('Current - MPM only'!$B15,'Plan Figures'!$B$1:$AP$1,0))</f>
        <v>-</v>
      </c>
      <c r="W15" s="31" t="str">
        <f ca="1">INDEX('Plan Figures'!$B$94:$AP$120,MATCH('Current - MPM only'!W$4,'Plan Figures'!$B$94:$B$120,0),MATCH('Current - MPM only'!$B15,'Plan Figures'!$B$1:$AP$1,0))</f>
        <v>-</v>
      </c>
      <c r="X15" s="31" t="str">
        <f ca="1">INDEX('Plan Figures'!$B$94:$AP$120,MATCH('Current - MPM only'!X$4,'Plan Figures'!$B$94:$B$120,0),MATCH('Current - MPM only'!$B15,'Plan Figures'!$B$1:$AP$1,0))</f>
        <v>-</v>
      </c>
      <c r="Y15" s="31" t="str">
        <f ca="1">INDEX('Plan Figures'!$B$94:$AP$120,MATCH('Current - MPM only'!Y$4,'Plan Figures'!$B$94:$B$120,0),MATCH('Current - MPM only'!$B15,'Plan Figures'!$B$1:$AP$1,0))</f>
        <v>-</v>
      </c>
      <c r="Z15" s="31" t="str">
        <f ca="1">INDEX('Plan Figures'!$B$94:$AP$120,MATCH('Current - MPM only'!Z$4,'Plan Figures'!$B$94:$B$120,0),MATCH('Current - MPM only'!$B15,'Plan Figures'!$B$1:$AP$1,0))</f>
        <v>-</v>
      </c>
      <c r="AA15" s="31">
        <f ca="1">INDEX('Plan Figures'!$B$94:$AP$120,MATCH('Current - MPM only'!AA$4,'Plan Figures'!$B$94:$B$120,0),MATCH('Current - MPM only'!$B15,'Plan Figures'!$B$1:$AP$1,0))</f>
        <v>2730383.5064988472</v>
      </c>
      <c r="AB15" s="240">
        <f ca="1">INDEX('Plan Figures'!$B$94:$AP$120,MATCH('Current - MPM only'!AB$4,'Plan Figures'!$B$94:$B$120,0),MATCH('Current - MPM only'!$B15,'Plan Figures'!$B$1:$AP$1,0))</f>
        <v>2820707.4327293462</v>
      </c>
      <c r="AC15" s="31">
        <f ca="1">INDEX('Plan Figures'!$B$94:$AP$120,MATCH('Current - MPM only'!AC$4,'Plan Figures'!$B$94:$B$120,0),MATCH('Current - MPM only'!$B15,'Plan Figures'!$B$1:$AP$1,0))</f>
        <v>7198457.7531405166</v>
      </c>
      <c r="AD15" s="31">
        <f ca="1">INDEX('Plan Figures'!$B$94:$AP$120,MATCH('Current - MPM only'!AD$4,'Plan Figures'!$B$94:$B$120,0),MATCH('Current - MPM only'!$B15,'Plan Figures'!$B$1:$AP$1,0))</f>
        <v>7198457.7531405166</v>
      </c>
      <c r="AE15" s="31">
        <f ca="1">INDEX('Plan Figures'!$B$94:$AP$120,MATCH('Current - MPM only'!AE$4,'Plan Figures'!$B$94:$B$120,0),MATCH('Current - MPM only'!$B15,'Plan Figures'!$B$1:$AP$1,0))</f>
        <v>7198457.7531405166</v>
      </c>
      <c r="AF15" s="31">
        <f ca="1">INDEX('Plan Figures'!$B$94:$AP$120,MATCH('Current - MPM only'!AF$4,'Plan Figures'!$B$94:$B$120,0),MATCH('Current - MPM only'!$B15,'Plan Figures'!$B$1:$AP$1,0))</f>
        <v>7198457.7531405166</v>
      </c>
      <c r="AG15" s="31">
        <f ca="1">INDEX('Plan Figures'!$B$94:$AP$120,MATCH('Current - MPM only'!AG$4,'Plan Figures'!$B$94:$B$120,0),MATCH('Current - MPM only'!$B15,'Plan Figures'!$B$1:$AP$1,0))</f>
        <v>7199202.3378039896</v>
      </c>
      <c r="AH15" s="31">
        <f ca="1">INDEX('Plan Figures'!$B$94:$AP$120,MATCH('Current - MPM only'!AH$4,'Plan Figures'!$B$94:$B$120,0),MATCH('Current - MPM only'!$B15,'Plan Figures'!$B$1:$AP$1,0))</f>
        <v>7318060.3548614681</v>
      </c>
      <c r="AI15" s="31">
        <f ca="1">INDEX('Plan Figures'!$B$94:$AP$120,MATCH('Current - MPM only'!AI$4,'Plan Figures'!$B$94:$B$120,0),MATCH('Current - MPM only'!$B15,'Plan Figures'!$B$1:$AP$1,0))</f>
        <v>5702766.7093693437</v>
      </c>
      <c r="AJ15" s="31">
        <f ca="1">INDEX('Plan Figures'!$B$94:$AP$120,MATCH('Current - MPM only'!AJ$4,'Plan Figures'!$B$94:$B$120,0),MATCH('Current - MPM only'!$B15,'Plan Figures'!$B$1:$AP$1,0))</f>
        <v>5426953.6412024517</v>
      </c>
      <c r="AK15" s="31">
        <f ca="1">INDEX('Plan Figures'!$B$94:$AP$120,MATCH('Current - MPM only'!AK$4,'Plan Figures'!$B$94:$B$120,0),MATCH('Current - MPM only'!$B15,'Plan Figures'!$B$1:$AP$1,0))</f>
        <v>6639050.0501694726</v>
      </c>
      <c r="AL15" s="31">
        <f ca="1">INDEX('Plan Figures'!$B$94:$AP$120,MATCH('Current - MPM only'!AL$4,'Plan Figures'!$B$94:$B$120,0),MATCH('Current - MPM only'!$B15,'Plan Figures'!$B$1:$AP$1,0))</f>
        <v>6813714.3506357027</v>
      </c>
      <c r="AM15" s="31">
        <f ca="1">INDEX('Plan Figures'!$B$94:$AP$120,MATCH('Current - MPM only'!AM$4,'Plan Figures'!$B$94:$B$120,0),MATCH('Current - MPM only'!$B15,'Plan Figures'!$B$1:$AP$1,0))</f>
        <v>5575144.8181224335</v>
      </c>
      <c r="AN15" s="266">
        <f ca="1">INDEX('Plan Figures'!$B$94:$AP$120,MATCH('Current - MPM only'!AN$4,'Plan Figures'!$B$94:$B$120,0),MATCH('Current - MPM only'!$B15,'Plan Figures'!$B$1:$AP$1,0))</f>
        <v>4837687.2736693304</v>
      </c>
      <c r="AO15" s="239">
        <f t="shared" ca="1" si="11"/>
        <v>4249849.5641229032</v>
      </c>
      <c r="AP15" s="31">
        <f t="shared" ref="AP15:AP16" ca="1" si="12">AVERAGE(R15:AC15)</f>
        <v>4249849.5641229032</v>
      </c>
      <c r="AQ15" s="240">
        <f ca="1">SUMIFS(AC15:AN15,AC$4:AN$4,"&lt;"&amp;'Title Sheet'!$C$13)</f>
        <v>78306410.54839626</v>
      </c>
      <c r="AR15" s="3"/>
    </row>
    <row r="16" spans="2:44" ht="15.75" hidden="1" x14ac:dyDescent="0.25">
      <c r="B16" t="str">
        <f t="shared" si="3"/>
        <v>PC Annual Direct</v>
      </c>
      <c r="D16" s="213" t="s">
        <v>0</v>
      </c>
      <c r="E16" s="214" t="str">
        <f t="shared" ref="E16:AN16" si="13">IFERROR(IF(E14=0,"-",(E14/E15)-1),"-")</f>
        <v>-</v>
      </c>
      <c r="F16" s="214" t="str">
        <f t="shared" si="13"/>
        <v>-</v>
      </c>
      <c r="G16" s="214" t="str">
        <f t="shared" si="13"/>
        <v>-</v>
      </c>
      <c r="H16" s="214" t="str">
        <f t="shared" si="13"/>
        <v>-</v>
      </c>
      <c r="I16" s="214" t="str">
        <f t="shared" si="13"/>
        <v>-</v>
      </c>
      <c r="J16" s="214" t="str">
        <f t="shared" si="13"/>
        <v>-</v>
      </c>
      <c r="K16" s="214" t="str">
        <f t="shared" si="13"/>
        <v>-</v>
      </c>
      <c r="L16" s="214" t="str">
        <f t="shared" si="13"/>
        <v>-</v>
      </c>
      <c r="M16" s="214" t="str">
        <f t="shared" si="13"/>
        <v>-</v>
      </c>
      <c r="N16" s="214" t="str">
        <f t="shared" si="13"/>
        <v>-</v>
      </c>
      <c r="O16" s="214" t="str">
        <f t="shared" si="13"/>
        <v>-</v>
      </c>
      <c r="P16" s="294" t="str">
        <f t="shared" ca="1" si="13"/>
        <v>-</v>
      </c>
      <c r="Q16" s="214" t="str">
        <f t="shared" ca="1" si="13"/>
        <v>-</v>
      </c>
      <c r="R16" s="214" t="str">
        <f t="shared" ca="1" si="13"/>
        <v>-</v>
      </c>
      <c r="S16" s="214" t="str">
        <f t="shared" ca="1" si="13"/>
        <v>-</v>
      </c>
      <c r="T16" s="214" t="str">
        <f t="shared" ca="1" si="13"/>
        <v>-</v>
      </c>
      <c r="U16" s="214" t="str">
        <f t="shared" ca="1" si="13"/>
        <v>-</v>
      </c>
      <c r="V16" s="214" t="str">
        <f t="shared" ca="1" si="13"/>
        <v>-</v>
      </c>
      <c r="W16" s="214" t="str">
        <f t="shared" ca="1" si="13"/>
        <v>-</v>
      </c>
      <c r="X16" s="214" t="str">
        <f t="shared" ca="1" si="13"/>
        <v>-</v>
      </c>
      <c r="Y16" s="214" t="str">
        <f t="shared" ca="1" si="13"/>
        <v>-</v>
      </c>
      <c r="Z16" s="214" t="str">
        <f t="shared" ca="1" si="13"/>
        <v>-</v>
      </c>
      <c r="AA16" s="214">
        <f t="shared" ca="1" si="13"/>
        <v>0.65968531524159335</v>
      </c>
      <c r="AB16" s="294">
        <f t="shared" ca="1" si="13"/>
        <v>0.5729878523730727</v>
      </c>
      <c r="AC16" s="214">
        <f t="shared" ca="1" si="13"/>
        <v>-0.3195268089586385</v>
      </c>
      <c r="AD16" s="214">
        <f t="shared" ca="1" si="13"/>
        <v>-0.16363177422860598</v>
      </c>
      <c r="AE16" s="214">
        <f t="shared" ca="1" si="13"/>
        <v>0.16406640886426294</v>
      </c>
      <c r="AF16" s="214">
        <f t="shared" ca="1" si="13"/>
        <v>2.8079539776530105E-2</v>
      </c>
      <c r="AG16" s="214">
        <f t="shared" ca="1" si="13"/>
        <v>-2.3867903208163455E-2</v>
      </c>
      <c r="AH16" s="214">
        <f t="shared" ca="1" si="13"/>
        <v>-0.19387685353441475</v>
      </c>
      <c r="AI16" s="214">
        <f t="shared" ca="1" si="13"/>
        <v>-0.11826849376469095</v>
      </c>
      <c r="AJ16" s="214">
        <f t="shared" ca="1" si="13"/>
        <v>-0.19464933018459951</v>
      </c>
      <c r="AK16" s="214">
        <f t="shared" ca="1" si="13"/>
        <v>-0.39679747692694645</v>
      </c>
      <c r="AL16" s="214">
        <f t="shared" ca="1" si="13"/>
        <v>-0.4423314027156815</v>
      </c>
      <c r="AM16" s="214">
        <f t="shared" ca="1" si="13"/>
        <v>-0.28505066337886464</v>
      </c>
      <c r="AN16" s="270">
        <f t="shared" ca="1" si="13"/>
        <v>-0.1838964460819601</v>
      </c>
      <c r="AO16" s="241">
        <f t="shared" ca="1" si="11"/>
        <v>0.30438211955200917</v>
      </c>
      <c r="AP16" s="242">
        <f t="shared" ca="1" si="12"/>
        <v>0.30438211955200917</v>
      </c>
      <c r="AQ16" s="243">
        <f t="shared" ref="AQ16" ca="1" si="14">IFERROR(IF(AQ14=0,"-",(AQ14/AQ15)-1),"-")</f>
        <v>-0.17295385297537624</v>
      </c>
    </row>
    <row r="17" spans="2:44" x14ac:dyDescent="0.25">
      <c r="B17" t="str">
        <f t="shared" si="3"/>
        <v>PC Annual Direct</v>
      </c>
      <c r="D17" s="254" t="s">
        <v>17</v>
      </c>
      <c r="E17" s="259"/>
      <c r="F17" s="259"/>
      <c r="G17" s="259"/>
      <c r="H17" s="259"/>
      <c r="I17" s="259"/>
      <c r="J17" s="259"/>
      <c r="K17" s="259"/>
      <c r="L17" s="259"/>
      <c r="M17" s="259"/>
      <c r="N17" s="259"/>
      <c r="O17" s="259"/>
      <c r="P17" s="313"/>
      <c r="Q17" s="259"/>
      <c r="R17" s="259"/>
      <c r="S17" s="259"/>
      <c r="T17" s="259"/>
      <c r="U17" s="259"/>
      <c r="V17" s="259"/>
      <c r="W17" s="259"/>
      <c r="X17" s="259"/>
      <c r="Y17" s="259"/>
      <c r="Z17" s="259"/>
      <c r="AA17" s="259"/>
      <c r="AB17" s="313"/>
      <c r="AC17" s="259"/>
      <c r="AD17" s="259"/>
      <c r="AE17" s="259"/>
      <c r="AF17" s="259"/>
      <c r="AG17" s="259"/>
      <c r="AH17" s="259"/>
      <c r="AI17" s="259"/>
      <c r="AJ17" s="259"/>
      <c r="AK17" s="259"/>
      <c r="AL17" s="259"/>
      <c r="AM17" s="259"/>
      <c r="AN17" s="267"/>
      <c r="AO17" s="277"/>
      <c r="AP17" s="277"/>
      <c r="AQ17" s="278"/>
    </row>
    <row r="18" spans="2:44" ht="16.5" thickBot="1" x14ac:dyDescent="0.3">
      <c r="D18" s="260" t="s">
        <v>198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2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7.5188942662010993E-3</v>
      </c>
      <c r="V18" s="261">
        <v>0.16616399341545135</v>
      </c>
      <c r="W18" s="261">
        <v>0.17479369534555167</v>
      </c>
      <c r="X18" s="261">
        <v>0.22312309779434192</v>
      </c>
      <c r="Y18" s="261">
        <v>0.26903331237860828</v>
      </c>
      <c r="Z18" s="261">
        <v>0.34977604820668468</v>
      </c>
      <c r="AA18" s="261">
        <v>0.4560012075368986</v>
      </c>
      <c r="AB18" s="262">
        <v>0.44886847484958259</v>
      </c>
      <c r="AC18" s="261">
        <v>0.44936817785317773</v>
      </c>
      <c r="AD18" s="261">
        <v>0.53139469348179902</v>
      </c>
      <c r="AE18" s="261">
        <v>0.6128430382690061</v>
      </c>
      <c r="AF18" s="261">
        <v>0.58011677185913813</v>
      </c>
      <c r="AG18" s="261">
        <v>0.55085430158179816</v>
      </c>
      <c r="AH18" s="261">
        <v>3.3667734183866669</v>
      </c>
      <c r="AI18" s="261" t="s">
        <v>491</v>
      </c>
      <c r="AJ18" s="261" t="s">
        <v>491</v>
      </c>
      <c r="AK18" s="261" t="s">
        <v>491</v>
      </c>
      <c r="AL18" s="261" t="s">
        <v>491</v>
      </c>
      <c r="AM18" s="261" t="s">
        <v>491</v>
      </c>
      <c r="AN18" s="268" t="s">
        <v>491</v>
      </c>
      <c r="AO18" s="261"/>
      <c r="AP18" s="261"/>
      <c r="AQ18" s="262"/>
    </row>
    <row r="20" spans="2:44" ht="15.75" thickBot="1" x14ac:dyDescent="0.3"/>
    <row r="21" spans="2:44" ht="18.75" x14ac:dyDescent="0.25">
      <c r="D21" s="255" t="s">
        <v>183</v>
      </c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33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33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63"/>
      <c r="AO21" s="202"/>
      <c r="AP21" s="202"/>
      <c r="AQ21" s="233"/>
    </row>
    <row r="22" spans="2:44" x14ac:dyDescent="0.25">
      <c r="D22" s="204"/>
      <c r="E22" s="303" t="s">
        <v>341</v>
      </c>
      <c r="F22" s="303"/>
      <c r="G22" s="303"/>
      <c r="H22" s="303"/>
      <c r="I22" s="303"/>
      <c r="J22" s="303"/>
      <c r="K22" s="303"/>
      <c r="L22" s="303"/>
      <c r="M22" s="303"/>
      <c r="N22" s="303"/>
      <c r="O22" s="303"/>
      <c r="P22" s="317"/>
      <c r="Q22" s="320" t="s">
        <v>341</v>
      </c>
      <c r="R22" s="303"/>
      <c r="S22" s="303"/>
      <c r="T22" s="303"/>
      <c r="U22" s="303"/>
      <c r="V22" s="303"/>
      <c r="W22" s="303"/>
      <c r="X22" s="303"/>
      <c r="Y22" s="303"/>
      <c r="Z22" s="303"/>
      <c r="AA22" s="303"/>
      <c r="AB22" s="317"/>
      <c r="AC22" s="303" t="s">
        <v>341</v>
      </c>
      <c r="AD22" s="303"/>
      <c r="AE22" s="303"/>
      <c r="AF22" s="303"/>
      <c r="AG22" s="303"/>
      <c r="AH22" s="303"/>
      <c r="AI22" s="303"/>
      <c r="AJ22" s="303"/>
      <c r="AK22" s="303"/>
      <c r="AL22" s="303"/>
      <c r="AM22" s="303"/>
      <c r="AN22" s="317"/>
      <c r="AO22" s="510" t="s">
        <v>8</v>
      </c>
      <c r="AP22" s="511"/>
      <c r="AQ22" s="512"/>
    </row>
    <row r="23" spans="2:44" x14ac:dyDescent="0.25">
      <c r="D23" s="321" t="s">
        <v>16</v>
      </c>
      <c r="E23" s="318">
        <f t="shared" ref="E23:AN23" si="15">E$4</f>
        <v>44562</v>
      </c>
      <c r="F23" s="318">
        <f t="shared" si="15"/>
        <v>44593</v>
      </c>
      <c r="G23" s="318">
        <f t="shared" si="15"/>
        <v>44621</v>
      </c>
      <c r="H23" s="318">
        <f t="shared" si="15"/>
        <v>44652</v>
      </c>
      <c r="I23" s="318">
        <f t="shared" si="15"/>
        <v>44682</v>
      </c>
      <c r="J23" s="318">
        <f t="shared" si="15"/>
        <v>44713</v>
      </c>
      <c r="K23" s="318">
        <f t="shared" si="15"/>
        <v>44743</v>
      </c>
      <c r="L23" s="318">
        <f t="shared" si="15"/>
        <v>44774</v>
      </c>
      <c r="M23" s="318">
        <f t="shared" si="15"/>
        <v>44805</v>
      </c>
      <c r="N23" s="318">
        <f t="shared" si="15"/>
        <v>44835</v>
      </c>
      <c r="O23" s="318">
        <f t="shared" si="15"/>
        <v>44866</v>
      </c>
      <c r="P23" s="319">
        <f t="shared" si="15"/>
        <v>44896</v>
      </c>
      <c r="Q23" s="318">
        <f t="shared" si="15"/>
        <v>44927</v>
      </c>
      <c r="R23" s="318">
        <f t="shared" si="15"/>
        <v>44958</v>
      </c>
      <c r="S23" s="318">
        <f t="shared" si="15"/>
        <v>44986</v>
      </c>
      <c r="T23" s="318">
        <f t="shared" si="15"/>
        <v>45017</v>
      </c>
      <c r="U23" s="318">
        <f t="shared" si="15"/>
        <v>45047</v>
      </c>
      <c r="V23" s="318">
        <f t="shared" si="15"/>
        <v>45078</v>
      </c>
      <c r="W23" s="318">
        <f t="shared" si="15"/>
        <v>45108</v>
      </c>
      <c r="X23" s="318">
        <f t="shared" si="15"/>
        <v>45139</v>
      </c>
      <c r="Y23" s="318">
        <f t="shared" si="15"/>
        <v>45170</v>
      </c>
      <c r="Z23" s="318">
        <f t="shared" si="15"/>
        <v>45200</v>
      </c>
      <c r="AA23" s="318">
        <f t="shared" si="15"/>
        <v>45231</v>
      </c>
      <c r="AB23" s="319">
        <f t="shared" si="15"/>
        <v>45261</v>
      </c>
      <c r="AC23" s="318">
        <f t="shared" si="15"/>
        <v>45292</v>
      </c>
      <c r="AD23" s="318">
        <f t="shared" si="15"/>
        <v>45323</v>
      </c>
      <c r="AE23" s="318">
        <f t="shared" si="15"/>
        <v>45352</v>
      </c>
      <c r="AF23" s="318">
        <f t="shared" si="15"/>
        <v>45383</v>
      </c>
      <c r="AG23" s="318">
        <f t="shared" si="15"/>
        <v>45413</v>
      </c>
      <c r="AH23" s="318">
        <f t="shared" si="15"/>
        <v>45444</v>
      </c>
      <c r="AI23" s="318">
        <f t="shared" si="15"/>
        <v>45474</v>
      </c>
      <c r="AJ23" s="318">
        <f t="shared" si="15"/>
        <v>45505</v>
      </c>
      <c r="AK23" s="318">
        <f t="shared" si="15"/>
        <v>45536</v>
      </c>
      <c r="AL23" s="318">
        <f t="shared" si="15"/>
        <v>45566</v>
      </c>
      <c r="AM23" s="318">
        <f t="shared" si="15"/>
        <v>45597</v>
      </c>
      <c r="AN23" s="316">
        <f t="shared" si="15"/>
        <v>45627</v>
      </c>
      <c r="AO23" s="271" t="s">
        <v>9</v>
      </c>
      <c r="AP23" s="272" t="str">
        <f>AP4</f>
        <v>Last Year</v>
      </c>
      <c r="AQ23" s="273" t="s">
        <v>346</v>
      </c>
    </row>
    <row r="24" spans="2:44" ht="15.75" x14ac:dyDescent="0.25">
      <c r="B24" t="str">
        <f>$D$2</f>
        <v>PC Annual Direct</v>
      </c>
      <c r="D24" s="208" t="s">
        <v>316</v>
      </c>
      <c r="E24" s="209">
        <f t="shared" ref="E24:AB24" si="16">E41+E58</f>
        <v>32.958904109999992</v>
      </c>
      <c r="F24" s="209">
        <f t="shared" si="16"/>
        <v>183.15890411399999</v>
      </c>
      <c r="G24" s="209">
        <f t="shared" si="16"/>
        <v>777.1561644049998</v>
      </c>
      <c r="H24" s="209">
        <f t="shared" si="16"/>
        <v>598.16438357899995</v>
      </c>
      <c r="I24" s="209">
        <f t="shared" si="16"/>
        <v>651.84109590900027</v>
      </c>
      <c r="J24" s="209">
        <f t="shared" si="16"/>
        <v>1090.9917808519999</v>
      </c>
      <c r="K24" s="209">
        <f t="shared" si="16"/>
        <v>2201.4493151239999</v>
      </c>
      <c r="L24" s="209">
        <f t="shared" si="16"/>
        <v>1903.8082192210006</v>
      </c>
      <c r="M24" s="209">
        <f t="shared" si="16"/>
        <v>2736.468493230997</v>
      </c>
      <c r="N24" s="209">
        <f t="shared" si="16"/>
        <v>3687.6602740729986</v>
      </c>
      <c r="O24" s="209">
        <f t="shared" si="16"/>
        <v>3341.5972603647956</v>
      </c>
      <c r="P24" s="238">
        <f t="shared" si="16"/>
        <v>2526.2575343179969</v>
      </c>
      <c r="Q24" s="209">
        <f t="shared" si="16"/>
        <v>2004.9287671809998</v>
      </c>
      <c r="R24" s="209">
        <f t="shared" si="16"/>
        <v>2177.1205480079975</v>
      </c>
      <c r="S24" s="209">
        <f t="shared" si="16"/>
        <v>2686.721311545401</v>
      </c>
      <c r="T24" s="209">
        <f t="shared" si="16"/>
        <v>1944.6939891300005</v>
      </c>
      <c r="U24" s="209">
        <f t="shared" si="16"/>
        <v>1627.2103825526017</v>
      </c>
      <c r="V24" s="209">
        <f t="shared" si="16"/>
        <v>1168.2404371882005</v>
      </c>
      <c r="W24" s="209">
        <f t="shared" si="16"/>
        <v>657.13661201320099</v>
      </c>
      <c r="X24" s="209">
        <f t="shared" si="16"/>
        <v>858.71038251520122</v>
      </c>
      <c r="Y24" s="209">
        <f t="shared" si="16"/>
        <v>863.89344265020111</v>
      </c>
      <c r="Z24" s="209">
        <f t="shared" si="16"/>
        <v>1089.696721341802</v>
      </c>
      <c r="AA24" s="209">
        <f t="shared" si="16"/>
        <v>1822.3606557956</v>
      </c>
      <c r="AB24" s="238">
        <f t="shared" si="16"/>
        <v>1644.6256831067997</v>
      </c>
      <c r="AC24" s="209">
        <f>AC41+AC58</f>
        <v>1928.9098361332008</v>
      </c>
      <c r="AD24" s="209">
        <f t="shared" ref="AD24:AN24" si="17">AD41+AD58</f>
        <v>2938.8278689344006</v>
      </c>
      <c r="AE24" s="209">
        <f t="shared" si="17"/>
        <v>4719.2684932679986</v>
      </c>
      <c r="AF24" s="209">
        <f t="shared" si="17"/>
        <v>4813.9671234189964</v>
      </c>
      <c r="AG24" s="209">
        <f t="shared" si="17"/>
        <v>4822.7863015119965</v>
      </c>
      <c r="AH24" s="209">
        <f t="shared" si="17"/>
        <v>4094.0109590139946</v>
      </c>
      <c r="AI24" s="209">
        <f t="shared" si="17"/>
        <v>3413.1726028770031</v>
      </c>
      <c r="AJ24" s="209">
        <f t="shared" si="17"/>
        <v>2981.5780822710012</v>
      </c>
      <c r="AK24" s="209">
        <f t="shared" si="17"/>
        <v>2786.4410959410015</v>
      </c>
      <c r="AL24" s="209">
        <f t="shared" si="17"/>
        <v>2784.8684932270007</v>
      </c>
      <c r="AM24" s="209">
        <f t="shared" si="17"/>
        <v>3062.2739727180015</v>
      </c>
      <c r="AN24" s="265">
        <f t="shared" si="17"/>
        <v>3179.8547945970022</v>
      </c>
      <c r="AO24" s="237">
        <f t="shared" ref="AO24:AO29" si="18">AVERAGE(Z24:AC24)</f>
        <v>1621.3982240943506</v>
      </c>
      <c r="AP24" s="209">
        <f>AVERAGE(R24:AC24)</f>
        <v>1539.1100001650173</v>
      </c>
      <c r="AQ24" s="238">
        <f>SUMIFS(AC24:AN24,AC$4:AN$4,"&lt;"&amp;'Title Sheet'!$C$13)</f>
        <v>41525.959623911593</v>
      </c>
    </row>
    <row r="25" spans="2:44" ht="15.75" hidden="1" x14ac:dyDescent="0.25">
      <c r="B25" t="str">
        <f>$D$21&amp;"_W VYRs"</f>
        <v>PC Annual Direct - Annual_W VYRs</v>
      </c>
      <c r="D25" s="211" t="s">
        <v>317</v>
      </c>
      <c r="E25" s="31" t="str">
        <f>IFERROR(E42+E59,"-")</f>
        <v>-</v>
      </c>
      <c r="F25" s="31" t="str">
        <f t="shared" ref="F25:AN25" si="19">IFERROR(F42+F59,"-")</f>
        <v>-</v>
      </c>
      <c r="G25" s="31" t="str">
        <f t="shared" si="19"/>
        <v>-</v>
      </c>
      <c r="H25" s="31" t="str">
        <f t="shared" si="19"/>
        <v>-</v>
      </c>
      <c r="I25" s="31" t="str">
        <f t="shared" si="19"/>
        <v>-</v>
      </c>
      <c r="J25" s="31" t="str">
        <f t="shared" si="19"/>
        <v>-</v>
      </c>
      <c r="K25" s="31" t="str">
        <f t="shared" si="19"/>
        <v>-</v>
      </c>
      <c r="L25" s="31" t="str">
        <f t="shared" si="19"/>
        <v>-</v>
      </c>
      <c r="M25" s="31" t="str">
        <f t="shared" si="19"/>
        <v>-</v>
      </c>
      <c r="N25" s="31" t="str">
        <f t="shared" si="19"/>
        <v>-</v>
      </c>
      <c r="O25" s="31" t="str">
        <f t="shared" si="19"/>
        <v>-</v>
      </c>
      <c r="P25" s="240" t="str">
        <f t="shared" ca="1" si="19"/>
        <v>-</v>
      </c>
      <c r="Q25" s="31" t="str">
        <f t="shared" ca="1" si="19"/>
        <v>-</v>
      </c>
      <c r="R25" s="31" t="str">
        <f t="shared" ca="1" si="19"/>
        <v>-</v>
      </c>
      <c r="S25" s="31" t="str">
        <f t="shared" ca="1" si="19"/>
        <v>-</v>
      </c>
      <c r="T25" s="31" t="str">
        <f t="shared" ca="1" si="19"/>
        <v>-</v>
      </c>
      <c r="U25" s="31" t="str">
        <f t="shared" ca="1" si="19"/>
        <v>-</v>
      </c>
      <c r="V25" s="31" t="str">
        <f t="shared" ca="1" si="19"/>
        <v>-</v>
      </c>
      <c r="W25" s="31" t="str">
        <f t="shared" ca="1" si="19"/>
        <v>-</v>
      </c>
      <c r="X25" s="31" t="str">
        <f t="shared" ca="1" si="19"/>
        <v>-</v>
      </c>
      <c r="Y25" s="31" t="str">
        <f t="shared" ca="1" si="19"/>
        <v>-</v>
      </c>
      <c r="Z25" s="31" t="str">
        <f t="shared" ca="1" si="19"/>
        <v>-</v>
      </c>
      <c r="AA25" s="31">
        <f t="shared" ca="1" si="19"/>
        <v>1113.4200697273855</v>
      </c>
      <c r="AB25" s="240">
        <f t="shared" ca="1" si="19"/>
        <v>989.67431218271486</v>
      </c>
      <c r="AC25" s="31">
        <f t="shared" ca="1" si="19"/>
        <v>3440.5967237575701</v>
      </c>
      <c r="AD25" s="31">
        <f t="shared" ca="1" si="19"/>
        <v>3433.7292652271162</v>
      </c>
      <c r="AE25" s="31">
        <f t="shared" ca="1" si="19"/>
        <v>3426.8755141987185</v>
      </c>
      <c r="AF25" s="31">
        <f t="shared" ca="1" si="19"/>
        <v>3420.0354433120947</v>
      </c>
      <c r="AG25" s="31">
        <f t="shared" ca="1" si="19"/>
        <v>3413.8988311276489</v>
      </c>
      <c r="AH25" s="31">
        <f t="shared" ca="1" si="19"/>
        <v>3512.7946396779298</v>
      </c>
      <c r="AI25" s="31">
        <f t="shared" ca="1" si="19"/>
        <v>3241.3746116313787</v>
      </c>
      <c r="AJ25" s="31">
        <f t="shared" ca="1" si="19"/>
        <v>3210.168278901921</v>
      </c>
      <c r="AK25" s="31">
        <f t="shared" ca="1" si="19"/>
        <v>4391.2742500945351</v>
      </c>
      <c r="AL25" s="31">
        <f t="shared" ca="1" si="19"/>
        <v>4703.1955264553853</v>
      </c>
      <c r="AM25" s="31">
        <f t="shared" ca="1" si="19"/>
        <v>3926.4797097622131</v>
      </c>
      <c r="AN25" s="266">
        <f t="shared" ca="1" si="19"/>
        <v>3573.0039203929732</v>
      </c>
      <c r="AO25" s="239">
        <f t="shared" ca="1" si="18"/>
        <v>1847.897035222557</v>
      </c>
      <c r="AP25" s="31">
        <f t="shared" ref="AP25:AP29" ca="1" si="20">AVERAGE(R25:AC25)</f>
        <v>1847.897035222557</v>
      </c>
      <c r="AQ25" s="240">
        <f ca="1">SUMIFS(AC25:AN25,AC$4:AN$4,"&lt;"&amp;'Title Sheet'!$C$13)</f>
        <v>43693.426714539484</v>
      </c>
    </row>
    <row r="26" spans="2:44" ht="15.75" hidden="1" x14ac:dyDescent="0.25">
      <c r="B26" t="str">
        <f t="shared" ref="B26:B35" si="21">$D$2</f>
        <v>PC Annual Direct</v>
      </c>
      <c r="D26" s="213" t="s">
        <v>0</v>
      </c>
      <c r="E26" s="214" t="str">
        <f t="shared" ref="E26:AN26" si="22">IFERROR(IF(E24=0,"-",(E24/E25)-1),"-")</f>
        <v>-</v>
      </c>
      <c r="F26" s="214" t="str">
        <f t="shared" si="22"/>
        <v>-</v>
      </c>
      <c r="G26" s="214" t="str">
        <f t="shared" si="22"/>
        <v>-</v>
      </c>
      <c r="H26" s="214" t="str">
        <f t="shared" si="22"/>
        <v>-</v>
      </c>
      <c r="I26" s="214" t="str">
        <f t="shared" si="22"/>
        <v>-</v>
      </c>
      <c r="J26" s="214" t="str">
        <f t="shared" si="22"/>
        <v>-</v>
      </c>
      <c r="K26" s="214" t="str">
        <f t="shared" si="22"/>
        <v>-</v>
      </c>
      <c r="L26" s="214" t="str">
        <f t="shared" si="22"/>
        <v>-</v>
      </c>
      <c r="M26" s="214" t="str">
        <f t="shared" si="22"/>
        <v>-</v>
      </c>
      <c r="N26" s="214" t="str">
        <f t="shared" si="22"/>
        <v>-</v>
      </c>
      <c r="O26" s="214" t="str">
        <f t="shared" si="22"/>
        <v>-</v>
      </c>
      <c r="P26" s="294" t="str">
        <f t="shared" ca="1" si="22"/>
        <v>-</v>
      </c>
      <c r="Q26" s="214" t="str">
        <f t="shared" ca="1" si="22"/>
        <v>-</v>
      </c>
      <c r="R26" s="214" t="str">
        <f t="shared" ca="1" si="22"/>
        <v>-</v>
      </c>
      <c r="S26" s="214" t="str">
        <f t="shared" ca="1" si="22"/>
        <v>-</v>
      </c>
      <c r="T26" s="214" t="str">
        <f t="shared" ca="1" si="22"/>
        <v>-</v>
      </c>
      <c r="U26" s="214" t="str">
        <f t="shared" ca="1" si="22"/>
        <v>-</v>
      </c>
      <c r="V26" s="214" t="str">
        <f t="shared" ca="1" si="22"/>
        <v>-</v>
      </c>
      <c r="W26" s="214" t="str">
        <f t="shared" ca="1" si="22"/>
        <v>-</v>
      </c>
      <c r="X26" s="214" t="str">
        <f t="shared" ca="1" si="22"/>
        <v>-</v>
      </c>
      <c r="Y26" s="214" t="str">
        <f t="shared" ca="1" si="22"/>
        <v>-</v>
      </c>
      <c r="Z26" s="214" t="str">
        <f t="shared" ca="1" si="22"/>
        <v>-</v>
      </c>
      <c r="AA26" s="214">
        <f t="shared" ca="1" si="22"/>
        <v>0.63672337632803289</v>
      </c>
      <c r="AB26" s="294">
        <f t="shared" ca="1" si="22"/>
        <v>0.66178475369295731</v>
      </c>
      <c r="AC26" s="214">
        <f t="shared" ca="1" si="22"/>
        <v>-0.43936764724155597</v>
      </c>
      <c r="AD26" s="214">
        <f t="shared" ca="1" si="22"/>
        <v>-0.14412941675527857</v>
      </c>
      <c r="AE26" s="214">
        <f t="shared" ca="1" si="22"/>
        <v>0.37713449867509152</v>
      </c>
      <c r="AF26" s="214">
        <f t="shared" ca="1" si="22"/>
        <v>0.40757813865138326</v>
      </c>
      <c r="AG26" s="214">
        <f t="shared" ca="1" si="22"/>
        <v>0.41269162915380719</v>
      </c>
      <c r="AH26" s="214">
        <f t="shared" ca="1" si="22"/>
        <v>0.16545695918886771</v>
      </c>
      <c r="AI26" s="214">
        <f t="shared" ca="1" si="22"/>
        <v>5.3001584768740617E-2</v>
      </c>
      <c r="AJ26" s="214">
        <f t="shared" ca="1" si="22"/>
        <v>-7.1208166292488606E-2</v>
      </c>
      <c r="AK26" s="214">
        <f t="shared" ca="1" si="22"/>
        <v>-0.36545955974373157</v>
      </c>
      <c r="AL26" s="214">
        <f t="shared" ca="1" si="22"/>
        <v>-0.40787737240304633</v>
      </c>
      <c r="AM26" s="214">
        <f t="shared" ca="1" si="22"/>
        <v>-0.22009682996593094</v>
      </c>
      <c r="AN26" s="270">
        <f t="shared" ca="1" si="22"/>
        <v>-0.1100332198215811</v>
      </c>
      <c r="AO26" s="274">
        <f t="shared" ca="1" si="18"/>
        <v>0.28638016092647806</v>
      </c>
      <c r="AP26" s="275">
        <f t="shared" ca="1" si="20"/>
        <v>0.28638016092647806</v>
      </c>
      <c r="AQ26" s="276">
        <f t="shared" ref="AQ26" ca="1" si="23">IFERROR(IF(AQ24=0,"-",(AQ24/AQ25)-1),"-")</f>
        <v>-4.9606250953684983E-2</v>
      </c>
    </row>
    <row r="27" spans="2:44" ht="15.75" x14ac:dyDescent="0.25">
      <c r="B27" t="str">
        <f t="shared" si="21"/>
        <v>PC Annual Direct</v>
      </c>
      <c r="D27" s="208" t="s">
        <v>5</v>
      </c>
      <c r="E27" s="209">
        <f t="shared" ref="E27:AB27" si="24">E44+E61</f>
        <v>0</v>
      </c>
      <c r="F27" s="209">
        <f t="shared" si="24"/>
        <v>0</v>
      </c>
      <c r="G27" s="209">
        <f t="shared" si="24"/>
        <v>0</v>
      </c>
      <c r="H27" s="209">
        <f t="shared" si="24"/>
        <v>0</v>
      </c>
      <c r="I27" s="209">
        <f t="shared" si="24"/>
        <v>0</v>
      </c>
      <c r="J27" s="209">
        <f t="shared" si="24"/>
        <v>0</v>
      </c>
      <c r="K27" s="209">
        <f t="shared" si="24"/>
        <v>0</v>
      </c>
      <c r="L27" s="209">
        <f t="shared" si="24"/>
        <v>0</v>
      </c>
      <c r="M27" s="209">
        <f t="shared" si="24"/>
        <v>0</v>
      </c>
      <c r="N27" s="209">
        <f t="shared" si="24"/>
        <v>0</v>
      </c>
      <c r="O27" s="209">
        <f t="shared" si="24"/>
        <v>0</v>
      </c>
      <c r="P27" s="238">
        <f t="shared" si="24"/>
        <v>0</v>
      </c>
      <c r="Q27" s="209">
        <f t="shared" si="24"/>
        <v>0</v>
      </c>
      <c r="R27" s="209">
        <f t="shared" si="24"/>
        <v>0</v>
      </c>
      <c r="S27" s="209">
        <f t="shared" si="24"/>
        <v>0</v>
      </c>
      <c r="T27" s="209">
        <f t="shared" si="24"/>
        <v>0</v>
      </c>
      <c r="U27" s="209">
        <f t="shared" si="24"/>
        <v>40951.182142436104</v>
      </c>
      <c r="V27" s="209">
        <f t="shared" si="24"/>
        <v>945624.45928729349</v>
      </c>
      <c r="W27" s="209">
        <f t="shared" si="24"/>
        <v>896470.2778577751</v>
      </c>
      <c r="X27" s="209">
        <f t="shared" si="24"/>
        <v>1071653.1207244031</v>
      </c>
      <c r="Y27" s="209">
        <f t="shared" si="24"/>
        <v>1115138.8496423969</v>
      </c>
      <c r="Z27" s="209">
        <f t="shared" si="24"/>
        <v>1337651.323214008</v>
      </c>
      <c r="AA27" s="209">
        <f t="shared" si="24"/>
        <v>1843053.8217862977</v>
      </c>
      <c r="AB27" s="238">
        <f t="shared" si="24"/>
        <v>1639641.0149972043</v>
      </c>
      <c r="AC27" s="209">
        <f>AC44+AC61</f>
        <v>2063723.8753563585</v>
      </c>
      <c r="AD27" s="209">
        <f t="shared" ref="AD27:AN27" si="25">AD44+AD61</f>
        <v>3552789.3432058739</v>
      </c>
      <c r="AE27" s="209">
        <f t="shared" si="25"/>
        <v>5900791.1803528909</v>
      </c>
      <c r="AF27" s="209">
        <f t="shared" si="25"/>
        <v>5312417.110375477</v>
      </c>
      <c r="AG27" s="209">
        <f t="shared" si="25"/>
        <v>5056237.0814412851</v>
      </c>
      <c r="AH27" s="209">
        <f t="shared" si="25"/>
        <v>4220634.4728614129</v>
      </c>
      <c r="AI27" s="209">
        <f t="shared" si="25"/>
        <v>3519487.3310718127</v>
      </c>
      <c r="AJ27" s="209">
        <f t="shared" si="25"/>
        <v>3079046.2346450021</v>
      </c>
      <c r="AK27" s="209">
        <f t="shared" si="25"/>
        <v>2930375.0310712364</v>
      </c>
      <c r="AL27" s="209">
        <f t="shared" si="25"/>
        <v>2889518.8731429037</v>
      </c>
      <c r="AM27" s="209">
        <f t="shared" si="25"/>
        <v>3294957.1614266383</v>
      </c>
      <c r="AN27" s="265">
        <f t="shared" si="25"/>
        <v>3435668.2439280208</v>
      </c>
      <c r="AO27" s="237">
        <f t="shared" si="18"/>
        <v>1721017.5088384671</v>
      </c>
      <c r="AP27" s="209">
        <f t="shared" si="20"/>
        <v>912825.6604173478</v>
      </c>
      <c r="AQ27" s="238">
        <f>SUMIFS(AC27:AN27,AC$4:AN$4,"&lt;"&amp;'Title Sheet'!$C$13)</f>
        <v>45255645.938878916</v>
      </c>
    </row>
    <row r="28" spans="2:44" ht="15.75" x14ac:dyDescent="0.25">
      <c r="B28" t="str">
        <f>$D$21&amp;"_NWP"</f>
        <v>PC Annual Direct - Annual_NWP</v>
      </c>
      <c r="D28" s="211" t="s">
        <v>6</v>
      </c>
      <c r="E28" s="31" t="str">
        <f>IFERROR(E45+E62,"-")</f>
        <v>-</v>
      </c>
      <c r="F28" s="31" t="str">
        <f t="shared" ref="F28:AN28" si="26">IFERROR(F45+F62,"-")</f>
        <v>-</v>
      </c>
      <c r="G28" s="31" t="str">
        <f t="shared" si="26"/>
        <v>-</v>
      </c>
      <c r="H28" s="31" t="str">
        <f t="shared" si="26"/>
        <v>-</v>
      </c>
      <c r="I28" s="31" t="str">
        <f t="shared" si="26"/>
        <v>-</v>
      </c>
      <c r="J28" s="31" t="str">
        <f t="shared" si="26"/>
        <v>-</v>
      </c>
      <c r="K28" s="31" t="str">
        <f t="shared" si="26"/>
        <v>-</v>
      </c>
      <c r="L28" s="31" t="str">
        <f t="shared" si="26"/>
        <v>-</v>
      </c>
      <c r="M28" s="31" t="str">
        <f t="shared" si="26"/>
        <v>-</v>
      </c>
      <c r="N28" s="31" t="str">
        <f t="shared" si="26"/>
        <v>-</v>
      </c>
      <c r="O28" s="31" t="str">
        <f t="shared" si="26"/>
        <v>-</v>
      </c>
      <c r="P28" s="240" t="str">
        <f t="shared" ca="1" si="26"/>
        <v>-</v>
      </c>
      <c r="Q28" s="31" t="str">
        <f t="shared" ca="1" si="26"/>
        <v>-</v>
      </c>
      <c r="R28" s="31" t="str">
        <f t="shared" ca="1" si="26"/>
        <v>-</v>
      </c>
      <c r="S28" s="31" t="str">
        <f t="shared" ca="1" si="26"/>
        <v>-</v>
      </c>
      <c r="T28" s="31" t="str">
        <f t="shared" ca="1" si="26"/>
        <v>-</v>
      </c>
      <c r="U28" s="31" t="str">
        <f t="shared" ca="1" si="26"/>
        <v>-</v>
      </c>
      <c r="V28" s="31" t="str">
        <f t="shared" ca="1" si="26"/>
        <v>-</v>
      </c>
      <c r="W28" s="31" t="str">
        <f t="shared" ca="1" si="26"/>
        <v>-</v>
      </c>
      <c r="X28" s="31" t="str">
        <f t="shared" ca="1" si="26"/>
        <v>-</v>
      </c>
      <c r="Y28" s="31" t="str">
        <f t="shared" ca="1" si="26"/>
        <v>-</v>
      </c>
      <c r="Z28" s="31" t="str">
        <f t="shared" ca="1" si="26"/>
        <v>-</v>
      </c>
      <c r="AA28" s="31">
        <f t="shared" ca="1" si="26"/>
        <v>1201948.8602582696</v>
      </c>
      <c r="AB28" s="240">
        <f t="shared" ca="1" si="26"/>
        <v>1130181.9540233866</v>
      </c>
      <c r="AC28" s="31">
        <f t="shared" ca="1" si="26"/>
        <v>1235960.0527141613</v>
      </c>
      <c r="AD28" s="31">
        <f t="shared" ca="1" si="26"/>
        <v>3209687.704195444</v>
      </c>
      <c r="AE28" s="31">
        <f t="shared" ca="1" si="26"/>
        <v>5072820.0524703469</v>
      </c>
      <c r="AF28" s="31">
        <f t="shared" ca="1" si="26"/>
        <v>5239479.5187660325</v>
      </c>
      <c r="AG28" s="31">
        <f t="shared" ca="1" si="26"/>
        <v>5303355.8491957653</v>
      </c>
      <c r="AH28" s="31">
        <f t="shared" ca="1" si="26"/>
        <v>5403246.6544383466</v>
      </c>
      <c r="AI28" s="31">
        <f t="shared" ca="1" si="26"/>
        <v>3637466.5510302437</v>
      </c>
      <c r="AJ28" s="31">
        <f t="shared" ca="1" si="26"/>
        <v>3591493.9019086361</v>
      </c>
      <c r="AK28" s="31">
        <f t="shared" ca="1" si="26"/>
        <v>4955142.3580386769</v>
      </c>
      <c r="AL28" s="31">
        <f t="shared" ca="1" si="26"/>
        <v>5435486.3438475803</v>
      </c>
      <c r="AM28" s="31">
        <f t="shared" ca="1" si="26"/>
        <v>4741100.2670995463</v>
      </c>
      <c r="AN28" s="266">
        <f t="shared" ca="1" si="26"/>
        <v>4339440.1880950555</v>
      </c>
      <c r="AO28" s="239">
        <f t="shared" ca="1" si="18"/>
        <v>1189363.6223319394</v>
      </c>
      <c r="AP28" s="31">
        <f t="shared" ca="1" si="20"/>
        <v>1189363.6223319394</v>
      </c>
      <c r="AQ28" s="240">
        <f ca="1">SUMIFS(AC28:AN28,AC$4:AN$4,"&lt;"&amp;'Title Sheet'!$C$13)</f>
        <v>52164679.441799834</v>
      </c>
    </row>
    <row r="29" spans="2:44" ht="15.75" x14ac:dyDescent="0.25">
      <c r="B29" t="str">
        <f t="shared" si="21"/>
        <v>PC Annual Direct</v>
      </c>
      <c r="D29" s="213" t="s">
        <v>0</v>
      </c>
      <c r="E29" s="214" t="str">
        <f t="shared" ref="E29:AN29" si="27">IFERROR(IF(E27=0,"-",(E27/E28)-1),"-")</f>
        <v>-</v>
      </c>
      <c r="F29" s="214" t="str">
        <f t="shared" si="27"/>
        <v>-</v>
      </c>
      <c r="G29" s="214" t="str">
        <f t="shared" si="27"/>
        <v>-</v>
      </c>
      <c r="H29" s="214" t="str">
        <f t="shared" si="27"/>
        <v>-</v>
      </c>
      <c r="I29" s="214" t="str">
        <f t="shared" si="27"/>
        <v>-</v>
      </c>
      <c r="J29" s="214" t="str">
        <f t="shared" si="27"/>
        <v>-</v>
      </c>
      <c r="K29" s="214" t="str">
        <f t="shared" si="27"/>
        <v>-</v>
      </c>
      <c r="L29" s="214" t="str">
        <f t="shared" si="27"/>
        <v>-</v>
      </c>
      <c r="M29" s="214" t="str">
        <f t="shared" si="27"/>
        <v>-</v>
      </c>
      <c r="N29" s="214" t="str">
        <f t="shared" si="27"/>
        <v>-</v>
      </c>
      <c r="O29" s="214" t="str">
        <f t="shared" si="27"/>
        <v>-</v>
      </c>
      <c r="P29" s="294" t="str">
        <f t="shared" si="27"/>
        <v>-</v>
      </c>
      <c r="Q29" s="214" t="str">
        <f t="shared" si="27"/>
        <v>-</v>
      </c>
      <c r="R29" s="214" t="str">
        <f t="shared" si="27"/>
        <v>-</v>
      </c>
      <c r="S29" s="214" t="str">
        <f t="shared" si="27"/>
        <v>-</v>
      </c>
      <c r="T29" s="214" t="str">
        <f t="shared" si="27"/>
        <v>-</v>
      </c>
      <c r="U29" s="214" t="str">
        <f t="shared" ca="1" si="27"/>
        <v>-</v>
      </c>
      <c r="V29" s="214" t="str">
        <f t="shared" ca="1" si="27"/>
        <v>-</v>
      </c>
      <c r="W29" s="214" t="str">
        <f t="shared" ca="1" si="27"/>
        <v>-</v>
      </c>
      <c r="X29" s="214" t="str">
        <f t="shared" ca="1" si="27"/>
        <v>-</v>
      </c>
      <c r="Y29" s="214" t="str">
        <f t="shared" ca="1" si="27"/>
        <v>-</v>
      </c>
      <c r="Z29" s="214" t="str">
        <f t="shared" ca="1" si="27"/>
        <v>-</v>
      </c>
      <c r="AA29" s="214">
        <f t="shared" ca="1" si="27"/>
        <v>0.53338788589580277</v>
      </c>
      <c r="AB29" s="294">
        <f t="shared" ca="1" si="27"/>
        <v>0.45077614198330718</v>
      </c>
      <c r="AC29" s="214">
        <f t="shared" ca="1" si="27"/>
        <v>0.66973347627573587</v>
      </c>
      <c r="AD29" s="214">
        <f t="shared" ca="1" si="27"/>
        <v>0.1068956455053105</v>
      </c>
      <c r="AE29" s="214">
        <f t="shared" ca="1" si="27"/>
        <v>0.16321712958837176</v>
      </c>
      <c r="AF29" s="214">
        <f t="shared" ca="1" si="27"/>
        <v>1.3920770440691177E-2</v>
      </c>
      <c r="AG29" s="214">
        <f t="shared" ca="1" si="27"/>
        <v>-4.6596678552497051E-2</v>
      </c>
      <c r="AH29" s="214">
        <f t="shared" ca="1" si="27"/>
        <v>-0.21887066373427722</v>
      </c>
      <c r="AI29" s="214">
        <f t="shared" ca="1" si="27"/>
        <v>-3.2434448070736366E-2</v>
      </c>
      <c r="AJ29" s="214">
        <f t="shared" ca="1" si="27"/>
        <v>-0.14268370802225305</v>
      </c>
      <c r="AK29" s="214">
        <f t="shared" ca="1" si="27"/>
        <v>-0.40861940599601165</v>
      </c>
      <c r="AL29" s="214">
        <f t="shared" ca="1" si="27"/>
        <v>-0.46839736311479352</v>
      </c>
      <c r="AM29" s="214">
        <f t="shared" ca="1" si="27"/>
        <v>-0.30502267916759584</v>
      </c>
      <c r="AN29" s="270">
        <f t="shared" ca="1" si="27"/>
        <v>-0.20826924787360102</v>
      </c>
      <c r="AO29" s="274">
        <f t="shared" ca="1" si="18"/>
        <v>0.55129916805161527</v>
      </c>
      <c r="AP29" s="275">
        <f t="shared" ca="1" si="20"/>
        <v>0.55129916805161527</v>
      </c>
      <c r="AQ29" s="276">
        <f t="shared" ref="AQ29" ca="1" si="28">IFERROR(IF(AQ27=0,"-",(AQ27/AQ28)-1),"-")</f>
        <v>-0.13244658218650285</v>
      </c>
    </row>
    <row r="30" spans="2:44" ht="15.75" x14ac:dyDescent="0.25">
      <c r="B30" t="str">
        <f t="shared" si="21"/>
        <v>PC Annual Direct</v>
      </c>
      <c r="D30" s="208" t="s">
        <v>12</v>
      </c>
      <c r="E30" s="209">
        <f t="shared" ref="E30:AP31" si="29">IFERROR(E27/E24,0)</f>
        <v>0</v>
      </c>
      <c r="F30" s="209">
        <f t="shared" si="29"/>
        <v>0</v>
      </c>
      <c r="G30" s="209">
        <f t="shared" si="29"/>
        <v>0</v>
      </c>
      <c r="H30" s="209">
        <f t="shared" si="29"/>
        <v>0</v>
      </c>
      <c r="I30" s="209">
        <f t="shared" si="29"/>
        <v>0</v>
      </c>
      <c r="J30" s="209">
        <f t="shared" si="29"/>
        <v>0</v>
      </c>
      <c r="K30" s="209">
        <f t="shared" si="29"/>
        <v>0</v>
      </c>
      <c r="L30" s="209">
        <f t="shared" si="29"/>
        <v>0</v>
      </c>
      <c r="M30" s="209">
        <f t="shared" si="29"/>
        <v>0</v>
      </c>
      <c r="N30" s="209">
        <f t="shared" si="29"/>
        <v>0</v>
      </c>
      <c r="O30" s="209">
        <f t="shared" si="29"/>
        <v>0</v>
      </c>
      <c r="P30" s="238">
        <f t="shared" si="29"/>
        <v>0</v>
      </c>
      <c r="Q30" s="209">
        <f t="shared" si="29"/>
        <v>0</v>
      </c>
      <c r="R30" s="209">
        <f t="shared" si="29"/>
        <v>0</v>
      </c>
      <c r="S30" s="209">
        <f t="shared" si="29"/>
        <v>0</v>
      </c>
      <c r="T30" s="209">
        <f t="shared" si="29"/>
        <v>0</v>
      </c>
      <c r="U30" s="209">
        <f t="shared" si="29"/>
        <v>25.166495114292516</v>
      </c>
      <c r="V30" s="209">
        <f t="shared" si="29"/>
        <v>809.44335531073204</v>
      </c>
      <c r="W30" s="209">
        <f t="shared" si="29"/>
        <v>1364.206865770806</v>
      </c>
      <c r="X30" s="209">
        <f t="shared" si="29"/>
        <v>1247.9796943708577</v>
      </c>
      <c r="Y30" s="209">
        <f t="shared" si="29"/>
        <v>1290.8291631679019</v>
      </c>
      <c r="Z30" s="209">
        <f t="shared" si="29"/>
        <v>1227.5445975159823</v>
      </c>
      <c r="AA30" s="209">
        <f t="shared" si="29"/>
        <v>1011.3551430804258</v>
      </c>
      <c r="AB30" s="238">
        <f t="shared" si="29"/>
        <v>996.96911694813195</v>
      </c>
      <c r="AC30" s="209">
        <f t="shared" si="29"/>
        <v>1069.8913120239013</v>
      </c>
      <c r="AD30" s="209">
        <f t="shared" si="29"/>
        <v>1208.9137239923111</v>
      </c>
      <c r="AE30" s="209">
        <f t="shared" si="29"/>
        <v>1250.3614042664294</v>
      </c>
      <c r="AF30" s="209">
        <f t="shared" si="29"/>
        <v>1103.5424576398996</v>
      </c>
      <c r="AG30" s="209">
        <f t="shared" si="29"/>
        <v>1048.4057897933606</v>
      </c>
      <c r="AH30" s="209">
        <f t="shared" si="29"/>
        <v>1030.9289630914702</v>
      </c>
      <c r="AI30" s="209">
        <f t="shared" si="29"/>
        <v>1031.1483597709637</v>
      </c>
      <c r="AJ30" s="209">
        <f t="shared" si="29"/>
        <v>1032.6901223729687</v>
      </c>
      <c r="AK30" s="209">
        <f t="shared" si="29"/>
        <v>1051.6551149564593</v>
      </c>
      <c r="AL30" s="209">
        <f t="shared" si="29"/>
        <v>1037.5782124615291</v>
      </c>
      <c r="AM30" s="209">
        <f t="shared" si="29"/>
        <v>1075.9837920387354</v>
      </c>
      <c r="AN30" s="265">
        <f t="shared" si="29"/>
        <v>1080.4481543514753</v>
      </c>
      <c r="AO30" s="237">
        <f t="shared" si="29"/>
        <v>1061.4403563934825</v>
      </c>
      <c r="AP30" s="209">
        <f t="shared" si="29"/>
        <v>593.08669316649116</v>
      </c>
      <c r="AQ30" s="238">
        <f>SUMIFS(AC30:AN30,AC$4:AN$4,"&lt;"&amp;'Title Sheet'!$C$13)</f>
        <v>13021.547406759504</v>
      </c>
    </row>
    <row r="31" spans="2:44" ht="15.75" hidden="1" x14ac:dyDescent="0.25">
      <c r="B31" t="str">
        <f t="shared" si="21"/>
        <v>PC Annual Direct</v>
      </c>
      <c r="D31" s="211" t="s">
        <v>13</v>
      </c>
      <c r="E31" s="31">
        <f t="shared" si="29"/>
        <v>0</v>
      </c>
      <c r="F31" s="31">
        <f t="shared" si="29"/>
        <v>0</v>
      </c>
      <c r="G31" s="31">
        <f t="shared" si="29"/>
        <v>0</v>
      </c>
      <c r="H31" s="31">
        <f t="shared" si="29"/>
        <v>0</v>
      </c>
      <c r="I31" s="31">
        <f t="shared" si="29"/>
        <v>0</v>
      </c>
      <c r="J31" s="31">
        <f t="shared" si="29"/>
        <v>0</v>
      </c>
      <c r="K31" s="31">
        <f t="shared" si="29"/>
        <v>0</v>
      </c>
      <c r="L31" s="31">
        <f t="shared" si="29"/>
        <v>0</v>
      </c>
      <c r="M31" s="31">
        <f t="shared" si="29"/>
        <v>0</v>
      </c>
      <c r="N31" s="31">
        <f t="shared" si="29"/>
        <v>0</v>
      </c>
      <c r="O31" s="31">
        <f t="shared" si="29"/>
        <v>0</v>
      </c>
      <c r="P31" s="240">
        <f t="shared" ca="1" si="29"/>
        <v>0</v>
      </c>
      <c r="Q31" s="31">
        <f t="shared" ca="1" si="29"/>
        <v>0</v>
      </c>
      <c r="R31" s="31">
        <f t="shared" ca="1" si="29"/>
        <v>0</v>
      </c>
      <c r="S31" s="31">
        <f t="shared" ca="1" si="29"/>
        <v>0</v>
      </c>
      <c r="T31" s="31">
        <f t="shared" ca="1" si="29"/>
        <v>0</v>
      </c>
      <c r="U31" s="31">
        <f t="shared" ca="1" si="29"/>
        <v>0</v>
      </c>
      <c r="V31" s="31">
        <f t="shared" ca="1" si="29"/>
        <v>0</v>
      </c>
      <c r="W31" s="31">
        <f t="shared" ca="1" si="29"/>
        <v>0</v>
      </c>
      <c r="X31" s="31">
        <f t="shared" ca="1" si="29"/>
        <v>0</v>
      </c>
      <c r="Y31" s="31">
        <f t="shared" ca="1" si="29"/>
        <v>0</v>
      </c>
      <c r="Z31" s="31">
        <f t="shared" ca="1" si="29"/>
        <v>0</v>
      </c>
      <c r="AA31" s="31">
        <f t="shared" ca="1" si="29"/>
        <v>1079.510683288258</v>
      </c>
      <c r="AB31" s="240">
        <f t="shared" ca="1" si="29"/>
        <v>1141.9736170890237</v>
      </c>
      <c r="AC31" s="31">
        <f t="shared" ca="1" si="29"/>
        <v>359.22839900990647</v>
      </c>
      <c r="AD31" s="31">
        <f t="shared" ca="1" si="29"/>
        <v>934.75270071507703</v>
      </c>
      <c r="AE31" s="31">
        <f t="shared" ca="1" si="29"/>
        <v>1480.3047357430746</v>
      </c>
      <c r="AF31" s="31">
        <f t="shared" ca="1" si="29"/>
        <v>1531.9956782938827</v>
      </c>
      <c r="AG31" s="31">
        <f t="shared" ca="1" si="29"/>
        <v>1553.4601672551637</v>
      </c>
      <c r="AH31" s="31">
        <f t="shared" ca="1" si="29"/>
        <v>1538.161836563763</v>
      </c>
      <c r="AI31" s="31">
        <f t="shared" ca="1" si="29"/>
        <v>1122.1987541882772</v>
      </c>
      <c r="AJ31" s="31">
        <f t="shared" ca="1" si="29"/>
        <v>1118.7868017738786</v>
      </c>
      <c r="AK31" s="31">
        <f t="shared" ca="1" si="29"/>
        <v>1128.4064888299797</v>
      </c>
      <c r="AL31" s="31">
        <f t="shared" ca="1" si="29"/>
        <v>1155.700696106099</v>
      </c>
      <c r="AM31" s="31">
        <f t="shared" ca="1" si="29"/>
        <v>1207.4684240216452</v>
      </c>
      <c r="AN31" s="266">
        <f t="shared" ca="1" si="29"/>
        <v>1214.5075361735921</v>
      </c>
      <c r="AO31" s="239">
        <f t="shared" ca="1" si="29"/>
        <v>643.63089482888574</v>
      </c>
      <c r="AP31" s="31">
        <f t="shared" ca="1" si="29"/>
        <v>643.63089482888574</v>
      </c>
      <c r="AQ31" s="240">
        <f ca="1">SUMIFS(AC31:AN31,AC$4:AN$4,"&lt;"&amp;'Title Sheet'!$C$13)</f>
        <v>14344.97221867434</v>
      </c>
      <c r="AR31" s="3"/>
    </row>
    <row r="32" spans="2:44" ht="15.75" hidden="1" x14ac:dyDescent="0.25">
      <c r="B32" t="str">
        <f t="shared" si="21"/>
        <v>PC Annual Direct</v>
      </c>
      <c r="D32" s="213" t="s">
        <v>0</v>
      </c>
      <c r="E32" s="214" t="str">
        <f t="shared" ref="E32:AN32" si="30">IFERROR(IF(E30=0,"-",(E30/E31)-1),"-")</f>
        <v>-</v>
      </c>
      <c r="F32" s="214" t="str">
        <f t="shared" si="30"/>
        <v>-</v>
      </c>
      <c r="G32" s="214" t="str">
        <f t="shared" si="30"/>
        <v>-</v>
      </c>
      <c r="H32" s="214" t="str">
        <f t="shared" si="30"/>
        <v>-</v>
      </c>
      <c r="I32" s="214" t="str">
        <f t="shared" si="30"/>
        <v>-</v>
      </c>
      <c r="J32" s="214" t="str">
        <f t="shared" si="30"/>
        <v>-</v>
      </c>
      <c r="K32" s="214" t="str">
        <f t="shared" si="30"/>
        <v>-</v>
      </c>
      <c r="L32" s="214" t="str">
        <f t="shared" si="30"/>
        <v>-</v>
      </c>
      <c r="M32" s="214" t="str">
        <f t="shared" si="30"/>
        <v>-</v>
      </c>
      <c r="N32" s="214" t="str">
        <f t="shared" si="30"/>
        <v>-</v>
      </c>
      <c r="O32" s="214" t="str">
        <f t="shared" si="30"/>
        <v>-</v>
      </c>
      <c r="P32" s="294" t="str">
        <f t="shared" si="30"/>
        <v>-</v>
      </c>
      <c r="Q32" s="214" t="str">
        <f t="shared" si="30"/>
        <v>-</v>
      </c>
      <c r="R32" s="214" t="str">
        <f t="shared" si="30"/>
        <v>-</v>
      </c>
      <c r="S32" s="214" t="str">
        <f t="shared" si="30"/>
        <v>-</v>
      </c>
      <c r="T32" s="214" t="str">
        <f t="shared" si="30"/>
        <v>-</v>
      </c>
      <c r="U32" s="214" t="str">
        <f t="shared" ca="1" si="30"/>
        <v>-</v>
      </c>
      <c r="V32" s="214" t="str">
        <f t="shared" ca="1" si="30"/>
        <v>-</v>
      </c>
      <c r="W32" s="214" t="str">
        <f t="shared" ca="1" si="30"/>
        <v>-</v>
      </c>
      <c r="X32" s="214" t="str">
        <f t="shared" ca="1" si="30"/>
        <v>-</v>
      </c>
      <c r="Y32" s="214" t="str">
        <f t="shared" ca="1" si="30"/>
        <v>-</v>
      </c>
      <c r="Z32" s="214" t="str">
        <f t="shared" ca="1" si="30"/>
        <v>-</v>
      </c>
      <c r="AA32" s="214">
        <f t="shared" ca="1" si="30"/>
        <v>-6.3135586579121217E-2</v>
      </c>
      <c r="AB32" s="294">
        <f t="shared" ca="1" si="30"/>
        <v>-0.12697710172194621</v>
      </c>
      <c r="AC32" s="214">
        <f t="shared" ca="1" si="30"/>
        <v>1.9783038172168474</v>
      </c>
      <c r="AD32" s="214">
        <f t="shared" ca="1" si="30"/>
        <v>0.29329792047405001</v>
      </c>
      <c r="AE32" s="214">
        <f t="shared" ca="1" si="30"/>
        <v>-0.15533513196606752</v>
      </c>
      <c r="AF32" s="214">
        <f t="shared" ca="1" si="30"/>
        <v>-0.27966999301925777</v>
      </c>
      <c r="AG32" s="214">
        <f t="shared" ca="1" si="30"/>
        <v>-0.32511575649486568</v>
      </c>
      <c r="AH32" s="214">
        <f t="shared" ca="1" si="30"/>
        <v>-0.32976560815307032</v>
      </c>
      <c r="AI32" s="214">
        <f t="shared" ca="1" si="30"/>
        <v>-8.1135711546189704E-2</v>
      </c>
      <c r="AJ32" s="214">
        <f t="shared" ca="1" si="30"/>
        <v>-7.6955394239903718E-2</v>
      </c>
      <c r="AK32" s="214">
        <f t="shared" ca="1" si="30"/>
        <v>-6.8017487167325807E-2</v>
      </c>
      <c r="AL32" s="214">
        <f t="shared" ca="1" si="30"/>
        <v>-0.10220854243885102</v>
      </c>
      <c r="AM32" s="214">
        <f t="shared" ca="1" si="30"/>
        <v>-0.10889281190888755</v>
      </c>
      <c r="AN32" s="270">
        <f t="shared" ca="1" si="30"/>
        <v>-0.11038167967609502</v>
      </c>
      <c r="AO32" s="274">
        <f t="shared" ref="AO32:AP32" ca="1" si="31">AO30-AO31</f>
        <v>417.80946156459675</v>
      </c>
      <c r="AP32" s="275">
        <f t="shared" ca="1" si="31"/>
        <v>-50.544201662394585</v>
      </c>
      <c r="AQ32" s="276">
        <f t="shared" ref="AQ32" ca="1" si="32">IFERROR(IF(AQ30=0,"-",(AQ30/AQ31)-1),"-")</f>
        <v>-9.2257049490273468E-2</v>
      </c>
    </row>
    <row r="33" spans="2:44" x14ac:dyDescent="0.25">
      <c r="B33" t="str">
        <f t="shared" si="21"/>
        <v>PC Annual Direct</v>
      </c>
      <c r="D33" s="254" t="s">
        <v>17</v>
      </c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313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313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67"/>
      <c r="AO33" s="277"/>
      <c r="AP33" s="277"/>
      <c r="AQ33" s="278">
        <f>SUMIFS(AC33:AN33,AC$4:AN$4,"&lt;"&amp;'Title Sheet'!$C$13)</f>
        <v>0</v>
      </c>
    </row>
    <row r="34" spans="2:44" ht="15.75" x14ac:dyDescent="0.25">
      <c r="B34" t="str">
        <f t="shared" si="21"/>
        <v>PC Annual Direct</v>
      </c>
      <c r="D34" s="208" t="s">
        <v>7</v>
      </c>
      <c r="E34" s="283">
        <f t="shared" ref="E34:AB34" si="33">E51+E68</f>
        <v>63882.723213917787</v>
      </c>
      <c r="F34" s="283">
        <f t="shared" si="33"/>
        <v>190494.91964215893</v>
      </c>
      <c r="G34" s="283">
        <f t="shared" si="33"/>
        <v>596806.79464284331</v>
      </c>
      <c r="H34" s="283">
        <f t="shared" si="33"/>
        <v>595003.65178337891</v>
      </c>
      <c r="I34" s="283">
        <f t="shared" si="33"/>
        <v>767228.99106955796</v>
      </c>
      <c r="J34" s="283">
        <f t="shared" si="33"/>
        <v>1076558.1071435665</v>
      </c>
      <c r="K34" s="283">
        <f t="shared" si="33"/>
        <v>1970118.39286279</v>
      </c>
      <c r="L34" s="283">
        <f t="shared" si="33"/>
        <v>1693961.1071383746</v>
      </c>
      <c r="M34" s="283">
        <f t="shared" si="33"/>
        <v>2359606.7857171055</v>
      </c>
      <c r="N34" s="283">
        <f t="shared" si="33"/>
        <v>2882993.6785684759</v>
      </c>
      <c r="O34" s="283">
        <f t="shared" si="33"/>
        <v>2381454.3214225136</v>
      </c>
      <c r="P34" s="314">
        <f t="shared" si="33"/>
        <v>1845728.2232118105</v>
      </c>
      <c r="Q34" s="283">
        <f t="shared" si="33"/>
        <v>1310265.0535725218</v>
      </c>
      <c r="R34" s="283">
        <f t="shared" si="33"/>
        <v>1327939.2499983122</v>
      </c>
      <c r="S34" s="283">
        <f t="shared" si="33"/>
        <v>1409536.7321461581</v>
      </c>
      <c r="T34" s="283">
        <f t="shared" si="33"/>
        <v>1108687.1517870072</v>
      </c>
      <c r="U34" s="283">
        <f t="shared" si="33"/>
        <v>1246462.1607149141</v>
      </c>
      <c r="V34" s="283">
        <f t="shared" si="33"/>
        <v>1107291.8392874526</v>
      </c>
      <c r="W34" s="283">
        <f t="shared" si="33"/>
        <v>1048832.0178576689</v>
      </c>
      <c r="X34" s="283">
        <f t="shared" si="33"/>
        <v>1253992.9107235237</v>
      </c>
      <c r="Y34" s="283">
        <f t="shared" si="33"/>
        <v>1303893.1696446086</v>
      </c>
      <c r="Z34" s="283">
        <f t="shared" si="33"/>
        <v>1566971.7232140885</v>
      </c>
      <c r="AA34" s="283">
        <f t="shared" si="33"/>
        <v>2157081.1517849583</v>
      </c>
      <c r="AB34" s="314">
        <f t="shared" si="33"/>
        <v>1914532.8749973006</v>
      </c>
      <c r="AC34" s="283">
        <f>AC51+AC68</f>
        <v>2419288.205354712</v>
      </c>
      <c r="AD34" s="283">
        <f t="shared" ref="AD34:AN34" si="34">AD51+AD68</f>
        <v>4078118.223212393</v>
      </c>
      <c r="AE34" s="283">
        <f t="shared" si="34"/>
        <v>6459259.5803462574</v>
      </c>
      <c r="AF34" s="283">
        <f t="shared" si="34"/>
        <v>5786329.8303780099</v>
      </c>
      <c r="AG34" s="283">
        <f t="shared" si="34"/>
        <v>5513759.321443243</v>
      </c>
      <c r="AH34" s="283">
        <f t="shared" si="34"/>
        <v>4598411.6428566165</v>
      </c>
      <c r="AI34" s="283">
        <f t="shared" si="34"/>
        <v>3834504.2410740834</v>
      </c>
      <c r="AJ34" s="283">
        <f t="shared" si="34"/>
        <v>3352003.0446423003</v>
      </c>
      <c r="AK34" s="283">
        <f t="shared" si="34"/>
        <v>3188969.9910714086</v>
      </c>
      <c r="AL34" s="283">
        <f t="shared" si="34"/>
        <v>3150912.5331434435</v>
      </c>
      <c r="AM34" s="283">
        <f t="shared" si="34"/>
        <v>3596135.3214264149</v>
      </c>
      <c r="AN34" s="284">
        <f t="shared" si="34"/>
        <v>3741886.8839283199</v>
      </c>
      <c r="AO34" s="237">
        <f t="shared" ref="AO34" si="35">AVERAGE(Z34:AC34)</f>
        <v>2014468.4888377648</v>
      </c>
      <c r="AP34" s="209">
        <f>AVERAGE(R34:AC34)</f>
        <v>1488709.0989592255</v>
      </c>
      <c r="AQ34" s="238">
        <f>SUMIFS(AC34:AN34,AC$4:AN$4,"&lt;"&amp;'Title Sheet'!$C$13)</f>
        <v>49719578.818877205</v>
      </c>
    </row>
    <row r="35" spans="2:44" ht="16.5" thickBot="1" x14ac:dyDescent="0.3">
      <c r="B35" t="str">
        <f t="shared" si="21"/>
        <v>PC Annual Direct</v>
      </c>
      <c r="D35" s="226" t="s">
        <v>21</v>
      </c>
      <c r="E35" s="269" t="str">
        <f t="shared" ref="E35:AN35" si="36">IFERROR(E27/E$8,"-")</f>
        <v>-</v>
      </c>
      <c r="F35" s="269" t="str">
        <f t="shared" si="36"/>
        <v>-</v>
      </c>
      <c r="G35" s="269" t="str">
        <f t="shared" si="36"/>
        <v>-</v>
      </c>
      <c r="H35" s="269" t="str">
        <f t="shared" si="36"/>
        <v>-</v>
      </c>
      <c r="I35" s="269" t="str">
        <f t="shared" si="36"/>
        <v>-</v>
      </c>
      <c r="J35" s="269" t="str">
        <f t="shared" si="36"/>
        <v>-</v>
      </c>
      <c r="K35" s="269" t="str">
        <f t="shared" si="36"/>
        <v>-</v>
      </c>
      <c r="L35" s="269" t="str">
        <f t="shared" si="36"/>
        <v>-</v>
      </c>
      <c r="M35" s="269" t="str">
        <f t="shared" si="36"/>
        <v>-</v>
      </c>
      <c r="N35" s="269" t="str">
        <f t="shared" si="36"/>
        <v>-</v>
      </c>
      <c r="O35" s="269" t="str">
        <f t="shared" si="36"/>
        <v>-</v>
      </c>
      <c r="P35" s="280" t="str">
        <f t="shared" si="36"/>
        <v>-</v>
      </c>
      <c r="Q35" s="269" t="str">
        <f t="shared" si="36"/>
        <v>-</v>
      </c>
      <c r="R35" s="269" t="str">
        <f t="shared" si="36"/>
        <v>-</v>
      </c>
      <c r="S35" s="269" t="str">
        <f t="shared" si="36"/>
        <v>-</v>
      </c>
      <c r="T35" s="269" t="str">
        <f t="shared" si="36"/>
        <v>-</v>
      </c>
      <c r="U35" s="269">
        <f t="shared" si="36"/>
        <v>0.84023263293126593</v>
      </c>
      <c r="V35" s="269">
        <f t="shared" si="36"/>
        <v>0.79732650144681705</v>
      </c>
      <c r="W35" s="269">
        <f t="shared" si="36"/>
        <v>0.68593289324877182</v>
      </c>
      <c r="X35" s="269">
        <f t="shared" si="36"/>
        <v>0.63342107690741956</v>
      </c>
      <c r="Y35" s="269">
        <f t="shared" si="36"/>
        <v>0.57680921156709275</v>
      </c>
      <c r="Z35" s="269">
        <f t="shared" si="36"/>
        <v>0.53465928345666913</v>
      </c>
      <c r="AA35" s="269">
        <f t="shared" si="36"/>
        <v>0.55256984665143172</v>
      </c>
      <c r="AB35" s="280">
        <f t="shared" si="36"/>
        <v>0.48880743048852321</v>
      </c>
      <c r="AC35" s="269">
        <f t="shared" si="36"/>
        <v>0.57585871328098115</v>
      </c>
      <c r="AD35" s="269">
        <f t="shared" si="36"/>
        <v>0.71631936172761357</v>
      </c>
      <c r="AE35" s="269">
        <f t="shared" si="36"/>
        <v>0.79679571132911875</v>
      </c>
      <c r="AF35" s="269">
        <f t="shared" si="36"/>
        <v>0.80106844840026425</v>
      </c>
      <c r="AG35" s="269">
        <f t="shared" si="36"/>
        <v>0.7917670000370175</v>
      </c>
      <c r="AH35" s="269">
        <f t="shared" si="36"/>
        <v>0.78835267862411806</v>
      </c>
      <c r="AI35" s="269">
        <f t="shared" si="36"/>
        <v>0.77034613734338997</v>
      </c>
      <c r="AJ35" s="269">
        <f t="shared" si="36"/>
        <v>0.77435838232586907</v>
      </c>
      <c r="AK35" s="269">
        <f t="shared" si="36"/>
        <v>0.80391722766812701</v>
      </c>
      <c r="AL35" s="269">
        <f t="shared" si="36"/>
        <v>0.83329004539668017</v>
      </c>
      <c r="AM35" s="269">
        <f t="shared" si="36"/>
        <v>0.90450036178546156</v>
      </c>
      <c r="AN35" s="281">
        <f t="shared" si="36"/>
        <v>0.94594102526983748</v>
      </c>
      <c r="AO35" s="279">
        <f t="shared" ref="AO35:AP35" si="37">AO27/AO$8</f>
        <v>0.53885351293485739</v>
      </c>
      <c r="AP35" s="269">
        <f t="shared" si="37"/>
        <v>0.57828042363845911</v>
      </c>
      <c r="AQ35" s="280" t="str">
        <f t="shared" ref="AQ35" si="38">IFERROR(IF(AQ33=0,"-",(AQ33/AQ34)-1),"-")</f>
        <v>-</v>
      </c>
    </row>
    <row r="37" spans="2:44" ht="15.75" thickBot="1" x14ac:dyDescent="0.3"/>
    <row r="38" spans="2:44" ht="18.75" outlineLevel="1" x14ac:dyDescent="0.25">
      <c r="D38" s="309" t="s">
        <v>350</v>
      </c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63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33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63"/>
      <c r="AO38" s="202"/>
      <c r="AP38" s="202"/>
      <c r="AQ38" s="233"/>
    </row>
    <row r="39" spans="2:44" outlineLevel="1" x14ac:dyDescent="0.25">
      <c r="D39" s="204"/>
      <c r="E39" s="303" t="s">
        <v>341</v>
      </c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17"/>
      <c r="Q39" s="320" t="s">
        <v>341</v>
      </c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17"/>
      <c r="AC39" s="303" t="s">
        <v>341</v>
      </c>
      <c r="AD39" s="303"/>
      <c r="AE39" s="303"/>
      <c r="AF39" s="303"/>
      <c r="AG39" s="303"/>
      <c r="AH39" s="303"/>
      <c r="AI39" s="303"/>
      <c r="AJ39" s="303"/>
      <c r="AK39" s="303"/>
      <c r="AL39" s="303"/>
      <c r="AM39" s="303"/>
      <c r="AN39" s="317"/>
      <c r="AO39" s="510" t="s">
        <v>8</v>
      </c>
      <c r="AP39" s="511"/>
      <c r="AQ39" s="512"/>
    </row>
    <row r="40" spans="2:44" outlineLevel="1" x14ac:dyDescent="0.25">
      <c r="D40" s="321" t="s">
        <v>16</v>
      </c>
      <c r="E40" s="318">
        <f t="shared" ref="E40:AN40" si="39">E$4</f>
        <v>44562</v>
      </c>
      <c r="F40" s="318">
        <f t="shared" si="39"/>
        <v>44593</v>
      </c>
      <c r="G40" s="318">
        <f t="shared" si="39"/>
        <v>44621</v>
      </c>
      <c r="H40" s="318">
        <f t="shared" si="39"/>
        <v>44652</v>
      </c>
      <c r="I40" s="318">
        <f t="shared" si="39"/>
        <v>44682</v>
      </c>
      <c r="J40" s="318">
        <f t="shared" si="39"/>
        <v>44713</v>
      </c>
      <c r="K40" s="318">
        <f t="shared" si="39"/>
        <v>44743</v>
      </c>
      <c r="L40" s="318">
        <f t="shared" si="39"/>
        <v>44774</v>
      </c>
      <c r="M40" s="318">
        <f t="shared" si="39"/>
        <v>44805</v>
      </c>
      <c r="N40" s="318">
        <f t="shared" si="39"/>
        <v>44835</v>
      </c>
      <c r="O40" s="318">
        <f t="shared" si="39"/>
        <v>44866</v>
      </c>
      <c r="P40" s="319">
        <f t="shared" si="39"/>
        <v>44896</v>
      </c>
      <c r="Q40" s="318">
        <f t="shared" si="39"/>
        <v>44927</v>
      </c>
      <c r="R40" s="318">
        <f t="shared" si="39"/>
        <v>44958</v>
      </c>
      <c r="S40" s="318">
        <f t="shared" si="39"/>
        <v>44986</v>
      </c>
      <c r="T40" s="318">
        <f t="shared" si="39"/>
        <v>45017</v>
      </c>
      <c r="U40" s="318">
        <f t="shared" si="39"/>
        <v>45047</v>
      </c>
      <c r="V40" s="318">
        <f t="shared" si="39"/>
        <v>45078</v>
      </c>
      <c r="W40" s="318">
        <f t="shared" si="39"/>
        <v>45108</v>
      </c>
      <c r="X40" s="318">
        <f t="shared" si="39"/>
        <v>45139</v>
      </c>
      <c r="Y40" s="318">
        <f t="shared" si="39"/>
        <v>45170</v>
      </c>
      <c r="Z40" s="318">
        <f t="shared" si="39"/>
        <v>45200</v>
      </c>
      <c r="AA40" s="318">
        <f t="shared" si="39"/>
        <v>45231</v>
      </c>
      <c r="AB40" s="319">
        <f t="shared" si="39"/>
        <v>45261</v>
      </c>
      <c r="AC40" s="318">
        <f t="shared" si="39"/>
        <v>45292</v>
      </c>
      <c r="AD40" s="318">
        <f t="shared" si="39"/>
        <v>45323</v>
      </c>
      <c r="AE40" s="318">
        <f t="shared" si="39"/>
        <v>45352</v>
      </c>
      <c r="AF40" s="318">
        <f t="shared" si="39"/>
        <v>45383</v>
      </c>
      <c r="AG40" s="318">
        <f t="shared" si="39"/>
        <v>45413</v>
      </c>
      <c r="AH40" s="318">
        <f t="shared" si="39"/>
        <v>45444</v>
      </c>
      <c r="AI40" s="318">
        <f t="shared" si="39"/>
        <v>45474</v>
      </c>
      <c r="AJ40" s="318">
        <f t="shared" si="39"/>
        <v>45505</v>
      </c>
      <c r="AK40" s="318">
        <f t="shared" si="39"/>
        <v>45536</v>
      </c>
      <c r="AL40" s="318">
        <f t="shared" si="39"/>
        <v>45566</v>
      </c>
      <c r="AM40" s="318">
        <f t="shared" si="39"/>
        <v>45597</v>
      </c>
      <c r="AN40" s="316">
        <f t="shared" si="39"/>
        <v>45627</v>
      </c>
      <c r="AO40" s="271" t="s">
        <v>9</v>
      </c>
      <c r="AP40" s="272">
        <f>AP21</f>
        <v>0</v>
      </c>
      <c r="AQ40" s="273" t="s">
        <v>346</v>
      </c>
    </row>
    <row r="41" spans="2:44" ht="15.75" outlineLevel="1" x14ac:dyDescent="0.25">
      <c r="B41" t="str">
        <f>$D$2</f>
        <v>PC Annual Direct</v>
      </c>
      <c r="C41" t="s">
        <v>72</v>
      </c>
      <c r="D41" s="208" t="s">
        <v>316</v>
      </c>
      <c r="E41" s="209">
        <v>32.958904109999992</v>
      </c>
      <c r="F41" s="209">
        <v>183.15890411399999</v>
      </c>
      <c r="G41" s="209">
        <v>777.1561644049998</v>
      </c>
      <c r="H41" s="209">
        <v>598.16438357899995</v>
      </c>
      <c r="I41" s="209">
        <v>651.84109590900027</v>
      </c>
      <c r="J41" s="209">
        <v>1090.9917808519999</v>
      </c>
      <c r="K41" s="209">
        <v>2201.4493151239999</v>
      </c>
      <c r="L41" s="209">
        <v>1903.8082192210006</v>
      </c>
      <c r="M41" s="209">
        <v>2736.468493230997</v>
      </c>
      <c r="N41" s="209">
        <v>3687.6602740729986</v>
      </c>
      <c r="O41" s="209">
        <v>3341.5972603647956</v>
      </c>
      <c r="P41" s="265">
        <v>2526.2575343179969</v>
      </c>
      <c r="Q41" s="209">
        <v>2004.9287671809998</v>
      </c>
      <c r="R41" s="209">
        <v>2177.1205480079975</v>
      </c>
      <c r="S41" s="209">
        <v>2686.721311545401</v>
      </c>
      <c r="T41" s="209">
        <v>1944.6939891300005</v>
      </c>
      <c r="U41" s="209">
        <v>1627.2103825526017</v>
      </c>
      <c r="V41" s="209">
        <v>1168.2404371882005</v>
      </c>
      <c r="W41" s="209">
        <v>657.13661201320099</v>
      </c>
      <c r="X41" s="209">
        <v>858.71038251520122</v>
      </c>
      <c r="Y41" s="209">
        <v>863.89344265020111</v>
      </c>
      <c r="Z41" s="209">
        <v>1089.696721341802</v>
      </c>
      <c r="AA41" s="209">
        <v>1822.3606557956</v>
      </c>
      <c r="AB41" s="238">
        <v>1644.6256831067997</v>
      </c>
      <c r="AC41" s="209">
        <v>1655.8278689038007</v>
      </c>
      <c r="AD41" s="209">
        <v>1488.9398907425007</v>
      </c>
      <c r="AE41" s="209">
        <v>1842.7287671740016</v>
      </c>
      <c r="AF41" s="209">
        <v>1757.6273973020006</v>
      </c>
      <c r="AG41" s="209">
        <v>1868.1753425140009</v>
      </c>
      <c r="AH41" s="209">
        <v>1532.0438356570005</v>
      </c>
      <c r="AI41" s="209">
        <v>1243.7479452330031</v>
      </c>
      <c r="AJ41" s="209">
        <v>1072.1150685210014</v>
      </c>
      <c r="AK41" s="209">
        <v>989.83013701700224</v>
      </c>
      <c r="AL41" s="209">
        <v>1000.0410959180011</v>
      </c>
      <c r="AM41" s="209">
        <v>1102.7123287990016</v>
      </c>
      <c r="AN41" s="265">
        <v>1027.1150685250013</v>
      </c>
      <c r="AO41" s="237">
        <f t="shared" ref="AO41:AO46" si="40">AVERAGE(Z41:AC41)</f>
        <v>1553.1277322870005</v>
      </c>
      <c r="AP41" s="209">
        <f>AVERAGE(R41:AC41)</f>
        <v>1516.3531695625672</v>
      </c>
      <c r="AQ41" s="238">
        <f>SUMIFS(AC41:AN41,AC$4:AN$4,"&lt;"&amp;'Title Sheet'!$C$13)</f>
        <v>16580.904746306318</v>
      </c>
    </row>
    <row r="42" spans="2:44" ht="15.75" hidden="1" outlineLevel="1" x14ac:dyDescent="0.25">
      <c r="B42" t="str">
        <f>$D$21&amp;"_W VYRs"</f>
        <v>PC Annual Direct - Annual_W VYRs</v>
      </c>
      <c r="C42" t="str">
        <f>$C41</f>
        <v>Boom Annual</v>
      </c>
      <c r="D42" s="211" t="s">
        <v>317</v>
      </c>
      <c r="E42" s="31" t="e">
        <f>INDEX('Plan Figures'!$B$94:$AP$131,MATCH('Current - MPM only'!E$4,'Plan Figures'!$B$94:$B$131,0),MATCH('Current - MPM only'!$B42,'Plan Figures'!$B$1:$AP$1,0))</f>
        <v>#N/A</v>
      </c>
      <c r="F42" s="31" t="e">
        <f>INDEX('Plan Figures'!$B$94:$AP$131,MATCH('Current - MPM only'!F$4,'Plan Figures'!$B$94:$B$131,0),MATCH('Current - MPM only'!$B42,'Plan Figures'!$B$1:$AP$1,0))</f>
        <v>#N/A</v>
      </c>
      <c r="G42" s="31" t="e">
        <f>INDEX('Plan Figures'!$B$94:$AP$131,MATCH('Current - MPM only'!G$4,'Plan Figures'!$B$94:$B$131,0),MATCH('Current - MPM only'!$B42,'Plan Figures'!$B$1:$AP$1,0))</f>
        <v>#N/A</v>
      </c>
      <c r="H42" s="31" t="e">
        <f>INDEX('Plan Figures'!$B$94:$AP$131,MATCH('Current - MPM only'!H$4,'Plan Figures'!$B$94:$B$131,0),MATCH('Current - MPM only'!$B42,'Plan Figures'!$B$1:$AP$1,0))</f>
        <v>#N/A</v>
      </c>
      <c r="I42" s="31" t="e">
        <f>INDEX('Plan Figures'!$B$94:$AP$131,MATCH('Current - MPM only'!I$4,'Plan Figures'!$B$94:$B$131,0),MATCH('Current - MPM only'!$B42,'Plan Figures'!$B$1:$AP$1,0))</f>
        <v>#N/A</v>
      </c>
      <c r="J42" s="31" t="e">
        <f>INDEX('Plan Figures'!$B$94:$AP$131,MATCH('Current - MPM only'!J$4,'Plan Figures'!$B$94:$B$131,0),MATCH('Current - MPM only'!$B42,'Plan Figures'!$B$1:$AP$1,0))</f>
        <v>#N/A</v>
      </c>
      <c r="K42" s="31" t="e">
        <f>INDEX('Plan Figures'!$B$94:$AP$131,MATCH('Current - MPM only'!K$4,'Plan Figures'!$B$94:$B$131,0),MATCH('Current - MPM only'!$B42,'Plan Figures'!$B$1:$AP$1,0))</f>
        <v>#N/A</v>
      </c>
      <c r="L42" s="31" t="e">
        <f>INDEX('Plan Figures'!$B$94:$AP$131,MATCH('Current - MPM only'!L$4,'Plan Figures'!$B$94:$B$131,0),MATCH('Current - MPM only'!$B42,'Plan Figures'!$B$1:$AP$1,0))</f>
        <v>#N/A</v>
      </c>
      <c r="M42" s="31" t="e">
        <f>INDEX('Plan Figures'!$B$94:$AP$131,MATCH('Current - MPM only'!M$4,'Plan Figures'!$B$94:$B$131,0),MATCH('Current - MPM only'!$B42,'Plan Figures'!$B$1:$AP$1,0))</f>
        <v>#N/A</v>
      </c>
      <c r="N42" s="31" t="e">
        <f>INDEX('Plan Figures'!$B$94:$AP$131,MATCH('Current - MPM only'!N$4,'Plan Figures'!$B$94:$B$131,0),MATCH('Current - MPM only'!$B42,'Plan Figures'!$B$1:$AP$1,0))</f>
        <v>#N/A</v>
      </c>
      <c r="O42" s="31" t="e">
        <f>INDEX('Plan Figures'!$B$94:$AP$131,MATCH('Current - MPM only'!O$4,'Plan Figures'!$B$94:$B$131,0),MATCH('Current - MPM only'!$B42,'Plan Figures'!$B$1:$AP$1,0))</f>
        <v>#N/A</v>
      </c>
      <c r="P42" s="266" t="str">
        <f ca="1">INDEX('Plan Figures'!$B$94:$AP$131,MATCH('Current - MPM only'!P$4,'Plan Figures'!$B$94:$B$131,0),MATCH('Current - MPM only'!$B42,'Plan Figures'!$B$1:$AP$1,0))</f>
        <v>-</v>
      </c>
      <c r="Q42" s="31" t="str">
        <f ca="1">INDEX('Plan Figures'!$B$94:$AP$131,MATCH('Current - MPM only'!Q$4,'Plan Figures'!$B$94:$B$131,0),MATCH('Current - MPM only'!$B42,'Plan Figures'!$B$1:$AP$1,0))</f>
        <v>-</v>
      </c>
      <c r="R42" s="31" t="str">
        <f ca="1">INDEX('Plan Figures'!$B$94:$AP$131,MATCH('Current - MPM only'!R$4,'Plan Figures'!$B$94:$B$131,0),MATCH('Current - MPM only'!$B42,'Plan Figures'!$B$1:$AP$1,0))</f>
        <v>-</v>
      </c>
      <c r="S42" s="31" t="str">
        <f ca="1">INDEX('Plan Figures'!$B$94:$AP$131,MATCH('Current - MPM only'!S$4,'Plan Figures'!$B$94:$B$131,0),MATCH('Current - MPM only'!$B42,'Plan Figures'!$B$1:$AP$1,0))</f>
        <v>-</v>
      </c>
      <c r="T42" s="31" t="str">
        <f ca="1">INDEX('Plan Figures'!$B$94:$AP$131,MATCH('Current - MPM only'!T$4,'Plan Figures'!$B$94:$B$131,0),MATCH('Current - MPM only'!$B42,'Plan Figures'!$B$1:$AP$1,0))</f>
        <v>-</v>
      </c>
      <c r="U42" s="31" t="str">
        <f ca="1">INDEX('Plan Figures'!$B$94:$AP$131,MATCH('Current - MPM only'!U$4,'Plan Figures'!$B$94:$B$131,0),MATCH('Current - MPM only'!$B42,'Plan Figures'!$B$1:$AP$1,0))</f>
        <v>-</v>
      </c>
      <c r="V42" s="31" t="str">
        <f ca="1">INDEX('Plan Figures'!$B$94:$AP$131,MATCH('Current - MPM only'!V$4,'Plan Figures'!$B$94:$B$131,0),MATCH('Current - MPM only'!$B42,'Plan Figures'!$B$1:$AP$1,0))</f>
        <v>-</v>
      </c>
      <c r="W42" s="31" t="str">
        <f ca="1">INDEX('Plan Figures'!$B$94:$AP$131,MATCH('Current - MPM only'!W$4,'Plan Figures'!$B$94:$B$131,0),MATCH('Current - MPM only'!$B42,'Plan Figures'!$B$1:$AP$1,0))</f>
        <v>-</v>
      </c>
      <c r="X42" s="31" t="str">
        <f ca="1">INDEX('Plan Figures'!$B$94:$AP$131,MATCH('Current - MPM only'!X$4,'Plan Figures'!$B$94:$B$131,0),MATCH('Current - MPM only'!$B42,'Plan Figures'!$B$1:$AP$1,0))</f>
        <v>-</v>
      </c>
      <c r="Y42" s="31" t="str">
        <f ca="1">INDEX('Plan Figures'!$B$94:$AP$131,MATCH('Current - MPM only'!Y$4,'Plan Figures'!$B$94:$B$131,0),MATCH('Current - MPM only'!$B42,'Plan Figures'!$B$1:$AP$1,0))</f>
        <v>-</v>
      </c>
      <c r="Z42" s="31" t="str">
        <f ca="1">INDEX('Plan Figures'!$B$94:$AP$131,MATCH('Current - MPM only'!Z$4,'Plan Figures'!$B$94:$B$131,0),MATCH('Current - MPM only'!$B42,'Plan Figures'!$B$1:$AP$1,0))</f>
        <v>-</v>
      </c>
      <c r="AA42" s="31">
        <f ca="1">INDEX('Plan Figures'!$B$94:$AP$131,MATCH('Current - MPM only'!AA$4,'Plan Figures'!$B$94:$B$131,0),MATCH('Current - MPM only'!$B42,'Plan Figures'!$B$1:$AP$1,0))</f>
        <v>1113.4200697273855</v>
      </c>
      <c r="AB42" s="240">
        <f ca="1">INDEX('Plan Figures'!$B$94:$AP$131,MATCH('Current - MPM only'!AB$4,'Plan Figures'!$B$94:$B$131,0),MATCH('Current - MPM only'!$B42,'Plan Figures'!$B$1:$AP$1,0))</f>
        <v>989.67431218271486</v>
      </c>
      <c r="AC42" s="31">
        <f ca="1">INDEX('Plan Figures'!$B$94:$AP$131,MATCH('Current - MPM only'!AC$4,'Plan Figures'!$B$94:$B$131,0),MATCH('Current - MPM only'!$B42,'Plan Figures'!$B$1:$AP$1,0))</f>
        <v>1210.5482166933789</v>
      </c>
      <c r="AD42" s="31">
        <f ca="1">INDEX('Plan Figures'!$B$94:$AP$131,MATCH('Current - MPM only'!AD$4,'Plan Figures'!$B$94:$B$131,0),MATCH('Current - MPM only'!$B42,'Plan Figures'!$B$1:$AP$1,0))</f>
        <v>1208.1319527878034</v>
      </c>
      <c r="AE42" s="31">
        <f ca="1">INDEX('Plan Figures'!$B$94:$AP$131,MATCH('Current - MPM only'!AE$4,'Plan Figures'!$B$94:$B$131,0),MATCH('Current - MPM only'!$B42,'Plan Figures'!$B$1:$AP$1,0))</f>
        <v>1205.7205117642748</v>
      </c>
      <c r="AF42" s="31">
        <f ca="1">INDEX('Plan Figures'!$B$94:$AP$131,MATCH('Current - MPM only'!AF$4,'Plan Figures'!$B$94:$B$131,0),MATCH('Current - MPM only'!$B42,'Plan Figures'!$B$1:$AP$1,0))</f>
        <v>1203.3138839962821</v>
      </c>
      <c r="AG42" s="31">
        <f ca="1">INDEX('Plan Figures'!$B$94:$AP$131,MATCH('Current - MPM only'!AG$4,'Plan Figures'!$B$94:$B$131,0),MATCH('Current - MPM only'!$B42,'Plan Figures'!$B$1:$AP$1,0))</f>
        <v>1201.0207575202833</v>
      </c>
      <c r="AH42" s="31">
        <f ca="1">INDEX('Plan Figures'!$B$94:$AP$131,MATCH('Current - MPM only'!AH$4,'Plan Figures'!$B$94:$B$131,0),MATCH('Current - MPM only'!$B42,'Plan Figures'!$B$1:$AP$1,0))</f>
        <v>1228.8758335021305</v>
      </c>
      <c r="AI42" s="31">
        <f ca="1">INDEX('Plan Figures'!$B$94:$AP$131,MATCH('Current - MPM only'!AI$4,'Plan Figures'!$B$94:$B$131,0),MATCH('Current - MPM only'!$B42,'Plan Figures'!$B$1:$AP$1,0))</f>
        <v>1163.6668411466915</v>
      </c>
      <c r="AJ42" s="31">
        <f ca="1">INDEX('Plan Figures'!$B$94:$AP$131,MATCH('Current - MPM only'!AJ$4,'Plan Figures'!$B$94:$B$131,0),MATCH('Current - MPM only'!$B42,'Plan Figures'!$B$1:$AP$1,0))</f>
        <v>1142.8043600541255</v>
      </c>
      <c r="AK42" s="31">
        <f ca="1">INDEX('Plan Figures'!$B$94:$AP$131,MATCH('Current - MPM only'!AK$4,'Plan Figures'!$B$94:$B$131,0),MATCH('Current - MPM only'!$B42,'Plan Figures'!$B$1:$AP$1,0))</f>
        <v>1583.5747712774066</v>
      </c>
      <c r="AL42" s="31">
        <f ca="1">INDEX('Plan Figures'!$B$94:$AP$131,MATCH('Current - MPM only'!AL$4,'Plan Figures'!$B$94:$B$131,0),MATCH('Current - MPM only'!$B42,'Plan Figures'!$B$1:$AP$1,0))</f>
        <v>1634.6429111000109</v>
      </c>
      <c r="AM42" s="31">
        <f ca="1">INDEX('Plan Figures'!$B$94:$AP$131,MATCH('Current - MPM only'!AM$4,'Plan Figures'!$B$94:$B$131,0),MATCH('Current - MPM only'!$B42,'Plan Figures'!$B$1:$AP$1,0))</f>
        <v>1425.1923390241984</v>
      </c>
      <c r="AN42" s="266">
        <f ca="1">INDEX('Plan Figures'!$B$94:$AP$131,MATCH('Current - MPM only'!AN$4,'Plan Figures'!$B$94:$B$131,0),MATCH('Current - MPM only'!$B42,'Plan Figures'!$B$1:$AP$1,0))</f>
        <v>1298.3013026498229</v>
      </c>
      <c r="AO42" s="239">
        <f t="shared" ca="1" si="40"/>
        <v>1104.5475328678265</v>
      </c>
      <c r="AP42" s="31">
        <f t="shared" ref="AP42:AP46" ca="1" si="41">AVERAGE(R42:AC42)</f>
        <v>1104.5475328678265</v>
      </c>
      <c r="AQ42" s="240">
        <f ca="1">SUMIFS(AC42:AN42,AC$4:AN$4,"&lt;"&amp;'Title Sheet'!$C$13)</f>
        <v>15505.793681516408</v>
      </c>
    </row>
    <row r="43" spans="2:44" ht="15.75" hidden="1" outlineLevel="1" x14ac:dyDescent="0.25">
      <c r="B43" t="str">
        <f t="shared" ref="B43:B52" si="42">$D$2</f>
        <v>PC Annual Direct</v>
      </c>
      <c r="C43" t="str">
        <f t="shared" ref="C43:C52" si="43">$C42</f>
        <v>Boom Annual</v>
      </c>
      <c r="D43" s="213" t="s">
        <v>0</v>
      </c>
      <c r="E43" s="214" t="str">
        <f t="shared" ref="E43:AN43" si="44">IFERROR(IF(E41=0,"-",(E41/E42)-1),"-")</f>
        <v>-</v>
      </c>
      <c r="F43" s="214" t="str">
        <f t="shared" si="44"/>
        <v>-</v>
      </c>
      <c r="G43" s="214" t="str">
        <f t="shared" si="44"/>
        <v>-</v>
      </c>
      <c r="H43" s="214" t="str">
        <f t="shared" si="44"/>
        <v>-</v>
      </c>
      <c r="I43" s="214" t="str">
        <f t="shared" si="44"/>
        <v>-</v>
      </c>
      <c r="J43" s="214" t="str">
        <f t="shared" si="44"/>
        <v>-</v>
      </c>
      <c r="K43" s="214" t="str">
        <f t="shared" si="44"/>
        <v>-</v>
      </c>
      <c r="L43" s="214" t="str">
        <f t="shared" si="44"/>
        <v>-</v>
      </c>
      <c r="M43" s="214" t="str">
        <f t="shared" si="44"/>
        <v>-</v>
      </c>
      <c r="N43" s="214" t="str">
        <f t="shared" si="44"/>
        <v>-</v>
      </c>
      <c r="O43" s="214" t="str">
        <f t="shared" si="44"/>
        <v>-</v>
      </c>
      <c r="P43" s="270" t="str">
        <f t="shared" ca="1" si="44"/>
        <v>-</v>
      </c>
      <c r="Q43" s="214" t="str">
        <f t="shared" ca="1" si="44"/>
        <v>-</v>
      </c>
      <c r="R43" s="214" t="str">
        <f t="shared" ca="1" si="44"/>
        <v>-</v>
      </c>
      <c r="S43" s="214" t="str">
        <f t="shared" ca="1" si="44"/>
        <v>-</v>
      </c>
      <c r="T43" s="214" t="str">
        <f t="shared" ca="1" si="44"/>
        <v>-</v>
      </c>
      <c r="U43" s="214" t="str">
        <f t="shared" ca="1" si="44"/>
        <v>-</v>
      </c>
      <c r="V43" s="214" t="str">
        <f t="shared" ca="1" si="44"/>
        <v>-</v>
      </c>
      <c r="W43" s="214" t="str">
        <f t="shared" ca="1" si="44"/>
        <v>-</v>
      </c>
      <c r="X43" s="214" t="str">
        <f t="shared" ca="1" si="44"/>
        <v>-</v>
      </c>
      <c r="Y43" s="214" t="str">
        <f t="shared" ca="1" si="44"/>
        <v>-</v>
      </c>
      <c r="Z43" s="214" t="str">
        <f t="shared" ca="1" si="44"/>
        <v>-</v>
      </c>
      <c r="AA43" s="214">
        <f t="shared" ca="1" si="44"/>
        <v>0.63672337632803289</v>
      </c>
      <c r="AB43" s="294">
        <f t="shared" ca="1" si="44"/>
        <v>0.66178475369295731</v>
      </c>
      <c r="AC43" s="214">
        <f t="shared" ca="1" si="44"/>
        <v>0.36783305784110465</v>
      </c>
      <c r="AD43" s="214">
        <f t="shared" ca="1" si="44"/>
        <v>0.23243151321900224</v>
      </c>
      <c r="AE43" s="214">
        <f t="shared" ca="1" si="44"/>
        <v>0.52832165430910871</v>
      </c>
      <c r="AF43" s="214">
        <f t="shared" ca="1" si="44"/>
        <v>0.46065579453368222</v>
      </c>
      <c r="AG43" s="214">
        <f t="shared" ca="1" si="44"/>
        <v>0.55548963730749712</v>
      </c>
      <c r="AH43" s="214">
        <f t="shared" ca="1" si="44"/>
        <v>0.24670352682490471</v>
      </c>
      <c r="AI43" s="214">
        <f t="shared" ca="1" si="44"/>
        <v>6.881789637264113E-2</v>
      </c>
      <c r="AJ43" s="214">
        <f t="shared" ca="1" si="44"/>
        <v>-6.1855986907309424E-2</v>
      </c>
      <c r="AK43" s="214">
        <f t="shared" ca="1" si="44"/>
        <v>-0.37493943767584414</v>
      </c>
      <c r="AL43" s="214">
        <f t="shared" ca="1" si="44"/>
        <v>-0.38822045528889426</v>
      </c>
      <c r="AM43" s="214">
        <f t="shared" ca="1" si="44"/>
        <v>-0.22627122065923577</v>
      </c>
      <c r="AN43" s="270">
        <f t="shared" ca="1" si="44"/>
        <v>-0.20887773398311515</v>
      </c>
      <c r="AO43" s="274">
        <f t="shared" ca="1" si="40"/>
        <v>0.55544706262069832</v>
      </c>
      <c r="AP43" s="275">
        <f t="shared" ca="1" si="41"/>
        <v>0.55544706262069832</v>
      </c>
      <c r="AQ43" s="276">
        <f t="shared" ref="AQ43" ca="1" si="45">IFERROR(IF(AQ41=0,"-",(AQ41/AQ42)-1),"-")</f>
        <v>6.9336087327892759E-2</v>
      </c>
    </row>
    <row r="44" spans="2:44" ht="15.75" outlineLevel="1" x14ac:dyDescent="0.25">
      <c r="B44" t="str">
        <f t="shared" si="42"/>
        <v>PC Annual Direct</v>
      </c>
      <c r="C44" t="str">
        <f t="shared" si="43"/>
        <v>Boom Annual</v>
      </c>
      <c r="D44" s="208" t="s">
        <v>5</v>
      </c>
      <c r="E44" s="209">
        <v>0</v>
      </c>
      <c r="F44" s="209">
        <v>0</v>
      </c>
      <c r="G44" s="209">
        <v>0</v>
      </c>
      <c r="H44" s="209">
        <v>0</v>
      </c>
      <c r="I44" s="209">
        <v>0</v>
      </c>
      <c r="J44" s="209">
        <v>0</v>
      </c>
      <c r="K44" s="209">
        <v>0</v>
      </c>
      <c r="L44" s="209">
        <v>0</v>
      </c>
      <c r="M44" s="209">
        <v>0</v>
      </c>
      <c r="N44" s="209">
        <v>0</v>
      </c>
      <c r="O44" s="209">
        <v>0</v>
      </c>
      <c r="P44" s="265">
        <v>0</v>
      </c>
      <c r="Q44" s="209">
        <v>0</v>
      </c>
      <c r="R44" s="209">
        <v>0</v>
      </c>
      <c r="S44" s="209">
        <v>0</v>
      </c>
      <c r="T44" s="209">
        <v>0</v>
      </c>
      <c r="U44" s="209">
        <v>40951.182142436104</v>
      </c>
      <c r="V44" s="209">
        <v>945624.45928729349</v>
      </c>
      <c r="W44" s="209">
        <v>896470.2778577751</v>
      </c>
      <c r="X44" s="209">
        <v>1071653.1207244031</v>
      </c>
      <c r="Y44" s="209">
        <v>1115138.8496423969</v>
      </c>
      <c r="Z44" s="209">
        <v>1337651.323214008</v>
      </c>
      <c r="AA44" s="209">
        <v>1843053.8217862977</v>
      </c>
      <c r="AB44" s="238">
        <v>1639641.0149972043</v>
      </c>
      <c r="AC44" s="209">
        <v>1660410.1078601356</v>
      </c>
      <c r="AD44" s="209">
        <v>1490070.4535678655</v>
      </c>
      <c r="AE44" s="209">
        <v>1956356.3464312493</v>
      </c>
      <c r="AF44" s="209">
        <v>1644150.7957140515</v>
      </c>
      <c r="AG44" s="209">
        <v>1631174.3696467348</v>
      </c>
      <c r="AH44" s="209">
        <v>1352158.456070683</v>
      </c>
      <c r="AI44" s="209">
        <v>1101664.7575005509</v>
      </c>
      <c r="AJ44" s="209">
        <v>950702.82999902265</v>
      </c>
      <c r="AK44" s="209">
        <v>913133.92285479885</v>
      </c>
      <c r="AL44" s="209">
        <v>889111.01964318566</v>
      </c>
      <c r="AM44" s="209">
        <v>1007458.6878601884</v>
      </c>
      <c r="AN44" s="265">
        <v>940484.03999803239</v>
      </c>
      <c r="AO44" s="237">
        <f t="shared" si="40"/>
        <v>1620189.0669644114</v>
      </c>
      <c r="AP44" s="209">
        <f t="shared" si="41"/>
        <v>879216.1797926625</v>
      </c>
      <c r="AQ44" s="238">
        <f>SUMIFS(AC44:AN44,AC$4:AN$4,"&lt;"&amp;'Title Sheet'!$C$13)</f>
        <v>15536875.787146501</v>
      </c>
    </row>
    <row r="45" spans="2:44" ht="15.75" outlineLevel="1" x14ac:dyDescent="0.25">
      <c r="B45" t="str">
        <f>$D$21&amp;"_NWP"</f>
        <v>PC Annual Direct - Annual_NWP</v>
      </c>
      <c r="C45" t="str">
        <f t="shared" si="43"/>
        <v>Boom Annual</v>
      </c>
      <c r="D45" s="211" t="s">
        <v>6</v>
      </c>
      <c r="E45" s="31" t="e">
        <f>INDEX('Plan Figures'!$B$94:$AP$131,MATCH('Current - MPM only'!E$4,'Plan Figures'!$B$94:$B$131,0),MATCH('Current - MPM only'!$B45,'Plan Figures'!$B$1:$AP$1,0))</f>
        <v>#N/A</v>
      </c>
      <c r="F45" s="31" t="e">
        <f>INDEX('Plan Figures'!$B$94:$AP$131,MATCH('Current - MPM only'!F$4,'Plan Figures'!$B$94:$B$131,0),MATCH('Current - MPM only'!$B45,'Plan Figures'!$B$1:$AP$1,0))</f>
        <v>#N/A</v>
      </c>
      <c r="G45" s="31" t="e">
        <f>INDEX('Plan Figures'!$B$94:$AP$131,MATCH('Current - MPM only'!G$4,'Plan Figures'!$B$94:$B$131,0),MATCH('Current - MPM only'!$B45,'Plan Figures'!$B$1:$AP$1,0))</f>
        <v>#N/A</v>
      </c>
      <c r="H45" s="31" t="e">
        <f>INDEX('Plan Figures'!$B$94:$AP$131,MATCH('Current - MPM only'!H$4,'Plan Figures'!$B$94:$B$131,0),MATCH('Current - MPM only'!$B45,'Plan Figures'!$B$1:$AP$1,0))</f>
        <v>#N/A</v>
      </c>
      <c r="I45" s="31" t="e">
        <f>INDEX('Plan Figures'!$B$94:$AP$131,MATCH('Current - MPM only'!I$4,'Plan Figures'!$B$94:$B$131,0),MATCH('Current - MPM only'!$B45,'Plan Figures'!$B$1:$AP$1,0))</f>
        <v>#N/A</v>
      </c>
      <c r="J45" s="31" t="e">
        <f>INDEX('Plan Figures'!$B$94:$AP$131,MATCH('Current - MPM only'!J$4,'Plan Figures'!$B$94:$B$131,0),MATCH('Current - MPM only'!$B45,'Plan Figures'!$B$1:$AP$1,0))</f>
        <v>#N/A</v>
      </c>
      <c r="K45" s="31" t="e">
        <f>INDEX('Plan Figures'!$B$94:$AP$131,MATCH('Current - MPM only'!K$4,'Plan Figures'!$B$94:$B$131,0),MATCH('Current - MPM only'!$B45,'Plan Figures'!$B$1:$AP$1,0))</f>
        <v>#N/A</v>
      </c>
      <c r="L45" s="31" t="e">
        <f>INDEX('Plan Figures'!$B$94:$AP$131,MATCH('Current - MPM only'!L$4,'Plan Figures'!$B$94:$B$131,0),MATCH('Current - MPM only'!$B45,'Plan Figures'!$B$1:$AP$1,0))</f>
        <v>#N/A</v>
      </c>
      <c r="M45" s="31" t="e">
        <f>INDEX('Plan Figures'!$B$94:$AP$131,MATCH('Current - MPM only'!M$4,'Plan Figures'!$B$94:$B$131,0),MATCH('Current - MPM only'!$B45,'Plan Figures'!$B$1:$AP$1,0))</f>
        <v>#N/A</v>
      </c>
      <c r="N45" s="31" t="e">
        <f>INDEX('Plan Figures'!$B$94:$AP$131,MATCH('Current - MPM only'!N$4,'Plan Figures'!$B$94:$B$131,0),MATCH('Current - MPM only'!$B45,'Plan Figures'!$B$1:$AP$1,0))</f>
        <v>#N/A</v>
      </c>
      <c r="O45" s="31" t="e">
        <f>INDEX('Plan Figures'!$B$94:$AP$131,MATCH('Current - MPM only'!O$4,'Plan Figures'!$B$94:$B$131,0),MATCH('Current - MPM only'!$B45,'Plan Figures'!$B$1:$AP$1,0))</f>
        <v>#N/A</v>
      </c>
      <c r="P45" s="266" t="str">
        <f ca="1">INDEX('Plan Figures'!$B$94:$AP$131,MATCH('Current - MPM only'!P$4,'Plan Figures'!$B$94:$B$131,0),MATCH('Current - MPM only'!$B45,'Plan Figures'!$B$1:$AP$1,0))</f>
        <v>-</v>
      </c>
      <c r="Q45" s="31" t="str">
        <f ca="1">INDEX('Plan Figures'!$B$94:$AP$131,MATCH('Current - MPM only'!Q$4,'Plan Figures'!$B$94:$B$131,0),MATCH('Current - MPM only'!$B45,'Plan Figures'!$B$1:$AP$1,0))</f>
        <v>-</v>
      </c>
      <c r="R45" s="31" t="str">
        <f ca="1">INDEX('Plan Figures'!$B$94:$AP$131,MATCH('Current - MPM only'!R$4,'Plan Figures'!$B$94:$B$131,0),MATCH('Current - MPM only'!$B45,'Plan Figures'!$B$1:$AP$1,0))</f>
        <v>-</v>
      </c>
      <c r="S45" s="31" t="str">
        <f ca="1">INDEX('Plan Figures'!$B$94:$AP$131,MATCH('Current - MPM only'!S$4,'Plan Figures'!$B$94:$B$131,0),MATCH('Current - MPM only'!$B45,'Plan Figures'!$B$1:$AP$1,0))</f>
        <v>-</v>
      </c>
      <c r="T45" s="31" t="str">
        <f ca="1">INDEX('Plan Figures'!$B$94:$AP$131,MATCH('Current - MPM only'!T$4,'Plan Figures'!$B$94:$B$131,0),MATCH('Current - MPM only'!$B45,'Plan Figures'!$B$1:$AP$1,0))</f>
        <v>-</v>
      </c>
      <c r="U45" s="31" t="str">
        <f ca="1">INDEX('Plan Figures'!$B$94:$AP$131,MATCH('Current - MPM only'!U$4,'Plan Figures'!$B$94:$B$131,0),MATCH('Current - MPM only'!$B45,'Plan Figures'!$B$1:$AP$1,0))</f>
        <v>-</v>
      </c>
      <c r="V45" s="31" t="str">
        <f ca="1">INDEX('Plan Figures'!$B$94:$AP$131,MATCH('Current - MPM only'!V$4,'Plan Figures'!$B$94:$B$131,0),MATCH('Current - MPM only'!$B45,'Plan Figures'!$B$1:$AP$1,0))</f>
        <v>-</v>
      </c>
      <c r="W45" s="31" t="str">
        <f ca="1">INDEX('Plan Figures'!$B$94:$AP$131,MATCH('Current - MPM only'!W$4,'Plan Figures'!$B$94:$B$131,0),MATCH('Current - MPM only'!$B45,'Plan Figures'!$B$1:$AP$1,0))</f>
        <v>-</v>
      </c>
      <c r="X45" s="31" t="str">
        <f ca="1">INDEX('Plan Figures'!$B$94:$AP$131,MATCH('Current - MPM only'!X$4,'Plan Figures'!$B$94:$B$131,0),MATCH('Current - MPM only'!$B45,'Plan Figures'!$B$1:$AP$1,0))</f>
        <v>-</v>
      </c>
      <c r="Y45" s="31" t="str">
        <f ca="1">INDEX('Plan Figures'!$B$94:$AP$131,MATCH('Current - MPM only'!Y$4,'Plan Figures'!$B$94:$B$131,0),MATCH('Current - MPM only'!$B45,'Plan Figures'!$B$1:$AP$1,0))</f>
        <v>-</v>
      </c>
      <c r="Z45" s="31" t="str">
        <f ca="1">INDEX('Plan Figures'!$B$94:$AP$131,MATCH('Current - MPM only'!Z$4,'Plan Figures'!$B$94:$B$131,0),MATCH('Current - MPM only'!$B45,'Plan Figures'!$B$1:$AP$1,0))</f>
        <v>-</v>
      </c>
      <c r="AA45" s="31">
        <f ca="1">INDEX('Plan Figures'!$B$94:$AP$131,MATCH('Current - MPM only'!AA$4,'Plan Figures'!$B$94:$B$131,0),MATCH('Current - MPM only'!$B45,'Plan Figures'!$B$1:$AP$1,0))</f>
        <v>1201948.8602582696</v>
      </c>
      <c r="AB45" s="240">
        <f ca="1">INDEX('Plan Figures'!$B$94:$AP$131,MATCH('Current - MPM only'!AB$4,'Plan Figures'!$B$94:$B$131,0),MATCH('Current - MPM only'!$B45,'Plan Figures'!$B$1:$AP$1,0))</f>
        <v>1130181.9540233866</v>
      </c>
      <c r="AC45" s="31">
        <f ca="1">INDEX('Plan Figures'!$B$94:$AP$131,MATCH('Current - MPM only'!AC$4,'Plan Figures'!$B$94:$B$131,0),MATCH('Current - MPM only'!$B45,'Plan Figures'!$B$1:$AP$1,0))</f>
        <v>1235960.0527141613</v>
      </c>
      <c r="AD45" s="31">
        <f ca="1">INDEX('Plan Figures'!$B$94:$AP$131,MATCH('Current - MPM only'!AD$4,'Plan Figures'!$B$94:$B$131,0),MATCH('Current - MPM only'!$B45,'Plan Figures'!$B$1:$AP$1,0))</f>
        <v>1333459.558352059</v>
      </c>
      <c r="AE45" s="31">
        <f ca="1">INDEX('Plan Figures'!$B$94:$AP$131,MATCH('Current - MPM only'!AE$4,'Plan Figures'!$B$94:$B$131,0),MATCH('Current - MPM only'!$B45,'Plan Figures'!$B$1:$AP$1,0))</f>
        <v>1387558.0023525297</v>
      </c>
      <c r="AF45" s="31">
        <f ca="1">INDEX('Plan Figures'!$B$94:$AP$131,MATCH('Current - MPM only'!AF$4,'Plan Figures'!$B$94:$B$131,0),MATCH('Current - MPM only'!$B45,'Plan Figures'!$B$1:$AP$1,0))</f>
        <v>1433144.0223048357</v>
      </c>
      <c r="AG45" s="31">
        <f ca="1">INDEX('Plan Figures'!$B$94:$AP$131,MATCH('Current - MPM only'!AG$4,'Plan Figures'!$B$94:$B$131,0),MATCH('Current - MPM only'!$B45,'Plan Figures'!$B$1:$AP$1,0))</f>
        <v>1450615.9831731333</v>
      </c>
      <c r="AH45" s="31">
        <f ca="1">INDEX('Plan Figures'!$B$94:$AP$131,MATCH('Current - MPM only'!AH$4,'Plan Figures'!$B$94:$B$131,0),MATCH('Current - MPM only'!$B45,'Plan Figures'!$B$1:$AP$1,0))</f>
        <v>1477938.9090293907</v>
      </c>
      <c r="AI45" s="31">
        <f ca="1">INDEX('Plan Figures'!$B$94:$AP$131,MATCH('Current - MPM only'!AI$4,'Plan Figures'!$B$94:$B$131,0),MATCH('Current - MPM only'!$B45,'Plan Figures'!$B$1:$AP$1,0))</f>
        <v>1091239.3456972765</v>
      </c>
      <c r="AJ45" s="31">
        <f ca="1">INDEX('Plan Figures'!$B$94:$AP$131,MATCH('Current - MPM only'!AJ$4,'Plan Figures'!$B$94:$B$131,0),MATCH('Current - MPM only'!$B45,'Plan Figures'!$B$1:$AP$1,0))</f>
        <v>1077447.5969932852</v>
      </c>
      <c r="AK45" s="31">
        <f ca="1">INDEX('Plan Figures'!$B$94:$AP$131,MATCH('Current - MPM only'!AK$4,'Plan Figures'!$B$94:$B$131,0),MATCH('Current - MPM only'!$B45,'Plan Figures'!$B$1:$AP$1,0))</f>
        <v>1476181.8237554729</v>
      </c>
      <c r="AL45" s="31">
        <f ca="1">INDEX('Plan Figures'!$B$94:$AP$131,MATCH('Current - MPM only'!AL$4,'Plan Figures'!$B$94:$B$131,0),MATCH('Current - MPM only'!$B45,'Plan Figures'!$B$1:$AP$1,0))</f>
        <v>1608356.2569974326</v>
      </c>
      <c r="AM45" s="31">
        <f ca="1">INDEX('Plan Figures'!$B$94:$AP$131,MATCH('Current - MPM only'!AM$4,'Plan Figures'!$B$94:$B$131,0),MATCH('Current - MPM only'!$B45,'Plan Figures'!$B$1:$AP$1,0))</f>
        <v>1383525.1445630868</v>
      </c>
      <c r="AN45" s="266">
        <f ca="1">INDEX('Plan Figures'!$B$94:$AP$131,MATCH('Current - MPM only'!AN$4,'Plan Figures'!$B$94:$B$131,0),MATCH('Current - MPM only'!$B45,'Plan Figures'!$B$1:$AP$1,0))</f>
        <v>1258196.2084745558</v>
      </c>
      <c r="AO45" s="239">
        <f t="shared" ca="1" si="40"/>
        <v>1189363.6223319394</v>
      </c>
      <c r="AP45" s="31">
        <f t="shared" ca="1" si="41"/>
        <v>1189363.6223319394</v>
      </c>
      <c r="AQ45" s="240">
        <f ca="1">SUMIFS(AC45:AN45,AC$4:AN$4,"&lt;"&amp;'Title Sheet'!$C$13)</f>
        <v>16213622.90440722</v>
      </c>
    </row>
    <row r="46" spans="2:44" ht="15.75" outlineLevel="1" x14ac:dyDescent="0.25">
      <c r="B46" t="str">
        <f t="shared" si="42"/>
        <v>PC Annual Direct</v>
      </c>
      <c r="C46" t="str">
        <f t="shared" si="43"/>
        <v>Boom Annual</v>
      </c>
      <c r="D46" s="213" t="s">
        <v>0</v>
      </c>
      <c r="E46" s="214" t="str">
        <f t="shared" ref="E46:AN46" si="46">IFERROR(IF(E44=0,"-",(E44/E45)-1),"-")</f>
        <v>-</v>
      </c>
      <c r="F46" s="214" t="str">
        <f t="shared" si="46"/>
        <v>-</v>
      </c>
      <c r="G46" s="214" t="str">
        <f t="shared" si="46"/>
        <v>-</v>
      </c>
      <c r="H46" s="214" t="str">
        <f t="shared" si="46"/>
        <v>-</v>
      </c>
      <c r="I46" s="214" t="str">
        <f t="shared" si="46"/>
        <v>-</v>
      </c>
      <c r="J46" s="214" t="str">
        <f t="shared" si="46"/>
        <v>-</v>
      </c>
      <c r="K46" s="214" t="str">
        <f t="shared" si="46"/>
        <v>-</v>
      </c>
      <c r="L46" s="214" t="str">
        <f t="shared" si="46"/>
        <v>-</v>
      </c>
      <c r="M46" s="214" t="str">
        <f t="shared" si="46"/>
        <v>-</v>
      </c>
      <c r="N46" s="214" t="str">
        <f t="shared" si="46"/>
        <v>-</v>
      </c>
      <c r="O46" s="214" t="str">
        <f t="shared" si="46"/>
        <v>-</v>
      </c>
      <c r="P46" s="270" t="str">
        <f t="shared" si="46"/>
        <v>-</v>
      </c>
      <c r="Q46" s="214" t="str">
        <f t="shared" si="46"/>
        <v>-</v>
      </c>
      <c r="R46" s="214" t="str">
        <f t="shared" si="46"/>
        <v>-</v>
      </c>
      <c r="S46" s="214" t="str">
        <f t="shared" si="46"/>
        <v>-</v>
      </c>
      <c r="T46" s="214" t="str">
        <f t="shared" si="46"/>
        <v>-</v>
      </c>
      <c r="U46" s="214" t="str">
        <f t="shared" ca="1" si="46"/>
        <v>-</v>
      </c>
      <c r="V46" s="214" t="str">
        <f t="shared" ca="1" si="46"/>
        <v>-</v>
      </c>
      <c r="W46" s="214" t="str">
        <f t="shared" ca="1" si="46"/>
        <v>-</v>
      </c>
      <c r="X46" s="214" t="str">
        <f t="shared" ca="1" si="46"/>
        <v>-</v>
      </c>
      <c r="Y46" s="214" t="str">
        <f t="shared" ca="1" si="46"/>
        <v>-</v>
      </c>
      <c r="Z46" s="214" t="str">
        <f t="shared" ca="1" si="46"/>
        <v>-</v>
      </c>
      <c r="AA46" s="214">
        <f t="shared" ca="1" si="46"/>
        <v>0.53338788589580277</v>
      </c>
      <c r="AB46" s="294">
        <f t="shared" ca="1" si="46"/>
        <v>0.45077614198330718</v>
      </c>
      <c r="AC46" s="214">
        <f t="shared" ca="1" si="46"/>
        <v>0.34341729266563625</v>
      </c>
      <c r="AD46" s="214">
        <f t="shared" ca="1" si="46"/>
        <v>0.1174470528445215</v>
      </c>
      <c r="AE46" s="214">
        <f t="shared" ca="1" si="46"/>
        <v>0.40992761608116757</v>
      </c>
      <c r="AF46" s="214">
        <f t="shared" ca="1" si="46"/>
        <v>0.14723347418347155</v>
      </c>
      <c r="AG46" s="214">
        <f t="shared" ca="1" si="46"/>
        <v>0.12447014824601688</v>
      </c>
      <c r="AH46" s="214">
        <f t="shared" ca="1" si="46"/>
        <v>-8.5105312669054523E-2</v>
      </c>
      <c r="AI46" s="214">
        <f t="shared" ca="1" si="46"/>
        <v>9.5537352500911776E-3</v>
      </c>
      <c r="AJ46" s="214">
        <f t="shared" ca="1" si="46"/>
        <v>-0.11763427506632829</v>
      </c>
      <c r="AK46" s="214">
        <f t="shared" ca="1" si="46"/>
        <v>-0.38142178140918637</v>
      </c>
      <c r="AL46" s="214">
        <f t="shared" ca="1" si="46"/>
        <v>-0.44719273744547938</v>
      </c>
      <c r="AM46" s="214">
        <f t="shared" ca="1" si="46"/>
        <v>-0.2718175800279069</v>
      </c>
      <c r="AN46" s="270">
        <f t="shared" ca="1" si="46"/>
        <v>-0.25251400881403019</v>
      </c>
      <c r="AO46" s="274">
        <f t="shared" ca="1" si="40"/>
        <v>0.44252710684824875</v>
      </c>
      <c r="AP46" s="275">
        <f t="shared" ca="1" si="41"/>
        <v>0.44252710684824875</v>
      </c>
      <c r="AQ46" s="276">
        <f t="shared" ref="AQ46" ca="1" si="47">IFERROR(IF(AQ44=0,"-",(AQ44/AQ45)-1),"-")</f>
        <v>-4.1739413902167621E-2</v>
      </c>
    </row>
    <row r="47" spans="2:44" ht="15.75" outlineLevel="1" x14ac:dyDescent="0.25">
      <c r="B47" t="str">
        <f t="shared" si="42"/>
        <v>PC Annual Direct</v>
      </c>
      <c r="C47" t="str">
        <f t="shared" si="43"/>
        <v>Boom Annual</v>
      </c>
      <c r="D47" s="208" t="s">
        <v>12</v>
      </c>
      <c r="E47" s="209">
        <f t="shared" ref="E47:AP48" si="48">IFERROR(E44/E41,0)</f>
        <v>0</v>
      </c>
      <c r="F47" s="209">
        <f t="shared" si="48"/>
        <v>0</v>
      </c>
      <c r="G47" s="209">
        <f t="shared" si="48"/>
        <v>0</v>
      </c>
      <c r="H47" s="209">
        <f t="shared" si="48"/>
        <v>0</v>
      </c>
      <c r="I47" s="209">
        <f t="shared" si="48"/>
        <v>0</v>
      </c>
      <c r="J47" s="209">
        <f t="shared" si="48"/>
        <v>0</v>
      </c>
      <c r="K47" s="209">
        <f t="shared" si="48"/>
        <v>0</v>
      </c>
      <c r="L47" s="209">
        <f t="shared" si="48"/>
        <v>0</v>
      </c>
      <c r="M47" s="209">
        <f t="shared" si="48"/>
        <v>0</v>
      </c>
      <c r="N47" s="209">
        <f t="shared" si="48"/>
        <v>0</v>
      </c>
      <c r="O47" s="209">
        <f t="shared" si="48"/>
        <v>0</v>
      </c>
      <c r="P47" s="265">
        <f t="shared" si="48"/>
        <v>0</v>
      </c>
      <c r="Q47" s="209">
        <f t="shared" si="48"/>
        <v>0</v>
      </c>
      <c r="R47" s="209">
        <f t="shared" si="48"/>
        <v>0</v>
      </c>
      <c r="S47" s="209">
        <f t="shared" si="48"/>
        <v>0</v>
      </c>
      <c r="T47" s="209">
        <f t="shared" si="48"/>
        <v>0</v>
      </c>
      <c r="U47" s="209">
        <f t="shared" si="48"/>
        <v>25.166495114292516</v>
      </c>
      <c r="V47" s="209">
        <f t="shared" si="48"/>
        <v>809.44335531073204</v>
      </c>
      <c r="W47" s="209">
        <f t="shared" si="48"/>
        <v>1364.206865770806</v>
      </c>
      <c r="X47" s="209">
        <f t="shared" si="48"/>
        <v>1247.9796943708577</v>
      </c>
      <c r="Y47" s="209">
        <f t="shared" si="48"/>
        <v>1290.8291631679019</v>
      </c>
      <c r="Z47" s="209">
        <f t="shared" si="48"/>
        <v>1227.5445975159823</v>
      </c>
      <c r="AA47" s="209">
        <f t="shared" si="48"/>
        <v>1011.3551430804258</v>
      </c>
      <c r="AB47" s="238">
        <f t="shared" si="48"/>
        <v>996.96911694813195</v>
      </c>
      <c r="AC47" s="209">
        <f t="shared" si="48"/>
        <v>1002.7673401579891</v>
      </c>
      <c r="AD47" s="209">
        <f t="shared" si="48"/>
        <v>1000.7593072308655</v>
      </c>
      <c r="AE47" s="209">
        <f t="shared" si="48"/>
        <v>1061.6626718383011</v>
      </c>
      <c r="AF47" s="209">
        <f t="shared" si="48"/>
        <v>935.43762360433254</v>
      </c>
      <c r="AG47" s="209">
        <f t="shared" si="48"/>
        <v>873.13772563321902</v>
      </c>
      <c r="AH47" s="209">
        <f t="shared" si="48"/>
        <v>882.58470456285886</v>
      </c>
      <c r="AI47" s="209">
        <f t="shared" si="48"/>
        <v>885.76207239013024</v>
      </c>
      <c r="AJ47" s="209">
        <f t="shared" si="48"/>
        <v>886.75447059104511</v>
      </c>
      <c r="AK47" s="209">
        <f t="shared" si="48"/>
        <v>922.51578195695413</v>
      </c>
      <c r="AL47" s="209">
        <f t="shared" si="48"/>
        <v>889.07448231116371</v>
      </c>
      <c r="AM47" s="209">
        <f t="shared" si="48"/>
        <v>913.61877576669804</v>
      </c>
      <c r="AN47" s="265">
        <f t="shared" si="48"/>
        <v>915.65596574162203</v>
      </c>
      <c r="AO47" s="237">
        <f t="shared" si="48"/>
        <v>1043.1782481783789</v>
      </c>
      <c r="AP47" s="209">
        <f t="shared" si="48"/>
        <v>579.82282586997587</v>
      </c>
      <c r="AQ47" s="238">
        <f>SUMIFS(AC47:AN47,AC$4:AN$4,"&lt;"&amp;'Title Sheet'!$C$13)</f>
        <v>11169.730921785178</v>
      </c>
    </row>
    <row r="48" spans="2:44" ht="15.75" hidden="1" outlineLevel="1" x14ac:dyDescent="0.25">
      <c r="B48" t="str">
        <f t="shared" si="42"/>
        <v>PC Annual Direct</v>
      </c>
      <c r="C48" t="str">
        <f t="shared" si="43"/>
        <v>Boom Annual</v>
      </c>
      <c r="D48" s="211" t="s">
        <v>13</v>
      </c>
      <c r="E48" s="31">
        <f t="shared" si="48"/>
        <v>0</v>
      </c>
      <c r="F48" s="31">
        <f t="shared" si="48"/>
        <v>0</v>
      </c>
      <c r="G48" s="31">
        <f t="shared" si="48"/>
        <v>0</v>
      </c>
      <c r="H48" s="31">
        <f t="shared" si="48"/>
        <v>0</v>
      </c>
      <c r="I48" s="31">
        <f t="shared" si="48"/>
        <v>0</v>
      </c>
      <c r="J48" s="31">
        <f t="shared" si="48"/>
        <v>0</v>
      </c>
      <c r="K48" s="31">
        <f t="shared" si="48"/>
        <v>0</v>
      </c>
      <c r="L48" s="31">
        <f t="shared" si="48"/>
        <v>0</v>
      </c>
      <c r="M48" s="31">
        <f t="shared" si="48"/>
        <v>0</v>
      </c>
      <c r="N48" s="31">
        <f t="shared" si="48"/>
        <v>0</v>
      </c>
      <c r="O48" s="31">
        <f t="shared" si="48"/>
        <v>0</v>
      </c>
      <c r="P48" s="266">
        <f t="shared" ca="1" si="48"/>
        <v>0</v>
      </c>
      <c r="Q48" s="31">
        <f t="shared" ca="1" si="48"/>
        <v>0</v>
      </c>
      <c r="R48" s="31">
        <f t="shared" ca="1" si="48"/>
        <v>0</v>
      </c>
      <c r="S48" s="31">
        <f t="shared" ca="1" si="48"/>
        <v>0</v>
      </c>
      <c r="T48" s="31">
        <f t="shared" ca="1" si="48"/>
        <v>0</v>
      </c>
      <c r="U48" s="31">
        <f t="shared" ca="1" si="48"/>
        <v>0</v>
      </c>
      <c r="V48" s="31">
        <f t="shared" ca="1" si="48"/>
        <v>0</v>
      </c>
      <c r="W48" s="31">
        <f t="shared" ca="1" si="48"/>
        <v>0</v>
      </c>
      <c r="X48" s="31">
        <f t="shared" ca="1" si="48"/>
        <v>0</v>
      </c>
      <c r="Y48" s="31">
        <f t="shared" ca="1" si="48"/>
        <v>0</v>
      </c>
      <c r="Z48" s="31">
        <f t="shared" ca="1" si="48"/>
        <v>0</v>
      </c>
      <c r="AA48" s="31">
        <f t="shared" ca="1" si="48"/>
        <v>1079.510683288258</v>
      </c>
      <c r="AB48" s="240">
        <f t="shared" ca="1" si="48"/>
        <v>1141.9736170890237</v>
      </c>
      <c r="AC48" s="31">
        <f t="shared" ca="1" si="48"/>
        <v>1020.9920064895846</v>
      </c>
      <c r="AD48" s="31">
        <f t="shared" ca="1" si="48"/>
        <v>1103.7366864398034</v>
      </c>
      <c r="AE48" s="31">
        <f t="shared" ca="1" si="48"/>
        <v>1150.8123058487083</v>
      </c>
      <c r="AF48" s="31">
        <f t="shared" ca="1" si="48"/>
        <v>1190.9976618446992</v>
      </c>
      <c r="AG48" s="31">
        <f t="shared" ca="1" si="48"/>
        <v>1207.8192438307085</v>
      </c>
      <c r="AH48" s="31">
        <f t="shared" ca="1" si="48"/>
        <v>1202.675541936132</v>
      </c>
      <c r="AI48" s="31">
        <f t="shared" ca="1" si="48"/>
        <v>937.75925128360279</v>
      </c>
      <c r="AJ48" s="31">
        <f t="shared" ca="1" si="48"/>
        <v>942.81019101314519</v>
      </c>
      <c r="AK48" s="31">
        <f t="shared" ca="1" si="48"/>
        <v>932.18321643549291</v>
      </c>
      <c r="AL48" s="31">
        <f t="shared" ca="1" si="48"/>
        <v>983.9190235836345</v>
      </c>
      <c r="AM48" s="31">
        <f t="shared" ca="1" si="48"/>
        <v>970.76380968365265</v>
      </c>
      <c r="AN48" s="266">
        <f t="shared" ca="1" si="48"/>
        <v>969.10956332446642</v>
      </c>
      <c r="AO48" s="239">
        <f t="shared" ca="1" si="48"/>
        <v>1076.7880846593339</v>
      </c>
      <c r="AP48" s="31">
        <f t="shared" ca="1" si="48"/>
        <v>1076.7880846593339</v>
      </c>
      <c r="AQ48" s="240">
        <f ca="1">SUMIFS(AC48:AN48,AC$4:AN$4,"&lt;"&amp;'Title Sheet'!$C$13)</f>
        <v>12613.57850171363</v>
      </c>
      <c r="AR48" s="3"/>
    </row>
    <row r="49" spans="2:43" ht="15.75" hidden="1" outlineLevel="1" x14ac:dyDescent="0.25">
      <c r="B49" t="str">
        <f t="shared" si="42"/>
        <v>PC Annual Direct</v>
      </c>
      <c r="C49" t="str">
        <f t="shared" si="43"/>
        <v>Boom Annual</v>
      </c>
      <c r="D49" s="213" t="s">
        <v>0</v>
      </c>
      <c r="E49" s="214" t="str">
        <f t="shared" ref="E49:AN49" si="49">IFERROR(IF(E47=0,"-",(E47/E48)-1),"-")</f>
        <v>-</v>
      </c>
      <c r="F49" s="214" t="str">
        <f t="shared" si="49"/>
        <v>-</v>
      </c>
      <c r="G49" s="214" t="str">
        <f t="shared" si="49"/>
        <v>-</v>
      </c>
      <c r="H49" s="214" t="str">
        <f t="shared" si="49"/>
        <v>-</v>
      </c>
      <c r="I49" s="214" t="str">
        <f t="shared" si="49"/>
        <v>-</v>
      </c>
      <c r="J49" s="214" t="str">
        <f t="shared" si="49"/>
        <v>-</v>
      </c>
      <c r="K49" s="214" t="str">
        <f t="shared" si="49"/>
        <v>-</v>
      </c>
      <c r="L49" s="214" t="str">
        <f t="shared" si="49"/>
        <v>-</v>
      </c>
      <c r="M49" s="214" t="str">
        <f t="shared" si="49"/>
        <v>-</v>
      </c>
      <c r="N49" s="214" t="str">
        <f t="shared" si="49"/>
        <v>-</v>
      </c>
      <c r="O49" s="214" t="str">
        <f t="shared" si="49"/>
        <v>-</v>
      </c>
      <c r="P49" s="270" t="str">
        <f t="shared" si="49"/>
        <v>-</v>
      </c>
      <c r="Q49" s="214" t="str">
        <f t="shared" si="49"/>
        <v>-</v>
      </c>
      <c r="R49" s="214" t="str">
        <f t="shared" si="49"/>
        <v>-</v>
      </c>
      <c r="S49" s="214" t="str">
        <f t="shared" si="49"/>
        <v>-</v>
      </c>
      <c r="T49" s="214" t="str">
        <f t="shared" si="49"/>
        <v>-</v>
      </c>
      <c r="U49" s="214" t="str">
        <f t="shared" ca="1" si="49"/>
        <v>-</v>
      </c>
      <c r="V49" s="214" t="str">
        <f t="shared" ca="1" si="49"/>
        <v>-</v>
      </c>
      <c r="W49" s="214" t="str">
        <f t="shared" ca="1" si="49"/>
        <v>-</v>
      </c>
      <c r="X49" s="214" t="str">
        <f t="shared" ca="1" si="49"/>
        <v>-</v>
      </c>
      <c r="Y49" s="214" t="str">
        <f t="shared" ca="1" si="49"/>
        <v>-</v>
      </c>
      <c r="Z49" s="214" t="str">
        <f t="shared" ca="1" si="49"/>
        <v>-</v>
      </c>
      <c r="AA49" s="214">
        <f t="shared" ca="1" si="49"/>
        <v>-6.3135586579121217E-2</v>
      </c>
      <c r="AB49" s="294">
        <f t="shared" ca="1" si="49"/>
        <v>-0.12697710172194621</v>
      </c>
      <c r="AC49" s="214">
        <f t="shared" ca="1" si="49"/>
        <v>-1.7849959858408981E-2</v>
      </c>
      <c r="AD49" s="214">
        <f t="shared" ca="1" si="49"/>
        <v>-9.3298864189338637E-2</v>
      </c>
      <c r="AE49" s="214">
        <f t="shared" ca="1" si="49"/>
        <v>-7.746670204804651E-2</v>
      </c>
      <c r="AF49" s="214">
        <f t="shared" ca="1" si="49"/>
        <v>-0.21457643992729392</v>
      </c>
      <c r="AG49" s="214">
        <f t="shared" ca="1" si="49"/>
        <v>-0.27709569946577162</v>
      </c>
      <c r="AH49" s="214">
        <f t="shared" ca="1" si="49"/>
        <v>-0.26614895390486915</v>
      </c>
      <c r="AI49" s="214">
        <f t="shared" ca="1" si="49"/>
        <v>-5.5448324100560886E-2</v>
      </c>
      <c r="AJ49" s="214">
        <f t="shared" ca="1" si="49"/>
        <v>-5.9455997566023933E-2</v>
      </c>
      <c r="AK49" s="214">
        <f t="shared" ca="1" si="49"/>
        <v>-1.037074505106983E-2</v>
      </c>
      <c r="AL49" s="214">
        <f t="shared" ca="1" si="49"/>
        <v>-9.6394661551544747E-2</v>
      </c>
      <c r="AM49" s="214">
        <f t="shared" ca="1" si="49"/>
        <v>-5.8866053047009204E-2</v>
      </c>
      <c r="AN49" s="270">
        <f t="shared" ca="1" si="49"/>
        <v>-5.515743483066593E-2</v>
      </c>
      <c r="AO49" s="274">
        <f t="shared" ref="AO49:AP49" ca="1" si="50">AO47-AO48</f>
        <v>-33.609836480954982</v>
      </c>
      <c r="AP49" s="275">
        <f t="shared" ca="1" si="50"/>
        <v>-496.96525878935802</v>
      </c>
      <c r="AQ49" s="276">
        <f t="shared" ref="AQ49" ca="1" si="51">IFERROR(IF(AQ47=0,"-",(AQ47/AQ48)-1),"-")</f>
        <v>-0.11446772061808597</v>
      </c>
    </row>
    <row r="50" spans="2:43" outlineLevel="1" x14ac:dyDescent="0.25">
      <c r="B50" t="str">
        <f t="shared" si="42"/>
        <v>PC Annual Direct</v>
      </c>
      <c r="C50" t="str">
        <f t="shared" si="43"/>
        <v>Boom Annual</v>
      </c>
      <c r="D50" s="258" t="s">
        <v>17</v>
      </c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67"/>
      <c r="Q50" s="259"/>
      <c r="R50" s="259"/>
      <c r="S50" s="259"/>
      <c r="T50" s="259"/>
      <c r="U50" s="259"/>
      <c r="V50" s="259"/>
      <c r="W50" s="259"/>
      <c r="X50" s="259"/>
      <c r="Y50" s="259"/>
      <c r="Z50" s="259"/>
      <c r="AA50" s="259"/>
      <c r="AB50" s="313"/>
      <c r="AC50" s="259"/>
      <c r="AD50" s="259"/>
      <c r="AE50" s="259"/>
      <c r="AF50" s="259"/>
      <c r="AG50" s="259"/>
      <c r="AH50" s="259"/>
      <c r="AI50" s="259"/>
      <c r="AJ50" s="259"/>
      <c r="AK50" s="259"/>
      <c r="AL50" s="259"/>
      <c r="AM50" s="259"/>
      <c r="AN50" s="267"/>
      <c r="AO50" s="277"/>
      <c r="AP50" s="277"/>
      <c r="AQ50" s="278">
        <f>SUMIFS(AC50:AN50,AC$4:AN$4,"&lt;"&amp;'Title Sheet'!$C$13)</f>
        <v>0</v>
      </c>
    </row>
    <row r="51" spans="2:43" ht="15.75" outlineLevel="1" x14ac:dyDescent="0.25">
      <c r="B51" t="str">
        <f t="shared" si="42"/>
        <v>PC Annual Direct</v>
      </c>
      <c r="C51" t="str">
        <f t="shared" si="43"/>
        <v>Boom Annual</v>
      </c>
      <c r="D51" s="208" t="s">
        <v>7</v>
      </c>
      <c r="E51" s="282">
        <v>63882.723213917787</v>
      </c>
      <c r="F51" s="283">
        <v>190494.91964215893</v>
      </c>
      <c r="G51" s="283">
        <v>596806.79464284331</v>
      </c>
      <c r="H51" s="283">
        <v>595003.65178337891</v>
      </c>
      <c r="I51" s="283">
        <v>767228.99106955796</v>
      </c>
      <c r="J51" s="283">
        <v>1076558.1071435665</v>
      </c>
      <c r="K51" s="283">
        <v>1970118.39286279</v>
      </c>
      <c r="L51" s="283">
        <v>1693961.1071383746</v>
      </c>
      <c r="M51" s="283">
        <v>2359606.7857171055</v>
      </c>
      <c r="N51" s="283">
        <v>2882993.6785684759</v>
      </c>
      <c r="O51" s="283">
        <v>2381454.3214225136</v>
      </c>
      <c r="P51" s="284">
        <v>1845728.2232118105</v>
      </c>
      <c r="Q51" s="282">
        <v>1310265.0535725218</v>
      </c>
      <c r="R51" s="283">
        <v>1327939.2499983122</v>
      </c>
      <c r="S51" s="283">
        <v>1409536.7321461581</v>
      </c>
      <c r="T51" s="283">
        <v>1108687.1517870072</v>
      </c>
      <c r="U51" s="283">
        <v>1246462.1607149141</v>
      </c>
      <c r="V51" s="283">
        <v>1107291.8392874526</v>
      </c>
      <c r="W51" s="283">
        <v>1048832.0178576689</v>
      </c>
      <c r="X51" s="283">
        <v>1253992.9107235237</v>
      </c>
      <c r="Y51" s="283">
        <v>1303893.1696446086</v>
      </c>
      <c r="Z51" s="283">
        <v>1566971.7232140885</v>
      </c>
      <c r="AA51" s="283">
        <v>2157081.1517849583</v>
      </c>
      <c r="AB51" s="314">
        <v>1914532.8749973006</v>
      </c>
      <c r="AC51" s="283">
        <v>1944443.0178594808</v>
      </c>
      <c r="AD51" s="283">
        <v>1732662.0535668435</v>
      </c>
      <c r="AE51" s="283">
        <v>2205954.4464311609</v>
      </c>
      <c r="AF51" s="283">
        <v>1850640.28571464</v>
      </c>
      <c r="AG51" s="283">
        <v>1837855.9196469001</v>
      </c>
      <c r="AH51" s="283">
        <v>1522427.3660705225</v>
      </c>
      <c r="AI51" s="283">
        <v>1241761.1875013036</v>
      </c>
      <c r="AJ51" s="283">
        <v>1069691.2499979811</v>
      </c>
      <c r="AK51" s="283">
        <v>1027546.1428554314</v>
      </c>
      <c r="AL51" s="283">
        <v>1002417.9196437768</v>
      </c>
      <c r="AM51" s="283">
        <v>1136470.0178602049</v>
      </c>
      <c r="AN51" s="284">
        <v>1060884.4999982724</v>
      </c>
      <c r="AO51" s="237">
        <f t="shared" ref="AO51" si="52">AVERAGE(Z51:AC51)</f>
        <v>1895757.1919639572</v>
      </c>
      <c r="AP51" s="209">
        <f>AVERAGE(R51:AC51)</f>
        <v>1449138.6666679562</v>
      </c>
      <c r="AQ51" s="238">
        <f>SUMIFS(AC51:AN51,AC$4:AN$4,"&lt;"&amp;'Title Sheet'!$C$13)</f>
        <v>17632754.107146516</v>
      </c>
    </row>
    <row r="52" spans="2:43" ht="16.5" outlineLevel="1" thickBot="1" x14ac:dyDescent="0.3">
      <c r="B52" t="str">
        <f t="shared" si="42"/>
        <v>PC Annual Direct</v>
      </c>
      <c r="C52" t="str">
        <f t="shared" si="43"/>
        <v>Boom Annual</v>
      </c>
      <c r="D52" s="226" t="s">
        <v>21</v>
      </c>
      <c r="E52" s="269" t="str">
        <f t="shared" ref="E52:AB52" si="53">IFERROR(E44/E$27,"-")</f>
        <v>-</v>
      </c>
      <c r="F52" s="269" t="str">
        <f t="shared" si="53"/>
        <v>-</v>
      </c>
      <c r="G52" s="269" t="str">
        <f t="shared" si="53"/>
        <v>-</v>
      </c>
      <c r="H52" s="269" t="str">
        <f t="shared" si="53"/>
        <v>-</v>
      </c>
      <c r="I52" s="269" t="str">
        <f t="shared" si="53"/>
        <v>-</v>
      </c>
      <c r="J52" s="269" t="str">
        <f t="shared" si="53"/>
        <v>-</v>
      </c>
      <c r="K52" s="269" t="str">
        <f t="shared" si="53"/>
        <v>-</v>
      </c>
      <c r="L52" s="269" t="str">
        <f t="shared" si="53"/>
        <v>-</v>
      </c>
      <c r="M52" s="269" t="str">
        <f t="shared" si="53"/>
        <v>-</v>
      </c>
      <c r="N52" s="269" t="str">
        <f t="shared" si="53"/>
        <v>-</v>
      </c>
      <c r="O52" s="269" t="str">
        <f t="shared" si="53"/>
        <v>-</v>
      </c>
      <c r="P52" s="281" t="str">
        <f t="shared" si="53"/>
        <v>-</v>
      </c>
      <c r="Q52" s="269" t="str">
        <f t="shared" si="53"/>
        <v>-</v>
      </c>
      <c r="R52" s="269" t="str">
        <f t="shared" si="53"/>
        <v>-</v>
      </c>
      <c r="S52" s="269" t="str">
        <f t="shared" si="53"/>
        <v>-</v>
      </c>
      <c r="T52" s="269" t="str">
        <f t="shared" si="53"/>
        <v>-</v>
      </c>
      <c r="U52" s="269">
        <f t="shared" si="53"/>
        <v>1</v>
      </c>
      <c r="V52" s="269">
        <f t="shared" si="53"/>
        <v>1</v>
      </c>
      <c r="W52" s="269">
        <f t="shared" si="53"/>
        <v>1</v>
      </c>
      <c r="X52" s="269">
        <f t="shared" si="53"/>
        <v>1</v>
      </c>
      <c r="Y52" s="269">
        <f t="shared" si="53"/>
        <v>1</v>
      </c>
      <c r="Z52" s="269">
        <f t="shared" si="53"/>
        <v>1</v>
      </c>
      <c r="AA52" s="269">
        <f t="shared" si="53"/>
        <v>1</v>
      </c>
      <c r="AB52" s="280">
        <f t="shared" si="53"/>
        <v>1</v>
      </c>
      <c r="AC52" s="269">
        <f>IFERROR(AC44/AC$27,"-")</f>
        <v>0.80456989798280076</v>
      </c>
      <c r="AD52" s="269">
        <f t="shared" ref="AD52:AN52" si="54">IFERROR(AD44/AD$27,"-")</f>
        <v>0.41940861380294908</v>
      </c>
      <c r="AE52" s="269">
        <f t="shared" si="54"/>
        <v>0.33154136227444864</v>
      </c>
      <c r="AF52" s="269">
        <f t="shared" si="54"/>
        <v>0.30949203753276899</v>
      </c>
      <c r="AG52" s="269">
        <f t="shared" si="54"/>
        <v>0.32260638561310639</v>
      </c>
      <c r="AH52" s="269">
        <f t="shared" si="54"/>
        <v>0.32036852865725096</v>
      </c>
      <c r="AI52" s="269">
        <f t="shared" si="54"/>
        <v>0.31301853192494766</v>
      </c>
      <c r="AJ52" s="269">
        <f t="shared" si="54"/>
        <v>0.30876536354077638</v>
      </c>
      <c r="AK52" s="269">
        <f t="shared" si="54"/>
        <v>0.31160991790221165</v>
      </c>
      <c r="AL52" s="269">
        <f t="shared" si="54"/>
        <v>0.30770209805762838</v>
      </c>
      <c r="AM52" s="269">
        <f t="shared" si="54"/>
        <v>0.30575774995022476</v>
      </c>
      <c r="AN52" s="281">
        <f t="shared" si="54"/>
        <v>0.2737412268079677</v>
      </c>
      <c r="AO52" s="279">
        <f t="shared" ref="AO52:AP52" si="55">AO44/AO$8</f>
        <v>0.5072839560718061</v>
      </c>
      <c r="AP52" s="269">
        <f t="shared" si="55"/>
        <v>0.55698862002611815</v>
      </c>
      <c r="AQ52" s="280" t="str">
        <f t="shared" ref="AQ52" si="56">IFERROR(IF(AQ50=0,"-",(AQ50/AQ51)-1),"-")</f>
        <v>-</v>
      </c>
    </row>
    <row r="53" spans="2:43" outlineLevel="1" x14ac:dyDescent="0.25"/>
    <row r="54" spans="2:43" ht="15.75" outlineLevel="1" thickBot="1" x14ac:dyDescent="0.3"/>
    <row r="55" spans="2:43" ht="18.75" outlineLevel="1" x14ac:dyDescent="0.25">
      <c r="D55" s="309" t="s">
        <v>351</v>
      </c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33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33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63"/>
      <c r="AO55" s="202"/>
      <c r="AP55" s="202"/>
      <c r="AQ55" s="233"/>
    </row>
    <row r="56" spans="2:43" outlineLevel="1" x14ac:dyDescent="0.25">
      <c r="D56" s="204"/>
      <c r="E56" s="303" t="s">
        <v>341</v>
      </c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17"/>
      <c r="Q56" s="320" t="s">
        <v>341</v>
      </c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17"/>
      <c r="AC56" s="303" t="s">
        <v>341</v>
      </c>
      <c r="AD56" s="303"/>
      <c r="AE56" s="303"/>
      <c r="AF56" s="303"/>
      <c r="AG56" s="303"/>
      <c r="AH56" s="303"/>
      <c r="AI56" s="303"/>
      <c r="AJ56" s="303"/>
      <c r="AK56" s="303"/>
      <c r="AL56" s="303"/>
      <c r="AM56" s="303"/>
      <c r="AN56" s="317"/>
      <c r="AO56" s="510" t="s">
        <v>8</v>
      </c>
      <c r="AP56" s="511"/>
      <c r="AQ56" s="512"/>
    </row>
    <row r="57" spans="2:43" outlineLevel="1" x14ac:dyDescent="0.25">
      <c r="D57" s="321" t="s">
        <v>16</v>
      </c>
      <c r="E57" s="318">
        <f t="shared" ref="E57:AN57" si="57">E$4</f>
        <v>44562</v>
      </c>
      <c r="F57" s="318">
        <f t="shared" si="57"/>
        <v>44593</v>
      </c>
      <c r="G57" s="318">
        <f t="shared" si="57"/>
        <v>44621</v>
      </c>
      <c r="H57" s="318">
        <f t="shared" si="57"/>
        <v>44652</v>
      </c>
      <c r="I57" s="318">
        <f t="shared" si="57"/>
        <v>44682</v>
      </c>
      <c r="J57" s="318">
        <f t="shared" si="57"/>
        <v>44713</v>
      </c>
      <c r="K57" s="318">
        <f t="shared" si="57"/>
        <v>44743</v>
      </c>
      <c r="L57" s="318">
        <f t="shared" si="57"/>
        <v>44774</v>
      </c>
      <c r="M57" s="318">
        <f t="shared" si="57"/>
        <v>44805</v>
      </c>
      <c r="N57" s="318">
        <f t="shared" si="57"/>
        <v>44835</v>
      </c>
      <c r="O57" s="318">
        <f t="shared" si="57"/>
        <v>44866</v>
      </c>
      <c r="P57" s="319">
        <f t="shared" si="57"/>
        <v>44896</v>
      </c>
      <c r="Q57" s="318">
        <f t="shared" si="57"/>
        <v>44927</v>
      </c>
      <c r="R57" s="318">
        <f t="shared" si="57"/>
        <v>44958</v>
      </c>
      <c r="S57" s="318">
        <f t="shared" si="57"/>
        <v>44986</v>
      </c>
      <c r="T57" s="318">
        <f t="shared" si="57"/>
        <v>45017</v>
      </c>
      <c r="U57" s="318">
        <f t="shared" si="57"/>
        <v>45047</v>
      </c>
      <c r="V57" s="318">
        <f t="shared" si="57"/>
        <v>45078</v>
      </c>
      <c r="W57" s="318">
        <f t="shared" si="57"/>
        <v>45108</v>
      </c>
      <c r="X57" s="318">
        <f t="shared" si="57"/>
        <v>45139</v>
      </c>
      <c r="Y57" s="318">
        <f t="shared" si="57"/>
        <v>45170</v>
      </c>
      <c r="Z57" s="318">
        <f t="shared" si="57"/>
        <v>45200</v>
      </c>
      <c r="AA57" s="318">
        <f t="shared" si="57"/>
        <v>45231</v>
      </c>
      <c r="AB57" s="319">
        <f t="shared" si="57"/>
        <v>45261</v>
      </c>
      <c r="AC57" s="318">
        <f t="shared" si="57"/>
        <v>45292</v>
      </c>
      <c r="AD57" s="318">
        <f t="shared" si="57"/>
        <v>45323</v>
      </c>
      <c r="AE57" s="318">
        <f t="shared" si="57"/>
        <v>45352</v>
      </c>
      <c r="AF57" s="318">
        <f t="shared" si="57"/>
        <v>45383</v>
      </c>
      <c r="AG57" s="318">
        <f t="shared" si="57"/>
        <v>45413</v>
      </c>
      <c r="AH57" s="318">
        <f t="shared" si="57"/>
        <v>45444</v>
      </c>
      <c r="AI57" s="318">
        <f t="shared" si="57"/>
        <v>45474</v>
      </c>
      <c r="AJ57" s="318">
        <f t="shared" si="57"/>
        <v>45505</v>
      </c>
      <c r="AK57" s="318">
        <f t="shared" si="57"/>
        <v>45536</v>
      </c>
      <c r="AL57" s="318">
        <f t="shared" si="57"/>
        <v>45566</v>
      </c>
      <c r="AM57" s="318">
        <f t="shared" si="57"/>
        <v>45597</v>
      </c>
      <c r="AN57" s="316">
        <f t="shared" si="57"/>
        <v>45627</v>
      </c>
      <c r="AO57" s="271" t="s">
        <v>9</v>
      </c>
      <c r="AP57" s="272">
        <f>AP38</f>
        <v>0</v>
      </c>
      <c r="AQ57" s="273" t="s">
        <v>346</v>
      </c>
    </row>
    <row r="58" spans="2:43" ht="15.75" outlineLevel="1" x14ac:dyDescent="0.25">
      <c r="B58" t="str">
        <f>$D$2</f>
        <v>PC Annual Direct</v>
      </c>
      <c r="C58" t="s">
        <v>353</v>
      </c>
      <c r="D58" s="208" t="s">
        <v>316</v>
      </c>
      <c r="E58" s="209">
        <v>0</v>
      </c>
      <c r="F58" s="209">
        <v>0</v>
      </c>
      <c r="G58" s="209">
        <v>0</v>
      </c>
      <c r="H58" s="209">
        <v>0</v>
      </c>
      <c r="I58" s="209">
        <v>0</v>
      </c>
      <c r="J58" s="209">
        <v>0</v>
      </c>
      <c r="K58" s="209">
        <v>0</v>
      </c>
      <c r="L58" s="209">
        <v>0</v>
      </c>
      <c r="M58" s="209">
        <v>0</v>
      </c>
      <c r="N58" s="209">
        <v>0</v>
      </c>
      <c r="O58" s="209">
        <v>0</v>
      </c>
      <c r="P58" s="238">
        <v>0</v>
      </c>
      <c r="Q58" s="209">
        <v>0</v>
      </c>
      <c r="R58" s="209">
        <v>0</v>
      </c>
      <c r="S58" s="209">
        <v>0</v>
      </c>
      <c r="T58" s="209">
        <v>0</v>
      </c>
      <c r="U58" s="209">
        <v>0</v>
      </c>
      <c r="V58" s="209">
        <v>0</v>
      </c>
      <c r="W58" s="209">
        <v>0</v>
      </c>
      <c r="X58" s="209">
        <v>0</v>
      </c>
      <c r="Y58" s="209">
        <v>0</v>
      </c>
      <c r="Z58" s="209">
        <v>0</v>
      </c>
      <c r="AA58" s="209">
        <v>0</v>
      </c>
      <c r="AB58" s="238">
        <v>0</v>
      </c>
      <c r="AC58" s="209">
        <v>273.08196722940011</v>
      </c>
      <c r="AD58" s="209">
        <v>1449.8879781919002</v>
      </c>
      <c r="AE58" s="209">
        <v>2876.5397260939967</v>
      </c>
      <c r="AF58" s="209">
        <v>3056.3397261169957</v>
      </c>
      <c r="AG58" s="209">
        <v>2954.6109589979951</v>
      </c>
      <c r="AH58" s="209">
        <v>2561.9671233569939</v>
      </c>
      <c r="AI58" s="209">
        <v>2169.424657644</v>
      </c>
      <c r="AJ58" s="209">
        <v>1909.4630137499996</v>
      </c>
      <c r="AK58" s="209">
        <v>1796.6109589239995</v>
      </c>
      <c r="AL58" s="209">
        <v>1784.8273973089997</v>
      </c>
      <c r="AM58" s="209">
        <v>1959.5616439189996</v>
      </c>
      <c r="AN58" s="265">
        <v>2152.7397260720008</v>
      </c>
      <c r="AO58" s="237">
        <f t="shared" ref="AO58:AO63" si="58">AVERAGE(Z58:AC58)</f>
        <v>68.270491807350027</v>
      </c>
      <c r="AP58" s="209">
        <f>AVERAGE(R58:AC58)</f>
        <v>22.756830602450009</v>
      </c>
      <c r="AQ58" s="238">
        <f>SUMIFS(AC58:AN58,AC$4:AN$4,"&lt;"&amp;'Title Sheet'!$C$13)</f>
        <v>24945.054877605282</v>
      </c>
    </row>
    <row r="59" spans="2:43" ht="15.75" hidden="1" outlineLevel="1" x14ac:dyDescent="0.25">
      <c r="B59" t="str">
        <f>"PC Annual Direct - Premium Finance_W VYRs"</f>
        <v>PC Annual Direct - Premium Finance_W VYRs</v>
      </c>
      <c r="C59" t="s">
        <v>353</v>
      </c>
      <c r="D59" s="211" t="s">
        <v>317</v>
      </c>
      <c r="E59" s="31" t="e">
        <f>INDEX('Plan Figures'!$B$94:$AP$131,MATCH('Current - MPM only'!E$4,'Plan Figures'!$B$94:$B$131,0),MATCH('Current - MPM only'!$B59,'Plan Figures'!$B$1:$AP$1,0))</f>
        <v>#N/A</v>
      </c>
      <c r="F59" s="31" t="e">
        <f>INDEX('Plan Figures'!$B$94:$AP$131,MATCH('Current - MPM only'!F$4,'Plan Figures'!$B$94:$B$131,0),MATCH('Current - MPM only'!$B59,'Plan Figures'!$B$1:$AP$1,0))</f>
        <v>#N/A</v>
      </c>
      <c r="G59" s="31" t="e">
        <f>INDEX('Plan Figures'!$B$94:$AP$131,MATCH('Current - MPM only'!G$4,'Plan Figures'!$B$94:$B$131,0),MATCH('Current - MPM only'!$B59,'Plan Figures'!$B$1:$AP$1,0))</f>
        <v>#N/A</v>
      </c>
      <c r="H59" s="31" t="e">
        <f>INDEX('Plan Figures'!$B$94:$AP$131,MATCH('Current - MPM only'!H$4,'Plan Figures'!$B$94:$B$131,0),MATCH('Current - MPM only'!$B59,'Plan Figures'!$B$1:$AP$1,0))</f>
        <v>#N/A</v>
      </c>
      <c r="I59" s="31" t="e">
        <f>INDEX('Plan Figures'!$B$94:$AP$131,MATCH('Current - MPM only'!I$4,'Plan Figures'!$B$94:$B$131,0),MATCH('Current - MPM only'!$B59,'Plan Figures'!$B$1:$AP$1,0))</f>
        <v>#N/A</v>
      </c>
      <c r="J59" s="31" t="e">
        <f>INDEX('Plan Figures'!$B$94:$AP$131,MATCH('Current - MPM only'!J$4,'Plan Figures'!$B$94:$B$131,0),MATCH('Current - MPM only'!$B59,'Plan Figures'!$B$1:$AP$1,0))</f>
        <v>#N/A</v>
      </c>
      <c r="K59" s="31" t="e">
        <f>INDEX('Plan Figures'!$B$94:$AP$131,MATCH('Current - MPM only'!K$4,'Plan Figures'!$B$94:$B$131,0),MATCH('Current - MPM only'!$B59,'Plan Figures'!$B$1:$AP$1,0))</f>
        <v>#N/A</v>
      </c>
      <c r="L59" s="31" t="e">
        <f>INDEX('Plan Figures'!$B$94:$AP$131,MATCH('Current - MPM only'!L$4,'Plan Figures'!$B$94:$B$131,0),MATCH('Current - MPM only'!$B59,'Plan Figures'!$B$1:$AP$1,0))</f>
        <v>#N/A</v>
      </c>
      <c r="M59" s="31" t="e">
        <f>INDEX('Plan Figures'!$B$94:$AP$131,MATCH('Current - MPM only'!M$4,'Plan Figures'!$B$94:$B$131,0),MATCH('Current - MPM only'!$B59,'Plan Figures'!$B$1:$AP$1,0))</f>
        <v>#N/A</v>
      </c>
      <c r="N59" s="31" t="e">
        <f>INDEX('Plan Figures'!$B$94:$AP$131,MATCH('Current - MPM only'!N$4,'Plan Figures'!$B$94:$B$131,0),MATCH('Current - MPM only'!$B59,'Plan Figures'!$B$1:$AP$1,0))</f>
        <v>#N/A</v>
      </c>
      <c r="O59" s="31" t="e">
        <f>INDEX('Plan Figures'!$B$94:$AP$131,MATCH('Current - MPM only'!O$4,'Plan Figures'!$B$94:$B$131,0),MATCH('Current - MPM only'!$B59,'Plan Figures'!$B$1:$AP$1,0))</f>
        <v>#N/A</v>
      </c>
      <c r="P59" s="240" t="str">
        <f ca="1">INDEX('Plan Figures'!$B$94:$AP$131,MATCH('Current - MPM only'!P$4,'Plan Figures'!$B$94:$B$131,0),MATCH('Current - MPM only'!$B59,'Plan Figures'!$B$1:$AP$1,0))</f>
        <v>-</v>
      </c>
      <c r="Q59" s="31" t="str">
        <f ca="1">INDEX('Plan Figures'!$B$94:$AP$131,MATCH('Current - MPM only'!Q$4,'Plan Figures'!$B$94:$B$131,0),MATCH('Current - MPM only'!$B59,'Plan Figures'!$B$1:$AP$1,0))</f>
        <v>-</v>
      </c>
      <c r="R59" s="31" t="str">
        <f ca="1">INDEX('Plan Figures'!$B$94:$AP$131,MATCH('Current - MPM only'!R$4,'Plan Figures'!$B$94:$B$131,0),MATCH('Current - MPM only'!$B59,'Plan Figures'!$B$1:$AP$1,0))</f>
        <v>-</v>
      </c>
      <c r="S59" s="31" t="str">
        <f ca="1">INDEX('Plan Figures'!$B$94:$AP$131,MATCH('Current - MPM only'!S$4,'Plan Figures'!$B$94:$B$131,0),MATCH('Current - MPM only'!$B59,'Plan Figures'!$B$1:$AP$1,0))</f>
        <v>-</v>
      </c>
      <c r="T59" s="31" t="str">
        <f ca="1">INDEX('Plan Figures'!$B$94:$AP$131,MATCH('Current - MPM only'!T$4,'Plan Figures'!$B$94:$B$131,0),MATCH('Current - MPM only'!$B59,'Plan Figures'!$B$1:$AP$1,0))</f>
        <v>-</v>
      </c>
      <c r="U59" s="31" t="str">
        <f ca="1">INDEX('Plan Figures'!$B$94:$AP$131,MATCH('Current - MPM only'!U$4,'Plan Figures'!$B$94:$B$131,0),MATCH('Current - MPM only'!$B59,'Plan Figures'!$B$1:$AP$1,0))</f>
        <v>-</v>
      </c>
      <c r="V59" s="31" t="str">
        <f ca="1">INDEX('Plan Figures'!$B$94:$AP$131,MATCH('Current - MPM only'!V$4,'Plan Figures'!$B$94:$B$131,0),MATCH('Current - MPM only'!$B59,'Plan Figures'!$B$1:$AP$1,0))</f>
        <v>-</v>
      </c>
      <c r="W59" s="31" t="str">
        <f ca="1">INDEX('Plan Figures'!$B$94:$AP$131,MATCH('Current - MPM only'!W$4,'Plan Figures'!$B$94:$B$131,0),MATCH('Current - MPM only'!$B59,'Plan Figures'!$B$1:$AP$1,0))</f>
        <v>-</v>
      </c>
      <c r="X59" s="31" t="str">
        <f ca="1">INDEX('Plan Figures'!$B$94:$AP$131,MATCH('Current - MPM only'!X$4,'Plan Figures'!$B$94:$B$131,0),MATCH('Current - MPM only'!$B59,'Plan Figures'!$B$1:$AP$1,0))</f>
        <v>-</v>
      </c>
      <c r="Y59" s="31" t="str">
        <f ca="1">INDEX('Plan Figures'!$B$94:$AP$131,MATCH('Current - MPM only'!Y$4,'Plan Figures'!$B$94:$B$131,0),MATCH('Current - MPM only'!$B59,'Plan Figures'!$B$1:$AP$1,0))</f>
        <v>-</v>
      </c>
      <c r="Z59" s="31" t="str">
        <f ca="1">INDEX('Plan Figures'!$B$94:$AP$131,MATCH('Current - MPM only'!Z$4,'Plan Figures'!$B$94:$B$131,0),MATCH('Current - MPM only'!$B59,'Plan Figures'!$B$1:$AP$1,0))</f>
        <v>-</v>
      </c>
      <c r="AA59" s="31">
        <f ca="1">INDEX('Plan Figures'!$B$94:$AP$131,MATCH('Current - MPM only'!AA$4,'Plan Figures'!$B$94:$B$131,0),MATCH('Current - MPM only'!$B59,'Plan Figures'!$B$1:$AP$1,0))</f>
        <v>0</v>
      </c>
      <c r="AB59" s="240">
        <f ca="1">INDEX('Plan Figures'!$B$94:$AP$131,MATCH('Current - MPM only'!AB$4,'Plan Figures'!$B$94:$B$131,0),MATCH('Current - MPM only'!$B59,'Plan Figures'!$B$1:$AP$1,0))</f>
        <v>0</v>
      </c>
      <c r="AC59" s="31">
        <f ca="1">INDEX('Plan Figures'!$B$94:$AP$131,MATCH('Current - MPM only'!AC$4,'Plan Figures'!$B$94:$B$131,0),MATCH('Current - MPM only'!$B59,'Plan Figures'!$B$1:$AP$1,0))</f>
        <v>2230.0485070641912</v>
      </c>
      <c r="AD59" s="31">
        <f ca="1">INDEX('Plan Figures'!$B$94:$AP$131,MATCH('Current - MPM only'!AD$4,'Plan Figures'!$B$94:$B$131,0),MATCH('Current - MPM only'!$B59,'Plan Figures'!$B$1:$AP$1,0))</f>
        <v>2225.5973124393126</v>
      </c>
      <c r="AE59" s="31">
        <f ca="1">INDEX('Plan Figures'!$B$94:$AP$131,MATCH('Current - MPM only'!AE$4,'Plan Figures'!$B$94:$B$131,0),MATCH('Current - MPM only'!$B59,'Plan Figures'!$B$1:$AP$1,0))</f>
        <v>2221.1550024344438</v>
      </c>
      <c r="AF59" s="31">
        <f ca="1">INDEX('Plan Figures'!$B$94:$AP$131,MATCH('Current - MPM only'!AF$4,'Plan Figures'!$B$94:$B$131,0),MATCH('Current - MPM only'!$B59,'Plan Figures'!$B$1:$AP$1,0))</f>
        <v>2216.7215593158126</v>
      </c>
      <c r="AG59" s="31">
        <f ca="1">INDEX('Plan Figures'!$B$94:$AP$131,MATCH('Current - MPM only'!AG$4,'Plan Figures'!$B$94:$B$131,0),MATCH('Current - MPM only'!$B59,'Plan Figures'!$B$1:$AP$1,0))</f>
        <v>2212.8780736073654</v>
      </c>
      <c r="AH59" s="31">
        <f ca="1">INDEX('Plan Figures'!$B$94:$AP$131,MATCH('Current - MPM only'!AH$4,'Plan Figures'!$B$94:$B$131,0),MATCH('Current - MPM only'!$B59,'Plan Figures'!$B$1:$AP$1,0))</f>
        <v>2283.9188061757995</v>
      </c>
      <c r="AI59" s="31">
        <f ca="1">INDEX('Plan Figures'!$B$94:$AP$131,MATCH('Current - MPM only'!AI$4,'Plan Figures'!$B$94:$B$131,0),MATCH('Current - MPM only'!$B59,'Plan Figures'!$B$1:$AP$1,0))</f>
        <v>2077.7077704846874</v>
      </c>
      <c r="AJ59" s="31">
        <f ca="1">INDEX('Plan Figures'!$B$94:$AP$131,MATCH('Current - MPM only'!AJ$4,'Plan Figures'!$B$94:$B$131,0),MATCH('Current - MPM only'!$B59,'Plan Figures'!$B$1:$AP$1,0))</f>
        <v>2067.3639188477955</v>
      </c>
      <c r="AK59" s="31">
        <f ca="1">INDEX('Plan Figures'!$B$94:$AP$131,MATCH('Current - MPM only'!AK$4,'Plan Figures'!$B$94:$B$131,0),MATCH('Current - MPM only'!$B59,'Plan Figures'!$B$1:$AP$1,0))</f>
        <v>2807.6994788171282</v>
      </c>
      <c r="AL59" s="31">
        <f ca="1">INDEX('Plan Figures'!$B$94:$AP$131,MATCH('Current - MPM only'!AL$4,'Plan Figures'!$B$94:$B$131,0),MATCH('Current - MPM only'!$B59,'Plan Figures'!$B$1:$AP$1,0))</f>
        <v>3068.5526153553747</v>
      </c>
      <c r="AM59" s="31">
        <f ca="1">INDEX('Plan Figures'!$B$94:$AP$131,MATCH('Current - MPM only'!AM$4,'Plan Figures'!$B$94:$B$131,0),MATCH('Current - MPM only'!$B59,'Plan Figures'!$B$1:$AP$1,0))</f>
        <v>2501.2873707380145</v>
      </c>
      <c r="AN59" s="266">
        <f ca="1">INDEX('Plan Figures'!$B$94:$AP$131,MATCH('Current - MPM only'!AN$4,'Plan Figures'!$B$94:$B$131,0),MATCH('Current - MPM only'!$B59,'Plan Figures'!$B$1:$AP$1,0))</f>
        <v>2274.7026177431503</v>
      </c>
      <c r="AO59" s="239">
        <f t="shared" ca="1" si="58"/>
        <v>743.34950235473036</v>
      </c>
      <c r="AP59" s="31">
        <f t="shared" ref="AP59:AP63" ca="1" si="59">AVERAGE(R59:AC59)</f>
        <v>743.34950235473036</v>
      </c>
      <c r="AQ59" s="240">
        <f ca="1">SUMIFS(AC59:AN59,AC$4:AN$4,"&lt;"&amp;'Title Sheet'!$C$13)</f>
        <v>28187.633033023074</v>
      </c>
    </row>
    <row r="60" spans="2:43" ht="15.75" hidden="1" outlineLevel="1" x14ac:dyDescent="0.25">
      <c r="B60" t="str">
        <f t="shared" ref="B60:B69" si="60">$D$2</f>
        <v>PC Annual Direct</v>
      </c>
      <c r="C60" t="s">
        <v>353</v>
      </c>
      <c r="D60" s="213" t="s">
        <v>0</v>
      </c>
      <c r="E60" s="214" t="str">
        <f t="shared" ref="E60:AN60" si="61">IFERROR(IF(E58=0,"-",(E58/E59)-1),"-")</f>
        <v>-</v>
      </c>
      <c r="F60" s="214" t="str">
        <f t="shared" si="61"/>
        <v>-</v>
      </c>
      <c r="G60" s="214" t="str">
        <f t="shared" si="61"/>
        <v>-</v>
      </c>
      <c r="H60" s="214" t="str">
        <f t="shared" si="61"/>
        <v>-</v>
      </c>
      <c r="I60" s="214" t="str">
        <f t="shared" si="61"/>
        <v>-</v>
      </c>
      <c r="J60" s="214" t="str">
        <f t="shared" si="61"/>
        <v>-</v>
      </c>
      <c r="K60" s="214" t="str">
        <f t="shared" si="61"/>
        <v>-</v>
      </c>
      <c r="L60" s="214" t="str">
        <f t="shared" si="61"/>
        <v>-</v>
      </c>
      <c r="M60" s="214" t="str">
        <f t="shared" si="61"/>
        <v>-</v>
      </c>
      <c r="N60" s="214" t="str">
        <f t="shared" si="61"/>
        <v>-</v>
      </c>
      <c r="O60" s="214" t="str">
        <f t="shared" si="61"/>
        <v>-</v>
      </c>
      <c r="P60" s="294" t="str">
        <f t="shared" si="61"/>
        <v>-</v>
      </c>
      <c r="Q60" s="214" t="str">
        <f t="shared" si="61"/>
        <v>-</v>
      </c>
      <c r="R60" s="214" t="str">
        <f t="shared" si="61"/>
        <v>-</v>
      </c>
      <c r="S60" s="214" t="str">
        <f t="shared" si="61"/>
        <v>-</v>
      </c>
      <c r="T60" s="214" t="str">
        <f t="shared" si="61"/>
        <v>-</v>
      </c>
      <c r="U60" s="214" t="str">
        <f t="shared" si="61"/>
        <v>-</v>
      </c>
      <c r="V60" s="214" t="str">
        <f t="shared" si="61"/>
        <v>-</v>
      </c>
      <c r="W60" s="214" t="str">
        <f t="shared" si="61"/>
        <v>-</v>
      </c>
      <c r="X60" s="214" t="str">
        <f t="shared" si="61"/>
        <v>-</v>
      </c>
      <c r="Y60" s="214" t="str">
        <f t="shared" si="61"/>
        <v>-</v>
      </c>
      <c r="Z60" s="214" t="str">
        <f t="shared" si="61"/>
        <v>-</v>
      </c>
      <c r="AA60" s="214" t="str">
        <f t="shared" si="61"/>
        <v>-</v>
      </c>
      <c r="AB60" s="294" t="str">
        <f t="shared" si="61"/>
        <v>-</v>
      </c>
      <c r="AC60" s="214">
        <f t="shared" ca="1" si="61"/>
        <v>-0.87754438239152632</v>
      </c>
      <c r="AD60" s="214">
        <f t="shared" ca="1" si="61"/>
        <v>-0.34853984137733107</v>
      </c>
      <c r="AE60" s="214">
        <f t="shared" ca="1" si="61"/>
        <v>0.29506483020826302</v>
      </c>
      <c r="AF60" s="214">
        <f t="shared" ca="1" si="61"/>
        <v>0.37876573323910367</v>
      </c>
      <c r="AG60" s="214">
        <f t="shared" ca="1" si="61"/>
        <v>0.33518922449327704</v>
      </c>
      <c r="AH60" s="214">
        <f t="shared" ca="1" si="61"/>
        <v>0.12174176964143446</v>
      </c>
      <c r="AI60" s="214">
        <f t="shared" ca="1" si="61"/>
        <v>4.414330468519978E-2</v>
      </c>
      <c r="AJ60" s="214">
        <f t="shared" ca="1" si="61"/>
        <v>-7.6377895375962068E-2</v>
      </c>
      <c r="AK60" s="214">
        <f t="shared" ca="1" si="61"/>
        <v>-0.36011279965015908</v>
      </c>
      <c r="AL60" s="214">
        <f t="shared" ca="1" si="61"/>
        <v>-0.41834877186803732</v>
      </c>
      <c r="AM60" s="214">
        <f t="shared" ca="1" si="61"/>
        <v>-0.21657876386237729</v>
      </c>
      <c r="AN60" s="270">
        <f t="shared" ca="1" si="61"/>
        <v>-5.3617070961194502E-2</v>
      </c>
      <c r="AO60" s="274">
        <f t="shared" ca="1" si="58"/>
        <v>-0.87754438239152632</v>
      </c>
      <c r="AP60" s="275">
        <f t="shared" ca="1" si="59"/>
        <v>-0.87754438239152632</v>
      </c>
      <c r="AQ60" s="276">
        <f t="shared" ref="AQ60" ca="1" si="62">IFERROR(IF(AQ58=0,"-",(AQ58/AQ59)-1),"-")</f>
        <v>-0.11503548920262185</v>
      </c>
    </row>
    <row r="61" spans="2:43" ht="15.75" outlineLevel="1" x14ac:dyDescent="0.25">
      <c r="B61" t="str">
        <f t="shared" si="60"/>
        <v>PC Annual Direct</v>
      </c>
      <c r="C61" t="s">
        <v>353</v>
      </c>
      <c r="D61" s="208" t="s">
        <v>5</v>
      </c>
      <c r="E61" s="209">
        <v>0</v>
      </c>
      <c r="F61" s="209">
        <v>0</v>
      </c>
      <c r="G61" s="209">
        <v>0</v>
      </c>
      <c r="H61" s="209">
        <v>0</v>
      </c>
      <c r="I61" s="209">
        <v>0</v>
      </c>
      <c r="J61" s="209">
        <v>0</v>
      </c>
      <c r="K61" s="209">
        <v>0</v>
      </c>
      <c r="L61" s="209">
        <v>0</v>
      </c>
      <c r="M61" s="209">
        <v>0</v>
      </c>
      <c r="N61" s="209">
        <v>0</v>
      </c>
      <c r="O61" s="209">
        <v>0</v>
      </c>
      <c r="P61" s="238">
        <v>0</v>
      </c>
      <c r="Q61" s="209">
        <v>0</v>
      </c>
      <c r="R61" s="209">
        <v>0</v>
      </c>
      <c r="S61" s="209">
        <v>0</v>
      </c>
      <c r="T61" s="209">
        <v>0</v>
      </c>
      <c r="U61" s="209">
        <v>0</v>
      </c>
      <c r="V61" s="209">
        <v>0</v>
      </c>
      <c r="W61" s="209">
        <v>0</v>
      </c>
      <c r="X61" s="209">
        <v>0</v>
      </c>
      <c r="Y61" s="209">
        <v>0</v>
      </c>
      <c r="Z61" s="209">
        <v>0</v>
      </c>
      <c r="AA61" s="209">
        <v>0</v>
      </c>
      <c r="AB61" s="238">
        <v>0</v>
      </c>
      <c r="AC61" s="209">
        <v>403313.7674962228</v>
      </c>
      <c r="AD61" s="209">
        <v>2062718.8896380085</v>
      </c>
      <c r="AE61" s="209">
        <v>3944434.833921642</v>
      </c>
      <c r="AF61" s="209">
        <v>3668266.3146614251</v>
      </c>
      <c r="AG61" s="209">
        <v>3425062.7117945501</v>
      </c>
      <c r="AH61" s="209">
        <v>2868476.0167907304</v>
      </c>
      <c r="AI61" s="209">
        <v>2417822.5735712615</v>
      </c>
      <c r="AJ61" s="209">
        <v>2128343.4046459794</v>
      </c>
      <c r="AK61" s="209">
        <v>2017241.1082164375</v>
      </c>
      <c r="AL61" s="209">
        <v>2000407.8534997182</v>
      </c>
      <c r="AM61" s="209">
        <v>2287498.4735664497</v>
      </c>
      <c r="AN61" s="265">
        <v>2495184.2039299887</v>
      </c>
      <c r="AO61" s="237">
        <f t="shared" si="58"/>
        <v>100828.4418740557</v>
      </c>
      <c r="AP61" s="209">
        <f t="shared" si="59"/>
        <v>33609.480624685231</v>
      </c>
      <c r="AQ61" s="238">
        <f>SUMIFS(AC61:AN61,AC$4:AN$4,"&lt;"&amp;'Title Sheet'!$C$13)</f>
        <v>29718770.151732415</v>
      </c>
    </row>
    <row r="62" spans="2:43" ht="15.75" outlineLevel="1" x14ac:dyDescent="0.25">
      <c r="B62" t="str">
        <f>"PC Annual Direct - Premium Finance_NWP"</f>
        <v>PC Annual Direct - Premium Finance_NWP</v>
      </c>
      <c r="C62" t="s">
        <v>353</v>
      </c>
      <c r="D62" s="211" t="s">
        <v>6</v>
      </c>
      <c r="E62" s="31" t="e">
        <f>INDEX('Plan Figures'!$B$94:$AP$131,MATCH('Current - MPM only'!E$4,'Plan Figures'!$B$94:$B$131,0),MATCH('Current - MPM only'!$B62,'Plan Figures'!$B$1:$AP$1,0))</f>
        <v>#N/A</v>
      </c>
      <c r="F62" s="31" t="e">
        <f>INDEX('Plan Figures'!$B$94:$AP$131,MATCH('Current - MPM only'!F$4,'Plan Figures'!$B$94:$B$131,0),MATCH('Current - MPM only'!$B62,'Plan Figures'!$B$1:$AP$1,0))</f>
        <v>#N/A</v>
      </c>
      <c r="G62" s="31" t="e">
        <f>INDEX('Plan Figures'!$B$94:$AP$131,MATCH('Current - MPM only'!G$4,'Plan Figures'!$B$94:$B$131,0),MATCH('Current - MPM only'!$B62,'Plan Figures'!$B$1:$AP$1,0))</f>
        <v>#N/A</v>
      </c>
      <c r="H62" s="31" t="e">
        <f>INDEX('Plan Figures'!$B$94:$AP$131,MATCH('Current - MPM only'!H$4,'Plan Figures'!$B$94:$B$131,0),MATCH('Current - MPM only'!$B62,'Plan Figures'!$B$1:$AP$1,0))</f>
        <v>#N/A</v>
      </c>
      <c r="I62" s="31" t="e">
        <f>INDEX('Plan Figures'!$B$94:$AP$131,MATCH('Current - MPM only'!I$4,'Plan Figures'!$B$94:$B$131,0),MATCH('Current - MPM only'!$B62,'Plan Figures'!$B$1:$AP$1,0))</f>
        <v>#N/A</v>
      </c>
      <c r="J62" s="31" t="e">
        <f>INDEX('Plan Figures'!$B$94:$AP$131,MATCH('Current - MPM only'!J$4,'Plan Figures'!$B$94:$B$131,0),MATCH('Current - MPM only'!$B62,'Plan Figures'!$B$1:$AP$1,0))</f>
        <v>#N/A</v>
      </c>
      <c r="K62" s="31" t="e">
        <f>INDEX('Plan Figures'!$B$94:$AP$131,MATCH('Current - MPM only'!K$4,'Plan Figures'!$B$94:$B$131,0),MATCH('Current - MPM only'!$B62,'Plan Figures'!$B$1:$AP$1,0))</f>
        <v>#N/A</v>
      </c>
      <c r="L62" s="31" t="e">
        <f>INDEX('Plan Figures'!$B$94:$AP$131,MATCH('Current - MPM only'!L$4,'Plan Figures'!$B$94:$B$131,0),MATCH('Current - MPM only'!$B62,'Plan Figures'!$B$1:$AP$1,0))</f>
        <v>#N/A</v>
      </c>
      <c r="M62" s="31" t="e">
        <f>INDEX('Plan Figures'!$B$94:$AP$131,MATCH('Current - MPM only'!M$4,'Plan Figures'!$B$94:$B$131,0),MATCH('Current - MPM only'!$B62,'Plan Figures'!$B$1:$AP$1,0))</f>
        <v>#N/A</v>
      </c>
      <c r="N62" s="31" t="e">
        <f>INDEX('Plan Figures'!$B$94:$AP$131,MATCH('Current - MPM only'!N$4,'Plan Figures'!$B$94:$B$131,0),MATCH('Current - MPM only'!$B62,'Plan Figures'!$B$1:$AP$1,0))</f>
        <v>#N/A</v>
      </c>
      <c r="O62" s="31" t="e">
        <f>INDEX('Plan Figures'!$B$94:$AP$131,MATCH('Current - MPM only'!O$4,'Plan Figures'!$B$94:$B$131,0),MATCH('Current - MPM only'!$B62,'Plan Figures'!$B$1:$AP$1,0))</f>
        <v>#N/A</v>
      </c>
      <c r="P62" s="240" t="str">
        <f ca="1">INDEX('Plan Figures'!$B$94:$AP$131,MATCH('Current - MPM only'!P$4,'Plan Figures'!$B$94:$B$131,0),MATCH('Current - MPM only'!$B62,'Plan Figures'!$B$1:$AP$1,0))</f>
        <v>-</v>
      </c>
      <c r="Q62" s="31" t="str">
        <f ca="1">INDEX('Plan Figures'!$B$94:$AP$131,MATCH('Current - MPM only'!Q$4,'Plan Figures'!$B$94:$B$131,0),MATCH('Current - MPM only'!$B62,'Plan Figures'!$B$1:$AP$1,0))</f>
        <v>-</v>
      </c>
      <c r="R62" s="31" t="str">
        <f ca="1">INDEX('Plan Figures'!$B$94:$AP$131,MATCH('Current - MPM only'!R$4,'Plan Figures'!$B$94:$B$131,0),MATCH('Current - MPM only'!$B62,'Plan Figures'!$B$1:$AP$1,0))</f>
        <v>-</v>
      </c>
      <c r="S62" s="31" t="str">
        <f ca="1">INDEX('Plan Figures'!$B$94:$AP$131,MATCH('Current - MPM only'!S$4,'Plan Figures'!$B$94:$B$131,0),MATCH('Current - MPM only'!$B62,'Plan Figures'!$B$1:$AP$1,0))</f>
        <v>-</v>
      </c>
      <c r="T62" s="31" t="str">
        <f ca="1">INDEX('Plan Figures'!$B$94:$AP$131,MATCH('Current - MPM only'!T$4,'Plan Figures'!$B$94:$B$131,0),MATCH('Current - MPM only'!$B62,'Plan Figures'!$B$1:$AP$1,0))</f>
        <v>-</v>
      </c>
      <c r="U62" s="31" t="str">
        <f ca="1">INDEX('Plan Figures'!$B$94:$AP$131,MATCH('Current - MPM only'!U$4,'Plan Figures'!$B$94:$B$131,0),MATCH('Current - MPM only'!$B62,'Plan Figures'!$B$1:$AP$1,0))</f>
        <v>-</v>
      </c>
      <c r="V62" s="31" t="str">
        <f ca="1">INDEX('Plan Figures'!$B$94:$AP$131,MATCH('Current - MPM only'!V$4,'Plan Figures'!$B$94:$B$131,0),MATCH('Current - MPM only'!$B62,'Plan Figures'!$B$1:$AP$1,0))</f>
        <v>-</v>
      </c>
      <c r="W62" s="31" t="str">
        <f ca="1">INDEX('Plan Figures'!$B$94:$AP$131,MATCH('Current - MPM only'!W$4,'Plan Figures'!$B$94:$B$131,0),MATCH('Current - MPM only'!$B62,'Plan Figures'!$B$1:$AP$1,0))</f>
        <v>-</v>
      </c>
      <c r="X62" s="31" t="str">
        <f ca="1">INDEX('Plan Figures'!$B$94:$AP$131,MATCH('Current - MPM only'!X$4,'Plan Figures'!$B$94:$B$131,0),MATCH('Current - MPM only'!$B62,'Plan Figures'!$B$1:$AP$1,0))</f>
        <v>-</v>
      </c>
      <c r="Y62" s="31" t="str">
        <f ca="1">INDEX('Plan Figures'!$B$94:$AP$131,MATCH('Current - MPM only'!Y$4,'Plan Figures'!$B$94:$B$131,0),MATCH('Current - MPM only'!$B62,'Plan Figures'!$B$1:$AP$1,0))</f>
        <v>-</v>
      </c>
      <c r="Z62" s="31" t="str">
        <f ca="1">INDEX('Plan Figures'!$B$94:$AP$131,MATCH('Current - MPM only'!Z$4,'Plan Figures'!$B$94:$B$131,0),MATCH('Current - MPM only'!$B62,'Plan Figures'!$B$1:$AP$1,0))</f>
        <v>-</v>
      </c>
      <c r="AA62" s="31">
        <f ca="1">INDEX('Plan Figures'!$B$94:$AP$131,MATCH('Current - MPM only'!AA$4,'Plan Figures'!$B$94:$B$131,0),MATCH('Current - MPM only'!$B62,'Plan Figures'!$B$1:$AP$1,0))</f>
        <v>0</v>
      </c>
      <c r="AB62" s="240">
        <f ca="1">INDEX('Plan Figures'!$B$94:$AP$131,MATCH('Current - MPM only'!AB$4,'Plan Figures'!$B$94:$B$131,0),MATCH('Current - MPM only'!$B62,'Plan Figures'!$B$1:$AP$1,0))</f>
        <v>0</v>
      </c>
      <c r="AC62" s="31">
        <f ca="1">INDEX('Plan Figures'!$B$94:$AP$131,MATCH('Current - MPM only'!AC$4,'Plan Figures'!$B$94:$B$131,0),MATCH('Current - MPM only'!$B62,'Plan Figures'!$B$1:$AP$1,0))</f>
        <v>0</v>
      </c>
      <c r="AD62" s="31">
        <f ca="1">INDEX('Plan Figures'!$B$94:$AP$131,MATCH('Current - MPM only'!AD$4,'Plan Figures'!$B$94:$B$131,0),MATCH('Current - MPM only'!$B62,'Plan Figures'!$B$1:$AP$1,0))</f>
        <v>1876228.145843385</v>
      </c>
      <c r="AE62" s="31">
        <f ca="1">INDEX('Plan Figures'!$B$94:$AP$131,MATCH('Current - MPM only'!AE$4,'Plan Figures'!$B$94:$B$131,0),MATCH('Current - MPM only'!$B62,'Plan Figures'!$B$1:$AP$1,0))</f>
        <v>3685262.0501178172</v>
      </c>
      <c r="AF62" s="31">
        <f ca="1">INDEX('Plan Figures'!$B$94:$AP$131,MATCH('Current - MPM only'!AF$4,'Plan Figures'!$B$94:$B$131,0),MATCH('Current - MPM only'!$B62,'Plan Figures'!$B$1:$AP$1,0))</f>
        <v>3806335.4964611963</v>
      </c>
      <c r="AG62" s="31">
        <f ca="1">INDEX('Plan Figures'!$B$94:$AP$131,MATCH('Current - MPM only'!AG$4,'Plan Figures'!$B$94:$B$131,0),MATCH('Current - MPM only'!$B62,'Plan Figures'!$B$1:$AP$1,0))</f>
        <v>3852739.866022632</v>
      </c>
      <c r="AH62" s="31">
        <f ca="1">INDEX('Plan Figures'!$B$94:$AP$131,MATCH('Current - MPM only'!AH$4,'Plan Figures'!$B$94:$B$131,0),MATCH('Current - MPM only'!$B62,'Plan Figures'!$B$1:$AP$1,0))</f>
        <v>3925307.745408956</v>
      </c>
      <c r="AI62" s="31">
        <f ca="1">INDEX('Plan Figures'!$B$94:$AP$131,MATCH('Current - MPM only'!AI$4,'Plan Figures'!$B$94:$B$131,0),MATCH('Current - MPM only'!$B62,'Plan Figures'!$B$1:$AP$1,0))</f>
        <v>2546227.2053329675</v>
      </c>
      <c r="AJ62" s="31">
        <f ca="1">INDEX('Plan Figures'!$B$94:$AP$131,MATCH('Current - MPM only'!AJ$4,'Plan Figures'!$B$94:$B$131,0),MATCH('Current - MPM only'!$B62,'Plan Figures'!$B$1:$AP$1,0))</f>
        <v>2514046.3049153509</v>
      </c>
      <c r="AK62" s="31">
        <f ca="1">INDEX('Plan Figures'!$B$94:$AP$131,MATCH('Current - MPM only'!AK$4,'Plan Figures'!$B$94:$B$131,0),MATCH('Current - MPM only'!$B62,'Plan Figures'!$B$1:$AP$1,0))</f>
        <v>3478960.5342832045</v>
      </c>
      <c r="AL62" s="31">
        <f ca="1">INDEX('Plan Figures'!$B$94:$AP$131,MATCH('Current - MPM only'!AL$4,'Plan Figures'!$B$94:$B$131,0),MATCH('Current - MPM only'!$B62,'Plan Figures'!$B$1:$AP$1,0))</f>
        <v>3827130.0868501477</v>
      </c>
      <c r="AM62" s="31">
        <f ca="1">INDEX('Plan Figures'!$B$94:$AP$131,MATCH('Current - MPM only'!AM$4,'Plan Figures'!$B$94:$B$131,0),MATCH('Current - MPM only'!$B62,'Plan Figures'!$B$1:$AP$1,0))</f>
        <v>3357575.122536459</v>
      </c>
      <c r="AN62" s="266">
        <f ca="1">INDEX('Plan Figures'!$B$94:$AP$131,MATCH('Current - MPM only'!AN$4,'Plan Figures'!$B$94:$B$131,0),MATCH('Current - MPM only'!$B62,'Plan Figures'!$B$1:$AP$1,0))</f>
        <v>3081243.9796204995</v>
      </c>
      <c r="AO62" s="239">
        <f t="shared" ca="1" si="58"/>
        <v>0</v>
      </c>
      <c r="AP62" s="31">
        <f t="shared" ca="1" si="59"/>
        <v>0</v>
      </c>
      <c r="AQ62" s="240">
        <f ca="1">SUMIFS(AC62:AN62,AC$4:AN$4,"&lt;"&amp;'Title Sheet'!$C$13)</f>
        <v>35951056.537392616</v>
      </c>
    </row>
    <row r="63" spans="2:43" ht="15.75" outlineLevel="1" x14ac:dyDescent="0.25">
      <c r="B63" t="str">
        <f t="shared" si="60"/>
        <v>PC Annual Direct</v>
      </c>
      <c r="C63" t="s">
        <v>353</v>
      </c>
      <c r="D63" s="213" t="s">
        <v>0</v>
      </c>
      <c r="E63" s="214" t="str">
        <f t="shared" ref="E63:AN63" si="63">IFERROR(IF(E61=0,"-",(E61/E62)-1),"-")</f>
        <v>-</v>
      </c>
      <c r="F63" s="214" t="str">
        <f t="shared" si="63"/>
        <v>-</v>
      </c>
      <c r="G63" s="214" t="str">
        <f t="shared" si="63"/>
        <v>-</v>
      </c>
      <c r="H63" s="214" t="str">
        <f t="shared" si="63"/>
        <v>-</v>
      </c>
      <c r="I63" s="214" t="str">
        <f t="shared" si="63"/>
        <v>-</v>
      </c>
      <c r="J63" s="214" t="str">
        <f t="shared" si="63"/>
        <v>-</v>
      </c>
      <c r="K63" s="214" t="str">
        <f t="shared" si="63"/>
        <v>-</v>
      </c>
      <c r="L63" s="214" t="str">
        <f t="shared" si="63"/>
        <v>-</v>
      </c>
      <c r="M63" s="214" t="str">
        <f t="shared" si="63"/>
        <v>-</v>
      </c>
      <c r="N63" s="214" t="str">
        <f t="shared" si="63"/>
        <v>-</v>
      </c>
      <c r="O63" s="214" t="str">
        <f t="shared" si="63"/>
        <v>-</v>
      </c>
      <c r="P63" s="294" t="str">
        <f t="shared" si="63"/>
        <v>-</v>
      </c>
      <c r="Q63" s="214" t="str">
        <f t="shared" si="63"/>
        <v>-</v>
      </c>
      <c r="R63" s="214" t="str">
        <f t="shared" si="63"/>
        <v>-</v>
      </c>
      <c r="S63" s="214" t="str">
        <f t="shared" si="63"/>
        <v>-</v>
      </c>
      <c r="T63" s="214" t="str">
        <f t="shared" si="63"/>
        <v>-</v>
      </c>
      <c r="U63" s="214" t="str">
        <f t="shared" si="63"/>
        <v>-</v>
      </c>
      <c r="V63" s="214" t="str">
        <f t="shared" si="63"/>
        <v>-</v>
      </c>
      <c r="W63" s="214" t="str">
        <f t="shared" si="63"/>
        <v>-</v>
      </c>
      <c r="X63" s="214" t="str">
        <f t="shared" si="63"/>
        <v>-</v>
      </c>
      <c r="Y63" s="214" t="str">
        <f t="shared" si="63"/>
        <v>-</v>
      </c>
      <c r="Z63" s="214" t="str">
        <f t="shared" si="63"/>
        <v>-</v>
      </c>
      <c r="AA63" s="214" t="str">
        <f t="shared" si="63"/>
        <v>-</v>
      </c>
      <c r="AB63" s="294" t="str">
        <f t="shared" si="63"/>
        <v>-</v>
      </c>
      <c r="AC63" s="214" t="str">
        <f t="shared" ca="1" si="63"/>
        <v>-</v>
      </c>
      <c r="AD63" s="214">
        <f t="shared" ca="1" si="63"/>
        <v>9.9396624130054345E-2</v>
      </c>
      <c r="AE63" s="214">
        <f t="shared" ca="1" si="63"/>
        <v>7.0326826228148231E-2</v>
      </c>
      <c r="AF63" s="214">
        <f t="shared" ca="1" si="63"/>
        <v>-3.6273518697481077E-2</v>
      </c>
      <c r="AG63" s="214">
        <f t="shared" ca="1" si="63"/>
        <v>-0.11100597733051554</v>
      </c>
      <c r="AH63" s="214">
        <f t="shared" ca="1" si="63"/>
        <v>-0.26923538157085825</v>
      </c>
      <c r="AI63" s="214">
        <f t="shared" ca="1" si="63"/>
        <v>-5.0429369183067285E-2</v>
      </c>
      <c r="AJ63" s="214">
        <f t="shared" ca="1" si="63"/>
        <v>-0.15341917112475711</v>
      </c>
      <c r="AK63" s="214">
        <f t="shared" ca="1" si="63"/>
        <v>-0.42015981833146476</v>
      </c>
      <c r="AL63" s="214">
        <f t="shared" ca="1" si="63"/>
        <v>-0.47730863385777444</v>
      </c>
      <c r="AM63" s="214">
        <f t="shared" ca="1" si="63"/>
        <v>-0.3187051994123743</v>
      </c>
      <c r="AN63" s="270">
        <f t="shared" ca="1" si="63"/>
        <v>-0.19020232723105968</v>
      </c>
      <c r="AO63" s="274" t="e">
        <f t="shared" ca="1" si="58"/>
        <v>#DIV/0!</v>
      </c>
      <c r="AP63" s="275" t="e">
        <f t="shared" ca="1" si="59"/>
        <v>#DIV/0!</v>
      </c>
      <c r="AQ63" s="276">
        <f t="shared" ref="AQ63" ca="1" si="64">IFERROR(IF(AQ61=0,"-",(AQ61/AQ62)-1),"-")</f>
        <v>-0.17335474909278437</v>
      </c>
    </row>
    <row r="64" spans="2:43" ht="15.75" outlineLevel="1" x14ac:dyDescent="0.25">
      <c r="B64" t="str">
        <f t="shared" si="60"/>
        <v>PC Annual Direct</v>
      </c>
      <c r="C64" t="s">
        <v>353</v>
      </c>
      <c r="D64" s="208" t="s">
        <v>12</v>
      </c>
      <c r="E64" s="209">
        <f t="shared" ref="E64:AP65" si="65">IFERROR(E61/E58,0)</f>
        <v>0</v>
      </c>
      <c r="F64" s="209">
        <f t="shared" si="65"/>
        <v>0</v>
      </c>
      <c r="G64" s="209">
        <f t="shared" si="65"/>
        <v>0</v>
      </c>
      <c r="H64" s="209">
        <f t="shared" si="65"/>
        <v>0</v>
      </c>
      <c r="I64" s="209">
        <f t="shared" si="65"/>
        <v>0</v>
      </c>
      <c r="J64" s="209">
        <f t="shared" si="65"/>
        <v>0</v>
      </c>
      <c r="K64" s="209">
        <f t="shared" si="65"/>
        <v>0</v>
      </c>
      <c r="L64" s="209">
        <f t="shared" si="65"/>
        <v>0</v>
      </c>
      <c r="M64" s="209">
        <f t="shared" si="65"/>
        <v>0</v>
      </c>
      <c r="N64" s="209">
        <f t="shared" si="65"/>
        <v>0</v>
      </c>
      <c r="O64" s="209">
        <f t="shared" si="65"/>
        <v>0</v>
      </c>
      <c r="P64" s="238">
        <f t="shared" si="65"/>
        <v>0</v>
      </c>
      <c r="Q64" s="209">
        <f t="shared" si="65"/>
        <v>0</v>
      </c>
      <c r="R64" s="209">
        <f t="shared" si="65"/>
        <v>0</v>
      </c>
      <c r="S64" s="209">
        <f t="shared" si="65"/>
        <v>0</v>
      </c>
      <c r="T64" s="209">
        <f t="shared" si="65"/>
        <v>0</v>
      </c>
      <c r="U64" s="209">
        <f t="shared" si="65"/>
        <v>0</v>
      </c>
      <c r="V64" s="209">
        <f t="shared" si="65"/>
        <v>0</v>
      </c>
      <c r="W64" s="209">
        <f t="shared" si="65"/>
        <v>0</v>
      </c>
      <c r="X64" s="209">
        <f t="shared" si="65"/>
        <v>0</v>
      </c>
      <c r="Y64" s="209">
        <f t="shared" si="65"/>
        <v>0</v>
      </c>
      <c r="Z64" s="209">
        <f t="shared" si="65"/>
        <v>0</v>
      </c>
      <c r="AA64" s="209">
        <f t="shared" si="65"/>
        <v>0</v>
      </c>
      <c r="AB64" s="238">
        <f t="shared" si="65"/>
        <v>0</v>
      </c>
      <c r="AC64" s="209">
        <f t="shared" si="65"/>
        <v>1476.8963750631788</v>
      </c>
      <c r="AD64" s="209">
        <f t="shared" si="65"/>
        <v>1422.6746622248336</v>
      </c>
      <c r="AE64" s="209">
        <f t="shared" si="65"/>
        <v>1371.242954908786</v>
      </c>
      <c r="AF64" s="209">
        <f t="shared" si="65"/>
        <v>1200.2155006903854</v>
      </c>
      <c r="AG64" s="209">
        <f t="shared" si="65"/>
        <v>1159.22629385904</v>
      </c>
      <c r="AH64" s="209">
        <f t="shared" si="65"/>
        <v>1119.638105672532</v>
      </c>
      <c r="AI64" s="209">
        <f t="shared" si="65"/>
        <v>1114.499443459365</v>
      </c>
      <c r="AJ64" s="209">
        <f t="shared" si="65"/>
        <v>1114.6292907062493</v>
      </c>
      <c r="AK64" s="209">
        <f t="shared" si="65"/>
        <v>1122.8035197027712</v>
      </c>
      <c r="AL64" s="209">
        <f t="shared" si="65"/>
        <v>1120.7850442657655</v>
      </c>
      <c r="AM64" s="209">
        <f t="shared" si="65"/>
        <v>1167.3521374870336</v>
      </c>
      <c r="AN64" s="265">
        <f t="shared" si="65"/>
        <v>1159.0737949927786</v>
      </c>
      <c r="AO64" s="237">
        <f t="shared" si="65"/>
        <v>1476.8963750631788</v>
      </c>
      <c r="AP64" s="209">
        <f t="shared" si="65"/>
        <v>1476.8963750631788</v>
      </c>
      <c r="AQ64" s="238">
        <f>SUMIFS(AC64:AN64,AC$4:AN$4,"&lt;"&amp;'Title Sheet'!$C$13)</f>
        <v>14549.037123032718</v>
      </c>
    </row>
    <row r="65" spans="2:44" ht="15.75" hidden="1" outlineLevel="1" x14ac:dyDescent="0.25">
      <c r="B65" t="str">
        <f t="shared" si="60"/>
        <v>PC Annual Direct</v>
      </c>
      <c r="C65" t="s">
        <v>353</v>
      </c>
      <c r="D65" s="211" t="s">
        <v>13</v>
      </c>
      <c r="E65" s="31">
        <f t="shared" si="65"/>
        <v>0</v>
      </c>
      <c r="F65" s="31">
        <f t="shared" si="65"/>
        <v>0</v>
      </c>
      <c r="G65" s="31">
        <f t="shared" si="65"/>
        <v>0</v>
      </c>
      <c r="H65" s="31">
        <f t="shared" si="65"/>
        <v>0</v>
      </c>
      <c r="I65" s="31">
        <f t="shared" si="65"/>
        <v>0</v>
      </c>
      <c r="J65" s="31">
        <f t="shared" si="65"/>
        <v>0</v>
      </c>
      <c r="K65" s="31">
        <f t="shared" si="65"/>
        <v>0</v>
      </c>
      <c r="L65" s="31">
        <f t="shared" si="65"/>
        <v>0</v>
      </c>
      <c r="M65" s="31">
        <f t="shared" si="65"/>
        <v>0</v>
      </c>
      <c r="N65" s="31">
        <f t="shared" si="65"/>
        <v>0</v>
      </c>
      <c r="O65" s="31">
        <f t="shared" si="65"/>
        <v>0</v>
      </c>
      <c r="P65" s="240">
        <f t="shared" ca="1" si="65"/>
        <v>0</v>
      </c>
      <c r="Q65" s="31">
        <f t="shared" ca="1" si="65"/>
        <v>0</v>
      </c>
      <c r="R65" s="31">
        <f t="shared" ca="1" si="65"/>
        <v>0</v>
      </c>
      <c r="S65" s="31">
        <f t="shared" ca="1" si="65"/>
        <v>0</v>
      </c>
      <c r="T65" s="31">
        <f t="shared" ca="1" si="65"/>
        <v>0</v>
      </c>
      <c r="U65" s="31">
        <f t="shared" ca="1" si="65"/>
        <v>0</v>
      </c>
      <c r="V65" s="31">
        <f t="shared" ca="1" si="65"/>
        <v>0</v>
      </c>
      <c r="W65" s="31">
        <f t="shared" ca="1" si="65"/>
        <v>0</v>
      </c>
      <c r="X65" s="31">
        <f t="shared" ca="1" si="65"/>
        <v>0</v>
      </c>
      <c r="Y65" s="31">
        <f t="shared" ca="1" si="65"/>
        <v>0</v>
      </c>
      <c r="Z65" s="31">
        <f t="shared" ca="1" si="65"/>
        <v>0</v>
      </c>
      <c r="AA65" s="31">
        <f t="shared" ca="1" si="65"/>
        <v>0</v>
      </c>
      <c r="AB65" s="240">
        <f t="shared" ca="1" si="65"/>
        <v>0</v>
      </c>
      <c r="AC65" s="31">
        <f t="shared" ca="1" si="65"/>
        <v>0</v>
      </c>
      <c r="AD65" s="31">
        <f t="shared" ca="1" si="65"/>
        <v>843.02229129985335</v>
      </c>
      <c r="AE65" s="31">
        <f t="shared" ca="1" si="65"/>
        <v>1659.1647345991946</v>
      </c>
      <c r="AF65" s="31">
        <f t="shared" ca="1" si="65"/>
        <v>1717.1013113780584</v>
      </c>
      <c r="AG65" s="31">
        <f t="shared" ca="1" si="65"/>
        <v>1741.0538393297081</v>
      </c>
      <c r="AH65" s="31">
        <f t="shared" ca="1" si="65"/>
        <v>1718.6721939478675</v>
      </c>
      <c r="AI65" s="31">
        <f t="shared" ca="1" si="65"/>
        <v>1225.4982348836206</v>
      </c>
      <c r="AJ65" s="31">
        <f t="shared" ca="1" si="65"/>
        <v>1216.0637428152972</v>
      </c>
      <c r="AK65" s="31">
        <f t="shared" ca="1" si="65"/>
        <v>1239.078669398363</v>
      </c>
      <c r="AL65" s="31">
        <f t="shared" ca="1" si="65"/>
        <v>1247.2101888358595</v>
      </c>
      <c r="AM65" s="31">
        <f t="shared" ca="1" si="65"/>
        <v>1342.3388139307615</v>
      </c>
      <c r="AN65" s="266">
        <f t="shared" ca="1" si="65"/>
        <v>1354.5700240489284</v>
      </c>
      <c r="AO65" s="239">
        <f t="shared" ca="1" si="65"/>
        <v>0</v>
      </c>
      <c r="AP65" s="31">
        <f t="shared" ca="1" si="65"/>
        <v>0</v>
      </c>
      <c r="AQ65" s="240">
        <f ca="1">SUMIFS(AC65:AN65,AC$4:AN$4,"&lt;"&amp;'Title Sheet'!$C$13)</f>
        <v>15303.774044467511</v>
      </c>
      <c r="AR65" s="3"/>
    </row>
    <row r="66" spans="2:44" ht="15.75" hidden="1" outlineLevel="1" x14ac:dyDescent="0.25">
      <c r="B66" t="str">
        <f t="shared" si="60"/>
        <v>PC Annual Direct</v>
      </c>
      <c r="C66" t="s">
        <v>353</v>
      </c>
      <c r="D66" s="213" t="s">
        <v>0</v>
      </c>
      <c r="E66" s="214" t="str">
        <f t="shared" ref="E66:AN66" si="66">IFERROR(IF(E64=0,"-",(E64/E65)-1),"-")</f>
        <v>-</v>
      </c>
      <c r="F66" s="214" t="str">
        <f t="shared" si="66"/>
        <v>-</v>
      </c>
      <c r="G66" s="214" t="str">
        <f t="shared" si="66"/>
        <v>-</v>
      </c>
      <c r="H66" s="214" t="str">
        <f t="shared" si="66"/>
        <v>-</v>
      </c>
      <c r="I66" s="214" t="str">
        <f t="shared" si="66"/>
        <v>-</v>
      </c>
      <c r="J66" s="214" t="str">
        <f t="shared" si="66"/>
        <v>-</v>
      </c>
      <c r="K66" s="214" t="str">
        <f t="shared" si="66"/>
        <v>-</v>
      </c>
      <c r="L66" s="214" t="str">
        <f t="shared" si="66"/>
        <v>-</v>
      </c>
      <c r="M66" s="214" t="str">
        <f t="shared" si="66"/>
        <v>-</v>
      </c>
      <c r="N66" s="214" t="str">
        <f t="shared" si="66"/>
        <v>-</v>
      </c>
      <c r="O66" s="214" t="str">
        <f t="shared" si="66"/>
        <v>-</v>
      </c>
      <c r="P66" s="294" t="str">
        <f t="shared" si="66"/>
        <v>-</v>
      </c>
      <c r="Q66" s="214" t="str">
        <f t="shared" si="66"/>
        <v>-</v>
      </c>
      <c r="R66" s="214" t="str">
        <f t="shared" si="66"/>
        <v>-</v>
      </c>
      <c r="S66" s="214" t="str">
        <f t="shared" si="66"/>
        <v>-</v>
      </c>
      <c r="T66" s="214" t="str">
        <f t="shared" si="66"/>
        <v>-</v>
      </c>
      <c r="U66" s="214" t="str">
        <f t="shared" si="66"/>
        <v>-</v>
      </c>
      <c r="V66" s="214" t="str">
        <f t="shared" si="66"/>
        <v>-</v>
      </c>
      <c r="W66" s="214" t="str">
        <f t="shared" si="66"/>
        <v>-</v>
      </c>
      <c r="X66" s="214" t="str">
        <f t="shared" si="66"/>
        <v>-</v>
      </c>
      <c r="Y66" s="214" t="str">
        <f t="shared" si="66"/>
        <v>-</v>
      </c>
      <c r="Z66" s="214" t="str">
        <f t="shared" si="66"/>
        <v>-</v>
      </c>
      <c r="AA66" s="214" t="str">
        <f t="shared" si="66"/>
        <v>-</v>
      </c>
      <c r="AB66" s="294" t="str">
        <f t="shared" si="66"/>
        <v>-</v>
      </c>
      <c r="AC66" s="214" t="str">
        <f t="shared" ca="1" si="66"/>
        <v>-</v>
      </c>
      <c r="AD66" s="214">
        <f t="shared" ca="1" si="66"/>
        <v>0.68758842667281805</v>
      </c>
      <c r="AE66" s="214">
        <f t="shared" ca="1" si="66"/>
        <v>-0.17353417275950123</v>
      </c>
      <c r="AF66" s="214">
        <f t="shared" ca="1" si="66"/>
        <v>-0.30102231432858595</v>
      </c>
      <c r="AG66" s="214">
        <f t="shared" ca="1" si="66"/>
        <v>-0.33418124834937157</v>
      </c>
      <c r="AH66" s="214">
        <f t="shared" ca="1" si="66"/>
        <v>-0.34854470234915902</v>
      </c>
      <c r="AI66" s="214">
        <f t="shared" ca="1" si="66"/>
        <v>-9.0574419664338879E-2</v>
      </c>
      <c r="AJ66" s="214">
        <f t="shared" ca="1" si="66"/>
        <v>-8.3412117751507031E-2</v>
      </c>
      <c r="AK66" s="214">
        <f t="shared" ca="1" si="66"/>
        <v>-9.3840005939291538E-2</v>
      </c>
      <c r="AL66" s="214">
        <f t="shared" ca="1" si="66"/>
        <v>-0.1013663500360743</v>
      </c>
      <c r="AM66" s="214">
        <f t="shared" ca="1" si="66"/>
        <v>-0.13035954457080445</v>
      </c>
      <c r="AN66" s="270">
        <f t="shared" ca="1" si="66"/>
        <v>-0.14432345732248997</v>
      </c>
      <c r="AO66" s="274">
        <f t="shared" ref="AO66:AP66" ca="1" si="67">AO64-AO65</f>
        <v>1476.8963750631788</v>
      </c>
      <c r="AP66" s="275">
        <f t="shared" ca="1" si="67"/>
        <v>1476.8963750631788</v>
      </c>
      <c r="AQ66" s="276">
        <f t="shared" ref="AQ66" ca="1" si="68">IFERROR(IF(AQ64=0,"-",(AQ64/AQ65)-1),"-")</f>
        <v>-4.9317045536727555E-2</v>
      </c>
    </row>
    <row r="67" spans="2:44" outlineLevel="1" x14ac:dyDescent="0.25">
      <c r="B67" t="str">
        <f t="shared" si="60"/>
        <v>PC Annual Direct</v>
      </c>
      <c r="C67" t="s">
        <v>353</v>
      </c>
      <c r="D67" s="258" t="s">
        <v>17</v>
      </c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313"/>
      <c r="Q67" s="259"/>
      <c r="R67" s="259"/>
      <c r="S67" s="259"/>
      <c r="T67" s="259"/>
      <c r="U67" s="259"/>
      <c r="V67" s="259"/>
      <c r="W67" s="259"/>
      <c r="X67" s="259"/>
      <c r="Y67" s="259"/>
      <c r="Z67" s="259"/>
      <c r="AA67" s="259"/>
      <c r="AB67" s="313"/>
      <c r="AC67" s="259"/>
      <c r="AD67" s="259"/>
      <c r="AE67" s="259"/>
      <c r="AF67" s="259"/>
      <c r="AG67" s="259"/>
      <c r="AH67" s="259"/>
      <c r="AI67" s="259"/>
      <c r="AJ67" s="259"/>
      <c r="AK67" s="259"/>
      <c r="AL67" s="259"/>
      <c r="AM67" s="259"/>
      <c r="AN67" s="267"/>
      <c r="AO67" s="277"/>
      <c r="AP67" s="277"/>
      <c r="AQ67" s="278">
        <f>SUMIFS(AC67:AN67,AC$4:AN$4,"&lt;"&amp;'Title Sheet'!$C$13)</f>
        <v>0</v>
      </c>
    </row>
    <row r="68" spans="2:44" ht="15.75" outlineLevel="1" x14ac:dyDescent="0.25">
      <c r="B68" t="str">
        <f t="shared" si="60"/>
        <v>PC Annual Direct</v>
      </c>
      <c r="C68" t="s">
        <v>353</v>
      </c>
      <c r="D68" s="208" t="s">
        <v>7</v>
      </c>
      <c r="E68" s="282">
        <v>0</v>
      </c>
      <c r="F68" s="283">
        <v>0</v>
      </c>
      <c r="G68" s="283">
        <v>0</v>
      </c>
      <c r="H68" s="283">
        <v>0</v>
      </c>
      <c r="I68" s="283">
        <v>0</v>
      </c>
      <c r="J68" s="283">
        <v>0</v>
      </c>
      <c r="K68" s="283">
        <v>0</v>
      </c>
      <c r="L68" s="283">
        <v>0</v>
      </c>
      <c r="M68" s="283">
        <v>0</v>
      </c>
      <c r="N68" s="283">
        <v>0</v>
      </c>
      <c r="O68" s="283">
        <v>0</v>
      </c>
      <c r="P68" s="314">
        <v>0</v>
      </c>
      <c r="Q68" s="283">
        <v>0</v>
      </c>
      <c r="R68" s="283">
        <v>0</v>
      </c>
      <c r="S68" s="283">
        <v>0</v>
      </c>
      <c r="T68" s="283">
        <v>0</v>
      </c>
      <c r="U68" s="283">
        <v>0</v>
      </c>
      <c r="V68" s="283">
        <v>0</v>
      </c>
      <c r="W68" s="283">
        <v>0</v>
      </c>
      <c r="X68" s="283">
        <v>0</v>
      </c>
      <c r="Y68" s="283">
        <v>0</v>
      </c>
      <c r="Z68" s="283">
        <v>0</v>
      </c>
      <c r="AA68" s="283">
        <v>0</v>
      </c>
      <c r="AB68" s="314">
        <v>0</v>
      </c>
      <c r="AC68" s="283">
        <v>474845.18749523116</v>
      </c>
      <c r="AD68" s="283">
        <v>2345456.1696455493</v>
      </c>
      <c r="AE68" s="283">
        <v>4253305.1339150965</v>
      </c>
      <c r="AF68" s="283">
        <v>3935689.5446633701</v>
      </c>
      <c r="AG68" s="283">
        <v>3675903.4017963423</v>
      </c>
      <c r="AH68" s="283">
        <v>3075984.2767860945</v>
      </c>
      <c r="AI68" s="283">
        <v>2592743.05357278</v>
      </c>
      <c r="AJ68" s="283">
        <v>2282311.794644319</v>
      </c>
      <c r="AK68" s="283">
        <v>2161423.8482159772</v>
      </c>
      <c r="AL68" s="283">
        <v>2148494.6134996666</v>
      </c>
      <c r="AM68" s="283">
        <v>2459665.30356621</v>
      </c>
      <c r="AN68" s="284">
        <v>2681002.3839300475</v>
      </c>
      <c r="AO68" s="237">
        <f t="shared" ref="AO68" si="69">AVERAGE(Z68:AC68)</f>
        <v>118711.29687380779</v>
      </c>
      <c r="AP68" s="209">
        <f>AVERAGE(R68:AC68)</f>
        <v>39570.432291269266</v>
      </c>
      <c r="AQ68" s="238">
        <f>SUMIFS(AC68:AN68,AC$4:AN$4,"&lt;"&amp;'Title Sheet'!$C$13)</f>
        <v>32086824.711730685</v>
      </c>
    </row>
    <row r="69" spans="2:44" ht="16.5" outlineLevel="1" thickBot="1" x14ac:dyDescent="0.3">
      <c r="B69" t="str">
        <f t="shared" si="60"/>
        <v>PC Annual Direct</v>
      </c>
      <c r="C69" t="s">
        <v>353</v>
      </c>
      <c r="D69" s="226" t="s">
        <v>21</v>
      </c>
      <c r="E69" s="269" t="str">
        <f t="shared" ref="E69:AB69" si="70">IFERROR(E61/E$27,"-")</f>
        <v>-</v>
      </c>
      <c r="F69" s="269" t="str">
        <f t="shared" si="70"/>
        <v>-</v>
      </c>
      <c r="G69" s="269" t="str">
        <f t="shared" si="70"/>
        <v>-</v>
      </c>
      <c r="H69" s="269" t="str">
        <f t="shared" si="70"/>
        <v>-</v>
      </c>
      <c r="I69" s="269" t="str">
        <f t="shared" si="70"/>
        <v>-</v>
      </c>
      <c r="J69" s="269" t="str">
        <f t="shared" si="70"/>
        <v>-</v>
      </c>
      <c r="K69" s="269" t="str">
        <f t="shared" si="70"/>
        <v>-</v>
      </c>
      <c r="L69" s="269" t="str">
        <f t="shared" si="70"/>
        <v>-</v>
      </c>
      <c r="M69" s="269" t="str">
        <f t="shared" si="70"/>
        <v>-</v>
      </c>
      <c r="N69" s="269" t="str">
        <f t="shared" si="70"/>
        <v>-</v>
      </c>
      <c r="O69" s="269" t="str">
        <f t="shared" si="70"/>
        <v>-</v>
      </c>
      <c r="P69" s="280" t="str">
        <f t="shared" si="70"/>
        <v>-</v>
      </c>
      <c r="Q69" s="269" t="str">
        <f t="shared" si="70"/>
        <v>-</v>
      </c>
      <c r="R69" s="269" t="str">
        <f t="shared" si="70"/>
        <v>-</v>
      </c>
      <c r="S69" s="269" t="str">
        <f t="shared" si="70"/>
        <v>-</v>
      </c>
      <c r="T69" s="269" t="str">
        <f t="shared" si="70"/>
        <v>-</v>
      </c>
      <c r="U69" s="269">
        <f t="shared" si="70"/>
        <v>0</v>
      </c>
      <c r="V69" s="269">
        <f t="shared" si="70"/>
        <v>0</v>
      </c>
      <c r="W69" s="269">
        <f t="shared" si="70"/>
        <v>0</v>
      </c>
      <c r="X69" s="269">
        <f t="shared" si="70"/>
        <v>0</v>
      </c>
      <c r="Y69" s="269">
        <f t="shared" si="70"/>
        <v>0</v>
      </c>
      <c r="Z69" s="269">
        <f t="shared" si="70"/>
        <v>0</v>
      </c>
      <c r="AA69" s="269">
        <f t="shared" si="70"/>
        <v>0</v>
      </c>
      <c r="AB69" s="280">
        <f t="shared" si="70"/>
        <v>0</v>
      </c>
      <c r="AC69" s="269">
        <f>IFERROR(AC61/AC$27,"-")</f>
        <v>0.19543010201719918</v>
      </c>
      <c r="AD69" s="269">
        <f t="shared" ref="AD69:AN69" si="71">IFERROR(AD61/AD$27,"-")</f>
        <v>0.58059138619705097</v>
      </c>
      <c r="AE69" s="269">
        <f t="shared" si="71"/>
        <v>0.66845863772555147</v>
      </c>
      <c r="AF69" s="269">
        <f t="shared" si="71"/>
        <v>0.6905079624672309</v>
      </c>
      <c r="AG69" s="269">
        <f t="shared" si="71"/>
        <v>0.67739361438689361</v>
      </c>
      <c r="AH69" s="269">
        <f t="shared" si="71"/>
        <v>0.67963147134274915</v>
      </c>
      <c r="AI69" s="269">
        <f t="shared" si="71"/>
        <v>0.68698146807505234</v>
      </c>
      <c r="AJ69" s="269">
        <f t="shared" si="71"/>
        <v>0.69123463645922367</v>
      </c>
      <c r="AK69" s="269">
        <f t="shared" si="71"/>
        <v>0.6883900820977884</v>
      </c>
      <c r="AL69" s="269">
        <f t="shared" si="71"/>
        <v>0.69229790194237173</v>
      </c>
      <c r="AM69" s="269">
        <f t="shared" si="71"/>
        <v>0.69424225004977524</v>
      </c>
      <c r="AN69" s="281">
        <f t="shared" si="71"/>
        <v>0.72625877319203236</v>
      </c>
      <c r="AO69" s="279">
        <f t="shared" ref="AO69:AP69" si="72">AO61/AO$8</f>
        <v>3.1569556863051365E-2</v>
      </c>
      <c r="AP69" s="269">
        <f t="shared" si="72"/>
        <v>2.1291803612340905E-2</v>
      </c>
      <c r="AQ69" s="280" t="str">
        <f t="shared" ref="AQ69" si="73">IFERROR(IF(AQ67=0,"-",(AQ67/AQ68)-1),"-")</f>
        <v>-</v>
      </c>
    </row>
    <row r="70" spans="2:44" outlineLevel="1" x14ac:dyDescent="0.25"/>
    <row r="71" spans="2:44" ht="15.75" thickBot="1" x14ac:dyDescent="0.3"/>
    <row r="72" spans="2:44" ht="18.75" x14ac:dyDescent="0.25">
      <c r="D72" s="255" t="s">
        <v>204</v>
      </c>
      <c r="E72" s="202" t="s">
        <v>315</v>
      </c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33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63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63"/>
      <c r="AO72" s="202"/>
      <c r="AP72" s="202"/>
      <c r="AQ72" s="233"/>
    </row>
    <row r="73" spans="2:44" x14ac:dyDescent="0.25">
      <c r="D73" s="204"/>
      <c r="E73" s="303" t="s">
        <v>341</v>
      </c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17"/>
      <c r="Q73" s="320" t="s">
        <v>341</v>
      </c>
      <c r="R73" s="303"/>
      <c r="S73" s="303"/>
      <c r="T73" s="303"/>
      <c r="U73" s="303"/>
      <c r="V73" s="303"/>
      <c r="W73" s="303"/>
      <c r="X73" s="303"/>
      <c r="Y73" s="303"/>
      <c r="Z73" s="303"/>
      <c r="AA73" s="303"/>
      <c r="AB73" s="317"/>
      <c r="AC73" s="303" t="s">
        <v>341</v>
      </c>
      <c r="AD73" s="303"/>
      <c r="AE73" s="303"/>
      <c r="AF73" s="303"/>
      <c r="AG73" s="303"/>
      <c r="AH73" s="303"/>
      <c r="AI73" s="303"/>
      <c r="AJ73" s="303"/>
      <c r="AK73" s="303"/>
      <c r="AL73" s="303"/>
      <c r="AM73" s="303"/>
      <c r="AN73" s="317"/>
      <c r="AO73" s="510" t="s">
        <v>8</v>
      </c>
      <c r="AP73" s="511"/>
      <c r="AQ73" s="512"/>
    </row>
    <row r="74" spans="2:44" x14ac:dyDescent="0.25">
      <c r="D74" s="321" t="s">
        <v>16</v>
      </c>
      <c r="E74" s="318">
        <f>E$4</f>
        <v>44562</v>
      </c>
      <c r="F74" s="318">
        <f t="shared" ref="F74:AN74" si="74">F$4</f>
        <v>44593</v>
      </c>
      <c r="G74" s="318">
        <f t="shared" si="74"/>
        <v>44621</v>
      </c>
      <c r="H74" s="318">
        <f t="shared" si="74"/>
        <v>44652</v>
      </c>
      <c r="I74" s="318">
        <f t="shared" si="74"/>
        <v>44682</v>
      </c>
      <c r="J74" s="318">
        <f t="shared" si="74"/>
        <v>44713</v>
      </c>
      <c r="K74" s="318">
        <f t="shared" si="74"/>
        <v>44743</v>
      </c>
      <c r="L74" s="318">
        <f t="shared" si="74"/>
        <v>44774</v>
      </c>
      <c r="M74" s="318">
        <f t="shared" si="74"/>
        <v>44805</v>
      </c>
      <c r="N74" s="318">
        <f t="shared" si="74"/>
        <v>44835</v>
      </c>
      <c r="O74" s="318">
        <f t="shared" si="74"/>
        <v>44866</v>
      </c>
      <c r="P74" s="319">
        <f t="shared" si="74"/>
        <v>44896</v>
      </c>
      <c r="Q74" s="318">
        <f t="shared" si="74"/>
        <v>44927</v>
      </c>
      <c r="R74" s="318">
        <f t="shared" si="74"/>
        <v>44958</v>
      </c>
      <c r="S74" s="318">
        <f t="shared" si="74"/>
        <v>44986</v>
      </c>
      <c r="T74" s="318">
        <f t="shared" si="74"/>
        <v>45017</v>
      </c>
      <c r="U74" s="318">
        <f t="shared" si="74"/>
        <v>45047</v>
      </c>
      <c r="V74" s="318">
        <f t="shared" si="74"/>
        <v>45078</v>
      </c>
      <c r="W74" s="318">
        <f t="shared" si="74"/>
        <v>45108</v>
      </c>
      <c r="X74" s="318">
        <f t="shared" si="74"/>
        <v>45139</v>
      </c>
      <c r="Y74" s="318">
        <f t="shared" si="74"/>
        <v>45170</v>
      </c>
      <c r="Z74" s="318">
        <f t="shared" si="74"/>
        <v>45200</v>
      </c>
      <c r="AA74" s="318">
        <f t="shared" si="74"/>
        <v>45231</v>
      </c>
      <c r="AB74" s="319">
        <f t="shared" si="74"/>
        <v>45261</v>
      </c>
      <c r="AC74" s="318">
        <f t="shared" si="74"/>
        <v>45292</v>
      </c>
      <c r="AD74" s="318">
        <f t="shared" si="74"/>
        <v>45323</v>
      </c>
      <c r="AE74" s="318">
        <f t="shared" si="74"/>
        <v>45352</v>
      </c>
      <c r="AF74" s="318">
        <f t="shared" si="74"/>
        <v>45383</v>
      </c>
      <c r="AG74" s="318">
        <f t="shared" si="74"/>
        <v>45413</v>
      </c>
      <c r="AH74" s="318">
        <f t="shared" si="74"/>
        <v>45444</v>
      </c>
      <c r="AI74" s="318">
        <f t="shared" si="74"/>
        <v>45474</v>
      </c>
      <c r="AJ74" s="318">
        <f t="shared" si="74"/>
        <v>45505</v>
      </c>
      <c r="AK74" s="318">
        <f t="shared" si="74"/>
        <v>45536</v>
      </c>
      <c r="AL74" s="318">
        <f t="shared" si="74"/>
        <v>45566</v>
      </c>
      <c r="AM74" s="318">
        <f t="shared" si="74"/>
        <v>45597</v>
      </c>
      <c r="AN74" s="316">
        <f t="shared" si="74"/>
        <v>45627</v>
      </c>
      <c r="AO74" s="271" t="s">
        <v>9</v>
      </c>
      <c r="AP74" s="272" t="str">
        <f>AP23</f>
        <v>Last Year</v>
      </c>
      <c r="AQ74" s="273" t="s">
        <v>346</v>
      </c>
    </row>
    <row r="75" spans="2:44" ht="15.75" x14ac:dyDescent="0.25">
      <c r="B75" t="str">
        <f>$D$2</f>
        <v>PC Annual Direct</v>
      </c>
      <c r="C75" t="s">
        <v>73</v>
      </c>
      <c r="D75" s="208" t="s">
        <v>316</v>
      </c>
      <c r="E75" s="209">
        <v>0</v>
      </c>
      <c r="F75" s="209">
        <v>0</v>
      </c>
      <c r="G75" s="209">
        <v>862.02191783300009</v>
      </c>
      <c r="H75" s="209">
        <v>857.33150688100079</v>
      </c>
      <c r="I75" s="209">
        <v>1084.8109589639996</v>
      </c>
      <c r="J75" s="209">
        <v>1684.8301370699987</v>
      </c>
      <c r="K75" s="209">
        <v>1889.9589041850011</v>
      </c>
      <c r="L75" s="209">
        <v>1155.2931507244004</v>
      </c>
      <c r="M75" s="209">
        <v>222.99452054359992</v>
      </c>
      <c r="N75" s="209">
        <v>404.83287654420008</v>
      </c>
      <c r="O75" s="209">
        <v>565.33972598219975</v>
      </c>
      <c r="P75" s="238">
        <v>736.67671203599934</v>
      </c>
      <c r="Q75" s="209">
        <v>830.03287640139968</v>
      </c>
      <c r="R75" s="209">
        <v>769.7178076418985</v>
      </c>
      <c r="S75" s="209">
        <v>1088.5409834572031</v>
      </c>
      <c r="T75" s="209">
        <v>1050.4426231341004</v>
      </c>
      <c r="U75" s="209">
        <v>1253.5355189670008</v>
      </c>
      <c r="V75" s="209">
        <v>1215.5081968958004</v>
      </c>
      <c r="W75" s="209">
        <v>1350.9754096577994</v>
      </c>
      <c r="X75" s="209">
        <v>1386.5163932302983</v>
      </c>
      <c r="Y75" s="209">
        <v>1305.6038253749011</v>
      </c>
      <c r="Z75" s="209">
        <v>1429.9480872280976</v>
      </c>
      <c r="AA75" s="209">
        <v>1408.2322406890014</v>
      </c>
      <c r="AB75" s="265">
        <v>1585.3825134445001</v>
      </c>
      <c r="AC75" s="209">
        <v>1594.4726773750976</v>
      </c>
      <c r="AD75" s="209">
        <v>1298.6803272729996</v>
      </c>
      <c r="AE75" s="209">
        <v>1385.9589035485992</v>
      </c>
      <c r="AF75" s="209">
        <v>1108.7095889984012</v>
      </c>
      <c r="AG75" s="209">
        <v>1040.3589037358004</v>
      </c>
      <c r="AH75" s="209">
        <v>854.66575339900271</v>
      </c>
      <c r="AI75" s="209">
        <v>820.16438327679941</v>
      </c>
      <c r="AJ75" s="209">
        <v>694.21917784379923</v>
      </c>
      <c r="AK75" s="209">
        <v>557.65479451640033</v>
      </c>
      <c r="AL75" s="209">
        <v>465.11506835559857</v>
      </c>
      <c r="AM75" s="209">
        <v>271.12602739559998</v>
      </c>
      <c r="AN75" s="265">
        <v>152.74794515080035</v>
      </c>
      <c r="AO75" s="237">
        <f t="shared" ref="AO75:AO80" si="75">AVERAGE(Z75:AC75)</f>
        <v>1504.5088796841742</v>
      </c>
      <c r="AP75" s="209">
        <f t="shared" ref="AP75:AP80" si="76">AVERAGE(R75:AC75)</f>
        <v>1286.5730230913082</v>
      </c>
      <c r="AQ75" s="238">
        <f>SUMIFS(AC75:AN75,AC$4:AN$4,"&lt;"&amp;'Title Sheet'!$C$13)</f>
        <v>10243.873550868901</v>
      </c>
    </row>
    <row r="76" spans="2:44" ht="15.75" hidden="1" x14ac:dyDescent="0.25">
      <c r="B76" t="str">
        <f>$D$89&amp;"_W VYRs"</f>
        <v>PC Annual Direct - Subscription_W VYRs</v>
      </c>
      <c r="C76" t="str">
        <f t="shared" ref="C76:C86" si="77">$C75</f>
        <v>Boom Subscription</v>
      </c>
      <c r="D76" s="211" t="s">
        <v>317</v>
      </c>
      <c r="E76" s="31" t="e">
        <f>INDEX('Plan Figures'!$B$94:$AP$120,MATCH('Current - MPM only'!E$4,'Plan Figures'!$B$94:$B$120,0),MATCH('Current - MPM only'!$B76,'Plan Figures'!$B$1:$AP$1,0))</f>
        <v>#N/A</v>
      </c>
      <c r="F76" s="31" t="e">
        <f>INDEX('Plan Figures'!$B$94:$AP$120,MATCH('Current - MPM only'!F$4,'Plan Figures'!$B$94:$B$120,0),MATCH('Current - MPM only'!$B76,'Plan Figures'!$B$1:$AP$1,0))</f>
        <v>#N/A</v>
      </c>
      <c r="G76" s="31" t="e">
        <f>INDEX('Plan Figures'!$B$94:$AP$120,MATCH('Current - MPM only'!G$4,'Plan Figures'!$B$94:$B$120,0),MATCH('Current - MPM only'!$B76,'Plan Figures'!$B$1:$AP$1,0))</f>
        <v>#N/A</v>
      </c>
      <c r="H76" s="31" t="e">
        <f>INDEX('Plan Figures'!$B$94:$AP$120,MATCH('Current - MPM only'!H$4,'Plan Figures'!$B$94:$B$120,0),MATCH('Current - MPM only'!$B76,'Plan Figures'!$B$1:$AP$1,0))</f>
        <v>#N/A</v>
      </c>
      <c r="I76" s="31" t="e">
        <f>INDEX('Plan Figures'!$B$94:$AP$120,MATCH('Current - MPM only'!I$4,'Plan Figures'!$B$94:$B$120,0),MATCH('Current - MPM only'!$B76,'Plan Figures'!$B$1:$AP$1,0))</f>
        <v>#N/A</v>
      </c>
      <c r="J76" s="31" t="e">
        <f>INDEX('Plan Figures'!$B$94:$AP$120,MATCH('Current - MPM only'!J$4,'Plan Figures'!$B$94:$B$120,0),MATCH('Current - MPM only'!$B76,'Plan Figures'!$B$1:$AP$1,0))</f>
        <v>#N/A</v>
      </c>
      <c r="K76" s="31" t="e">
        <f>INDEX('Plan Figures'!$B$94:$AP$120,MATCH('Current - MPM only'!K$4,'Plan Figures'!$B$94:$B$120,0),MATCH('Current - MPM only'!$B76,'Plan Figures'!$B$1:$AP$1,0))</f>
        <v>#N/A</v>
      </c>
      <c r="L76" s="31" t="e">
        <f>INDEX('Plan Figures'!$B$94:$AP$120,MATCH('Current - MPM only'!L$4,'Plan Figures'!$B$94:$B$120,0),MATCH('Current - MPM only'!$B76,'Plan Figures'!$B$1:$AP$1,0))</f>
        <v>#N/A</v>
      </c>
      <c r="M76" s="31" t="e">
        <f>INDEX('Plan Figures'!$B$94:$AP$120,MATCH('Current - MPM only'!M$4,'Plan Figures'!$B$94:$B$120,0),MATCH('Current - MPM only'!$B76,'Plan Figures'!$B$1:$AP$1,0))</f>
        <v>#N/A</v>
      </c>
      <c r="N76" s="31" t="e">
        <f>INDEX('Plan Figures'!$B$94:$AP$120,MATCH('Current - MPM only'!N$4,'Plan Figures'!$B$94:$B$120,0),MATCH('Current - MPM only'!$B76,'Plan Figures'!$B$1:$AP$1,0))</f>
        <v>#N/A</v>
      </c>
      <c r="O76" s="31" t="e">
        <f>INDEX('Plan Figures'!$B$94:$AP$120,MATCH('Current - MPM only'!O$4,'Plan Figures'!$B$94:$B$120,0),MATCH('Current - MPM only'!$B76,'Plan Figures'!$B$1:$AP$1,0))</f>
        <v>#N/A</v>
      </c>
      <c r="P76" s="240" t="str">
        <f ca="1">INDEX('Plan Figures'!$B$94:$AP$120,MATCH('Current - MPM only'!P$4,'Plan Figures'!$B$94:$B$120,0),MATCH('Current - MPM only'!$B76,'Plan Figures'!$B$1:$AP$1,0))</f>
        <v>-</v>
      </c>
      <c r="Q76" s="31" t="str">
        <f ca="1">INDEX('Plan Figures'!$B$94:$AP$120,MATCH('Current - MPM only'!Q$4,'Plan Figures'!$B$94:$B$120,0),MATCH('Current - MPM only'!$B76,'Plan Figures'!$B$1:$AP$1,0))</f>
        <v>-</v>
      </c>
      <c r="R76" s="31" t="str">
        <f ca="1">INDEX('Plan Figures'!$B$94:$AP$120,MATCH('Current - MPM only'!R$4,'Plan Figures'!$B$94:$B$120,0),MATCH('Current - MPM only'!$B76,'Plan Figures'!$B$1:$AP$1,0))</f>
        <v>-</v>
      </c>
      <c r="S76" s="31" t="str">
        <f ca="1">INDEX('Plan Figures'!$B$94:$AP$120,MATCH('Current - MPM only'!S$4,'Plan Figures'!$B$94:$B$120,0),MATCH('Current - MPM only'!$B76,'Plan Figures'!$B$1:$AP$1,0))</f>
        <v>-</v>
      </c>
      <c r="T76" s="31" t="str">
        <f ca="1">INDEX('Plan Figures'!$B$94:$AP$120,MATCH('Current - MPM only'!T$4,'Plan Figures'!$B$94:$B$120,0),MATCH('Current - MPM only'!$B76,'Plan Figures'!$B$1:$AP$1,0))</f>
        <v>-</v>
      </c>
      <c r="U76" s="31" t="str">
        <f ca="1">INDEX('Plan Figures'!$B$94:$AP$120,MATCH('Current - MPM only'!U$4,'Plan Figures'!$B$94:$B$120,0),MATCH('Current - MPM only'!$B76,'Plan Figures'!$B$1:$AP$1,0))</f>
        <v>-</v>
      </c>
      <c r="V76" s="31" t="str">
        <f ca="1">INDEX('Plan Figures'!$B$94:$AP$120,MATCH('Current - MPM only'!V$4,'Plan Figures'!$B$94:$B$120,0),MATCH('Current - MPM only'!$B76,'Plan Figures'!$B$1:$AP$1,0))</f>
        <v>-</v>
      </c>
      <c r="W76" s="31" t="str">
        <f ca="1">INDEX('Plan Figures'!$B$94:$AP$120,MATCH('Current - MPM only'!W$4,'Plan Figures'!$B$94:$B$120,0),MATCH('Current - MPM only'!$B76,'Plan Figures'!$B$1:$AP$1,0))</f>
        <v>-</v>
      </c>
      <c r="X76" s="31" t="str">
        <f ca="1">INDEX('Plan Figures'!$B$94:$AP$120,MATCH('Current - MPM only'!X$4,'Plan Figures'!$B$94:$B$120,0),MATCH('Current - MPM only'!$B76,'Plan Figures'!$B$1:$AP$1,0))</f>
        <v>-</v>
      </c>
      <c r="Y76" s="31" t="str">
        <f ca="1">INDEX('Plan Figures'!$B$94:$AP$120,MATCH('Current - MPM only'!Y$4,'Plan Figures'!$B$94:$B$120,0),MATCH('Current - MPM only'!$B76,'Plan Figures'!$B$1:$AP$1,0))</f>
        <v>-</v>
      </c>
      <c r="Z76" s="31" t="str">
        <f ca="1">INDEX('Plan Figures'!$B$94:$AP$120,MATCH('Current - MPM only'!Z$4,'Plan Figures'!$B$94:$B$120,0),MATCH('Current - MPM only'!$B76,'Plan Figures'!$B$1:$AP$1,0))</f>
        <v>-</v>
      </c>
      <c r="AA76" s="31">
        <f ca="1">INDEX('Plan Figures'!$B$94:$AP$120,MATCH('Current - MPM only'!AA$4,'Plan Figures'!$B$94:$B$120,0),MATCH('Current - MPM only'!$B76,'Plan Figures'!$B$1:$AP$1,0))</f>
        <v>615.93307879093663</v>
      </c>
      <c r="AB76" s="266">
        <f ca="1">INDEX('Plan Figures'!$B$94:$AP$120,MATCH('Current - MPM only'!AB$4,'Plan Figures'!$B$94:$B$120,0),MATCH('Current - MPM only'!$B76,'Plan Figures'!$B$1:$AP$1,0))</f>
        <v>763.72800510730349</v>
      </c>
      <c r="AC76" s="31">
        <f ca="1">INDEX('Plan Figures'!$B$94:$AP$120,MATCH('Current - MPM only'!AC$4,'Plan Figures'!$B$94:$B$120,0),MATCH('Current - MPM only'!$B76,'Plan Figures'!$B$1:$AP$1,0))</f>
        <v>833.27735263273371</v>
      </c>
      <c r="AD76" s="31">
        <f ca="1">INDEX('Plan Figures'!$B$94:$AP$120,MATCH('Current - MPM only'!AD$4,'Plan Figures'!$B$94:$B$120,0),MATCH('Current - MPM only'!$B76,'Plan Figures'!$B$1:$AP$1,0))</f>
        <v>833.27735263273371</v>
      </c>
      <c r="AE76" s="31">
        <f ca="1">INDEX('Plan Figures'!$B$94:$AP$120,MATCH('Current - MPM only'!AE$4,'Plan Figures'!$B$94:$B$120,0),MATCH('Current - MPM only'!$B76,'Plan Figures'!$B$1:$AP$1,0))</f>
        <v>833.27735263273371</v>
      </c>
      <c r="AF76" s="31">
        <f ca="1">INDEX('Plan Figures'!$B$94:$AP$120,MATCH('Current - MPM only'!AF$4,'Plan Figures'!$B$94:$B$120,0),MATCH('Current - MPM only'!$B76,'Plan Figures'!$B$1:$AP$1,0))</f>
        <v>833.27735263273371</v>
      </c>
      <c r="AG76" s="31">
        <f ca="1">INDEX('Plan Figures'!$B$94:$AP$120,MATCH('Current - MPM only'!AG$4,'Plan Figures'!$B$94:$B$120,0),MATCH('Current - MPM only'!$B76,'Plan Figures'!$B$1:$AP$1,0))</f>
        <v>832.96485263273371</v>
      </c>
      <c r="AH76" s="31">
        <f ca="1">INDEX('Plan Figures'!$B$94:$AP$120,MATCH('Current - MPM only'!AH$4,'Plan Figures'!$B$94:$B$120,0),MATCH('Current - MPM only'!$B76,'Plan Figures'!$B$1:$AP$1,0))</f>
        <v>805.37110263273371</v>
      </c>
      <c r="AI76" s="31">
        <f ca="1">INDEX('Plan Figures'!$B$94:$AP$120,MATCH('Current - MPM only'!AI$4,'Plan Figures'!$B$94:$B$120,0),MATCH('Current - MPM only'!$B76,'Plan Figures'!$B$1:$AP$1,0))</f>
        <v>954.34078893945536</v>
      </c>
      <c r="AJ76" s="31">
        <f ca="1">INDEX('Plan Figures'!$B$94:$AP$120,MATCH('Current - MPM only'!AJ$4,'Plan Figures'!$B$94:$B$120,0),MATCH('Current - MPM only'!$B76,'Plan Figures'!$B$1:$AP$1,0))</f>
        <v>847.62977300462001</v>
      </c>
      <c r="AK76" s="31">
        <f ca="1">INDEX('Plan Figures'!$B$94:$AP$120,MATCH('Current - MPM only'!AK$4,'Plan Figures'!$B$94:$B$120,0),MATCH('Current - MPM only'!$B76,'Plan Figures'!$B$1:$AP$1,0))</f>
        <v>739.05926213218527</v>
      </c>
      <c r="AL76" s="31">
        <f ca="1">INDEX('Plan Figures'!$B$94:$AP$120,MATCH('Current - MPM only'!AL$4,'Plan Figures'!$B$94:$B$120,0),MATCH('Current - MPM only'!$B76,'Plan Figures'!$B$1:$AP$1,0))</f>
        <v>574.06474961854019</v>
      </c>
      <c r="AM76" s="31">
        <f ca="1">INDEX('Plan Figures'!$B$94:$AP$120,MATCH('Current - MPM only'!AM$4,'Plan Figures'!$B$94:$B$120,0),MATCH('Current - MPM only'!$B76,'Plan Figures'!$B$1:$AP$1,0))</f>
        <v>364.6103139038326</v>
      </c>
      <c r="AN76" s="266">
        <f ca="1">INDEX('Plan Figures'!$B$94:$AP$120,MATCH('Current - MPM only'!AN$4,'Plan Figures'!$B$94:$B$120,0),MATCH('Current - MPM only'!$B76,'Plan Figures'!$B$1:$AP$1,0))</f>
        <v>181.19222195663252</v>
      </c>
      <c r="AO76" s="239">
        <f t="shared" ca="1" si="75"/>
        <v>737.64614551032457</v>
      </c>
      <c r="AP76" s="31">
        <f t="shared" ca="1" si="76"/>
        <v>737.64614551032457</v>
      </c>
      <c r="AQ76" s="240">
        <f ca="1">SUMIFS(AC76:AN76,AC$4:AN$4,"&lt;"&amp;'Title Sheet'!$C$13)</f>
        <v>8632.3424753516683</v>
      </c>
      <c r="AR76" s="3" t="s">
        <v>299</v>
      </c>
    </row>
    <row r="77" spans="2:44" ht="15.75" hidden="1" x14ac:dyDescent="0.25">
      <c r="B77" t="str">
        <f t="shared" ref="B77:B86" si="78">$D$2</f>
        <v>PC Annual Direct</v>
      </c>
      <c r="C77" t="str">
        <f t="shared" si="77"/>
        <v>Boom Subscription</v>
      </c>
      <c r="D77" s="213" t="s">
        <v>0</v>
      </c>
      <c r="E77" s="214" t="str">
        <f t="shared" ref="E77:AN77" si="79">IFERROR(IF(E75=0,"-",(E75/E76)-1),"-")</f>
        <v>-</v>
      </c>
      <c r="F77" s="214" t="str">
        <f t="shared" si="79"/>
        <v>-</v>
      </c>
      <c r="G77" s="214" t="str">
        <f t="shared" si="79"/>
        <v>-</v>
      </c>
      <c r="H77" s="214" t="str">
        <f t="shared" si="79"/>
        <v>-</v>
      </c>
      <c r="I77" s="214" t="str">
        <f t="shared" si="79"/>
        <v>-</v>
      </c>
      <c r="J77" s="214" t="str">
        <f t="shared" si="79"/>
        <v>-</v>
      </c>
      <c r="K77" s="214" t="str">
        <f t="shared" si="79"/>
        <v>-</v>
      </c>
      <c r="L77" s="214" t="str">
        <f t="shared" si="79"/>
        <v>-</v>
      </c>
      <c r="M77" s="214" t="str">
        <f t="shared" si="79"/>
        <v>-</v>
      </c>
      <c r="N77" s="214" t="str">
        <f t="shared" si="79"/>
        <v>-</v>
      </c>
      <c r="O77" s="214" t="str">
        <f t="shared" si="79"/>
        <v>-</v>
      </c>
      <c r="P77" s="294" t="str">
        <f t="shared" ca="1" si="79"/>
        <v>-</v>
      </c>
      <c r="Q77" s="214" t="str">
        <f t="shared" ca="1" si="79"/>
        <v>-</v>
      </c>
      <c r="R77" s="214" t="str">
        <f t="shared" ca="1" si="79"/>
        <v>-</v>
      </c>
      <c r="S77" s="214" t="str">
        <f t="shared" ca="1" si="79"/>
        <v>-</v>
      </c>
      <c r="T77" s="214" t="str">
        <f t="shared" ca="1" si="79"/>
        <v>-</v>
      </c>
      <c r="U77" s="214" t="str">
        <f t="shared" ca="1" si="79"/>
        <v>-</v>
      </c>
      <c r="V77" s="214" t="str">
        <f t="shared" ca="1" si="79"/>
        <v>-</v>
      </c>
      <c r="W77" s="214" t="str">
        <f t="shared" ca="1" si="79"/>
        <v>-</v>
      </c>
      <c r="X77" s="214" t="str">
        <f t="shared" ca="1" si="79"/>
        <v>-</v>
      </c>
      <c r="Y77" s="214" t="str">
        <f t="shared" ca="1" si="79"/>
        <v>-</v>
      </c>
      <c r="Z77" s="214" t="str">
        <f t="shared" ca="1" si="79"/>
        <v>-</v>
      </c>
      <c r="AA77" s="214">
        <f t="shared" ca="1" si="79"/>
        <v>1.2863396839366557</v>
      </c>
      <c r="AB77" s="270">
        <f t="shared" ca="1" si="79"/>
        <v>1.0758470330307639</v>
      </c>
      <c r="AC77" s="214">
        <f t="shared" ca="1" si="79"/>
        <v>0.91349575544969852</v>
      </c>
      <c r="AD77" s="214">
        <f t="shared" ca="1" si="79"/>
        <v>0.55852108925057031</v>
      </c>
      <c r="AE77" s="214">
        <f t="shared" ca="1" si="79"/>
        <v>0.66326241697277877</v>
      </c>
      <c r="AF77" s="214">
        <f t="shared" ca="1" si="79"/>
        <v>0.3305408883314076</v>
      </c>
      <c r="AG77" s="214">
        <f t="shared" ca="1" si="79"/>
        <v>0.24898295582047769</v>
      </c>
      <c r="AH77" s="214">
        <f t="shared" ca="1" si="79"/>
        <v>6.1207374594303587E-2</v>
      </c>
      <c r="AI77" s="214">
        <f t="shared" ca="1" si="79"/>
        <v>-0.14059590370413089</v>
      </c>
      <c r="AJ77" s="214">
        <f t="shared" ca="1" si="79"/>
        <v>-0.18098773786227607</v>
      </c>
      <c r="AK77" s="214">
        <f t="shared" ca="1" si="79"/>
        <v>-0.24545320911402047</v>
      </c>
      <c r="AL77" s="214">
        <f t="shared" ca="1" si="79"/>
        <v>-0.18978639837289701</v>
      </c>
      <c r="AM77" s="214">
        <f t="shared" ca="1" si="79"/>
        <v>-0.25639506877166807</v>
      </c>
      <c r="AN77" s="270">
        <f t="shared" ca="1" si="79"/>
        <v>-0.15698398363170452</v>
      </c>
      <c r="AO77" s="274">
        <f t="shared" ca="1" si="75"/>
        <v>1.0918941574723726</v>
      </c>
      <c r="AP77" s="275">
        <f t="shared" ca="1" si="76"/>
        <v>1.0918941574723726</v>
      </c>
      <c r="AQ77" s="276">
        <f t="shared" ref="AQ77" ca="1" si="80">IFERROR(IF(AQ75=0,"-",(AQ75/AQ76)-1),"-")</f>
        <v>0.18668525723101381</v>
      </c>
    </row>
    <row r="78" spans="2:44" ht="15.75" x14ac:dyDescent="0.25">
      <c r="B78" t="str">
        <f t="shared" si="78"/>
        <v>PC Annual Direct</v>
      </c>
      <c r="C78" t="str">
        <f t="shared" si="77"/>
        <v>Boom Subscription</v>
      </c>
      <c r="D78" s="208" t="s">
        <v>5</v>
      </c>
      <c r="E78" s="209">
        <v>0</v>
      </c>
      <c r="F78" s="209">
        <v>0</v>
      </c>
      <c r="G78" s="209">
        <v>0</v>
      </c>
      <c r="H78" s="209">
        <v>0</v>
      </c>
      <c r="I78" s="209">
        <v>0</v>
      </c>
      <c r="J78" s="209">
        <v>0</v>
      </c>
      <c r="K78" s="209">
        <v>0</v>
      </c>
      <c r="L78" s="209">
        <v>0</v>
      </c>
      <c r="M78" s="209">
        <v>0</v>
      </c>
      <c r="N78" s="209">
        <v>0</v>
      </c>
      <c r="O78" s="209">
        <v>0</v>
      </c>
      <c r="P78" s="238">
        <v>0</v>
      </c>
      <c r="Q78" s="209">
        <v>0</v>
      </c>
      <c r="R78" s="209">
        <v>0</v>
      </c>
      <c r="S78" s="209">
        <v>0</v>
      </c>
      <c r="T78" s="209">
        <v>0</v>
      </c>
      <c r="U78" s="209">
        <v>7786.7275000070003</v>
      </c>
      <c r="V78" s="209">
        <v>240369.55642819803</v>
      </c>
      <c r="W78" s="209">
        <v>410465.55607174948</v>
      </c>
      <c r="X78" s="209">
        <v>620196.36107147019</v>
      </c>
      <c r="Y78" s="209">
        <v>818150.05642890686</v>
      </c>
      <c r="Z78" s="209">
        <v>1164224.852143598</v>
      </c>
      <c r="AA78" s="209">
        <v>1492368.5378578037</v>
      </c>
      <c r="AB78" s="265">
        <v>1714729.0553565125</v>
      </c>
      <c r="AC78" s="209">
        <v>1520009.1267861249</v>
      </c>
      <c r="AD78" s="209">
        <v>1406994.7042855688</v>
      </c>
      <c r="AE78" s="209">
        <v>1504860.100713749</v>
      </c>
      <c r="AF78" s="209">
        <v>1319247.2885711805</v>
      </c>
      <c r="AG78" s="209">
        <v>1329779.3617862051</v>
      </c>
      <c r="AH78" s="209">
        <v>1133104.5164289197</v>
      </c>
      <c r="AI78" s="209">
        <v>1049221.6692862462</v>
      </c>
      <c r="AJ78" s="209">
        <v>897208.56535697333</v>
      </c>
      <c r="AK78" s="209">
        <v>714745.29999965394</v>
      </c>
      <c r="AL78" s="209">
        <v>578083.90107166034</v>
      </c>
      <c r="AM78" s="209">
        <v>347890.64785722934</v>
      </c>
      <c r="AN78" s="265">
        <v>196342.79285724871</v>
      </c>
      <c r="AO78" s="237">
        <f t="shared" si="75"/>
        <v>1472832.8930360097</v>
      </c>
      <c r="AP78" s="209">
        <f t="shared" si="76"/>
        <v>665691.65247036424</v>
      </c>
      <c r="AQ78" s="238">
        <f>SUMIFS(AC78:AN78,AC$4:AN$4,"&lt;"&amp;'Title Sheet'!$C$13)</f>
        <v>11997487.97500076</v>
      </c>
    </row>
    <row r="79" spans="2:44" ht="15.75" x14ac:dyDescent="0.25">
      <c r="B79" t="str">
        <f>$D$89&amp;"_NWP"</f>
        <v>PC Annual Direct - Subscription_NWP</v>
      </c>
      <c r="C79" t="str">
        <f t="shared" si="77"/>
        <v>Boom Subscription</v>
      </c>
      <c r="D79" s="211" t="s">
        <v>6</v>
      </c>
      <c r="E79" s="31" t="e">
        <f>INDEX('Plan Figures'!$B$94:$AP$131,MATCH('Current - MPM only'!E$4,'Plan Figures'!$B$94:$B$131,0),MATCH('Current - MPM only'!$B79,'Plan Figures'!$B$1:$AP$1,0))</f>
        <v>#N/A</v>
      </c>
      <c r="F79" s="31" t="e">
        <f>INDEX('Plan Figures'!$B$94:$AP$131,MATCH('Current - MPM only'!F$4,'Plan Figures'!$B$94:$B$131,0),MATCH('Current - MPM only'!$B79,'Plan Figures'!$B$1:$AP$1,0))</f>
        <v>#N/A</v>
      </c>
      <c r="G79" s="31" t="e">
        <f>INDEX('Plan Figures'!$B$94:$AP$131,MATCH('Current - MPM only'!G$4,'Plan Figures'!$B$94:$B$131,0),MATCH('Current - MPM only'!$B79,'Plan Figures'!$B$1:$AP$1,0))</f>
        <v>#N/A</v>
      </c>
      <c r="H79" s="31" t="e">
        <f>INDEX('Plan Figures'!$B$94:$AP$131,MATCH('Current - MPM only'!H$4,'Plan Figures'!$B$94:$B$131,0),MATCH('Current - MPM only'!$B79,'Plan Figures'!$B$1:$AP$1,0))</f>
        <v>#N/A</v>
      </c>
      <c r="I79" s="31" t="e">
        <f>INDEX('Plan Figures'!$B$94:$AP$131,MATCH('Current - MPM only'!I$4,'Plan Figures'!$B$94:$B$131,0),MATCH('Current - MPM only'!$B79,'Plan Figures'!$B$1:$AP$1,0))</f>
        <v>#N/A</v>
      </c>
      <c r="J79" s="31" t="e">
        <f>INDEX('Plan Figures'!$B$94:$AP$131,MATCH('Current - MPM only'!J$4,'Plan Figures'!$B$94:$B$131,0),MATCH('Current - MPM only'!$B79,'Plan Figures'!$B$1:$AP$1,0))</f>
        <v>#N/A</v>
      </c>
      <c r="K79" s="31" t="e">
        <f>INDEX('Plan Figures'!$B$94:$AP$131,MATCH('Current - MPM only'!K$4,'Plan Figures'!$B$94:$B$131,0),MATCH('Current - MPM only'!$B79,'Plan Figures'!$B$1:$AP$1,0))</f>
        <v>#N/A</v>
      </c>
      <c r="L79" s="31" t="e">
        <f>INDEX('Plan Figures'!$B$94:$AP$131,MATCH('Current - MPM only'!L$4,'Plan Figures'!$B$94:$B$131,0),MATCH('Current - MPM only'!$B79,'Plan Figures'!$B$1:$AP$1,0))</f>
        <v>#N/A</v>
      </c>
      <c r="M79" s="31" t="e">
        <f>INDEX('Plan Figures'!$B$94:$AP$131,MATCH('Current - MPM only'!M$4,'Plan Figures'!$B$94:$B$131,0),MATCH('Current - MPM only'!$B79,'Plan Figures'!$B$1:$AP$1,0))</f>
        <v>#N/A</v>
      </c>
      <c r="N79" s="31" t="e">
        <f>INDEX('Plan Figures'!$B$94:$AP$131,MATCH('Current - MPM only'!N$4,'Plan Figures'!$B$94:$B$131,0),MATCH('Current - MPM only'!$B79,'Plan Figures'!$B$1:$AP$1,0))</f>
        <v>#N/A</v>
      </c>
      <c r="O79" s="31" t="e">
        <f>INDEX('Plan Figures'!$B$94:$AP$131,MATCH('Current - MPM only'!O$4,'Plan Figures'!$B$94:$B$131,0),MATCH('Current - MPM only'!$B79,'Plan Figures'!$B$1:$AP$1,0))</f>
        <v>#N/A</v>
      </c>
      <c r="P79" s="240" t="str">
        <f ca="1">INDEX('Plan Figures'!$B$94:$AP$131,MATCH('Current - MPM only'!P$4,'Plan Figures'!$B$94:$B$131,0),MATCH('Current - MPM only'!$B79,'Plan Figures'!$B$1:$AP$1,0))</f>
        <v>-</v>
      </c>
      <c r="Q79" s="31" t="str">
        <f ca="1">INDEX('Plan Figures'!$B$94:$AP$131,MATCH('Current - MPM only'!Q$4,'Plan Figures'!$B$94:$B$131,0),MATCH('Current - MPM only'!$B79,'Plan Figures'!$B$1:$AP$1,0))</f>
        <v>-</v>
      </c>
      <c r="R79" s="31" t="str">
        <f ca="1">INDEX('Plan Figures'!$B$94:$AP$131,MATCH('Current - MPM only'!R$4,'Plan Figures'!$B$94:$B$131,0),MATCH('Current - MPM only'!$B79,'Plan Figures'!$B$1:$AP$1,0))</f>
        <v>-</v>
      </c>
      <c r="S79" s="31" t="str">
        <f ca="1">INDEX('Plan Figures'!$B$94:$AP$131,MATCH('Current - MPM only'!S$4,'Plan Figures'!$B$94:$B$131,0),MATCH('Current - MPM only'!$B79,'Plan Figures'!$B$1:$AP$1,0))</f>
        <v>-</v>
      </c>
      <c r="T79" s="31" t="str">
        <f ca="1">INDEX('Plan Figures'!$B$94:$AP$131,MATCH('Current - MPM only'!T$4,'Plan Figures'!$B$94:$B$131,0),MATCH('Current - MPM only'!$B79,'Plan Figures'!$B$1:$AP$1,0))</f>
        <v>-</v>
      </c>
      <c r="U79" s="31" t="str">
        <f ca="1">INDEX('Plan Figures'!$B$94:$AP$131,MATCH('Current - MPM only'!U$4,'Plan Figures'!$B$94:$B$131,0),MATCH('Current - MPM only'!$B79,'Plan Figures'!$B$1:$AP$1,0))</f>
        <v>-</v>
      </c>
      <c r="V79" s="31" t="str">
        <f ca="1">INDEX('Plan Figures'!$B$94:$AP$131,MATCH('Current - MPM only'!V$4,'Plan Figures'!$B$94:$B$131,0),MATCH('Current - MPM only'!$B79,'Plan Figures'!$B$1:$AP$1,0))</f>
        <v>-</v>
      </c>
      <c r="W79" s="31" t="str">
        <f ca="1">INDEX('Plan Figures'!$B$94:$AP$131,MATCH('Current - MPM only'!W$4,'Plan Figures'!$B$94:$B$131,0),MATCH('Current - MPM only'!$B79,'Plan Figures'!$B$1:$AP$1,0))</f>
        <v>-</v>
      </c>
      <c r="X79" s="31" t="str">
        <f ca="1">INDEX('Plan Figures'!$B$94:$AP$131,MATCH('Current - MPM only'!X$4,'Plan Figures'!$B$94:$B$131,0),MATCH('Current - MPM only'!$B79,'Plan Figures'!$B$1:$AP$1,0))</f>
        <v>-</v>
      </c>
      <c r="Y79" s="31" t="str">
        <f ca="1">INDEX('Plan Figures'!$B$94:$AP$131,MATCH('Current - MPM only'!Y$4,'Plan Figures'!$B$94:$B$131,0),MATCH('Current - MPM only'!$B79,'Plan Figures'!$B$1:$AP$1,0))</f>
        <v>-</v>
      </c>
      <c r="Z79" s="31" t="str">
        <f ca="1">INDEX('Plan Figures'!$B$94:$AP$131,MATCH('Current - MPM only'!Z$4,'Plan Figures'!$B$94:$B$131,0),MATCH('Current - MPM only'!$B79,'Plan Figures'!$B$1:$AP$1,0))</f>
        <v>-</v>
      </c>
      <c r="AA79" s="31">
        <f ca="1">INDEX('Plan Figures'!$B$94:$AP$131,MATCH('Current - MPM only'!AA$4,'Plan Figures'!$B$94:$B$131,0),MATCH('Current - MPM only'!$B79,'Plan Figures'!$B$1:$AP$1,0))</f>
        <v>1811220.2312349698</v>
      </c>
      <c r="AB79" s="266">
        <f ca="1">INDEX('Plan Figures'!$B$94:$AP$131,MATCH('Current - MPM only'!AB$4,'Plan Figures'!$B$94:$B$131,0),MATCH('Current - MPM only'!$B79,'Plan Figures'!$B$1:$AP$1,0))</f>
        <v>1916096.3475731572</v>
      </c>
      <c r="AC79" s="31">
        <f ca="1">INDEX('Plan Figures'!$B$94:$AP$131,MATCH('Current - MPM only'!AC$4,'Plan Figures'!$B$94:$B$131,0),MATCH('Current - MPM only'!$B79,'Plan Figures'!$B$1:$AP$1,0))</f>
        <v>2026245.4879278806</v>
      </c>
      <c r="AD79" s="31">
        <f ca="1">INDEX('Plan Figures'!$B$94:$AP$131,MATCH('Current - MPM only'!AD$4,'Plan Figures'!$B$94:$B$131,0),MATCH('Current - MPM only'!$B79,'Plan Figures'!$B$1:$AP$1,0))</f>
        <v>2073314.966746679</v>
      </c>
      <c r="AE79" s="31">
        <f ca="1">INDEX('Plan Figures'!$B$94:$AP$131,MATCH('Current - MPM only'!AE$4,'Plan Figures'!$B$94:$B$131,0),MATCH('Current - MPM only'!$B79,'Plan Figures'!$B$1:$AP$1,0))</f>
        <v>1955902.6469528598</v>
      </c>
      <c r="AF79" s="31">
        <f ca="1">INDEX('Plan Figures'!$B$94:$AP$131,MATCH('Current - MPM only'!AF$4,'Plan Figures'!$B$94:$B$131,0),MATCH('Current - MPM only'!$B79,'Plan Figures'!$B$1:$AP$1,0))</f>
        <v>1768843.0862598093</v>
      </c>
      <c r="AG79" s="31">
        <f ca="1">INDEX('Plan Figures'!$B$94:$AP$131,MATCH('Current - MPM only'!AG$4,'Plan Figures'!$B$94:$B$131,0),MATCH('Current - MPM only'!$B79,'Plan Figures'!$B$1:$AP$1,0))</f>
        <v>1606725.6641009036</v>
      </c>
      <c r="AH79" s="31">
        <f ca="1">INDEX('Plan Figures'!$B$94:$AP$131,MATCH('Current - MPM only'!AH$4,'Plan Figures'!$B$94:$B$131,0),MATCH('Current - MPM only'!$B79,'Plan Figures'!$B$1:$AP$1,0))</f>
        <v>1443312.9653584959</v>
      </c>
      <c r="AI79" s="31">
        <f ca="1">INDEX('Plan Figures'!$B$94:$AP$131,MATCH('Current - MPM only'!AI$4,'Plan Figures'!$B$94:$B$131,0),MATCH('Current - MPM only'!$B79,'Plan Figures'!$B$1:$AP$1,0))</f>
        <v>1349487.1149863317</v>
      </c>
      <c r="AJ79" s="31">
        <f ca="1">INDEX('Plan Figures'!$B$94:$AP$131,MATCH('Current - MPM only'!AJ$4,'Plan Figures'!$B$94:$B$131,0),MATCH('Current - MPM only'!$B79,'Plan Figures'!$B$1:$AP$1,0))</f>
        <v>1181466.7154575591</v>
      </c>
      <c r="AK79" s="31">
        <f ca="1">INDEX('Plan Figures'!$B$94:$AP$131,MATCH('Current - MPM only'!AK$4,'Plan Figures'!$B$94:$B$131,0),MATCH('Current - MPM only'!$B79,'Plan Figures'!$B$1:$AP$1,0))</f>
        <v>1008629.6841870487</v>
      </c>
      <c r="AL79" s="31">
        <f ca="1">INDEX('Plan Figures'!$B$94:$AP$131,MATCH('Current - MPM only'!AL$4,'Plan Figures'!$B$94:$B$131,0),MATCH('Current - MPM only'!$B79,'Plan Figures'!$B$1:$AP$1,0))</f>
        <v>770535.64091670548</v>
      </c>
      <c r="AM79" s="31">
        <f ca="1">INDEX('Plan Figures'!$B$94:$AP$131,MATCH('Current - MPM only'!AM$4,'Plan Figures'!$B$94:$B$131,0),MATCH('Current - MPM only'!$B79,'Plan Figures'!$B$1:$AP$1,0))</f>
        <v>485395.72460503865</v>
      </c>
      <c r="AN79" s="266">
        <f ca="1">INDEX('Plan Figures'!$B$94:$AP$131,MATCH('Current - MPM only'!AN$4,'Plan Figures'!$B$94:$B$131,0),MATCH('Current - MPM only'!$B79,'Plan Figures'!$B$1:$AP$1,0))</f>
        <v>234084.38876161337</v>
      </c>
      <c r="AO79" s="239">
        <f t="shared" ca="1" si="75"/>
        <v>1917854.0222453356</v>
      </c>
      <c r="AP79" s="31">
        <f t="shared" ca="1" si="76"/>
        <v>1917854.0222453356</v>
      </c>
      <c r="AQ79" s="240">
        <f ca="1">SUMIFS(AC79:AN79,AC$4:AN$4,"&lt;"&amp;'Title Sheet'!$C$13)</f>
        <v>15903944.086260926</v>
      </c>
    </row>
    <row r="80" spans="2:44" ht="15.75" x14ac:dyDescent="0.25">
      <c r="B80" t="str">
        <f t="shared" si="78"/>
        <v>PC Annual Direct</v>
      </c>
      <c r="C80" t="str">
        <f t="shared" si="77"/>
        <v>Boom Subscription</v>
      </c>
      <c r="D80" s="213" t="s">
        <v>0</v>
      </c>
      <c r="E80" s="214" t="str">
        <f t="shared" ref="E80:AN80" si="81">IFERROR(IF(E78=0,"-",(E78/E79)-1),"-")</f>
        <v>-</v>
      </c>
      <c r="F80" s="214" t="str">
        <f t="shared" si="81"/>
        <v>-</v>
      </c>
      <c r="G80" s="214" t="str">
        <f t="shared" si="81"/>
        <v>-</v>
      </c>
      <c r="H80" s="214" t="str">
        <f t="shared" si="81"/>
        <v>-</v>
      </c>
      <c r="I80" s="214" t="str">
        <f t="shared" si="81"/>
        <v>-</v>
      </c>
      <c r="J80" s="214" t="str">
        <f t="shared" si="81"/>
        <v>-</v>
      </c>
      <c r="K80" s="214" t="str">
        <f t="shared" si="81"/>
        <v>-</v>
      </c>
      <c r="L80" s="214" t="str">
        <f t="shared" si="81"/>
        <v>-</v>
      </c>
      <c r="M80" s="214" t="str">
        <f t="shared" si="81"/>
        <v>-</v>
      </c>
      <c r="N80" s="214" t="str">
        <f t="shared" si="81"/>
        <v>-</v>
      </c>
      <c r="O80" s="214" t="str">
        <f t="shared" si="81"/>
        <v>-</v>
      </c>
      <c r="P80" s="294" t="str">
        <f t="shared" si="81"/>
        <v>-</v>
      </c>
      <c r="Q80" s="214" t="str">
        <f t="shared" si="81"/>
        <v>-</v>
      </c>
      <c r="R80" s="214" t="str">
        <f t="shared" si="81"/>
        <v>-</v>
      </c>
      <c r="S80" s="214" t="str">
        <f t="shared" si="81"/>
        <v>-</v>
      </c>
      <c r="T80" s="214" t="str">
        <f t="shared" si="81"/>
        <v>-</v>
      </c>
      <c r="U80" s="214" t="str">
        <f t="shared" ca="1" si="81"/>
        <v>-</v>
      </c>
      <c r="V80" s="214" t="str">
        <f t="shared" ca="1" si="81"/>
        <v>-</v>
      </c>
      <c r="W80" s="214" t="str">
        <f t="shared" ca="1" si="81"/>
        <v>-</v>
      </c>
      <c r="X80" s="214" t="str">
        <f t="shared" ca="1" si="81"/>
        <v>-</v>
      </c>
      <c r="Y80" s="214" t="str">
        <f t="shared" ca="1" si="81"/>
        <v>-</v>
      </c>
      <c r="Z80" s="214" t="str">
        <f t="shared" ca="1" si="81"/>
        <v>-</v>
      </c>
      <c r="AA80" s="214">
        <f t="shared" ca="1" si="81"/>
        <v>-0.17604247560759567</v>
      </c>
      <c r="AB80" s="270">
        <f t="shared" ca="1" si="81"/>
        <v>-0.10509246702113262</v>
      </c>
      <c r="AC80" s="214">
        <f t="shared" ca="1" si="81"/>
        <v>-0.24983959947491519</v>
      </c>
      <c r="AD80" s="214">
        <f t="shared" ca="1" si="81"/>
        <v>-0.32137917930851567</v>
      </c>
      <c r="AE80" s="214">
        <f t="shared" ca="1" si="81"/>
        <v>-0.23060582639008087</v>
      </c>
      <c r="AF80" s="214">
        <f t="shared" ca="1" si="81"/>
        <v>-0.2541750600610323</v>
      </c>
      <c r="AG80" s="214">
        <f t="shared" ca="1" si="81"/>
        <v>-0.17236688782815512</v>
      </c>
      <c r="AH80" s="214">
        <f t="shared" ca="1" si="81"/>
        <v>-0.21492805536637394</v>
      </c>
      <c r="AI80" s="214">
        <f t="shared" ca="1" si="81"/>
        <v>-0.22250338099977096</v>
      </c>
      <c r="AJ80" s="214">
        <f t="shared" ca="1" si="81"/>
        <v>-0.24059767946192046</v>
      </c>
      <c r="AK80" s="214">
        <f t="shared" ca="1" si="81"/>
        <v>-0.29136995350703399</v>
      </c>
      <c r="AL80" s="214">
        <f t="shared" ca="1" si="81"/>
        <v>-0.24976357954848849</v>
      </c>
      <c r="AM80" s="214">
        <f t="shared" ca="1" si="81"/>
        <v>-0.28328448269645501</v>
      </c>
      <c r="AN80" s="270">
        <f t="shared" ca="1" si="81"/>
        <v>-0.16123072582512077</v>
      </c>
      <c r="AO80" s="274">
        <f t="shared" ca="1" si="75"/>
        <v>-0.17699151403454783</v>
      </c>
      <c r="AP80" s="275">
        <f t="shared" ca="1" si="76"/>
        <v>-0.17699151403454783</v>
      </c>
      <c r="AQ80" s="276">
        <f t="shared" ref="AQ80" ca="1" si="82">IFERROR(IF(AQ78=0,"-",(AQ78/AQ79)-1),"-")</f>
        <v>-0.24562813413276963</v>
      </c>
    </row>
    <row r="81" spans="2:46" ht="15.75" x14ac:dyDescent="0.25">
      <c r="B81" t="str">
        <f t="shared" si="78"/>
        <v>PC Annual Direct</v>
      </c>
      <c r="C81" t="str">
        <f t="shared" si="77"/>
        <v>Boom Subscription</v>
      </c>
      <c r="D81" s="208" t="s">
        <v>12</v>
      </c>
      <c r="E81" s="209">
        <f t="shared" ref="E81:AP82" si="83">IFERROR(E78/E75,0)</f>
        <v>0</v>
      </c>
      <c r="F81" s="209">
        <f t="shared" si="83"/>
        <v>0</v>
      </c>
      <c r="G81" s="209">
        <f t="shared" si="83"/>
        <v>0</v>
      </c>
      <c r="H81" s="209">
        <f t="shared" si="83"/>
        <v>0</v>
      </c>
      <c r="I81" s="209">
        <f t="shared" si="83"/>
        <v>0</v>
      </c>
      <c r="J81" s="209">
        <f t="shared" si="83"/>
        <v>0</v>
      </c>
      <c r="K81" s="209">
        <f t="shared" si="83"/>
        <v>0</v>
      </c>
      <c r="L81" s="209">
        <f t="shared" si="83"/>
        <v>0</v>
      </c>
      <c r="M81" s="209">
        <f t="shared" si="83"/>
        <v>0</v>
      </c>
      <c r="N81" s="209">
        <f t="shared" si="83"/>
        <v>0</v>
      </c>
      <c r="O81" s="209">
        <f t="shared" si="83"/>
        <v>0</v>
      </c>
      <c r="P81" s="238">
        <f t="shared" si="83"/>
        <v>0</v>
      </c>
      <c r="Q81" s="209">
        <f t="shared" si="83"/>
        <v>0</v>
      </c>
      <c r="R81" s="209">
        <f t="shared" si="83"/>
        <v>0</v>
      </c>
      <c r="S81" s="209">
        <f t="shared" si="83"/>
        <v>0</v>
      </c>
      <c r="T81" s="209">
        <f t="shared" si="83"/>
        <v>0</v>
      </c>
      <c r="U81" s="209">
        <f t="shared" si="83"/>
        <v>6.2118124155139993</v>
      </c>
      <c r="V81" s="209">
        <f t="shared" si="83"/>
        <v>197.75231219506432</v>
      </c>
      <c r="W81" s="209">
        <f t="shared" si="83"/>
        <v>303.82903577476657</v>
      </c>
      <c r="X81" s="209">
        <f t="shared" si="83"/>
        <v>447.30546576989263</v>
      </c>
      <c r="Y81" s="209">
        <f t="shared" si="83"/>
        <v>626.64495961780517</v>
      </c>
      <c r="Z81" s="209">
        <f t="shared" si="83"/>
        <v>814.17280986780827</v>
      </c>
      <c r="AA81" s="209">
        <f t="shared" si="83"/>
        <v>1059.7460381447006</v>
      </c>
      <c r="AB81" s="265">
        <f t="shared" si="83"/>
        <v>1081.5869613895175</v>
      </c>
      <c r="AC81" s="209">
        <f t="shared" si="83"/>
        <v>953.29894852036068</v>
      </c>
      <c r="AD81" s="209">
        <f t="shared" si="83"/>
        <v>1083.4034170980401</v>
      </c>
      <c r="AE81" s="209">
        <f t="shared" si="83"/>
        <v>1085.7898433068369</v>
      </c>
      <c r="AF81" s="209">
        <f t="shared" si="83"/>
        <v>1189.8943615730584</v>
      </c>
      <c r="AG81" s="209">
        <f t="shared" si="83"/>
        <v>1278.1928976732277</v>
      </c>
      <c r="AH81" s="209">
        <f t="shared" si="83"/>
        <v>1325.7867323249668</v>
      </c>
      <c r="AI81" s="209">
        <f t="shared" si="83"/>
        <v>1279.2821666972359</v>
      </c>
      <c r="AJ81" s="209">
        <f t="shared" si="83"/>
        <v>1292.3995677325513</v>
      </c>
      <c r="AK81" s="209">
        <f t="shared" si="83"/>
        <v>1281.6984755228061</v>
      </c>
      <c r="AL81" s="209">
        <f t="shared" si="83"/>
        <v>1242.8836225742157</v>
      </c>
      <c r="AM81" s="209">
        <f t="shared" si="83"/>
        <v>1283.1326125308585</v>
      </c>
      <c r="AN81" s="265">
        <f t="shared" si="83"/>
        <v>1285.4038243421826</v>
      </c>
      <c r="AO81" s="237">
        <f t="shared" si="83"/>
        <v>978.94596231641128</v>
      </c>
      <c r="AP81" s="209">
        <f t="shared" si="83"/>
        <v>517.4145893956927</v>
      </c>
      <c r="AQ81" s="238">
        <f>SUMIFS(AC81:AN81,AC$4:AN$4,"&lt;"&amp;'Title Sheet'!$C$13)</f>
        <v>14581.166469896341</v>
      </c>
    </row>
    <row r="82" spans="2:46" ht="15.75" hidden="1" x14ac:dyDescent="0.25">
      <c r="B82" t="str">
        <f t="shared" si="78"/>
        <v>PC Annual Direct</v>
      </c>
      <c r="C82" t="str">
        <f t="shared" si="77"/>
        <v>Boom Subscription</v>
      </c>
      <c r="D82" s="211" t="s">
        <v>13</v>
      </c>
      <c r="E82" s="31">
        <f t="shared" si="83"/>
        <v>0</v>
      </c>
      <c r="F82" s="31">
        <f t="shared" si="83"/>
        <v>0</v>
      </c>
      <c r="G82" s="31">
        <f t="shared" si="83"/>
        <v>0</v>
      </c>
      <c r="H82" s="31">
        <f t="shared" si="83"/>
        <v>0</v>
      </c>
      <c r="I82" s="31">
        <f t="shared" si="83"/>
        <v>0</v>
      </c>
      <c r="J82" s="31">
        <f t="shared" si="83"/>
        <v>0</v>
      </c>
      <c r="K82" s="31">
        <f t="shared" si="83"/>
        <v>0</v>
      </c>
      <c r="L82" s="31">
        <f t="shared" si="83"/>
        <v>0</v>
      </c>
      <c r="M82" s="31">
        <f t="shared" si="83"/>
        <v>0</v>
      </c>
      <c r="N82" s="31">
        <f t="shared" si="83"/>
        <v>0</v>
      </c>
      <c r="O82" s="31">
        <f t="shared" si="83"/>
        <v>0</v>
      </c>
      <c r="P82" s="240">
        <f t="shared" ca="1" si="83"/>
        <v>0</v>
      </c>
      <c r="Q82" s="31">
        <f t="shared" ca="1" si="83"/>
        <v>0</v>
      </c>
      <c r="R82" s="31">
        <f t="shared" ca="1" si="83"/>
        <v>0</v>
      </c>
      <c r="S82" s="31">
        <f t="shared" ca="1" si="83"/>
        <v>0</v>
      </c>
      <c r="T82" s="31">
        <f t="shared" ca="1" si="83"/>
        <v>0</v>
      </c>
      <c r="U82" s="31">
        <f t="shared" ca="1" si="83"/>
        <v>0</v>
      </c>
      <c r="V82" s="31">
        <f t="shared" ca="1" si="83"/>
        <v>0</v>
      </c>
      <c r="W82" s="31">
        <f t="shared" ca="1" si="83"/>
        <v>0</v>
      </c>
      <c r="X82" s="31">
        <f t="shared" ca="1" si="83"/>
        <v>0</v>
      </c>
      <c r="Y82" s="31">
        <f t="shared" ca="1" si="83"/>
        <v>0</v>
      </c>
      <c r="Z82" s="31">
        <f t="shared" ca="1" si="83"/>
        <v>0</v>
      </c>
      <c r="AA82" s="31">
        <f t="shared" ca="1" si="83"/>
        <v>2940.6120463449633</v>
      </c>
      <c r="AB82" s="266">
        <f t="shared" ca="1" si="83"/>
        <v>2508.8727069841393</v>
      </c>
      <c r="AC82" s="31">
        <f t="shared" ca="1" si="83"/>
        <v>2431.6579366113488</v>
      </c>
      <c r="AD82" s="31">
        <f t="shared" ca="1" si="83"/>
        <v>2488.1451058234757</v>
      </c>
      <c r="AE82" s="31">
        <f t="shared" ca="1" si="83"/>
        <v>2347.2408565685837</v>
      </c>
      <c r="AF82" s="31">
        <f t="shared" ca="1" si="83"/>
        <v>2122.7543034395003</v>
      </c>
      <c r="AG82" s="31">
        <f t="shared" ca="1" si="83"/>
        <v>1928.923722318608</v>
      </c>
      <c r="AH82" s="31">
        <f t="shared" ca="1" si="83"/>
        <v>1792.1092036209764</v>
      </c>
      <c r="AI82" s="31">
        <f t="shared" ca="1" si="83"/>
        <v>1414.0515952231242</v>
      </c>
      <c r="AJ82" s="31">
        <f t="shared" ca="1" si="83"/>
        <v>1393.8475889887359</v>
      </c>
      <c r="AK82" s="31">
        <f t="shared" ca="1" si="83"/>
        <v>1364.7480464247928</v>
      </c>
      <c r="AL82" s="31">
        <f t="shared" ca="1" si="83"/>
        <v>1342.2451760515135</v>
      </c>
      <c r="AM82" s="31">
        <f t="shared" ca="1" si="83"/>
        <v>1331.2726110459498</v>
      </c>
      <c r="AN82" s="266">
        <f t="shared" ca="1" si="83"/>
        <v>1291.9119056757322</v>
      </c>
      <c r="AO82" s="239">
        <f t="shared" ca="1" si="83"/>
        <v>2599.9648122861263</v>
      </c>
      <c r="AP82" s="31">
        <f t="shared" ca="1" si="83"/>
        <v>2599.9648122861263</v>
      </c>
      <c r="AQ82" s="240">
        <f ca="1">SUMIFS(AC82:AN82,AC$4:AN$4,"&lt;"&amp;'Title Sheet'!$C$13)</f>
        <v>21248.908051792343</v>
      </c>
    </row>
    <row r="83" spans="2:46" ht="15.75" hidden="1" x14ac:dyDescent="0.25">
      <c r="B83" t="str">
        <f t="shared" si="78"/>
        <v>PC Annual Direct</v>
      </c>
      <c r="C83" t="str">
        <f t="shared" si="77"/>
        <v>Boom Subscription</v>
      </c>
      <c r="D83" s="213" t="s">
        <v>0</v>
      </c>
      <c r="E83" s="214" t="str">
        <f t="shared" ref="E83:AN83" si="84">IFERROR(IF(E81=0,"-",(E81/E82)-1),"-")</f>
        <v>-</v>
      </c>
      <c r="F83" s="214" t="str">
        <f t="shared" si="84"/>
        <v>-</v>
      </c>
      <c r="G83" s="214" t="str">
        <f t="shared" si="84"/>
        <v>-</v>
      </c>
      <c r="H83" s="214" t="str">
        <f t="shared" si="84"/>
        <v>-</v>
      </c>
      <c r="I83" s="214" t="str">
        <f t="shared" si="84"/>
        <v>-</v>
      </c>
      <c r="J83" s="214" t="str">
        <f t="shared" si="84"/>
        <v>-</v>
      </c>
      <c r="K83" s="214" t="str">
        <f t="shared" si="84"/>
        <v>-</v>
      </c>
      <c r="L83" s="214" t="str">
        <f t="shared" si="84"/>
        <v>-</v>
      </c>
      <c r="M83" s="214" t="str">
        <f t="shared" si="84"/>
        <v>-</v>
      </c>
      <c r="N83" s="214" t="str">
        <f t="shared" si="84"/>
        <v>-</v>
      </c>
      <c r="O83" s="214" t="str">
        <f t="shared" si="84"/>
        <v>-</v>
      </c>
      <c r="P83" s="294" t="str">
        <f t="shared" si="84"/>
        <v>-</v>
      </c>
      <c r="Q83" s="214" t="str">
        <f t="shared" si="84"/>
        <v>-</v>
      </c>
      <c r="R83" s="214" t="str">
        <f t="shared" si="84"/>
        <v>-</v>
      </c>
      <c r="S83" s="214" t="str">
        <f t="shared" si="84"/>
        <v>-</v>
      </c>
      <c r="T83" s="214" t="str">
        <f t="shared" si="84"/>
        <v>-</v>
      </c>
      <c r="U83" s="214" t="str">
        <f t="shared" ca="1" si="84"/>
        <v>-</v>
      </c>
      <c r="V83" s="214" t="str">
        <f t="shared" ca="1" si="84"/>
        <v>-</v>
      </c>
      <c r="W83" s="214" t="str">
        <f t="shared" ca="1" si="84"/>
        <v>-</v>
      </c>
      <c r="X83" s="214" t="str">
        <f t="shared" ca="1" si="84"/>
        <v>-</v>
      </c>
      <c r="Y83" s="214" t="str">
        <f t="shared" ca="1" si="84"/>
        <v>-</v>
      </c>
      <c r="Z83" s="214" t="str">
        <f t="shared" ca="1" si="84"/>
        <v>-</v>
      </c>
      <c r="AA83" s="214">
        <f t="shared" ca="1" si="84"/>
        <v>-0.63961718804018608</v>
      </c>
      <c r="AB83" s="270">
        <f t="shared" ca="1" si="84"/>
        <v>-0.56889524192334595</v>
      </c>
      <c r="AC83" s="214">
        <f t="shared" ca="1" si="84"/>
        <v>-0.60796338408977202</v>
      </c>
      <c r="AD83" s="214">
        <f t="shared" ca="1" si="84"/>
        <v>-0.56457386084021122</v>
      </c>
      <c r="AE83" s="214">
        <f t="shared" ca="1" si="84"/>
        <v>-0.53741865038335002</v>
      </c>
      <c r="AF83" s="214">
        <f t="shared" ca="1" si="84"/>
        <v>-0.43945733161625355</v>
      </c>
      <c r="AG83" s="214">
        <f t="shared" ca="1" si="84"/>
        <v>-0.33735435834818173</v>
      </c>
      <c r="AH83" s="214">
        <f t="shared" ca="1" si="84"/>
        <v>-0.26020873636148956</v>
      </c>
      <c r="AI83" s="214">
        <f t="shared" ca="1" si="84"/>
        <v>-9.5307292167527313E-2</v>
      </c>
      <c r="AJ83" s="214">
        <f t="shared" ca="1" si="84"/>
        <v>-7.2782721767870706E-2</v>
      </c>
      <c r="AK83" s="214">
        <f t="shared" ca="1" si="84"/>
        <v>-6.0853408890784055E-2</v>
      </c>
      <c r="AL83" s="214">
        <f t="shared" ca="1" si="84"/>
        <v>-7.4026381506238637E-2</v>
      </c>
      <c r="AM83" s="214">
        <f t="shared" ca="1" si="84"/>
        <v>-3.6160887045718515E-2</v>
      </c>
      <c r="AN83" s="270">
        <f t="shared" ca="1" si="84"/>
        <v>-5.0375581376390643E-3</v>
      </c>
      <c r="AO83" s="274">
        <f t="shared" ref="AO83:AP83" ca="1" si="85">AO81-AO82</f>
        <v>-1621.0188499697151</v>
      </c>
      <c r="AP83" s="275">
        <f t="shared" ca="1" si="85"/>
        <v>-2082.5502228904334</v>
      </c>
      <c r="AQ83" s="276">
        <f t="shared" ref="AQ83" ca="1" si="86">IFERROR(IF(AQ81=0,"-",(AQ81/AQ82)-1),"-")</f>
        <v>-0.31379219890471399</v>
      </c>
    </row>
    <row r="84" spans="2:46" x14ac:dyDescent="0.25">
      <c r="B84" t="str">
        <f t="shared" si="78"/>
        <v>PC Annual Direct</v>
      </c>
      <c r="C84" t="str">
        <f t="shared" si="77"/>
        <v>Boom Subscription</v>
      </c>
      <c r="D84" s="258" t="s">
        <v>17</v>
      </c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313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67"/>
      <c r="AC84" s="259"/>
      <c r="AD84" s="259"/>
      <c r="AE84" s="259"/>
      <c r="AF84" s="259"/>
      <c r="AG84" s="259"/>
      <c r="AH84" s="259"/>
      <c r="AI84" s="259"/>
      <c r="AJ84" s="259"/>
      <c r="AK84" s="259"/>
      <c r="AL84" s="259"/>
      <c r="AM84" s="259"/>
      <c r="AN84" s="267"/>
      <c r="AO84" s="277"/>
      <c r="AP84" s="277"/>
      <c r="AQ84" s="278">
        <f>SUMIFS(AC84:AN84,AC$4:AN$4,"&lt;"&amp;'Title Sheet'!$C$13)</f>
        <v>0</v>
      </c>
    </row>
    <row r="85" spans="2:46" ht="15.75" x14ac:dyDescent="0.25">
      <c r="B85" t="str">
        <f t="shared" si="78"/>
        <v>PC Annual Direct</v>
      </c>
      <c r="C85" t="str">
        <f t="shared" si="77"/>
        <v>Boom Subscription</v>
      </c>
      <c r="D85" s="208" t="s">
        <v>7</v>
      </c>
      <c r="E85" s="282">
        <v>0</v>
      </c>
      <c r="F85" s="283">
        <v>0</v>
      </c>
      <c r="G85" s="283">
        <v>1045889.5625023207</v>
      </c>
      <c r="H85" s="283">
        <v>1298026.3928464968</v>
      </c>
      <c r="I85" s="283">
        <v>1751043.7053654126</v>
      </c>
      <c r="J85" s="283">
        <v>2285204.803576773</v>
      </c>
      <c r="K85" s="283">
        <v>2375351.1607260322</v>
      </c>
      <c r="L85" s="283">
        <v>1506537.9107222594</v>
      </c>
      <c r="M85" s="283">
        <v>526812.90178488032</v>
      </c>
      <c r="N85" s="283">
        <v>854262.10714215401</v>
      </c>
      <c r="O85" s="283">
        <v>1035120.6428582676</v>
      </c>
      <c r="P85" s="314">
        <v>1138972.1517867602</v>
      </c>
      <c r="Q85" s="283">
        <v>1186519.8660717688</v>
      </c>
      <c r="R85" s="283">
        <v>1157236.6160712091</v>
      </c>
      <c r="S85" s="283">
        <v>1396789.464285569</v>
      </c>
      <c r="T85" s="283">
        <v>1365173.5178568573</v>
      </c>
      <c r="U85" s="283">
        <v>1566038.9285736412</v>
      </c>
      <c r="V85" s="283">
        <v>1566907.3392851199</v>
      </c>
      <c r="W85" s="283">
        <v>1765429.598214569</v>
      </c>
      <c r="X85" s="283">
        <v>1910330.1964290359</v>
      </c>
      <c r="Y85" s="283">
        <v>1938425.6160724042</v>
      </c>
      <c r="Z85" s="283">
        <v>2205989.9285718729</v>
      </c>
      <c r="AA85" s="283">
        <v>2374496.2589290282</v>
      </c>
      <c r="AB85" s="284">
        <v>2522405.651784393</v>
      </c>
      <c r="AC85" s="282">
        <v>2479069.3125012428</v>
      </c>
      <c r="AD85" s="283">
        <v>1942443.1160720733</v>
      </c>
      <c r="AE85" s="283">
        <v>1920223.2857131353</v>
      </c>
      <c r="AF85" s="283">
        <v>1614257.3035714719</v>
      </c>
      <c r="AG85" s="283">
        <v>1513613.1517860643</v>
      </c>
      <c r="AH85" s="283">
        <v>1300846.1964293618</v>
      </c>
      <c r="AI85" s="283">
        <v>1193804.8392867255</v>
      </c>
      <c r="AJ85" s="283">
        <v>1018597.7053572248</v>
      </c>
      <c r="AK85" s="283">
        <v>815721.7499990958</v>
      </c>
      <c r="AL85" s="283">
        <v>648881.99107159546</v>
      </c>
      <c r="AM85" s="283">
        <v>389810.76785698062</v>
      </c>
      <c r="AN85" s="284">
        <v>206166.89285729072</v>
      </c>
      <c r="AO85" s="237">
        <f>AVERAGE(Z85:AC85)</f>
        <v>2395490.2879466345</v>
      </c>
      <c r="AP85" s="209">
        <f>AVERAGE(R85:AC85)</f>
        <v>1854024.3690479121</v>
      </c>
      <c r="AQ85" s="238">
        <f>SUMIFS(AC85:AN85,AC$4:AN$4,"&lt;"&amp;'Title Sheet'!$C$13)</f>
        <v>15043436.312502263</v>
      </c>
    </row>
    <row r="86" spans="2:46" ht="16.5" thickBot="1" x14ac:dyDescent="0.3">
      <c r="B86" t="str">
        <f t="shared" si="78"/>
        <v>PC Annual Direct</v>
      </c>
      <c r="C86" t="str">
        <f t="shared" si="77"/>
        <v>Boom Subscription</v>
      </c>
      <c r="D86" s="226" t="s">
        <v>21</v>
      </c>
      <c r="E86" s="269" t="str">
        <f>IFERROR(E78/E$8,"-")</f>
        <v>-</v>
      </c>
      <c r="F86" s="269" t="str">
        <f t="shared" ref="F86:AN86" si="87">IFERROR(F78/F$8,"-")</f>
        <v>-</v>
      </c>
      <c r="G86" s="269" t="str">
        <f t="shared" si="87"/>
        <v>-</v>
      </c>
      <c r="H86" s="269" t="str">
        <f t="shared" si="87"/>
        <v>-</v>
      </c>
      <c r="I86" s="269" t="str">
        <f t="shared" si="87"/>
        <v>-</v>
      </c>
      <c r="J86" s="269" t="str">
        <f t="shared" si="87"/>
        <v>-</v>
      </c>
      <c r="K86" s="269" t="str">
        <f t="shared" si="87"/>
        <v>-</v>
      </c>
      <c r="L86" s="269" t="str">
        <f t="shared" si="87"/>
        <v>-</v>
      </c>
      <c r="M86" s="269" t="str">
        <f t="shared" si="87"/>
        <v>-</v>
      </c>
      <c r="N86" s="269" t="str">
        <f t="shared" si="87"/>
        <v>-</v>
      </c>
      <c r="O86" s="269" t="str">
        <f t="shared" si="87"/>
        <v>-</v>
      </c>
      <c r="P86" s="280" t="str">
        <f t="shared" si="87"/>
        <v>-</v>
      </c>
      <c r="Q86" s="269" t="str">
        <f t="shared" si="87"/>
        <v>-</v>
      </c>
      <c r="R86" s="269" t="str">
        <f t="shared" si="87"/>
        <v>-</v>
      </c>
      <c r="S86" s="269" t="str">
        <f t="shared" si="87"/>
        <v>-</v>
      </c>
      <c r="T86" s="269" t="str">
        <f t="shared" si="87"/>
        <v>-</v>
      </c>
      <c r="U86" s="269">
        <f t="shared" si="87"/>
        <v>0.15976736706873404</v>
      </c>
      <c r="V86" s="269">
        <f t="shared" si="87"/>
        <v>0.20267349855318373</v>
      </c>
      <c r="W86" s="269">
        <f t="shared" si="87"/>
        <v>0.31406710675122823</v>
      </c>
      <c r="X86" s="269">
        <f t="shared" si="87"/>
        <v>0.36657892309257922</v>
      </c>
      <c r="Y86" s="269">
        <f t="shared" si="87"/>
        <v>0.42319078843290636</v>
      </c>
      <c r="Z86" s="269">
        <f t="shared" si="87"/>
        <v>0.46534071654333203</v>
      </c>
      <c r="AA86" s="269">
        <f t="shared" si="87"/>
        <v>0.44743015334856828</v>
      </c>
      <c r="AB86" s="281">
        <f t="shared" si="87"/>
        <v>0.51119256951147851</v>
      </c>
      <c r="AC86" s="269">
        <f t="shared" si="87"/>
        <v>0.42414128671901863</v>
      </c>
      <c r="AD86" s="269">
        <f t="shared" si="87"/>
        <v>0.28368063827238538</v>
      </c>
      <c r="AE86" s="269">
        <f t="shared" si="87"/>
        <v>0.20320428867088158</v>
      </c>
      <c r="AF86" s="269">
        <f t="shared" si="87"/>
        <v>0.19893155159973444</v>
      </c>
      <c r="AG86" s="269">
        <f t="shared" si="87"/>
        <v>0.20823299996298436</v>
      </c>
      <c r="AH86" s="269">
        <f t="shared" si="87"/>
        <v>0.2116473213758818</v>
      </c>
      <c r="AI86" s="269">
        <f t="shared" si="87"/>
        <v>0.22965386265660959</v>
      </c>
      <c r="AJ86" s="269">
        <f t="shared" si="87"/>
        <v>0.22564161767413082</v>
      </c>
      <c r="AK86" s="269">
        <f t="shared" si="87"/>
        <v>0.19608277233187266</v>
      </c>
      <c r="AL86" s="269">
        <f t="shared" si="87"/>
        <v>0.16670995460332136</v>
      </c>
      <c r="AM86" s="269">
        <f t="shared" si="87"/>
        <v>9.5499638214537233E-2</v>
      </c>
      <c r="AN86" s="281">
        <f t="shared" si="87"/>
        <v>5.4058974730163238E-2</v>
      </c>
      <c r="AO86" s="279">
        <f t="shared" ref="AO86:AP86" si="88">AO78/AO$8</f>
        <v>0.46114648706514311</v>
      </c>
      <c r="AP86" s="269">
        <f t="shared" si="88"/>
        <v>0.42171957636154134</v>
      </c>
      <c r="AQ86" s="280" t="str">
        <f t="shared" ref="AQ86" si="89">IFERROR(IF(AQ84=0,"-",(AQ84/AQ85)-1),"-")</f>
        <v>-</v>
      </c>
    </row>
    <row r="87" spans="2:46" outlineLevel="1" x14ac:dyDescent="0.25"/>
    <row r="88" spans="2:46" hidden="1" outlineLevel="1" x14ac:dyDescent="0.25">
      <c r="E88" s="188"/>
      <c r="F88" s="188"/>
      <c r="G88" s="188"/>
      <c r="H88" s="188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8"/>
      <c r="AB88" s="188"/>
      <c r="AC88" s="188"/>
      <c r="AD88" s="188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</row>
    <row r="89" spans="2:46" ht="18.75" hidden="1" outlineLevel="1" x14ac:dyDescent="0.3">
      <c r="D89" s="68" t="s">
        <v>204</v>
      </c>
      <c r="E89" s="174" t="s">
        <v>300</v>
      </c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"/>
      <c r="S89" s="1"/>
      <c r="T89" s="505" t="s">
        <v>307</v>
      </c>
      <c r="U89" s="505"/>
      <c r="V89" s="505"/>
      <c r="W89" s="505"/>
      <c r="X89" s="505"/>
      <c r="Y89" s="505"/>
      <c r="Z89" s="505"/>
      <c r="AA89" s="505"/>
      <c r="AB89" s="505"/>
      <c r="AC89" s="506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4"/>
      <c r="AP89" s="1"/>
      <c r="AT89" s="118" t="s">
        <v>184</v>
      </c>
    </row>
    <row r="90" spans="2:46" hidden="1" outlineLevel="1" x14ac:dyDescent="0.25">
      <c r="D90" s="19"/>
      <c r="E90" s="503" t="s">
        <v>341</v>
      </c>
      <c r="F90" s="503"/>
      <c r="G90" s="503"/>
      <c r="H90" s="503"/>
      <c r="I90" s="503"/>
      <c r="J90" s="503"/>
      <c r="K90" s="503"/>
      <c r="L90" s="503"/>
      <c r="M90" s="503"/>
      <c r="N90" s="503"/>
      <c r="O90" s="503"/>
      <c r="P90" s="503"/>
      <c r="Q90" s="503"/>
      <c r="R90" s="503"/>
      <c r="S90" s="503"/>
      <c r="T90" s="503"/>
      <c r="U90" s="503"/>
      <c r="V90" s="503"/>
      <c r="W90" s="503"/>
      <c r="X90" s="503"/>
      <c r="Y90" s="503"/>
      <c r="Z90" s="503"/>
      <c r="AA90" s="503"/>
      <c r="AB90" s="503"/>
      <c r="AC90" s="50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  <c r="AN90" s="194"/>
      <c r="AO90" s="500" t="s">
        <v>8</v>
      </c>
      <c r="AP90" s="501"/>
      <c r="AQ90" s="502"/>
    </row>
    <row r="91" spans="2:46" hidden="1" outlineLevel="1" x14ac:dyDescent="0.25">
      <c r="D91" s="22" t="s">
        <v>16</v>
      </c>
      <c r="E91" s="23">
        <f>E$4</f>
        <v>44562</v>
      </c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>
        <f t="shared" ref="R91:AC91" si="90">R$4</f>
        <v>44958</v>
      </c>
      <c r="S91" s="23">
        <f t="shared" si="90"/>
        <v>44986</v>
      </c>
      <c r="T91" s="23">
        <f t="shared" si="90"/>
        <v>45017</v>
      </c>
      <c r="U91" s="23">
        <f t="shared" si="90"/>
        <v>45047</v>
      </c>
      <c r="V91" s="23">
        <f t="shared" si="90"/>
        <v>45078</v>
      </c>
      <c r="W91" s="23">
        <f t="shared" si="90"/>
        <v>45108</v>
      </c>
      <c r="X91" s="23">
        <f t="shared" si="90"/>
        <v>45139</v>
      </c>
      <c r="Y91" s="23">
        <f t="shared" si="90"/>
        <v>45170</v>
      </c>
      <c r="Z91" s="23">
        <f t="shared" si="90"/>
        <v>45200</v>
      </c>
      <c r="AA91" s="23">
        <f t="shared" si="90"/>
        <v>45231</v>
      </c>
      <c r="AB91" s="23">
        <f t="shared" si="90"/>
        <v>45261</v>
      </c>
      <c r="AC91" s="24">
        <f t="shared" si="90"/>
        <v>45292</v>
      </c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8" t="s">
        <v>9</v>
      </c>
      <c r="AP91" s="29" t="s">
        <v>10</v>
      </c>
    </row>
    <row r="92" spans="2:46" ht="15.75" hidden="1" outlineLevel="1" x14ac:dyDescent="0.25">
      <c r="B92" t="str">
        <f>$D$2</f>
        <v>PC Annual Direct</v>
      </c>
      <c r="C92" t="s">
        <v>73</v>
      </c>
      <c r="D92" s="5" t="s">
        <v>308</v>
      </c>
      <c r="E92" s="6">
        <v>2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>
        <v>2242</v>
      </c>
      <c r="S92" s="6">
        <v>2478</v>
      </c>
      <c r="T92" s="6">
        <v>2183</v>
      </c>
      <c r="U92" s="6">
        <v>2872</v>
      </c>
      <c r="V92" s="6">
        <v>1836</v>
      </c>
      <c r="W92" s="6">
        <v>1791</v>
      </c>
      <c r="X92" s="6">
        <v>1999</v>
      </c>
      <c r="Y92" s="6">
        <v>2026</v>
      </c>
      <c r="Z92" s="6">
        <v>3086</v>
      </c>
      <c r="AA92" s="6">
        <v>3887</v>
      </c>
      <c r="AB92" s="6">
        <v>3367</v>
      </c>
      <c r="AC92" s="7">
        <v>2792</v>
      </c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8">
        <f t="shared" ref="AO92:AO97" si="91">AVERAGE(Z92:AC92)</f>
        <v>3283</v>
      </c>
      <c r="AP92" s="6">
        <f>AVERAGE(R92:AC92)</f>
        <v>2546.5833333333335</v>
      </c>
      <c r="AR92" t="s">
        <v>314</v>
      </c>
    </row>
    <row r="93" spans="2:46" ht="15.75" hidden="1" outlineLevel="1" x14ac:dyDescent="0.25">
      <c r="B93" t="str">
        <f>$D$89&amp;"_W VYRs"</f>
        <v>PC Annual Direct - Subscription_W VYRs</v>
      </c>
      <c r="C93" t="str">
        <f>$C92</f>
        <v>Boom Subscription</v>
      </c>
      <c r="D93" s="175" t="s">
        <v>4</v>
      </c>
      <c r="E93" s="176" t="e">
        <f>INDEX('Plan Figures'!$B$94:$AP$120,MATCH('Current - MPM only'!E$4,'Plan Figures'!$B$94:$B$120,0),MATCH('Current - MPM only'!$B93,'Plan Figures'!$B$1:$AP$1,0))</f>
        <v>#N/A</v>
      </c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 t="str">
        <f ca="1">INDEX('Plan Figures'!$B$94:$AP$120,MATCH('Current - MPM only'!R$4,'Plan Figures'!$B$94:$B$120,0),MATCH('Current - MPM only'!$B93,'Plan Figures'!$B$1:$AP$1,0))</f>
        <v>-</v>
      </c>
      <c r="S93" s="176" t="str">
        <f ca="1">INDEX('Plan Figures'!$B$94:$AP$120,MATCH('Current - MPM only'!S$4,'Plan Figures'!$B$94:$B$120,0),MATCH('Current - MPM only'!$B93,'Plan Figures'!$B$1:$AP$1,0))</f>
        <v>-</v>
      </c>
      <c r="T93" s="176" t="str">
        <f ca="1">INDEX('Plan Figures'!$B$94:$AP$120,MATCH('Current - MPM only'!T$4,'Plan Figures'!$B$94:$B$120,0),MATCH('Current - MPM only'!$B93,'Plan Figures'!$B$1:$AP$1,0))</f>
        <v>-</v>
      </c>
      <c r="U93" s="176" t="str">
        <f ca="1">INDEX('Plan Figures'!$B$94:$AP$120,MATCH('Current - MPM only'!U$4,'Plan Figures'!$B$94:$B$120,0),MATCH('Current - MPM only'!$B93,'Plan Figures'!$B$1:$AP$1,0))</f>
        <v>-</v>
      </c>
      <c r="V93" s="176" t="str">
        <f ca="1">INDEX('Plan Figures'!$B$94:$AP$120,MATCH('Current - MPM only'!V$4,'Plan Figures'!$B$94:$B$120,0),MATCH('Current - MPM only'!$B93,'Plan Figures'!$B$1:$AP$1,0))</f>
        <v>-</v>
      </c>
      <c r="W93" s="176" t="str">
        <f ca="1">INDEX('Plan Figures'!$B$94:$AP$120,MATCH('Current - MPM only'!W$4,'Plan Figures'!$B$94:$B$120,0),MATCH('Current - MPM only'!$B93,'Plan Figures'!$B$1:$AP$1,0))</f>
        <v>-</v>
      </c>
      <c r="X93" s="176" t="str">
        <f ca="1">INDEX('Plan Figures'!$B$94:$AP$120,MATCH('Current - MPM only'!X$4,'Plan Figures'!$B$94:$B$120,0),MATCH('Current - MPM only'!$B93,'Plan Figures'!$B$1:$AP$1,0))</f>
        <v>-</v>
      </c>
      <c r="Y93" s="176" t="str">
        <f ca="1">INDEX('Plan Figures'!$B$94:$AP$120,MATCH('Current - MPM only'!Y$4,'Plan Figures'!$B$94:$B$120,0),MATCH('Current - MPM only'!$B93,'Plan Figures'!$B$1:$AP$1,0))</f>
        <v>-</v>
      </c>
      <c r="Z93" s="176" t="str">
        <f ca="1">INDEX('Plan Figures'!$B$94:$AP$120,MATCH('Current - MPM only'!Z$4,'Plan Figures'!$B$94:$B$120,0),MATCH('Current - MPM only'!$B93,'Plan Figures'!$B$1:$AP$1,0))</f>
        <v>-</v>
      </c>
      <c r="AA93" s="176">
        <f ca="1">INDEX('Plan Figures'!$B$94:$AP$120,MATCH('Current - MPM only'!AA$4,'Plan Figures'!$B$94:$B$120,0),MATCH('Current - MPM only'!$B93,'Plan Figures'!$B$1:$AP$1,0))</f>
        <v>615.93307879093663</v>
      </c>
      <c r="AB93" s="176">
        <f ca="1">INDEX('Plan Figures'!$B$94:$AP$120,MATCH('Current - MPM only'!AB$4,'Plan Figures'!$B$94:$B$120,0),MATCH('Current - MPM only'!$B93,'Plan Figures'!$B$1:$AP$1,0))</f>
        <v>763.72800510730349</v>
      </c>
      <c r="AC93" s="177">
        <f ca="1">INDEX('Plan Figures'!$B$94:$AP$120,MATCH('Current - MPM only'!AC$4,'Plan Figures'!$B$94:$B$120,0),MATCH('Current - MPM only'!$B93,'Plan Figures'!$B$1:$AP$1,0))</f>
        <v>833.27735263273371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8">
        <f t="shared" ca="1" si="91"/>
        <v>737.64614551032457</v>
      </c>
      <c r="AP93" s="176">
        <f t="shared" ref="AP93:AP97" ca="1" si="92">AVERAGE(R93:AC93)</f>
        <v>737.64614551032457</v>
      </c>
    </row>
    <row r="94" spans="2:46" ht="15.75" hidden="1" outlineLevel="1" x14ac:dyDescent="0.25">
      <c r="B94" t="str">
        <f t="shared" ref="B94:B103" si="93">$D$2</f>
        <v>PC Annual Direct</v>
      </c>
      <c r="C94" t="str">
        <f t="shared" ref="C94:C102" si="94">$C93</f>
        <v>Boom Subscription</v>
      </c>
      <c r="D94" s="179" t="s">
        <v>0</v>
      </c>
      <c r="E94" s="180" t="e">
        <f t="shared" ref="E94:AC94" si="95">E92-E93</f>
        <v>#N/A</v>
      </c>
      <c r="F94" s="180"/>
      <c r="G94" s="180"/>
      <c r="H94" s="180"/>
      <c r="I94" s="180"/>
      <c r="J94" s="180"/>
      <c r="K94" s="180"/>
      <c r="L94" s="180"/>
      <c r="M94" s="180"/>
      <c r="N94" s="180"/>
      <c r="O94" s="180"/>
      <c r="P94" s="180"/>
      <c r="Q94" s="180"/>
      <c r="R94" s="180" t="e">
        <f t="shared" ca="1" si="95"/>
        <v>#VALUE!</v>
      </c>
      <c r="S94" s="180" t="e">
        <f t="shared" ca="1" si="95"/>
        <v>#VALUE!</v>
      </c>
      <c r="T94" s="180" t="e">
        <f t="shared" ca="1" si="95"/>
        <v>#VALUE!</v>
      </c>
      <c r="U94" s="180" t="e">
        <f t="shared" ca="1" si="95"/>
        <v>#VALUE!</v>
      </c>
      <c r="V94" s="180" t="e">
        <f t="shared" ca="1" si="95"/>
        <v>#VALUE!</v>
      </c>
      <c r="W94" s="180" t="e">
        <f t="shared" ca="1" si="95"/>
        <v>#VALUE!</v>
      </c>
      <c r="X94" s="180" t="e">
        <f t="shared" ca="1" si="95"/>
        <v>#VALUE!</v>
      </c>
      <c r="Y94" s="180" t="e">
        <f t="shared" ca="1" si="95"/>
        <v>#VALUE!</v>
      </c>
      <c r="Z94" s="180" t="e">
        <f t="shared" ca="1" si="95"/>
        <v>#VALUE!</v>
      </c>
      <c r="AA94" s="180">
        <f t="shared" ca="1" si="95"/>
        <v>3271.0669212090634</v>
      </c>
      <c r="AB94" s="180">
        <f t="shared" ca="1" si="95"/>
        <v>2603.2719948926965</v>
      </c>
      <c r="AC94" s="181">
        <f t="shared" ca="1" si="95"/>
        <v>1958.7226473672663</v>
      </c>
      <c r="AD94" s="180"/>
      <c r="AE94" s="180"/>
      <c r="AF94" s="180"/>
      <c r="AG94" s="180"/>
      <c r="AH94" s="180"/>
      <c r="AI94" s="180"/>
      <c r="AJ94" s="180"/>
      <c r="AK94" s="180"/>
      <c r="AL94" s="180"/>
      <c r="AM94" s="180"/>
      <c r="AN94" s="180"/>
      <c r="AO94" s="182" t="e">
        <f t="shared" ca="1" si="91"/>
        <v>#VALUE!</v>
      </c>
      <c r="AP94" s="180" t="e">
        <f t="shared" ca="1" si="92"/>
        <v>#VALUE!</v>
      </c>
    </row>
    <row r="95" spans="2:46" ht="15.75" hidden="1" outlineLevel="1" x14ac:dyDescent="0.25">
      <c r="B95" t="str">
        <f t="shared" si="93"/>
        <v>PC Annual Direct</v>
      </c>
      <c r="C95" t="str">
        <f t="shared" si="94"/>
        <v>Boom Subscription</v>
      </c>
      <c r="D95" s="9" t="s">
        <v>309</v>
      </c>
      <c r="E95" s="15">
        <v>0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>
        <v>5065071.1928567188</v>
      </c>
      <c r="S95" s="15">
        <v>2602918.5557175679</v>
      </c>
      <c r="T95" s="15">
        <v>3058793.5714276335</v>
      </c>
      <c r="U95" s="15">
        <v>3629516.5942827086</v>
      </c>
      <c r="V95" s="15">
        <v>2884434.6771383779</v>
      </c>
      <c r="W95" s="15">
        <v>2912157.9642843842</v>
      </c>
      <c r="X95" s="15">
        <v>3523662.750002387</v>
      </c>
      <c r="Y95" s="15">
        <v>4105968.3728598249</v>
      </c>
      <c r="Z95" s="15">
        <v>5391594.0471423389</v>
      </c>
      <c r="AA95" s="15">
        <v>7273466.7214334616</v>
      </c>
      <c r="AB95" s="15">
        <v>5434775.6699983915</v>
      </c>
      <c r="AC95" s="16">
        <v>639832.0371454074</v>
      </c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8">
        <f t="shared" si="91"/>
        <v>4684917.1189298993</v>
      </c>
      <c r="AP95" s="6">
        <f t="shared" si="92"/>
        <v>3876849.3461907669</v>
      </c>
    </row>
    <row r="96" spans="2:46" ht="15.75" hidden="1" outlineLevel="1" x14ac:dyDescent="0.25">
      <c r="B96" t="str">
        <f>$D$89&amp;"_NWP"</f>
        <v>PC Annual Direct - Subscription_NWP</v>
      </c>
      <c r="C96" t="str">
        <f t="shared" si="94"/>
        <v>Boom Subscription</v>
      </c>
      <c r="D96" s="175" t="s">
        <v>6</v>
      </c>
      <c r="E96" s="176" t="e">
        <f>INDEX('Plan Figures'!$B$94:$AP$120,MATCH('Current - MPM only'!E$4,'Plan Figures'!$B$94:$B$120,0),MATCH('Current - MPM only'!$B96,'Plan Figures'!$B$1:$AP$1,0))</f>
        <v>#N/A</v>
      </c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 t="str">
        <f ca="1">INDEX('Plan Figures'!$B$94:$AP$120,MATCH('Current - MPM only'!R$4,'Plan Figures'!$B$94:$B$120,0),MATCH('Current - MPM only'!$B96,'Plan Figures'!$B$1:$AP$1,0))</f>
        <v>-</v>
      </c>
      <c r="S96" s="176" t="str">
        <f ca="1">INDEX('Plan Figures'!$B$94:$AP$120,MATCH('Current - MPM only'!S$4,'Plan Figures'!$B$94:$B$120,0),MATCH('Current - MPM only'!$B96,'Plan Figures'!$B$1:$AP$1,0))</f>
        <v>-</v>
      </c>
      <c r="T96" s="176" t="str">
        <f ca="1">INDEX('Plan Figures'!$B$94:$AP$120,MATCH('Current - MPM only'!T$4,'Plan Figures'!$B$94:$B$120,0),MATCH('Current - MPM only'!$B96,'Plan Figures'!$B$1:$AP$1,0))</f>
        <v>-</v>
      </c>
      <c r="U96" s="176" t="str">
        <f ca="1">INDEX('Plan Figures'!$B$94:$AP$120,MATCH('Current - MPM only'!U$4,'Plan Figures'!$B$94:$B$120,0),MATCH('Current - MPM only'!$B96,'Plan Figures'!$B$1:$AP$1,0))</f>
        <v>-</v>
      </c>
      <c r="V96" s="176" t="str">
        <f ca="1">INDEX('Plan Figures'!$B$94:$AP$120,MATCH('Current - MPM only'!V$4,'Plan Figures'!$B$94:$B$120,0),MATCH('Current - MPM only'!$B96,'Plan Figures'!$B$1:$AP$1,0))</f>
        <v>-</v>
      </c>
      <c r="W96" s="176" t="str">
        <f ca="1">INDEX('Plan Figures'!$B$94:$AP$120,MATCH('Current - MPM only'!W$4,'Plan Figures'!$B$94:$B$120,0),MATCH('Current - MPM only'!$B96,'Plan Figures'!$B$1:$AP$1,0))</f>
        <v>-</v>
      </c>
      <c r="X96" s="176" t="str">
        <f ca="1">INDEX('Plan Figures'!$B$94:$AP$120,MATCH('Current - MPM only'!X$4,'Plan Figures'!$B$94:$B$120,0),MATCH('Current - MPM only'!$B96,'Plan Figures'!$B$1:$AP$1,0))</f>
        <v>-</v>
      </c>
      <c r="Y96" s="176" t="str">
        <f ca="1">INDEX('Plan Figures'!$B$94:$AP$120,MATCH('Current - MPM only'!Y$4,'Plan Figures'!$B$94:$B$120,0),MATCH('Current - MPM only'!$B96,'Plan Figures'!$B$1:$AP$1,0))</f>
        <v>-</v>
      </c>
      <c r="Z96" s="176" t="str">
        <f ca="1">INDEX('Plan Figures'!$B$94:$AP$120,MATCH('Current - MPM only'!Z$4,'Plan Figures'!$B$94:$B$120,0),MATCH('Current - MPM only'!$B96,'Plan Figures'!$B$1:$AP$1,0))</f>
        <v>-</v>
      </c>
      <c r="AA96" s="176">
        <f ca="1">INDEX('Plan Figures'!$B$94:$AP$120,MATCH('Current - MPM only'!AA$4,'Plan Figures'!$B$94:$B$120,0),MATCH('Current - MPM only'!$B96,'Plan Figures'!$B$1:$AP$1,0))</f>
        <v>1811220.2312349698</v>
      </c>
      <c r="AB96" s="176">
        <f ca="1">INDEX('Plan Figures'!$B$94:$AP$120,MATCH('Current - MPM only'!AB$4,'Plan Figures'!$B$94:$B$120,0),MATCH('Current - MPM only'!$B96,'Plan Figures'!$B$1:$AP$1,0))</f>
        <v>1916096.3475731572</v>
      </c>
      <c r="AC96" s="177">
        <f ca="1">INDEX('Plan Figures'!$B$94:$AP$120,MATCH('Current - MPM only'!AC$4,'Plan Figures'!$B$94:$B$120,0),MATCH('Current - MPM only'!$B96,'Plan Figures'!$B$1:$AP$1,0))</f>
        <v>2026245.4879278806</v>
      </c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8">
        <f t="shared" ca="1" si="91"/>
        <v>1917854.0222453356</v>
      </c>
      <c r="AP96" s="176">
        <f t="shared" ca="1" si="92"/>
        <v>1917854.0222453356</v>
      </c>
    </row>
    <row r="97" spans="2:44" ht="15.75" hidden="1" outlineLevel="1" x14ac:dyDescent="0.25">
      <c r="B97" t="str">
        <f t="shared" si="93"/>
        <v>PC Annual Direct</v>
      </c>
      <c r="C97" t="str">
        <f t="shared" si="94"/>
        <v>Boom Subscription</v>
      </c>
      <c r="D97" s="179" t="s">
        <v>0</v>
      </c>
      <c r="E97" s="180" t="e">
        <f t="shared" ref="E97:AC97" si="96">E95-E96</f>
        <v>#N/A</v>
      </c>
      <c r="F97" s="180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 t="e">
        <f t="shared" ca="1" si="96"/>
        <v>#VALUE!</v>
      </c>
      <c r="S97" s="180" t="e">
        <f t="shared" ca="1" si="96"/>
        <v>#VALUE!</v>
      </c>
      <c r="T97" s="180" t="e">
        <f t="shared" ca="1" si="96"/>
        <v>#VALUE!</v>
      </c>
      <c r="U97" s="180" t="e">
        <f t="shared" ca="1" si="96"/>
        <v>#VALUE!</v>
      </c>
      <c r="V97" s="180" t="e">
        <f t="shared" ca="1" si="96"/>
        <v>#VALUE!</v>
      </c>
      <c r="W97" s="180" t="e">
        <f t="shared" ca="1" si="96"/>
        <v>#VALUE!</v>
      </c>
      <c r="X97" s="180" t="e">
        <f t="shared" ca="1" si="96"/>
        <v>#VALUE!</v>
      </c>
      <c r="Y97" s="180" t="e">
        <f t="shared" ca="1" si="96"/>
        <v>#VALUE!</v>
      </c>
      <c r="Z97" s="180" t="e">
        <f t="shared" ca="1" si="96"/>
        <v>#VALUE!</v>
      </c>
      <c r="AA97" s="180">
        <f t="shared" ca="1" si="96"/>
        <v>5462246.4901984921</v>
      </c>
      <c r="AB97" s="180">
        <f t="shared" ca="1" si="96"/>
        <v>3518679.3224252341</v>
      </c>
      <c r="AC97" s="181">
        <f t="shared" ca="1" si="96"/>
        <v>-1386413.4507824732</v>
      </c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2" t="e">
        <f t="shared" ca="1" si="91"/>
        <v>#VALUE!</v>
      </c>
      <c r="AP97" s="180" t="e">
        <f t="shared" ca="1" si="92"/>
        <v>#VALUE!</v>
      </c>
    </row>
    <row r="98" spans="2:44" ht="15.75" hidden="1" outlineLevel="1" x14ac:dyDescent="0.25">
      <c r="B98" t="str">
        <f t="shared" si="93"/>
        <v>PC Annual Direct</v>
      </c>
      <c r="C98" t="str">
        <f t="shared" si="94"/>
        <v>Boom Subscription</v>
      </c>
      <c r="D98" s="9" t="s">
        <v>310</v>
      </c>
      <c r="E98" s="15">
        <f>IFERROR(E95/E92,0)</f>
        <v>0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>
        <f t="shared" ref="R98:AP99" si="97">IFERROR(R95/R92,0)</f>
        <v>2259.1753759396606</v>
      </c>
      <c r="S98" s="15">
        <f t="shared" si="97"/>
        <v>1050.4110394340469</v>
      </c>
      <c r="T98" s="15">
        <f t="shared" si="97"/>
        <v>1401.1880766961217</v>
      </c>
      <c r="U98" s="15">
        <f t="shared" si="97"/>
        <v>1263.7592598477397</v>
      </c>
      <c r="V98" s="15">
        <f t="shared" si="97"/>
        <v>1571.0428524718834</v>
      </c>
      <c r="W98" s="15">
        <f t="shared" si="97"/>
        <v>1625.9955132799464</v>
      </c>
      <c r="X98" s="15">
        <f t="shared" si="97"/>
        <v>1762.7127313668768</v>
      </c>
      <c r="Y98" s="15">
        <f t="shared" si="97"/>
        <v>2026.6378938103776</v>
      </c>
      <c r="Z98" s="15">
        <f t="shared" si="97"/>
        <v>1747.114078788833</v>
      </c>
      <c r="AA98" s="15">
        <f t="shared" si="97"/>
        <v>1871.2288966898539</v>
      </c>
      <c r="AB98" s="15">
        <f t="shared" si="97"/>
        <v>1614.1299881195105</v>
      </c>
      <c r="AC98" s="16">
        <f t="shared" si="97"/>
        <v>229.16620241597687</v>
      </c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8">
        <f t="shared" si="97"/>
        <v>1427.023185784313</v>
      </c>
      <c r="AP98" s="6">
        <f t="shared" si="97"/>
        <v>1522.3728575637031</v>
      </c>
    </row>
    <row r="99" spans="2:44" ht="15.75" hidden="1" outlineLevel="1" x14ac:dyDescent="0.25">
      <c r="B99" t="str">
        <f t="shared" si="93"/>
        <v>PC Annual Direct</v>
      </c>
      <c r="C99" t="str">
        <f t="shared" si="94"/>
        <v>Boom Subscription</v>
      </c>
      <c r="D99" s="175" t="s">
        <v>13</v>
      </c>
      <c r="E99" s="176">
        <f>IFERROR(E96/E93,0)</f>
        <v>0</v>
      </c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>
        <f t="shared" ca="1" si="97"/>
        <v>0</v>
      </c>
      <c r="S99" s="176">
        <f t="shared" ca="1" si="97"/>
        <v>0</v>
      </c>
      <c r="T99" s="176">
        <f t="shared" ca="1" si="97"/>
        <v>0</v>
      </c>
      <c r="U99" s="176">
        <f t="shared" ca="1" si="97"/>
        <v>0</v>
      </c>
      <c r="V99" s="176">
        <f t="shared" ca="1" si="97"/>
        <v>0</v>
      </c>
      <c r="W99" s="176">
        <f t="shared" ca="1" si="97"/>
        <v>0</v>
      </c>
      <c r="X99" s="176">
        <f t="shared" ca="1" si="97"/>
        <v>0</v>
      </c>
      <c r="Y99" s="176">
        <f t="shared" ca="1" si="97"/>
        <v>0</v>
      </c>
      <c r="Z99" s="176">
        <f t="shared" ca="1" si="97"/>
        <v>0</v>
      </c>
      <c r="AA99" s="176">
        <f t="shared" ca="1" si="97"/>
        <v>2940.6120463449633</v>
      </c>
      <c r="AB99" s="176">
        <f t="shared" ca="1" si="97"/>
        <v>2508.8727069841393</v>
      </c>
      <c r="AC99" s="177">
        <f t="shared" ca="1" si="97"/>
        <v>2431.6579366113488</v>
      </c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8">
        <f t="shared" ca="1" si="97"/>
        <v>2599.9648122861263</v>
      </c>
      <c r="AP99" s="176">
        <f t="shared" ca="1" si="97"/>
        <v>2599.9648122861263</v>
      </c>
      <c r="AQ99" s="3"/>
      <c r="AR99" s="3"/>
    </row>
    <row r="100" spans="2:44" ht="15.75" hidden="1" outlineLevel="1" x14ac:dyDescent="0.25">
      <c r="B100" t="str">
        <f t="shared" si="93"/>
        <v>PC Annual Direct</v>
      </c>
      <c r="C100" t="str">
        <f t="shared" si="94"/>
        <v>Boom Subscription</v>
      </c>
      <c r="D100" s="179" t="s">
        <v>0</v>
      </c>
      <c r="E100" s="180">
        <f t="shared" ref="E100:AP100" si="98">E98-E99</f>
        <v>0</v>
      </c>
      <c r="F100" s="180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>
        <f t="shared" ca="1" si="98"/>
        <v>2259.1753759396606</v>
      </c>
      <c r="S100" s="180">
        <f t="shared" ca="1" si="98"/>
        <v>1050.4110394340469</v>
      </c>
      <c r="T100" s="180">
        <f t="shared" ca="1" si="98"/>
        <v>1401.1880766961217</v>
      </c>
      <c r="U100" s="180">
        <f t="shared" ca="1" si="98"/>
        <v>1263.7592598477397</v>
      </c>
      <c r="V100" s="180">
        <f t="shared" ca="1" si="98"/>
        <v>1571.0428524718834</v>
      </c>
      <c r="W100" s="180">
        <f t="shared" ca="1" si="98"/>
        <v>1625.9955132799464</v>
      </c>
      <c r="X100" s="180">
        <f t="shared" ca="1" si="98"/>
        <v>1762.7127313668768</v>
      </c>
      <c r="Y100" s="180">
        <f t="shared" ca="1" si="98"/>
        <v>2026.6378938103776</v>
      </c>
      <c r="Z100" s="180">
        <f t="shared" ca="1" si="98"/>
        <v>1747.114078788833</v>
      </c>
      <c r="AA100" s="180">
        <f t="shared" ca="1" si="98"/>
        <v>-1069.3831496551095</v>
      </c>
      <c r="AB100" s="180">
        <f t="shared" ca="1" si="98"/>
        <v>-894.74271886462884</v>
      </c>
      <c r="AC100" s="181">
        <f t="shared" ca="1" si="98"/>
        <v>-2202.4917341953719</v>
      </c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2">
        <f t="shared" ca="1" si="98"/>
        <v>-1172.9416265018133</v>
      </c>
      <c r="AP100" s="180">
        <f t="shared" ca="1" si="98"/>
        <v>-1077.5919547224232</v>
      </c>
    </row>
    <row r="101" spans="2:44" hidden="1" outlineLevel="1" x14ac:dyDescent="0.25">
      <c r="B101" t="str">
        <f t="shared" si="93"/>
        <v>PC Annual Direct</v>
      </c>
      <c r="C101" t="str">
        <f t="shared" si="94"/>
        <v>Boom Subscription</v>
      </c>
      <c r="D101" s="35" t="s">
        <v>17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7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8"/>
      <c r="AP101" s="39"/>
    </row>
    <row r="102" spans="2:44" ht="15.75" hidden="1" outlineLevel="1" x14ac:dyDescent="0.25">
      <c r="B102" t="str">
        <f t="shared" si="93"/>
        <v>PC Annual Direct</v>
      </c>
      <c r="C102" t="str">
        <f t="shared" si="94"/>
        <v>Boom Subscription</v>
      </c>
      <c r="D102" s="5" t="s">
        <v>311</v>
      </c>
      <c r="E102" s="6">
        <v>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>
        <v>2134583.1964307697</v>
      </c>
      <c r="S102" s="6">
        <v>2096692.0178588463</v>
      </c>
      <c r="T102" s="6">
        <v>1957264.2857113734</v>
      </c>
      <c r="U102" s="6">
        <v>2579980.8392826831</v>
      </c>
      <c r="V102" s="6">
        <v>2283188.6785669695</v>
      </c>
      <c r="W102" s="6">
        <v>2643649.982142264</v>
      </c>
      <c r="X102" s="6">
        <v>3053209.8750027283</v>
      </c>
      <c r="Y102" s="6">
        <v>3182200.4464298943</v>
      </c>
      <c r="Z102" s="6">
        <v>4370840.3035705909</v>
      </c>
      <c r="AA102" s="6">
        <v>5225971.6607123222</v>
      </c>
      <c r="AB102" s="6">
        <v>4614303.3749993565</v>
      </c>
      <c r="AC102" s="6">
        <v>3740102.6785750035</v>
      </c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8">
        <f t="shared" ref="AO102" si="99">AVERAGE(Z102:AC102)</f>
        <v>4487804.504464319</v>
      </c>
      <c r="AP102" s="6">
        <f>AVERAGE(R102:AC102)</f>
        <v>3156832.2782735671</v>
      </c>
    </row>
    <row r="103" spans="2:44" ht="15.75" hidden="1" outlineLevel="1" x14ac:dyDescent="0.25">
      <c r="B103" t="str">
        <f t="shared" si="93"/>
        <v>PC Annual Direct</v>
      </c>
      <c r="C103" t="e">
        <f>#REF!</f>
        <v>#REF!</v>
      </c>
      <c r="D103" s="45" t="s">
        <v>21</v>
      </c>
      <c r="E103" s="41" t="e">
        <f>E95/E$8</f>
        <v>#DIV/0!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 t="e">
        <f t="shared" ref="R103:AP103" si="100">R95/R$8</f>
        <v>#DIV/0!</v>
      </c>
      <c r="S103" s="41" t="e">
        <f t="shared" si="100"/>
        <v>#DIV/0!</v>
      </c>
      <c r="T103" s="41" t="e">
        <f t="shared" si="100"/>
        <v>#DIV/0!</v>
      </c>
      <c r="U103" s="41">
        <f t="shared" si="100"/>
        <v>74.47009157573649</v>
      </c>
      <c r="V103" s="41">
        <f t="shared" si="100"/>
        <v>2.4320819826382061</v>
      </c>
      <c r="W103" s="41">
        <f t="shared" si="100"/>
        <v>2.2282333138945978</v>
      </c>
      <c r="X103" s="41">
        <f t="shared" si="100"/>
        <v>2.0827282733580215</v>
      </c>
      <c r="Y103" s="41">
        <f t="shared" si="100"/>
        <v>2.1238255492831057</v>
      </c>
      <c r="Z103" s="41">
        <f t="shared" si="100"/>
        <v>2.1550203404337935</v>
      </c>
      <c r="AA103" s="41">
        <f t="shared" si="100"/>
        <v>2.18067337121574</v>
      </c>
      <c r="AB103" s="41">
        <f t="shared" si="100"/>
        <v>1.6202075370369931</v>
      </c>
      <c r="AC103" s="41">
        <f t="shared" si="100"/>
        <v>0.17853786450131548</v>
      </c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4">
        <f t="shared" si="100"/>
        <v>1.466855528418086</v>
      </c>
      <c r="AP103" s="41">
        <f t="shared" si="100"/>
        <v>2.4560068581690295</v>
      </c>
    </row>
    <row r="104" spans="2:44" hidden="1" outlineLevel="1" x14ac:dyDescent="0.25"/>
  </sheetData>
  <mergeCells count="8">
    <mergeCell ref="E90:AC90"/>
    <mergeCell ref="AO90:AQ90"/>
    <mergeCell ref="AO3:AQ3"/>
    <mergeCell ref="AO22:AQ22"/>
    <mergeCell ref="AO39:AQ39"/>
    <mergeCell ref="AO56:AQ56"/>
    <mergeCell ref="AO73:AQ73"/>
    <mergeCell ref="T89:AC89"/>
  </mergeCells>
  <conditionalFormatting sqref="E16:AN16 E70:AP71">
    <cfRule type="cellIs" dxfId="241" priority="21" operator="lessThan">
      <formula>0</formula>
    </cfRule>
  </conditionalFormatting>
  <conditionalFormatting sqref="E18:AN18">
    <cfRule type="cellIs" dxfId="240" priority="20" operator="lessThan">
      <formula>0</formula>
    </cfRule>
  </conditionalFormatting>
  <conditionalFormatting sqref="E32:AN32">
    <cfRule type="cellIs" dxfId="239" priority="19" operator="lessThan">
      <formula>0</formula>
    </cfRule>
  </conditionalFormatting>
  <conditionalFormatting sqref="E49:AN49">
    <cfRule type="cellIs" dxfId="238" priority="8" operator="lessThan">
      <formula>0</formula>
    </cfRule>
  </conditionalFormatting>
  <conditionalFormatting sqref="E66:AN66">
    <cfRule type="cellIs" dxfId="237" priority="4" operator="lessThan">
      <formula>0</formula>
    </cfRule>
  </conditionalFormatting>
  <conditionalFormatting sqref="E83:AN83">
    <cfRule type="cellIs" dxfId="236" priority="12" operator="lessThan">
      <formula>0</formula>
    </cfRule>
  </conditionalFormatting>
  <conditionalFormatting sqref="E94:AN95 E97:AN100">
    <cfRule type="cellIs" dxfId="235" priority="25" operator="lessThan">
      <formula>0</formula>
    </cfRule>
  </conditionalFormatting>
  <conditionalFormatting sqref="E102:AN102">
    <cfRule type="cellIs" dxfId="234" priority="23" operator="lessThan">
      <formula>0</formula>
    </cfRule>
  </conditionalFormatting>
  <conditionalFormatting sqref="E36:AP37 E53:AP54">
    <cfRule type="cellIs" dxfId="233" priority="22" operator="lessThan">
      <formula>0</formula>
    </cfRule>
  </conditionalFormatting>
  <conditionalFormatting sqref="E7:AQ7">
    <cfRule type="cellIs" dxfId="232" priority="18" operator="lessThan">
      <formula>0</formula>
    </cfRule>
  </conditionalFormatting>
  <conditionalFormatting sqref="E10:AQ10 E13:AQ13">
    <cfRule type="cellIs" dxfId="231" priority="17" operator="lessThan">
      <formula>0</formula>
    </cfRule>
  </conditionalFormatting>
  <conditionalFormatting sqref="E26:AQ26">
    <cfRule type="cellIs" dxfId="230" priority="15" operator="lessThan">
      <formula>0</formula>
    </cfRule>
  </conditionalFormatting>
  <conditionalFormatting sqref="E29:AQ29">
    <cfRule type="cellIs" dxfId="229" priority="14" operator="lessThan">
      <formula>0</formula>
    </cfRule>
  </conditionalFormatting>
  <conditionalFormatting sqref="E43:AQ43">
    <cfRule type="cellIs" dxfId="228" priority="7" operator="lessThan">
      <formula>0</formula>
    </cfRule>
  </conditionalFormatting>
  <conditionalFormatting sqref="E46:AQ46">
    <cfRule type="cellIs" dxfId="227" priority="6" operator="lessThan">
      <formula>0</formula>
    </cfRule>
  </conditionalFormatting>
  <conditionalFormatting sqref="E60:AQ60">
    <cfRule type="cellIs" dxfId="226" priority="3" operator="lessThan">
      <formula>0</formula>
    </cfRule>
  </conditionalFormatting>
  <conditionalFormatting sqref="E63:AQ63">
    <cfRule type="cellIs" dxfId="225" priority="2" operator="lessThan">
      <formula>0</formula>
    </cfRule>
  </conditionalFormatting>
  <conditionalFormatting sqref="E77:AQ77">
    <cfRule type="cellIs" dxfId="224" priority="11" operator="lessThan">
      <formula>0</formula>
    </cfRule>
  </conditionalFormatting>
  <conditionalFormatting sqref="E80:AQ80">
    <cfRule type="cellIs" dxfId="223" priority="10" operator="lessThan">
      <formula>0</formula>
    </cfRule>
  </conditionalFormatting>
  <conditionalFormatting sqref="AO94:AP94 AO97:AP97 AO100:AP101">
    <cfRule type="cellIs" dxfId="222" priority="24" operator="lessThan">
      <formula>0</formula>
    </cfRule>
  </conditionalFormatting>
  <conditionalFormatting sqref="AO16:AQ17">
    <cfRule type="cellIs" dxfId="221" priority="16" operator="lessThan">
      <formula>0</formula>
    </cfRule>
  </conditionalFormatting>
  <conditionalFormatting sqref="AO32:AQ33">
    <cfRule type="cellIs" dxfId="220" priority="13" operator="lessThan">
      <formula>0</formula>
    </cfRule>
  </conditionalFormatting>
  <conditionalFormatting sqref="AO49:AQ50">
    <cfRule type="cellIs" dxfId="219" priority="5" operator="lessThan">
      <formula>0</formula>
    </cfRule>
  </conditionalFormatting>
  <conditionalFormatting sqref="AO66:AQ67">
    <cfRule type="cellIs" dxfId="218" priority="1" operator="lessThan">
      <formula>0</formula>
    </cfRule>
  </conditionalFormatting>
  <conditionalFormatting sqref="AO83:AQ84">
    <cfRule type="cellIs" dxfId="217" priority="9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E45FA-FDC0-4BD9-B5EF-07A1B5FC1FCC}">
  <sheetPr codeName="Sheet24"/>
  <dimension ref="B1:AV107"/>
  <sheetViews>
    <sheetView showGridLines="0" topLeftCell="M1" zoomScale="55" zoomScaleNormal="55" workbookViewId="0">
      <selection activeCell="AJ117" sqref="AJ117"/>
    </sheetView>
  </sheetViews>
  <sheetFormatPr defaultRowHeight="15" outlineLevelRow="1" x14ac:dyDescent="0.25"/>
  <cols>
    <col min="2" max="2" width="9.140625" hidden="1" customWidth="1"/>
    <col min="3" max="3" width="36.5703125" hidden="1" customWidth="1"/>
    <col min="4" max="4" width="24.28515625" hidden="1" customWidth="1"/>
    <col min="5" max="5" width="57.7109375" customWidth="1"/>
    <col min="6" max="41" width="14.140625" customWidth="1"/>
    <col min="42" max="46" width="17.140625" customWidth="1"/>
    <col min="47" max="47" width="17.140625" bestFit="1" customWidth="1"/>
    <col min="48" max="48" width="9.140625" customWidth="1"/>
  </cols>
  <sheetData>
    <row r="1" spans="3:48" ht="15.75" thickBot="1" x14ac:dyDescent="0.3">
      <c r="E1" s="47" t="s">
        <v>318</v>
      </c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</row>
    <row r="2" spans="3:48" ht="26.25" x14ac:dyDescent="0.4">
      <c r="D2" s="290"/>
      <c r="E2" s="201" t="s">
        <v>1</v>
      </c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33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33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33"/>
      <c r="AP2" s="507" t="s">
        <v>484</v>
      </c>
      <c r="AQ2" s="508"/>
      <c r="AR2" s="508"/>
      <c r="AS2" s="508"/>
      <c r="AT2" s="509"/>
    </row>
    <row r="3" spans="3:48" x14ac:dyDescent="0.25">
      <c r="D3" s="290"/>
      <c r="E3" s="204"/>
      <c r="F3" s="355" t="s">
        <v>341</v>
      </c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6"/>
      <c r="R3" s="355" t="s">
        <v>341</v>
      </c>
      <c r="S3" s="357"/>
      <c r="T3" s="357"/>
      <c r="U3" s="357"/>
      <c r="V3" s="357"/>
      <c r="W3" s="357"/>
      <c r="X3" s="357"/>
      <c r="Y3" s="357"/>
      <c r="Z3" s="357"/>
      <c r="AA3" s="357"/>
      <c r="AB3" s="357"/>
      <c r="AC3" s="358"/>
      <c r="AD3" s="355" t="s">
        <v>341</v>
      </c>
      <c r="AE3" s="357"/>
      <c r="AF3" s="357"/>
      <c r="AG3" s="357"/>
      <c r="AH3" s="357"/>
      <c r="AI3" s="357"/>
      <c r="AJ3" s="357"/>
      <c r="AK3" s="357"/>
      <c r="AL3" s="357"/>
      <c r="AM3" s="357"/>
      <c r="AN3" s="357"/>
      <c r="AO3" s="359"/>
      <c r="AP3" s="510" t="s">
        <v>485</v>
      </c>
      <c r="AQ3" s="511"/>
      <c r="AR3" s="511" t="s">
        <v>486</v>
      </c>
      <c r="AS3" s="511"/>
      <c r="AT3" s="512"/>
    </row>
    <row r="4" spans="3:48" x14ac:dyDescent="0.25">
      <c r="D4" s="290"/>
      <c r="E4" s="354" t="s">
        <v>487</v>
      </c>
      <c r="F4" s="378">
        <f t="shared" ref="F4:AM4" si="0">EDATE(G4,-1)</f>
        <v>44927</v>
      </c>
      <c r="G4" s="378">
        <f t="shared" si="0"/>
        <v>44958</v>
      </c>
      <c r="H4" s="378">
        <f t="shared" si="0"/>
        <v>44986</v>
      </c>
      <c r="I4" s="378">
        <f t="shared" si="0"/>
        <v>45017</v>
      </c>
      <c r="J4" s="378">
        <f t="shared" si="0"/>
        <v>45047</v>
      </c>
      <c r="K4" s="378">
        <f t="shared" si="0"/>
        <v>45078</v>
      </c>
      <c r="L4" s="378">
        <f t="shared" si="0"/>
        <v>45108</v>
      </c>
      <c r="M4" s="378">
        <f t="shared" si="0"/>
        <v>45139</v>
      </c>
      <c r="N4" s="378">
        <f t="shared" si="0"/>
        <v>45170</v>
      </c>
      <c r="O4" s="378">
        <f t="shared" si="0"/>
        <v>45200</v>
      </c>
      <c r="P4" s="378">
        <f t="shared" si="0"/>
        <v>45231</v>
      </c>
      <c r="Q4" s="379">
        <f t="shared" si="0"/>
        <v>45261</v>
      </c>
      <c r="R4" s="378">
        <f t="shared" si="0"/>
        <v>45292</v>
      </c>
      <c r="S4" s="378">
        <f t="shared" si="0"/>
        <v>45323</v>
      </c>
      <c r="T4" s="378">
        <f t="shared" si="0"/>
        <v>45352</v>
      </c>
      <c r="U4" s="378">
        <f t="shared" si="0"/>
        <v>45383</v>
      </c>
      <c r="V4" s="378">
        <f t="shared" si="0"/>
        <v>45413</v>
      </c>
      <c r="W4" s="378">
        <f t="shared" si="0"/>
        <v>45444</v>
      </c>
      <c r="X4" s="378">
        <f t="shared" si="0"/>
        <v>45474</v>
      </c>
      <c r="Y4" s="378">
        <f t="shared" si="0"/>
        <v>45505</v>
      </c>
      <c r="Z4" s="378">
        <f t="shared" si="0"/>
        <v>45536</v>
      </c>
      <c r="AA4" s="378">
        <f t="shared" si="0"/>
        <v>45566</v>
      </c>
      <c r="AB4" s="378">
        <f t="shared" si="0"/>
        <v>45597</v>
      </c>
      <c r="AC4" s="365">
        <f t="shared" si="0"/>
        <v>45627</v>
      </c>
      <c r="AD4" s="380">
        <f t="shared" si="0"/>
        <v>45658</v>
      </c>
      <c r="AE4" s="360">
        <f t="shared" si="0"/>
        <v>45689</v>
      </c>
      <c r="AF4" s="378">
        <f t="shared" si="0"/>
        <v>45717</v>
      </c>
      <c r="AG4" s="378">
        <f t="shared" si="0"/>
        <v>45748</v>
      </c>
      <c r="AH4" s="378">
        <f t="shared" si="0"/>
        <v>45778</v>
      </c>
      <c r="AI4" s="378">
        <f t="shared" si="0"/>
        <v>45809</v>
      </c>
      <c r="AJ4" s="378">
        <f t="shared" si="0"/>
        <v>45839</v>
      </c>
      <c r="AK4" s="378">
        <f t="shared" si="0"/>
        <v>45870</v>
      </c>
      <c r="AL4" s="378">
        <f t="shared" si="0"/>
        <v>45901</v>
      </c>
      <c r="AM4" s="378">
        <f t="shared" si="0"/>
        <v>45931</v>
      </c>
      <c r="AN4" s="378">
        <f>EDATE(AO4,-1)</f>
        <v>45962</v>
      </c>
      <c r="AO4" s="379">
        <v>45992</v>
      </c>
      <c r="AP4" s="351" t="s">
        <v>349</v>
      </c>
      <c r="AQ4" s="352" t="s">
        <v>348</v>
      </c>
      <c r="AR4" s="352" t="s">
        <v>772</v>
      </c>
      <c r="AS4" s="352" t="s">
        <v>490</v>
      </c>
      <c r="AT4" s="353" t="s">
        <v>773</v>
      </c>
      <c r="AV4">
        <f ca="1">MATCH(EOMONTH(TODAY(),-1)+1, $F$4:$AO$4, 0)</f>
        <v>32</v>
      </c>
    </row>
    <row r="5" spans="3:48" ht="15.75" x14ac:dyDescent="0.25">
      <c r="C5" t="str">
        <f>$E$2</f>
        <v>PC Annual Direct</v>
      </c>
      <c r="D5" s="290"/>
      <c r="E5" s="223" t="s">
        <v>488</v>
      </c>
      <c r="F5" s="209">
        <f ca="1">IFERROR('Current - Sales, NWP, GWP'!E5/((IFERROR(VLOOKUP($AV$4-COUNTA($F$4:F$4)+1,'Dev Patterns'!$B$6:$H$48,$B42,0),1)*('Current - Sales, NWP, GWP'!E25/'Current - Sales, NWP, GWP'!E5))+(IFERROR(VLOOKUP($AV$4-COUNTA($F$4:F$4)+1,'Dev Patterns'!$B$6:$H$48,$B78,0),1)*(1-'Current - Sales, NWP, GWP'!E25/'Current - Sales, NWP, GWP'!E5))),"-")</f>
        <v>2834.9616435823991</v>
      </c>
      <c r="G5" s="209">
        <f ca="1">IFERROR('Current - Sales, NWP, GWP'!F5/((IFERROR(VLOOKUP($AV$4-COUNTA($F$4:G$4)+1,'Dev Patterns'!$B$6:$H$48,$B42,0),1)*('Current - Sales, NWP, GWP'!F25/'Current - Sales, NWP, GWP'!F5))+(IFERROR(VLOOKUP($AV$4-COUNTA($F$4:G$4)+1,'Dev Patterns'!$B$6:$H$48,$B78,0),1)*(1-'Current - Sales, NWP, GWP'!F25/'Current - Sales, NWP, GWP'!F5))),"-")</f>
        <v>2946.8383556498957</v>
      </c>
      <c r="H5" s="209">
        <f ca="1">IFERROR('Current - Sales, NWP, GWP'!G5/((IFERROR(VLOOKUP($AV$4-COUNTA($F$4:H$4)+1,'Dev Patterns'!$B$6:$H$48,$B42,0),1)*('Current - Sales, NWP, GWP'!G25/'Current - Sales, NWP, GWP'!G5))+(IFERROR(VLOOKUP($AV$4-COUNTA($F$4:H$4)+1,'Dev Patterns'!$B$6:$H$48,$B78,0),1)*(1-'Current - Sales, NWP, GWP'!G25/'Current - Sales, NWP, GWP'!G5))),"-")</f>
        <v>3775.2622950026089</v>
      </c>
      <c r="I5" s="209">
        <f ca="1">IFERROR('Current - Sales, NWP, GWP'!H5/((IFERROR(VLOOKUP($AV$4-COUNTA($F$4:I$4)+1,'Dev Patterns'!$B$6:$H$48,$B42,0),1)*('Current - Sales, NWP, GWP'!H25/'Current - Sales, NWP, GWP'!H5))+(IFERROR(VLOOKUP($AV$4-COUNTA($F$4:I$4)+1,'Dev Patterns'!$B$6:$H$48,$B78,0),1)*(1-'Current - Sales, NWP, GWP'!H25/'Current - Sales, NWP, GWP'!H5))),"-")</f>
        <v>2995.1366122641016</v>
      </c>
      <c r="J5" s="209">
        <f ca="1">IFERROR('Current - Sales, NWP, GWP'!I5/((IFERROR(VLOOKUP($AV$4-COUNTA($F$4:J$4)+1,'Dev Patterns'!$B$6:$H$48,$B42,0),1)*('Current - Sales, NWP, GWP'!I25/'Current - Sales, NWP, GWP'!I5))+(IFERROR(VLOOKUP($AV$4-COUNTA($F$4:J$4)+1,'Dev Patterns'!$B$6:$H$48,$B78,0),1)*(1-'Current - Sales, NWP, GWP'!I25/'Current - Sales, NWP, GWP'!I5))),"-")</f>
        <v>2880.7459015196087</v>
      </c>
      <c r="K5" s="209">
        <f ca="1">IFERROR('Current - Sales, NWP, GWP'!J5/((IFERROR(VLOOKUP($AV$4-COUNTA($F$4:K$4)+1,'Dev Patterns'!$B$6:$H$48,$B42,0),1)*('Current - Sales, NWP, GWP'!J25/'Current - Sales, NWP, GWP'!J5))+(IFERROR(VLOOKUP($AV$4-COUNTA($F$4:K$4)+1,'Dev Patterns'!$B$6:$H$48,$B78,0),1)*(1-'Current - Sales, NWP, GWP'!J25/'Current - Sales, NWP, GWP'!J5))),"-")</f>
        <v>2383.7486340840082</v>
      </c>
      <c r="L5" s="209">
        <f ca="1">IFERROR('Current - Sales, NWP, GWP'!K5/((IFERROR(VLOOKUP($AV$4-COUNTA($F$4:L$4)+1,'Dev Patterns'!$B$6:$H$48,$B42,0),1)*('Current - Sales, NWP, GWP'!K25/'Current - Sales, NWP, GWP'!K5))+(IFERROR(VLOOKUP($AV$4-COUNTA($F$4:L$4)+1,'Dev Patterns'!$B$6:$H$48,$B78,0),1)*(1-'Current - Sales, NWP, GWP'!K25/'Current - Sales, NWP, GWP'!K5))),"-")</f>
        <v>2008.112021670996</v>
      </c>
      <c r="M5" s="209">
        <f ca="1">IFERROR('Current - Sales, NWP, GWP'!L5/((IFERROR(VLOOKUP($AV$4-COUNTA($F$4:M$4)+1,'Dev Patterns'!$B$6:$H$48,$B42,0),1)*('Current - Sales, NWP, GWP'!L25/'Current - Sales, NWP, GWP'!L5))+(IFERROR(VLOOKUP($AV$4-COUNTA($F$4:M$4)+1,'Dev Patterns'!$B$6:$H$48,$B78,0),1)*(1-'Current - Sales, NWP, GWP'!L25/'Current - Sales, NWP, GWP'!L5))),"-")</f>
        <v>2245.2267757455011</v>
      </c>
      <c r="N5" s="209">
        <f ca="1">IFERROR('Current - Sales, NWP, GWP'!M5/((IFERROR(VLOOKUP($AV$4-COUNTA($F$4:N$4)+1,'Dev Patterns'!$B$6:$H$48,$B42,0),1)*('Current - Sales, NWP, GWP'!M25/'Current - Sales, NWP, GWP'!M5))+(IFERROR(VLOOKUP($AV$4-COUNTA($F$4:N$4)+1,'Dev Patterns'!$B$6:$H$48,$B78,0),1)*(1-'Current - Sales, NWP, GWP'!M25/'Current - Sales, NWP, GWP'!M5))),"-")</f>
        <v>2169.4972680251039</v>
      </c>
      <c r="O5" s="209">
        <f ca="1">IFERROR('Current - Sales, NWP, GWP'!N5/((IFERROR(VLOOKUP($AV$4-COUNTA($F$4:O$4)+1,'Dev Patterns'!$B$6:$H$48,$B42,0),1)*('Current - Sales, NWP, GWP'!N25/'Current - Sales, NWP, GWP'!N5))+(IFERROR(VLOOKUP($AV$4-COUNTA($F$4:O$4)+1,'Dev Patterns'!$B$6:$H$48,$B78,0),1)*(1-'Current - Sales, NWP, GWP'!N25/'Current - Sales, NWP, GWP'!N5))),"-")</f>
        <v>2519.644808569898</v>
      </c>
      <c r="P5" s="209">
        <f ca="1">IFERROR('Current - Sales, NWP, GWP'!O5/((IFERROR(VLOOKUP($AV$4-COUNTA($F$4:P$4)+1,'Dev Patterns'!$B$6:$H$48,$B42,0),1)*('Current - Sales, NWP, GWP'!O25/'Current - Sales, NWP, GWP'!O5))+(IFERROR(VLOOKUP($AV$4-COUNTA($F$4:P$4)+1,'Dev Patterns'!$B$6:$H$48,$B78,0),1)*(1-'Current - Sales, NWP, GWP'!O25/'Current - Sales, NWP, GWP'!O5))),"-")</f>
        <v>3230.5928964846084</v>
      </c>
      <c r="Q5" s="238">
        <f ca="1">IFERROR('Current - Sales, NWP, GWP'!P5/((IFERROR(VLOOKUP($AV$4-COUNTA($F$4:Q$4)+1,'Dev Patterns'!$B$6:$H$48,$B42,0),1)*('Current - Sales, NWP, GWP'!P25/'Current - Sales, NWP, GWP'!P5))+(IFERROR(VLOOKUP($AV$4-COUNTA($F$4:Q$4)+1,'Dev Patterns'!$B$6:$H$48,$B78,0),1)*(1-'Current - Sales, NWP, GWP'!P25/'Current - Sales, NWP, GWP'!P5))),"-")</f>
        <v>3230.0081965513018</v>
      </c>
      <c r="R5" s="209">
        <f ca="1">IFERROR('Current - Sales, NWP, GWP'!Q5/((IFERROR(VLOOKUP($AV$4-COUNTA($F$4:R$4)+1,'Dev Patterns'!$B$6:$H$48,$B42,0),1)*('Current - Sales, NWP, GWP'!Q25/'Current - Sales, NWP, GWP'!Q5))+(IFERROR(VLOOKUP($AV$4-COUNTA($F$4:R$4)+1,'Dev Patterns'!$B$6:$H$48,$B78,0),1)*(1-'Current - Sales, NWP, GWP'!Q25/'Current - Sales, NWP, GWP'!Q5))),"-")</f>
        <v>3523.3825135083025</v>
      </c>
      <c r="S5" s="209">
        <f ca="1">IFERROR('Current - Sales, NWP, GWP'!R5/((IFERROR(VLOOKUP($AV$4-COUNTA($F$4:S$4)+1,'Dev Patterns'!$B$6:$H$48,$B42,0),1)*('Current - Sales, NWP, GWP'!R25/'Current - Sales, NWP, GWP'!R5))+(IFERROR(VLOOKUP($AV$4-COUNTA($F$4:S$4)+1,'Dev Patterns'!$B$6:$H$48,$B78,0),1)*(1-'Current - Sales, NWP, GWP'!R25/'Current - Sales, NWP, GWP'!R5))),"-")</f>
        <v>4237.5081962073973</v>
      </c>
      <c r="T5" s="209">
        <f ca="1">IFERROR('Current - Sales, NWP, GWP'!S5/((IFERROR(VLOOKUP($AV$4-COUNTA($F$4:T$4)+1,'Dev Patterns'!$B$6:$H$48,$B42,0),1)*('Current - Sales, NWP, GWP'!S25/'Current - Sales, NWP, GWP'!S5))+(IFERROR(VLOOKUP($AV$4-COUNTA($F$4:T$4)+1,'Dev Patterns'!$B$6:$H$48,$B78,0),1)*(1-'Current - Sales, NWP, GWP'!S25/'Current - Sales, NWP, GWP'!S5))),"-")</f>
        <v>6105.2273968165864</v>
      </c>
      <c r="U5" s="209">
        <f ca="1">IFERROR('Current - Sales, NWP, GWP'!T5/((IFERROR(VLOOKUP($AV$4-COUNTA($F$4:U$4)+1,'Dev Patterns'!$B$6:$H$48,$B42,0),1)*('Current - Sales, NWP, GWP'!T25/'Current - Sales, NWP, GWP'!T5))+(IFERROR(VLOOKUP($AV$4-COUNTA($F$4:U$4)+1,'Dev Patterns'!$B$6:$H$48,$B78,0),1)*(1-'Current - Sales, NWP, GWP'!T25/'Current - Sales, NWP, GWP'!T5))),"-")</f>
        <v>5922.6767124173775</v>
      </c>
      <c r="V5" s="209">
        <f ca="1">IFERROR('Current - Sales, NWP, GWP'!U5/((IFERROR(VLOOKUP($AV$4-COUNTA($F$4:V$4)+1,'Dev Patterns'!$B$6:$H$48,$B42,0),1)*('Current - Sales, NWP, GWP'!U25/'Current - Sales, NWP, GWP'!U5))+(IFERROR(VLOOKUP($AV$4-COUNTA($F$4:V$4)+1,'Dev Patterns'!$B$6:$H$48,$B78,0),1)*(1-'Current - Sales, NWP, GWP'!U25/'Current - Sales, NWP, GWP'!U5))),"-")</f>
        <v>5863.1452052477716</v>
      </c>
      <c r="W5" s="209">
        <f ca="1">IFERROR('Current - Sales, NWP, GWP'!V5/((IFERROR(VLOOKUP($AV$4-COUNTA($F$4:W$4)+1,'Dev Patterns'!$B$6:$H$48,$B42,0),1)*('Current - Sales, NWP, GWP'!V25/'Current - Sales, NWP, GWP'!V5))+(IFERROR(VLOOKUP($AV$4-COUNTA($F$4:W$4)+1,'Dev Patterns'!$B$6:$H$48,$B78,0),1)*(1-'Current - Sales, NWP, GWP'!V25/'Current - Sales, NWP, GWP'!V5))),"-")</f>
        <v>4948.676712412981</v>
      </c>
      <c r="X5" s="209">
        <f ca="1">IFERROR('Current - Sales, NWP, GWP'!W5/((IFERROR(VLOOKUP($AV$4-COUNTA($F$4:X$4)+1,'Dev Patterns'!$B$6:$H$48,$B42,0),1)*('Current - Sales, NWP, GWP'!W25/'Current - Sales, NWP, GWP'!W5))+(IFERROR(VLOOKUP($AV$4-COUNTA($F$4:X$4)+1,'Dev Patterns'!$B$6:$H$48,$B78,0),1)*(1-'Current - Sales, NWP, GWP'!W25/'Current - Sales, NWP, GWP'!W5))),"-")</f>
        <v>4233.3369861537858</v>
      </c>
      <c r="Y5" s="209">
        <f ca="1">IFERROR('Current - Sales, NWP, GWP'!X5/((IFERROR(VLOOKUP($AV$4-COUNTA($F$4:Y$4)+1,'Dev Patterns'!$B$6:$H$48,$B42,0),1)*('Current - Sales, NWP, GWP'!X25/'Current - Sales, NWP, GWP'!X5))+(IFERROR(VLOOKUP($AV$4-COUNTA($F$4:Y$4)+1,'Dev Patterns'!$B$6:$H$48,$B78,0),1)*(1-'Current - Sales, NWP, GWP'!X25/'Current - Sales, NWP, GWP'!X5))),"-")</f>
        <v>3675.7972601147844</v>
      </c>
      <c r="Z5" s="209">
        <f ca="1">IFERROR('Current - Sales, NWP, GWP'!Y5/((IFERROR(VLOOKUP($AV$4-COUNTA($F$4:Z$4)+1,'Dev Patterns'!$B$6:$H$48,$B42,0),1)*('Current - Sales, NWP, GWP'!Y25/'Current - Sales, NWP, GWP'!Y5))+(IFERROR(VLOOKUP($AV$4-COUNTA($F$4:Z$4)+1,'Dev Patterns'!$B$6:$H$48,$B78,0),1)*(1-'Current - Sales, NWP, GWP'!Y25/'Current - Sales, NWP, GWP'!Y5))),"-")</f>
        <v>3343.8185803106121</v>
      </c>
      <c r="AA5" s="209">
        <f ca="1">IFERROR('Current - Sales, NWP, GWP'!Z5/((IFERROR(VLOOKUP($AV$4-COUNTA($F$4:AA$4)+1,'Dev Patterns'!$B$6:$H$48,$B42,0),1)*('Current - Sales, NWP, GWP'!Z25/'Current - Sales, NWP, GWP'!Z5))+(IFERROR(VLOOKUP($AV$4-COUNTA($F$4:AA$4)+1,'Dev Patterns'!$B$6:$H$48,$B78,0),1)*(1-'Current - Sales, NWP, GWP'!Z25/'Current - Sales, NWP, GWP'!Z5))),"-")</f>
        <v>3247.7860624741802</v>
      </c>
      <c r="AB5" s="209">
        <f ca="1">IFERROR('Current - Sales, NWP, GWP'!AA5/((IFERROR(VLOOKUP($AV$4-COUNTA($F$4:AB$4)+1,'Dev Patterns'!$B$6:$H$48,$B42,0),1)*('Current - Sales, NWP, GWP'!AA25/'Current - Sales, NWP, GWP'!AA5))+(IFERROR(VLOOKUP($AV$4-COUNTA($F$4:AB$4)+1,'Dev Patterns'!$B$6:$H$48,$B78,0),1)*(1-'Current - Sales, NWP, GWP'!AA25/'Current - Sales, NWP, GWP'!AA5))),"-")</f>
        <v>3326.3510056353357</v>
      </c>
      <c r="AC5" s="238">
        <f ca="1">IFERROR('Current - Sales, NWP, GWP'!AB5/((IFERROR(VLOOKUP($AV$4-COUNTA($F$4:AC$4)+1,'Dev Patterns'!$B$6:$H$48,$B42,0),1)*('Current - Sales, NWP, GWP'!AB25/'Current - Sales, NWP, GWP'!AB5))+(IFERROR(VLOOKUP($AV$4-COUNTA($F$4:AC$4)+1,'Dev Patterns'!$B$6:$H$48,$B78,0),1)*(1-'Current - Sales, NWP, GWP'!AB25/'Current - Sales, NWP, GWP'!AB5))),"-")</f>
        <v>3317.2971162416598</v>
      </c>
      <c r="AD5" s="209">
        <f ca="1">IFERROR('Current - Sales, NWP, GWP'!AC5/((IFERROR(VLOOKUP($AV$4-COUNTA($F$4:AD$4)+1,'Dev Patterns'!$B$6:$H$48,$B42,0),1)*('Current - Sales, NWP, GWP'!AC25/'Current - Sales, NWP, GWP'!AC5))+(IFERROR(VLOOKUP($AV$4-COUNTA($F$4:AD$4)+1,'Dev Patterns'!$B$6:$H$48,$B78,0),1)*(1-'Current - Sales, NWP, GWP'!AC25/'Current - Sales, NWP, GWP'!AC5))),"-")</f>
        <v>3418.3928997085964</v>
      </c>
      <c r="AE5" s="209">
        <f ca="1">IFERROR('Current - Sales, NWP, GWP'!AD5/((IFERROR(VLOOKUP($AV$4-COUNTA($F$4:AE$4)+1,'Dev Patterns'!$B$6:$H$48,$B42,0),1)*('Current - Sales, NWP, GWP'!AD25/'Current - Sales, NWP, GWP'!AD5))+(IFERROR(VLOOKUP($AV$4-COUNTA($F$4:AE$4)+1,'Dev Patterns'!$B$6:$H$48,$B78,0),1)*(1-'Current - Sales, NWP, GWP'!AD25/'Current - Sales, NWP, GWP'!AD5))),"-")</f>
        <v>2802.9209777070905</v>
      </c>
      <c r="AF5" s="209">
        <f ca="1">IFERROR('Current - Sales, NWP, GWP'!AE5/((IFERROR(VLOOKUP($AV$4-COUNTA($F$4:AF$4)+1,'Dev Patterns'!$B$6:$H$48,$B42,0),1)*('Current - Sales, NWP, GWP'!AE25/'Current - Sales, NWP, GWP'!AE5))+(IFERROR(VLOOKUP($AV$4-COUNTA($F$4:AF$4)+1,'Dev Patterns'!$B$6:$H$48,$B78,0),1)*(1-'Current - Sales, NWP, GWP'!AE25/'Current - Sales, NWP, GWP'!AE5))),"-")</f>
        <v>3540.3306379969204</v>
      </c>
      <c r="AG5" s="209">
        <f ca="1">IFERROR('Current - Sales, NWP, GWP'!AF5/((IFERROR(VLOOKUP($AV$4-COUNTA($F$4:AG$4)+1,'Dev Patterns'!$B$6:$H$48,$B42,0),1)*('Current - Sales, NWP, GWP'!AF25/'Current - Sales, NWP, GWP'!AF5))+(IFERROR(VLOOKUP($AV$4-COUNTA($F$4:AG$4)+1,'Dev Patterns'!$B$6:$H$48,$B78,0),1)*(1-'Current - Sales, NWP, GWP'!AF25/'Current - Sales, NWP, GWP'!AF5))),"-")</f>
        <v>3563.3824850882415</v>
      </c>
      <c r="AH5" s="209">
        <f ca="1">IFERROR('Current - Sales, NWP, GWP'!AG5/((IFERROR(VLOOKUP($AV$4-COUNTA($F$4:AH$4)+1,'Dev Patterns'!$B$6:$H$48,$B42,0),1)*('Current - Sales, NWP, GWP'!AG25/'Current - Sales, NWP, GWP'!AG5))+(IFERROR(VLOOKUP($AV$4-COUNTA($F$4:AH$4)+1,'Dev Patterns'!$B$6:$H$48,$B78,0),1)*(1-'Current - Sales, NWP, GWP'!AG25/'Current - Sales, NWP, GWP'!AG5))),"-")</f>
        <v>3583.2890749280618</v>
      </c>
      <c r="AI5" s="209">
        <f ca="1">IFERROR('Current - Sales, NWP, GWP'!AH5/((IFERROR(VLOOKUP($AV$4-COUNTA($F$4:AI$4)+1,'Dev Patterns'!$B$6:$H$48,$B42,0),1)*('Current - Sales, NWP, GWP'!AH25/'Current - Sales, NWP, GWP'!AH5))+(IFERROR(VLOOKUP($AV$4-COUNTA($F$4:AI$4)+1,'Dev Patterns'!$B$6:$H$48,$B78,0),1)*(1-'Current - Sales, NWP, GWP'!AH25/'Current - Sales, NWP, GWP'!AH5))),"-")</f>
        <v>3228.3257047214647</v>
      </c>
      <c r="AJ5" s="209">
        <f ca="1">IFERROR('Current - Sales, NWP, GWP'!AI5/((IFERROR(VLOOKUP($AV$4-COUNTA($F$4:AJ$4)+1,'Dev Patterns'!$B$6:$H$48,$B42,0),1)*('Current - Sales, NWP, GWP'!AI25/'Current - Sales, NWP, GWP'!AI5))+(IFERROR(VLOOKUP($AV$4-COUNTA($F$4:AJ$4)+1,'Dev Patterns'!$B$6:$H$48,$B78,0),1)*(1-'Current - Sales, NWP, GWP'!AI25/'Current - Sales, NWP, GWP'!AI5))),"-")</f>
        <v>3125.5700128980038</v>
      </c>
      <c r="AK5" s="209">
        <f ca="1">IFERROR('Current - Sales, NWP, GWP'!AJ5/((IFERROR(VLOOKUP($AV$4-COUNTA($F$4:AK$4)+1,'Dev Patterns'!$B$6:$H$48,$B42,0),1)*('Current - Sales, NWP, GWP'!AJ25/'Current - Sales, NWP, GWP'!AJ5))+(IFERROR(VLOOKUP($AV$4-COUNTA($F$4:AK$4)+1,'Dev Patterns'!$B$6:$H$48,$B78,0),1)*(1-'Current - Sales, NWP, GWP'!AJ25/'Current - Sales, NWP, GWP'!AJ5))),"-")</f>
        <v>1418.3929705084354</v>
      </c>
      <c r="AL5" s="209" t="str">
        <f ca="1">IFERROR('Current - Sales, NWP, GWP'!AK5/((IFERROR(VLOOKUP($AV$4-COUNTA($F$4:AL$4)+1,'Dev Patterns'!$B$6:$H$48,$B42,0),1)*('Current - Sales, NWP, GWP'!AK25/'Current - Sales, NWP, GWP'!AK5))+(IFERROR(VLOOKUP($AV$4-COUNTA($F$4:AL$4)+1,'Dev Patterns'!$B$6:$H$48,$B78,0),1)*(1-'Current - Sales, NWP, GWP'!AK25/'Current - Sales, NWP, GWP'!AK5))),"-")</f>
        <v>-</v>
      </c>
      <c r="AM5" s="209" t="str">
        <f ca="1">IFERROR('Current - Sales, NWP, GWP'!AL5/((IFERROR(VLOOKUP($AV$4-COUNTA($F$4:AM$4)+1,'Dev Patterns'!$B$6:$H$48,$B42,0),1)*('Current - Sales, NWP, GWP'!AL25/'Current - Sales, NWP, GWP'!AL5))+(IFERROR(VLOOKUP($AV$4-COUNTA($F$4:AM$4)+1,'Dev Patterns'!$B$6:$H$48,$B78,0),1)*(1-'Current - Sales, NWP, GWP'!AL25/'Current - Sales, NWP, GWP'!AL5))),"-")</f>
        <v>-</v>
      </c>
      <c r="AN5" s="209" t="str">
        <f ca="1">IFERROR('Current - Sales, NWP, GWP'!AM5/((IFERROR(VLOOKUP($AV$4-COUNTA($F$4:AN$4)+1,'Dev Patterns'!$B$6:$H$48,$B42,0),1)*('Current - Sales, NWP, GWP'!AM25/'Current - Sales, NWP, GWP'!AM5))+(IFERROR(VLOOKUP($AV$4-COUNTA($F$4:AN$4)+1,'Dev Patterns'!$B$6:$H$48,$B78,0),1)*(1-'Current - Sales, NWP, GWP'!AM25/'Current - Sales, NWP, GWP'!AM5))),"-")</f>
        <v>-</v>
      </c>
      <c r="AO5" s="238" t="str">
        <f ca="1">IFERROR('Current - Sales, NWP, GWP'!AN5/((IFERROR(VLOOKUP($AV$4-COUNTA($F$4:AO$4)+1,'Dev Patterns'!$B$6:$H$48,$B42,0),1)*('Current - Sales, NWP, GWP'!AN25/'Current - Sales, NWP, GWP'!AN5))+(IFERROR(VLOOKUP($AV$4-COUNTA($F$4:AO$4)+1,'Dev Patterns'!$B$6:$H$48,$B78,0),1)*(1-'Current - Sales, NWP, GWP'!AN25/'Current - Sales, NWP, GWP'!AN5))),"-")</f>
        <v>-</v>
      </c>
      <c r="AP5" s="237">
        <f ca="1">IFERROR(AVERAGE(INDEX($F5:$AO5, $AV$4 - 3):INDEX($F5:$AO5, $AV$4)),"-")</f>
        <v>2838.8944407639915</v>
      </c>
      <c r="AQ5" s="209">
        <f ca="1">IFERROR(AVERAGE(INDEX($F5:$AO5, $AV$4 - 11):INDEX($F5:$AO5, $AV$4)),"-")</f>
        <v>3159.6547940182172</v>
      </c>
      <c r="AR5" s="209" cm="1">
        <f t="array" aca="1" ref="AR5" ca="1">IFERROR(SUMPRODUCT(IFERROR((YEAR($F$4:$AO$4)=2024)*$F5:$AO5,0)),"-")</f>
        <v>51745.003747540766</v>
      </c>
      <c r="AS5" s="209">
        <f ca="1">IFERROR(SUM(INDEX($F5:$AO5, $AV$4 - MONTH(TODAY())-11):INDEX($F5:$AO5, $AV$4-12)),"-")</f>
        <v>38509.750982878984</v>
      </c>
      <c r="AT5" s="238">
        <f ca="1">IFERROR(SUM(INDEX($F5:$AO5, $AV$4 - MONTH(TODAY())+1):INDEX($F5:$AO5, $AV$4)),"-")</f>
        <v>24680.60476355681</v>
      </c>
      <c r="AU5" s="3" t="s">
        <v>313</v>
      </c>
    </row>
    <row r="6" spans="3:48" ht="15.75" hidden="1" x14ac:dyDescent="0.25">
      <c r="C6" t="str">
        <f>$E$2&amp;"_W VYRs"</f>
        <v>PC Annual Direct_W VYRs</v>
      </c>
      <c r="D6" s="290"/>
      <c r="E6" s="211" t="s">
        <v>317</v>
      </c>
      <c r="F6" s="31" t="str">
        <f>INDEX('Plan Figures'!$B$5:$AP$31,MATCH('Ultimate - Sales, NWP, GWP'!F$4,'Plan Figures'!$B$5:$B$31,0),MATCH('Ultimate - Sales, NWP, GWP'!$C6,'Plan Figures'!$B$1:$AP$1,0))</f>
        <v>-</v>
      </c>
      <c r="G6" s="31"/>
      <c r="H6" s="31"/>
      <c r="I6" s="31"/>
      <c r="J6" s="31"/>
      <c r="K6" s="31"/>
      <c r="L6" s="31"/>
      <c r="M6" s="31"/>
      <c r="N6" s="31"/>
      <c r="O6" s="31"/>
      <c r="P6" s="31"/>
      <c r="Q6" s="240"/>
      <c r="R6" s="31"/>
      <c r="S6" s="31">
        <f>INDEX('Plan Figures'!$B$5:$AP$31,MATCH('Ultimate - Sales, NWP, GWP'!S$4,'Plan Figures'!$B$5:$B$31,0),MATCH('Ultimate - Sales, NWP, GWP'!$C6,'Plan Figures'!$B$1:$AP$1,0))</f>
        <v>4267.0066178598499</v>
      </c>
      <c r="T6" s="31">
        <f>INDEX('Plan Figures'!$B$5:$AP$31,MATCH('Ultimate - Sales, NWP, GWP'!T$4,'Plan Figures'!$B$5:$B$31,0),MATCH('Ultimate - Sales, NWP, GWP'!$C6,'Plan Figures'!$B$1:$AP$1,0))</f>
        <v>4260.1528668314522</v>
      </c>
      <c r="U6" s="31">
        <f>INDEX('Plan Figures'!$B$5:$AP$31,MATCH('Ultimate - Sales, NWP, GWP'!U$4,'Plan Figures'!$B$5:$B$31,0),MATCH('Ultimate - Sales, NWP, GWP'!$C6,'Plan Figures'!$B$1:$AP$1,0))</f>
        <v>4253.3127959448284</v>
      </c>
      <c r="V6" s="31">
        <f>INDEX('Plan Figures'!$B$5:$AP$31,MATCH('Ultimate - Sales, NWP, GWP'!V$4,'Plan Figures'!$B$5:$B$31,0),MATCH('Ultimate - Sales, NWP, GWP'!$C6,'Plan Figures'!$B$1:$AP$1,0))</f>
        <v>4246.8636837603826</v>
      </c>
      <c r="W6" s="31">
        <f>INDEX('Plan Figures'!$B$5:$AP$31,MATCH('Ultimate - Sales, NWP, GWP'!W$4,'Plan Figures'!$B$5:$B$31,0),MATCH('Ultimate - Sales, NWP, GWP'!$C6,'Plan Figures'!$B$1:$AP$1,0))</f>
        <v>4318.1657423106572</v>
      </c>
      <c r="X6" s="31">
        <f>INDEX('Plan Figures'!$B$5:$AP$31,MATCH('Ultimate - Sales, NWP, GWP'!X$4,'Plan Figures'!$B$5:$B$31,0),MATCH('Ultimate - Sales, NWP, GWP'!$C6,'Plan Figures'!$B$1:$AP$1,0))</f>
        <v>4195.7154005708353</v>
      </c>
      <c r="Y6" s="31">
        <f>INDEX('Plan Figures'!$B$5:$AP$31,MATCH('Ultimate - Sales, NWP, GWP'!Y$4,'Plan Figures'!$B$5:$B$31,0),MATCH('Ultimate - Sales, NWP, GWP'!$C6,'Plan Figures'!$B$1:$AP$1,0))</f>
        <v>4057.7980519065386</v>
      </c>
      <c r="Z6" s="31">
        <f>INDEX('Plan Figures'!$B$5:$AP$31,MATCH('Ultimate - Sales, NWP, GWP'!Z$4,'Plan Figures'!$B$5:$B$31,0),MATCH('Ultimate - Sales, NWP, GWP'!$C6,'Plan Figures'!$B$1:$AP$1,0))</f>
        <v>5129.8964943047231</v>
      </c>
      <c r="AA6" s="31">
        <f>INDEX('Plan Figures'!$B$5:$AP$31,MATCH('Ultimate - Sales, NWP, GWP'!AA$4,'Plan Figures'!$B$5:$B$31,0),MATCH('Ultimate - Sales, NWP, GWP'!$C6,'Plan Figures'!$B$1:$AP$1,0))</f>
        <v>5273.6010221942579</v>
      </c>
      <c r="AB6" s="31">
        <f>INDEX('Plan Figures'!$B$5:$AP$31,MATCH('Ultimate - Sales, NWP, GWP'!AB$4,'Plan Figures'!$B$5:$B$31,0),MATCH('Ultimate - Sales, NWP, GWP'!$C6,'Plan Figures'!$B$1:$AP$1,0))</f>
        <v>4282.0488949348064</v>
      </c>
      <c r="AC6" s="240">
        <f>INDEX('Plan Figures'!$B$5:$AP$31,MATCH('Ultimate - Sales, NWP, GWP'!AC$4,'Plan Figures'!$B$5:$B$31,0),MATCH('Ultimate - Sales, NWP, GWP'!$C6,'Plan Figures'!$B$1:$AP$1,0))</f>
        <v>3736.9957476015165</v>
      </c>
      <c r="AD6" s="31">
        <f>INDEX('Plan Figures'!$B$5:$AP$31,MATCH('Ultimate - Sales, NWP, GWP'!AD$4,'Plan Figures'!$B$5:$B$31,0),MATCH('Ultimate - Sales, NWP, GWP'!$C6,'Plan Figures'!$B$1:$AP$1,0))</f>
        <v>6775.1779456942486</v>
      </c>
      <c r="AE6" s="31">
        <f>INDEX('Plan Figures'!$B$5:$AP$42,MATCH('Ultimate - Sales, NWP, GWP'!AE$4,'Plan Figures'!$B$5:$B$42,0),MATCH('Ultimate - Sales, NWP, GWP'!$C6,'Plan Figures'!$B$1:$AP$1,0))</f>
        <v>6748.3832163336683</v>
      </c>
      <c r="AF6" s="31">
        <f>INDEX('Plan Figures'!$B$5:$AP$42,MATCH('Ultimate - Sales, NWP, GWP'!AF$4,'Plan Figures'!$B$5:$B$42,0),MATCH('Ultimate - Sales, NWP, GWP'!$C6,'Plan Figures'!$B$1:$AP$1,0))</f>
        <v>6758.4251029088618</v>
      </c>
      <c r="AG6" s="31">
        <f>INDEX('Plan Figures'!$B$5:$AP$42,MATCH('Ultimate - Sales, NWP, GWP'!AG$4,'Plan Figures'!$B$5:$B$42,0),MATCH('Ultimate - Sales, NWP, GWP'!$C6,'Plan Figures'!$B$1:$AP$1,0))</f>
        <v>5951.7548544035253</v>
      </c>
      <c r="AH6" s="31">
        <f>INDEX('Plan Figures'!$B$5:$AP$42,MATCH('Ultimate - Sales, NWP, GWP'!AH$4,'Plan Figures'!$B$5:$B$42,0),MATCH('Ultimate - Sales, NWP, GWP'!$C6,'Plan Figures'!$B$1:$AP$1,0))</f>
        <v>5939.0362226045963</v>
      </c>
      <c r="AI6" s="31">
        <f>INDEX('Plan Figures'!$B$5:$AP$42,MATCH('Ultimate - Sales, NWP, GWP'!AI$4,'Plan Figures'!$B$5:$B$42,0),MATCH('Ultimate - Sales, NWP, GWP'!$C6,'Plan Figures'!$B$1:$AP$1,0))</f>
        <v>5911.7749409688395</v>
      </c>
      <c r="AJ6" s="31">
        <f>INDEX('Plan Figures'!$B$5:$AP$42,MATCH('Ultimate - Sales, NWP, GWP'!AJ$4,'Plan Figures'!$B$5:$B$42,0),MATCH('Ultimate - Sales, NWP, GWP'!$C6,'Plan Figures'!$B$1:$AP$1,0))</f>
        <v>5924.6680990402583</v>
      </c>
      <c r="AK6" s="31">
        <f>INDEX('Plan Figures'!$B$5:$AP$42,MATCH('Ultimate - Sales, NWP, GWP'!AK$4,'Plan Figures'!$B$5:$B$42,0),MATCH('Ultimate - Sales, NWP, GWP'!$C6,'Plan Figures'!$B$1:$AP$1,0))</f>
        <v>5927.6268783829582</v>
      </c>
      <c r="AL6" s="31">
        <f>INDEX('Plan Figures'!$B$5:$AP$42,MATCH('Ultimate - Sales, NWP, GWP'!AL$4,'Plan Figures'!$B$5:$B$42,0),MATCH('Ultimate - Sales, NWP, GWP'!$C6,'Plan Figures'!$B$1:$AP$1,0))</f>
        <v>5932.4171858639183</v>
      </c>
      <c r="AM6" s="31">
        <f>INDEX('Plan Figures'!$B$5:$AP$42,MATCH('Ultimate - Sales, NWP, GWP'!AM$4,'Plan Figures'!$B$5:$B$42,0),MATCH('Ultimate - Sales, NWP, GWP'!$C6,'Plan Figures'!$B$1:$AP$1,0))</f>
        <v>5945.5411663710056</v>
      </c>
      <c r="AN6" s="31">
        <f>INDEX('Plan Figures'!$B$5:$AP$42,MATCH('Ultimate - Sales, NWP, GWP'!AN$4,'Plan Figures'!$B$5:$B$42,0),MATCH('Ultimate - Sales, NWP, GWP'!$C6,'Plan Figures'!$B$1:$AP$1,0))</f>
        <v>5527.6922998960972</v>
      </c>
      <c r="AO6" s="240">
        <f>INDEX('Plan Figures'!$B$5:$AP$42,MATCH('Ultimate - Sales, NWP, GWP'!AO$4,'Plan Figures'!$B$5:$B$42,0),MATCH('Ultimate - Sales, NWP, GWP'!$C6,'Plan Figures'!$B$1:$AP$1,0))</f>
        <v>4678.0836263737219</v>
      </c>
      <c r="AP6" s="239">
        <f t="shared" ref="AP6:AP7" si="1">AVERAGE(AA6:AD6)</f>
        <v>5016.955902606207</v>
      </c>
      <c r="AQ6" s="31">
        <f t="shared" ref="AQ6:AQ7" si="2">AVERAGE(S6:AD6)</f>
        <v>4566.3946053261752</v>
      </c>
      <c r="AR6" s="31"/>
      <c r="AS6" s="31">
        <f>SUMIFS(AD6:AO6,AD$4:AO$4,"&lt;"&amp;'Title Sheet'!$C$13)</f>
        <v>49936.847260336959</v>
      </c>
      <c r="AT6" s="240"/>
    </row>
    <row r="7" spans="3:48" ht="15.75" hidden="1" x14ac:dyDescent="0.25">
      <c r="C7" t="str">
        <f t="shared" ref="C7:C17" si="3">$E$2</f>
        <v>PC Annual Direct</v>
      </c>
      <c r="D7" s="290"/>
      <c r="E7" s="213" t="s">
        <v>0</v>
      </c>
      <c r="F7" s="214" t="str">
        <f t="shared" ref="F7" ca="1" si="4">IFERROR(IF(F5=0,"-",(F5/F6)-1),"-")</f>
        <v>-</v>
      </c>
      <c r="G7" s="214" t="str">
        <f t="shared" ref="G7" ca="1" si="5">IFERROR(IF(G5=0,"-",(G5/G6)-1),"-")</f>
        <v>-</v>
      </c>
      <c r="H7" s="214" t="str">
        <f t="shared" ref="H7" ca="1" si="6">IFERROR(IF(H5=0,"-",(H5/H6)-1),"-")</f>
        <v>-</v>
      </c>
      <c r="I7" s="214" t="str">
        <f t="shared" ref="I7" ca="1" si="7">IFERROR(IF(I5=0,"-",(I5/I6)-1),"-")</f>
        <v>-</v>
      </c>
      <c r="J7" s="214" t="str">
        <f t="shared" ref="J7" ca="1" si="8">IFERROR(IF(J5=0,"-",(J5/J6)-1),"-")</f>
        <v>-</v>
      </c>
      <c r="K7" s="214" t="str">
        <f t="shared" ref="K7" ca="1" si="9">IFERROR(IF(K5=0,"-",(K5/K6)-1),"-")</f>
        <v>-</v>
      </c>
      <c r="L7" s="214" t="str">
        <f t="shared" ref="L7" ca="1" si="10">IFERROR(IF(L5=0,"-",(L5/L6)-1),"-")</f>
        <v>-</v>
      </c>
      <c r="M7" s="214" t="str">
        <f t="shared" ref="M7" ca="1" si="11">IFERROR(IF(M5=0,"-",(M5/M6)-1),"-")</f>
        <v>-</v>
      </c>
      <c r="N7" s="214" t="str">
        <f t="shared" ref="N7" ca="1" si="12">IFERROR(IF(N5=0,"-",(N5/N6)-1),"-")</f>
        <v>-</v>
      </c>
      <c r="O7" s="214" t="str">
        <f t="shared" ref="O7" ca="1" si="13">IFERROR(IF(O5=0,"-",(O5/O6)-1),"-")</f>
        <v>-</v>
      </c>
      <c r="P7" s="214" t="str">
        <f t="shared" ref="P7" ca="1" si="14">IFERROR(IF(P5=0,"-",(P5/P6)-1),"-")</f>
        <v>-</v>
      </c>
      <c r="Q7" s="294" t="str">
        <f t="shared" ref="Q7" ca="1" si="15">IFERROR(IF(Q5=0,"-",(Q5/Q6)-1),"-")</f>
        <v>-</v>
      </c>
      <c r="R7" s="214" t="str">
        <f t="shared" ref="R7" ca="1" si="16">IFERROR(IF(R5=0,"-",(R5/R6)-1),"-")</f>
        <v>-</v>
      </c>
      <c r="S7" s="214">
        <f t="shared" ref="S7" ca="1" si="17">IFERROR(IF(S5=0,"-",(S5/S6)-1),"-")</f>
        <v>-6.9131417628894853E-3</v>
      </c>
      <c r="T7" s="214">
        <f t="shared" ref="T7" ca="1" si="18">IFERROR(IF(T5=0,"-",(T5/T6)-1),"-")</f>
        <v>0.43310054537020259</v>
      </c>
      <c r="U7" s="214">
        <f t="shared" ref="U7" ca="1" si="19">IFERROR(IF(U5=0,"-",(U5/U6)-1),"-")</f>
        <v>0.39248557455359157</v>
      </c>
      <c r="V7" s="214">
        <f t="shared" ref="V7" ca="1" si="20">IFERROR(IF(V5=0,"-",(V5/V6)-1),"-")</f>
        <v>0.38058238781430664</v>
      </c>
      <c r="W7" s="214">
        <f t="shared" ref="W7" ca="1" si="21">IFERROR(IF(W5=0,"-",(W5/W6)-1),"-")</f>
        <v>0.14601361034487215</v>
      </c>
      <c r="X7" s="214">
        <f t="shared" ref="X7" ca="1" si="22">IFERROR(IF(X5=0,"-",(X5/X6)-1),"-")</f>
        <v>8.9666676576376503E-3</v>
      </c>
      <c r="Y7" s="214">
        <f t="shared" ref="Y7" ca="1" si="23">IFERROR(IF(Y5=0,"-",(Y5/Y6)-1),"-")</f>
        <v>-9.4139921924471515E-2</v>
      </c>
      <c r="Z7" s="214">
        <f t="shared" ref="Z7" ca="1" si="24">IFERROR(IF(Z5=0,"-",(Z5/Z6)-1),"-")</f>
        <v>-0.34817036093750386</v>
      </c>
      <c r="AA7" s="214">
        <f t="shared" ref="AA7" ca="1" si="25">IFERROR(IF(AA5=0,"-",(AA5/AA6)-1),"-")</f>
        <v>-0.38414262876435235</v>
      </c>
      <c r="AB7" s="214">
        <f t="shared" ref="AB7" ca="1" si="26">IFERROR(IF(AB5=0,"-",(AB5/AB6)-1),"-")</f>
        <v>-0.22318705665177163</v>
      </c>
      <c r="AC7" s="294">
        <f t="shared" ref="AC7" ca="1" si="27">IFERROR(IF(AC5=0,"-",(AC5/AC6)-1),"-")</f>
        <v>-0.11230910060018884</v>
      </c>
      <c r="AD7" s="214">
        <f t="shared" ref="AD7" ca="1" si="28">IFERROR(IF(AD5=0,"-",(AD5/AD6)-1),"-")</f>
        <v>-0.49545341434448253</v>
      </c>
      <c r="AE7" s="214">
        <f t="shared" ref="AE7" ca="1" si="29">IFERROR(IF(AE5=0,"-",(AE5/AE6)-1),"-")</f>
        <v>-0.58465296236838626</v>
      </c>
      <c r="AF7" s="214">
        <f t="shared" ref="AF7" ca="1" si="30">IFERROR(IF(AF5=0,"-",(AF5/AF6)-1),"-")</f>
        <v>-0.47616040954968286</v>
      </c>
      <c r="AG7" s="214">
        <f t="shared" ref="AG7" ca="1" si="31">IFERROR(IF(AG5=0,"-",(AG5/AG6)-1),"-")</f>
        <v>-0.40128876738735275</v>
      </c>
      <c r="AH7" s="214">
        <f t="shared" ref="AH7" ca="1" si="32">IFERROR(IF(AH5=0,"-",(AH5/AH6)-1),"-")</f>
        <v>-0.39665478696868584</v>
      </c>
      <c r="AI7" s="214">
        <f t="shared" ref="AI7" ca="1" si="33">IFERROR(IF(AI5=0,"-",(AI5/AI6)-1),"-")</f>
        <v>-0.45391600036242297</v>
      </c>
      <c r="AJ7" s="214">
        <f t="shared" ref="AJ7" ca="1" si="34">IFERROR(IF(AJ5=0,"-",(AJ5/AJ6)-1),"-")</f>
        <v>-0.47244808305729102</v>
      </c>
      <c r="AK7" s="214">
        <f t="shared" ref="AK7" ca="1" si="35">IFERROR(IF(AK5=0,"-",(AK5/AK6)-1),"-")</f>
        <v>-0.76071486960809365</v>
      </c>
      <c r="AL7" s="214" t="str">
        <f t="shared" ref="AL7" ca="1" si="36">IFERROR(IF(AL5=0,"-",(AL5/AL6)-1),"-")</f>
        <v>-</v>
      </c>
      <c r="AM7" s="214" t="str">
        <f t="shared" ref="AM7" ca="1" si="37">IFERROR(IF(AM5=0,"-",(AM5/AM6)-1),"-")</f>
        <v>-</v>
      </c>
      <c r="AN7" s="214" t="str">
        <f t="shared" ref="AN7" ca="1" si="38">IFERROR(IF(AN5=0,"-",(AN5/AN6)-1),"-")</f>
        <v>-</v>
      </c>
      <c r="AO7" s="294" t="str">
        <f t="shared" ref="AO7" ca="1" si="39">IFERROR(IF(AO5=0,"-",(AO5/AO6)-1),"-")</f>
        <v>-</v>
      </c>
      <c r="AP7" s="241">
        <f t="shared" ca="1" si="1"/>
        <v>-0.30377305009019884</v>
      </c>
      <c r="AQ7" s="242">
        <f t="shared" ca="1" si="2"/>
        <v>-2.5263903270420784E-2</v>
      </c>
      <c r="AR7" s="242"/>
      <c r="AS7" s="242">
        <f t="shared" ref="AS7" ca="1" si="40">IFERROR(IF(AS5=0,"-",(AS5/AS6)-1),"-")</f>
        <v>-0.22883095157939826</v>
      </c>
      <c r="AT7" s="243"/>
    </row>
    <row r="8" spans="3:48" ht="15.75" x14ac:dyDescent="0.25">
      <c r="C8" t="str">
        <f t="shared" si="3"/>
        <v>PC Annual Direct</v>
      </c>
      <c r="D8" s="290"/>
      <c r="E8" s="208" t="s">
        <v>5</v>
      </c>
      <c r="F8" s="332">
        <f ca="1">IFERROR('Current - Sales, NWP, GWP'!E8/((IFERROR(VLOOKUP($AV$4-COUNTA($F$4:F$4)+1,'Dev Patterns'!$B$6:$H$48,$B45,0),1)*('Current - Sales, NWP, GWP'!E28/'Current - Sales, NWP, GWP'!E8))+(IFERROR(VLOOKUP($AV$4-COUNTA($F$4:F$4)+1,'Dev Patterns'!$B$6:$H$48,$B81,0),1)*(1-'Current - Sales, NWP, GWP'!E28/'Current - Sales, NWP, GWP'!E8))),"-")</f>
        <v>2156372.319645613</v>
      </c>
      <c r="G8" s="332">
        <f ca="1">IFERROR('Current - Sales, NWP, GWP'!F8/((IFERROR(VLOOKUP($AV$4-COUNTA($F$4:G$4)+1,'Dev Patterns'!$B$6:$H$48,$B45,0),1)*('Current - Sales, NWP, GWP'!F28/'Current - Sales, NWP, GWP'!F8))+(IFERROR(VLOOKUP($AV$4-COUNTA($F$4:G$4)+1,'Dev Patterns'!$B$6:$H$48,$B81,0),1)*(1-'Current - Sales, NWP, GWP'!F28/'Current - Sales, NWP, GWP'!F8))),"-")</f>
        <v>2207309.5860689273</v>
      </c>
      <c r="H8" s="332">
        <f ca="1">IFERROR('Current - Sales, NWP, GWP'!G8/((IFERROR(VLOOKUP($AV$4-COUNTA($F$4:H$4)+1,'Dev Patterns'!$B$6:$H$48,$B45,0),1)*('Current - Sales, NWP, GWP'!G28/'Current - Sales, NWP, GWP'!G8))+(IFERROR(VLOOKUP($AV$4-COUNTA($F$4:H$4)+1,'Dev Patterns'!$B$6:$H$48,$B81,0),1)*(1-'Current - Sales, NWP, GWP'!G28/'Current - Sales, NWP, GWP'!G8))),"-")</f>
        <v>2365372.9364301004</v>
      </c>
      <c r="I8" s="332">
        <f ca="1">IFERROR('Current - Sales, NWP, GWP'!H8/((IFERROR(VLOOKUP($AV$4-COUNTA($F$4:I$4)+1,'Dev Patterns'!$B$6:$H$48,$B45,0),1)*('Current - Sales, NWP, GWP'!H28/'Current - Sales, NWP, GWP'!H8))+(IFERROR(VLOOKUP($AV$4-COUNTA($F$4:I$4)+1,'Dev Patterns'!$B$6:$H$48,$B81,0),1)*(1-'Current - Sales, NWP, GWP'!H28/'Current - Sales, NWP, GWP'!H8))),"-")</f>
        <v>2115754.1796423746</v>
      </c>
      <c r="J8" s="332">
        <f ca="1">IFERROR('Current - Sales, NWP, GWP'!I8/((IFERROR(VLOOKUP($AV$4-COUNTA($F$4:J$4)+1,'Dev Patterns'!$B$6:$H$48,$B45,0),1)*('Current - Sales, NWP, GWP'!I28/'Current - Sales, NWP, GWP'!I8))+(IFERROR(VLOOKUP($AV$4-COUNTA($F$4:J$4)+1,'Dev Patterns'!$B$6:$H$48,$B81,0),1)*(1-'Current - Sales, NWP, GWP'!I28/'Current - Sales, NWP, GWP'!I8))),"-")</f>
        <v>2440301.4792887256</v>
      </c>
      <c r="K8" s="332">
        <f ca="1">IFERROR('Current - Sales, NWP, GWP'!J8/((IFERROR(VLOOKUP($AV$4-COUNTA($F$4:K$4)+1,'Dev Patterns'!$B$6:$H$48,$B45,0),1)*('Current - Sales, NWP, GWP'!J28/'Current - Sales, NWP, GWP'!J8))+(IFERROR(VLOOKUP($AV$4-COUNTA($F$4:K$4)+1,'Dev Patterns'!$B$6:$H$48,$B81,0),1)*(1-'Current - Sales, NWP, GWP'!J28/'Current - Sales, NWP, GWP'!J8))),"-")</f>
        <v>2263652.6285727057</v>
      </c>
      <c r="L8" s="332">
        <f ca="1">IFERROR('Current - Sales, NWP, GWP'!K8/((IFERROR(VLOOKUP($AV$4-COUNTA($F$4:L$4)+1,'Dev Patterns'!$B$6:$H$48,$B45,0),1)*('Current - Sales, NWP, GWP'!K28/'Current - Sales, NWP, GWP'!K8))+(IFERROR(VLOOKUP($AV$4-COUNTA($F$4:L$4)+1,'Dev Patterns'!$B$6:$H$48,$B81,0),1)*(1-'Current - Sales, NWP, GWP'!K28/'Current - Sales, NWP, GWP'!K8))),"-")</f>
        <v>2382767.0260725757</v>
      </c>
      <c r="M8" s="332">
        <f ca="1">IFERROR('Current - Sales, NWP, GWP'!L8/((IFERROR(VLOOKUP($AV$4-COUNTA($F$4:M$4)+1,'Dev Patterns'!$B$6:$H$48,$B45,0),1)*('Current - Sales, NWP, GWP'!L28/'Current - Sales, NWP, GWP'!L8))+(IFERROR(VLOOKUP($AV$4-COUNTA($F$4:M$4)+1,'Dev Patterns'!$B$6:$H$48,$B81,0),1)*(1-'Current - Sales, NWP, GWP'!L28/'Current - Sales, NWP, GWP'!L8))),"-")</f>
        <v>2684104.4771530977</v>
      </c>
      <c r="N8" s="332">
        <f ca="1">IFERROR('Current - Sales, NWP, GWP'!M8/((IFERROR(VLOOKUP($AV$4-COUNTA($F$4:N$4)+1,'Dev Patterns'!$B$6:$H$48,$B45,0),1)*('Current - Sales, NWP, GWP'!M28/'Current - Sales, NWP, GWP'!M8))+(IFERROR(VLOOKUP($AV$4-COUNTA($F$4:N$4)+1,'Dev Patterns'!$B$6:$H$48,$B81,0),1)*(1-'Current - Sales, NWP, GWP'!M28/'Current - Sales, NWP, GWP'!M8))),"-")</f>
        <v>2753698.4557139152</v>
      </c>
      <c r="O8" s="332">
        <f ca="1">IFERROR('Current - Sales, NWP, GWP'!N8/((IFERROR(VLOOKUP($AV$4-COUNTA($F$4:O$4)+1,'Dev Patterns'!$B$6:$H$48,$B45,0),1)*('Current - Sales, NWP, GWP'!N28/'Current - Sales, NWP, GWP'!N8))+(IFERROR(VLOOKUP($AV$4-COUNTA($F$4:O$4)+1,'Dev Patterns'!$B$6:$H$48,$B81,0),1)*(1-'Current - Sales, NWP, GWP'!N28/'Current - Sales, NWP, GWP'!N8))),"-")</f>
        <v>3209708.0817860379</v>
      </c>
      <c r="P8" s="332">
        <f ca="1">IFERROR('Current - Sales, NWP, GWP'!O8/((IFERROR(VLOOKUP($AV$4-COUNTA($F$4:P$4)+1,'Dev Patterns'!$B$6:$H$48,$B45,0),1)*('Current - Sales, NWP, GWP'!O28/'Current - Sales, NWP, GWP'!O8))+(IFERROR(VLOOKUP($AV$4-COUNTA($F$4:P$4)+1,'Dev Patterns'!$B$6:$H$48,$B81,0),1)*(1-'Current - Sales, NWP, GWP'!O28/'Current - Sales, NWP, GWP'!O8))),"-")</f>
        <v>3863263.7907155934</v>
      </c>
      <c r="Q8" s="336">
        <f ca="1">IFERROR('Current - Sales, NWP, GWP'!P8/((IFERROR(VLOOKUP($AV$4-COUNTA($F$4:Q$4)+1,'Dev Patterns'!$B$6:$H$48,$B45,0),1)*('Current - Sales, NWP, GWP'!P28/'Current - Sales, NWP, GWP'!P8))+(IFERROR(VLOOKUP($AV$4-COUNTA($F$4:Q$4)+1,'Dev Patterns'!$B$6:$H$48,$B81,0),1)*(1-'Current - Sales, NWP, GWP'!P28/'Current - Sales, NWP, GWP'!P8))),"-")</f>
        <v>3794294.3167824447</v>
      </c>
      <c r="R8" s="332">
        <f ca="1">IFERROR('Current - Sales, NWP, GWP'!Q8/((IFERROR(VLOOKUP($AV$4-COUNTA($F$4:R$4)+1,'Dev Patterns'!$B$6:$H$48,$B45,0),1)*('Current - Sales, NWP, GWP'!Q28/'Current - Sales, NWP, GWP'!Q8))+(IFERROR(VLOOKUP($AV$4-COUNTA($F$4:R$4)+1,'Dev Patterns'!$B$6:$H$48,$B81,0),1)*(1-'Current - Sales, NWP, GWP'!Q28/'Current - Sales, NWP, GWP'!Q8))),"-")</f>
        <v>3926008.2578569478</v>
      </c>
      <c r="S8" s="332">
        <f ca="1">IFERROR('Current - Sales, NWP, GWP'!R8/((IFERROR(VLOOKUP($AV$4-COUNTA($F$4:S$4)+1,'Dev Patterns'!$B$6:$H$48,$B45,0),1)*('Current - Sales, NWP, GWP'!R28/'Current - Sales, NWP, GWP'!R8))+(IFERROR(VLOOKUP($AV$4-COUNTA($F$4:S$4)+1,'Dev Patterns'!$B$6:$H$48,$B81,0),1)*(1-'Current - Sales, NWP, GWP'!R28/'Current - Sales, NWP, GWP'!R8))),"-")</f>
        <v>5189360.7592770504</v>
      </c>
      <c r="T8" s="332">
        <f ca="1">IFERROR('Current - Sales, NWP, GWP'!S8/((IFERROR(VLOOKUP($AV$4-COUNTA($F$4:T$4)+1,'Dev Patterns'!$B$6:$H$48,$B45,0),1)*('Current - Sales, NWP, GWP'!S28/'Current - Sales, NWP, GWP'!S8))+(IFERROR(VLOOKUP($AV$4-COUNTA($F$4:T$4)+1,'Dev Patterns'!$B$6:$H$48,$B81,0),1)*(1-'Current - Sales, NWP, GWP'!S28/'Current - Sales, NWP, GWP'!S8))),"-")</f>
        <v>7583314.7460665312</v>
      </c>
      <c r="U8" s="332">
        <f ca="1">IFERROR('Current - Sales, NWP, GWP'!T8/((IFERROR(VLOOKUP($AV$4-COUNTA($F$4:U$4)+1,'Dev Patterns'!$B$6:$H$48,$B45,0),1)*('Current - Sales, NWP, GWP'!T28/'Current - Sales, NWP, GWP'!T8))+(IFERROR(VLOOKUP($AV$4-COUNTA($F$4:U$4)+1,'Dev Patterns'!$B$6:$H$48,$B81,0),1)*(1-'Current - Sales, NWP, GWP'!T28/'Current - Sales, NWP, GWP'!T8))),"-")</f>
        <v>6718672.7139466843</v>
      </c>
      <c r="V8" s="332">
        <f ca="1">IFERROR('Current - Sales, NWP, GWP'!U8/((IFERROR(VLOOKUP($AV$4-COUNTA($F$4:V$4)+1,'Dev Patterns'!$B$6:$H$48,$B45,0),1)*('Current - Sales, NWP, GWP'!U28/'Current - Sales, NWP, GWP'!U8))+(IFERROR(VLOOKUP($AV$4-COUNTA($F$4:V$4)+1,'Dev Patterns'!$B$6:$H$48,$B81,0),1)*(1-'Current - Sales, NWP, GWP'!U28/'Current - Sales, NWP, GWP'!U8))),"-")</f>
        <v>6386016.443227482</v>
      </c>
      <c r="W8" s="332">
        <f ca="1">IFERROR('Current - Sales, NWP, GWP'!V8/((IFERROR(VLOOKUP($AV$4-COUNTA($F$4:W$4)+1,'Dev Patterns'!$B$6:$H$48,$B45,0),1)*('Current - Sales, NWP, GWP'!V28/'Current - Sales, NWP, GWP'!V8))+(IFERROR(VLOOKUP($AV$4-COUNTA($F$4:W$4)+1,'Dev Patterns'!$B$6:$H$48,$B81,0),1)*(1-'Current - Sales, NWP, GWP'!V28/'Current - Sales, NWP, GWP'!V8))),"-")</f>
        <v>5353738.9892903352</v>
      </c>
      <c r="X8" s="332">
        <f ca="1">IFERROR('Current - Sales, NWP, GWP'!W8/((IFERROR(VLOOKUP($AV$4-COUNTA($F$4:X$4)+1,'Dev Patterns'!$B$6:$H$48,$B45,0),1)*('Current - Sales, NWP, GWP'!W28/'Current - Sales, NWP, GWP'!W8))+(IFERROR(VLOOKUP($AV$4-COUNTA($F$4:X$4)+1,'Dev Patterns'!$B$6:$H$48,$B81,0),1)*(1-'Current - Sales, NWP, GWP'!W28/'Current - Sales, NWP, GWP'!W8))),"-")</f>
        <v>4568711.8551926268</v>
      </c>
      <c r="Y8" s="332">
        <f ca="1">IFERROR('Current - Sales, NWP, GWP'!X8/((IFERROR(VLOOKUP($AV$4-COUNTA($F$4:Y$4)+1,'Dev Patterns'!$B$6:$H$48,$B45,0),1)*('Current - Sales, NWP, GWP'!X28/'Current - Sales, NWP, GWP'!X8))+(IFERROR(VLOOKUP($AV$4-COUNTA($F$4:Y$4)+1,'Dev Patterns'!$B$6:$H$48,$B81,0),1)*(1-'Current - Sales, NWP, GWP'!X28/'Current - Sales, NWP, GWP'!X8))),"-")</f>
        <v>3976257.1416165512</v>
      </c>
      <c r="Z8" s="332">
        <f ca="1">IFERROR('Current - Sales, NWP, GWP'!Y8/((IFERROR(VLOOKUP($AV$4-COUNTA($F$4:Z$4)+1,'Dev Patterns'!$B$6:$H$48,$B45,0),1)*('Current - Sales, NWP, GWP'!Y28/'Current - Sales, NWP, GWP'!Y8))+(IFERROR(VLOOKUP($AV$4-COUNTA($F$4:Z$4)+1,'Dev Patterns'!$B$6:$H$48,$B81,0),1)*(1-'Current - Sales, NWP, GWP'!Y28/'Current - Sales, NWP, GWP'!Y8))),"-")</f>
        <v>3644904.8081652112</v>
      </c>
      <c r="AA8" s="332">
        <f ca="1">IFERROR('Current - Sales, NWP, GWP'!Z8/((IFERROR(VLOOKUP($AV$4-COUNTA($F$4:AA$4)+1,'Dev Patterns'!$B$6:$H$48,$B45,0),1)*('Current - Sales, NWP, GWP'!Z28/'Current - Sales, NWP, GWP'!Z8))+(IFERROR(VLOOKUP($AV$4-COUNTA($F$4:AA$4)+1,'Dev Patterns'!$B$6:$H$48,$B81,0),1)*(1-'Current - Sales, NWP, GWP'!Z28/'Current - Sales, NWP, GWP'!Z8))),"-")</f>
        <v>3465860.1177289709</v>
      </c>
      <c r="AB8" s="332">
        <f ca="1">IFERROR('Current - Sales, NWP, GWP'!AA8/((IFERROR(VLOOKUP($AV$4-COUNTA($F$4:AB$4)+1,'Dev Patterns'!$B$6:$H$48,$B45,0),1)*('Current - Sales, NWP, GWP'!AA28/'Current - Sales, NWP, GWP'!AA8))+(IFERROR(VLOOKUP($AV$4-COUNTA($F$4:AB$4)+1,'Dev Patterns'!$B$6:$H$48,$B81,0),1)*(1-'Current - Sales, NWP, GWP'!AA28/'Current - Sales, NWP, GWP'!AA8))),"-")</f>
        <v>3637776.9933045469</v>
      </c>
      <c r="AC8" s="336">
        <f ca="1">IFERROR('Current - Sales, NWP, GWP'!AB8/((IFERROR(VLOOKUP($AV$4-COUNTA($F$4:AC$4)+1,'Dev Patterns'!$B$6:$H$48,$B45,0),1)*('Current - Sales, NWP, GWP'!AB28/'Current - Sales, NWP, GWP'!AB8))+(IFERROR(VLOOKUP($AV$4-COUNTA($F$4:AC$4)+1,'Dev Patterns'!$B$6:$H$48,$B81,0),1)*(1-'Current - Sales, NWP, GWP'!AB28/'Current - Sales, NWP, GWP'!AB8))),"-")</f>
        <v>3621905.6424949435</v>
      </c>
      <c r="AD8" s="332">
        <f ca="1">IFERROR('Current - Sales, NWP, GWP'!AC8/((IFERROR(VLOOKUP($AV$4-COUNTA($F$4:AD$4)+1,'Dev Patterns'!$B$6:$H$48,$B45,0),1)*('Current - Sales, NWP, GWP'!AC28/'Current - Sales, NWP, GWP'!AC8))+(IFERROR(VLOOKUP($AV$4-COUNTA($F$4:AD$4)+1,'Dev Patterns'!$B$6:$H$48,$B81,0),1)*(1-'Current - Sales, NWP, GWP'!AC28/'Current - Sales, NWP, GWP'!AC8))),"-")</f>
        <v>3593277.1788751585</v>
      </c>
      <c r="AE8" s="332">
        <f ca="1">IFERROR('Current - Sales, NWP, GWP'!AD8/((IFERROR(VLOOKUP($AV$4-COUNTA($F$4:AE$4)+1,'Dev Patterns'!$B$6:$H$48,$B45,0),1)*('Current - Sales, NWP, GWP'!AD28/'Current - Sales, NWP, GWP'!AD8))+(IFERROR(VLOOKUP($AV$4-COUNTA($F$4:AE$4)+1,'Dev Patterns'!$B$6:$H$48,$B81,0),1)*(1-'Current - Sales, NWP, GWP'!AD28/'Current - Sales, NWP, GWP'!AD8))),"-")</f>
        <v>2922143.7142101806</v>
      </c>
      <c r="AF8" s="332">
        <f ca="1">IFERROR('Current - Sales, NWP, GWP'!AE8/((IFERROR(VLOOKUP($AV$4-COUNTA($F$4:AF$4)+1,'Dev Patterns'!$B$6:$H$48,$B45,0),1)*('Current - Sales, NWP, GWP'!AE28/'Current - Sales, NWP, GWP'!AE8))+(IFERROR(VLOOKUP($AV$4-COUNTA($F$4:AF$4)+1,'Dev Patterns'!$B$6:$H$48,$B81,0),1)*(1-'Current - Sales, NWP, GWP'!AE28/'Current - Sales, NWP, GWP'!AE8))),"-")</f>
        <v>3771268.4209133037</v>
      </c>
      <c r="AG8" s="332">
        <f ca="1">IFERROR('Current - Sales, NWP, GWP'!AF8/((IFERROR(VLOOKUP($AV$4-COUNTA($F$4:AG$4)+1,'Dev Patterns'!$B$6:$H$48,$B45,0),1)*('Current - Sales, NWP, GWP'!AF28/'Current - Sales, NWP, GWP'!AF8))+(IFERROR(VLOOKUP($AV$4-COUNTA($F$4:AG$4)+1,'Dev Patterns'!$B$6:$H$48,$B81,0),1)*(1-'Current - Sales, NWP, GWP'!AF28/'Current - Sales, NWP, GWP'!AF8))),"-")</f>
        <v>3673256.0313093634</v>
      </c>
      <c r="AH8" s="332">
        <f ca="1">IFERROR('Current - Sales, NWP, GWP'!AG8/((IFERROR(VLOOKUP($AV$4-COUNTA($F$4:AH$4)+1,'Dev Patterns'!$B$6:$H$48,$B45,0),1)*('Current - Sales, NWP, GWP'!AG28/'Current - Sales, NWP, GWP'!AG8))+(IFERROR(VLOOKUP($AV$4-COUNTA($F$4:AH$4)+1,'Dev Patterns'!$B$6:$H$48,$B81,0),1)*(1-'Current - Sales, NWP, GWP'!AG28/'Current - Sales, NWP, GWP'!AG8))),"-")</f>
        <v>3755095.5141479205</v>
      </c>
      <c r="AI8" s="332">
        <f ca="1">IFERROR('Current - Sales, NWP, GWP'!AH8/((IFERROR(VLOOKUP($AV$4-COUNTA($F$4:AI$4)+1,'Dev Patterns'!$B$6:$H$48,$B45,0),1)*('Current - Sales, NWP, GWP'!AH28/'Current - Sales, NWP, GWP'!AH8))+(IFERROR(VLOOKUP($AV$4-COUNTA($F$4:AI$4)+1,'Dev Patterns'!$B$6:$H$48,$B81,0),1)*(1-'Current - Sales, NWP, GWP'!AH28/'Current - Sales, NWP, GWP'!AH8))),"-")</f>
        <v>3386012.1967668599</v>
      </c>
      <c r="AJ8" s="332">
        <f ca="1">IFERROR('Current - Sales, NWP, GWP'!AI8/((IFERROR(VLOOKUP($AV$4-COUNTA($F$4:AJ$4)+1,'Dev Patterns'!$B$6:$H$48,$B45,0),1)*('Current - Sales, NWP, GWP'!AI28/'Current - Sales, NWP, GWP'!AI8))+(IFERROR(VLOOKUP($AV$4-COUNTA($F$4:AJ$4)+1,'Dev Patterns'!$B$6:$H$48,$B81,0),1)*(1-'Current - Sales, NWP, GWP'!AI28/'Current - Sales, NWP, GWP'!AI8))),"-")</f>
        <v>3383846.9610865298</v>
      </c>
      <c r="AK8" s="332">
        <f ca="1">IFERROR('Current - Sales, NWP, GWP'!AJ8/((IFERROR(VLOOKUP($AV$4-COUNTA($F$4:AK$4)+1,'Dev Patterns'!$B$6:$H$48,$B45,0),1)*('Current - Sales, NWP, GWP'!AJ28/'Current - Sales, NWP, GWP'!AJ8))+(IFERROR(VLOOKUP($AV$4-COUNTA($F$4:AK$4)+1,'Dev Patterns'!$B$6:$H$48,$B81,0),1)*(1-'Current - Sales, NWP, GWP'!AJ28/'Current - Sales, NWP, GWP'!AJ8))),"-")</f>
        <v>1625290.9817802545</v>
      </c>
      <c r="AL8" s="332" t="str">
        <f ca="1">IFERROR('Current - Sales, NWP, GWP'!AK8/((IFERROR(VLOOKUP($AV$4-COUNTA($F$4:AL$4)+1,'Dev Patterns'!$B$6:$H$48,$B45,0),1)*('Current - Sales, NWP, GWP'!AK28/'Current - Sales, NWP, GWP'!AK8))+(IFERROR(VLOOKUP($AV$4-COUNTA($F$4:AL$4)+1,'Dev Patterns'!$B$6:$H$48,$B81,0),1)*(1-'Current - Sales, NWP, GWP'!AK28/'Current - Sales, NWP, GWP'!AK8))),"-")</f>
        <v>-</v>
      </c>
      <c r="AM8" s="332" t="str">
        <f ca="1">IFERROR('Current - Sales, NWP, GWP'!AL8/((IFERROR(VLOOKUP($AV$4-COUNTA($F$4:AM$4)+1,'Dev Patterns'!$B$6:$H$48,$B45,0),1)*('Current - Sales, NWP, GWP'!AL28/'Current - Sales, NWP, GWP'!AL8))+(IFERROR(VLOOKUP($AV$4-COUNTA($F$4:AM$4)+1,'Dev Patterns'!$B$6:$H$48,$B81,0),1)*(1-'Current - Sales, NWP, GWP'!AL28/'Current - Sales, NWP, GWP'!AL8))),"-")</f>
        <v>-</v>
      </c>
      <c r="AN8" s="332" t="str">
        <f ca="1">IFERROR('Current - Sales, NWP, GWP'!AM8/((IFERROR(VLOOKUP($AV$4-COUNTA($F$4:AN$4)+1,'Dev Patterns'!$B$6:$H$48,$B45,0),1)*('Current - Sales, NWP, GWP'!AM28/'Current - Sales, NWP, GWP'!AM8))+(IFERROR(VLOOKUP($AV$4-COUNTA($F$4:AN$4)+1,'Dev Patterns'!$B$6:$H$48,$B81,0),1)*(1-'Current - Sales, NWP, GWP'!AM28/'Current - Sales, NWP, GWP'!AM8))),"-")</f>
        <v>-</v>
      </c>
      <c r="AO8" s="336" t="str">
        <f ca="1">IFERROR('Current - Sales, NWP, GWP'!AN8/((IFERROR(VLOOKUP($AV$4-COUNTA($F$4:AO$4)+1,'Dev Patterns'!$B$6:$H$48,$B45,0),1)*('Current - Sales, NWP, GWP'!AN28/'Current - Sales, NWP, GWP'!AN8))+(IFERROR(VLOOKUP($AV$4-COUNTA($F$4:AO$4)+1,'Dev Patterns'!$B$6:$H$48,$B81,0),1)*(1-'Current - Sales, NWP, GWP'!AN28/'Current - Sales, NWP, GWP'!AN8))),"-")</f>
        <v>-</v>
      </c>
      <c r="AP8" s="335">
        <f ca="1">IFERROR(AVERAGE(INDEX($F8:$AO8, $AV$4 - 3):INDEX($F8:$AO8, $AV$4)),"-")</f>
        <v>3037561.4134453912</v>
      </c>
      <c r="AQ8" s="332">
        <f ca="1">IFERROR(AVERAGE(INDEX($F8:$AO8, $AV$4 - 11):INDEX($F8:$AO8, $AV$4)),"-")</f>
        <v>3373386.5467319372</v>
      </c>
      <c r="AR8" s="332" cm="1">
        <f t="array" aca="1" ref="AR8" ca="1">IFERROR(SUMPRODUCT(IFERROR((YEAR($F$4:$AO$4)=2024)*$F8:$AO8,0)),"-")</f>
        <v>58072528.468167886</v>
      </c>
      <c r="AS8" s="332">
        <f ca="1">IFERROR(SUM(INDEX($F8:$AO8, $AV$4 - MONTH(TODAY())-11):INDEX($F8:$AO8, $AV$4-12)),"-")</f>
        <v>43702080.90647421</v>
      </c>
      <c r="AT8" s="336">
        <f ca="1">IFERROR(SUM(INDEX($F8:$AO8, $AV$4 - MONTH(TODAY())+1):INDEX($F8:$AO8, $AV$4)),"-")</f>
        <v>26110190.999089573</v>
      </c>
    </row>
    <row r="9" spans="3:48" ht="15.75" x14ac:dyDescent="0.25">
      <c r="C9" t="str">
        <f>$E$2&amp;"_NWP"</f>
        <v>PC Annual Direct_NWP</v>
      </c>
      <c r="D9" s="290"/>
      <c r="E9" s="211" t="s">
        <v>6</v>
      </c>
      <c r="F9" s="333" t="str">
        <f>INDEX('Plan Figures'!$B$5:$AP$42,MATCH('Ultimate - Sales, NWP, GWP'!F$4,'Plan Figures'!$B$5:$B$42,0),MATCH('Ultimate - Sales, NWP, GWP'!$C9,'Plan Figures'!$B$1:$AP$1,0))</f>
        <v>-</v>
      </c>
      <c r="G9" s="333" t="str">
        <f>INDEX('Plan Figures'!$B$5:$AP$42,MATCH('Ultimate - Sales, NWP, GWP'!G$4,'Plan Figures'!$B$5:$B$42,0),MATCH('Ultimate - Sales, NWP, GWP'!$C9,'Plan Figures'!$B$1:$AP$1,0))</f>
        <v>-</v>
      </c>
      <c r="H9" s="333" t="str">
        <f>INDEX('Plan Figures'!$B$5:$AP$42,MATCH('Ultimate - Sales, NWP, GWP'!H$4,'Plan Figures'!$B$5:$B$42,0),MATCH('Ultimate - Sales, NWP, GWP'!$C9,'Plan Figures'!$B$1:$AP$1,0))</f>
        <v>-</v>
      </c>
      <c r="I9" s="333" t="str">
        <f>INDEX('Plan Figures'!$B$5:$AP$42,MATCH('Ultimate - Sales, NWP, GWP'!I$4,'Plan Figures'!$B$5:$B$42,0),MATCH('Ultimate - Sales, NWP, GWP'!$C9,'Plan Figures'!$B$1:$AP$1,0))</f>
        <v>-</v>
      </c>
      <c r="J9" s="333" t="str">
        <f>INDEX('Plan Figures'!$B$5:$AP$42,MATCH('Ultimate - Sales, NWP, GWP'!J$4,'Plan Figures'!$B$5:$B$42,0),MATCH('Ultimate - Sales, NWP, GWP'!$C9,'Plan Figures'!$B$1:$AP$1,0))</f>
        <v>-</v>
      </c>
      <c r="K9" s="333" t="str">
        <f>INDEX('Plan Figures'!$B$5:$AP$42,MATCH('Ultimate - Sales, NWP, GWP'!K$4,'Plan Figures'!$B$5:$B$42,0),MATCH('Ultimate - Sales, NWP, GWP'!$C9,'Plan Figures'!$B$1:$AP$1,0))</f>
        <v>-</v>
      </c>
      <c r="L9" s="333" t="str">
        <f>INDEX('Plan Figures'!$B$5:$AP$42,MATCH('Ultimate - Sales, NWP, GWP'!L$4,'Plan Figures'!$B$5:$B$42,0),MATCH('Ultimate - Sales, NWP, GWP'!$C9,'Plan Figures'!$B$1:$AP$1,0))</f>
        <v>-</v>
      </c>
      <c r="M9" s="333" t="str">
        <f>INDEX('Plan Figures'!$B$5:$AP$42,MATCH('Ultimate - Sales, NWP, GWP'!M$4,'Plan Figures'!$B$5:$B$42,0),MATCH('Ultimate - Sales, NWP, GWP'!$C9,'Plan Figures'!$B$1:$AP$1,0))</f>
        <v>-</v>
      </c>
      <c r="N9" s="333" t="str">
        <f>INDEX('Plan Figures'!$B$5:$AP$42,MATCH('Ultimate - Sales, NWP, GWP'!N$4,'Plan Figures'!$B$5:$B$42,0),MATCH('Ultimate - Sales, NWP, GWP'!$C9,'Plan Figures'!$B$1:$AP$1,0))</f>
        <v>-</v>
      </c>
      <c r="O9" s="333" t="str">
        <f>INDEX('Plan Figures'!$B$5:$AP$42,MATCH('Ultimate - Sales, NWP, GWP'!O$4,'Plan Figures'!$B$5:$B$42,0),MATCH('Ultimate - Sales, NWP, GWP'!$C9,'Plan Figures'!$B$1:$AP$1,0))</f>
        <v>-</v>
      </c>
      <c r="P9" s="333">
        <f>INDEX('Plan Figures'!$B$5:$AP$42,MATCH('Ultimate - Sales, NWP, GWP'!P$4,'Plan Figures'!$B$5:$B$42,0),MATCH('Ultimate - Sales, NWP, GWP'!$C9,'Plan Figures'!$B$1:$AP$1,0))</f>
        <v>3013169.0914932396</v>
      </c>
      <c r="Q9" s="339">
        <f>INDEX('Plan Figures'!$B$5:$AP$42,MATCH('Ultimate - Sales, NWP, GWP'!Q$4,'Plan Figures'!$B$5:$B$42,0),MATCH('Ultimate - Sales, NWP, GWP'!$C9,'Plan Figures'!$B$1:$AP$1,0))</f>
        <v>3046278.3015965438</v>
      </c>
      <c r="R9" s="333">
        <f>INDEX('Plan Figures'!$B$5:$AP$42,MATCH('Ultimate - Sales, NWP, GWP'!R$4,'Plan Figures'!$B$5:$B$42,0),MATCH('Ultimate - Sales, NWP, GWP'!$C9,'Plan Figures'!$B$1:$AP$1,0))</f>
        <v>3262205.5406420417</v>
      </c>
      <c r="S9" s="333">
        <f>INDEX('Plan Figures'!$B$5:$AP$42,MATCH('Ultimate - Sales, NWP, GWP'!S$4,'Plan Figures'!$B$5:$B$42,0),MATCH('Ultimate - Sales, NWP, GWP'!$C9,'Plan Figures'!$B$1:$AP$1,0))</f>
        <v>5283002.670942123</v>
      </c>
      <c r="T9" s="333">
        <f>INDEX('Plan Figures'!$B$5:$AP$42,MATCH('Ultimate - Sales, NWP, GWP'!T$4,'Plan Figures'!$B$5:$B$42,0),MATCH('Ultimate - Sales, NWP, GWP'!$C9,'Plan Figures'!$B$1:$AP$1,0))</f>
        <v>7028722.699423207</v>
      </c>
      <c r="U9" s="333">
        <f>INDEX('Plan Figures'!$B$5:$AP$42,MATCH('Ultimate - Sales, NWP, GWP'!U$4,'Plan Figures'!$B$5:$B$42,0),MATCH('Ultimate - Sales, NWP, GWP'!$C9,'Plan Figures'!$B$1:$AP$1,0))</f>
        <v>7008322.6050258419</v>
      </c>
      <c r="V9" s="333">
        <f>INDEX('Plan Figures'!$B$5:$AP$42,MATCH('Ultimate - Sales, NWP, GWP'!V$4,'Plan Figures'!$B$5:$B$42,0),MATCH('Ultimate - Sales, NWP, GWP'!$C9,'Plan Figures'!$B$1:$AP$1,0))</f>
        <v>6910081.5132966693</v>
      </c>
      <c r="W9" s="333">
        <f>INDEX('Plan Figures'!$B$5:$AP$42,MATCH('Ultimate - Sales, NWP, GWP'!W$4,'Plan Figures'!$B$5:$B$42,0),MATCH('Ultimate - Sales, NWP, GWP'!$C9,'Plan Figures'!$B$1:$AP$1,0))</f>
        <v>6846559.6197968433</v>
      </c>
      <c r="X9" s="333">
        <f>INDEX('Plan Figures'!$B$5:$AP$42,MATCH('Ultimate - Sales, NWP, GWP'!X$4,'Plan Figures'!$B$5:$B$42,0),MATCH('Ultimate - Sales, NWP, GWP'!$C9,'Plan Figures'!$B$1:$AP$1,0))</f>
        <v>4986954.5511762854</v>
      </c>
      <c r="Y9" s="333">
        <f>INDEX('Plan Figures'!$B$5:$AP$42,MATCH('Ultimate - Sales, NWP, GWP'!Y$4,'Plan Figures'!$B$5:$B$42,0),MATCH('Ultimate - Sales, NWP, GWP'!$C9,'Plan Figures'!$B$1:$AP$1,0))</f>
        <v>4772961.4367652033</v>
      </c>
      <c r="Z9" s="333">
        <f>INDEX('Plan Figures'!$B$5:$AP$42,MATCH('Ultimate - Sales, NWP, GWP'!Z$4,'Plan Figures'!$B$5:$B$42,0),MATCH('Ultimate - Sales, NWP, GWP'!$C9,'Plan Figures'!$B$1:$AP$1,0))</f>
        <v>5928873.8683875808</v>
      </c>
      <c r="AA9" s="333">
        <f>INDEX('Plan Figures'!$B$5:$AP$42,MATCH('Ultimate - Sales, NWP, GWP'!AA$4,'Plan Figures'!$B$5:$B$42,0),MATCH('Ultimate - Sales, NWP, GWP'!$C9,'Plan Figures'!$B$1:$AP$1,0))</f>
        <v>6128497.9239271581</v>
      </c>
      <c r="AB9" s="333">
        <f>INDEX('Plan Figures'!$B$5:$AP$42,MATCH('Ultimate - Sales, NWP, GWP'!AB$4,'Plan Figures'!$B$5:$B$42,0),MATCH('Ultimate - Sales, NWP, GWP'!$C9,'Plan Figures'!$B$1:$AP$1,0))</f>
        <v>5090049.9398270845</v>
      </c>
      <c r="AC9" s="339">
        <f>INDEX('Plan Figures'!$B$5:$AP$42,MATCH('Ultimate - Sales, NWP, GWP'!AC$4,'Plan Figures'!$B$5:$B$42,0),MATCH('Ultimate - Sales, NWP, GWP'!$C9,'Plan Figures'!$B$1:$AP$1,0))</f>
        <v>4415738.4758491814</v>
      </c>
      <c r="AD9" s="333">
        <f>INDEX('Plan Figures'!$B$5:$AP$42,MATCH('Ultimate - Sales, NWP, GWP'!AD$4,'Plan Figures'!$B$5:$B$42,0),MATCH('Ultimate - Sales, NWP, GWP'!$C9,'Plan Figures'!$B$1:$AP$1,0))</f>
        <v>7989666.8431018656</v>
      </c>
      <c r="AE9" s="333">
        <f>INDEX('Plan Figures'!$B$5:$AP$42,MATCH('Ultimate - Sales, NWP, GWP'!AE$4,'Plan Figures'!$B$5:$B$42,0),MATCH('Ultimate - Sales, NWP, GWP'!$C9,'Plan Figures'!$B$1:$AP$1,0))</f>
        <v>7957264.957264957</v>
      </c>
      <c r="AF9" s="333">
        <f>INDEX('Plan Figures'!$B$5:$AP$42,MATCH('Ultimate - Sales, NWP, GWP'!AF$4,'Plan Figures'!$B$5:$B$42,0),MATCH('Ultimate - Sales, NWP, GWP'!$C9,'Plan Figures'!$B$1:$AP$1,0))</f>
        <v>7957264.957264957</v>
      </c>
      <c r="AG9" s="333">
        <f>INDEX('Plan Figures'!$B$5:$AP$42,MATCH('Ultimate - Sales, NWP, GWP'!AG$4,'Plan Figures'!$B$5:$B$42,0),MATCH('Ultimate - Sales, NWP, GWP'!$C9,'Plan Figures'!$B$1:$AP$1,0))</f>
        <v>3339362.9985602223</v>
      </c>
      <c r="AH9" s="333">
        <f>INDEX('Plan Figures'!$B$5:$AP$42,MATCH('Ultimate - Sales, NWP, GWP'!AH$4,'Plan Figures'!$B$5:$B$42,0),MATCH('Ultimate - Sales, NWP, GWP'!$C9,'Plan Figures'!$B$1:$AP$1,0))</f>
        <v>3470770.0467384197</v>
      </c>
      <c r="AI9" s="333">
        <f>INDEX('Plan Figures'!$B$5:$AP$42,MATCH('Ultimate - Sales, NWP, GWP'!AI$4,'Plan Figures'!$B$5:$B$42,0),MATCH('Ultimate - Sales, NWP, GWP'!$C9,'Plan Figures'!$B$1:$AP$1,0))</f>
        <v>3427349.0459658089</v>
      </c>
      <c r="AJ9" s="333">
        <f>INDEX('Plan Figures'!$B$5:$AP$42,MATCH('Ultimate - Sales, NWP, GWP'!AJ$4,'Plan Figures'!$B$5:$B$42,0),MATCH('Ultimate - Sales, NWP, GWP'!$C9,'Plan Figures'!$B$1:$AP$1,0))</f>
        <v>3640086.821854189</v>
      </c>
      <c r="AK9" s="333">
        <f>INDEX('Plan Figures'!$B$5:$AP$42,MATCH('Ultimate - Sales, NWP, GWP'!AK$4,'Plan Figures'!$B$5:$B$42,0),MATCH('Ultimate - Sales, NWP, GWP'!$C9,'Plan Figures'!$B$1:$AP$1,0))</f>
        <v>3757964.1500469251</v>
      </c>
      <c r="AL9" s="333">
        <f>INDEX('Plan Figures'!$B$5:$AP$42,MATCH('Ultimate - Sales, NWP, GWP'!AL$4,'Plan Figures'!$B$5:$B$42,0),MATCH('Ultimate - Sales, NWP, GWP'!$C9,'Plan Figures'!$B$1:$AP$1,0))</f>
        <v>3764534.768566445</v>
      </c>
      <c r="AM9" s="333">
        <f>INDEX('Plan Figures'!$B$5:$AP$42,MATCH('Ultimate - Sales, NWP, GWP'!AM$4,'Plan Figures'!$B$5:$B$42,0),MATCH('Ultimate - Sales, NWP, GWP'!$C9,'Plan Figures'!$B$1:$AP$1,0))</f>
        <v>3690107.1454575313</v>
      </c>
      <c r="AN9" s="333">
        <f>INDEX('Plan Figures'!$B$5:$AP$42,MATCH('Ultimate - Sales, NWP, GWP'!AN$4,'Plan Figures'!$B$5:$B$42,0),MATCH('Ultimate - Sales, NWP, GWP'!$C9,'Plan Figures'!$B$1:$AP$1,0))</f>
        <v>3973666.7817406254</v>
      </c>
      <c r="AO9" s="339">
        <f>INDEX('Plan Figures'!$B$5:$AP$42,MATCH('Ultimate - Sales, NWP, GWP'!AO$4,'Plan Figures'!$B$5:$B$42,0),MATCH('Ultimate - Sales, NWP, GWP'!$C9,'Plan Figures'!$B$1:$AP$1,0))</f>
        <v>3824985.8662046581</v>
      </c>
      <c r="AP9" s="338">
        <f ca="1">IFERROR(AVERAGE(INDEX($F9:$AO9, $AV$4 - 3):INDEX($F9:$AO9, $AV$4)),"-")</f>
        <v>3574042.516151336</v>
      </c>
      <c r="AQ9" s="333">
        <f ca="1">IFERROR(AVERAGE(INDEX($F9:$AO9, $AV$4 - 11):INDEX($F9:$AO9, $AV$4)),"-")</f>
        <v>5258574.1690656962</v>
      </c>
      <c r="AR9" s="333" t="str" cm="1">
        <f t="array" ref="AR9">IFERROR(SUMPRODUCT((YEAR($F$4:$AO$4)=2024)*$F9:$AO9),"-")</f>
        <v>-</v>
      </c>
      <c r="AS9" s="333" t="s">
        <v>491</v>
      </c>
      <c r="AT9" s="339">
        <f ca="1">IFERROR(SUM(INDEX($F9:$AO9, $AV$4 - MONTH(TODAY())+1):INDEX($F9:$AO9, $AV$4)),"-")</f>
        <v>41539729.820797339</v>
      </c>
    </row>
    <row r="10" spans="3:48" ht="15.75" x14ac:dyDescent="0.25">
      <c r="C10" t="str">
        <f t="shared" si="3"/>
        <v>PC Annual Direct</v>
      </c>
      <c r="D10" s="290"/>
      <c r="E10" s="213" t="s">
        <v>0</v>
      </c>
      <c r="F10" s="214" t="str">
        <f t="shared" ref="F10:AO10" ca="1" si="41">IFERROR(IF(F8=0,"-",(F8/F9)-1),"-")</f>
        <v>-</v>
      </c>
      <c r="G10" s="214" t="str">
        <f t="shared" ca="1" si="41"/>
        <v>-</v>
      </c>
      <c r="H10" s="214" t="str">
        <f t="shared" ca="1" si="41"/>
        <v>-</v>
      </c>
      <c r="I10" s="214" t="str">
        <f t="shared" ca="1" si="41"/>
        <v>-</v>
      </c>
      <c r="J10" s="214" t="str">
        <f t="shared" ca="1" si="41"/>
        <v>-</v>
      </c>
      <c r="K10" s="214" t="str">
        <f t="shared" ca="1" si="41"/>
        <v>-</v>
      </c>
      <c r="L10" s="214" t="str">
        <f t="shared" ca="1" si="41"/>
        <v>-</v>
      </c>
      <c r="M10" s="214" t="str">
        <f t="shared" ca="1" si="41"/>
        <v>-</v>
      </c>
      <c r="N10" s="214" t="str">
        <f t="shared" ca="1" si="41"/>
        <v>-</v>
      </c>
      <c r="O10" s="214" t="str">
        <f t="shared" ca="1" si="41"/>
        <v>-</v>
      </c>
      <c r="P10" s="214">
        <f t="shared" ca="1" si="41"/>
        <v>0.28212645006293724</v>
      </c>
      <c r="Q10" s="294">
        <f t="shared" ca="1" si="41"/>
        <v>0.24555078069980296</v>
      </c>
      <c r="R10" s="214">
        <f t="shared" ca="1" si="41"/>
        <v>0.20348279988644169</v>
      </c>
      <c r="S10" s="214">
        <f t="shared" ca="1" si="41"/>
        <v>-1.7725130479325224E-2</v>
      </c>
      <c r="T10" s="214">
        <f t="shared" ca="1" si="41"/>
        <v>7.890367430327494E-2</v>
      </c>
      <c r="U10" s="214">
        <f t="shared" ca="1" si="41"/>
        <v>-4.1329417523023659E-2</v>
      </c>
      <c r="V10" s="214">
        <f t="shared" ca="1" si="41"/>
        <v>-7.5840649500408808E-2</v>
      </c>
      <c r="W10" s="214">
        <f t="shared" ca="1" si="41"/>
        <v>-0.21803952837714491</v>
      </c>
      <c r="X10" s="214">
        <f t="shared" ca="1" si="41"/>
        <v>-8.386735665858569E-2</v>
      </c>
      <c r="Y10" s="214">
        <f t="shared" ca="1" si="41"/>
        <v>-0.16692032938120815</v>
      </c>
      <c r="Z10" s="214">
        <f t="shared" ca="1" si="41"/>
        <v>-0.38522814128334948</v>
      </c>
      <c r="AA10" s="214">
        <f t="shared" ca="1" si="41"/>
        <v>-0.43446825621048124</v>
      </c>
      <c r="AB10" s="214">
        <f t="shared" ca="1" si="41"/>
        <v>-0.28531605066567833</v>
      </c>
      <c r="AC10" s="294">
        <f t="shared" ca="1" si="41"/>
        <v>-0.17977351641088246</v>
      </c>
      <c r="AD10" s="214">
        <f t="shared" ca="1" si="41"/>
        <v>-0.55025944767928225</v>
      </c>
      <c r="AE10" s="214">
        <f t="shared" ca="1" si="41"/>
        <v>-0.63277033881569156</v>
      </c>
      <c r="AF10" s="214">
        <f t="shared" ca="1" si="41"/>
        <v>-0.52605971509467608</v>
      </c>
      <c r="AG10" s="214">
        <f t="shared" ca="1" si="41"/>
        <v>9.9987043305295176E-2</v>
      </c>
      <c r="AH10" s="214">
        <f t="shared" ca="1" si="41"/>
        <v>8.191999573025277E-2</v>
      </c>
      <c r="AI10" s="214">
        <f t="shared" ca="1" si="41"/>
        <v>-1.2060881061298656E-2</v>
      </c>
      <c r="AJ10" s="214">
        <f t="shared" ca="1" si="41"/>
        <v>-7.0393887098862074E-2</v>
      </c>
      <c r="AK10" s="214">
        <f t="shared" ca="1" si="41"/>
        <v>-0.56750758738346141</v>
      </c>
      <c r="AL10" s="214" t="str">
        <f t="shared" ca="1" si="41"/>
        <v>-</v>
      </c>
      <c r="AM10" s="214" t="str">
        <f t="shared" ca="1" si="41"/>
        <v>-</v>
      </c>
      <c r="AN10" s="214" t="str">
        <f t="shared" ca="1" si="41"/>
        <v>-</v>
      </c>
      <c r="AO10" s="215" t="str">
        <f t="shared" ca="1" si="41"/>
        <v>-</v>
      </c>
      <c r="AP10" s="242">
        <f ca="1">IFERROR(IF(AP8=0,"-",(AP8/AP9)-1),"-")</f>
        <v>-0.15010484634179666</v>
      </c>
      <c r="AQ10" s="242">
        <f ca="1">IFERROR(IF(AQ8=0,"-",(AQ8/AQ9)-1),"-")</f>
        <v>-0.35849786685973561</v>
      </c>
      <c r="AR10" s="242"/>
      <c r="AS10" s="242"/>
      <c r="AT10" s="243">
        <f ca="1">IFERROR(IF(AT8=0,"-",(AT8/AT9)-1),"-")</f>
        <v>-0.37144051943214118</v>
      </c>
    </row>
    <row r="11" spans="3:48" ht="15.75" x14ac:dyDescent="0.25">
      <c r="C11" t="str">
        <f t="shared" si="3"/>
        <v>PC Annual Direct</v>
      </c>
      <c r="D11" s="290"/>
      <c r="E11" s="208" t="s">
        <v>12</v>
      </c>
      <c r="F11" s="332">
        <f ca="1">IFERROR(F8/F5,"-")</f>
        <v>760.63544793527194</v>
      </c>
      <c r="G11" s="332">
        <f t="shared" ref="G11:AO11" ca="1" si="42">IFERROR(G8/G5,"-")</f>
        <v>749.04332022043582</v>
      </c>
      <c r="H11" s="332">
        <f t="shared" ca="1" si="42"/>
        <v>626.54532363517956</v>
      </c>
      <c r="I11" s="332">
        <f t="shared" ca="1" si="42"/>
        <v>706.39655332549955</v>
      </c>
      <c r="J11" s="332">
        <f t="shared" ca="1" si="42"/>
        <v>847.10750712218453</v>
      </c>
      <c r="K11" s="332">
        <f t="shared" ca="1" si="42"/>
        <v>949.61884663755609</v>
      </c>
      <c r="L11" s="332">
        <f t="shared" ca="1" si="42"/>
        <v>1186.5707691395726</v>
      </c>
      <c r="M11" s="332">
        <f t="shared" ca="1" si="42"/>
        <v>1195.4714357358723</v>
      </c>
      <c r="N11" s="332">
        <f t="shared" ca="1" si="42"/>
        <v>1269.2795221727154</v>
      </c>
      <c r="O11" s="332">
        <f t="shared" ca="1" si="42"/>
        <v>1273.8732343817169</v>
      </c>
      <c r="P11" s="332">
        <f t="shared" ca="1" si="42"/>
        <v>1195.8373940955018</v>
      </c>
      <c r="Q11" s="336">
        <f t="shared" ca="1" si="42"/>
        <v>1174.7011418836753</v>
      </c>
      <c r="R11" s="332">
        <f t="shared" ca="1" si="42"/>
        <v>1114.2725045620275</v>
      </c>
      <c r="S11" s="332">
        <f t="shared" ca="1" si="42"/>
        <v>1224.6255391131913</v>
      </c>
      <c r="T11" s="332">
        <f t="shared" ca="1" si="42"/>
        <v>1242.101932193493</v>
      </c>
      <c r="U11" s="332">
        <f t="shared" ca="1" si="42"/>
        <v>1134.3980163327901</v>
      </c>
      <c r="V11" s="332">
        <f t="shared" ca="1" si="42"/>
        <v>1089.1793090015437</v>
      </c>
      <c r="W11" s="332">
        <f t="shared" ca="1" si="42"/>
        <v>1081.8526447406271</v>
      </c>
      <c r="X11" s="332">
        <f t="shared" ca="1" si="42"/>
        <v>1079.222341650516</v>
      </c>
      <c r="Y11" s="332">
        <f t="shared" ca="1" si="42"/>
        <v>1081.7400580717513</v>
      </c>
      <c r="Z11" s="332">
        <f t="shared" ca="1" si="42"/>
        <v>1090.0426325840413</v>
      </c>
      <c r="AA11" s="332">
        <f t="shared" ca="1" si="42"/>
        <v>1067.1454495646985</v>
      </c>
      <c r="AB11" s="332">
        <f t="shared" ca="1" si="42"/>
        <v>1093.6239101470678</v>
      </c>
      <c r="AC11" s="336">
        <f t="shared" ca="1" si="42"/>
        <v>1091.8243122576825</v>
      </c>
      <c r="AD11" s="332">
        <f t="shared" ca="1" si="42"/>
        <v>1051.1597947624657</v>
      </c>
      <c r="AE11" s="332">
        <f t="shared" ca="1" si="42"/>
        <v>1042.535175786732</v>
      </c>
      <c r="AF11" s="332">
        <f t="shared" ca="1" si="42"/>
        <v>1065.2305692688199</v>
      </c>
      <c r="AG11" s="332">
        <f t="shared" ca="1" si="42"/>
        <v>1030.8340591224523</v>
      </c>
      <c r="AH11" s="332">
        <f t="shared" ca="1" si="42"/>
        <v>1047.9465752350186</v>
      </c>
      <c r="AI11" s="332">
        <f t="shared" ca="1" si="42"/>
        <v>1048.8446663900042</v>
      </c>
      <c r="AJ11" s="332">
        <f t="shared" ca="1" si="42"/>
        <v>1082.6335507196186</v>
      </c>
      <c r="AK11" s="332">
        <f t="shared" ca="1" si="42"/>
        <v>1145.8679051389086</v>
      </c>
      <c r="AL11" s="332" t="str">
        <f t="shared" ca="1" si="42"/>
        <v>-</v>
      </c>
      <c r="AM11" s="332" t="str">
        <f t="shared" ca="1" si="42"/>
        <v>-</v>
      </c>
      <c r="AN11" s="332" t="str">
        <f t="shared" ca="1" si="42"/>
        <v>-</v>
      </c>
      <c r="AO11" s="336" t="str">
        <f t="shared" ca="1" si="42"/>
        <v>-</v>
      </c>
      <c r="AP11" s="335">
        <f ca="1">IFERROR(AP8/AP5,"-")</f>
        <v>1069.9804014649926</v>
      </c>
      <c r="AQ11" s="332">
        <f t="shared" ref="AQ11:AT11" ca="1" si="43">IFERROR(AQ8/AQ5,"-")</f>
        <v>1067.6440202006725</v>
      </c>
      <c r="AR11" s="332">
        <f t="shared" ca="1" si="43"/>
        <v>1122.282815003716</v>
      </c>
      <c r="AS11" s="332">
        <f t="shared" ca="1" si="43"/>
        <v>1134.8315632033996</v>
      </c>
      <c r="AT11" s="336">
        <f t="shared" ca="1" si="43"/>
        <v>1057.9234686195241</v>
      </c>
    </row>
    <row r="12" spans="3:48" ht="15.75" hidden="1" x14ac:dyDescent="0.25">
      <c r="C12" t="str">
        <f t="shared" si="3"/>
        <v>PC Annual Direct</v>
      </c>
      <c r="D12" s="290"/>
      <c r="E12" s="211" t="s">
        <v>13</v>
      </c>
      <c r="F12" s="333">
        <f>IFERROR(F9/F6,0)</f>
        <v>0</v>
      </c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9"/>
      <c r="R12" s="333"/>
      <c r="S12" s="333">
        <f t="shared" ref="S12:AQ12" si="44">IFERROR(S9/S6,0)</f>
        <v>1238.1051036644171</v>
      </c>
      <c r="T12" s="333">
        <f t="shared" si="44"/>
        <v>1649.875701444234</v>
      </c>
      <c r="U12" s="333">
        <f t="shared" si="44"/>
        <v>1647.7327065405773</v>
      </c>
      <c r="V12" s="333">
        <f t="shared" si="44"/>
        <v>1627.1022636587531</v>
      </c>
      <c r="W12" s="333">
        <f t="shared" si="44"/>
        <v>1585.5249724928897</v>
      </c>
      <c r="X12" s="333">
        <f t="shared" si="44"/>
        <v>1188.5826551767072</v>
      </c>
      <c r="Y12" s="333">
        <f t="shared" si="44"/>
        <v>1176.2442033118548</v>
      </c>
      <c r="Z12" s="333">
        <f t="shared" si="44"/>
        <v>1155.7492193009923</v>
      </c>
      <c r="AA12" s="333">
        <f t="shared" si="44"/>
        <v>1162.1087560729409</v>
      </c>
      <c r="AB12" s="333">
        <f t="shared" si="44"/>
        <v>1188.6949599870413</v>
      </c>
      <c r="AC12" s="339">
        <f t="shared" si="44"/>
        <v>1181.6279102493752</v>
      </c>
      <c r="AD12" s="333">
        <f t="shared" si="44"/>
        <v>1179.2556457029216</v>
      </c>
      <c r="AE12" s="333">
        <f t="shared" ref="AE12:AO12" si="45">IFERROR(AE9/AE6,0)</f>
        <v>1179.1364986513115</v>
      </c>
      <c r="AF12" s="333">
        <f t="shared" si="45"/>
        <v>1177.3844995101163</v>
      </c>
      <c r="AG12" s="333">
        <f t="shared" si="45"/>
        <v>561.07199981355541</v>
      </c>
      <c r="AH12" s="333">
        <f t="shared" si="45"/>
        <v>584.39954171828481</v>
      </c>
      <c r="AI12" s="333">
        <f t="shared" si="45"/>
        <v>579.74958116455707</v>
      </c>
      <c r="AJ12" s="333">
        <f t="shared" si="45"/>
        <v>614.39506163119074</v>
      </c>
      <c r="AK12" s="333">
        <f t="shared" si="45"/>
        <v>633.97447699543602</v>
      </c>
      <c r="AL12" s="333">
        <f t="shared" si="45"/>
        <v>634.57013399812479</v>
      </c>
      <c r="AM12" s="333">
        <f t="shared" si="45"/>
        <v>620.6511808091426</v>
      </c>
      <c r="AN12" s="333">
        <f t="shared" si="45"/>
        <v>718.86540823108362</v>
      </c>
      <c r="AO12" s="339">
        <f t="shared" si="45"/>
        <v>817.63948054294326</v>
      </c>
      <c r="AP12" s="338">
        <f t="shared" ca="1" si="44"/>
        <v>712.39265114821785</v>
      </c>
      <c r="AQ12" s="333">
        <f t="shared" ca="1" si="44"/>
        <v>1151.5811977642434</v>
      </c>
      <c r="AR12" s="333"/>
      <c r="AS12" s="333">
        <f>SUMIFS(AD12:AO12,AD$4:AO$4,"&lt;"&amp;'Title Sheet'!$C$13)</f>
        <v>6509.3673051873729</v>
      </c>
      <c r="AT12" s="339"/>
    </row>
    <row r="13" spans="3:48" ht="15.75" hidden="1" x14ac:dyDescent="0.25">
      <c r="C13" t="str">
        <f t="shared" si="3"/>
        <v>PC Annual Direct</v>
      </c>
      <c r="D13" s="290"/>
      <c r="E13" s="213" t="s">
        <v>0</v>
      </c>
      <c r="F13" s="340" t="str">
        <f t="shared" ref="F13" ca="1" si="46">IFERROR(IF(F11=0,"-",(F11/F12)-1),"-")</f>
        <v>-</v>
      </c>
      <c r="G13" s="340" t="str">
        <f t="shared" ref="G13" ca="1" si="47">IFERROR(IF(G11=0,"-",(G11/G12)-1),"-")</f>
        <v>-</v>
      </c>
      <c r="H13" s="340" t="str">
        <f t="shared" ref="H13" ca="1" si="48">IFERROR(IF(H11=0,"-",(H11/H12)-1),"-")</f>
        <v>-</v>
      </c>
      <c r="I13" s="340" t="str">
        <f t="shared" ref="I13" ca="1" si="49">IFERROR(IF(I11=0,"-",(I11/I12)-1),"-")</f>
        <v>-</v>
      </c>
      <c r="J13" s="340" t="str">
        <f t="shared" ref="J13" ca="1" si="50">IFERROR(IF(J11=0,"-",(J11/J12)-1),"-")</f>
        <v>-</v>
      </c>
      <c r="K13" s="340" t="str">
        <f t="shared" ref="K13" ca="1" si="51">IFERROR(IF(K11=0,"-",(K11/K12)-1),"-")</f>
        <v>-</v>
      </c>
      <c r="L13" s="340" t="str">
        <f t="shared" ref="L13" ca="1" si="52">IFERROR(IF(L11=0,"-",(L11/L12)-1),"-")</f>
        <v>-</v>
      </c>
      <c r="M13" s="340" t="str">
        <f t="shared" ref="M13" ca="1" si="53">IFERROR(IF(M11=0,"-",(M11/M12)-1),"-")</f>
        <v>-</v>
      </c>
      <c r="N13" s="340" t="str">
        <f t="shared" ref="N13" ca="1" si="54">IFERROR(IF(N11=0,"-",(N11/N12)-1),"-")</f>
        <v>-</v>
      </c>
      <c r="O13" s="340" t="str">
        <f t="shared" ref="O13" ca="1" si="55">IFERROR(IF(O11=0,"-",(O11/O12)-1),"-")</f>
        <v>-</v>
      </c>
      <c r="P13" s="340" t="str">
        <f t="shared" ref="P13" ca="1" si="56">IFERROR(IF(P11=0,"-",(P11/P12)-1),"-")</f>
        <v>-</v>
      </c>
      <c r="Q13" s="366" t="str">
        <f t="shared" ref="Q13" ca="1" si="57">IFERROR(IF(Q11=0,"-",(Q11/Q12)-1),"-")</f>
        <v>-</v>
      </c>
      <c r="R13" s="340" t="str">
        <f t="shared" ref="R13" ca="1" si="58">IFERROR(IF(R11=0,"-",(R11/R12)-1),"-")</f>
        <v>-</v>
      </c>
      <c r="S13" s="340">
        <f t="shared" ref="S13" ca="1" si="59">IFERROR(IF(S11=0,"-",(S11/S12)-1),"-")</f>
        <v>-1.0887253845679457E-2</v>
      </c>
      <c r="T13" s="340">
        <f t="shared" ref="T13" ca="1" si="60">IFERROR(IF(T11=0,"-",(T11/T12)-1),"-")</f>
        <v>-0.24715423646386969</v>
      </c>
      <c r="U13" s="340">
        <f t="shared" ref="U13" ca="1" si="61">IFERROR(IF(U11=0,"-",(U11/U12)-1),"-")</f>
        <v>-0.3115400259824519</v>
      </c>
      <c r="V13" s="340">
        <f t="shared" ref="V13" ca="1" si="62">IFERROR(IF(V11=0,"-",(V11/V12)-1),"-")</f>
        <v>-0.33060181075995743</v>
      </c>
      <c r="W13" s="340">
        <f t="shared" ref="W13" ca="1" si="63">IFERROR(IF(W11=0,"-",(W11/W12)-1),"-")</f>
        <v>-0.31766912315505735</v>
      </c>
      <c r="X13" s="340">
        <f t="shared" ref="X13" ca="1" si="64">IFERROR(IF(X11=0,"-",(X11/X12)-1),"-")</f>
        <v>-9.2009010101138156E-2</v>
      </c>
      <c r="Y13" s="340">
        <f t="shared" ref="Y13" ca="1" si="65">IFERROR(IF(Y11=0,"-",(Y11/Y12)-1),"-")</f>
        <v>-8.0343983820720166E-2</v>
      </c>
      <c r="Z13" s="340">
        <f t="shared" ref="Z13" ca="1" si="66">IFERROR(IF(Z11=0,"-",(Z11/Z12)-1),"-")</f>
        <v>-5.6851941251313098E-2</v>
      </c>
      <c r="AA13" s="340">
        <f t="shared" ref="AA13" ca="1" si="67">IFERROR(IF(AA11=0,"-",(AA11/AA12)-1),"-")</f>
        <v>-8.1716367777098009E-2</v>
      </c>
      <c r="AB13" s="340">
        <f t="shared" ref="AB13" ca="1" si="68">IFERROR(IF(AB11=0,"-",(AB11/AB12)-1),"-")</f>
        <v>-7.997934965671083E-2</v>
      </c>
      <c r="AC13" s="366">
        <f t="shared" ref="AC13" ca="1" si="69">IFERROR(IF(AC11=0,"-",(AC11/AC12)-1),"-")</f>
        <v>-7.5999895747841717E-2</v>
      </c>
      <c r="AD13" s="340">
        <f t="shared" ref="AD13" ca="1" si="70">IFERROR(IF(AD11=0,"-",(AD11/AD12)-1),"-")</f>
        <v>-0.10862432705514125</v>
      </c>
      <c r="AE13" s="340">
        <f t="shared" ref="AE13" ca="1" si="71">IFERROR(IF(AE11=0,"-",(AE11/AE12)-1),"-")</f>
        <v>-0.11584860872411562</v>
      </c>
      <c r="AF13" s="340">
        <f t="shared" ref="AF13" ca="1" si="72">IFERROR(IF(AF11=0,"-",(AF11/AF12)-1),"-")</f>
        <v>-9.5256842847821765E-2</v>
      </c>
      <c r="AG13" s="340">
        <f t="shared" ref="AG13" ca="1" si="73">IFERROR(IF(AG11=0,"-",(AG11/AG12)-1),"-")</f>
        <v>0.83725806931195845</v>
      </c>
      <c r="AH13" s="340">
        <f t="shared" ref="AH13" ca="1" si="74">IFERROR(IF(AH11=0,"-",(AH11/AH12)-1),"-")</f>
        <v>0.79320225363932773</v>
      </c>
      <c r="AI13" s="340">
        <f t="shared" ref="AI13" ca="1" si="75">IFERROR(IF(AI11=0,"-",(AI11/AI12)-1),"-")</f>
        <v>0.80913397864499448</v>
      </c>
      <c r="AJ13" s="340">
        <f t="shared" ref="AJ13" ca="1" si="76">IFERROR(IF(AJ11=0,"-",(AJ11/AJ12)-1),"-")</f>
        <v>0.76211304147737802</v>
      </c>
      <c r="AK13" s="340">
        <f t="shared" ref="AK13" ca="1" si="77">IFERROR(IF(AK11=0,"-",(AK11/AK12)-1),"-")</f>
        <v>0.80743538851826302</v>
      </c>
      <c r="AL13" s="340" t="str">
        <f t="shared" ref="AL13" ca="1" si="78">IFERROR(IF(AL11=0,"-",(AL11/AL12)-1),"-")</f>
        <v>-</v>
      </c>
      <c r="AM13" s="340" t="str">
        <f t="shared" ref="AM13" ca="1" si="79">IFERROR(IF(AM11=0,"-",(AM11/AM12)-1),"-")</f>
        <v>-</v>
      </c>
      <c r="AN13" s="340" t="str">
        <f t="shared" ref="AN13" ca="1" si="80">IFERROR(IF(AN11=0,"-",(AN11/AN12)-1),"-")</f>
        <v>-</v>
      </c>
      <c r="AO13" s="366" t="str">
        <f t="shared" ref="AO13" ca="1" si="81">IFERROR(IF(AO11=0,"-",(AO11/AO12)-1),"-")</f>
        <v>-</v>
      </c>
      <c r="AP13" s="342">
        <f t="shared" ref="AP13:AQ13" ca="1" si="82">AP11-AP12</f>
        <v>357.58775031677476</v>
      </c>
      <c r="AQ13" s="343">
        <f t="shared" ca="1" si="82"/>
        <v>-83.937177563570913</v>
      </c>
      <c r="AR13" s="343"/>
      <c r="AS13" s="343">
        <f t="shared" ref="AS13" ca="1" si="83">IFERROR(IF(AS11=0,"-",(AS11/AS12)-1),"-")</f>
        <v>-0.82566177172103317</v>
      </c>
      <c r="AT13" s="344"/>
    </row>
    <row r="14" spans="3:48" ht="15.75" x14ac:dyDescent="0.25">
      <c r="C14" t="str">
        <f t="shared" si="3"/>
        <v>PC Annual Direct</v>
      </c>
      <c r="D14" s="290"/>
      <c r="E14" s="208" t="s">
        <v>7</v>
      </c>
      <c r="F14" s="332">
        <f ca="1">IFERROR('Current - Sales, NWP, GWP'!E14/((IFERROR(VLOOKUP($AV$4-COUNTA($F$4:F$4)+1,'Dev Patterns'!$B$6:$H$48,$B52,0),1)*('Current - Sales, NWP, GWP'!E35/'Current - Sales, NWP, GWP'!E14))+(IFERROR(VLOOKUP($AV$4-COUNTA($F$4:F$4)+1,'Dev Patterns'!$B$6:$H$48,$B88,0),1)*(1-'Current - Sales, NWP, GWP'!E35/'Current - Sales, NWP, GWP'!E14))),"-")</f>
        <v>2496784.9196442887</v>
      </c>
      <c r="G14" s="332">
        <f ca="1">IFERROR('Current - Sales, NWP, GWP'!F14/((IFERROR(VLOOKUP($AV$4-COUNTA($F$4:G$4)+1,'Dev Patterns'!$B$6:$H$48,$B52,0),1)*('Current - Sales, NWP, GWP'!F35/'Current - Sales, NWP, GWP'!F14))+(IFERROR(VLOOKUP($AV$4-COUNTA($F$4:G$4)+1,'Dev Patterns'!$B$6:$H$48,$B88,0),1)*(1-'Current - Sales, NWP, GWP'!F35/'Current - Sales, NWP, GWP'!F14))),"-")</f>
        <v>2485175.8660695194</v>
      </c>
      <c r="H14" s="332">
        <f ca="1">IFERROR('Current - Sales, NWP, GWP'!G14/((IFERROR(VLOOKUP($AV$4-COUNTA($F$4:H$4)+1,'Dev Patterns'!$B$6:$H$48,$B52,0),1)*('Current - Sales, NWP, GWP'!G35/'Current - Sales, NWP, GWP'!G14))+(IFERROR(VLOOKUP($AV$4-COUNTA($F$4:H$4)+1,'Dev Patterns'!$B$6:$H$48,$B88,0),1)*(1-'Current - Sales, NWP, GWP'!G35/'Current - Sales, NWP, GWP'!G14))),"-")</f>
        <v>2806326.1964317253</v>
      </c>
      <c r="I14" s="332">
        <f ca="1">IFERROR('Current - Sales, NWP, GWP'!H14/((IFERROR(VLOOKUP($AV$4-COUNTA($F$4:I$4)+1,'Dev Patterns'!$B$6:$H$48,$B52,0),1)*('Current - Sales, NWP, GWP'!H35/'Current - Sales, NWP, GWP'!H14))+(IFERROR(VLOOKUP($AV$4-COUNTA($F$4:I$4)+1,'Dev Patterns'!$B$6:$H$48,$B88,0),1)*(1-'Current - Sales, NWP, GWP'!H35/'Current - Sales, NWP, GWP'!H14))),"-")</f>
        <v>2473860.669643865</v>
      </c>
      <c r="J14" s="332">
        <f ca="1">IFERROR('Current - Sales, NWP, GWP'!I14/((IFERROR(VLOOKUP($AV$4-COUNTA($F$4:J$4)+1,'Dev Patterns'!$B$6:$H$48,$B52,0),1)*('Current - Sales, NWP, GWP'!I35/'Current - Sales, NWP, GWP'!I14))+(IFERROR(VLOOKUP($AV$4-COUNTA($F$4:J$4)+1,'Dev Patterns'!$B$6:$H$48,$B88,0),1)*(1-'Current - Sales, NWP, GWP'!I35/'Current - Sales, NWP, GWP'!I14))),"-")</f>
        <v>2812501.0892885509</v>
      </c>
      <c r="K14" s="332">
        <f ca="1">IFERROR('Current - Sales, NWP, GWP'!J14/((IFERROR(VLOOKUP($AV$4-COUNTA($F$4:K$4)+1,'Dev Patterns'!$B$6:$H$48,$B52,0),1)*('Current - Sales, NWP, GWP'!J35/'Current - Sales, NWP, GWP'!J14))+(IFERROR(VLOOKUP($AV$4-COUNTA($F$4:K$4)+1,'Dev Patterns'!$B$6:$H$48,$B88,0),1)*(1-'Current - Sales, NWP, GWP'!J35/'Current - Sales, NWP, GWP'!J14))),"-")</f>
        <v>2674199.1785725723</v>
      </c>
      <c r="L14" s="332">
        <f ca="1">IFERROR('Current - Sales, NWP, GWP'!K14/((IFERROR(VLOOKUP($AV$4-COUNTA($F$4:L$4)+1,'Dev Patterns'!$B$6:$H$48,$B52,0),1)*('Current - Sales, NWP, GWP'!K35/'Current - Sales, NWP, GWP'!K14))+(IFERROR(VLOOKUP($AV$4-COUNTA($F$4:L$4)+1,'Dev Patterns'!$B$6:$H$48,$B88,0),1)*(1-'Current - Sales, NWP, GWP'!K35/'Current - Sales, NWP, GWP'!K14))),"-")</f>
        <v>2814261.6160722352</v>
      </c>
      <c r="M14" s="332">
        <f ca="1">IFERROR('Current - Sales, NWP, GWP'!L14/((IFERROR(VLOOKUP($AV$4-COUNTA($F$4:M$4)+1,'Dev Patterns'!$B$6:$H$48,$B52,0),1)*('Current - Sales, NWP, GWP'!L35/'Current - Sales, NWP, GWP'!L14))+(IFERROR(VLOOKUP($AV$4-COUNTA($F$4:M$4)+1,'Dev Patterns'!$B$6:$H$48,$B88,0),1)*(1-'Current - Sales, NWP, GWP'!L35/'Current - Sales, NWP, GWP'!L14))),"-")</f>
        <v>3164323.1071525621</v>
      </c>
      <c r="N14" s="332">
        <f ca="1">IFERROR('Current - Sales, NWP, GWP'!M14/((IFERROR(VLOOKUP($AV$4-COUNTA($F$4:N$4)+1,'Dev Patterns'!$B$6:$H$48,$B52,0),1)*('Current - Sales, NWP, GWP'!M35/'Current - Sales, NWP, GWP'!M14))+(IFERROR(VLOOKUP($AV$4-COUNTA($F$4:N$4)+1,'Dev Patterns'!$B$6:$H$48,$B88,0),1)*(1-'Current - Sales, NWP, GWP'!M35/'Current - Sales, NWP, GWP'!M14))),"-")</f>
        <v>3242318.7857170096</v>
      </c>
      <c r="O14" s="332">
        <f ca="1">IFERROR('Current - Sales, NWP, GWP'!N14/((IFERROR(VLOOKUP($AV$4-COUNTA($F$4:O$4)+1,'Dev Patterns'!$B$6:$H$48,$B52,0),1)*('Current - Sales, NWP, GWP'!N35/'Current - Sales, NWP, GWP'!N14))+(IFERROR(VLOOKUP($AV$4-COUNTA($F$4:O$4)+1,'Dev Patterns'!$B$6:$H$48,$B88,0),1)*(1-'Current - Sales, NWP, GWP'!N35/'Current - Sales, NWP, GWP'!N14))),"-")</f>
        <v>3772961.6517859623</v>
      </c>
      <c r="P14" s="332">
        <f ca="1">IFERROR('Current - Sales, NWP, GWP'!O14/((IFERROR(VLOOKUP($AV$4-COUNTA($F$4:P$4)+1,'Dev Patterns'!$B$6:$H$48,$B52,0),1)*('Current - Sales, NWP, GWP'!O35/'Current - Sales, NWP, GWP'!O14))+(IFERROR(VLOOKUP($AV$4-COUNTA($F$4:P$4)+1,'Dev Patterns'!$B$6:$H$48,$B88,0),1)*(1-'Current - Sales, NWP, GWP'!O35/'Current - Sales, NWP, GWP'!O14))),"-")</f>
        <v>4531577.4107139865</v>
      </c>
      <c r="Q14" s="336">
        <f ca="1">IFERROR('Current - Sales, NWP, GWP'!P14/((IFERROR(VLOOKUP($AV$4-COUNTA($F$4:Q$4)+1,'Dev Patterns'!$B$6:$H$48,$B52,0),1)*('Current - Sales, NWP, GWP'!P35/'Current - Sales, NWP, GWP'!P14))+(IFERROR(VLOOKUP($AV$4-COUNTA($F$4:Q$4)+1,'Dev Patterns'!$B$6:$H$48,$B88,0),1)*(1-'Current - Sales, NWP, GWP'!P35/'Current - Sales, NWP, GWP'!P14))),"-")</f>
        <v>4436938.5267816978</v>
      </c>
      <c r="R14" s="332">
        <f ca="1">IFERROR('Current - Sales, NWP, GWP'!Q14/((IFERROR(VLOOKUP($AV$4-COUNTA($F$4:R$4)+1,'Dev Patterns'!$B$6:$H$48,$B52,0),1)*('Current - Sales, NWP, GWP'!Q35/'Current - Sales, NWP, GWP'!Q14))+(IFERROR(VLOOKUP($AV$4-COUNTA($F$4:R$4)+1,'Dev Patterns'!$B$6:$H$48,$B88,0),1)*(1-'Current - Sales, NWP, GWP'!Q35/'Current - Sales, NWP, GWP'!Q14))),"-")</f>
        <v>4898357.5178559562</v>
      </c>
      <c r="S14" s="332">
        <f ca="1">IFERROR('Current - Sales, NWP, GWP'!R14/((IFERROR(VLOOKUP($AV$4-COUNTA($F$4:S$4)+1,'Dev Patterns'!$B$6:$H$48,$B52,0),1)*('Current - Sales, NWP, GWP'!R35/'Current - Sales, NWP, GWP'!R14))+(IFERROR(VLOOKUP($AV$4-COUNTA($F$4:S$4)+1,'Dev Patterns'!$B$6:$H$48,$B88,0),1)*(1-'Current - Sales, NWP, GWP'!R35/'Current - Sales, NWP, GWP'!R14))),"-")</f>
        <v>6020561.3392844694</v>
      </c>
      <c r="T14" s="332">
        <f ca="1">IFERROR('Current - Sales, NWP, GWP'!S14/((IFERROR(VLOOKUP($AV$4-COUNTA($F$4:T$4)+1,'Dev Patterns'!$B$6:$H$48,$B52,0),1)*('Current - Sales, NWP, GWP'!S35/'Current - Sales, NWP, GWP'!S14))+(IFERROR(VLOOKUP($AV$4-COUNTA($F$4:T$4)+1,'Dev Patterns'!$B$6:$H$48,$B88,0),1)*(1-'Current - Sales, NWP, GWP'!S35/'Current - Sales, NWP, GWP'!S14))),"-")</f>
        <v>8379482.8660593918</v>
      </c>
      <c r="U14" s="332">
        <f ca="1">IFERROR('Current - Sales, NWP, GWP'!T14/((IFERROR(VLOOKUP($AV$4-COUNTA($F$4:U$4)+1,'Dev Patterns'!$B$6:$H$48,$B52,0),1)*('Current - Sales, NWP, GWP'!T35/'Current - Sales, NWP, GWP'!T14))+(IFERROR(VLOOKUP($AV$4-COUNTA($F$4:U$4)+1,'Dev Patterns'!$B$6:$H$48,$B88,0),1)*(1-'Current - Sales, NWP, GWP'!T35/'Current - Sales, NWP, GWP'!T14))),"-")</f>
        <v>7400587.1339494968</v>
      </c>
      <c r="V14" s="332">
        <f ca="1">IFERROR('Current - Sales, NWP, GWP'!U14/((IFERROR(VLOOKUP($AV$4-COUNTA($F$4:V$4)+1,'Dev Patterns'!$B$6:$H$48,$B52,0),1)*('Current - Sales, NWP, GWP'!U35/'Current - Sales, NWP, GWP'!U14))+(IFERROR(VLOOKUP($AV$4-COUNTA($F$4:V$4)+1,'Dev Patterns'!$B$6:$H$48,$B88,0),1)*(1-'Current - Sales, NWP, GWP'!U35/'Current - Sales, NWP, GWP'!U14))),"-")</f>
        <v>7027372.473229304</v>
      </c>
      <c r="W14" s="332">
        <f ca="1">IFERROR('Current - Sales, NWP, GWP'!V14/((IFERROR(VLOOKUP($AV$4-COUNTA($F$4:W$4)+1,'Dev Patterns'!$B$6:$H$48,$B52,0),1)*('Current - Sales, NWP, GWP'!V35/'Current - Sales, NWP, GWP'!V14))+(IFERROR(VLOOKUP($AV$4-COUNTA($F$4:W$4)+1,'Dev Patterns'!$B$6:$H$48,$B88,0),1)*(1-'Current - Sales, NWP, GWP'!V35/'Current - Sales, NWP, GWP'!V14))),"-")</f>
        <v>5899257.8392859856</v>
      </c>
      <c r="X14" s="332">
        <f ca="1">IFERROR('Current - Sales, NWP, GWP'!W14/((IFERROR(VLOOKUP($AV$4-COUNTA($F$4:X$4)+1,'Dev Patterns'!$B$6:$H$48,$B52,0),1)*('Current - Sales, NWP, GWP'!W35/'Current - Sales, NWP, GWP'!W14))+(IFERROR(VLOOKUP($AV$4-COUNTA($F$4:X$4)+1,'Dev Patterns'!$B$6:$H$48,$B88,0),1)*(1-'Current - Sales, NWP, GWP'!W35/'Current - Sales, NWP, GWP'!W14))),"-")</f>
        <v>5028312.190721537</v>
      </c>
      <c r="Y14" s="332">
        <f ca="1">IFERROR('Current - Sales, NWP, GWP'!X14/((IFERROR(VLOOKUP($AV$4-COUNTA($F$4:Y$4)+1,'Dev Patterns'!$B$6:$H$48,$B52,0),1)*('Current - Sales, NWP, GWP'!X35/'Current - Sales, NWP, GWP'!X14))+(IFERROR(VLOOKUP($AV$4-COUNTA($F$4:Y$4)+1,'Dev Patterns'!$B$6:$H$48,$B88,0),1)*(1-'Current - Sales, NWP, GWP'!X35/'Current - Sales, NWP, GWP'!X14))),"-")</f>
        <v>4370603.2991977287</v>
      </c>
      <c r="Z14" s="332">
        <f ca="1">IFERROR('Current - Sales, NWP, GWP'!Y14/((IFERROR(VLOOKUP($AV$4-COUNTA($F$4:Z$4)+1,'Dev Patterns'!$B$6:$H$48,$B52,0),1)*('Current - Sales, NWP, GWP'!Y35/'Current - Sales, NWP, GWP'!Y14))+(IFERROR(VLOOKUP($AV$4-COUNTA($F$4:Z$4)+1,'Dev Patterns'!$B$6:$H$48,$B88,0),1)*(1-'Current - Sales, NWP, GWP'!Y35/'Current - Sales, NWP, GWP'!Y14))),"-")</f>
        <v>4004457.1989194425</v>
      </c>
      <c r="AA14" s="332">
        <f ca="1">IFERROR('Current - Sales, NWP, GWP'!Z14/((IFERROR(VLOOKUP($AV$4-COUNTA($F$4:AA$4)+1,'Dev Patterns'!$B$6:$H$48,$B52,0),1)*('Current - Sales, NWP, GWP'!Z35/'Current - Sales, NWP, GWP'!Z14))+(IFERROR(VLOOKUP($AV$4-COUNTA($F$4:AA$4)+1,'Dev Patterns'!$B$6:$H$48,$B88,0),1)*(1-'Current - Sales, NWP, GWP'!Z35/'Current - Sales, NWP, GWP'!Z14))),"-")</f>
        <v>3797893.7417550883</v>
      </c>
      <c r="AB14" s="332">
        <f ca="1">IFERROR('Current - Sales, NWP, GWP'!AA14/((IFERROR(VLOOKUP($AV$4-COUNTA($F$4:AB$4)+1,'Dev Patterns'!$B$6:$H$48,$B52,0),1)*('Current - Sales, NWP, GWP'!AA35/'Current - Sales, NWP, GWP'!AA14))+(IFERROR(VLOOKUP($AV$4-COUNTA($F$4:AB$4)+1,'Dev Patterns'!$B$6:$H$48,$B88,0),1)*(1-'Current - Sales, NWP, GWP'!AA35/'Current - Sales, NWP, GWP'!AA14))),"-")</f>
        <v>3980411.3309694403</v>
      </c>
      <c r="AC14" s="336">
        <f ca="1">IFERROR('Current - Sales, NWP, GWP'!AB14/((IFERROR(VLOOKUP($AV$4-COUNTA($F$4:AC$4)+1,'Dev Patterns'!$B$6:$H$48,$B52,0),1)*('Current - Sales, NWP, GWP'!AB35/'Current - Sales, NWP, GWP'!AB14))+(IFERROR(VLOOKUP($AV$4-COUNTA($F$4:AC$4)+1,'Dev Patterns'!$B$6:$H$48,$B88,0),1)*(1-'Current - Sales, NWP, GWP'!AB35/'Current - Sales, NWP, GWP'!AB14))),"-")</f>
        <v>3937048.869919172</v>
      </c>
      <c r="AD14" s="332">
        <f ca="1">IFERROR('Current - Sales, NWP, GWP'!AC14/((IFERROR(VLOOKUP($AV$4-COUNTA($F$4:AD$4)+1,'Dev Patterns'!$B$6:$H$48,$B52,0),1)*('Current - Sales, NWP, GWP'!AC35/'Current - Sales, NWP, GWP'!AC14))+(IFERROR(VLOOKUP($AV$4-COUNTA($F$4:AD$4)+1,'Dev Patterns'!$B$6:$H$48,$B88,0),1)*(1-'Current - Sales, NWP, GWP'!AC35/'Current - Sales, NWP, GWP'!AC14))),"-")</f>
        <v>3898708.6839628411</v>
      </c>
      <c r="AE14" s="332">
        <f ca="1">IFERROR('Current - Sales, NWP, GWP'!AD14/((IFERROR(VLOOKUP($AV$4-COUNTA($F$4:AE$4)+1,'Dev Patterns'!$B$6:$H$48,$B52,0),1)*('Current - Sales, NWP, GWP'!AD35/'Current - Sales, NWP, GWP'!AD14))+(IFERROR(VLOOKUP($AV$4-COUNTA($F$4:AE$4)+1,'Dev Patterns'!$B$6:$H$48,$B88,0),1)*(1-'Current - Sales, NWP, GWP'!AD35/'Current - Sales, NWP, GWP'!AD14))),"-")</f>
        <v>3164521.9474450275</v>
      </c>
      <c r="AF14" s="332">
        <f ca="1">IFERROR('Current - Sales, NWP, GWP'!AE14/((IFERROR(VLOOKUP($AV$4-COUNTA($F$4:AF$4)+1,'Dev Patterns'!$B$6:$H$48,$B52,0),1)*('Current - Sales, NWP, GWP'!AE35/'Current - Sales, NWP, GWP'!AE14))+(IFERROR(VLOOKUP($AV$4-COUNTA($F$4:AF$4)+1,'Dev Patterns'!$B$6:$H$48,$B88,0),1)*(1-'Current - Sales, NWP, GWP'!AE35/'Current - Sales, NWP, GWP'!AE14))),"-")</f>
        <v>3980972.8634260045</v>
      </c>
      <c r="AG14" s="332">
        <f ca="1">IFERROR('Current - Sales, NWP, GWP'!AF14/((IFERROR(VLOOKUP($AV$4-COUNTA($F$4:AG$4)+1,'Dev Patterns'!$B$6:$H$48,$B52,0),1)*('Current - Sales, NWP, GWP'!AF35/'Current - Sales, NWP, GWP'!AF14))+(IFERROR(VLOOKUP($AV$4-COUNTA($F$4:AG$4)+1,'Dev Patterns'!$B$6:$H$48,$B88,0),1)*(1-'Current - Sales, NWP, GWP'!AF35/'Current - Sales, NWP, GWP'!AF14))),"-")</f>
        <v>3826955.8062497093</v>
      </c>
      <c r="AH14" s="332">
        <f ca="1">IFERROR('Current - Sales, NWP, GWP'!AG14/((IFERROR(VLOOKUP($AV$4-COUNTA($F$4:AH$4)+1,'Dev Patterns'!$B$6:$H$48,$B52,0),1)*('Current - Sales, NWP, GWP'!AG35/'Current - Sales, NWP, GWP'!AG14))+(IFERROR(VLOOKUP($AV$4-COUNTA($F$4:AH$4)+1,'Dev Patterns'!$B$6:$H$48,$B88,0),1)*(1-'Current - Sales, NWP, GWP'!AG35/'Current - Sales, NWP, GWP'!AG14))),"-")</f>
        <v>3915356.8304537395</v>
      </c>
      <c r="AI14" s="332">
        <f ca="1">IFERROR('Current - Sales, NWP, GWP'!AH14/((IFERROR(VLOOKUP($AV$4-COUNTA($F$4:AI$4)+1,'Dev Patterns'!$B$6:$H$48,$B52,0),1)*('Current - Sales, NWP, GWP'!AH35/'Current - Sales, NWP, GWP'!AH14))+(IFERROR(VLOOKUP($AV$4-COUNTA($F$4:AI$4)+1,'Dev Patterns'!$B$6:$H$48,$B88,0),1)*(1-'Current - Sales, NWP, GWP'!AH35/'Current - Sales, NWP, GWP'!AH14))),"-")</f>
        <v>3524675.2399531063</v>
      </c>
      <c r="AJ14" s="332">
        <f ca="1">IFERROR('Current - Sales, NWP, GWP'!AI14/((IFERROR(VLOOKUP($AV$4-COUNTA($F$4:AJ$4)+1,'Dev Patterns'!$B$6:$H$48,$B52,0),1)*('Current - Sales, NWP, GWP'!AI35/'Current - Sales, NWP, GWP'!AI14))+(IFERROR(VLOOKUP($AV$4-COUNTA($F$4:AJ$4)+1,'Dev Patterns'!$B$6:$H$48,$B88,0),1)*(1-'Current - Sales, NWP, GWP'!AI35/'Current - Sales, NWP, GWP'!AI14))),"-")</f>
        <v>3524713.5455981856</v>
      </c>
      <c r="AK14" s="332">
        <f ca="1">IFERROR('Current - Sales, NWP, GWP'!AJ14/((IFERROR(VLOOKUP($AV$4-COUNTA($F$4:AK$4)+1,'Dev Patterns'!$B$6:$H$48,$B52,0),1)*('Current - Sales, NWP, GWP'!AJ35/'Current - Sales, NWP, GWP'!AJ14))+(IFERROR(VLOOKUP($AV$4-COUNTA($F$4:AK$4)+1,'Dev Patterns'!$B$6:$H$48,$B88,0),1)*(1-'Current - Sales, NWP, GWP'!AJ35/'Current - Sales, NWP, GWP'!AJ14))),"-")</f>
        <v>1692191.1594322235</v>
      </c>
      <c r="AL14" s="332" t="str">
        <f ca="1">IFERROR('Current - Sales, NWP, GWP'!AK14/((IFERROR(VLOOKUP($AV$4-COUNTA($F$4:AL$4)+1,'Dev Patterns'!$B$6:$H$48,$B52,0),1)*('Current - Sales, NWP, GWP'!AK35/'Current - Sales, NWP, GWP'!AK14))+(IFERROR(VLOOKUP($AV$4-COUNTA($F$4:AL$4)+1,'Dev Patterns'!$B$6:$H$48,$B88,0),1)*(1-'Current - Sales, NWP, GWP'!AK35/'Current - Sales, NWP, GWP'!AK14))),"-")</f>
        <v>-</v>
      </c>
      <c r="AM14" s="332" t="str">
        <f ca="1">IFERROR('Current - Sales, NWP, GWP'!AL14/((IFERROR(VLOOKUP($AV$4-COUNTA($F$4:AM$4)+1,'Dev Patterns'!$B$6:$H$48,$B52,0),1)*('Current - Sales, NWP, GWP'!AL35/'Current - Sales, NWP, GWP'!AL14))+(IFERROR(VLOOKUP($AV$4-COUNTA($F$4:AM$4)+1,'Dev Patterns'!$B$6:$H$48,$B88,0),1)*(1-'Current - Sales, NWP, GWP'!AL35/'Current - Sales, NWP, GWP'!AL14))),"-")</f>
        <v>-</v>
      </c>
      <c r="AN14" s="332" t="str">
        <f ca="1">IFERROR('Current - Sales, NWP, GWP'!AM14/((IFERROR(VLOOKUP($AV$4-COUNTA($F$4:AN$4)+1,'Dev Patterns'!$B$6:$H$48,$B52,0),1)*('Current - Sales, NWP, GWP'!AM35/'Current - Sales, NWP, GWP'!AM14))+(IFERROR(VLOOKUP($AV$4-COUNTA($F$4:AN$4)+1,'Dev Patterns'!$B$6:$H$48,$B88,0),1)*(1-'Current - Sales, NWP, GWP'!AM35/'Current - Sales, NWP, GWP'!AM14))),"-")</f>
        <v>-</v>
      </c>
      <c r="AO14" s="336" t="str">
        <f ca="1">IFERROR('Current - Sales, NWP, GWP'!AN14/((IFERROR(VLOOKUP($AV$4-COUNTA($F$4:AO$4)+1,'Dev Patterns'!$B$6:$H$48,$B52,0),1)*('Current - Sales, NWP, GWP'!AN35/'Current - Sales, NWP, GWP'!AN14))+(IFERROR(VLOOKUP($AV$4-COUNTA($F$4:AO$4)+1,'Dev Patterns'!$B$6:$H$48,$B88,0),1)*(1-'Current - Sales, NWP, GWP'!AN35/'Current - Sales, NWP, GWP'!AN14))),"-")</f>
        <v>-</v>
      </c>
      <c r="AP14" s="335">
        <f ca="1">IFERROR(AVERAGE(INDEX($F14:$AO14, $AV$4 - 3):INDEX($F14:$AO14, $AV$4)),"-")</f>
        <v>3164234.1938593136</v>
      </c>
      <c r="AQ14" s="332">
        <f ca="1">IFERROR(AVERAGE(INDEX($F14:$AO14, $AV$4 - 11):INDEX($F14:$AO14, $AV$4)),"-")</f>
        <v>3603992.2681736653</v>
      </c>
      <c r="AR14" s="332" cm="1">
        <f t="array" aca="1" ref="AR14" ca="1">IFERROR(SUMPRODUCT(IFERROR((YEAR($F$4:$AO$4)=2024)*$F14:$AO14,0)),"-")</f>
        <v>64744345.801147014</v>
      </c>
      <c r="AS14" s="332">
        <f ca="1">IFERROR(SUM(INDEX($F14:$AO14, $AV$4 - MONTH(TODAY())-11):INDEX($F14:$AO14, $AV$4-12)),"-")</f>
        <v>49024534.659583867</v>
      </c>
      <c r="AT14" s="336">
        <f ca="1">IFERROR(SUM(INDEX($F14:$AO14, $AV$4 - MONTH(TODAY())+1):INDEX($F14:$AO14, $AV$4)),"-")</f>
        <v>27528096.076520838</v>
      </c>
    </row>
    <row r="15" spans="3:48" ht="15.75" hidden="1" x14ac:dyDescent="0.25">
      <c r="C15" t="str">
        <f>$E$2&amp;"_GWP"</f>
        <v>PC Annual Direct_GWP</v>
      </c>
      <c r="D15" s="290"/>
      <c r="E15" s="211" t="s">
        <v>23</v>
      </c>
      <c r="F15" s="31" t="str">
        <f>INDEX('Plan Figures'!$B$5:$AP$31,MATCH('Ultimate - Sales, NWP, GWP'!F$4,'Plan Figures'!$B$5:$B$31,0),MATCH('Ultimate - Sales, NWP, GWP'!$C15,'Plan Figures'!$B$1:$AP$1,0))</f>
        <v>-</v>
      </c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240"/>
      <c r="R15" s="31"/>
      <c r="S15" s="31">
        <f>INDEX('Plan Figures'!$B$5:$AP$31,MATCH('Ultimate - Sales, NWP, GWP'!S$4,'Plan Figures'!$B$5:$B$31,0),MATCH('Ultimate - Sales, NWP, GWP'!$C15,'Plan Figures'!$B$1:$AP$1,0))</f>
        <v>7198457.7531405166</v>
      </c>
      <c r="T15" s="31">
        <f>INDEX('Plan Figures'!$B$5:$AP$31,MATCH('Ultimate - Sales, NWP, GWP'!T$4,'Plan Figures'!$B$5:$B$31,0),MATCH('Ultimate - Sales, NWP, GWP'!$C15,'Plan Figures'!$B$1:$AP$1,0))</f>
        <v>7198457.7531405166</v>
      </c>
      <c r="U15" s="31">
        <f>INDEX('Plan Figures'!$B$5:$AP$31,MATCH('Ultimate - Sales, NWP, GWP'!U$4,'Plan Figures'!$B$5:$B$31,0),MATCH('Ultimate - Sales, NWP, GWP'!$C15,'Plan Figures'!$B$1:$AP$1,0))</f>
        <v>7198457.7531405166</v>
      </c>
      <c r="V15" s="31">
        <f>INDEX('Plan Figures'!$B$5:$AP$31,MATCH('Ultimate - Sales, NWP, GWP'!V$4,'Plan Figures'!$B$5:$B$31,0),MATCH('Ultimate - Sales, NWP, GWP'!$C15,'Plan Figures'!$B$1:$AP$1,0))</f>
        <v>7199202.3378039943</v>
      </c>
      <c r="W15" s="31">
        <f>INDEX('Plan Figures'!$B$5:$AP$31,MATCH('Ultimate - Sales, NWP, GWP'!W$4,'Plan Figures'!$B$5:$B$31,0),MATCH('Ultimate - Sales, NWP, GWP'!$C15,'Plan Figures'!$B$1:$AP$1,0))</f>
        <v>7318060.3548614709</v>
      </c>
      <c r="X15" s="31">
        <f>INDEX('Plan Figures'!$B$5:$AP$31,MATCH('Ultimate - Sales, NWP, GWP'!X$4,'Plan Figures'!$B$5:$B$31,0),MATCH('Ultimate - Sales, NWP, GWP'!$C15,'Plan Figures'!$B$1:$AP$1,0))</f>
        <v>5702770.0132108573</v>
      </c>
      <c r="Y15" s="31">
        <f>INDEX('Plan Figures'!$B$5:$AP$31,MATCH('Ultimate - Sales, NWP, GWP'!Y$4,'Plan Figures'!$B$5:$B$31,0),MATCH('Ultimate - Sales, NWP, GWP'!$C15,'Plan Figures'!$B$1:$AP$1,0))</f>
        <v>5426956.6830632938</v>
      </c>
      <c r="Z15" s="31">
        <f>INDEX('Plan Figures'!$B$5:$AP$31,MATCH('Ultimate - Sales, NWP, GWP'!Z$4,'Plan Figures'!$B$5:$B$31,0),MATCH('Ultimate - Sales, NWP, GWP'!$C15,'Plan Figures'!$B$1:$AP$1,0))</f>
        <v>6638651.4077064805</v>
      </c>
      <c r="AA15" s="31">
        <f>INDEX('Plan Figures'!$B$5:$AP$31,MATCH('Ultimate - Sales, NWP, GWP'!AA$4,'Plan Figures'!$B$5:$B$31,0),MATCH('Ultimate - Sales, NWP, GWP'!$C15,'Plan Figures'!$B$1:$AP$1,0))</f>
        <v>6810173.3330016024</v>
      </c>
      <c r="AB15" s="31">
        <f>INDEX('Plan Figures'!$B$5:$AP$31,MATCH('Ultimate - Sales, NWP, GWP'!AB$4,'Plan Figures'!$B$5:$B$31,0),MATCH('Ultimate - Sales, NWP, GWP'!$C15,'Plan Figures'!$B$1:$AP$1,0))</f>
        <v>5567465.9289929308</v>
      </c>
      <c r="AC15" s="240">
        <f>INDEX('Plan Figures'!$B$5:$AP$31,MATCH('Ultimate - Sales, NWP, GWP'!AC$4,'Plan Figures'!$B$5:$B$31,0),MATCH('Ultimate - Sales, NWP, GWP'!$C15,'Plan Figures'!$B$1:$AP$1,0))</f>
        <v>4824288.6394563289</v>
      </c>
      <c r="AD15" s="31">
        <f>INDEX('Plan Figures'!$B$5:$AP$31,MATCH('Ultimate - Sales, NWP, GWP'!AD$4,'Plan Figures'!$B$5:$B$31,0),MATCH('Ultimate - Sales, NWP, GWP'!$C15,'Plan Figures'!$B$1:$AP$1,0))</f>
        <v>8746275.6988538671</v>
      </c>
      <c r="AE15" s="31">
        <f>INDEX('Plan Figures'!$B$5:$AP$42,MATCH('Ultimate - Sales, NWP, GWP'!AE$4,'Plan Figures'!$B$5:$B$42,0),MATCH('Ultimate - Sales, NWP, GWP'!$C15,'Plan Figures'!$B$1:$AP$1,0))</f>
        <v>8713120.4096492007</v>
      </c>
      <c r="AF15" s="31">
        <f>INDEX('Plan Figures'!$B$5:$AP$42,MATCH('Ultimate - Sales, NWP, GWP'!AF$4,'Plan Figures'!$B$5:$B$42,0),MATCH('Ultimate - Sales, NWP, GWP'!$C15,'Plan Figures'!$B$1:$AP$1,0))</f>
        <v>8707246.1690430138</v>
      </c>
      <c r="AG15" s="31">
        <f>INDEX('Plan Figures'!$B$5:$AP$42,MATCH('Ultimate - Sales, NWP, GWP'!AG$4,'Plan Figures'!$B$5:$B$42,0),MATCH('Ultimate - Sales, NWP, GWP'!$C15,'Plan Figures'!$B$1:$AP$1,0))</f>
        <v>3461456.9690285251</v>
      </c>
      <c r="AH15" s="31">
        <f>INDEX('Plan Figures'!$B$5:$AP$42,MATCH('Ultimate - Sales, NWP, GWP'!AH$4,'Plan Figures'!$B$5:$B$42,0),MATCH('Ultimate - Sales, NWP, GWP'!$C15,'Plan Figures'!$B$1:$AP$1,0))</f>
        <v>3596777.7757284427</v>
      </c>
      <c r="AI15" s="31">
        <f>INDEX('Plan Figures'!$B$5:$AP$42,MATCH('Ultimate - Sales, NWP, GWP'!AI$4,'Plan Figures'!$B$5:$B$42,0),MATCH('Ultimate - Sales, NWP, GWP'!$C15,'Plan Figures'!$B$1:$AP$1,0))</f>
        <v>3549271.7753517777</v>
      </c>
      <c r="AJ15" s="31">
        <f>INDEX('Plan Figures'!$B$5:$AP$42,MATCH('Ultimate - Sales, NWP, GWP'!AJ$4,'Plan Figures'!$B$5:$B$42,0),MATCH('Ultimate - Sales, NWP, GWP'!$C15,'Plan Figures'!$B$1:$AP$1,0))</f>
        <v>3765806.3357742094</v>
      </c>
      <c r="AK15" s="31">
        <f>INDEX('Plan Figures'!$B$5:$AP$42,MATCH('Ultimate - Sales, NWP, GWP'!AK$4,'Plan Figures'!$B$5:$B$42,0),MATCH('Ultimate - Sales, NWP, GWP'!$C15,'Plan Figures'!$B$1:$AP$1,0))</f>
        <v>3886079.873678002</v>
      </c>
      <c r="AL15" s="31">
        <f>INDEX('Plan Figures'!$B$5:$AP$42,MATCH('Ultimate - Sales, NWP, GWP'!AL$4,'Plan Figures'!$B$5:$B$42,0),MATCH('Ultimate - Sales, NWP, GWP'!$C15,'Plan Figures'!$B$1:$AP$1,0))</f>
        <v>3891375.6504445011</v>
      </c>
      <c r="AM15" s="31">
        <f>INDEX('Plan Figures'!$B$5:$AP$42,MATCH('Ultimate - Sales, NWP, GWP'!AM$4,'Plan Figures'!$B$5:$B$42,0),MATCH('Ultimate - Sales, NWP, GWP'!$C15,'Plan Figures'!$B$1:$AP$1,0))</f>
        <v>3814660.7209785725</v>
      </c>
      <c r="AN15" s="31">
        <f>INDEX('Plan Figures'!$B$5:$AP$42,MATCH('Ultimate - Sales, NWP, GWP'!AN$4,'Plan Figures'!$B$5:$B$42,0),MATCH('Ultimate - Sales, NWP, GWP'!$C15,'Plan Figures'!$B$1:$AP$1,0))</f>
        <v>4111387.6617786167</v>
      </c>
      <c r="AO15" s="240">
        <f>INDEX('Plan Figures'!$B$5:$AP$42,MATCH('Ultimate - Sales, NWP, GWP'!AO$4,'Plan Figures'!$B$5:$B$42,0),MATCH('Ultimate - Sales, NWP, GWP'!$C15,'Plan Figures'!$B$1:$AP$1,0))</f>
        <v>3960979.7192393383</v>
      </c>
      <c r="AP15" s="239">
        <f t="shared" ref="AP15:AP16" si="84">AVERAGE(AA15:AD15)</f>
        <v>6487050.9000761826</v>
      </c>
      <c r="AQ15" s="31">
        <f t="shared" ref="AQ15:AQ16" si="85">AVERAGE(S15:AD15)</f>
        <v>6652434.8046976971</v>
      </c>
      <c r="AR15" s="31"/>
      <c r="AS15" s="31">
        <f>SUMIFS(AD15:AO15,AD$4:AO$4,"&lt;"&amp;'Title Sheet'!$C$13)</f>
        <v>44426035.007107034</v>
      </c>
      <c r="AT15" s="240"/>
    </row>
    <row r="16" spans="3:48" ht="15.75" hidden="1" x14ac:dyDescent="0.25">
      <c r="C16" t="str">
        <f t="shared" si="3"/>
        <v>PC Annual Direct</v>
      </c>
      <c r="D16" s="290"/>
      <c r="E16" s="213" t="s">
        <v>0</v>
      </c>
      <c r="F16" s="214" t="str">
        <f t="shared" ref="F16" ca="1" si="86">IFERROR(IF(F14=0,"-",(F14/F15)-1),"-")</f>
        <v>-</v>
      </c>
      <c r="G16" s="214" t="str">
        <f t="shared" ref="G16" ca="1" si="87">IFERROR(IF(G14=0,"-",(G14/G15)-1),"-")</f>
        <v>-</v>
      </c>
      <c r="H16" s="214" t="str">
        <f t="shared" ref="H16" ca="1" si="88">IFERROR(IF(H14=0,"-",(H14/H15)-1),"-")</f>
        <v>-</v>
      </c>
      <c r="I16" s="214" t="str">
        <f t="shared" ref="I16" ca="1" si="89">IFERROR(IF(I14=0,"-",(I14/I15)-1),"-")</f>
        <v>-</v>
      </c>
      <c r="J16" s="214" t="str">
        <f t="shared" ref="J16" ca="1" si="90">IFERROR(IF(J14=0,"-",(J14/J15)-1),"-")</f>
        <v>-</v>
      </c>
      <c r="K16" s="214" t="str">
        <f t="shared" ref="K16" ca="1" si="91">IFERROR(IF(K14=0,"-",(K14/K15)-1),"-")</f>
        <v>-</v>
      </c>
      <c r="L16" s="214" t="str">
        <f t="shared" ref="L16" ca="1" si="92">IFERROR(IF(L14=0,"-",(L14/L15)-1),"-")</f>
        <v>-</v>
      </c>
      <c r="M16" s="214" t="str">
        <f t="shared" ref="M16" ca="1" si="93">IFERROR(IF(M14=0,"-",(M14/M15)-1),"-")</f>
        <v>-</v>
      </c>
      <c r="N16" s="214" t="str">
        <f t="shared" ref="N16" ca="1" si="94">IFERROR(IF(N14=0,"-",(N14/N15)-1),"-")</f>
        <v>-</v>
      </c>
      <c r="O16" s="214" t="str">
        <f t="shared" ref="O16" ca="1" si="95">IFERROR(IF(O14=0,"-",(O14/O15)-1),"-")</f>
        <v>-</v>
      </c>
      <c r="P16" s="214" t="str">
        <f t="shared" ref="P16" ca="1" si="96">IFERROR(IF(P14=0,"-",(P14/P15)-1),"-")</f>
        <v>-</v>
      </c>
      <c r="Q16" s="294" t="str">
        <f t="shared" ref="Q16" ca="1" si="97">IFERROR(IF(Q14=0,"-",(Q14/Q15)-1),"-")</f>
        <v>-</v>
      </c>
      <c r="R16" s="214" t="str">
        <f t="shared" ref="R16" ca="1" si="98">IFERROR(IF(R14=0,"-",(R14/R15)-1),"-")</f>
        <v>-</v>
      </c>
      <c r="S16" s="214">
        <f t="shared" ref="S16" ca="1" si="99">IFERROR(IF(S14=0,"-",(S14/S15)-1),"-")</f>
        <v>-0.16363177422860598</v>
      </c>
      <c r="T16" s="214">
        <f t="shared" ref="T16" ca="1" si="100">IFERROR(IF(T14=0,"-",(T14/T15)-1),"-")</f>
        <v>0.16406640886426294</v>
      </c>
      <c r="U16" s="214">
        <f t="shared" ref="U16" ca="1" si="101">IFERROR(IF(U14=0,"-",(U14/U15)-1),"-")</f>
        <v>2.8079539776530105E-2</v>
      </c>
      <c r="V16" s="214">
        <f t="shared" ref="V16" ca="1" si="102">IFERROR(IF(V14=0,"-",(V14/V15)-1),"-")</f>
        <v>-2.3867903208163566E-2</v>
      </c>
      <c r="W16" s="214">
        <f t="shared" ref="W16" ca="1" si="103">IFERROR(IF(W14=0,"-",(W14/W15)-1),"-")</f>
        <v>-0.19387685353441486</v>
      </c>
      <c r="X16" s="214">
        <f t="shared" ref="X16" ca="1" si="104">IFERROR(IF(X14=0,"-",(X14/X15)-1),"-")</f>
        <v>-0.11826845917455775</v>
      </c>
      <c r="Y16" s="214">
        <f t="shared" ref="Y16" ca="1" si="105">IFERROR(IF(Y14=0,"-",(Y14/Y15)-1),"-")</f>
        <v>-0.19464931186244461</v>
      </c>
      <c r="Z16" s="214">
        <f t="shared" ref="Z16" ca="1" si="106">IFERROR(IF(Z14=0,"-",(Z14/Z15)-1),"-")</f>
        <v>-0.39679658518131156</v>
      </c>
      <c r="AA16" s="214">
        <f t="shared" ref="AA16" ca="1" si="107">IFERROR(IF(AA14=0,"-",(AA14/AA15)-1),"-")</f>
        <v>-0.44232054662239317</v>
      </c>
      <c r="AB16" s="214">
        <f t="shared" ref="AB16" ca="1" si="108">IFERROR(IF(AB14=0,"-",(AB14/AB15)-1),"-")</f>
        <v>-0.28505869964265129</v>
      </c>
      <c r="AC16" s="294">
        <f t="shared" ref="AC16" ca="1" si="109">IFERROR(IF(AC14=0,"-",(AC14/AC15)-1),"-")</f>
        <v>-0.18391100447031794</v>
      </c>
      <c r="AD16" s="214">
        <f t="shared" ref="AD16" ca="1" si="110">IFERROR(IF(AD14=0,"-",(AD14/AD15)-1),"-")</f>
        <v>-0.55424356398075392</v>
      </c>
      <c r="AE16" s="214">
        <f t="shared" ref="AE16" ca="1" si="111">IFERROR(IF(AE14=0,"-",(AE14/AE15)-1),"-")</f>
        <v>-0.63680957008920358</v>
      </c>
      <c r="AF16" s="214">
        <f t="shared" ref="AF16" ca="1" si="112">IFERROR(IF(AF14=0,"-",(AF14/AF15)-1),"-")</f>
        <v>-0.5427977128314565</v>
      </c>
      <c r="AG16" s="214">
        <f t="shared" ref="AG16" ca="1" si="113">IFERROR(IF(AG14=0,"-",(AG14/AG15)-1),"-")</f>
        <v>0.10559103882887877</v>
      </c>
      <c r="AH16" s="214">
        <f t="shared" ref="AH16" ca="1" si="114">IFERROR(IF(AH14=0,"-",(AH14/AH15)-1),"-")</f>
        <v>8.857346063332372E-2</v>
      </c>
      <c r="AI16" s="214">
        <f t="shared" ref="AI16" ca="1" si="115">IFERROR(IF(AI14=0,"-",(AI14/AI15)-1),"-")</f>
        <v>-6.9300231020583691E-3</v>
      </c>
      <c r="AJ16" s="214">
        <f t="shared" ref="AJ16" ca="1" si="116">IFERROR(IF(AJ14=0,"-",(AJ14/AJ15)-1),"-")</f>
        <v>-6.4021558380658927E-2</v>
      </c>
      <c r="AK16" s="214">
        <f t="shared" ref="AK16" ca="1" si="117">IFERROR(IF(AK14=0,"-",(AK14/AK15)-1),"-")</f>
        <v>-0.56455059740430924</v>
      </c>
      <c r="AL16" s="214" t="str">
        <f t="shared" ref="AL16" ca="1" si="118">IFERROR(IF(AL14=0,"-",(AL14/AL15)-1),"-")</f>
        <v>-</v>
      </c>
      <c r="AM16" s="214" t="str">
        <f t="shared" ref="AM16" ca="1" si="119">IFERROR(IF(AM14=0,"-",(AM14/AM15)-1),"-")</f>
        <v>-</v>
      </c>
      <c r="AN16" s="214" t="str">
        <f t="shared" ref="AN16" ca="1" si="120">IFERROR(IF(AN14=0,"-",(AN14/AN15)-1),"-")</f>
        <v>-</v>
      </c>
      <c r="AO16" s="294" t="str">
        <f t="shared" ref="AO16" ca="1" si="121">IFERROR(IF(AO14=0,"-",(AO14/AO15)-1),"-")</f>
        <v>-</v>
      </c>
      <c r="AP16" s="274">
        <f t="shared" ca="1" si="84"/>
        <v>-0.36638345367902908</v>
      </c>
      <c r="AQ16" s="275">
        <f t="shared" ca="1" si="85"/>
        <v>-0.19703989610540176</v>
      </c>
      <c r="AR16" s="275"/>
      <c r="AS16" s="275">
        <f t="shared" ref="AS16" ca="1" si="122">IFERROR(IF(AS14=0,"-",(AS14/AS15)-1),"-")</f>
        <v>0.103509116934275</v>
      </c>
      <c r="AT16" s="276"/>
    </row>
    <row r="17" spans="2:46" x14ac:dyDescent="0.25">
      <c r="C17" t="str">
        <f t="shared" si="3"/>
        <v>PC Annual Direct</v>
      </c>
      <c r="D17" s="290"/>
      <c r="E17" s="254" t="s">
        <v>17</v>
      </c>
      <c r="F17" s="259"/>
      <c r="G17" s="259"/>
      <c r="H17" s="259"/>
      <c r="I17" s="259"/>
      <c r="J17" s="259"/>
      <c r="K17" s="259"/>
      <c r="L17" s="259"/>
      <c r="M17" s="259"/>
      <c r="N17" s="259"/>
      <c r="O17" s="259"/>
      <c r="P17" s="259"/>
      <c r="Q17" s="313"/>
      <c r="R17" s="259"/>
      <c r="S17" s="259"/>
      <c r="T17" s="259"/>
      <c r="U17" s="259"/>
      <c r="V17" s="259"/>
      <c r="W17" s="259"/>
      <c r="X17" s="259"/>
      <c r="Y17" s="259"/>
      <c r="Z17" s="259"/>
      <c r="AA17" s="259"/>
      <c r="AB17" s="259"/>
      <c r="AC17" s="313"/>
      <c r="AD17" s="259"/>
      <c r="AE17" s="259"/>
      <c r="AF17" s="259"/>
      <c r="AG17" s="259"/>
      <c r="AH17" s="259"/>
      <c r="AI17" s="259"/>
      <c r="AJ17" s="259"/>
      <c r="AK17" s="259"/>
      <c r="AL17" s="259"/>
      <c r="AM17" s="259"/>
      <c r="AN17" s="259"/>
      <c r="AO17" s="313"/>
      <c r="AP17" s="376"/>
      <c r="AQ17" s="277"/>
      <c r="AR17" s="277"/>
      <c r="AS17" s="277"/>
      <c r="AT17" s="278"/>
    </row>
    <row r="18" spans="2:46" ht="15.75" x14ac:dyDescent="0.25">
      <c r="D18" s="290"/>
      <c r="E18" s="371" t="s">
        <v>14</v>
      </c>
      <c r="F18" s="372">
        <f ca="1">IFERROR((F14-F8)/F14,"-")</f>
        <v>0.13634037810800842</v>
      </c>
      <c r="G18" s="372">
        <f t="shared" ref="G18:AT18" ca="1" si="123">IFERROR((G14-G8)/G14,"-")</f>
        <v>0.11180950362279882</v>
      </c>
      <c r="H18" s="372">
        <f t="shared" ca="1" si="123"/>
        <v>0.15712829840034342</v>
      </c>
      <c r="I18" s="372">
        <f t="shared" ca="1" si="123"/>
        <v>0.14475612729355655</v>
      </c>
      <c r="J18" s="372">
        <f t="shared" ca="1" si="123"/>
        <v>0.13233758785635766</v>
      </c>
      <c r="K18" s="372">
        <f t="shared" ca="1" si="123"/>
        <v>0.15352130585090046</v>
      </c>
      <c r="L18" s="372">
        <f t="shared" ca="1" si="123"/>
        <v>0.15332426364890736</v>
      </c>
      <c r="M18" s="372">
        <f t="shared" ca="1" si="123"/>
        <v>0.15176030188383399</v>
      </c>
      <c r="N18" s="372">
        <f t="shared" ca="1" si="123"/>
        <v>0.15070089102760462</v>
      </c>
      <c r="O18" s="372">
        <f t="shared" ca="1" si="123"/>
        <v>0.14928685260644081</v>
      </c>
      <c r="P18" s="372">
        <f t="shared" ca="1" si="123"/>
        <v>0.14747924606083138</v>
      </c>
      <c r="Q18" s="373">
        <f t="shared" ca="1" si="123"/>
        <v>0.14483955685214114</v>
      </c>
      <c r="R18" s="372">
        <f t="shared" ca="1" si="123"/>
        <v>0.19850516350725908</v>
      </c>
      <c r="S18" s="372">
        <f t="shared" ca="1" si="123"/>
        <v>0.13806031251335202</v>
      </c>
      <c r="T18" s="372">
        <f t="shared" ca="1" si="123"/>
        <v>9.5013992237837644E-2</v>
      </c>
      <c r="U18" s="372">
        <f t="shared" ca="1" si="123"/>
        <v>9.2143286425828877E-2</v>
      </c>
      <c r="V18" s="372">
        <f t="shared" ca="1" si="123"/>
        <v>9.1265410001399594E-2</v>
      </c>
      <c r="W18" s="372">
        <f t="shared" ca="1" si="123"/>
        <v>9.2472454138684851E-2</v>
      </c>
      <c r="X18" s="372">
        <f t="shared" ca="1" si="123"/>
        <v>9.1402506068932021E-2</v>
      </c>
      <c r="Y18" s="372">
        <f t="shared" ca="1" si="123"/>
        <v>9.0226939071217926E-2</v>
      </c>
      <c r="Z18" s="372">
        <f t="shared" ca="1" si="123"/>
        <v>8.9788046892161161E-2</v>
      </c>
      <c r="AA18" s="372">
        <f t="shared" ca="1" si="123"/>
        <v>8.7425727680489951E-2</v>
      </c>
      <c r="AB18" s="372">
        <f t="shared" ca="1" si="123"/>
        <v>8.6080133226191929E-2</v>
      </c>
      <c r="AC18" s="373">
        <f t="shared" ca="1" si="123"/>
        <v>8.0045546254725181E-2</v>
      </c>
      <c r="AD18" s="372">
        <f t="shared" ca="1" si="123"/>
        <v>7.8341709998508216E-2</v>
      </c>
      <c r="AE18" s="372">
        <f t="shared" ca="1" si="123"/>
        <v>7.6592369166704102E-2</v>
      </c>
      <c r="AF18" s="372">
        <f t="shared" ca="1" si="123"/>
        <v>5.26766822349626E-2</v>
      </c>
      <c r="AG18" s="372">
        <f t="shared" ca="1" si="123"/>
        <v>4.0162411776311212E-2</v>
      </c>
      <c r="AH18" s="372">
        <f t="shared" ca="1" si="123"/>
        <v>4.0931471445795849E-2</v>
      </c>
      <c r="AI18" s="372">
        <f t="shared" ca="1" si="123"/>
        <v>3.9340658002889155E-2</v>
      </c>
      <c r="AJ18" s="372">
        <f t="shared" ca="1" si="123"/>
        <v>3.9965399369141959E-2</v>
      </c>
      <c r="AK18" s="372">
        <f t="shared" ca="1" si="123"/>
        <v>3.9534645526936717E-2</v>
      </c>
      <c r="AL18" s="372" t="str">
        <f t="shared" ca="1" si="123"/>
        <v>-</v>
      </c>
      <c r="AM18" s="372" t="str">
        <f t="shared" ca="1" si="123"/>
        <v>-</v>
      </c>
      <c r="AN18" s="372" t="str">
        <f t="shared" ca="1" si="123"/>
        <v>-</v>
      </c>
      <c r="AO18" s="373" t="str">
        <f t="shared" ca="1" si="123"/>
        <v>-</v>
      </c>
      <c r="AP18" s="392">
        <f t="shared" ca="1" si="123"/>
        <v>4.0032681733782709E-2</v>
      </c>
      <c r="AQ18" s="374">
        <f t="shared" ca="1" si="123"/>
        <v>6.398618650716148E-2</v>
      </c>
      <c r="AR18" s="374">
        <f t="shared" ca="1" si="123"/>
        <v>0.10304864850238288</v>
      </c>
      <c r="AS18" s="374">
        <f t="shared" ca="1" si="123"/>
        <v>0.10856714479938798</v>
      </c>
      <c r="AT18" s="375">
        <f t="shared" ca="1" si="123"/>
        <v>5.1507560620606074E-2</v>
      </c>
    </row>
    <row r="19" spans="2:46" ht="16.5" thickBot="1" x14ac:dyDescent="0.3">
      <c r="D19" s="290"/>
      <c r="E19" s="368" t="s">
        <v>198</v>
      </c>
      <c r="F19" s="369">
        <v>0.40898575375758572</v>
      </c>
      <c r="G19" s="369">
        <v>0.44111162275450633</v>
      </c>
      <c r="H19" s="369">
        <v>0.42402318173964537</v>
      </c>
      <c r="I19" s="369">
        <v>0.37958100580023413</v>
      </c>
      <c r="J19" s="369">
        <v>0.37981252182825076</v>
      </c>
      <c r="K19" s="369">
        <v>0.32019866938833641</v>
      </c>
      <c r="L19" s="369">
        <v>0.32152781793496138</v>
      </c>
      <c r="M19" s="369">
        <v>0.35823128141033983</v>
      </c>
      <c r="N19" s="369">
        <v>0.38915919120257858</v>
      </c>
      <c r="O19" s="369">
        <v>0.45556116225074</v>
      </c>
      <c r="P19" s="369">
        <v>0.53365232930493578</v>
      </c>
      <c r="Q19" s="370">
        <v>0.51721248050929891</v>
      </c>
      <c r="R19" s="369">
        <v>0.52688579438696526</v>
      </c>
      <c r="S19" s="369">
        <v>0.59897851034002692</v>
      </c>
      <c r="T19" s="369">
        <v>0.68714638908589842</v>
      </c>
      <c r="U19" s="369">
        <v>0.67238253787192503</v>
      </c>
      <c r="V19" s="369">
        <v>0.64653564397616403</v>
      </c>
      <c r="W19" s="369">
        <v>0.61385581283873092</v>
      </c>
      <c r="X19" s="369">
        <v>0.59077951688434927</v>
      </c>
      <c r="Y19" s="369">
        <v>0.62332767133748135</v>
      </c>
      <c r="Z19" s="369">
        <v>0.69341547456811847</v>
      </c>
      <c r="AA19" s="369">
        <v>0.75507223451713823</v>
      </c>
      <c r="AB19" s="369">
        <v>0.74642814558038506</v>
      </c>
      <c r="AC19" s="370">
        <v>0.7686608456895927</v>
      </c>
      <c r="AD19" s="369">
        <v>0.75460001336684213</v>
      </c>
      <c r="AE19" s="369">
        <v>0.71735285177068286</v>
      </c>
      <c r="AF19" s="369">
        <v>0.75761445206056155</v>
      </c>
      <c r="AG19" s="369">
        <v>0.77994765626894735</v>
      </c>
      <c r="AH19" s="369">
        <v>0.76129763616244495</v>
      </c>
      <c r="AI19" s="369">
        <v>0.75603963666425211</v>
      </c>
      <c r="AJ19" s="369">
        <v>0.76543674612538726</v>
      </c>
      <c r="AK19" s="369">
        <v>0.77208196585874045</v>
      </c>
      <c r="AL19" s="369" t="s">
        <v>491</v>
      </c>
      <c r="AM19" s="369" t="s">
        <v>491</v>
      </c>
      <c r="AN19" s="369" t="s">
        <v>491</v>
      </c>
      <c r="AO19" s="370" t="s">
        <v>491</v>
      </c>
      <c r="AP19" s="445">
        <v>0.76239266482507595</v>
      </c>
      <c r="AQ19" s="383">
        <v>0.75114549908434236</v>
      </c>
      <c r="AR19" s="383" t="s">
        <v>491</v>
      </c>
      <c r="AS19" s="383">
        <v>0.62561548526779931</v>
      </c>
      <c r="AT19" s="447">
        <v>0.75770066717188345</v>
      </c>
    </row>
    <row r="21" spans="2:46" ht="15.75" thickBot="1" x14ac:dyDescent="0.3"/>
    <row r="22" spans="2:46" ht="21" outlineLevel="1" x14ac:dyDescent="0.25">
      <c r="E22" s="362" t="s">
        <v>183</v>
      </c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33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33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507" t="s">
        <v>484</v>
      </c>
      <c r="AQ22" s="508"/>
      <c r="AR22" s="508"/>
      <c r="AS22" s="508"/>
      <c r="AT22" s="509"/>
    </row>
    <row r="23" spans="2:46" outlineLevel="1" x14ac:dyDescent="0.25">
      <c r="E23" s="204"/>
      <c r="F23" s="355" t="s">
        <v>341</v>
      </c>
      <c r="G23" s="355"/>
      <c r="H23" s="355"/>
      <c r="I23" s="355"/>
      <c r="J23" s="355"/>
      <c r="K23" s="355"/>
      <c r="L23" s="355"/>
      <c r="M23" s="355"/>
      <c r="N23" s="355"/>
      <c r="O23" s="355"/>
      <c r="P23" s="355"/>
      <c r="Q23" s="356"/>
      <c r="R23" s="355" t="s">
        <v>341</v>
      </c>
      <c r="S23" s="357"/>
      <c r="T23" s="357"/>
      <c r="U23" s="357"/>
      <c r="V23" s="357"/>
      <c r="W23" s="357"/>
      <c r="X23" s="357"/>
      <c r="Y23" s="357"/>
      <c r="Z23" s="357"/>
      <c r="AA23" s="357"/>
      <c r="AB23" s="357"/>
      <c r="AC23" s="358"/>
      <c r="AD23" s="355" t="s">
        <v>341</v>
      </c>
      <c r="AE23" s="357"/>
      <c r="AF23" s="357"/>
      <c r="AG23" s="357"/>
      <c r="AH23" s="357"/>
      <c r="AI23" s="357"/>
      <c r="AJ23" s="357"/>
      <c r="AK23" s="357"/>
      <c r="AL23" s="357"/>
      <c r="AM23" s="357"/>
      <c r="AN23" s="357"/>
      <c r="AO23" s="357"/>
      <c r="AP23" s="510" t="s">
        <v>485</v>
      </c>
      <c r="AQ23" s="511"/>
      <c r="AR23" s="511" t="s">
        <v>486</v>
      </c>
      <c r="AS23" s="511"/>
      <c r="AT23" s="512"/>
    </row>
    <row r="24" spans="2:46" outlineLevel="1" x14ac:dyDescent="0.25">
      <c r="E24" s="354" t="s">
        <v>487</v>
      </c>
      <c r="F24" s="360">
        <f t="shared" ref="F24:R24" si="124">F$4</f>
        <v>44927</v>
      </c>
      <c r="G24" s="360">
        <f t="shared" si="124"/>
        <v>44958</v>
      </c>
      <c r="H24" s="360">
        <f t="shared" si="124"/>
        <v>44986</v>
      </c>
      <c r="I24" s="360">
        <f t="shared" si="124"/>
        <v>45017</v>
      </c>
      <c r="J24" s="360">
        <f t="shared" si="124"/>
        <v>45047</v>
      </c>
      <c r="K24" s="360">
        <f t="shared" si="124"/>
        <v>45078</v>
      </c>
      <c r="L24" s="360">
        <f t="shared" si="124"/>
        <v>45108</v>
      </c>
      <c r="M24" s="360">
        <f t="shared" si="124"/>
        <v>45139</v>
      </c>
      <c r="N24" s="360">
        <f t="shared" si="124"/>
        <v>45170</v>
      </c>
      <c r="O24" s="360">
        <f t="shared" si="124"/>
        <v>45200</v>
      </c>
      <c r="P24" s="360">
        <f t="shared" si="124"/>
        <v>45231</v>
      </c>
      <c r="Q24" s="365">
        <f t="shared" si="124"/>
        <v>45261</v>
      </c>
      <c r="R24" s="360">
        <f t="shared" si="124"/>
        <v>45292</v>
      </c>
      <c r="S24" s="360">
        <f t="shared" ref="S24:AO24" si="125">S$4</f>
        <v>45323</v>
      </c>
      <c r="T24" s="360">
        <f t="shared" si="125"/>
        <v>45352</v>
      </c>
      <c r="U24" s="360">
        <f t="shared" si="125"/>
        <v>45383</v>
      </c>
      <c r="V24" s="360">
        <f t="shared" si="125"/>
        <v>45413</v>
      </c>
      <c r="W24" s="360">
        <f t="shared" si="125"/>
        <v>45444</v>
      </c>
      <c r="X24" s="360">
        <f t="shared" si="125"/>
        <v>45474</v>
      </c>
      <c r="Y24" s="360">
        <f t="shared" si="125"/>
        <v>45505</v>
      </c>
      <c r="Z24" s="360">
        <f t="shared" si="125"/>
        <v>45536</v>
      </c>
      <c r="AA24" s="360">
        <f t="shared" si="125"/>
        <v>45566</v>
      </c>
      <c r="AB24" s="360">
        <f t="shared" si="125"/>
        <v>45597</v>
      </c>
      <c r="AC24" s="365">
        <f t="shared" si="125"/>
        <v>45627</v>
      </c>
      <c r="AD24" s="360">
        <f t="shared" si="125"/>
        <v>45658</v>
      </c>
      <c r="AE24" s="360">
        <f t="shared" si="125"/>
        <v>45689</v>
      </c>
      <c r="AF24" s="360">
        <f t="shared" si="125"/>
        <v>45717</v>
      </c>
      <c r="AG24" s="360">
        <f t="shared" si="125"/>
        <v>45748</v>
      </c>
      <c r="AH24" s="360">
        <f t="shared" si="125"/>
        <v>45778</v>
      </c>
      <c r="AI24" s="360">
        <f t="shared" si="125"/>
        <v>45809</v>
      </c>
      <c r="AJ24" s="360">
        <f t="shared" si="125"/>
        <v>45839</v>
      </c>
      <c r="AK24" s="360">
        <f t="shared" si="125"/>
        <v>45870</v>
      </c>
      <c r="AL24" s="360">
        <f t="shared" si="125"/>
        <v>45901</v>
      </c>
      <c r="AM24" s="360">
        <f t="shared" si="125"/>
        <v>45931</v>
      </c>
      <c r="AN24" s="360">
        <f t="shared" si="125"/>
        <v>45962</v>
      </c>
      <c r="AO24" s="360">
        <f t="shared" si="125"/>
        <v>45992</v>
      </c>
      <c r="AP24" s="351" t="s">
        <v>349</v>
      </c>
      <c r="AQ24" s="352" t="s">
        <v>348</v>
      </c>
      <c r="AR24" s="352" t="s">
        <v>772</v>
      </c>
      <c r="AS24" s="352" t="s">
        <v>490</v>
      </c>
      <c r="AT24" s="353" t="s">
        <v>773</v>
      </c>
    </row>
    <row r="25" spans="2:46" ht="15.75" outlineLevel="1" x14ac:dyDescent="0.25">
      <c r="B25">
        <v>5</v>
      </c>
      <c r="C25" t="str">
        <f>$E$2</f>
        <v>PC Annual Direct</v>
      </c>
      <c r="D25" t="s">
        <v>72</v>
      </c>
      <c r="E25" s="223" t="s">
        <v>488</v>
      </c>
      <c r="F25" s="209">
        <f ca="1">F42+F60</f>
        <v>2004.9287671809998</v>
      </c>
      <c r="G25" s="209">
        <f t="shared" ref="G25:AO25" ca="1" si="126">G42+G60</f>
        <v>2177.1205480079975</v>
      </c>
      <c r="H25" s="209">
        <f t="shared" ca="1" si="126"/>
        <v>2686.721311545401</v>
      </c>
      <c r="I25" s="209">
        <f t="shared" ca="1" si="126"/>
        <v>1944.6939891300005</v>
      </c>
      <c r="J25" s="209">
        <f t="shared" ca="1" si="126"/>
        <v>1627.2103825526017</v>
      </c>
      <c r="K25" s="209">
        <f t="shared" ca="1" si="126"/>
        <v>1168.2404371882005</v>
      </c>
      <c r="L25" s="209">
        <f t="shared" ca="1" si="126"/>
        <v>657.13661201320099</v>
      </c>
      <c r="M25" s="209">
        <f t="shared" ca="1" si="126"/>
        <v>858.71038251520122</v>
      </c>
      <c r="N25" s="209">
        <f t="shared" ca="1" si="126"/>
        <v>863.89344265020111</v>
      </c>
      <c r="O25" s="209">
        <f t="shared" ca="1" si="126"/>
        <v>1089.696721341802</v>
      </c>
      <c r="P25" s="209">
        <f t="shared" ca="1" si="126"/>
        <v>1822.3606557956</v>
      </c>
      <c r="Q25" s="238">
        <f t="shared" ca="1" si="126"/>
        <v>1644.6256831067997</v>
      </c>
      <c r="R25" s="209">
        <f t="shared" ca="1" si="126"/>
        <v>1928.9098361332008</v>
      </c>
      <c r="S25" s="209">
        <f t="shared" ca="1" si="126"/>
        <v>2938.8278689344006</v>
      </c>
      <c r="T25" s="209">
        <f t="shared" ca="1" si="126"/>
        <v>4719.2684932679986</v>
      </c>
      <c r="U25" s="209">
        <f t="shared" ca="1" si="126"/>
        <v>4813.9671234189964</v>
      </c>
      <c r="V25" s="209">
        <f t="shared" ca="1" si="126"/>
        <v>4822.7863015119965</v>
      </c>
      <c r="W25" s="209">
        <f t="shared" ca="1" si="126"/>
        <v>4094.0109590139864</v>
      </c>
      <c r="X25" s="209">
        <f t="shared" ca="1" si="126"/>
        <v>3413.1726028770081</v>
      </c>
      <c r="Y25" s="209">
        <f t="shared" ca="1" si="126"/>
        <v>2981.5780822710058</v>
      </c>
      <c r="Z25" s="209">
        <f t="shared" ca="1" si="126"/>
        <v>2786.1637903963815</v>
      </c>
      <c r="AA25" s="209">
        <f t="shared" ca="1" si="126"/>
        <v>2782.7850391846837</v>
      </c>
      <c r="AB25" s="209">
        <f t="shared" ca="1" si="126"/>
        <v>3055.292430604351</v>
      </c>
      <c r="AC25" s="238">
        <f t="shared" ca="1" si="126"/>
        <v>3164.6372648775186</v>
      </c>
      <c r="AD25" s="209">
        <f t="shared" ca="1" si="126"/>
        <v>3392.3325960946727</v>
      </c>
      <c r="AE25" s="209">
        <f t="shared" ca="1" si="126"/>
        <v>2802.9209777071001</v>
      </c>
      <c r="AF25" s="209">
        <f t="shared" ca="1" si="126"/>
        <v>3540.3306379969304</v>
      </c>
      <c r="AG25" s="209">
        <f t="shared" ca="1" si="126"/>
        <v>3563.3824850882525</v>
      </c>
      <c r="AH25" s="209">
        <f t="shared" ca="1" si="126"/>
        <v>3583.2890749280732</v>
      </c>
      <c r="AI25" s="209">
        <f t="shared" ca="1" si="126"/>
        <v>3228.325704721477</v>
      </c>
      <c r="AJ25" s="209">
        <f t="shared" ca="1" si="126"/>
        <v>3125.5700128980143</v>
      </c>
      <c r="AK25" s="209">
        <f t="shared" ca="1" si="126"/>
        <v>1418.3929705084352</v>
      </c>
      <c r="AL25" s="209">
        <f t="shared" ca="1" si="126"/>
        <v>0</v>
      </c>
      <c r="AM25" s="209">
        <f t="shared" ca="1" si="126"/>
        <v>0</v>
      </c>
      <c r="AN25" s="209">
        <f t="shared" ca="1" si="126"/>
        <v>0</v>
      </c>
      <c r="AO25" s="209">
        <f t="shared" ca="1" si="126"/>
        <v>0</v>
      </c>
      <c r="AP25" s="237">
        <f ca="1">IFERROR(AVERAGE(INDEX($F25:$AO25, $AV$4 - 3):INDEX($F25:$AO25, $AV$4)),"-")</f>
        <v>2838.8944407639997</v>
      </c>
      <c r="AQ25" s="209">
        <f ca="1">IFERROR(AVERAGE(INDEX($F25:$AO25, $AV$4 - 11):INDEX($F25:$AO25, $AV$4)),"-")</f>
        <v>3036.9519154171576</v>
      </c>
      <c r="AR25" s="209" cm="1">
        <f t="array" aca="1" ref="AR25" ca="1">IFERROR(SUMPRODUCT(IFERROR((YEAR($F$4:$AO$4)=2024)*$F25:$AO25,0)),"-")</f>
        <v>41501.399792491531</v>
      </c>
      <c r="AS25" s="209">
        <f ca="1">IFERROR(SUM(INDEX($F25:$AO25, $AV$4 - MONTH(TODAY())-11):INDEX($F25:$AO25, $AV$4-12)),"-")</f>
        <v>29712.521267428594</v>
      </c>
      <c r="AT25" s="238">
        <f ca="1">IFERROR(SUM(INDEX($F25:$AO25, $AV$4 - MONTH(TODAY())+1):INDEX($F25:$AO25, $AV$4)),"-")</f>
        <v>24654.54445994295</v>
      </c>
    </row>
    <row r="26" spans="2:46" ht="15.75" hidden="1" outlineLevel="1" x14ac:dyDescent="0.25">
      <c r="C26" t="str">
        <f>$E$22&amp;"_W VYRs"</f>
        <v>PC Annual Direct - Annual_W VYRs</v>
      </c>
      <c r="D26" t="str">
        <f>$D25</f>
        <v>Boom Annual</v>
      </c>
      <c r="E26" s="211" t="s">
        <v>317</v>
      </c>
      <c r="F26" s="31" t="str">
        <f>INDEX('Plan Figures'!$B$5:$AP$31,MATCH('Ultimate - Sales, NWP, GWP'!F$4,'Plan Figures'!$B$5:$B$31,0),MATCH('Ultimate - Sales, NWP, GWP'!$C26,'Plan Figures'!$B$1:$AP$1,0))</f>
        <v>-</v>
      </c>
      <c r="G26" s="31" t="str">
        <f>INDEX('Plan Figures'!$B$5:$AP$31,MATCH('Ultimate - Sales, NWP, GWP'!G$4,'Plan Figures'!$B$5:$B$31,0),MATCH('Ultimate - Sales, NWP, GWP'!$C26,'Plan Figures'!$B$1:$AP$1,0))</f>
        <v>-</v>
      </c>
      <c r="H26" s="31" t="str">
        <f>INDEX('Plan Figures'!$B$5:$AP$31,MATCH('Ultimate - Sales, NWP, GWP'!H$4,'Plan Figures'!$B$5:$B$31,0),MATCH('Ultimate - Sales, NWP, GWP'!$C26,'Plan Figures'!$B$1:$AP$1,0))</f>
        <v>-</v>
      </c>
      <c r="I26" s="31" t="str">
        <f>INDEX('Plan Figures'!$B$5:$AP$31,MATCH('Ultimate - Sales, NWP, GWP'!I$4,'Plan Figures'!$B$5:$B$31,0),MATCH('Ultimate - Sales, NWP, GWP'!$C26,'Plan Figures'!$B$1:$AP$1,0))</f>
        <v>-</v>
      </c>
      <c r="J26" s="31" t="str">
        <f>INDEX('Plan Figures'!$B$5:$AP$31,MATCH('Ultimate - Sales, NWP, GWP'!J$4,'Plan Figures'!$B$5:$B$31,0),MATCH('Ultimate - Sales, NWP, GWP'!$C26,'Plan Figures'!$B$1:$AP$1,0))</f>
        <v>-</v>
      </c>
      <c r="K26" s="31" t="str">
        <f>INDEX('Plan Figures'!$B$5:$AP$31,MATCH('Ultimate - Sales, NWP, GWP'!K$4,'Plan Figures'!$B$5:$B$31,0),MATCH('Ultimate - Sales, NWP, GWP'!$C26,'Plan Figures'!$B$1:$AP$1,0))</f>
        <v>-</v>
      </c>
      <c r="L26" s="31" t="str">
        <f>INDEX('Plan Figures'!$B$5:$AP$31,MATCH('Ultimate - Sales, NWP, GWP'!L$4,'Plan Figures'!$B$5:$B$31,0),MATCH('Ultimate - Sales, NWP, GWP'!$C26,'Plan Figures'!$B$1:$AP$1,0))</f>
        <v>-</v>
      </c>
      <c r="M26" s="31" t="str">
        <f>INDEX('Plan Figures'!$B$5:$AP$31,MATCH('Ultimate - Sales, NWP, GWP'!M$4,'Plan Figures'!$B$5:$B$31,0),MATCH('Ultimate - Sales, NWP, GWP'!$C26,'Plan Figures'!$B$1:$AP$1,0))</f>
        <v>-</v>
      </c>
      <c r="N26" s="31" t="str">
        <f>INDEX('Plan Figures'!$B$5:$AP$31,MATCH('Ultimate - Sales, NWP, GWP'!N$4,'Plan Figures'!$B$5:$B$31,0),MATCH('Ultimate - Sales, NWP, GWP'!$C26,'Plan Figures'!$B$1:$AP$1,0))</f>
        <v>-</v>
      </c>
      <c r="O26" s="31" t="str">
        <f>INDEX('Plan Figures'!$B$5:$AP$31,MATCH('Ultimate - Sales, NWP, GWP'!O$4,'Plan Figures'!$B$5:$B$31,0),MATCH('Ultimate - Sales, NWP, GWP'!$C26,'Plan Figures'!$B$1:$AP$1,0))</f>
        <v>-</v>
      </c>
      <c r="P26" s="31">
        <f>INDEX('Plan Figures'!$B$5:$AP$31,MATCH('Ultimate - Sales, NWP, GWP'!P$4,'Plan Figures'!$B$5:$B$31,0),MATCH('Ultimate - Sales, NWP, GWP'!$C26,'Plan Figures'!$B$1:$AP$1,0))</f>
        <v>1113.4200697273855</v>
      </c>
      <c r="Q26" s="240">
        <f>INDEX('Plan Figures'!$B$5:$AP$31,MATCH('Ultimate - Sales, NWP, GWP'!Q$4,'Plan Figures'!$B$5:$B$31,0),MATCH('Ultimate - Sales, NWP, GWP'!$C26,'Plan Figures'!$B$1:$AP$1,0))</f>
        <v>989.67431218271486</v>
      </c>
      <c r="R26" s="31">
        <f>INDEX('Plan Figures'!$B$5:$AP$31,MATCH('Ultimate - Sales, NWP, GWP'!R$4,'Plan Figures'!$B$5:$B$31,0),MATCH('Ultimate - Sales, NWP, GWP'!$C26,'Plan Figures'!$B$1:$AP$1,0))</f>
        <v>1210.5482166933789</v>
      </c>
      <c r="S26" s="31">
        <f>INDEX('Plan Figures'!$B$5:$AP$31,MATCH('Ultimate - Sales, NWP, GWP'!S$4,'Plan Figures'!$B$5:$B$31,0),MATCH('Ultimate - Sales, NWP, GWP'!$C26,'Plan Figures'!$B$1:$AP$1,0))</f>
        <v>1208.1319527878034</v>
      </c>
      <c r="T26" s="31">
        <f>INDEX('Plan Figures'!$B$5:$AP$31,MATCH('Ultimate - Sales, NWP, GWP'!T$4,'Plan Figures'!$B$5:$B$31,0),MATCH('Ultimate - Sales, NWP, GWP'!$C26,'Plan Figures'!$B$1:$AP$1,0))</f>
        <v>1205.7205117642748</v>
      </c>
      <c r="U26" s="31">
        <f>INDEX('Plan Figures'!$B$5:$AP$31,MATCH('Ultimate - Sales, NWP, GWP'!U$4,'Plan Figures'!$B$5:$B$31,0),MATCH('Ultimate - Sales, NWP, GWP'!$C26,'Plan Figures'!$B$1:$AP$1,0))</f>
        <v>1203.3138839962821</v>
      </c>
      <c r="V26" s="31">
        <f>INDEX('Plan Figures'!$B$5:$AP$31,MATCH('Ultimate - Sales, NWP, GWP'!V$4,'Plan Figures'!$B$5:$B$31,0),MATCH('Ultimate - Sales, NWP, GWP'!$C26,'Plan Figures'!$B$1:$AP$1,0))</f>
        <v>1201.0207575202833</v>
      </c>
      <c r="W26" s="31">
        <f>INDEX('Plan Figures'!$B$5:$AP$31,MATCH('Ultimate - Sales, NWP, GWP'!W$4,'Plan Figures'!$B$5:$B$31,0),MATCH('Ultimate - Sales, NWP, GWP'!$C26,'Plan Figures'!$B$1:$AP$1,0))</f>
        <v>1228.875833502128</v>
      </c>
      <c r="X26" s="31">
        <f>INDEX('Plan Figures'!$B$5:$AP$31,MATCH('Ultimate - Sales, NWP, GWP'!X$4,'Plan Figures'!$B$5:$B$31,0),MATCH('Ultimate - Sales, NWP, GWP'!$C26,'Plan Figures'!$B$1:$AP$1,0))</f>
        <v>1163.6668411466933</v>
      </c>
      <c r="Y26" s="31">
        <f>INDEX('Plan Figures'!$B$5:$AP$31,MATCH('Ultimate - Sales, NWP, GWP'!Y$4,'Plan Figures'!$B$5:$B$31,0),MATCH('Ultimate - Sales, NWP, GWP'!$C26,'Plan Figures'!$B$1:$AP$1,0))</f>
        <v>1142.8043600541273</v>
      </c>
      <c r="Z26" s="31">
        <f>INDEX('Plan Figures'!$B$5:$AP$31,MATCH('Ultimate - Sales, NWP, GWP'!Z$4,'Plan Figures'!$B$5:$B$31,0),MATCH('Ultimate - Sales, NWP, GWP'!$C26,'Plan Figures'!$B$1:$AP$1,0))</f>
        <v>1583.4171745261115</v>
      </c>
      <c r="AA26" s="31">
        <f>INDEX('Plan Figures'!$B$5:$AP$31,MATCH('Ultimate - Sales, NWP, GWP'!AA$4,'Plan Figures'!$B$5:$B$31,0),MATCH('Ultimate - Sales, NWP, GWP'!$C26,'Plan Figures'!$B$1:$AP$1,0))</f>
        <v>1633.4199796082153</v>
      </c>
      <c r="AB26" s="31">
        <f>INDEX('Plan Figures'!$B$5:$AP$31,MATCH('Ultimate - Sales, NWP, GWP'!AB$4,'Plan Figures'!$B$5:$B$31,0),MATCH('Ultimate - Sales, NWP, GWP'!$C26,'Plan Figures'!$B$1:$AP$1,0))</f>
        <v>1421.9431064527189</v>
      </c>
      <c r="AC26" s="240">
        <f>INDEX('Plan Figures'!$B$5:$AP$31,MATCH('Ultimate - Sales, NWP, GWP'!AC$4,'Plan Figures'!$B$5:$B$31,0),MATCH('Ultimate - Sales, NWP, GWP'!$C26,'Plan Figures'!$B$1:$AP$1,0))</f>
        <v>1292.0881451523526</v>
      </c>
      <c r="AD26" s="31">
        <f>INDEX('Plan Figures'!$B$5:$AP$31,MATCH('Ultimate - Sales, NWP, GWP'!AD$4,'Plan Figures'!$B$5:$B$31,0),MATCH('Ultimate - Sales, NWP, GWP'!$C26,'Plan Figures'!$B$1:$AP$1,0))</f>
        <v>2450.6881730655136</v>
      </c>
      <c r="AE26" s="31" t="e">
        <f>INDEX('Plan Figures'!$B$5:$AP$31,MATCH('Ultimate - Sales, NWP, GWP'!AE$4,'Plan Figures'!$B$5:$B$31,0),MATCH('Ultimate - Sales, NWP, GWP'!$C26,'Plan Figures'!$B$1:$AP$1,0))</f>
        <v>#N/A</v>
      </c>
      <c r="AF26" s="31" t="e">
        <f>INDEX('Plan Figures'!$B$5:$AP$31,MATCH('Ultimate - Sales, NWP, GWP'!AF$4,'Plan Figures'!$B$5:$B$31,0),MATCH('Ultimate - Sales, NWP, GWP'!$C26,'Plan Figures'!$B$1:$AP$1,0))</f>
        <v>#N/A</v>
      </c>
      <c r="AG26" s="31" t="e">
        <f>INDEX('Plan Figures'!$B$5:$AP$31,MATCH('Ultimate - Sales, NWP, GWP'!AG$4,'Plan Figures'!$B$5:$B$31,0),MATCH('Ultimate - Sales, NWP, GWP'!$C26,'Plan Figures'!$B$1:$AP$1,0))</f>
        <v>#N/A</v>
      </c>
      <c r="AH26" s="31" t="e">
        <f>INDEX('Plan Figures'!$B$5:$AP$31,MATCH('Ultimate - Sales, NWP, GWP'!AH$4,'Plan Figures'!$B$5:$B$31,0),MATCH('Ultimate - Sales, NWP, GWP'!$C26,'Plan Figures'!$B$1:$AP$1,0))</f>
        <v>#N/A</v>
      </c>
      <c r="AI26" s="31" t="e">
        <f>INDEX('Plan Figures'!$B$5:$AP$31,MATCH('Ultimate - Sales, NWP, GWP'!AI$4,'Plan Figures'!$B$5:$B$31,0),MATCH('Ultimate - Sales, NWP, GWP'!$C26,'Plan Figures'!$B$1:$AP$1,0))</f>
        <v>#N/A</v>
      </c>
      <c r="AJ26" s="31" t="e">
        <f>INDEX('Plan Figures'!$B$5:$AP$31,MATCH('Ultimate - Sales, NWP, GWP'!AJ$4,'Plan Figures'!$B$5:$B$31,0),MATCH('Ultimate - Sales, NWP, GWP'!$C26,'Plan Figures'!$B$1:$AP$1,0))</f>
        <v>#N/A</v>
      </c>
      <c r="AK26" s="31" t="e">
        <f>INDEX('Plan Figures'!$B$5:$AP$31,MATCH('Ultimate - Sales, NWP, GWP'!AK$4,'Plan Figures'!$B$5:$B$31,0),MATCH('Ultimate - Sales, NWP, GWP'!$C26,'Plan Figures'!$B$1:$AP$1,0))</f>
        <v>#N/A</v>
      </c>
      <c r="AL26" s="31" t="e">
        <f>INDEX('Plan Figures'!$B$5:$AP$31,MATCH('Ultimate - Sales, NWP, GWP'!AL$4,'Plan Figures'!$B$5:$B$31,0),MATCH('Ultimate - Sales, NWP, GWP'!$C26,'Plan Figures'!$B$1:$AP$1,0))</f>
        <v>#N/A</v>
      </c>
      <c r="AM26" s="31" t="e">
        <f>INDEX('Plan Figures'!$B$5:$AP$31,MATCH('Ultimate - Sales, NWP, GWP'!AM$4,'Plan Figures'!$B$5:$B$31,0),MATCH('Ultimate - Sales, NWP, GWP'!$C26,'Plan Figures'!$B$1:$AP$1,0))</f>
        <v>#N/A</v>
      </c>
      <c r="AN26" s="31" t="e">
        <f>INDEX('Plan Figures'!$B$5:$AP$31,MATCH('Ultimate - Sales, NWP, GWP'!AN$4,'Plan Figures'!$B$5:$B$31,0),MATCH('Ultimate - Sales, NWP, GWP'!$C26,'Plan Figures'!$B$1:$AP$1,0))</f>
        <v>#N/A</v>
      </c>
      <c r="AO26" s="31" t="e">
        <f>INDEX('Plan Figures'!$B$5:$AP$31,MATCH('Ultimate - Sales, NWP, GWP'!AO$4,'Plan Figures'!$B$5:$B$31,0),MATCH('Ultimate - Sales, NWP, GWP'!$C26,'Plan Figures'!$B$1:$AP$1,0))</f>
        <v>#N/A</v>
      </c>
      <c r="AP26" s="239">
        <f t="shared" ref="AP26:AP27" si="127">AVERAGE(AA26:AD26)</f>
        <v>1699.5348510696999</v>
      </c>
      <c r="AQ26" s="31">
        <f t="shared" ref="AQ26:AQ27" si="128">AVERAGE(S26:AD26)</f>
        <v>1394.5908932980421</v>
      </c>
      <c r="AR26" s="31"/>
      <c r="AS26" s="31" t="e">
        <f>SUMIFS(AD26:AO26,AD$4:AO$4,"&lt;"&amp;'Title Sheet'!$C$13)</f>
        <v>#N/A</v>
      </c>
      <c r="AT26" s="240"/>
    </row>
    <row r="27" spans="2:46" ht="15.75" hidden="1" outlineLevel="1" x14ac:dyDescent="0.25">
      <c r="C27" t="str">
        <f t="shared" ref="C27:C36" si="129">$E$2</f>
        <v>PC Annual Direct</v>
      </c>
      <c r="D27" t="str">
        <f t="shared" ref="D27:D36" si="130">$D26</f>
        <v>Boom Annual</v>
      </c>
      <c r="E27" s="213" t="s">
        <v>0</v>
      </c>
      <c r="F27" s="214" t="str">
        <f t="shared" ref="F27" ca="1" si="131">IFERROR(IF(F25=0,"-",(F25/F26)-1),"-")</f>
        <v>-</v>
      </c>
      <c r="G27" s="214" t="str">
        <f t="shared" ref="G27:AO27" ca="1" si="132">IFERROR(IF(G25=0,"-",(G25/G26)-1),"-")</f>
        <v>-</v>
      </c>
      <c r="H27" s="214" t="str">
        <f t="shared" ca="1" si="132"/>
        <v>-</v>
      </c>
      <c r="I27" s="214" t="str">
        <f t="shared" ca="1" si="132"/>
        <v>-</v>
      </c>
      <c r="J27" s="214" t="str">
        <f t="shared" ca="1" si="132"/>
        <v>-</v>
      </c>
      <c r="K27" s="214" t="str">
        <f t="shared" ca="1" si="132"/>
        <v>-</v>
      </c>
      <c r="L27" s="214" t="str">
        <f t="shared" ca="1" si="132"/>
        <v>-</v>
      </c>
      <c r="M27" s="214" t="str">
        <f t="shared" ca="1" si="132"/>
        <v>-</v>
      </c>
      <c r="N27" s="214" t="str">
        <f t="shared" ca="1" si="132"/>
        <v>-</v>
      </c>
      <c r="O27" s="214" t="str">
        <f t="shared" ca="1" si="132"/>
        <v>-</v>
      </c>
      <c r="P27" s="214">
        <f t="shared" ca="1" si="132"/>
        <v>0.63672337632803289</v>
      </c>
      <c r="Q27" s="294">
        <f t="shared" ca="1" si="132"/>
        <v>0.66178475369295731</v>
      </c>
      <c r="R27" s="214">
        <f t="shared" ca="1" si="132"/>
        <v>0.59341842772858056</v>
      </c>
      <c r="S27" s="214">
        <f t="shared" ca="1" si="132"/>
        <v>1.4325388151128364</v>
      </c>
      <c r="T27" s="214">
        <f t="shared" ca="1" si="132"/>
        <v>2.9140650318393542</v>
      </c>
      <c r="U27" s="214">
        <f t="shared" ca="1" si="132"/>
        <v>3.0005913564559767</v>
      </c>
      <c r="V27" s="214">
        <f t="shared" ca="1" si="132"/>
        <v>3.0155728128042343</v>
      </c>
      <c r="W27" s="214">
        <f t="shared" ca="1" si="132"/>
        <v>2.3315090486779413</v>
      </c>
      <c r="X27" s="214">
        <f t="shared" ca="1" si="132"/>
        <v>1.9331183825033813</v>
      </c>
      <c r="Y27" s="214">
        <f t="shared" ca="1" si="132"/>
        <v>1.6090013185894634</v>
      </c>
      <c r="Z27" s="214">
        <f t="shared" ca="1" si="132"/>
        <v>0.75958921958152348</v>
      </c>
      <c r="AA27" s="214">
        <f t="shared" ca="1" si="132"/>
        <v>0.70365556557729247</v>
      </c>
      <c r="AB27" s="214">
        <f t="shared" ca="1" si="132"/>
        <v>1.1486741746132885</v>
      </c>
      <c r="AC27" s="294">
        <f t="shared" ca="1" si="132"/>
        <v>1.4492425510988416</v>
      </c>
      <c r="AD27" s="214">
        <f t="shared" ca="1" si="132"/>
        <v>0.38423673537024339</v>
      </c>
      <c r="AE27" s="214" t="str">
        <f t="shared" ca="1" si="132"/>
        <v>-</v>
      </c>
      <c r="AF27" s="214" t="str">
        <f t="shared" ca="1" si="132"/>
        <v>-</v>
      </c>
      <c r="AG27" s="214" t="str">
        <f t="shared" ca="1" si="132"/>
        <v>-</v>
      </c>
      <c r="AH27" s="214" t="str">
        <f t="shared" ca="1" si="132"/>
        <v>-</v>
      </c>
      <c r="AI27" s="214" t="str">
        <f t="shared" ca="1" si="132"/>
        <v>-</v>
      </c>
      <c r="AJ27" s="214" t="str">
        <f t="shared" ca="1" si="132"/>
        <v>-</v>
      </c>
      <c r="AK27" s="214" t="str">
        <f t="shared" ca="1" si="132"/>
        <v>-</v>
      </c>
      <c r="AL27" s="214" t="str">
        <f t="shared" ca="1" si="132"/>
        <v>-</v>
      </c>
      <c r="AM27" s="214" t="str">
        <f t="shared" ca="1" si="132"/>
        <v>-</v>
      </c>
      <c r="AN27" s="214" t="str">
        <f t="shared" ca="1" si="132"/>
        <v>-</v>
      </c>
      <c r="AO27" s="214" t="str">
        <f t="shared" ca="1" si="132"/>
        <v>-</v>
      </c>
      <c r="AP27" s="274">
        <f t="shared" ca="1" si="127"/>
        <v>0.92145225666491648</v>
      </c>
      <c r="AQ27" s="275">
        <f t="shared" ca="1" si="128"/>
        <v>1.7234829176853648</v>
      </c>
      <c r="AR27" s="275"/>
      <c r="AS27" s="275" t="str">
        <f t="shared" ref="AS27" ca="1" si="133">IFERROR(IF(AS25=0,"-",(AS25/AS26)-1),"-")</f>
        <v>-</v>
      </c>
      <c r="AT27" s="276"/>
    </row>
    <row r="28" spans="2:46" ht="15.75" outlineLevel="1" x14ac:dyDescent="0.25">
      <c r="B28">
        <v>4</v>
      </c>
      <c r="C28" t="str">
        <f t="shared" si="129"/>
        <v>PC Annual Direct</v>
      </c>
      <c r="D28" t="str">
        <f t="shared" si="130"/>
        <v>Boom Annual</v>
      </c>
      <c r="E28" s="208" t="s">
        <v>5</v>
      </c>
      <c r="F28" s="332">
        <f ca="1">F45+F63</f>
        <v>1086160.0635735805</v>
      </c>
      <c r="G28" s="332">
        <f t="shared" ref="G28:AO28" ca="1" si="134">G45+G63</f>
        <v>1100141.5299974654</v>
      </c>
      <c r="H28" s="332">
        <f t="shared" ca="1" si="134"/>
        <v>1168566.6321445385</v>
      </c>
      <c r="I28" s="332">
        <f t="shared" ca="1" si="134"/>
        <v>918911.07178519689</v>
      </c>
      <c r="J28" s="332">
        <f t="shared" ca="1" si="134"/>
        <v>1069510.8107149289</v>
      </c>
      <c r="K28" s="332">
        <f t="shared" ca="1" si="134"/>
        <v>945624.45928729349</v>
      </c>
      <c r="L28" s="332">
        <f t="shared" ca="1" si="134"/>
        <v>896470.2778577751</v>
      </c>
      <c r="M28" s="332">
        <f t="shared" ca="1" si="134"/>
        <v>1071653.1207244031</v>
      </c>
      <c r="N28" s="332">
        <f t="shared" ca="1" si="134"/>
        <v>1115138.8496423969</v>
      </c>
      <c r="O28" s="332">
        <f t="shared" ca="1" si="134"/>
        <v>1337651.323214008</v>
      </c>
      <c r="P28" s="332">
        <f t="shared" ca="1" si="134"/>
        <v>1843053.8217862977</v>
      </c>
      <c r="Q28" s="336">
        <f t="shared" ca="1" si="134"/>
        <v>1639641.0149972043</v>
      </c>
      <c r="R28" s="332">
        <f t="shared" ca="1" si="134"/>
        <v>2063723.8753563585</v>
      </c>
      <c r="S28" s="332">
        <f t="shared" ca="1" si="134"/>
        <v>3552789.3432058739</v>
      </c>
      <c r="T28" s="332">
        <f t="shared" ca="1" si="134"/>
        <v>5900791.1803528909</v>
      </c>
      <c r="U28" s="332">
        <f t="shared" ca="1" si="134"/>
        <v>5312417.110375477</v>
      </c>
      <c r="V28" s="332">
        <f t="shared" ca="1" si="134"/>
        <v>5056237.081441286</v>
      </c>
      <c r="W28" s="332">
        <f t="shared" ca="1" si="134"/>
        <v>4220634.4728614138</v>
      </c>
      <c r="X28" s="332">
        <f t="shared" ca="1" si="134"/>
        <v>3519488.2246881034</v>
      </c>
      <c r="Y28" s="332">
        <f t="shared" ca="1" si="134"/>
        <v>3079046.9576546019</v>
      </c>
      <c r="Z28" s="332">
        <f t="shared" ca="1" si="134"/>
        <v>2910135.4618826457</v>
      </c>
      <c r="AA28" s="332">
        <f t="shared" ca="1" si="134"/>
        <v>2848979.1252654274</v>
      </c>
      <c r="AB28" s="332">
        <f t="shared" ca="1" si="134"/>
        <v>3201911.4307015175</v>
      </c>
      <c r="AC28" s="336">
        <f t="shared" ca="1" si="134"/>
        <v>3308151.011454694</v>
      </c>
      <c r="AD28" s="332">
        <f t="shared" ca="1" si="134"/>
        <v>3387067.6647068574</v>
      </c>
      <c r="AE28" s="332">
        <f t="shared" ca="1" si="134"/>
        <v>2731422.547234979</v>
      </c>
      <c r="AF28" s="332">
        <f t="shared" ca="1" si="134"/>
        <v>3463645.6945839864</v>
      </c>
      <c r="AG28" s="332">
        <f t="shared" ca="1" si="134"/>
        <v>3323571.675442528</v>
      </c>
      <c r="AH28" s="332">
        <f t="shared" ca="1" si="134"/>
        <v>3356513.2184790224</v>
      </c>
      <c r="AI28" s="332">
        <f t="shared" ca="1" si="134"/>
        <v>2954355.0921333386</v>
      </c>
      <c r="AJ28" s="332">
        <f t="shared" ca="1" si="134"/>
        <v>2918970.5127672004</v>
      </c>
      <c r="AK28" s="332">
        <f t="shared" ca="1" si="134"/>
        <v>1383003.8988559186</v>
      </c>
      <c r="AL28" s="332">
        <f t="shared" ca="1" si="134"/>
        <v>0</v>
      </c>
      <c r="AM28" s="332">
        <f t="shared" ca="1" si="134"/>
        <v>0</v>
      </c>
      <c r="AN28" s="332">
        <f t="shared" ca="1" si="134"/>
        <v>0</v>
      </c>
      <c r="AO28" s="332">
        <f t="shared" ca="1" si="134"/>
        <v>0</v>
      </c>
      <c r="AP28" s="335">
        <f ca="1">IFERROR(AVERAGE(INDEX($F28:$AO28, $AV$4 - 3):INDEX($F28:$AO28, $AV$4)),"-")</f>
        <v>2653210.6805588701</v>
      </c>
      <c r="AQ28" s="332">
        <f ca="1">IFERROR(AVERAGE(INDEX($F28:$AO28, $AV$4 - 11):INDEX($F28:$AO28, $AV$4)),"-")</f>
        <v>2982310.6111256764</v>
      </c>
      <c r="AR28" s="332" cm="1">
        <f t="array" aca="1" ref="AR28" ca="1">IFERROR(SUMPRODUCT(IFERROR((YEAR($F$4:$AO$4)=2024)*$F28:$AO28,0)),"-")</f>
        <v>44974305.275240287</v>
      </c>
      <c r="AS28" s="332">
        <f ca="1">IFERROR(SUM(INDEX($F28:$AO28, $AV$4 - MONTH(TODAY())-11):INDEX($F28:$AO28, $AV$4-12)),"-")</f>
        <v>32705128.245936006</v>
      </c>
      <c r="AT28" s="336">
        <f ca="1">IFERROR(SUM(INDEX($F28:$AO28, $AV$4 - MONTH(TODAY())+1):INDEX($F28:$AO28, $AV$4)),"-")</f>
        <v>23518550.304203827</v>
      </c>
    </row>
    <row r="29" spans="2:46" ht="15.75" outlineLevel="1" x14ac:dyDescent="0.25">
      <c r="C29" t="str">
        <f>$E$22&amp;"_NWP"</f>
        <v>PC Annual Direct - Annual_NWP</v>
      </c>
      <c r="D29" t="str">
        <f t="shared" si="130"/>
        <v>Boom Annual</v>
      </c>
      <c r="E29" s="211" t="s">
        <v>6</v>
      </c>
      <c r="F29" s="333" t="str">
        <f>IFERROR(F46+F64,"-")</f>
        <v>-</v>
      </c>
      <c r="G29" s="333" t="str">
        <f t="shared" ref="G29:AO29" si="135">IFERROR(G46+G64,"-")</f>
        <v>-</v>
      </c>
      <c r="H29" s="333" t="str">
        <f t="shared" si="135"/>
        <v>-</v>
      </c>
      <c r="I29" s="333" t="str">
        <f t="shared" si="135"/>
        <v>-</v>
      </c>
      <c r="J29" s="333" t="str">
        <f t="shared" si="135"/>
        <v>-</v>
      </c>
      <c r="K29" s="333" t="str">
        <f t="shared" si="135"/>
        <v>-</v>
      </c>
      <c r="L29" s="333" t="str">
        <f t="shared" si="135"/>
        <v>-</v>
      </c>
      <c r="M29" s="333" t="str">
        <f t="shared" si="135"/>
        <v>-</v>
      </c>
      <c r="N29" s="333" t="str">
        <f t="shared" si="135"/>
        <v>-</v>
      </c>
      <c r="O29" s="333" t="str">
        <f t="shared" si="135"/>
        <v>-</v>
      </c>
      <c r="P29" s="333">
        <f t="shared" si="135"/>
        <v>1201948.8602582696</v>
      </c>
      <c r="Q29" s="339">
        <f t="shared" si="135"/>
        <v>1130181.9540233866</v>
      </c>
      <c r="R29" s="333">
        <f t="shared" si="135"/>
        <v>1235960.0527141613</v>
      </c>
      <c r="S29" s="333">
        <f t="shared" si="135"/>
        <v>3209687.704195444</v>
      </c>
      <c r="T29" s="333">
        <f t="shared" si="135"/>
        <v>5072820.0524703469</v>
      </c>
      <c r="U29" s="333">
        <f t="shared" si="135"/>
        <v>5239479.5187660325</v>
      </c>
      <c r="V29" s="333">
        <f t="shared" si="135"/>
        <v>5303355.8491957663</v>
      </c>
      <c r="W29" s="333">
        <f t="shared" si="135"/>
        <v>5403246.6544383476</v>
      </c>
      <c r="X29" s="333">
        <f t="shared" si="135"/>
        <v>3637467.4361899532</v>
      </c>
      <c r="Y29" s="333">
        <f t="shared" si="135"/>
        <v>3591494.7213076437</v>
      </c>
      <c r="Z29" s="333">
        <f t="shared" si="135"/>
        <v>4920244.1842005318</v>
      </c>
      <c r="AA29" s="333">
        <f t="shared" si="135"/>
        <v>5357982.1215902073</v>
      </c>
      <c r="AB29" s="333">
        <f t="shared" si="135"/>
        <v>4604674.4537642868</v>
      </c>
      <c r="AC29" s="339">
        <f t="shared" si="135"/>
        <v>4181688.2580563929</v>
      </c>
      <c r="AD29" s="333">
        <f t="shared" si="135"/>
        <v>7957264.957264957</v>
      </c>
      <c r="AE29" s="333">
        <f t="shared" si="135"/>
        <v>7957264.957264957</v>
      </c>
      <c r="AF29" s="333">
        <f t="shared" si="135"/>
        <v>7957264.957264957</v>
      </c>
      <c r="AG29" s="333">
        <f t="shared" si="135"/>
        <v>3339362.9985602223</v>
      </c>
      <c r="AH29" s="333">
        <f t="shared" si="135"/>
        <v>3470770.0467384197</v>
      </c>
      <c r="AI29" s="333">
        <f t="shared" si="135"/>
        <v>3427349.0459658089</v>
      </c>
      <c r="AJ29" s="333">
        <f t="shared" si="135"/>
        <v>3640086.821854189</v>
      </c>
      <c r="AK29" s="333">
        <f t="shared" si="135"/>
        <v>3757964.1500469251</v>
      </c>
      <c r="AL29" s="333">
        <f t="shared" si="135"/>
        <v>3764534.768566445</v>
      </c>
      <c r="AM29" s="333">
        <f t="shared" si="135"/>
        <v>3690107.1454575313</v>
      </c>
      <c r="AN29" s="333">
        <f t="shared" si="135"/>
        <v>3973666.7817406254</v>
      </c>
      <c r="AO29" s="333">
        <f t="shared" si="135"/>
        <v>3824985.8662046581</v>
      </c>
      <c r="AP29" s="338">
        <f ca="1">IFERROR(AVERAGE(INDEX($F29:$AO29, $AV$4 - 3):INDEX($F29:$AO29, $AV$4)),"-")</f>
        <v>3574042.516151336</v>
      </c>
      <c r="AQ29" s="333">
        <f ca="1">IFERROR(AVERAGE(INDEX($F29:$AO29, $AV$4 - 11):INDEX($F29:$AO29, $AV$4)),"-")</f>
        <v>5047659.7460476542</v>
      </c>
      <c r="AR29" s="333" t="str" cm="1">
        <f t="array" ref="AR29">IFERROR(SUMPRODUCT((YEAR($F$4:$AO$4)=2024)*$F29:$AO29),"-")</f>
        <v>-</v>
      </c>
      <c r="AS29" s="333" t="s">
        <v>491</v>
      </c>
      <c r="AT29" s="339">
        <f ca="1">IFERROR(SUM(INDEX($F29:$AO29, $AV$4 - MONTH(TODAY())+1):INDEX($F29:$AO29, $AV$4)),"-")</f>
        <v>41507327.934960432</v>
      </c>
    </row>
    <row r="30" spans="2:46" ht="15.75" outlineLevel="1" x14ac:dyDescent="0.25">
      <c r="C30" t="str">
        <f t="shared" si="129"/>
        <v>PC Annual Direct</v>
      </c>
      <c r="D30" t="str">
        <f t="shared" si="130"/>
        <v>Boom Annual</v>
      </c>
      <c r="E30" s="213" t="s">
        <v>0</v>
      </c>
      <c r="F30" s="214" t="str">
        <f t="shared" ref="F30" ca="1" si="136">IFERROR(IF(F28=0,"-",(F28/F29)-1),"-")</f>
        <v>-</v>
      </c>
      <c r="G30" s="214" t="str">
        <f t="shared" ref="G30:AO30" ca="1" si="137">IFERROR(IF(G28=0,"-",(G28/G29)-1),"-")</f>
        <v>-</v>
      </c>
      <c r="H30" s="214" t="str">
        <f t="shared" ca="1" si="137"/>
        <v>-</v>
      </c>
      <c r="I30" s="214" t="str">
        <f t="shared" ca="1" si="137"/>
        <v>-</v>
      </c>
      <c r="J30" s="214" t="str">
        <f t="shared" ca="1" si="137"/>
        <v>-</v>
      </c>
      <c r="K30" s="214" t="str">
        <f t="shared" ca="1" si="137"/>
        <v>-</v>
      </c>
      <c r="L30" s="214" t="str">
        <f t="shared" ca="1" si="137"/>
        <v>-</v>
      </c>
      <c r="M30" s="214" t="str">
        <f t="shared" ca="1" si="137"/>
        <v>-</v>
      </c>
      <c r="N30" s="214" t="str">
        <f t="shared" ca="1" si="137"/>
        <v>-</v>
      </c>
      <c r="O30" s="214" t="str">
        <f t="shared" ca="1" si="137"/>
        <v>-</v>
      </c>
      <c r="P30" s="214">
        <f t="shared" ca="1" si="137"/>
        <v>0.53338788589580277</v>
      </c>
      <c r="Q30" s="294">
        <f t="shared" ca="1" si="137"/>
        <v>0.45077614198330718</v>
      </c>
      <c r="R30" s="214">
        <f t="shared" ca="1" si="137"/>
        <v>0.66973347627573587</v>
      </c>
      <c r="S30" s="214">
        <f t="shared" ca="1" si="137"/>
        <v>0.1068956455053105</v>
      </c>
      <c r="T30" s="214">
        <f t="shared" ca="1" si="137"/>
        <v>0.16321712958837176</v>
      </c>
      <c r="U30" s="214">
        <f t="shared" ca="1" si="137"/>
        <v>1.3920770440691177E-2</v>
      </c>
      <c r="V30" s="214">
        <f t="shared" ca="1" si="137"/>
        <v>-4.6596678552497051E-2</v>
      </c>
      <c r="W30" s="214">
        <f t="shared" ca="1" si="137"/>
        <v>-0.21887066373427722</v>
      </c>
      <c r="X30" s="214">
        <f t="shared" ca="1" si="137"/>
        <v>-3.2434437853119724E-2</v>
      </c>
      <c r="Y30" s="214">
        <f t="shared" ca="1" si="137"/>
        <v>-0.14268370230722838</v>
      </c>
      <c r="Z30" s="214">
        <f t="shared" ca="1" si="137"/>
        <v>-0.4085384072547813</v>
      </c>
      <c r="AA30" s="214">
        <f t="shared" ca="1" si="137"/>
        <v>-0.46827386493408596</v>
      </c>
      <c r="AB30" s="214">
        <f t="shared" ca="1" si="137"/>
        <v>-0.30463891359703421</v>
      </c>
      <c r="AC30" s="294">
        <f t="shared" ca="1" si="137"/>
        <v>-0.20889583170595083</v>
      </c>
      <c r="AD30" s="214">
        <f t="shared" ca="1" si="137"/>
        <v>-0.57434273171782779</v>
      </c>
      <c r="AE30" s="214">
        <f t="shared" ca="1" si="137"/>
        <v>-0.6567385198426503</v>
      </c>
      <c r="AF30" s="214">
        <f t="shared" ca="1" si="137"/>
        <v>-0.56471906953133577</v>
      </c>
      <c r="AG30" s="214">
        <f t="shared" ca="1" si="137"/>
        <v>-4.7288429333687265E-3</v>
      </c>
      <c r="AH30" s="214">
        <f t="shared" ca="1" si="137"/>
        <v>-3.2919734445319371E-2</v>
      </c>
      <c r="AI30" s="214">
        <f t="shared" ca="1" si="137"/>
        <v>-0.13800577282585558</v>
      </c>
      <c r="AJ30" s="214">
        <f t="shared" ca="1" si="137"/>
        <v>-0.19810415091134181</v>
      </c>
      <c r="AK30" s="214">
        <f t="shared" ca="1" si="137"/>
        <v>-0.63198055020331978</v>
      </c>
      <c r="AL30" s="214" t="str">
        <f t="shared" ca="1" si="137"/>
        <v>-</v>
      </c>
      <c r="AM30" s="214" t="str">
        <f t="shared" ca="1" si="137"/>
        <v>-</v>
      </c>
      <c r="AN30" s="214" t="str">
        <f t="shared" ca="1" si="137"/>
        <v>-</v>
      </c>
      <c r="AO30" s="215" t="str">
        <f t="shared" ca="1" si="137"/>
        <v>-</v>
      </c>
      <c r="AP30" s="242">
        <f ca="1">IFERROR(IF(AP28=0,"-",(AP28/AP29)-1),"-")</f>
        <v>-0.25764434290615335</v>
      </c>
      <c r="AQ30" s="242">
        <f ca="1">IFERROR(IF(AQ28=0,"-",(AQ28/AQ29)-1),"-")</f>
        <v>-0.40916964273179424</v>
      </c>
      <c r="AR30" s="242"/>
      <c r="AS30" s="242"/>
      <c r="AT30" s="243">
        <f ca="1">IFERROR(IF(AT28=0,"-",(AT28/AT29)-1),"-")</f>
        <v>-0.43338799498112657</v>
      </c>
    </row>
    <row r="31" spans="2:46" ht="15.75" outlineLevel="1" x14ac:dyDescent="0.25">
      <c r="C31" t="str">
        <f t="shared" si="129"/>
        <v>PC Annual Direct</v>
      </c>
      <c r="D31" t="str">
        <f t="shared" si="130"/>
        <v>Boom Annual</v>
      </c>
      <c r="E31" s="208" t="s">
        <v>12</v>
      </c>
      <c r="F31" s="332">
        <f t="shared" ref="F31" ca="1" si="138">IFERROR(F28/F25,0)</f>
        <v>541.74496438632059</v>
      </c>
      <c r="G31" s="332">
        <f t="shared" ref="G31:AO31" ca="1" si="139">IFERROR(G28/G25,0)</f>
        <v>505.31952904677843</v>
      </c>
      <c r="H31" s="332">
        <f t="shared" ca="1" si="139"/>
        <v>434.94151295966731</v>
      </c>
      <c r="I31" s="332">
        <f t="shared" ca="1" si="139"/>
        <v>472.52219471110254</v>
      </c>
      <c r="J31" s="332">
        <f t="shared" ca="1" si="139"/>
        <v>657.26646178178225</v>
      </c>
      <c r="K31" s="332">
        <f t="shared" ca="1" si="139"/>
        <v>809.44335531073204</v>
      </c>
      <c r="L31" s="332">
        <f t="shared" ca="1" si="139"/>
        <v>1364.206865770806</v>
      </c>
      <c r="M31" s="332">
        <f t="shared" ca="1" si="139"/>
        <v>1247.9796943708577</v>
      </c>
      <c r="N31" s="332">
        <f t="shared" ca="1" si="139"/>
        <v>1290.8291631679019</v>
      </c>
      <c r="O31" s="332">
        <f t="shared" ca="1" si="139"/>
        <v>1227.5445975159823</v>
      </c>
      <c r="P31" s="332">
        <f t="shared" ca="1" si="139"/>
        <v>1011.3551430804258</v>
      </c>
      <c r="Q31" s="336">
        <f t="shared" ca="1" si="139"/>
        <v>996.96911694813195</v>
      </c>
      <c r="R31" s="332">
        <f t="shared" ca="1" si="139"/>
        <v>1069.8913120239013</v>
      </c>
      <c r="S31" s="332">
        <f t="shared" ca="1" si="139"/>
        <v>1208.9137239923111</v>
      </c>
      <c r="T31" s="332">
        <f t="shared" ca="1" si="139"/>
        <v>1250.3614042664294</v>
      </c>
      <c r="U31" s="332">
        <f t="shared" ca="1" si="139"/>
        <v>1103.5424576398996</v>
      </c>
      <c r="V31" s="332">
        <f t="shared" ca="1" si="139"/>
        <v>1048.4057897933608</v>
      </c>
      <c r="W31" s="332">
        <f t="shared" ca="1" si="139"/>
        <v>1030.9289630914725</v>
      </c>
      <c r="X31" s="332">
        <f t="shared" ca="1" si="139"/>
        <v>1031.1486215849384</v>
      </c>
      <c r="Y31" s="332">
        <f t="shared" ca="1" si="139"/>
        <v>1032.6903648652246</v>
      </c>
      <c r="Z31" s="332">
        <f t="shared" ca="1" si="139"/>
        <v>1044.4954714843334</v>
      </c>
      <c r="AA31" s="332">
        <f t="shared" ca="1" si="139"/>
        <v>1023.7869922213387</v>
      </c>
      <c r="AB31" s="332">
        <f t="shared" ca="1" si="139"/>
        <v>1047.9885324980708</v>
      </c>
      <c r="AC31" s="336">
        <f t="shared" ca="1" si="139"/>
        <v>1045.3491931508081</v>
      </c>
      <c r="AD31" s="332">
        <f t="shared" ca="1" si="139"/>
        <v>998.44799080317875</v>
      </c>
      <c r="AE31" s="332">
        <f t="shared" ca="1" si="139"/>
        <v>974.49145693339892</v>
      </c>
      <c r="AF31" s="332">
        <f t="shared" ca="1" si="139"/>
        <v>978.33960969918587</v>
      </c>
      <c r="AG31" s="332">
        <f t="shared" ca="1" si="139"/>
        <v>932.70135590291954</v>
      </c>
      <c r="AH31" s="332">
        <f t="shared" ca="1" si="139"/>
        <v>936.71293280919485</v>
      </c>
      <c r="AI31" s="332">
        <f t="shared" ca="1" si="139"/>
        <v>915.13538668435717</v>
      </c>
      <c r="AJ31" s="332">
        <f t="shared" ca="1" si="139"/>
        <v>933.90021683140742</v>
      </c>
      <c r="AK31" s="332">
        <f t="shared" ca="1" si="139"/>
        <v>975.04988223409543</v>
      </c>
      <c r="AL31" s="332">
        <f t="shared" ca="1" si="139"/>
        <v>0</v>
      </c>
      <c r="AM31" s="332">
        <f t="shared" ca="1" si="139"/>
        <v>0</v>
      </c>
      <c r="AN31" s="332">
        <f t="shared" ca="1" si="139"/>
        <v>0</v>
      </c>
      <c r="AO31" s="332">
        <f t="shared" ca="1" si="139"/>
        <v>0</v>
      </c>
      <c r="AP31" s="335">
        <f ca="1">IFERROR(AP28/AP25,"-")</f>
        <v>934.59293253779504</v>
      </c>
      <c r="AQ31" s="332">
        <f t="shared" ref="AQ31:AT31" ca="1" si="140">IFERROR(AQ28/AQ25,"-")</f>
        <v>982.00784674459499</v>
      </c>
      <c r="AR31" s="332">
        <f t="shared" ca="1" si="140"/>
        <v>1083.681646886934</v>
      </c>
      <c r="AS31" s="332">
        <f t="shared" ca="1" si="140"/>
        <v>1100.7187155735573</v>
      </c>
      <c r="AT31" s="336">
        <f t="shared" ca="1" si="140"/>
        <v>953.92353902199204</v>
      </c>
    </row>
    <row r="32" spans="2:46" ht="15.75" hidden="1" outlineLevel="1" x14ac:dyDescent="0.25">
      <c r="C32" t="str">
        <f t="shared" si="129"/>
        <v>PC Annual Direct</v>
      </c>
      <c r="D32" t="str">
        <f t="shared" si="130"/>
        <v>Boom Annual</v>
      </c>
      <c r="E32" s="211" t="s">
        <v>13</v>
      </c>
      <c r="F32" s="333">
        <f t="shared" ref="F32" si="141">IFERROR(F29/F26,0)</f>
        <v>0</v>
      </c>
      <c r="G32" s="333">
        <f t="shared" ref="G32:AO32" si="142">IFERROR(G29/G26,0)</f>
        <v>0</v>
      </c>
      <c r="H32" s="333">
        <f t="shared" si="142"/>
        <v>0</v>
      </c>
      <c r="I32" s="333">
        <f t="shared" si="142"/>
        <v>0</v>
      </c>
      <c r="J32" s="333">
        <f t="shared" si="142"/>
        <v>0</v>
      </c>
      <c r="K32" s="333">
        <f t="shared" si="142"/>
        <v>0</v>
      </c>
      <c r="L32" s="333">
        <f t="shared" si="142"/>
        <v>0</v>
      </c>
      <c r="M32" s="333">
        <f t="shared" si="142"/>
        <v>0</v>
      </c>
      <c r="N32" s="333">
        <f t="shared" si="142"/>
        <v>0</v>
      </c>
      <c r="O32" s="333">
        <f t="shared" si="142"/>
        <v>0</v>
      </c>
      <c r="P32" s="333">
        <f t="shared" si="142"/>
        <v>1079.510683288258</v>
      </c>
      <c r="Q32" s="339">
        <f t="shared" si="142"/>
        <v>1141.9736170890237</v>
      </c>
      <c r="R32" s="333">
        <f t="shared" si="142"/>
        <v>1020.9920064895846</v>
      </c>
      <c r="S32" s="333">
        <f t="shared" si="142"/>
        <v>2656.7360434338207</v>
      </c>
      <c r="T32" s="333">
        <f t="shared" si="142"/>
        <v>4207.2934838336005</v>
      </c>
      <c r="U32" s="333">
        <f t="shared" si="142"/>
        <v>4354.2084808041827</v>
      </c>
      <c r="V32" s="333">
        <f t="shared" si="142"/>
        <v>4415.707069164624</v>
      </c>
      <c r="W32" s="333">
        <f t="shared" si="142"/>
        <v>4396.902036098988</v>
      </c>
      <c r="X32" s="333">
        <f t="shared" si="142"/>
        <v>3125.8667064926785</v>
      </c>
      <c r="Y32" s="333">
        <f t="shared" si="142"/>
        <v>3142.7030267346354</v>
      </c>
      <c r="Z32" s="333">
        <f t="shared" si="142"/>
        <v>3107.3581007942985</v>
      </c>
      <c r="AA32" s="333">
        <f t="shared" si="142"/>
        <v>3280.2232055930581</v>
      </c>
      <c r="AB32" s="333">
        <f t="shared" si="142"/>
        <v>3238.2972517454918</v>
      </c>
      <c r="AC32" s="339">
        <f t="shared" si="142"/>
        <v>3236.38002077894</v>
      </c>
      <c r="AD32" s="333">
        <f t="shared" si="142"/>
        <v>3246.9512215874383</v>
      </c>
      <c r="AE32" s="333">
        <f t="shared" si="142"/>
        <v>0</v>
      </c>
      <c r="AF32" s="333">
        <f t="shared" si="142"/>
        <v>0</v>
      </c>
      <c r="AG32" s="333">
        <f t="shared" si="142"/>
        <v>0</v>
      </c>
      <c r="AH32" s="333">
        <f t="shared" si="142"/>
        <v>0</v>
      </c>
      <c r="AI32" s="333">
        <f t="shared" si="142"/>
        <v>0</v>
      </c>
      <c r="AJ32" s="333">
        <f t="shared" si="142"/>
        <v>0</v>
      </c>
      <c r="AK32" s="333">
        <f t="shared" si="142"/>
        <v>0</v>
      </c>
      <c r="AL32" s="333">
        <f t="shared" si="142"/>
        <v>0</v>
      </c>
      <c r="AM32" s="333">
        <f t="shared" si="142"/>
        <v>0</v>
      </c>
      <c r="AN32" s="333">
        <f t="shared" si="142"/>
        <v>0</v>
      </c>
      <c r="AO32" s="333">
        <f t="shared" si="142"/>
        <v>0</v>
      </c>
      <c r="AP32" s="338">
        <f t="shared" ref="AP32:AQ32" ca="1" si="143">IFERROR(AP29/AP26,0)</f>
        <v>2102.9533545027375</v>
      </c>
      <c r="AQ32" s="333">
        <f t="shared" ca="1" si="143"/>
        <v>3619.455548078718</v>
      </c>
      <c r="AR32" s="333"/>
      <c r="AS32" s="333">
        <f>SUMIFS(AD32:AO32,AD$4:AO$4,"&lt;"&amp;'Title Sheet'!$C$13)</f>
        <v>3246.9512215874383</v>
      </c>
      <c r="AT32" s="339"/>
    </row>
    <row r="33" spans="2:46" ht="15.75" hidden="1" outlineLevel="1" x14ac:dyDescent="0.25">
      <c r="C33" t="str">
        <f t="shared" si="129"/>
        <v>PC Annual Direct</v>
      </c>
      <c r="D33" t="str">
        <f t="shared" si="130"/>
        <v>Boom Annual</v>
      </c>
      <c r="E33" s="213" t="s">
        <v>0</v>
      </c>
      <c r="F33" s="340" t="str">
        <f t="shared" ref="F33" ca="1" si="144">IFERROR(IF(F31=0,"-",(F31/F32)-1),"-")</f>
        <v>-</v>
      </c>
      <c r="G33" s="340" t="str">
        <f t="shared" ref="G33:AO33" ca="1" si="145">IFERROR(IF(G31=0,"-",(G31/G32)-1),"-")</f>
        <v>-</v>
      </c>
      <c r="H33" s="340" t="str">
        <f t="shared" ca="1" si="145"/>
        <v>-</v>
      </c>
      <c r="I33" s="340" t="str">
        <f t="shared" ca="1" si="145"/>
        <v>-</v>
      </c>
      <c r="J33" s="340" t="str">
        <f t="shared" ca="1" si="145"/>
        <v>-</v>
      </c>
      <c r="K33" s="340" t="str">
        <f t="shared" ca="1" si="145"/>
        <v>-</v>
      </c>
      <c r="L33" s="340" t="str">
        <f t="shared" ca="1" si="145"/>
        <v>-</v>
      </c>
      <c r="M33" s="340" t="str">
        <f t="shared" ca="1" si="145"/>
        <v>-</v>
      </c>
      <c r="N33" s="340" t="str">
        <f t="shared" ca="1" si="145"/>
        <v>-</v>
      </c>
      <c r="O33" s="340" t="str">
        <f t="shared" ca="1" si="145"/>
        <v>-</v>
      </c>
      <c r="P33" s="340">
        <f t="shared" ca="1" si="145"/>
        <v>-6.3135586579121217E-2</v>
      </c>
      <c r="Q33" s="366">
        <f t="shared" ca="1" si="145"/>
        <v>-0.12697710172194621</v>
      </c>
      <c r="R33" s="340">
        <f t="shared" ca="1" si="145"/>
        <v>4.7893916135978598E-2</v>
      </c>
      <c r="S33" s="340">
        <f t="shared" ca="1" si="145"/>
        <v>-0.544962802390487</v>
      </c>
      <c r="T33" s="340">
        <f t="shared" ca="1" si="145"/>
        <v>-0.70281098547774101</v>
      </c>
      <c r="U33" s="340">
        <f t="shared" ca="1" si="145"/>
        <v>-0.74655727613757139</v>
      </c>
      <c r="V33" s="340">
        <f t="shared" ca="1" si="145"/>
        <v>-0.76257351917329497</v>
      </c>
      <c r="W33" s="340">
        <f t="shared" ca="1" si="145"/>
        <v>-0.76553287868880249</v>
      </c>
      <c r="X33" s="340">
        <f t="shared" ca="1" si="145"/>
        <v>-0.6701239309266902</v>
      </c>
      <c r="Y33" s="340">
        <f t="shared" ca="1" si="145"/>
        <v>-0.67140058857606366</v>
      </c>
      <c r="Z33" s="340">
        <f t="shared" ca="1" si="145"/>
        <v>-0.66386382334969984</v>
      </c>
      <c r="AA33" s="340">
        <f t="shared" ca="1" si="145"/>
        <v>-0.68789105860976307</v>
      </c>
      <c r="AB33" s="340">
        <f t="shared" ca="1" si="145"/>
        <v>-0.67637667235977528</v>
      </c>
      <c r="AC33" s="366">
        <f t="shared" ca="1" si="145"/>
        <v>-0.67700048003039803</v>
      </c>
      <c r="AD33" s="340">
        <f t="shared" ca="1" si="145"/>
        <v>-0.69249676922616765</v>
      </c>
      <c r="AE33" s="340" t="str">
        <f t="shared" ca="1" si="145"/>
        <v>-</v>
      </c>
      <c r="AF33" s="340" t="str">
        <f t="shared" ca="1" si="145"/>
        <v>-</v>
      </c>
      <c r="AG33" s="340" t="str">
        <f t="shared" ca="1" si="145"/>
        <v>-</v>
      </c>
      <c r="AH33" s="340" t="str">
        <f t="shared" ca="1" si="145"/>
        <v>-</v>
      </c>
      <c r="AI33" s="340" t="str">
        <f t="shared" ca="1" si="145"/>
        <v>-</v>
      </c>
      <c r="AJ33" s="340" t="str">
        <f t="shared" ca="1" si="145"/>
        <v>-</v>
      </c>
      <c r="AK33" s="340" t="str">
        <f t="shared" ca="1" si="145"/>
        <v>-</v>
      </c>
      <c r="AL33" s="340" t="str">
        <f t="shared" ca="1" si="145"/>
        <v>-</v>
      </c>
      <c r="AM33" s="340" t="str">
        <f t="shared" ca="1" si="145"/>
        <v>-</v>
      </c>
      <c r="AN33" s="340" t="str">
        <f t="shared" ca="1" si="145"/>
        <v>-</v>
      </c>
      <c r="AO33" s="340" t="str">
        <f t="shared" ca="1" si="145"/>
        <v>-</v>
      </c>
      <c r="AP33" s="342">
        <f t="shared" ref="AP33:AQ33" ca="1" si="146">AP31-AP32</f>
        <v>-1168.3604219649424</v>
      </c>
      <c r="AQ33" s="343">
        <f t="shared" ca="1" si="146"/>
        <v>-2637.4477013341229</v>
      </c>
      <c r="AR33" s="343"/>
      <c r="AS33" s="343">
        <f t="shared" ref="AS33" ca="1" si="147">IFERROR(IF(AS31=0,"-",(AS31/AS32)-1),"-")</f>
        <v>-0.66099930659401318</v>
      </c>
      <c r="AT33" s="344"/>
    </row>
    <row r="34" spans="2:46" outlineLevel="1" x14ac:dyDescent="0.25">
      <c r="C34" t="str">
        <f t="shared" si="129"/>
        <v>PC Annual Direct</v>
      </c>
      <c r="D34" t="str">
        <f t="shared" si="130"/>
        <v>Boom Annual</v>
      </c>
      <c r="E34" s="258" t="s">
        <v>17</v>
      </c>
      <c r="F34" s="345"/>
      <c r="G34" s="345"/>
      <c r="H34" s="345"/>
      <c r="I34" s="345"/>
      <c r="J34" s="345"/>
      <c r="K34" s="345"/>
      <c r="L34" s="345"/>
      <c r="M34" s="345"/>
      <c r="N34" s="345"/>
      <c r="O34" s="345"/>
      <c r="P34" s="345"/>
      <c r="Q34" s="367"/>
      <c r="R34" s="345"/>
      <c r="S34" s="345"/>
      <c r="T34" s="345"/>
      <c r="U34" s="345"/>
      <c r="V34" s="345"/>
      <c r="W34" s="345"/>
      <c r="X34" s="345"/>
      <c r="Y34" s="345"/>
      <c r="Z34" s="345"/>
      <c r="AA34" s="345"/>
      <c r="AB34" s="345"/>
      <c r="AC34" s="367"/>
      <c r="AD34" s="345"/>
      <c r="AE34" s="345"/>
      <c r="AF34" s="345"/>
      <c r="AG34" s="345"/>
      <c r="AH34" s="345"/>
      <c r="AI34" s="345"/>
      <c r="AJ34" s="345"/>
      <c r="AK34" s="345"/>
      <c r="AL34" s="345"/>
      <c r="AM34" s="345"/>
      <c r="AN34" s="345"/>
      <c r="AO34" s="345"/>
      <c r="AP34" s="393"/>
      <c r="AQ34" s="347"/>
      <c r="AR34" s="347"/>
      <c r="AS34" s="347"/>
      <c r="AT34" s="348"/>
    </row>
    <row r="35" spans="2:46" ht="15.75" outlineLevel="1" x14ac:dyDescent="0.25">
      <c r="B35">
        <v>4</v>
      </c>
      <c r="C35" t="str">
        <f t="shared" si="129"/>
        <v>PC Annual Direct</v>
      </c>
      <c r="D35" t="str">
        <f t="shared" si="130"/>
        <v>Boom Annual</v>
      </c>
      <c r="E35" s="208" t="s">
        <v>7</v>
      </c>
      <c r="F35" s="335">
        <f ca="1">F52+F70</f>
        <v>1310265.0535725218</v>
      </c>
      <c r="G35" s="332">
        <f t="shared" ref="G35:AO35" ca="1" si="148">G52+G70</f>
        <v>1327939.2499983122</v>
      </c>
      <c r="H35" s="332">
        <f t="shared" ca="1" si="148"/>
        <v>1409536.7321461581</v>
      </c>
      <c r="I35" s="332">
        <f t="shared" ca="1" si="148"/>
        <v>1108687.1517870072</v>
      </c>
      <c r="J35" s="332">
        <f t="shared" ca="1" si="148"/>
        <v>1246462.1607149141</v>
      </c>
      <c r="K35" s="332">
        <f t="shared" ca="1" si="148"/>
        <v>1107291.8392874526</v>
      </c>
      <c r="L35" s="332">
        <f t="shared" ca="1" si="148"/>
        <v>1048832.0178576689</v>
      </c>
      <c r="M35" s="332">
        <f t="shared" ca="1" si="148"/>
        <v>1253992.9107235237</v>
      </c>
      <c r="N35" s="332">
        <f t="shared" ca="1" si="148"/>
        <v>1303893.1696446086</v>
      </c>
      <c r="O35" s="332">
        <f t="shared" ca="1" si="148"/>
        <v>1566971.7232140885</v>
      </c>
      <c r="P35" s="332">
        <f t="shared" ca="1" si="148"/>
        <v>2157081.1517849583</v>
      </c>
      <c r="Q35" s="336">
        <f t="shared" ca="1" si="148"/>
        <v>1914532.8749973006</v>
      </c>
      <c r="R35" s="332">
        <f t="shared" ca="1" si="148"/>
        <v>2419288.205354712</v>
      </c>
      <c r="S35" s="332">
        <f t="shared" ca="1" si="148"/>
        <v>4078118.223212393</v>
      </c>
      <c r="T35" s="332">
        <f t="shared" ca="1" si="148"/>
        <v>6459259.5803462574</v>
      </c>
      <c r="U35" s="332">
        <f t="shared" ca="1" si="148"/>
        <v>5786329.8303780099</v>
      </c>
      <c r="V35" s="332">
        <f t="shared" ca="1" si="148"/>
        <v>5513759.3214432439</v>
      </c>
      <c r="W35" s="332">
        <f t="shared" ca="1" si="148"/>
        <v>4598411.6428566175</v>
      </c>
      <c r="X35" s="332">
        <f t="shared" ca="1" si="148"/>
        <v>3834505.2483297111</v>
      </c>
      <c r="Y35" s="332">
        <f t="shared" ca="1" si="148"/>
        <v>3352003.8581426051</v>
      </c>
      <c r="Z35" s="332">
        <f t="shared" ca="1" si="148"/>
        <v>3167280.1798265986</v>
      </c>
      <c r="AA35" s="332">
        <f t="shared" ca="1" si="148"/>
        <v>3107343.3049754971</v>
      </c>
      <c r="AB35" s="332">
        <f t="shared" ca="1" si="148"/>
        <v>3496004.9692815295</v>
      </c>
      <c r="AC35" s="336">
        <f t="shared" ca="1" si="148"/>
        <v>3604725.6613428192</v>
      </c>
      <c r="AD35" s="332">
        <f t="shared" ca="1" si="148"/>
        <v>3678661.265558091</v>
      </c>
      <c r="AE35" s="332">
        <f t="shared" ca="1" si="148"/>
        <v>2960242.4671529066</v>
      </c>
      <c r="AF35" s="332">
        <f t="shared" ca="1" si="148"/>
        <v>3660045.686459057</v>
      </c>
      <c r="AG35" s="332">
        <f t="shared" ca="1" si="148"/>
        <v>3466743.8862609835</v>
      </c>
      <c r="AH35" s="332">
        <f t="shared" ca="1" si="148"/>
        <v>3504665.5534523735</v>
      </c>
      <c r="AI35" s="332">
        <f t="shared" ca="1" si="148"/>
        <v>3080352.6995579451</v>
      </c>
      <c r="AJ35" s="332">
        <f t="shared" ca="1" si="148"/>
        <v>3045591.6468573944</v>
      </c>
      <c r="AK35" s="332">
        <f t="shared" ca="1" si="148"/>
        <v>1442397.6861174302</v>
      </c>
      <c r="AL35" s="332">
        <f t="shared" ca="1" si="148"/>
        <v>0</v>
      </c>
      <c r="AM35" s="332">
        <f t="shared" ca="1" si="148"/>
        <v>0</v>
      </c>
      <c r="AN35" s="332">
        <f t="shared" ca="1" si="148"/>
        <v>0</v>
      </c>
      <c r="AO35" s="332">
        <f t="shared" ca="1" si="148"/>
        <v>0</v>
      </c>
      <c r="AP35" s="335">
        <f ca="1">IFERROR(AVERAGE(INDEX($F35:$AO35, $AV$4 - 3):INDEX($F35:$AO35, $AV$4)),"-")</f>
        <v>2768251.8964962857</v>
      </c>
      <c r="AQ35" s="332">
        <f ca="1">IFERROR(AVERAGE(INDEX($F35:$AO35, $AV$4 - 11):INDEX($F35:$AO35, $AV$4)),"-")</f>
        <v>3184504.5839035516</v>
      </c>
      <c r="AR35" s="332" cm="1">
        <f t="array" aca="1" ref="AR35" ca="1">IFERROR(SUMPRODUCT(IFERROR((YEAR($F$4:$AO$4)=2024)*$F35:$AO35,0)),"-")</f>
        <v>49417030.025490001</v>
      </c>
      <c r="AS35" s="332">
        <f ca="1">IFERROR(SUM(INDEX($F35:$AO35, $AV$4 - MONTH(TODAY())-11):INDEX($F35:$AO35, $AV$4-12)),"-")</f>
        <v>36041675.91006355</v>
      </c>
      <c r="AT35" s="336">
        <f ca="1">IFERROR(SUM(INDEX($F35:$AO35, $AV$4 - MONTH(TODAY())+1):INDEX($F35:$AO35, $AV$4)),"-")</f>
        <v>24838700.891416181</v>
      </c>
    </row>
    <row r="36" spans="2:46" ht="16.5" outlineLevel="1" thickBot="1" x14ac:dyDescent="0.3">
      <c r="C36" t="str">
        <f t="shared" si="129"/>
        <v>PC Annual Direct</v>
      </c>
      <c r="D36" t="str">
        <f t="shared" si="130"/>
        <v>Boom Annual</v>
      </c>
      <c r="E36" s="226" t="s">
        <v>493</v>
      </c>
      <c r="F36" s="269">
        <f ca="1">IFERROR(F28/F$8,"-")</f>
        <v>0.50369783254873368</v>
      </c>
      <c r="G36" s="269">
        <f t="shared" ref="G36:AO36" ca="1" si="149">IFERROR(G28/G$8,"-")</f>
        <v>0.49840835057339866</v>
      </c>
      <c r="H36" s="269">
        <f t="shared" ca="1" si="149"/>
        <v>0.49403060893567935</v>
      </c>
      <c r="I36" s="269">
        <f t="shared" ca="1" si="149"/>
        <v>0.43431844806305436</v>
      </c>
      <c r="J36" s="269">
        <f t="shared" ca="1" si="149"/>
        <v>0.4382699513941446</v>
      </c>
      <c r="K36" s="269">
        <f t="shared" ca="1" si="149"/>
        <v>0.41774274345420892</v>
      </c>
      <c r="L36" s="269">
        <f t="shared" ca="1" si="149"/>
        <v>0.3762307720597397</v>
      </c>
      <c r="M36" s="269">
        <f t="shared" ca="1" si="149"/>
        <v>0.39925909361808998</v>
      </c>
      <c r="N36" s="269">
        <f t="shared" ca="1" si="149"/>
        <v>0.40496040782115683</v>
      </c>
      <c r="O36" s="269">
        <f t="shared" ca="1" si="149"/>
        <v>0.4167517073607746</v>
      </c>
      <c r="P36" s="269">
        <f t="shared" ca="1" si="149"/>
        <v>0.47707169937906529</v>
      </c>
      <c r="Q36" s="280">
        <f t="shared" ca="1" si="149"/>
        <v>0.43213332390820364</v>
      </c>
      <c r="R36" s="269">
        <f t="shared" ca="1" si="149"/>
        <v>0.52565449174140644</v>
      </c>
      <c r="S36" s="269">
        <f t="shared" ca="1" si="149"/>
        <v>0.68462947711903277</v>
      </c>
      <c r="T36" s="269">
        <f t="shared" ca="1" si="149"/>
        <v>0.77812821674237298</v>
      </c>
      <c r="U36" s="269">
        <f t="shared" ca="1" si="149"/>
        <v>0.79069443274828843</v>
      </c>
      <c r="V36" s="269">
        <f t="shared" ca="1" si="149"/>
        <v>0.79176700003701717</v>
      </c>
      <c r="W36" s="269">
        <f t="shared" ca="1" si="149"/>
        <v>0.78835267862411795</v>
      </c>
      <c r="X36" s="269">
        <f t="shared" ca="1" si="149"/>
        <v>0.7703458515747682</v>
      </c>
      <c r="Y36" s="269">
        <f t="shared" ca="1" si="149"/>
        <v>0.77435810813855277</v>
      </c>
      <c r="Z36" s="269">
        <f t="shared" ca="1" si="149"/>
        <v>0.79841192432884489</v>
      </c>
      <c r="AA36" s="269">
        <f t="shared" ca="1" si="149"/>
        <v>0.82201214950713042</v>
      </c>
      <c r="AB36" s="269">
        <f t="shared" ca="1" si="149"/>
        <v>0.88018353972625185</v>
      </c>
      <c r="AC36" s="280">
        <f t="shared" ca="1" si="149"/>
        <v>0.91337305219687603</v>
      </c>
      <c r="AD36" s="269">
        <f t="shared" ca="1" si="149"/>
        <v>0.94261241092654779</v>
      </c>
      <c r="AE36" s="269">
        <f t="shared" ca="1" si="149"/>
        <v>0.93473244794643817</v>
      </c>
      <c r="AF36" s="269">
        <f t="shared" ca="1" si="149"/>
        <v>0.91842990421381376</v>
      </c>
      <c r="AG36" s="269">
        <f t="shared" ca="1" si="149"/>
        <v>0.90480261847084276</v>
      </c>
      <c r="AH36" s="269">
        <f t="shared" ca="1" si="149"/>
        <v>0.8938556172094223</v>
      </c>
      <c r="AI36" s="269">
        <f t="shared" ca="1" si="149"/>
        <v>0.87251755766098837</v>
      </c>
      <c r="AJ36" s="269">
        <f t="shared" ca="1" si="149"/>
        <v>0.862618950069166</v>
      </c>
      <c r="AK36" s="269">
        <f t="shared" ca="1" si="149"/>
        <v>0.85092695053352974</v>
      </c>
      <c r="AL36" s="269" t="str">
        <f t="shared" ca="1" si="149"/>
        <v>-</v>
      </c>
      <c r="AM36" s="269" t="str">
        <f t="shared" ca="1" si="149"/>
        <v>-</v>
      </c>
      <c r="AN36" s="269" t="str">
        <f t="shared" ca="1" si="149"/>
        <v>-</v>
      </c>
      <c r="AO36" s="269" t="str">
        <f t="shared" ca="1" si="149"/>
        <v>-</v>
      </c>
      <c r="AP36" s="279">
        <f ca="1">IFERROR(AP28/AP$8,"-")</f>
        <v>0.87346733758690775</v>
      </c>
      <c r="AQ36" s="269">
        <f ca="1">IFERROR(AQ28/AQ$8,"-")</f>
        <v>0.88407022729573448</v>
      </c>
      <c r="AR36" s="269">
        <f t="shared" ref="AR36:AT36" ca="1" si="150">IFERROR(AR28/AR$8,"-")</f>
        <v>0.77445061307934415</v>
      </c>
      <c r="AS36" s="269">
        <f t="shared" ca="1" si="150"/>
        <v>0.74836546836127726</v>
      </c>
      <c r="AT36" s="280">
        <f t="shared" ca="1" si="150"/>
        <v>0.90074217783484956</v>
      </c>
    </row>
    <row r="37" spans="2:46" ht="15.75" outlineLevel="1" x14ac:dyDescent="0.25">
      <c r="E37" s="46"/>
      <c r="F37" s="325"/>
      <c r="G37" s="325"/>
      <c r="H37" s="325"/>
      <c r="I37" s="325"/>
      <c r="J37" s="325"/>
      <c r="K37" s="325"/>
      <c r="L37" s="325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</row>
    <row r="38" spans="2:46" ht="16.5" outlineLevel="1" thickBot="1" x14ac:dyDescent="0.3">
      <c r="E38" s="46"/>
      <c r="F38" s="325"/>
      <c r="G38" s="325"/>
      <c r="H38" s="325"/>
      <c r="I38" s="325"/>
      <c r="J38" s="325"/>
      <c r="K38" s="325"/>
      <c r="L38" s="325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  <c r="AJ38" s="498">
        <f>IFERROR('Current - Sales, NWP, GWP'!AI45*AK38,"-")</f>
        <v>624016.07076726144</v>
      </c>
      <c r="AK38" s="325">
        <v>0.95173679628857444</v>
      </c>
      <c r="AL38" s="325"/>
      <c r="AM38" s="325"/>
      <c r="AN38" s="325"/>
      <c r="AO38" s="325"/>
      <c r="AP38" s="325"/>
      <c r="AQ38" s="325"/>
      <c r="AR38" s="325"/>
      <c r="AS38" s="325"/>
    </row>
    <row r="39" spans="2:46" ht="21" outlineLevel="1" x14ac:dyDescent="0.25">
      <c r="E39" s="363" t="s">
        <v>350</v>
      </c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2"/>
      <c r="Q39" s="233"/>
      <c r="R39" s="202"/>
      <c r="S39" s="202"/>
      <c r="T39" s="202"/>
      <c r="U39" s="202"/>
      <c r="V39" s="202"/>
      <c r="W39" s="202"/>
      <c r="X39" s="202"/>
      <c r="Y39" s="202"/>
      <c r="Z39" s="202"/>
      <c r="AA39" s="202"/>
      <c r="AB39" s="202"/>
      <c r="AC39" s="233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63"/>
      <c r="AP39" s="507" t="s">
        <v>484</v>
      </c>
      <c r="AQ39" s="508"/>
      <c r="AR39" s="508"/>
      <c r="AS39" s="508"/>
      <c r="AT39" s="509"/>
    </row>
    <row r="40" spans="2:46" outlineLevel="1" x14ac:dyDescent="0.25">
      <c r="E40" s="204"/>
      <c r="F40" s="355" t="s">
        <v>341</v>
      </c>
      <c r="G40" s="355"/>
      <c r="H40" s="355"/>
      <c r="I40" s="355"/>
      <c r="J40" s="355"/>
      <c r="K40" s="355"/>
      <c r="L40" s="355"/>
      <c r="M40" s="355"/>
      <c r="N40" s="355"/>
      <c r="O40" s="355"/>
      <c r="P40" s="355"/>
      <c r="Q40" s="356"/>
      <c r="R40" s="355" t="s">
        <v>341</v>
      </c>
      <c r="S40" s="357"/>
      <c r="T40" s="357"/>
      <c r="U40" s="357"/>
      <c r="V40" s="357"/>
      <c r="W40" s="357"/>
      <c r="X40" s="357"/>
      <c r="Y40" s="357"/>
      <c r="Z40" s="357"/>
      <c r="AA40" s="357"/>
      <c r="AB40" s="357"/>
      <c r="AC40" s="358"/>
      <c r="AD40" s="355" t="s">
        <v>341</v>
      </c>
      <c r="AE40" s="357"/>
      <c r="AF40" s="357"/>
      <c r="AG40" s="357"/>
      <c r="AH40" s="357"/>
      <c r="AI40" s="357"/>
      <c r="AJ40" s="357"/>
      <c r="AK40" s="357"/>
      <c r="AL40" s="357"/>
      <c r="AM40" s="357"/>
      <c r="AN40" s="357"/>
      <c r="AO40" s="359"/>
      <c r="AP40" s="510" t="s">
        <v>485</v>
      </c>
      <c r="AQ40" s="511"/>
      <c r="AR40" s="511" t="s">
        <v>486</v>
      </c>
      <c r="AS40" s="511"/>
      <c r="AT40" s="512"/>
    </row>
    <row r="41" spans="2:46" outlineLevel="1" x14ac:dyDescent="0.25">
      <c r="E41" s="354" t="s">
        <v>487</v>
      </c>
      <c r="F41" s="360">
        <f t="shared" ref="F41:R41" si="151">F$4</f>
        <v>44927</v>
      </c>
      <c r="G41" s="360">
        <f t="shared" si="151"/>
        <v>44958</v>
      </c>
      <c r="H41" s="360">
        <f t="shared" si="151"/>
        <v>44986</v>
      </c>
      <c r="I41" s="360">
        <f t="shared" si="151"/>
        <v>45017</v>
      </c>
      <c r="J41" s="360">
        <f t="shared" si="151"/>
        <v>45047</v>
      </c>
      <c r="K41" s="360">
        <f t="shared" si="151"/>
        <v>45078</v>
      </c>
      <c r="L41" s="360">
        <f t="shared" si="151"/>
        <v>45108</v>
      </c>
      <c r="M41" s="360">
        <f t="shared" si="151"/>
        <v>45139</v>
      </c>
      <c r="N41" s="360">
        <f t="shared" si="151"/>
        <v>45170</v>
      </c>
      <c r="O41" s="360">
        <f t="shared" si="151"/>
        <v>45200</v>
      </c>
      <c r="P41" s="360">
        <f t="shared" si="151"/>
        <v>45231</v>
      </c>
      <c r="Q41" s="365">
        <f t="shared" si="151"/>
        <v>45261</v>
      </c>
      <c r="R41" s="360">
        <f t="shared" si="151"/>
        <v>45292</v>
      </c>
      <c r="S41" s="360">
        <f t="shared" ref="S41:AO41" si="152">S$4</f>
        <v>45323</v>
      </c>
      <c r="T41" s="360">
        <f t="shared" si="152"/>
        <v>45352</v>
      </c>
      <c r="U41" s="360">
        <f t="shared" si="152"/>
        <v>45383</v>
      </c>
      <c r="V41" s="360">
        <f t="shared" si="152"/>
        <v>45413</v>
      </c>
      <c r="W41" s="360">
        <f t="shared" si="152"/>
        <v>45444</v>
      </c>
      <c r="X41" s="360">
        <f t="shared" si="152"/>
        <v>45474</v>
      </c>
      <c r="Y41" s="360">
        <f t="shared" si="152"/>
        <v>45505</v>
      </c>
      <c r="Z41" s="360">
        <f t="shared" si="152"/>
        <v>45536</v>
      </c>
      <c r="AA41" s="360">
        <f t="shared" si="152"/>
        <v>45566</v>
      </c>
      <c r="AB41" s="360">
        <f t="shared" si="152"/>
        <v>45597</v>
      </c>
      <c r="AC41" s="365">
        <f t="shared" si="152"/>
        <v>45627</v>
      </c>
      <c r="AD41" s="360">
        <f t="shared" si="152"/>
        <v>45658</v>
      </c>
      <c r="AE41" s="360">
        <f t="shared" si="152"/>
        <v>45689</v>
      </c>
      <c r="AF41" s="360">
        <f t="shared" si="152"/>
        <v>45717</v>
      </c>
      <c r="AG41" s="360">
        <f t="shared" si="152"/>
        <v>45748</v>
      </c>
      <c r="AH41" s="360">
        <f t="shared" si="152"/>
        <v>45778</v>
      </c>
      <c r="AI41" s="360">
        <f t="shared" si="152"/>
        <v>45809</v>
      </c>
      <c r="AJ41" s="360">
        <f t="shared" si="152"/>
        <v>45839</v>
      </c>
      <c r="AK41" s="360">
        <f t="shared" si="152"/>
        <v>45870</v>
      </c>
      <c r="AL41" s="360">
        <f t="shared" si="152"/>
        <v>45901</v>
      </c>
      <c r="AM41" s="360">
        <f t="shared" si="152"/>
        <v>45931</v>
      </c>
      <c r="AN41" s="360">
        <f t="shared" si="152"/>
        <v>45962</v>
      </c>
      <c r="AO41" s="361">
        <f t="shared" si="152"/>
        <v>45992</v>
      </c>
      <c r="AP41" s="351" t="s">
        <v>349</v>
      </c>
      <c r="AQ41" s="352" t="s">
        <v>348</v>
      </c>
      <c r="AR41" s="352" t="s">
        <v>772</v>
      </c>
      <c r="AS41" s="352" t="s">
        <v>490</v>
      </c>
      <c r="AT41" s="353" t="s">
        <v>773</v>
      </c>
    </row>
    <row r="42" spans="2:46" ht="15.75" outlineLevel="1" x14ac:dyDescent="0.25">
      <c r="B42">
        <v>5</v>
      </c>
      <c r="C42" t="str">
        <f>$E$2</f>
        <v>PC Annual Direct</v>
      </c>
      <c r="D42" t="s">
        <v>72</v>
      </c>
      <c r="E42" s="223" t="s">
        <v>488</v>
      </c>
      <c r="F42" s="209">
        <f ca="1">'Current - Sales, NWP, GWP'!E42/IFERROR(VLOOKUP($AV$4-COUNTA($F$4:F$4)+1,'Dev Patterns'!$B$6:$H$48,$B42,0),1)</f>
        <v>2004.9287671809998</v>
      </c>
      <c r="G42" s="209">
        <f ca="1">'Current - Sales, NWP, GWP'!F42/IFERROR(VLOOKUP($AV$4-COUNTA($F$4:G$4)+1,'Dev Patterns'!$B$6:$H$48,$B42,0),1)</f>
        <v>2177.1205480079975</v>
      </c>
      <c r="H42" s="209">
        <f ca="1">'Current - Sales, NWP, GWP'!G42/IFERROR(VLOOKUP($AV$4-COUNTA($F$4:H$4)+1,'Dev Patterns'!$B$6:$H$48,$B42,0),1)</f>
        <v>2686.721311545401</v>
      </c>
      <c r="I42" s="209">
        <f ca="1">'Current - Sales, NWP, GWP'!H42/IFERROR(VLOOKUP($AV$4-COUNTA($F$4:I$4)+1,'Dev Patterns'!$B$6:$H$48,$B42,0),1)</f>
        <v>1944.6939891300005</v>
      </c>
      <c r="J42" s="209">
        <f ca="1">'Current - Sales, NWP, GWP'!I42/IFERROR(VLOOKUP($AV$4-COUNTA($F$4:J$4)+1,'Dev Patterns'!$B$6:$H$48,$B42,0),1)</f>
        <v>1627.2103825526017</v>
      </c>
      <c r="K42" s="209">
        <f ca="1">'Current - Sales, NWP, GWP'!J42/IFERROR(VLOOKUP($AV$4-COUNTA($F$4:K$4)+1,'Dev Patterns'!$B$6:$H$48,$B42,0),1)</f>
        <v>1168.2404371882005</v>
      </c>
      <c r="L42" s="209">
        <f ca="1">'Current - Sales, NWP, GWP'!K42/IFERROR(VLOOKUP($AV$4-COUNTA($F$4:L$4)+1,'Dev Patterns'!$B$6:$H$48,$B42,0),1)</f>
        <v>657.13661201320099</v>
      </c>
      <c r="M42" s="209">
        <f ca="1">'Current - Sales, NWP, GWP'!L42/IFERROR(VLOOKUP($AV$4-COUNTA($F$4:M$4)+1,'Dev Patterns'!$B$6:$H$48,$B42,0),1)</f>
        <v>858.71038251520122</v>
      </c>
      <c r="N42" s="209">
        <f ca="1">'Current - Sales, NWP, GWP'!M42/IFERROR(VLOOKUP($AV$4-COUNTA($F$4:N$4)+1,'Dev Patterns'!$B$6:$H$48,$B42,0),1)</f>
        <v>863.89344265020111</v>
      </c>
      <c r="O42" s="209">
        <f ca="1">'Current - Sales, NWP, GWP'!N42/IFERROR(VLOOKUP($AV$4-COUNTA($F$4:O$4)+1,'Dev Patterns'!$B$6:$H$48,$B42,0),1)</f>
        <v>1089.696721341802</v>
      </c>
      <c r="P42" s="209">
        <f ca="1">'Current - Sales, NWP, GWP'!O42/IFERROR(VLOOKUP($AV$4-COUNTA($F$4:P$4)+1,'Dev Patterns'!$B$6:$H$48,$B42,0),1)</f>
        <v>1822.3606557956</v>
      </c>
      <c r="Q42" s="238">
        <f ca="1">'Current - Sales, NWP, GWP'!P42/IFERROR(VLOOKUP($AV$4-COUNTA($F$4:Q$4)+1,'Dev Patterns'!$B$6:$H$48,$B42,0),1)</f>
        <v>1644.6256831067997</v>
      </c>
      <c r="R42" s="209">
        <f ca="1">'Current - Sales, NWP, GWP'!Q42/IFERROR(VLOOKUP($AV$4-COUNTA($F$4:R$4)+1,'Dev Patterns'!$B$6:$H$48,$B42,0),1)</f>
        <v>1655.8278689038007</v>
      </c>
      <c r="S42" s="209">
        <f ca="1">'Current - Sales, NWP, GWP'!R42/IFERROR(VLOOKUP($AV$4-COUNTA($F$4:S$4)+1,'Dev Patterns'!$B$6:$H$48,$B42,0),1)</f>
        <v>1488.9398907425007</v>
      </c>
      <c r="T42" s="209">
        <f ca="1">'Current - Sales, NWP, GWP'!S42/IFERROR(VLOOKUP($AV$4-COUNTA($F$4:T$4)+1,'Dev Patterns'!$B$6:$H$48,$B42,0),1)</f>
        <v>1842.7287671740016</v>
      </c>
      <c r="U42" s="209">
        <f ca="1">'Current - Sales, NWP, GWP'!T42/IFERROR(VLOOKUP($AV$4-COUNTA($F$4:U$4)+1,'Dev Patterns'!$B$6:$H$48,$B42,0),1)</f>
        <v>1757.6273973020006</v>
      </c>
      <c r="V42" s="209">
        <f ca="1">'Current - Sales, NWP, GWP'!U42/IFERROR(VLOOKUP($AV$4-COUNTA($F$4:V$4)+1,'Dev Patterns'!$B$6:$H$48,$B42,0),1)</f>
        <v>1868.1753425140009</v>
      </c>
      <c r="W42" s="209">
        <f ca="1">'Current - Sales, NWP, GWP'!V42/IFERROR(VLOOKUP($AV$4-COUNTA($F$4:W$4)+1,'Dev Patterns'!$B$6:$H$48,$B42,0),1)</f>
        <v>1532.0438356569975</v>
      </c>
      <c r="X42" s="209">
        <f ca="1">'Current - Sales, NWP, GWP'!W42/IFERROR(VLOOKUP($AV$4-COUNTA($F$4:X$4)+1,'Dev Patterns'!$B$6:$H$48,$B42,0),1)</f>
        <v>1243.7479452330051</v>
      </c>
      <c r="Y42" s="209">
        <f ca="1">'Current - Sales, NWP, GWP'!X42/IFERROR(VLOOKUP($AV$4-COUNTA($F$4:Y$4)+1,'Dev Patterns'!$B$6:$H$48,$B42,0),1)</f>
        <v>1072.115068521003</v>
      </c>
      <c r="Z42" s="209">
        <f ca="1">'Current - Sales, NWP, GWP'!Y42/IFERROR(VLOOKUP($AV$4-COUNTA($F$4:Z$4)+1,'Dev Patterns'!$B$6:$H$48,$B42,0),1)</f>
        <v>989.73162950301719</v>
      </c>
      <c r="AA42" s="209">
        <f ca="1">'Current - Sales, NWP, GWP'!Z42/IFERROR(VLOOKUP($AV$4-COUNTA($F$4:AA$4)+1,'Dev Patterns'!$B$6:$H$48,$B42,0),1)</f>
        <v>999.2929314467375</v>
      </c>
      <c r="AB42" s="209">
        <f ca="1">'Current - Sales, NWP, GWP'!AA42/IFERROR(VLOOKUP($AV$4-COUNTA($F$4:AB$4)+1,'Dev Patterns'!$B$6:$H$48,$B42,0),1)</f>
        <v>1100.1983040476766</v>
      </c>
      <c r="AC42" s="238">
        <f ca="1">'Current - Sales, NWP, GWP'!AB42/IFERROR(VLOOKUP($AV$4-COUNTA($F$4:AC$4)+1,'Dev Patterns'!$B$6:$H$48,$B42,0),1)</f>
        <v>1022.1997012864828</v>
      </c>
      <c r="AD42" s="209">
        <f ca="1">'Current - Sales, NWP, GWP'!AC42/IFERROR(VLOOKUP($AV$4-COUNTA($F$4:AD$4)+1,'Dev Patterns'!$B$6:$H$48,$B42,0),1)</f>
        <v>930.25643923913458</v>
      </c>
      <c r="AE42" s="209">
        <f ca="1">'Current - Sales, NWP, GWP'!AD42/IFERROR(VLOOKUP($AV$4-COUNTA($F$4:AE$4)+1,'Dev Patterns'!$B$6:$H$48,$B42,0),1)</f>
        <v>710.33043743094129</v>
      </c>
      <c r="AF42" s="209">
        <f ca="1">'Current - Sales, NWP, GWP'!AE42/IFERROR(VLOOKUP($AV$4-COUNTA($F$4:AF$4)+1,'Dev Patterns'!$B$6:$H$48,$B42,0),1)</f>
        <v>783.80877567793516</v>
      </c>
      <c r="AG42" s="209">
        <f ca="1">'Current - Sales, NWP, GWP'!AF42/IFERROR(VLOOKUP($AV$4-COUNTA($F$4:AG$4)+1,'Dev Patterns'!$B$6:$H$48,$B42,0),1)</f>
        <v>764.90375469851915</v>
      </c>
      <c r="AH42" s="209">
        <f ca="1">'Current - Sales, NWP, GWP'!AG42/IFERROR(VLOOKUP($AV$4-COUNTA($F$4:AH$4)+1,'Dev Patterns'!$B$6:$H$48,$B42,0),1)</f>
        <v>832.90715970746555</v>
      </c>
      <c r="AI42" s="209">
        <f ca="1">'Current - Sales, NWP, GWP'!AH42/IFERROR(VLOOKUP($AV$4-COUNTA($F$4:AI$4)+1,'Dev Patterns'!$B$6:$H$48,$B42,0),1)</f>
        <v>680.90321786176366</v>
      </c>
      <c r="AJ42" s="209">
        <f ca="1">'Current - Sales, NWP, GWP'!AI42/IFERROR(VLOOKUP($AV$4-COUNTA($F$4:AJ$4)+1,'Dev Patterns'!$B$6:$H$48,$B42,0),1)</f>
        <v>671.9809651131975</v>
      </c>
      <c r="AK42" s="209">
        <f ca="1">'Current - Sales, NWP, GWP'!AJ42/IFERROR(VLOOKUP($AV$4-COUNTA($F$4:AK$4)+1,'Dev Patterns'!$B$6:$H$48,$B42,0),1)</f>
        <v>307.10154066733031</v>
      </c>
      <c r="AL42" s="209">
        <f ca="1">'Current - Sales, NWP, GWP'!AK42/IFERROR(VLOOKUP($AV$4-COUNTA($F$4:AL$4)+1,'Dev Patterns'!$B$6:$H$48,$B42,0),1)</f>
        <v>0</v>
      </c>
      <c r="AM42" s="209">
        <f ca="1">'Current - Sales, NWP, GWP'!AL42/IFERROR(VLOOKUP($AV$4-COUNTA($F$4:AM$4)+1,'Dev Patterns'!$B$6:$H$48,$B42,0),1)</f>
        <v>0</v>
      </c>
      <c r="AN42" s="209">
        <f ca="1">'Current - Sales, NWP, GWP'!AM42/IFERROR(VLOOKUP($AV$4-COUNTA($F$4:AN$4)+1,'Dev Patterns'!$B$6:$H$48,$B42,0),1)</f>
        <v>0</v>
      </c>
      <c r="AO42" s="265">
        <f ca="1">'Current - Sales, NWP, GWP'!AN42/IFERROR(VLOOKUP($AV$4-COUNTA($F$4:AO$4)+1,'Dev Patterns'!$B$6:$H$48,$B42,0),1)</f>
        <v>0</v>
      </c>
      <c r="AP42" s="237">
        <f ca="1">IFERROR(AVERAGE(INDEX($F42:$AO42, $AV$4 - 3):INDEX($F42:$AO42, $AV$4)),"-")</f>
        <v>623.22322083743938</v>
      </c>
      <c r="AQ42" s="209">
        <f ca="1">IFERROR(AVERAGE(INDEX($F42:$AO42, $AV$4 - 11):INDEX($F42:$AO42, $AV$4)),"-")</f>
        <v>816.13457139001684</v>
      </c>
      <c r="AR42" s="209" cm="1">
        <f t="array" aca="1" ref="AR42" ca="1">IFERROR(SUMPRODUCT(IFERROR((YEAR($F$4:$AO$4)=2024)*$F42:$AO42,0)),"-")</f>
        <v>16572.628682331226</v>
      </c>
      <c r="AS42" s="209">
        <f ca="1">IFERROR(SUM(INDEX($F42:$AO42, $AV$4 - MONTH(TODAY())-11):INDEX($F42:$AO42, $AV$4-12)),"-")</f>
        <v>12461.206116047309</v>
      </c>
      <c r="AT42" s="238">
        <f ca="1">IFERROR(SUM(INDEX($F42:$AO42, $AV$4 - MONTH(TODAY())+1):INDEX($F42:$AO42, $AV$4)),"-")</f>
        <v>5682.1922903962868</v>
      </c>
    </row>
    <row r="43" spans="2:46" ht="15.75" hidden="1" outlineLevel="1" x14ac:dyDescent="0.25">
      <c r="C43" t="str">
        <f>$E$22&amp;"_W VYRs"</f>
        <v>PC Annual Direct - Annual_W VYRs</v>
      </c>
      <c r="D43" t="str">
        <f>$D42</f>
        <v>Boom Annual</v>
      </c>
      <c r="E43" s="211" t="s">
        <v>317</v>
      </c>
      <c r="F43" s="31" t="str">
        <f>INDEX('Plan Figures'!$B$5:$AP$31,MATCH('Ultimate - Sales, NWP, GWP'!F$4,'Plan Figures'!$B$5:$B$31,0),MATCH('Ultimate - Sales, NWP, GWP'!$C43,'Plan Figures'!$B$1:$AP$1,0))</f>
        <v>-</v>
      </c>
      <c r="G43" s="31" t="str">
        <f>INDEX('Plan Figures'!$B$5:$AP$31,MATCH('Ultimate - Sales, NWP, GWP'!G$4,'Plan Figures'!$B$5:$B$31,0),MATCH('Ultimate - Sales, NWP, GWP'!$C43,'Plan Figures'!$B$1:$AP$1,0))</f>
        <v>-</v>
      </c>
      <c r="H43" s="31" t="str">
        <f>INDEX('Plan Figures'!$B$5:$AP$31,MATCH('Ultimate - Sales, NWP, GWP'!H$4,'Plan Figures'!$B$5:$B$31,0),MATCH('Ultimate - Sales, NWP, GWP'!$C43,'Plan Figures'!$B$1:$AP$1,0))</f>
        <v>-</v>
      </c>
      <c r="I43" s="31" t="str">
        <f>INDEX('Plan Figures'!$B$5:$AP$31,MATCH('Ultimate - Sales, NWP, GWP'!I$4,'Plan Figures'!$B$5:$B$31,0),MATCH('Ultimate - Sales, NWP, GWP'!$C43,'Plan Figures'!$B$1:$AP$1,0))</f>
        <v>-</v>
      </c>
      <c r="J43" s="31" t="str">
        <f>INDEX('Plan Figures'!$B$5:$AP$31,MATCH('Ultimate - Sales, NWP, GWP'!J$4,'Plan Figures'!$B$5:$B$31,0),MATCH('Ultimate - Sales, NWP, GWP'!$C43,'Plan Figures'!$B$1:$AP$1,0))</f>
        <v>-</v>
      </c>
      <c r="K43" s="31" t="str">
        <f>INDEX('Plan Figures'!$B$5:$AP$31,MATCH('Ultimate - Sales, NWP, GWP'!K$4,'Plan Figures'!$B$5:$B$31,0),MATCH('Ultimate - Sales, NWP, GWP'!$C43,'Plan Figures'!$B$1:$AP$1,0))</f>
        <v>-</v>
      </c>
      <c r="L43" s="31" t="str">
        <f>INDEX('Plan Figures'!$B$5:$AP$31,MATCH('Ultimate - Sales, NWP, GWP'!L$4,'Plan Figures'!$B$5:$B$31,0),MATCH('Ultimate - Sales, NWP, GWP'!$C43,'Plan Figures'!$B$1:$AP$1,0))</f>
        <v>-</v>
      </c>
      <c r="M43" s="31" t="str">
        <f>INDEX('Plan Figures'!$B$5:$AP$31,MATCH('Ultimate - Sales, NWP, GWP'!M$4,'Plan Figures'!$B$5:$B$31,0),MATCH('Ultimate - Sales, NWP, GWP'!$C43,'Plan Figures'!$B$1:$AP$1,0))</f>
        <v>-</v>
      </c>
      <c r="N43" s="31" t="str">
        <f>INDEX('Plan Figures'!$B$5:$AP$31,MATCH('Ultimate - Sales, NWP, GWP'!N$4,'Plan Figures'!$B$5:$B$31,0),MATCH('Ultimate - Sales, NWP, GWP'!$C43,'Plan Figures'!$B$1:$AP$1,0))</f>
        <v>-</v>
      </c>
      <c r="O43" s="31" t="str">
        <f>INDEX('Plan Figures'!$B$5:$AP$31,MATCH('Ultimate - Sales, NWP, GWP'!O$4,'Plan Figures'!$B$5:$B$31,0),MATCH('Ultimate - Sales, NWP, GWP'!$C43,'Plan Figures'!$B$1:$AP$1,0))</f>
        <v>-</v>
      </c>
      <c r="P43" s="31">
        <f>INDEX('Plan Figures'!$B$5:$AP$31,MATCH('Ultimate - Sales, NWP, GWP'!P$4,'Plan Figures'!$B$5:$B$31,0),MATCH('Ultimate - Sales, NWP, GWP'!$C43,'Plan Figures'!$B$1:$AP$1,0))</f>
        <v>1113.4200697273855</v>
      </c>
      <c r="Q43" s="240">
        <f>INDEX('Plan Figures'!$B$5:$AP$31,MATCH('Ultimate - Sales, NWP, GWP'!Q$4,'Plan Figures'!$B$5:$B$31,0),MATCH('Ultimate - Sales, NWP, GWP'!$C43,'Plan Figures'!$B$1:$AP$1,0))</f>
        <v>989.67431218271486</v>
      </c>
      <c r="R43" s="31">
        <f>INDEX('Plan Figures'!$B$5:$AP$31,MATCH('Ultimate - Sales, NWP, GWP'!R$4,'Plan Figures'!$B$5:$B$31,0),MATCH('Ultimate - Sales, NWP, GWP'!$C43,'Plan Figures'!$B$1:$AP$1,0))</f>
        <v>1210.5482166933789</v>
      </c>
      <c r="S43" s="31">
        <f>INDEX('Plan Figures'!$B$5:$AP$31,MATCH('Ultimate - Sales, NWP, GWP'!S$4,'Plan Figures'!$B$5:$B$31,0),MATCH('Ultimate - Sales, NWP, GWP'!$C43,'Plan Figures'!$B$1:$AP$1,0))</f>
        <v>1208.1319527878034</v>
      </c>
      <c r="T43" s="31">
        <f>INDEX('Plan Figures'!$B$5:$AP$31,MATCH('Ultimate - Sales, NWP, GWP'!T$4,'Plan Figures'!$B$5:$B$31,0),MATCH('Ultimate - Sales, NWP, GWP'!$C43,'Plan Figures'!$B$1:$AP$1,0))</f>
        <v>1205.7205117642748</v>
      </c>
      <c r="U43" s="31">
        <f>INDEX('Plan Figures'!$B$5:$AP$31,MATCH('Ultimate - Sales, NWP, GWP'!U$4,'Plan Figures'!$B$5:$B$31,0),MATCH('Ultimate - Sales, NWP, GWP'!$C43,'Plan Figures'!$B$1:$AP$1,0))</f>
        <v>1203.3138839962821</v>
      </c>
      <c r="V43" s="31">
        <f>INDEX('Plan Figures'!$B$5:$AP$31,MATCH('Ultimate - Sales, NWP, GWP'!V$4,'Plan Figures'!$B$5:$B$31,0),MATCH('Ultimate - Sales, NWP, GWP'!$C43,'Plan Figures'!$B$1:$AP$1,0))</f>
        <v>1201.0207575202833</v>
      </c>
      <c r="W43" s="31">
        <f>INDEX('Plan Figures'!$B$5:$AP$31,MATCH('Ultimate - Sales, NWP, GWP'!W$4,'Plan Figures'!$B$5:$B$31,0),MATCH('Ultimate - Sales, NWP, GWP'!$C43,'Plan Figures'!$B$1:$AP$1,0))</f>
        <v>1228.875833502128</v>
      </c>
      <c r="X43" s="31">
        <f>INDEX('Plan Figures'!$B$5:$AP$31,MATCH('Ultimate - Sales, NWP, GWP'!X$4,'Plan Figures'!$B$5:$B$31,0),MATCH('Ultimate - Sales, NWP, GWP'!$C43,'Plan Figures'!$B$1:$AP$1,0))</f>
        <v>1163.6668411466933</v>
      </c>
      <c r="Y43" s="31">
        <f>INDEX('Plan Figures'!$B$5:$AP$31,MATCH('Ultimate - Sales, NWP, GWP'!Y$4,'Plan Figures'!$B$5:$B$31,0),MATCH('Ultimate - Sales, NWP, GWP'!$C43,'Plan Figures'!$B$1:$AP$1,0))</f>
        <v>1142.8043600541273</v>
      </c>
      <c r="Z43" s="31">
        <f>INDEX('Plan Figures'!$B$5:$AP$31,MATCH('Ultimate - Sales, NWP, GWP'!Z$4,'Plan Figures'!$B$5:$B$31,0),MATCH('Ultimate - Sales, NWP, GWP'!$C43,'Plan Figures'!$B$1:$AP$1,0))</f>
        <v>1583.4171745261115</v>
      </c>
      <c r="AA43" s="31">
        <f>INDEX('Plan Figures'!$B$5:$AP$31,MATCH('Ultimate - Sales, NWP, GWP'!AA$4,'Plan Figures'!$B$5:$B$31,0),MATCH('Ultimate - Sales, NWP, GWP'!$C43,'Plan Figures'!$B$1:$AP$1,0))</f>
        <v>1633.4199796082153</v>
      </c>
      <c r="AB43" s="31">
        <f>INDEX('Plan Figures'!$B$5:$AP$31,MATCH('Ultimate - Sales, NWP, GWP'!AB$4,'Plan Figures'!$B$5:$B$31,0),MATCH('Ultimate - Sales, NWP, GWP'!$C43,'Plan Figures'!$B$1:$AP$1,0))</f>
        <v>1421.9431064527189</v>
      </c>
      <c r="AC43" s="240">
        <f>INDEX('Plan Figures'!$B$5:$AP$31,MATCH('Ultimate - Sales, NWP, GWP'!AC$4,'Plan Figures'!$B$5:$B$31,0),MATCH('Ultimate - Sales, NWP, GWP'!$C43,'Plan Figures'!$B$1:$AP$1,0))</f>
        <v>1292.0881451523526</v>
      </c>
      <c r="AD43" s="31">
        <f>INDEX('Plan Figures'!$B$5:$AP$31,MATCH('Ultimate - Sales, NWP, GWP'!AD$4,'Plan Figures'!$B$5:$B$31,0),MATCH('Ultimate - Sales, NWP, GWP'!$C43,'Plan Figures'!$B$1:$AP$1,0))</f>
        <v>2450.6881730655136</v>
      </c>
      <c r="AE43" s="31" t="e">
        <f>INDEX('Plan Figures'!$B$5:$AP$31,MATCH('Ultimate - Sales, NWP, GWP'!AE$4,'Plan Figures'!$B$5:$B$31,0),MATCH('Ultimate - Sales, NWP, GWP'!$C43,'Plan Figures'!$B$1:$AP$1,0))</f>
        <v>#N/A</v>
      </c>
      <c r="AF43" s="31" t="e">
        <f>INDEX('Plan Figures'!$B$5:$AP$31,MATCH('Ultimate - Sales, NWP, GWP'!AF$4,'Plan Figures'!$B$5:$B$31,0),MATCH('Ultimate - Sales, NWP, GWP'!$C43,'Plan Figures'!$B$1:$AP$1,0))</f>
        <v>#N/A</v>
      </c>
      <c r="AG43" s="31" t="e">
        <f>INDEX('Plan Figures'!$B$5:$AP$31,MATCH('Ultimate - Sales, NWP, GWP'!AG$4,'Plan Figures'!$B$5:$B$31,0),MATCH('Ultimate - Sales, NWP, GWP'!$C43,'Plan Figures'!$B$1:$AP$1,0))</f>
        <v>#N/A</v>
      </c>
      <c r="AH43" s="31" t="e">
        <f>INDEX('Plan Figures'!$B$5:$AP$31,MATCH('Ultimate - Sales, NWP, GWP'!AH$4,'Plan Figures'!$B$5:$B$31,0),MATCH('Ultimate - Sales, NWP, GWP'!$C43,'Plan Figures'!$B$1:$AP$1,0))</f>
        <v>#N/A</v>
      </c>
      <c r="AI43" s="31" t="e">
        <f>INDEX('Plan Figures'!$B$5:$AP$31,MATCH('Ultimate - Sales, NWP, GWP'!AI$4,'Plan Figures'!$B$5:$B$31,0),MATCH('Ultimate - Sales, NWP, GWP'!$C43,'Plan Figures'!$B$1:$AP$1,0))</f>
        <v>#N/A</v>
      </c>
      <c r="AJ43" s="31" t="e">
        <f>INDEX('Plan Figures'!$B$5:$AP$31,MATCH('Ultimate - Sales, NWP, GWP'!AJ$4,'Plan Figures'!$B$5:$B$31,0),MATCH('Ultimate - Sales, NWP, GWP'!$C43,'Plan Figures'!$B$1:$AP$1,0))</f>
        <v>#N/A</v>
      </c>
      <c r="AK43" s="31" t="e">
        <f>INDEX('Plan Figures'!$B$5:$AP$31,MATCH('Ultimate - Sales, NWP, GWP'!AK$4,'Plan Figures'!$B$5:$B$31,0),MATCH('Ultimate - Sales, NWP, GWP'!$C43,'Plan Figures'!$B$1:$AP$1,0))</f>
        <v>#N/A</v>
      </c>
      <c r="AL43" s="31" t="e">
        <f>INDEX('Plan Figures'!$B$5:$AP$31,MATCH('Ultimate - Sales, NWP, GWP'!AL$4,'Plan Figures'!$B$5:$B$31,0),MATCH('Ultimate - Sales, NWP, GWP'!$C43,'Plan Figures'!$B$1:$AP$1,0))</f>
        <v>#N/A</v>
      </c>
      <c r="AM43" s="31" t="e">
        <f>INDEX('Plan Figures'!$B$5:$AP$31,MATCH('Ultimate - Sales, NWP, GWP'!AM$4,'Plan Figures'!$B$5:$B$31,0),MATCH('Ultimate - Sales, NWP, GWP'!$C43,'Plan Figures'!$B$1:$AP$1,0))</f>
        <v>#N/A</v>
      </c>
      <c r="AN43" s="31" t="e">
        <f>INDEX('Plan Figures'!$B$5:$AP$31,MATCH('Ultimate - Sales, NWP, GWP'!AN$4,'Plan Figures'!$B$5:$B$31,0),MATCH('Ultimate - Sales, NWP, GWP'!$C43,'Plan Figures'!$B$1:$AP$1,0))</f>
        <v>#N/A</v>
      </c>
      <c r="AO43" s="266" t="e">
        <f>INDEX('Plan Figures'!$B$5:$AP$31,MATCH('Ultimate - Sales, NWP, GWP'!AO$4,'Plan Figures'!$B$5:$B$31,0),MATCH('Ultimate - Sales, NWP, GWP'!$C43,'Plan Figures'!$B$1:$AP$1,0))</f>
        <v>#N/A</v>
      </c>
      <c r="AP43" s="239">
        <f t="shared" ref="AP43:AP44" si="153">AVERAGE(AA43:AD43)</f>
        <v>1699.5348510696999</v>
      </c>
      <c r="AQ43" s="31">
        <f t="shared" ref="AQ43:AQ44" si="154">AVERAGE(S43:AD43)</f>
        <v>1394.5908932980421</v>
      </c>
      <c r="AR43" s="31"/>
      <c r="AS43" s="31" t="e">
        <f>SUMIFS(AD43:AO43,AD$4:AO$4,"&lt;"&amp;'Title Sheet'!$C$13)</f>
        <v>#N/A</v>
      </c>
      <c r="AT43" s="240"/>
    </row>
    <row r="44" spans="2:46" ht="15.75" hidden="1" outlineLevel="1" x14ac:dyDescent="0.25">
      <c r="C44" t="str">
        <f t="shared" ref="C44:C53" si="155">$E$2</f>
        <v>PC Annual Direct</v>
      </c>
      <c r="D44" t="str">
        <f t="shared" ref="D44:D53" si="156">$D43</f>
        <v>Boom Annual</v>
      </c>
      <c r="E44" s="213" t="s">
        <v>0</v>
      </c>
      <c r="F44" s="214" t="str">
        <f t="shared" ref="F44" ca="1" si="157">IFERROR(IF(F42=0,"-",(F42/F43)-1),"-")</f>
        <v>-</v>
      </c>
      <c r="G44" s="214" t="str">
        <f t="shared" ref="G44:AO44" ca="1" si="158">IFERROR(IF(G42=0,"-",(G42/G43)-1),"-")</f>
        <v>-</v>
      </c>
      <c r="H44" s="214" t="str">
        <f t="shared" ca="1" si="158"/>
        <v>-</v>
      </c>
      <c r="I44" s="214" t="str">
        <f t="shared" ca="1" si="158"/>
        <v>-</v>
      </c>
      <c r="J44" s="214" t="str">
        <f t="shared" ca="1" si="158"/>
        <v>-</v>
      </c>
      <c r="K44" s="214" t="str">
        <f t="shared" ca="1" si="158"/>
        <v>-</v>
      </c>
      <c r="L44" s="214" t="str">
        <f t="shared" ca="1" si="158"/>
        <v>-</v>
      </c>
      <c r="M44" s="214" t="str">
        <f t="shared" ca="1" si="158"/>
        <v>-</v>
      </c>
      <c r="N44" s="214" t="str">
        <f t="shared" ca="1" si="158"/>
        <v>-</v>
      </c>
      <c r="O44" s="214" t="str">
        <f t="shared" ca="1" si="158"/>
        <v>-</v>
      </c>
      <c r="P44" s="214">
        <f t="shared" ca="1" si="158"/>
        <v>0.63672337632803289</v>
      </c>
      <c r="Q44" s="294">
        <f t="shared" ca="1" si="158"/>
        <v>0.66178475369295731</v>
      </c>
      <c r="R44" s="214">
        <f t="shared" ca="1" si="158"/>
        <v>0.36783305784110465</v>
      </c>
      <c r="S44" s="214">
        <f t="shared" ca="1" si="158"/>
        <v>0.23243151321900224</v>
      </c>
      <c r="T44" s="214">
        <f t="shared" ca="1" si="158"/>
        <v>0.52832165430910871</v>
      </c>
      <c r="U44" s="214">
        <f t="shared" ca="1" si="158"/>
        <v>0.46065579453368222</v>
      </c>
      <c r="V44" s="214">
        <f t="shared" ca="1" si="158"/>
        <v>0.55548963730749712</v>
      </c>
      <c r="W44" s="214">
        <f t="shared" ca="1" si="158"/>
        <v>0.24670352682490493</v>
      </c>
      <c r="X44" s="214">
        <f t="shared" ca="1" si="158"/>
        <v>6.881789637264113E-2</v>
      </c>
      <c r="Y44" s="214">
        <f t="shared" ca="1" si="158"/>
        <v>-6.1855986907309535E-2</v>
      </c>
      <c r="Z44" s="214">
        <f t="shared" ca="1" si="158"/>
        <v>-0.37493943767584414</v>
      </c>
      <c r="AA44" s="214">
        <f t="shared" ca="1" si="158"/>
        <v>-0.38822045528889426</v>
      </c>
      <c r="AB44" s="214">
        <f t="shared" ca="1" si="158"/>
        <v>-0.22627122065923577</v>
      </c>
      <c r="AC44" s="294">
        <f t="shared" ca="1" si="158"/>
        <v>-0.20887773398311515</v>
      </c>
      <c r="AD44" s="214">
        <f t="shared" ca="1" si="158"/>
        <v>-0.62041011603875473</v>
      </c>
      <c r="AE44" s="214" t="str">
        <f t="shared" ca="1" si="158"/>
        <v>-</v>
      </c>
      <c r="AF44" s="214" t="str">
        <f t="shared" ca="1" si="158"/>
        <v>-</v>
      </c>
      <c r="AG44" s="214" t="str">
        <f t="shared" ca="1" si="158"/>
        <v>-</v>
      </c>
      <c r="AH44" s="214" t="str">
        <f t="shared" ca="1" si="158"/>
        <v>-</v>
      </c>
      <c r="AI44" s="214" t="str">
        <f t="shared" ca="1" si="158"/>
        <v>-</v>
      </c>
      <c r="AJ44" s="214" t="str">
        <f t="shared" ca="1" si="158"/>
        <v>-</v>
      </c>
      <c r="AK44" s="214" t="str">
        <f t="shared" ca="1" si="158"/>
        <v>-</v>
      </c>
      <c r="AL44" s="214" t="str">
        <f t="shared" ca="1" si="158"/>
        <v>-</v>
      </c>
      <c r="AM44" s="214" t="str">
        <f t="shared" ca="1" si="158"/>
        <v>-</v>
      </c>
      <c r="AN44" s="214" t="str">
        <f t="shared" ca="1" si="158"/>
        <v>-</v>
      </c>
      <c r="AO44" s="270" t="str">
        <f t="shared" ca="1" si="158"/>
        <v>-</v>
      </c>
      <c r="AP44" s="274">
        <f t="shared" ca="1" si="153"/>
        <v>-0.36094488149249998</v>
      </c>
      <c r="AQ44" s="275">
        <f t="shared" ca="1" si="154"/>
        <v>1.7653756001140181E-2</v>
      </c>
      <c r="AR44" s="275"/>
      <c r="AS44" s="275" t="str">
        <f t="shared" ref="AS44" ca="1" si="159">IFERROR(IF(AS42=0,"-",(AS42/AS43)-1),"-")</f>
        <v>-</v>
      </c>
      <c r="AT44" s="276"/>
    </row>
    <row r="45" spans="2:46" ht="15.75" outlineLevel="1" x14ac:dyDescent="0.25">
      <c r="B45">
        <v>4</v>
      </c>
      <c r="C45" t="str">
        <f t="shared" si="155"/>
        <v>PC Annual Direct</v>
      </c>
      <c r="D45" t="str">
        <f t="shared" si="156"/>
        <v>Boom Annual</v>
      </c>
      <c r="E45" s="208" t="s">
        <v>5</v>
      </c>
      <c r="F45" s="332">
        <f ca="1">IFERROR('Current - Sales, NWP, GWP'!E45/IFERROR(VLOOKUP($AV$4-COUNTA($F$4:F$4)+1,'Dev Patterns'!$B$6:$H$48,$B45,0),1),"-")</f>
        <v>1086160.0635735805</v>
      </c>
      <c r="G45" s="332">
        <f ca="1">IFERROR('Current - Sales, NWP, GWP'!F45/IFERROR(VLOOKUP($AV$4-COUNTA($F$4:G$4)+1,'Dev Patterns'!$B$6:$H$48,$B45,0),1),"-")</f>
        <v>1100141.5299974654</v>
      </c>
      <c r="H45" s="332">
        <f ca="1">IFERROR('Current - Sales, NWP, GWP'!G45/IFERROR(VLOOKUP($AV$4-COUNTA($F$4:H$4)+1,'Dev Patterns'!$B$6:$H$48,$B45,0),1),"-")</f>
        <v>1168566.6321445385</v>
      </c>
      <c r="I45" s="332">
        <f ca="1">IFERROR('Current - Sales, NWP, GWP'!H45/IFERROR(VLOOKUP($AV$4-COUNTA($F$4:I$4)+1,'Dev Patterns'!$B$6:$H$48,$B45,0),1),"-")</f>
        <v>918911.07178519689</v>
      </c>
      <c r="J45" s="332">
        <f ca="1">IFERROR('Current - Sales, NWP, GWP'!I45/IFERROR(VLOOKUP($AV$4-COUNTA($F$4:J$4)+1,'Dev Patterns'!$B$6:$H$48,$B45,0),1),"-")</f>
        <v>1069510.8107149289</v>
      </c>
      <c r="K45" s="332">
        <f ca="1">IFERROR('Current - Sales, NWP, GWP'!J45/IFERROR(VLOOKUP($AV$4-COUNTA($F$4:K$4)+1,'Dev Patterns'!$B$6:$H$48,$B45,0),1),"-")</f>
        <v>945624.45928729349</v>
      </c>
      <c r="L45" s="332">
        <f ca="1">IFERROR('Current - Sales, NWP, GWP'!K45/IFERROR(VLOOKUP($AV$4-COUNTA($F$4:L$4)+1,'Dev Patterns'!$B$6:$H$48,$B45,0),1),"-")</f>
        <v>896470.2778577751</v>
      </c>
      <c r="M45" s="332">
        <f ca="1">IFERROR('Current - Sales, NWP, GWP'!L45/IFERROR(VLOOKUP($AV$4-COUNTA($F$4:M$4)+1,'Dev Patterns'!$B$6:$H$48,$B45,0),1),"-")</f>
        <v>1071653.1207244031</v>
      </c>
      <c r="N45" s="332">
        <f ca="1">IFERROR('Current - Sales, NWP, GWP'!M45/IFERROR(VLOOKUP($AV$4-COUNTA($F$4:N$4)+1,'Dev Patterns'!$B$6:$H$48,$B45,0),1),"-")</f>
        <v>1115138.8496423969</v>
      </c>
      <c r="O45" s="332">
        <f ca="1">IFERROR('Current - Sales, NWP, GWP'!N45/IFERROR(VLOOKUP($AV$4-COUNTA($F$4:O$4)+1,'Dev Patterns'!$B$6:$H$48,$B45,0),1),"-")</f>
        <v>1337651.323214008</v>
      </c>
      <c r="P45" s="332">
        <f ca="1">IFERROR('Current - Sales, NWP, GWP'!O45/IFERROR(VLOOKUP($AV$4-COUNTA($F$4:P$4)+1,'Dev Patterns'!$B$6:$H$48,$B45,0),1),"-")</f>
        <v>1843053.8217862977</v>
      </c>
      <c r="Q45" s="336">
        <f ca="1">IFERROR('Current - Sales, NWP, GWP'!P45/IFERROR(VLOOKUP($AV$4-COUNTA($F$4:Q$4)+1,'Dev Patterns'!$B$6:$H$48,$B45,0),1),"-")</f>
        <v>1639641.0149972043</v>
      </c>
      <c r="R45" s="332">
        <f ca="1">IFERROR('Current - Sales, NWP, GWP'!Q45/IFERROR(VLOOKUP($AV$4-COUNTA($F$4:R$4)+1,'Dev Patterns'!$B$6:$H$48,$B45,0),1),"-")</f>
        <v>1660410.1078601356</v>
      </c>
      <c r="S45" s="332">
        <f ca="1">IFERROR('Current - Sales, NWP, GWP'!R45/IFERROR(VLOOKUP($AV$4-COUNTA($F$4:S$4)+1,'Dev Patterns'!$B$6:$H$48,$B45,0),1),"-")</f>
        <v>1490070.4535678655</v>
      </c>
      <c r="T45" s="332">
        <f ca="1">IFERROR('Current - Sales, NWP, GWP'!S45/IFERROR(VLOOKUP($AV$4-COUNTA($F$4:T$4)+1,'Dev Patterns'!$B$6:$H$48,$B45,0),1),"-")</f>
        <v>1956356.3464312493</v>
      </c>
      <c r="U45" s="332">
        <f ca="1">IFERROR('Current - Sales, NWP, GWP'!T45/IFERROR(VLOOKUP($AV$4-COUNTA($F$4:U$4)+1,'Dev Patterns'!$B$6:$H$48,$B45,0),1),"-")</f>
        <v>1644150.7957140515</v>
      </c>
      <c r="V45" s="332">
        <f ca="1">IFERROR('Current - Sales, NWP, GWP'!U45/IFERROR(VLOOKUP($AV$4-COUNTA($F$4:V$4)+1,'Dev Patterns'!$B$6:$H$48,$B45,0),1),"-")</f>
        <v>1631174.369646736</v>
      </c>
      <c r="W45" s="332">
        <f ca="1">IFERROR('Current - Sales, NWP, GWP'!V45/IFERROR(VLOOKUP($AV$4-COUNTA($F$4:W$4)+1,'Dev Patterns'!$B$6:$H$48,$B45,0),1),"-")</f>
        <v>1352158.4560706837</v>
      </c>
      <c r="X45" s="332">
        <f ca="1">IFERROR('Current - Sales, NWP, GWP'!W45/IFERROR(VLOOKUP($AV$4-COUNTA($F$4:X$4)+1,'Dev Patterns'!$B$6:$H$48,$B45,0),1),"-")</f>
        <v>1101665.6511168419</v>
      </c>
      <c r="Y45" s="332">
        <f ca="1">IFERROR('Current - Sales, NWP, GWP'!X45/IFERROR(VLOOKUP($AV$4-COUNTA($F$4:Y$4)+1,'Dev Patterns'!$B$6:$H$48,$B45,0),1),"-")</f>
        <v>950703.55300862226</v>
      </c>
      <c r="Z45" s="332">
        <f ca="1">IFERROR('Current - Sales, NWP, GWP'!Y45/IFERROR(VLOOKUP($AV$4-COUNTA($F$4:Z$4)+1,'Dev Patterns'!$B$6:$H$48,$B45,0),1),"-")</f>
        <v>913066.76474837284</v>
      </c>
      <c r="AA45" s="332">
        <f ca="1">IFERROR('Current - Sales, NWP, GWP'!Z45/IFERROR(VLOOKUP($AV$4-COUNTA($F$4:AA$4)+1,'Dev Patterns'!$B$6:$H$48,$B45,0),1),"-")</f>
        <v>888579.42883570353</v>
      </c>
      <c r="AB45" s="332">
        <f ca="1">IFERROR('Current - Sales, NWP, GWP'!AA45/IFERROR(VLOOKUP($AV$4-COUNTA($F$4:AB$4)+1,'Dev Patterns'!$B$6:$H$48,$B45,0),1),"-")</f>
        <v>1005912.8960777263</v>
      </c>
      <c r="AC45" s="336">
        <f ca="1">IFERROR('Current - Sales, NWP, GWP'!AB45/IFERROR(VLOOKUP($AV$4-COUNTA($F$4:AC$4)+1,'Dev Patterns'!$B$6:$H$48,$B45,0),1),"-")</f>
        <v>937726.01772120432</v>
      </c>
      <c r="AD45" s="332">
        <f ca="1">IFERROR('Current - Sales, NWP, GWP'!AC45/IFERROR(VLOOKUP($AV$4-COUNTA($F$4:AD$4)+1,'Dev Patterns'!$B$6:$H$48,$B45,0),1),"-")</f>
        <v>835754.85207580787</v>
      </c>
      <c r="AE45" s="332">
        <f ca="1">IFERROR('Current - Sales, NWP, GWP'!AD45/IFERROR(VLOOKUP($AV$4-COUNTA($F$4:AE$4)+1,'Dev Patterns'!$B$6:$H$48,$B45,0),1),"-")</f>
        <v>629095.72583768563</v>
      </c>
      <c r="AF45" s="332">
        <f ca="1">IFERROR('Current - Sales, NWP, GWP'!AE45/IFERROR(VLOOKUP($AV$4-COUNTA($F$4:AF$4)+1,'Dev Patterns'!$B$6:$H$48,$B45,0),1),"-")</f>
        <v>723006.13458544959</v>
      </c>
      <c r="AG45" s="332">
        <f ca="1">IFERROR('Current - Sales, NWP, GWP'!AF45/IFERROR(VLOOKUP($AV$4-COUNTA($F$4:AG$4)+1,'Dev Patterns'!$B$6:$H$48,$B45,0),1),"-")</f>
        <v>679862.06229418784</v>
      </c>
      <c r="AH45" s="332">
        <f ca="1">IFERROR('Current - Sales, NWP, GWP'!AG45/IFERROR(VLOOKUP($AV$4-COUNTA($F$4:AH$4)+1,'Dev Patterns'!$B$6:$H$48,$B45,0),1),"-")</f>
        <v>725048.28954628971</v>
      </c>
      <c r="AI45" s="332">
        <f ca="1">IFERROR('Current - Sales, NWP, GWP'!AH45/IFERROR(VLOOKUP($AV$4-COUNTA($F$4:AI$4)+1,'Dev Patterns'!$B$6:$H$48,$B45,0),1),"-")</f>
        <v>621174.5628148875</v>
      </c>
      <c r="AJ45" s="332">
        <f ca="1">IFERROR('Current - Sales, NWP, GWP'!AI45/IFERROR(VLOOKUP($AV$4-COUNTA($F$4:AJ$4)+1,'Dev Patterns'!$B$6:$H$48,$B45,0),1),"-")</f>
        <v>631108.49248551554</v>
      </c>
      <c r="AK45" s="332">
        <f ca="1">IFERROR('Current - Sales, NWP, GWP'!AJ45/IFERROR(VLOOKUP($AV$4-COUNTA($F$4:AK$4)+1,'Dev Patterns'!$B$6:$H$48,$B45,0),1),"-")</f>
        <v>282576.21669846907</v>
      </c>
      <c r="AL45" s="332">
        <f ca="1">IFERROR('Current - Sales, NWP, GWP'!AK45/IFERROR(VLOOKUP($AV$4-COUNTA($F$4:AL$4)+1,'Dev Patterns'!$B$6:$H$48,$B45,0),1),"-")</f>
        <v>0</v>
      </c>
      <c r="AM45" s="332">
        <f ca="1">IFERROR('Current - Sales, NWP, GWP'!AL45/IFERROR(VLOOKUP($AV$4-COUNTA($F$4:AM$4)+1,'Dev Patterns'!$B$6:$H$48,$B45,0),1),"-")</f>
        <v>0</v>
      </c>
      <c r="AN45" s="332">
        <f ca="1">IFERROR('Current - Sales, NWP, GWP'!AM45/IFERROR(VLOOKUP($AV$4-COUNTA($F$4:AN$4)+1,'Dev Patterns'!$B$6:$H$48,$B45,0),1),"-")</f>
        <v>0</v>
      </c>
      <c r="AO45" s="334">
        <f ca="1">IFERROR('Current - Sales, NWP, GWP'!AN45/IFERROR(VLOOKUP($AV$4-COUNTA($F$4:AO$4)+1,'Dev Patterns'!$B$6:$H$48,$B45,0),1),"-")</f>
        <v>0</v>
      </c>
      <c r="AP45" s="335">
        <f ca="1">IFERROR(AVERAGE(INDEX($F45:$AO45, $AV$4 - 3):INDEX($F45:$AO45, $AV$4)),"-")</f>
        <v>564976.89038629038</v>
      </c>
      <c r="AQ45" s="332">
        <f ca="1">IFERROR(AVERAGE(INDEX($F45:$AO45, $AV$4 - 11):INDEX($F45:$AO45, $AV$4)),"-")</f>
        <v>739409.28697677504</v>
      </c>
      <c r="AR45" s="332" cm="1">
        <f t="array" aca="1" ref="AR45" ca="1">IFERROR(SUMPRODUCT(IFERROR((YEAR($F$4:$AO$4)=2024)*$F45:$AO45,0)),"-")</f>
        <v>15531974.840799192</v>
      </c>
      <c r="AS45" s="332">
        <f ca="1">IFERROR(SUM(INDEX($F45:$AO45, $AV$4 - MONTH(TODAY())-11):INDEX($F45:$AO45, $AV$4-12)),"-")</f>
        <v>11786689.733416187</v>
      </c>
      <c r="AT45" s="336">
        <f ca="1">IFERROR(SUM(INDEX($F45:$AO45, $AV$4 - MONTH(TODAY())+1):INDEX($F45:$AO45, $AV$4)),"-")</f>
        <v>5127626.3363382928</v>
      </c>
    </row>
    <row r="46" spans="2:46" ht="15.75" outlineLevel="1" x14ac:dyDescent="0.25">
      <c r="C46" t="str">
        <f>$E$22&amp;"_NWP"</f>
        <v>PC Annual Direct - Annual_NWP</v>
      </c>
      <c r="D46" t="str">
        <f t="shared" si="156"/>
        <v>Boom Annual</v>
      </c>
      <c r="E46" s="211" t="s">
        <v>6</v>
      </c>
      <c r="F46" s="333" t="str">
        <f>INDEX('Plan Figures'!$B$5:$AP$42,MATCH('Ultimate - Sales, NWP, GWP'!F$4,'Plan Figures'!$B$5:$B$42,0),MATCH('Ultimate - Sales, NWP, GWP'!$C46,'Plan Figures'!$B$1:$AP$1,0))</f>
        <v>-</v>
      </c>
      <c r="G46" s="333" t="str">
        <f>INDEX('Plan Figures'!$B$5:$AP$42,MATCH('Ultimate - Sales, NWP, GWP'!G$4,'Plan Figures'!$B$5:$B$42,0),MATCH('Ultimate - Sales, NWP, GWP'!$C46,'Plan Figures'!$B$1:$AP$1,0))</f>
        <v>-</v>
      </c>
      <c r="H46" s="333" t="str">
        <f>INDEX('Plan Figures'!$B$5:$AP$42,MATCH('Ultimate - Sales, NWP, GWP'!H$4,'Plan Figures'!$B$5:$B$42,0),MATCH('Ultimate - Sales, NWP, GWP'!$C46,'Plan Figures'!$B$1:$AP$1,0))</f>
        <v>-</v>
      </c>
      <c r="I46" s="333" t="str">
        <f>INDEX('Plan Figures'!$B$5:$AP$42,MATCH('Ultimate - Sales, NWP, GWP'!I$4,'Plan Figures'!$B$5:$B$42,0),MATCH('Ultimate - Sales, NWP, GWP'!$C46,'Plan Figures'!$B$1:$AP$1,0))</f>
        <v>-</v>
      </c>
      <c r="J46" s="333" t="str">
        <f>INDEX('Plan Figures'!$B$5:$AP$42,MATCH('Ultimate - Sales, NWP, GWP'!J$4,'Plan Figures'!$B$5:$B$42,0),MATCH('Ultimate - Sales, NWP, GWP'!$C46,'Plan Figures'!$B$1:$AP$1,0))</f>
        <v>-</v>
      </c>
      <c r="K46" s="333" t="str">
        <f>INDEX('Plan Figures'!$B$5:$AP$42,MATCH('Ultimate - Sales, NWP, GWP'!K$4,'Plan Figures'!$B$5:$B$42,0),MATCH('Ultimate - Sales, NWP, GWP'!$C46,'Plan Figures'!$B$1:$AP$1,0))</f>
        <v>-</v>
      </c>
      <c r="L46" s="333" t="str">
        <f>INDEX('Plan Figures'!$B$5:$AP$42,MATCH('Ultimate - Sales, NWP, GWP'!L$4,'Plan Figures'!$B$5:$B$42,0),MATCH('Ultimate - Sales, NWP, GWP'!$C46,'Plan Figures'!$B$1:$AP$1,0))</f>
        <v>-</v>
      </c>
      <c r="M46" s="333" t="str">
        <f>INDEX('Plan Figures'!$B$5:$AP$42,MATCH('Ultimate - Sales, NWP, GWP'!M$4,'Plan Figures'!$B$5:$B$42,0),MATCH('Ultimate - Sales, NWP, GWP'!$C46,'Plan Figures'!$B$1:$AP$1,0))</f>
        <v>-</v>
      </c>
      <c r="N46" s="333" t="str">
        <f>INDEX('Plan Figures'!$B$5:$AP$42,MATCH('Ultimate - Sales, NWP, GWP'!N$4,'Plan Figures'!$B$5:$B$42,0),MATCH('Ultimate - Sales, NWP, GWP'!$C46,'Plan Figures'!$B$1:$AP$1,0))</f>
        <v>-</v>
      </c>
      <c r="O46" s="333" t="str">
        <f>INDEX('Plan Figures'!$B$5:$AP$42,MATCH('Ultimate - Sales, NWP, GWP'!O$4,'Plan Figures'!$B$5:$B$42,0),MATCH('Ultimate - Sales, NWP, GWP'!$C46,'Plan Figures'!$B$1:$AP$1,0))</f>
        <v>-</v>
      </c>
      <c r="P46" s="333">
        <f>INDEX('Plan Figures'!$B$5:$AP$42,MATCH('Ultimate - Sales, NWP, GWP'!P$4,'Plan Figures'!$B$5:$B$42,0),MATCH('Ultimate - Sales, NWP, GWP'!$C46,'Plan Figures'!$B$1:$AP$1,0))</f>
        <v>1201948.8602582696</v>
      </c>
      <c r="Q46" s="339">
        <f>INDEX('Plan Figures'!$B$5:$AP$42,MATCH('Ultimate - Sales, NWP, GWP'!Q$4,'Plan Figures'!$B$5:$B$42,0),MATCH('Ultimate - Sales, NWP, GWP'!$C46,'Plan Figures'!$B$1:$AP$1,0))</f>
        <v>1130181.9540233866</v>
      </c>
      <c r="R46" s="333">
        <f>INDEX('Plan Figures'!$B$5:$AP$42,MATCH('Ultimate - Sales, NWP, GWP'!R$4,'Plan Figures'!$B$5:$B$42,0),MATCH('Ultimate - Sales, NWP, GWP'!$C46,'Plan Figures'!$B$1:$AP$1,0))</f>
        <v>1235960.0527141613</v>
      </c>
      <c r="S46" s="333">
        <f>INDEX('Plan Figures'!$B$5:$AP$42,MATCH('Ultimate - Sales, NWP, GWP'!S$4,'Plan Figures'!$B$5:$B$42,0),MATCH('Ultimate - Sales, NWP, GWP'!$C46,'Plan Figures'!$B$1:$AP$1,0))</f>
        <v>1333459.558352059</v>
      </c>
      <c r="T46" s="333">
        <f>INDEX('Plan Figures'!$B$5:$AP$42,MATCH('Ultimate - Sales, NWP, GWP'!T$4,'Plan Figures'!$B$5:$B$42,0),MATCH('Ultimate - Sales, NWP, GWP'!$C46,'Plan Figures'!$B$1:$AP$1,0))</f>
        <v>1387558.0023525297</v>
      </c>
      <c r="U46" s="333">
        <f>INDEX('Plan Figures'!$B$5:$AP$42,MATCH('Ultimate - Sales, NWP, GWP'!U$4,'Plan Figures'!$B$5:$B$42,0),MATCH('Ultimate - Sales, NWP, GWP'!$C46,'Plan Figures'!$B$1:$AP$1,0))</f>
        <v>1433144.0223048357</v>
      </c>
      <c r="V46" s="333">
        <f>INDEX('Plan Figures'!$B$5:$AP$42,MATCH('Ultimate - Sales, NWP, GWP'!V$4,'Plan Figures'!$B$5:$B$42,0),MATCH('Ultimate - Sales, NWP, GWP'!$C46,'Plan Figures'!$B$1:$AP$1,0))</f>
        <v>1450615.9831731343</v>
      </c>
      <c r="W46" s="333">
        <f>INDEX('Plan Figures'!$B$5:$AP$42,MATCH('Ultimate - Sales, NWP, GWP'!W$4,'Plan Figures'!$B$5:$B$42,0),MATCH('Ultimate - Sales, NWP, GWP'!$C46,'Plan Figures'!$B$1:$AP$1,0))</f>
        <v>1477938.9090293914</v>
      </c>
      <c r="X46" s="333">
        <f>INDEX('Plan Figures'!$B$5:$AP$42,MATCH('Ultimate - Sales, NWP, GWP'!X$4,'Plan Figures'!$B$5:$B$42,0),MATCH('Ultimate - Sales, NWP, GWP'!$C46,'Plan Figures'!$B$1:$AP$1,0))</f>
        <v>1091240.230856986</v>
      </c>
      <c r="Y46" s="333">
        <f>INDEX('Plan Figures'!$B$5:$AP$42,MATCH('Ultimate - Sales, NWP, GWP'!Y$4,'Plan Figures'!$B$5:$B$42,0),MATCH('Ultimate - Sales, NWP, GWP'!$C46,'Plan Figures'!$B$1:$AP$1,0))</f>
        <v>1077448.4163922931</v>
      </c>
      <c r="Z46" s="333">
        <f>INDEX('Plan Figures'!$B$5:$AP$42,MATCH('Ultimate - Sales, NWP, GWP'!Z$4,'Plan Figures'!$B$5:$B$42,0),MATCH('Ultimate - Sales, NWP, GWP'!$C46,'Plan Figures'!$B$1:$AP$1,0))</f>
        <v>1476073.2552601595</v>
      </c>
      <c r="AA46" s="333">
        <f>INDEX('Plan Figures'!$B$5:$AP$42,MATCH('Ultimate - Sales, NWP, GWP'!AA$4,'Plan Figures'!$B$5:$B$42,0),MATCH('Ultimate - Sales, NWP, GWP'!$C46,'Plan Figures'!$B$1:$AP$1,0))</f>
        <v>1607394.6364770622</v>
      </c>
      <c r="AB46" s="333">
        <f>INDEX('Plan Figures'!$B$5:$AP$42,MATCH('Ultimate - Sales, NWP, GWP'!AB$4,'Plan Figures'!$B$5:$B$42,0),MATCH('Ultimate - Sales, NWP, GWP'!$C46,'Plan Figures'!$B$1:$AP$1,0))</f>
        <v>1381402.3361292861</v>
      </c>
      <c r="AC46" s="339">
        <f>INDEX('Plan Figures'!$B$5:$AP$42,MATCH('Ultimate - Sales, NWP, GWP'!AC$4,'Plan Figures'!$B$5:$B$42,0),MATCH('Ultimate - Sales, NWP, GWP'!$C46,'Plan Figures'!$B$1:$AP$1,0))</f>
        <v>1254506.4774169179</v>
      </c>
      <c r="AD46" s="333">
        <f>INDEX('Plan Figures'!$B$5:$AP$42,MATCH('Ultimate - Sales, NWP, GWP'!AD$4,'Plan Figures'!$B$5:$B$42,0),MATCH('Ultimate - Sales, NWP, GWP'!$C46,'Plan Figures'!$B$1:$AP$1,0))</f>
        <v>2387179.487179487</v>
      </c>
      <c r="AE46" s="333">
        <f>INDEX('Plan Figures'!$B$5:$AP$42,MATCH('Ultimate - Sales, NWP, GWP'!AE$4,'Plan Figures'!$B$5:$B$42,0),MATCH('Ultimate - Sales, NWP, GWP'!$C46,'Plan Figures'!$B$1:$AP$1,0))</f>
        <v>2387179.487179487</v>
      </c>
      <c r="AF46" s="333">
        <f>INDEX('Plan Figures'!$B$5:$AP$42,MATCH('Ultimate - Sales, NWP, GWP'!AF$4,'Plan Figures'!$B$5:$B$42,0),MATCH('Ultimate - Sales, NWP, GWP'!$C46,'Plan Figures'!$B$1:$AP$1,0))</f>
        <v>2387179.487179487</v>
      </c>
      <c r="AG46" s="333">
        <f>INDEX('Plan Figures'!$B$5:$AP$42,MATCH('Ultimate - Sales, NWP, GWP'!AG$4,'Plan Figures'!$B$5:$B$42,0),MATCH('Ultimate - Sales, NWP, GWP'!$C46,'Plan Figures'!$B$1:$AP$1,0))</f>
        <v>667872.59971204447</v>
      </c>
      <c r="AH46" s="333">
        <f>INDEX('Plan Figures'!$B$5:$AP$42,MATCH('Ultimate - Sales, NWP, GWP'!AH$4,'Plan Figures'!$B$5:$B$42,0),MATCH('Ultimate - Sales, NWP, GWP'!$C46,'Plan Figures'!$B$1:$AP$1,0))</f>
        <v>694154.00934768398</v>
      </c>
      <c r="AI46" s="333">
        <f>INDEX('Plan Figures'!$B$5:$AP$42,MATCH('Ultimate - Sales, NWP, GWP'!AI$4,'Plan Figures'!$B$5:$B$42,0),MATCH('Ultimate - Sales, NWP, GWP'!$C46,'Plan Figures'!$B$1:$AP$1,0))</f>
        <v>685469.80919316178</v>
      </c>
      <c r="AJ46" s="333">
        <f>INDEX('Plan Figures'!$B$5:$AP$42,MATCH('Ultimate - Sales, NWP, GWP'!AJ$4,'Plan Figures'!$B$5:$B$42,0),MATCH('Ultimate - Sales, NWP, GWP'!$C46,'Plan Figures'!$B$1:$AP$1,0))</f>
        <v>728017.36437083781</v>
      </c>
      <c r="AK46" s="333">
        <f>INDEX('Plan Figures'!$B$5:$AP$42,MATCH('Ultimate - Sales, NWP, GWP'!AK$4,'Plan Figures'!$B$5:$B$42,0),MATCH('Ultimate - Sales, NWP, GWP'!$C46,'Plan Figures'!$B$1:$AP$1,0))</f>
        <v>751592.83000938501</v>
      </c>
      <c r="AL46" s="333">
        <f>INDEX('Plan Figures'!$B$5:$AP$42,MATCH('Ultimate - Sales, NWP, GWP'!AL$4,'Plan Figures'!$B$5:$B$42,0),MATCH('Ultimate - Sales, NWP, GWP'!$C46,'Plan Figures'!$B$1:$AP$1,0))</f>
        <v>752906.953713289</v>
      </c>
      <c r="AM46" s="333">
        <f>INDEX('Plan Figures'!$B$5:$AP$42,MATCH('Ultimate - Sales, NWP, GWP'!AM$4,'Plan Figures'!$B$5:$B$42,0),MATCH('Ultimate - Sales, NWP, GWP'!$C46,'Plan Figures'!$B$1:$AP$1,0))</f>
        <v>738021.42909150629</v>
      </c>
      <c r="AN46" s="333">
        <f>INDEX('Plan Figures'!$B$5:$AP$42,MATCH('Ultimate - Sales, NWP, GWP'!AN$4,'Plan Figures'!$B$5:$B$42,0),MATCH('Ultimate - Sales, NWP, GWP'!$C46,'Plan Figures'!$B$1:$AP$1,0))</f>
        <v>794733.35634812503</v>
      </c>
      <c r="AO46" s="337">
        <f>INDEX('Plan Figures'!$B$5:$AP$42,MATCH('Ultimate - Sales, NWP, GWP'!AO$4,'Plan Figures'!$B$5:$B$42,0),MATCH('Ultimate - Sales, NWP, GWP'!$C46,'Plan Figures'!$B$1:$AP$1,0))</f>
        <v>764997.17324093159</v>
      </c>
      <c r="AP46" s="338">
        <f ca="1">IFERROR(AVERAGE(INDEX($F46:$AO46, $AV$4 - 3):INDEX($F46:$AO46, $AV$4)),"-")</f>
        <v>714808.5032302672</v>
      </c>
      <c r="AQ46" s="333">
        <f ca="1">IFERROR(AVERAGE(INDEX($F46:$AO46, $AV$4 - 11):INDEX($F46:$AO46, $AV$4)),"-")</f>
        <v>1367335.1482879166</v>
      </c>
      <c r="AR46" s="333" t="str" cm="1">
        <f t="array" ref="AR46">IFERROR(SUMPRODUCT((YEAR($F$4:$AO$4)=2024)*$F46:$AO46),"-")</f>
        <v>-</v>
      </c>
      <c r="AS46" s="333" t="s">
        <v>491</v>
      </c>
      <c r="AT46" s="339">
        <f ca="1">IFERROR(SUM(INDEX($F46:$AO46, $AV$4 - MONTH(TODAY())+1):INDEX($F46:$AO46, $AV$4)),"-")</f>
        <v>10688645.074171577</v>
      </c>
    </row>
    <row r="47" spans="2:46" ht="15.75" outlineLevel="1" x14ac:dyDescent="0.25">
      <c r="C47" t="str">
        <f t="shared" si="155"/>
        <v>PC Annual Direct</v>
      </c>
      <c r="D47" t="str">
        <f t="shared" si="156"/>
        <v>Boom Annual</v>
      </c>
      <c r="E47" s="213" t="s">
        <v>0</v>
      </c>
      <c r="F47" s="214" t="str">
        <f t="shared" ref="F47" ca="1" si="160">IFERROR(IF(F45=0,"-",(F45/F46)-1),"-")</f>
        <v>-</v>
      </c>
      <c r="G47" s="214" t="str">
        <f t="shared" ref="G47:AO47" ca="1" si="161">IFERROR(IF(G45=0,"-",(G45/G46)-1),"-")</f>
        <v>-</v>
      </c>
      <c r="H47" s="214" t="str">
        <f t="shared" ca="1" si="161"/>
        <v>-</v>
      </c>
      <c r="I47" s="214" t="str">
        <f t="shared" ca="1" si="161"/>
        <v>-</v>
      </c>
      <c r="J47" s="214" t="str">
        <f t="shared" ca="1" si="161"/>
        <v>-</v>
      </c>
      <c r="K47" s="214" t="str">
        <f t="shared" ca="1" si="161"/>
        <v>-</v>
      </c>
      <c r="L47" s="214" t="str">
        <f t="shared" ca="1" si="161"/>
        <v>-</v>
      </c>
      <c r="M47" s="214" t="str">
        <f t="shared" ca="1" si="161"/>
        <v>-</v>
      </c>
      <c r="N47" s="214" t="str">
        <f t="shared" ca="1" si="161"/>
        <v>-</v>
      </c>
      <c r="O47" s="214" t="str">
        <f t="shared" ca="1" si="161"/>
        <v>-</v>
      </c>
      <c r="P47" s="214">
        <f t="shared" ca="1" si="161"/>
        <v>0.53338788589580277</v>
      </c>
      <c r="Q47" s="294">
        <f t="shared" ca="1" si="161"/>
        <v>0.45077614198330718</v>
      </c>
      <c r="R47" s="214">
        <f t="shared" ca="1" si="161"/>
        <v>0.34341729266563625</v>
      </c>
      <c r="S47" s="214">
        <f t="shared" ca="1" si="161"/>
        <v>0.1174470528445215</v>
      </c>
      <c r="T47" s="214">
        <f t="shared" ca="1" si="161"/>
        <v>0.40992761608116757</v>
      </c>
      <c r="U47" s="214">
        <f t="shared" ca="1" si="161"/>
        <v>0.14723347418347155</v>
      </c>
      <c r="V47" s="214">
        <f t="shared" ca="1" si="161"/>
        <v>0.12447014824601688</v>
      </c>
      <c r="W47" s="214">
        <f t="shared" ca="1" si="161"/>
        <v>-8.5105312669054523E-2</v>
      </c>
      <c r="X47" s="214">
        <f t="shared" ca="1" si="161"/>
        <v>9.5537352500911776E-3</v>
      </c>
      <c r="Y47" s="214">
        <f t="shared" ca="1" si="161"/>
        <v>-0.11763427506632829</v>
      </c>
      <c r="Z47" s="214">
        <f t="shared" ca="1" si="161"/>
        <v>-0.38142178140918637</v>
      </c>
      <c r="AA47" s="214">
        <f t="shared" ca="1" si="161"/>
        <v>-0.44719273744547938</v>
      </c>
      <c r="AB47" s="214">
        <f t="shared" ca="1" si="161"/>
        <v>-0.2718175800279069</v>
      </c>
      <c r="AC47" s="294">
        <f t="shared" ca="1" si="161"/>
        <v>-0.25251400881403019</v>
      </c>
      <c r="AD47" s="214">
        <f t="shared" ca="1" si="161"/>
        <v>-0.64989861191238973</v>
      </c>
      <c r="AE47" s="214">
        <f t="shared" ca="1" si="161"/>
        <v>-0.73646902999280628</v>
      </c>
      <c r="AF47" s="214">
        <f t="shared" ca="1" si="161"/>
        <v>-0.69712954619943568</v>
      </c>
      <c r="AG47" s="214">
        <f t="shared" ca="1" si="161"/>
        <v>1.7951721012828825E-2</v>
      </c>
      <c r="AH47" s="214">
        <f t="shared" ca="1" si="161"/>
        <v>4.4506377234121208E-2</v>
      </c>
      <c r="AI47" s="214">
        <f t="shared" ca="1" si="161"/>
        <v>-9.3797342371582437E-2</v>
      </c>
      <c r="AJ47" s="214">
        <f t="shared" ca="1" si="161"/>
        <v>-0.13311340721807119</v>
      </c>
      <c r="AK47" s="214">
        <f t="shared" ca="1" si="161"/>
        <v>-0.6240301857390782</v>
      </c>
      <c r="AL47" s="214" t="str">
        <f t="shared" ca="1" si="161"/>
        <v>-</v>
      </c>
      <c r="AM47" s="214" t="str">
        <f t="shared" ca="1" si="161"/>
        <v>-</v>
      </c>
      <c r="AN47" s="214" t="str">
        <f t="shared" ca="1" si="161"/>
        <v>-</v>
      </c>
      <c r="AO47" s="215" t="str">
        <f t="shared" ca="1" si="161"/>
        <v>-</v>
      </c>
      <c r="AP47" s="242">
        <f ca="1">IFERROR(IF(AP45=0,"-",(AP45/AP46)-1),"-")</f>
        <v>-0.20961084285774134</v>
      </c>
      <c r="AQ47" s="242">
        <f ca="1">IFERROR(IF(AQ45=0,"-",(AQ45/AQ46)-1),"-")</f>
        <v>-0.45923332117761129</v>
      </c>
      <c r="AR47" s="242"/>
      <c r="AS47" s="242"/>
      <c r="AT47" s="243">
        <f ca="1">IFERROR(IF(AT45=0,"-",(AT45/AT46)-1),"-")</f>
        <v>-0.52027349577460735</v>
      </c>
    </row>
    <row r="48" spans="2:46" ht="15.75" outlineLevel="1" x14ac:dyDescent="0.25">
      <c r="C48" t="str">
        <f t="shared" si="155"/>
        <v>PC Annual Direct</v>
      </c>
      <c r="D48" t="str">
        <f t="shared" si="156"/>
        <v>Boom Annual</v>
      </c>
      <c r="E48" s="208" t="s">
        <v>12</v>
      </c>
      <c r="F48" s="332">
        <f ca="1">IFERROR(F45/F42,"-")</f>
        <v>541.74496438632059</v>
      </c>
      <c r="G48" s="332">
        <f t="shared" ref="G48:AO48" ca="1" si="162">IFERROR(G45/G42,"-")</f>
        <v>505.31952904677843</v>
      </c>
      <c r="H48" s="332">
        <f t="shared" ca="1" si="162"/>
        <v>434.94151295966731</v>
      </c>
      <c r="I48" s="332">
        <f t="shared" ca="1" si="162"/>
        <v>472.52219471110254</v>
      </c>
      <c r="J48" s="332">
        <f t="shared" ca="1" si="162"/>
        <v>657.26646178178225</v>
      </c>
      <c r="K48" s="332">
        <f t="shared" ca="1" si="162"/>
        <v>809.44335531073204</v>
      </c>
      <c r="L48" s="332">
        <f t="shared" ca="1" si="162"/>
        <v>1364.206865770806</v>
      </c>
      <c r="M48" s="332">
        <f t="shared" ca="1" si="162"/>
        <v>1247.9796943708577</v>
      </c>
      <c r="N48" s="332">
        <f t="shared" ca="1" si="162"/>
        <v>1290.8291631679019</v>
      </c>
      <c r="O48" s="332">
        <f t="shared" ca="1" si="162"/>
        <v>1227.5445975159823</v>
      </c>
      <c r="P48" s="332">
        <f t="shared" ca="1" si="162"/>
        <v>1011.3551430804258</v>
      </c>
      <c r="Q48" s="336">
        <f t="shared" ca="1" si="162"/>
        <v>996.96911694813195</v>
      </c>
      <c r="R48" s="332">
        <f t="shared" ca="1" si="162"/>
        <v>1002.7673401579891</v>
      </c>
      <c r="S48" s="332">
        <f t="shared" ca="1" si="162"/>
        <v>1000.7593072308655</v>
      </c>
      <c r="T48" s="332">
        <f t="shared" ca="1" si="162"/>
        <v>1061.6626718383011</v>
      </c>
      <c r="U48" s="332">
        <f t="shared" ca="1" si="162"/>
        <v>935.43762360433254</v>
      </c>
      <c r="V48" s="332">
        <f t="shared" ca="1" si="162"/>
        <v>873.1377256332197</v>
      </c>
      <c r="W48" s="332">
        <f t="shared" ca="1" si="162"/>
        <v>882.58470456286102</v>
      </c>
      <c r="X48" s="332">
        <f t="shared" ca="1" si="162"/>
        <v>885.76279087677585</v>
      </c>
      <c r="Y48" s="332">
        <f t="shared" ca="1" si="162"/>
        <v>886.75514496790959</v>
      </c>
      <c r="Z48" s="332">
        <f t="shared" ca="1" si="162"/>
        <v>922.53974464457519</v>
      </c>
      <c r="AA48" s="332">
        <f t="shared" ca="1" si="162"/>
        <v>889.20815996291776</v>
      </c>
      <c r="AB48" s="332">
        <f t="shared" ca="1" si="162"/>
        <v>914.30144218267719</v>
      </c>
      <c r="AC48" s="336">
        <f t="shared" ca="1" si="162"/>
        <v>917.36088020866703</v>
      </c>
      <c r="AD48" s="332">
        <f t="shared" ca="1" si="162"/>
        <v>898.41340174906998</v>
      </c>
      <c r="AE48" s="332">
        <f t="shared" ca="1" si="162"/>
        <v>885.63813781223007</v>
      </c>
      <c r="AF48" s="332">
        <f t="shared" ca="1" si="162"/>
        <v>922.42669005600771</v>
      </c>
      <c r="AG48" s="332">
        <f t="shared" ca="1" si="162"/>
        <v>888.82040141396635</v>
      </c>
      <c r="AH48" s="332">
        <f t="shared" ca="1" si="162"/>
        <v>870.50313002585051</v>
      </c>
      <c r="AI48" s="332">
        <f t="shared" ca="1" si="162"/>
        <v>912.28025734047537</v>
      </c>
      <c r="AJ48" s="332">
        <f t="shared" ca="1" si="162"/>
        <v>939.17614523382099</v>
      </c>
      <c r="AK48" s="332">
        <f t="shared" ca="1" si="162"/>
        <v>920.1393652549973</v>
      </c>
      <c r="AL48" s="332" t="str">
        <f t="shared" ca="1" si="162"/>
        <v>-</v>
      </c>
      <c r="AM48" s="332" t="str">
        <f t="shared" ca="1" si="162"/>
        <v>-</v>
      </c>
      <c r="AN48" s="332" t="str">
        <f t="shared" ca="1" si="162"/>
        <v>-</v>
      </c>
      <c r="AO48" s="334" t="str">
        <f t="shared" ca="1" si="162"/>
        <v>-</v>
      </c>
      <c r="AP48" s="335">
        <f ca="1">IFERROR(AP45/AP42,"-")</f>
        <v>906.54017933914258</v>
      </c>
      <c r="AQ48" s="332">
        <f t="shared" ref="AQ48:AT48" ca="1" si="163">IFERROR(AQ45/AQ42,"-")</f>
        <v>905.98942000145212</v>
      </c>
      <c r="AR48" s="332">
        <f t="shared" ca="1" si="163"/>
        <v>937.20647089369004</v>
      </c>
      <c r="AS48" s="332">
        <f t="shared" ca="1" si="163"/>
        <v>945.87069852231298</v>
      </c>
      <c r="AT48" s="336">
        <f t="shared" ca="1" si="163"/>
        <v>902.40281818774611</v>
      </c>
    </row>
    <row r="49" spans="2:46" ht="15.75" hidden="1" outlineLevel="1" x14ac:dyDescent="0.25">
      <c r="C49" t="str">
        <f t="shared" si="155"/>
        <v>PC Annual Direct</v>
      </c>
      <c r="D49" t="str">
        <f t="shared" si="156"/>
        <v>Boom Annual</v>
      </c>
      <c r="E49" s="211" t="s">
        <v>13</v>
      </c>
      <c r="F49" s="333">
        <f>IFERROR(F46/F43,0)</f>
        <v>0</v>
      </c>
      <c r="G49" s="333">
        <f t="shared" ref="G49:AQ49" si="164">IFERROR(G46/G43,0)</f>
        <v>0</v>
      </c>
      <c r="H49" s="333">
        <f t="shared" si="164"/>
        <v>0</v>
      </c>
      <c r="I49" s="333">
        <f t="shared" si="164"/>
        <v>0</v>
      </c>
      <c r="J49" s="333">
        <f t="shared" si="164"/>
        <v>0</v>
      </c>
      <c r="K49" s="333">
        <f t="shared" si="164"/>
        <v>0</v>
      </c>
      <c r="L49" s="333">
        <f t="shared" si="164"/>
        <v>0</v>
      </c>
      <c r="M49" s="333">
        <f t="shared" si="164"/>
        <v>0</v>
      </c>
      <c r="N49" s="333">
        <f t="shared" si="164"/>
        <v>0</v>
      </c>
      <c r="O49" s="333">
        <f t="shared" si="164"/>
        <v>0</v>
      </c>
      <c r="P49" s="333">
        <f t="shared" si="164"/>
        <v>1079.510683288258</v>
      </c>
      <c r="Q49" s="339">
        <f t="shared" si="164"/>
        <v>1141.9736170890237</v>
      </c>
      <c r="R49" s="333">
        <f t="shared" si="164"/>
        <v>1020.9920064895846</v>
      </c>
      <c r="S49" s="333">
        <f t="shared" si="164"/>
        <v>1103.7366864398034</v>
      </c>
      <c r="T49" s="333">
        <f t="shared" si="164"/>
        <v>1150.8123058487083</v>
      </c>
      <c r="U49" s="333">
        <f t="shared" si="164"/>
        <v>1190.9976618446992</v>
      </c>
      <c r="V49" s="333">
        <f t="shared" si="164"/>
        <v>1207.8192438307094</v>
      </c>
      <c r="W49" s="333">
        <f t="shared" si="164"/>
        <v>1202.675541936135</v>
      </c>
      <c r="X49" s="333">
        <f t="shared" si="164"/>
        <v>937.7600119478036</v>
      </c>
      <c r="Y49" s="333">
        <f t="shared" si="164"/>
        <v>942.81090802039057</v>
      </c>
      <c r="Z49" s="333">
        <f t="shared" si="164"/>
        <v>932.20743023828948</v>
      </c>
      <c r="AA49" s="333">
        <f t="shared" si="164"/>
        <v>984.06696167791745</v>
      </c>
      <c r="AB49" s="333">
        <f t="shared" si="164"/>
        <v>971.48917552364753</v>
      </c>
      <c r="AC49" s="339">
        <f t="shared" si="164"/>
        <v>970.91400623368202</v>
      </c>
      <c r="AD49" s="333">
        <f t="shared" si="164"/>
        <v>974.08536647623146</v>
      </c>
      <c r="AE49" s="333">
        <f t="shared" si="164"/>
        <v>0</v>
      </c>
      <c r="AF49" s="333">
        <f t="shared" si="164"/>
        <v>0</v>
      </c>
      <c r="AG49" s="333">
        <f t="shared" si="164"/>
        <v>0</v>
      </c>
      <c r="AH49" s="333">
        <f t="shared" si="164"/>
        <v>0</v>
      </c>
      <c r="AI49" s="333">
        <f t="shared" si="164"/>
        <v>0</v>
      </c>
      <c r="AJ49" s="333">
        <f t="shared" si="164"/>
        <v>0</v>
      </c>
      <c r="AK49" s="333">
        <f t="shared" si="164"/>
        <v>0</v>
      </c>
      <c r="AL49" s="333">
        <f t="shared" si="164"/>
        <v>0</v>
      </c>
      <c r="AM49" s="333">
        <f t="shared" si="164"/>
        <v>0</v>
      </c>
      <c r="AN49" s="333">
        <f t="shared" si="164"/>
        <v>0</v>
      </c>
      <c r="AO49" s="337">
        <f t="shared" si="164"/>
        <v>0</v>
      </c>
      <c r="AP49" s="338">
        <f t="shared" ca="1" si="164"/>
        <v>420.59067090054754</v>
      </c>
      <c r="AQ49" s="333">
        <f t="shared" ca="1" si="164"/>
        <v>980.45609996371843</v>
      </c>
      <c r="AR49" s="333"/>
      <c r="AS49" s="333">
        <f>SUMIFS(AD49:AO49,AD$4:AO$4,"&lt;"&amp;'Title Sheet'!$C$13)</f>
        <v>974.08536647623146</v>
      </c>
      <c r="AT49" s="339"/>
    </row>
    <row r="50" spans="2:46" ht="15.75" hidden="1" outlineLevel="1" x14ac:dyDescent="0.25">
      <c r="C50" t="str">
        <f t="shared" si="155"/>
        <v>PC Annual Direct</v>
      </c>
      <c r="D50" t="str">
        <f t="shared" si="156"/>
        <v>Boom Annual</v>
      </c>
      <c r="E50" s="213" t="s">
        <v>0</v>
      </c>
      <c r="F50" s="340" t="str">
        <f t="shared" ref="F50" ca="1" si="165">IFERROR(IF(F48=0,"-",(F48/F49)-1),"-")</f>
        <v>-</v>
      </c>
      <c r="G50" s="340" t="str">
        <f t="shared" ref="G50:AO50" ca="1" si="166">IFERROR(IF(G48=0,"-",(G48/G49)-1),"-")</f>
        <v>-</v>
      </c>
      <c r="H50" s="340" t="str">
        <f t="shared" ca="1" si="166"/>
        <v>-</v>
      </c>
      <c r="I50" s="340" t="str">
        <f t="shared" ca="1" si="166"/>
        <v>-</v>
      </c>
      <c r="J50" s="340" t="str">
        <f t="shared" ca="1" si="166"/>
        <v>-</v>
      </c>
      <c r="K50" s="340" t="str">
        <f t="shared" ca="1" si="166"/>
        <v>-</v>
      </c>
      <c r="L50" s="340" t="str">
        <f t="shared" ca="1" si="166"/>
        <v>-</v>
      </c>
      <c r="M50" s="340" t="str">
        <f t="shared" ca="1" si="166"/>
        <v>-</v>
      </c>
      <c r="N50" s="340" t="str">
        <f t="shared" ca="1" si="166"/>
        <v>-</v>
      </c>
      <c r="O50" s="340" t="str">
        <f t="shared" ca="1" si="166"/>
        <v>-</v>
      </c>
      <c r="P50" s="340">
        <f t="shared" ca="1" si="166"/>
        <v>-6.3135586579121217E-2</v>
      </c>
      <c r="Q50" s="366">
        <f t="shared" ca="1" si="166"/>
        <v>-0.12697710172194621</v>
      </c>
      <c r="R50" s="340">
        <f t="shared" ca="1" si="166"/>
        <v>-1.7849959858408981E-2</v>
      </c>
      <c r="S50" s="340">
        <f t="shared" ca="1" si="166"/>
        <v>-9.3298864189338637E-2</v>
      </c>
      <c r="T50" s="340">
        <f t="shared" ca="1" si="166"/>
        <v>-7.746670204804651E-2</v>
      </c>
      <c r="U50" s="340">
        <f t="shared" ca="1" si="166"/>
        <v>-0.21457643992729392</v>
      </c>
      <c r="V50" s="340">
        <f t="shared" ca="1" si="166"/>
        <v>-0.27709569946577151</v>
      </c>
      <c r="W50" s="340">
        <f t="shared" ca="1" si="166"/>
        <v>-0.26614895390486926</v>
      </c>
      <c r="X50" s="340">
        <f t="shared" ca="1" si="166"/>
        <v>-5.5448324100560997E-2</v>
      </c>
      <c r="Y50" s="340">
        <f t="shared" ca="1" si="166"/>
        <v>-5.9455997566023711E-2</v>
      </c>
      <c r="Z50" s="340">
        <f t="shared" ca="1" si="166"/>
        <v>-1.037074505106983E-2</v>
      </c>
      <c r="AA50" s="340">
        <f t="shared" ca="1" si="166"/>
        <v>-9.6394661551544636E-2</v>
      </c>
      <c r="AB50" s="340">
        <f t="shared" ca="1" si="166"/>
        <v>-5.8866053047009315E-2</v>
      </c>
      <c r="AC50" s="366">
        <f t="shared" ca="1" si="166"/>
        <v>-5.5157434830665819E-2</v>
      </c>
      <c r="AD50" s="340">
        <f t="shared" ca="1" si="166"/>
        <v>-7.7685146837700669E-2</v>
      </c>
      <c r="AE50" s="340" t="str">
        <f t="shared" ca="1" si="166"/>
        <v>-</v>
      </c>
      <c r="AF50" s="340" t="str">
        <f t="shared" ca="1" si="166"/>
        <v>-</v>
      </c>
      <c r="AG50" s="340" t="str">
        <f t="shared" ca="1" si="166"/>
        <v>-</v>
      </c>
      <c r="AH50" s="340" t="str">
        <f t="shared" ca="1" si="166"/>
        <v>-</v>
      </c>
      <c r="AI50" s="340" t="str">
        <f t="shared" ca="1" si="166"/>
        <v>-</v>
      </c>
      <c r="AJ50" s="340" t="str">
        <f t="shared" ca="1" si="166"/>
        <v>-</v>
      </c>
      <c r="AK50" s="340" t="str">
        <f t="shared" ca="1" si="166"/>
        <v>-</v>
      </c>
      <c r="AL50" s="340" t="str">
        <f t="shared" ca="1" si="166"/>
        <v>-</v>
      </c>
      <c r="AM50" s="340" t="str">
        <f t="shared" ca="1" si="166"/>
        <v>-</v>
      </c>
      <c r="AN50" s="340" t="str">
        <f t="shared" ca="1" si="166"/>
        <v>-</v>
      </c>
      <c r="AO50" s="341" t="str">
        <f t="shared" ca="1" si="166"/>
        <v>-</v>
      </c>
      <c r="AP50" s="342">
        <f t="shared" ref="AP50:AQ50" ca="1" si="167">AP48-AP49</f>
        <v>485.94950843859505</v>
      </c>
      <c r="AQ50" s="343">
        <f t="shared" ca="1" si="167"/>
        <v>-74.466679962266312</v>
      </c>
      <c r="AR50" s="343"/>
      <c r="AS50" s="343">
        <f t="shared" ref="AS50" ca="1" si="168">IFERROR(IF(AS48=0,"-",(AS48/AS49)-1),"-")</f>
        <v>-2.8965292904445827E-2</v>
      </c>
      <c r="AT50" s="344"/>
    </row>
    <row r="51" spans="2:46" outlineLevel="1" x14ac:dyDescent="0.25">
      <c r="C51" t="str">
        <f t="shared" si="155"/>
        <v>PC Annual Direct</v>
      </c>
      <c r="D51" t="str">
        <f t="shared" si="156"/>
        <v>Boom Annual</v>
      </c>
      <c r="E51" s="258" t="s">
        <v>17</v>
      </c>
      <c r="F51" s="345"/>
      <c r="G51" s="345"/>
      <c r="H51" s="345"/>
      <c r="I51" s="345"/>
      <c r="J51" s="345"/>
      <c r="K51" s="345"/>
      <c r="L51" s="345"/>
      <c r="M51" s="345"/>
      <c r="N51" s="345"/>
      <c r="O51" s="345"/>
      <c r="P51" s="345"/>
      <c r="Q51" s="367"/>
      <c r="R51" s="345"/>
      <c r="S51" s="345"/>
      <c r="T51" s="345"/>
      <c r="U51" s="345"/>
      <c r="V51" s="345"/>
      <c r="W51" s="345"/>
      <c r="X51" s="345"/>
      <c r="Y51" s="345"/>
      <c r="Z51" s="345"/>
      <c r="AA51" s="345"/>
      <c r="AB51" s="345"/>
      <c r="AC51" s="367"/>
      <c r="AD51" s="345"/>
      <c r="AE51" s="345"/>
      <c r="AF51" s="345"/>
      <c r="AG51" s="345"/>
      <c r="AH51" s="345"/>
      <c r="AI51" s="345"/>
      <c r="AJ51" s="345"/>
      <c r="AK51" s="345"/>
      <c r="AL51" s="345"/>
      <c r="AM51" s="345"/>
      <c r="AN51" s="345"/>
      <c r="AO51" s="346"/>
      <c r="AP51" s="393"/>
      <c r="AQ51" s="347"/>
      <c r="AR51" s="347"/>
      <c r="AS51" s="347"/>
      <c r="AT51" s="348"/>
    </row>
    <row r="52" spans="2:46" ht="15.75" outlineLevel="1" x14ac:dyDescent="0.25">
      <c r="B52">
        <v>4</v>
      </c>
      <c r="C52" t="str">
        <f t="shared" si="155"/>
        <v>PC Annual Direct</v>
      </c>
      <c r="D52" t="str">
        <f t="shared" si="156"/>
        <v>Boom Annual</v>
      </c>
      <c r="E52" s="208" t="s">
        <v>7</v>
      </c>
      <c r="F52" s="335">
        <f ca="1">'Current - Sales, NWP, GWP'!E52/IFERROR(VLOOKUP($AV$4-COUNTA($F$4:F$4)+1,'Dev Patterns'!$B$6:$H$48,$B52,0),1)</f>
        <v>1310265.0535725218</v>
      </c>
      <c r="G52" s="332">
        <f ca="1">'Current - Sales, NWP, GWP'!F52/IFERROR(VLOOKUP($AV$4-COUNTA($F$4:G$4)+1,'Dev Patterns'!$B$6:$H$48,$B52,0),1)</f>
        <v>1327939.2499983122</v>
      </c>
      <c r="H52" s="332">
        <f ca="1">'Current - Sales, NWP, GWP'!G52/IFERROR(VLOOKUP($AV$4-COUNTA($F$4:H$4)+1,'Dev Patterns'!$B$6:$H$48,$B52,0),1)</f>
        <v>1409536.7321461581</v>
      </c>
      <c r="I52" s="332">
        <f ca="1">'Current - Sales, NWP, GWP'!H52/IFERROR(VLOOKUP($AV$4-COUNTA($F$4:I$4)+1,'Dev Patterns'!$B$6:$H$48,$B52,0),1)</f>
        <v>1108687.1517870072</v>
      </c>
      <c r="J52" s="332">
        <f ca="1">'Current - Sales, NWP, GWP'!I52/IFERROR(VLOOKUP($AV$4-COUNTA($F$4:J$4)+1,'Dev Patterns'!$B$6:$H$48,$B52,0),1)</f>
        <v>1246462.1607149141</v>
      </c>
      <c r="K52" s="332">
        <f ca="1">'Current - Sales, NWP, GWP'!J52/IFERROR(VLOOKUP($AV$4-COUNTA($F$4:K$4)+1,'Dev Patterns'!$B$6:$H$48,$B52,0),1)</f>
        <v>1107291.8392874526</v>
      </c>
      <c r="L52" s="332">
        <f ca="1">'Current - Sales, NWP, GWP'!K52/IFERROR(VLOOKUP($AV$4-COUNTA($F$4:L$4)+1,'Dev Patterns'!$B$6:$H$48,$B52,0),1)</f>
        <v>1048832.0178576689</v>
      </c>
      <c r="M52" s="332">
        <f ca="1">'Current - Sales, NWP, GWP'!L52/IFERROR(VLOOKUP($AV$4-COUNTA($F$4:M$4)+1,'Dev Patterns'!$B$6:$H$48,$B52,0),1)</f>
        <v>1253992.9107235237</v>
      </c>
      <c r="N52" s="332">
        <f ca="1">'Current - Sales, NWP, GWP'!M52/IFERROR(VLOOKUP($AV$4-COUNTA($F$4:N$4)+1,'Dev Patterns'!$B$6:$H$48,$B52,0),1)</f>
        <v>1303893.1696446086</v>
      </c>
      <c r="O52" s="332">
        <f ca="1">'Current - Sales, NWP, GWP'!N52/IFERROR(VLOOKUP($AV$4-COUNTA($F$4:O$4)+1,'Dev Patterns'!$B$6:$H$48,$B52,0),1)</f>
        <v>1566971.7232140885</v>
      </c>
      <c r="P52" s="332">
        <f ca="1">'Current - Sales, NWP, GWP'!O52/IFERROR(VLOOKUP($AV$4-COUNTA($F$4:P$4)+1,'Dev Patterns'!$B$6:$H$48,$B52,0),1)</f>
        <v>2157081.1517849583</v>
      </c>
      <c r="Q52" s="336">
        <f ca="1">'Current - Sales, NWP, GWP'!P52/IFERROR(VLOOKUP($AV$4-COUNTA($F$4:Q$4)+1,'Dev Patterns'!$B$6:$H$48,$B52,0),1)</f>
        <v>1914532.8749973006</v>
      </c>
      <c r="R52" s="332">
        <f ca="1">'Current - Sales, NWP, GWP'!Q52/IFERROR(VLOOKUP($AV$4-COUNTA($F$4:R$4)+1,'Dev Patterns'!$B$6:$H$48,$B52,0),1)</f>
        <v>1944443.0178594808</v>
      </c>
      <c r="S52" s="332">
        <f ca="1">'Current - Sales, NWP, GWP'!R52/IFERROR(VLOOKUP($AV$4-COUNTA($F$4:S$4)+1,'Dev Patterns'!$B$6:$H$48,$B52,0),1)</f>
        <v>1732662.0535668435</v>
      </c>
      <c r="T52" s="332">
        <f ca="1">'Current - Sales, NWP, GWP'!S52/IFERROR(VLOOKUP($AV$4-COUNTA($F$4:T$4)+1,'Dev Patterns'!$B$6:$H$48,$B52,0),1)</f>
        <v>2205954.4464311609</v>
      </c>
      <c r="U52" s="332">
        <f ca="1">'Current - Sales, NWP, GWP'!T52/IFERROR(VLOOKUP($AV$4-COUNTA($F$4:U$4)+1,'Dev Patterns'!$B$6:$H$48,$B52,0),1)</f>
        <v>1850640.28571464</v>
      </c>
      <c r="V52" s="332">
        <f ca="1">'Current - Sales, NWP, GWP'!U52/IFERROR(VLOOKUP($AV$4-COUNTA($F$4:V$4)+1,'Dev Patterns'!$B$6:$H$48,$B52,0),1)</f>
        <v>1837855.9196469013</v>
      </c>
      <c r="W52" s="332">
        <f ca="1">'Current - Sales, NWP, GWP'!V52/IFERROR(VLOOKUP($AV$4-COUNTA($F$4:W$4)+1,'Dev Patterns'!$B$6:$H$48,$B52,0),1)</f>
        <v>1522427.3660705232</v>
      </c>
      <c r="X52" s="332">
        <f ca="1">'Current - Sales, NWP, GWP'!W52/IFERROR(VLOOKUP($AV$4-COUNTA($F$4:X$4)+1,'Dev Patterns'!$B$6:$H$48,$B52,0),1)</f>
        <v>1241762.1947569314</v>
      </c>
      <c r="Y52" s="332">
        <f ca="1">'Current - Sales, NWP, GWP'!X52/IFERROR(VLOOKUP($AV$4-COUNTA($F$4:Y$4)+1,'Dev Patterns'!$B$6:$H$48,$B52,0),1)</f>
        <v>1069692.0634982863</v>
      </c>
      <c r="Z52" s="332">
        <f ca="1">'Current - Sales, NWP, GWP'!Y52/IFERROR(VLOOKUP($AV$4-COUNTA($F$4:Z$4)+1,'Dev Patterns'!$B$6:$H$48,$B52,0),1)</f>
        <v>1027470.5700927814</v>
      </c>
      <c r="AA52" s="332">
        <f ca="1">'Current - Sales, NWP, GWP'!Z52/IFERROR(VLOOKUP($AV$4-COUNTA($F$4:AA$4)+1,'Dev Patterns'!$B$6:$H$48,$B52,0),1)</f>
        <v>1001818.5837458236</v>
      </c>
      <c r="AB52" s="332">
        <f ca="1">'Current - Sales, NWP, GWP'!AA52/IFERROR(VLOOKUP($AV$4-COUNTA($F$4:AB$4)+1,'Dev Patterns'!$B$6:$H$48,$B52,0),1)</f>
        <v>1134726.2778579681</v>
      </c>
      <c r="AC52" s="336">
        <f ca="1">'Current - Sales, NWP, GWP'!AB52/IFERROR(VLOOKUP($AV$4-COUNTA($F$4:AC$4)+1,'Dev Patterns'!$B$6:$H$48,$B52,0),1)</f>
        <v>1057773.396609274</v>
      </c>
      <c r="AD52" s="332">
        <f ca="1">'Current - Sales, NWP, GWP'!AC52/IFERROR(VLOOKUP($AV$4-COUNTA($F$4:AD$4)+1,'Dev Patterns'!$B$6:$H$48,$B52,0),1)</f>
        <v>942736.04082581226</v>
      </c>
      <c r="AE52" s="332">
        <f ca="1">'Current - Sales, NWP, GWP'!AD52/IFERROR(VLOOKUP($AV$4-COUNTA($F$4:AE$4)+1,'Dev Patterns'!$B$6:$H$48,$B52,0),1)</f>
        <v>708461.83215358225</v>
      </c>
      <c r="AF52" s="332">
        <f ca="1">'Current - Sales, NWP, GWP'!AE52/IFERROR(VLOOKUP($AV$4-COUNTA($F$4:AF$4)+1,'Dev Patterns'!$B$6:$H$48,$B52,0),1)</f>
        <v>800875.53486014332</v>
      </c>
      <c r="AG52" s="332">
        <f ca="1">'Current - Sales, NWP, GWP'!AF52/IFERROR(VLOOKUP($AV$4-COUNTA($F$4:AG$4)+1,'Dev Patterns'!$B$6:$H$48,$B52,0),1)</f>
        <v>743443.00171282608</v>
      </c>
      <c r="AH52" s="332">
        <f ca="1">'Current - Sales, NWP, GWP'!AG52/IFERROR(VLOOKUP($AV$4-COUNTA($F$4:AH$4)+1,'Dev Patterns'!$B$6:$H$48,$B52,0),1)</f>
        <v>793256.38201884634</v>
      </c>
      <c r="AI52" s="332">
        <f ca="1">'Current - Sales, NWP, GWP'!AH52/IFERROR(VLOOKUP($AV$4-COUNTA($F$4:AI$4)+1,'Dev Patterns'!$B$6:$H$48,$B52,0),1)</f>
        <v>678713.32223912945</v>
      </c>
      <c r="AJ52" s="332">
        <f ca="1">'Current - Sales, NWP, GWP'!AI52/IFERROR(VLOOKUP($AV$4-COUNTA($F$4:AJ$4)+1,'Dev Patterns'!$B$6:$H$48,$B52,0),1)</f>
        <v>687621.48257550318</v>
      </c>
      <c r="AK52" s="332">
        <f ca="1">'Current - Sales, NWP, GWP'!AJ52/IFERROR(VLOOKUP($AV$4-COUNTA($F$4:AK$4)+1,'Dev Patterns'!$B$6:$H$48,$B52,0),1)</f>
        <v>307877.22576049517</v>
      </c>
      <c r="AL52" s="332">
        <f ca="1">'Current - Sales, NWP, GWP'!AK52/IFERROR(VLOOKUP($AV$4-COUNTA($F$4:AL$4)+1,'Dev Patterns'!$B$6:$H$48,$B52,0),1)</f>
        <v>0</v>
      </c>
      <c r="AM52" s="332">
        <f ca="1">'Current - Sales, NWP, GWP'!AL52/IFERROR(VLOOKUP($AV$4-COUNTA($F$4:AM$4)+1,'Dev Patterns'!$B$6:$H$48,$B52,0),1)</f>
        <v>0</v>
      </c>
      <c r="AN52" s="332">
        <f ca="1">'Current - Sales, NWP, GWP'!AM52/IFERROR(VLOOKUP($AV$4-COUNTA($F$4:AN$4)+1,'Dev Patterns'!$B$6:$H$48,$B52,0),1)</f>
        <v>0</v>
      </c>
      <c r="AO52" s="334">
        <f ca="1">'Current - Sales, NWP, GWP'!AN52/IFERROR(VLOOKUP($AV$4-COUNTA($F$4:AO$4)+1,'Dev Patterns'!$B$6:$H$48,$B52,0),1)</f>
        <v>0</v>
      </c>
      <c r="AP52" s="335">
        <f ca="1">IFERROR(AVERAGE(INDEX($F52:$AO52, $AV$4 - 3):INDEX($F52:$AO52, $AV$4)),"-")</f>
        <v>616867.10314849357</v>
      </c>
      <c r="AQ52" s="332">
        <f ca="1">IFERROR(AVERAGE(INDEX($F52:$AO52, $AV$4 - 11):INDEX($F52:$AO52, $AV$4)),"-")</f>
        <v>823731.13753768196</v>
      </c>
      <c r="AR52" s="332" cm="1">
        <f t="array" aca="1" ref="AR52" ca="1">IFERROR(SUMPRODUCT(IFERROR((YEAR($F$4:$AO$4)=2024)*$F52:$AO52,0)),"-")</f>
        <v>17627226.175850615</v>
      </c>
      <c r="AS52" s="332">
        <f ca="1">IFERROR(SUM(INDEX($F52:$AO52, $AV$4 - MONTH(TODAY())-11):INDEX($F52:$AO52, $AV$4-12)),"-")</f>
        <v>13405437.347544769</v>
      </c>
      <c r="AT52" s="336">
        <f ca="1">IFERROR(SUM(INDEX($F52:$AO52, $AV$4 - MONTH(TODAY())+1):INDEX($F52:$AO52, $AV$4)),"-")</f>
        <v>5662984.8221463384</v>
      </c>
    </row>
    <row r="53" spans="2:46" ht="15.75" outlineLevel="1" x14ac:dyDescent="0.25">
      <c r="C53" t="str">
        <f t="shared" si="155"/>
        <v>PC Annual Direct</v>
      </c>
      <c r="D53" t="str">
        <f t="shared" si="156"/>
        <v>Boom Annual</v>
      </c>
      <c r="E53" s="211" t="s">
        <v>493</v>
      </c>
      <c r="F53" s="325">
        <f ca="1">IFERROR(F45/F$8,"-")</f>
        <v>0.50369783254873368</v>
      </c>
      <c r="G53" s="325">
        <f t="shared" ref="G53:AO53" ca="1" si="169">IFERROR(G45/G$8,"-")</f>
        <v>0.49840835057339866</v>
      </c>
      <c r="H53" s="325">
        <f t="shared" ca="1" si="169"/>
        <v>0.49403060893567935</v>
      </c>
      <c r="I53" s="325">
        <f t="shared" ca="1" si="169"/>
        <v>0.43431844806305436</v>
      </c>
      <c r="J53" s="325">
        <f t="shared" ca="1" si="169"/>
        <v>0.4382699513941446</v>
      </c>
      <c r="K53" s="325">
        <f t="shared" ca="1" si="169"/>
        <v>0.41774274345420892</v>
      </c>
      <c r="L53" s="325">
        <f t="shared" ca="1" si="169"/>
        <v>0.3762307720597397</v>
      </c>
      <c r="M53" s="325">
        <f t="shared" ca="1" si="169"/>
        <v>0.39925909361808998</v>
      </c>
      <c r="N53" s="325">
        <f t="shared" ca="1" si="169"/>
        <v>0.40496040782115683</v>
      </c>
      <c r="O53" s="325">
        <f t="shared" ca="1" si="169"/>
        <v>0.4167517073607746</v>
      </c>
      <c r="P53" s="325">
        <f t="shared" ca="1" si="169"/>
        <v>0.47707169937906529</v>
      </c>
      <c r="Q53" s="382">
        <f t="shared" ca="1" si="169"/>
        <v>0.43213332390820364</v>
      </c>
      <c r="R53" s="325">
        <f t="shared" ca="1" si="169"/>
        <v>0.42292578079458437</v>
      </c>
      <c r="S53" s="325">
        <f t="shared" ca="1" si="169"/>
        <v>0.2871394999671314</v>
      </c>
      <c r="T53" s="325">
        <f t="shared" ca="1" si="169"/>
        <v>0.25798168900295376</v>
      </c>
      <c r="U53" s="325">
        <f t="shared" ca="1" si="169"/>
        <v>0.2447136310570848</v>
      </c>
      <c r="V53" s="325">
        <f t="shared" ca="1" si="169"/>
        <v>0.25542909012967452</v>
      </c>
      <c r="W53" s="325">
        <f t="shared" ca="1" si="169"/>
        <v>0.25256338771381137</v>
      </c>
      <c r="X53" s="325">
        <f t="shared" ca="1" si="169"/>
        <v>0.24113266190441185</v>
      </c>
      <c r="Y53" s="325">
        <f t="shared" ca="1" si="169"/>
        <v>0.23909508845851776</v>
      </c>
      <c r="Z53" s="325">
        <f t="shared" ca="1" si="169"/>
        <v>0.2505049686628158</v>
      </c>
      <c r="AA53" s="325">
        <f t="shared" ca="1" si="169"/>
        <v>0.25638063818281026</v>
      </c>
      <c r="AB53" s="325">
        <f t="shared" ca="1" si="169"/>
        <v>0.27651857107490191</v>
      </c>
      <c r="AC53" s="382">
        <f t="shared" ca="1" si="169"/>
        <v>0.25890404397041478</v>
      </c>
      <c r="AD53" s="325">
        <f t="shared" ca="1" si="169"/>
        <v>0.23258847299317806</v>
      </c>
      <c r="AE53" s="325">
        <f t="shared" ca="1" si="169"/>
        <v>0.21528569001532577</v>
      </c>
      <c r="AF53" s="325">
        <f t="shared" ca="1" si="169"/>
        <v>0.1917143130348585</v>
      </c>
      <c r="AG53" s="325">
        <f t="shared" ca="1" si="169"/>
        <v>0.18508431116680021</v>
      </c>
      <c r="AH53" s="325">
        <f t="shared" ca="1" si="169"/>
        <v>0.19308384748525165</v>
      </c>
      <c r="AI53" s="325">
        <f t="shared" ca="1" si="169"/>
        <v>0.18345313800346533</v>
      </c>
      <c r="AJ53" s="325">
        <f t="shared" ca="1" si="169"/>
        <v>0.18650621607392995</v>
      </c>
      <c r="AK53" s="325">
        <f t="shared" ca="1" si="169"/>
        <v>0.1738619237208531</v>
      </c>
      <c r="AL53" s="325" t="str">
        <f t="shared" ca="1" si="169"/>
        <v>-</v>
      </c>
      <c r="AM53" s="325" t="str">
        <f t="shared" ca="1" si="169"/>
        <v>-</v>
      </c>
      <c r="AN53" s="325" t="str">
        <f t="shared" ca="1" si="169"/>
        <v>-</v>
      </c>
      <c r="AO53" s="382" t="str">
        <f t="shared" ca="1" si="169"/>
        <v>-</v>
      </c>
      <c r="AP53" s="325">
        <f ca="1">IFERROR(AP45/AP$8,"-")</f>
        <v>0.18599686178705385</v>
      </c>
      <c r="AQ53" s="325">
        <f ca="1">IFERROR(AQ45/AQ$8,"-")</f>
        <v>0.21918901873047977</v>
      </c>
      <c r="AR53" s="325">
        <f t="shared" ref="AR53:AT53" ca="1" si="170">IFERROR(AR45/AR$8,"-")</f>
        <v>0.26745821562277855</v>
      </c>
      <c r="AS53" s="325">
        <f t="shared" ca="1" si="170"/>
        <v>0.269705457702131</v>
      </c>
      <c r="AT53" s="382">
        <f t="shared" ca="1" si="170"/>
        <v>0.19638409908671622</v>
      </c>
    </row>
    <row r="54" spans="2:46" ht="16.5" outlineLevel="1" thickBot="1" x14ac:dyDescent="0.3">
      <c r="E54" s="368" t="s">
        <v>492</v>
      </c>
      <c r="F54" s="383">
        <f ca="1">IFERROR(F45/F$28,"-")</f>
        <v>1</v>
      </c>
      <c r="G54" s="383">
        <f t="shared" ref="G54:AT54" ca="1" si="171">IFERROR(G45/G$28,"-")</f>
        <v>1</v>
      </c>
      <c r="H54" s="383">
        <f t="shared" ca="1" si="171"/>
        <v>1</v>
      </c>
      <c r="I54" s="383">
        <f t="shared" ca="1" si="171"/>
        <v>1</v>
      </c>
      <c r="J54" s="383">
        <f t="shared" ca="1" si="171"/>
        <v>1</v>
      </c>
      <c r="K54" s="383">
        <f t="shared" ca="1" si="171"/>
        <v>1</v>
      </c>
      <c r="L54" s="383">
        <f t="shared" ca="1" si="171"/>
        <v>1</v>
      </c>
      <c r="M54" s="383">
        <f t="shared" ca="1" si="171"/>
        <v>1</v>
      </c>
      <c r="N54" s="383">
        <f t="shared" ca="1" si="171"/>
        <v>1</v>
      </c>
      <c r="O54" s="383">
        <f t="shared" ca="1" si="171"/>
        <v>1</v>
      </c>
      <c r="P54" s="383">
        <f t="shared" ca="1" si="171"/>
        <v>1</v>
      </c>
      <c r="Q54" s="384">
        <f t="shared" ca="1" si="171"/>
        <v>1</v>
      </c>
      <c r="R54" s="383">
        <f t="shared" ca="1" si="171"/>
        <v>0.80456989798280076</v>
      </c>
      <c r="S54" s="383">
        <f t="shared" ca="1" si="171"/>
        <v>0.41940861380294908</v>
      </c>
      <c r="T54" s="383">
        <f t="shared" ca="1" si="171"/>
        <v>0.33154136227444864</v>
      </c>
      <c r="U54" s="383">
        <f t="shared" ca="1" si="171"/>
        <v>0.30949203753276899</v>
      </c>
      <c r="V54" s="383">
        <f t="shared" ca="1" si="171"/>
        <v>0.32260638561310656</v>
      </c>
      <c r="W54" s="383">
        <f t="shared" ca="1" si="171"/>
        <v>0.32036852865725107</v>
      </c>
      <c r="X54" s="383">
        <f t="shared" ca="1" si="171"/>
        <v>0.31301870635310092</v>
      </c>
      <c r="Y54" s="383">
        <f t="shared" ca="1" si="171"/>
        <v>0.30876552585375322</v>
      </c>
      <c r="Z54" s="383">
        <f t="shared" ca="1" si="171"/>
        <v>0.31375404228010922</v>
      </c>
      <c r="AA54" s="383">
        <f t="shared" ca="1" si="171"/>
        <v>0.31189397667240482</v>
      </c>
      <c r="AB54" s="383">
        <f t="shared" ca="1" si="171"/>
        <v>0.31416012524035913</v>
      </c>
      <c r="AC54" s="384">
        <f t="shared" ca="1" si="171"/>
        <v>0.2834592539682334</v>
      </c>
      <c r="AD54" s="383">
        <f t="shared" ca="1" si="171"/>
        <v>0.24674879122857454</v>
      </c>
      <c r="AE54" s="383">
        <f t="shared" ca="1" si="171"/>
        <v>0.23031798081718249</v>
      </c>
      <c r="AF54" s="383">
        <f t="shared" ca="1" si="171"/>
        <v>0.20874136627657836</v>
      </c>
      <c r="AG54" s="383">
        <f t="shared" ca="1" si="171"/>
        <v>0.20455766527245584</v>
      </c>
      <c r="AH54" s="383">
        <f t="shared" ca="1" si="171"/>
        <v>0.21601234446347262</v>
      </c>
      <c r="AI54" s="383">
        <f t="shared" ca="1" si="171"/>
        <v>0.21025724513241825</v>
      </c>
      <c r="AJ54" s="383">
        <f t="shared" ca="1" si="171"/>
        <v>0.21620927300400208</v>
      </c>
      <c r="AK54" s="383">
        <f t="shared" ca="1" si="171"/>
        <v>0.20432062189573616</v>
      </c>
      <c r="AL54" s="383" t="str">
        <f t="shared" ca="1" si="171"/>
        <v>-</v>
      </c>
      <c r="AM54" s="383" t="str">
        <f t="shared" ca="1" si="171"/>
        <v>-</v>
      </c>
      <c r="AN54" s="383" t="str">
        <f t="shared" ca="1" si="171"/>
        <v>-</v>
      </c>
      <c r="AO54" s="384" t="str">
        <f t="shared" ca="1" si="171"/>
        <v>-</v>
      </c>
      <c r="AP54" s="383">
        <f t="shared" ca="1" si="171"/>
        <v>0.2129408322249344</v>
      </c>
      <c r="AQ54" s="383">
        <f t="shared" ca="1" si="171"/>
        <v>0.24793168230645304</v>
      </c>
      <c r="AR54" s="383">
        <f t="shared" ca="1" si="171"/>
        <v>0.34535219045062188</v>
      </c>
      <c r="AS54" s="383">
        <f t="shared" ca="1" si="171"/>
        <v>0.36039270798092099</v>
      </c>
      <c r="AT54" s="384">
        <f t="shared" ca="1" si="171"/>
        <v>0.21802476215643932</v>
      </c>
    </row>
    <row r="55" spans="2:46" ht="15.75" outlineLevel="1" x14ac:dyDescent="0.25">
      <c r="E55" s="46"/>
      <c r="F55" s="325"/>
      <c r="G55" s="325"/>
      <c r="H55" s="325"/>
      <c r="I55" s="325"/>
      <c r="J55" s="325"/>
      <c r="K55" s="325"/>
      <c r="L55" s="325"/>
      <c r="M55" s="325"/>
      <c r="N55" s="325"/>
      <c r="O55" s="325"/>
      <c r="P55" s="325"/>
      <c r="Q55" s="325"/>
      <c r="R55" s="325"/>
      <c r="S55" s="325"/>
      <c r="T55" s="325"/>
      <c r="U55" s="325"/>
      <c r="V55" s="325"/>
      <c r="W55" s="325"/>
      <c r="X55" s="325"/>
      <c r="Y55" s="325"/>
      <c r="Z55" s="325"/>
      <c r="AA55" s="325"/>
      <c r="AB55" s="325"/>
      <c r="AC55" s="325"/>
      <c r="AD55" s="325"/>
      <c r="AE55" s="325"/>
      <c r="AF55" s="325"/>
      <c r="AG55" s="325"/>
      <c r="AH55" s="325"/>
      <c r="AI55" s="325"/>
      <c r="AJ55" s="325"/>
      <c r="AK55" s="325"/>
      <c r="AL55" s="325"/>
      <c r="AM55" s="325"/>
      <c r="AN55" s="325"/>
      <c r="AO55" s="325"/>
      <c r="AP55" s="325"/>
      <c r="AQ55" s="325"/>
      <c r="AR55" s="325"/>
      <c r="AS55" s="325"/>
    </row>
    <row r="56" spans="2:46" ht="16.5" outlineLevel="1" thickBot="1" x14ac:dyDescent="0.3">
      <c r="E56" s="46"/>
      <c r="F56" s="325"/>
      <c r="G56" s="325"/>
      <c r="H56" s="325"/>
      <c r="I56" s="325"/>
      <c r="J56" s="325"/>
      <c r="K56" s="325"/>
      <c r="L56" s="325"/>
      <c r="M56" s="325"/>
      <c r="N56" s="325"/>
      <c r="O56" s="325"/>
      <c r="P56" s="325"/>
      <c r="Q56" s="325"/>
      <c r="R56" s="325"/>
      <c r="S56" s="325"/>
      <c r="T56" s="325"/>
      <c r="U56" s="325"/>
      <c r="V56" s="325"/>
      <c r="W56" s="325"/>
      <c r="X56" s="325"/>
      <c r="Y56" s="325"/>
      <c r="Z56" s="325"/>
      <c r="AA56" s="325"/>
      <c r="AB56" s="325"/>
      <c r="AC56" s="325"/>
      <c r="AD56" s="325"/>
      <c r="AE56" s="325"/>
      <c r="AF56" s="325"/>
      <c r="AG56" s="325"/>
      <c r="AH56" s="325"/>
      <c r="AI56" s="325"/>
      <c r="AJ56" s="325"/>
      <c r="AK56" s="325"/>
      <c r="AL56" s="325"/>
      <c r="AM56" s="325"/>
      <c r="AN56" s="325"/>
      <c r="AO56" s="325"/>
      <c r="AP56" s="325"/>
      <c r="AQ56" s="325"/>
      <c r="AR56" s="325"/>
      <c r="AS56" s="325"/>
    </row>
    <row r="57" spans="2:46" ht="21" outlineLevel="1" x14ac:dyDescent="0.25">
      <c r="E57" s="363" t="s">
        <v>351</v>
      </c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33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33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63"/>
      <c r="AP57" s="507" t="s">
        <v>484</v>
      </c>
      <c r="AQ57" s="508"/>
      <c r="AR57" s="508"/>
      <c r="AS57" s="508"/>
      <c r="AT57" s="509"/>
    </row>
    <row r="58" spans="2:46" outlineLevel="1" x14ac:dyDescent="0.25">
      <c r="E58" s="204"/>
      <c r="F58" s="355" t="s">
        <v>341</v>
      </c>
      <c r="G58" s="355"/>
      <c r="H58" s="355"/>
      <c r="I58" s="355"/>
      <c r="J58" s="355"/>
      <c r="K58" s="355"/>
      <c r="L58" s="355"/>
      <c r="M58" s="355"/>
      <c r="N58" s="355"/>
      <c r="O58" s="355"/>
      <c r="P58" s="355"/>
      <c r="Q58" s="356"/>
      <c r="R58" s="355" t="s">
        <v>341</v>
      </c>
      <c r="S58" s="357"/>
      <c r="T58" s="357"/>
      <c r="U58" s="357"/>
      <c r="V58" s="357"/>
      <c r="W58" s="357"/>
      <c r="X58" s="357"/>
      <c r="Y58" s="357"/>
      <c r="Z58" s="357"/>
      <c r="AA58" s="357"/>
      <c r="AB58" s="357"/>
      <c r="AC58" s="358"/>
      <c r="AD58" s="355" t="s">
        <v>341</v>
      </c>
      <c r="AE58" s="357"/>
      <c r="AF58" s="357"/>
      <c r="AG58" s="357"/>
      <c r="AH58" s="357"/>
      <c r="AI58" s="357"/>
      <c r="AJ58" s="357"/>
      <c r="AK58" s="357"/>
      <c r="AL58" s="357"/>
      <c r="AM58" s="357"/>
      <c r="AN58" s="357"/>
      <c r="AO58" s="359"/>
      <c r="AP58" s="510" t="s">
        <v>485</v>
      </c>
      <c r="AQ58" s="511"/>
      <c r="AR58" s="511" t="s">
        <v>486</v>
      </c>
      <c r="AS58" s="511"/>
      <c r="AT58" s="512"/>
    </row>
    <row r="59" spans="2:46" outlineLevel="1" x14ac:dyDescent="0.25">
      <c r="E59" s="354" t="s">
        <v>487</v>
      </c>
      <c r="F59" s="360">
        <f t="shared" ref="F59:R59" si="172">F$4</f>
        <v>44927</v>
      </c>
      <c r="G59" s="360">
        <f t="shared" si="172"/>
        <v>44958</v>
      </c>
      <c r="H59" s="360">
        <f t="shared" si="172"/>
        <v>44986</v>
      </c>
      <c r="I59" s="360">
        <f t="shared" si="172"/>
        <v>45017</v>
      </c>
      <c r="J59" s="360">
        <f t="shared" si="172"/>
        <v>45047</v>
      </c>
      <c r="K59" s="360">
        <f t="shared" si="172"/>
        <v>45078</v>
      </c>
      <c r="L59" s="360">
        <f t="shared" si="172"/>
        <v>45108</v>
      </c>
      <c r="M59" s="360">
        <f t="shared" si="172"/>
        <v>45139</v>
      </c>
      <c r="N59" s="360">
        <f t="shared" si="172"/>
        <v>45170</v>
      </c>
      <c r="O59" s="360">
        <f t="shared" si="172"/>
        <v>45200</v>
      </c>
      <c r="P59" s="360">
        <f t="shared" si="172"/>
        <v>45231</v>
      </c>
      <c r="Q59" s="365">
        <f t="shared" si="172"/>
        <v>45261</v>
      </c>
      <c r="R59" s="360">
        <f t="shared" si="172"/>
        <v>45292</v>
      </c>
      <c r="S59" s="360">
        <f t="shared" ref="S59:AO59" si="173">S$4</f>
        <v>45323</v>
      </c>
      <c r="T59" s="360">
        <f t="shared" si="173"/>
        <v>45352</v>
      </c>
      <c r="U59" s="360">
        <f t="shared" si="173"/>
        <v>45383</v>
      </c>
      <c r="V59" s="360">
        <f t="shared" si="173"/>
        <v>45413</v>
      </c>
      <c r="W59" s="360">
        <f t="shared" si="173"/>
        <v>45444</v>
      </c>
      <c r="X59" s="360">
        <f t="shared" si="173"/>
        <v>45474</v>
      </c>
      <c r="Y59" s="360">
        <f t="shared" si="173"/>
        <v>45505</v>
      </c>
      <c r="Z59" s="360">
        <f t="shared" si="173"/>
        <v>45536</v>
      </c>
      <c r="AA59" s="360">
        <f t="shared" si="173"/>
        <v>45566</v>
      </c>
      <c r="AB59" s="360">
        <f t="shared" si="173"/>
        <v>45597</v>
      </c>
      <c r="AC59" s="365">
        <f t="shared" si="173"/>
        <v>45627</v>
      </c>
      <c r="AD59" s="360">
        <f t="shared" si="173"/>
        <v>45658</v>
      </c>
      <c r="AE59" s="360">
        <f t="shared" si="173"/>
        <v>45689</v>
      </c>
      <c r="AF59" s="360">
        <f t="shared" si="173"/>
        <v>45717</v>
      </c>
      <c r="AG59" s="360">
        <f t="shared" si="173"/>
        <v>45748</v>
      </c>
      <c r="AH59" s="360">
        <f t="shared" si="173"/>
        <v>45778</v>
      </c>
      <c r="AI59" s="360">
        <f t="shared" si="173"/>
        <v>45809</v>
      </c>
      <c r="AJ59" s="360">
        <f t="shared" si="173"/>
        <v>45839</v>
      </c>
      <c r="AK59" s="360">
        <f t="shared" si="173"/>
        <v>45870</v>
      </c>
      <c r="AL59" s="360">
        <f t="shared" si="173"/>
        <v>45901</v>
      </c>
      <c r="AM59" s="360">
        <f t="shared" si="173"/>
        <v>45931</v>
      </c>
      <c r="AN59" s="360">
        <f t="shared" si="173"/>
        <v>45962</v>
      </c>
      <c r="AO59" s="361">
        <f t="shared" si="173"/>
        <v>45992</v>
      </c>
      <c r="AP59" s="351" t="s">
        <v>349</v>
      </c>
      <c r="AQ59" s="352" t="s">
        <v>348</v>
      </c>
      <c r="AR59" s="352" t="s">
        <v>772</v>
      </c>
      <c r="AS59" s="352" t="s">
        <v>490</v>
      </c>
      <c r="AT59" s="353" t="s">
        <v>773</v>
      </c>
    </row>
    <row r="60" spans="2:46" ht="15.75" outlineLevel="1" x14ac:dyDescent="0.25">
      <c r="B60">
        <v>7</v>
      </c>
      <c r="C60" t="str">
        <f>$E$2</f>
        <v>PC Annual Direct</v>
      </c>
      <c r="D60" t="s">
        <v>353</v>
      </c>
      <c r="E60" s="223" t="s">
        <v>488</v>
      </c>
      <c r="F60" s="209">
        <f ca="1">'Current - Sales, NWP, GWP'!E60/IFERROR(VLOOKUP($AV$4-COUNTA($F$4:F$4)+1,'Dev Patterns'!$B$6:$H$48,$B60,0),1)</f>
        <v>0</v>
      </c>
      <c r="G60" s="209">
        <f ca="1">'Current - Sales, NWP, GWP'!F60/IFERROR(VLOOKUP($AV$4-COUNTA($F$4:G$4)+1,'Dev Patterns'!$B$6:$H$48,$B60,0),1)</f>
        <v>0</v>
      </c>
      <c r="H60" s="209">
        <f ca="1">'Current - Sales, NWP, GWP'!G60/IFERROR(VLOOKUP($AV$4-COUNTA($F$4:H$4)+1,'Dev Patterns'!$B$6:$H$48,$B60,0),1)</f>
        <v>0</v>
      </c>
      <c r="I60" s="209">
        <f ca="1">'Current - Sales, NWP, GWP'!H60/IFERROR(VLOOKUP($AV$4-COUNTA($F$4:I$4)+1,'Dev Patterns'!$B$6:$H$48,$B60,0),1)</f>
        <v>0</v>
      </c>
      <c r="J60" s="209">
        <f ca="1">'Current - Sales, NWP, GWP'!I60/IFERROR(VLOOKUP($AV$4-COUNTA($F$4:J$4)+1,'Dev Patterns'!$B$6:$H$48,$B60,0),1)</f>
        <v>0</v>
      </c>
      <c r="K60" s="209">
        <f ca="1">'Current - Sales, NWP, GWP'!J60/IFERROR(VLOOKUP($AV$4-COUNTA($F$4:K$4)+1,'Dev Patterns'!$B$6:$H$48,$B60,0),1)</f>
        <v>0</v>
      </c>
      <c r="L60" s="209">
        <f ca="1">'Current - Sales, NWP, GWP'!K60/IFERROR(VLOOKUP($AV$4-COUNTA($F$4:L$4)+1,'Dev Patterns'!$B$6:$H$48,$B60,0),1)</f>
        <v>0</v>
      </c>
      <c r="M60" s="209">
        <f ca="1">'Current - Sales, NWP, GWP'!L60/IFERROR(VLOOKUP($AV$4-COUNTA($F$4:M$4)+1,'Dev Patterns'!$B$6:$H$48,$B60,0),1)</f>
        <v>0</v>
      </c>
      <c r="N60" s="209">
        <f ca="1">'Current - Sales, NWP, GWP'!M60/IFERROR(VLOOKUP($AV$4-COUNTA($F$4:N$4)+1,'Dev Patterns'!$B$6:$H$48,$B60,0),1)</f>
        <v>0</v>
      </c>
      <c r="O60" s="209">
        <f ca="1">'Current - Sales, NWP, GWP'!N60/IFERROR(VLOOKUP($AV$4-COUNTA($F$4:O$4)+1,'Dev Patterns'!$B$6:$H$48,$B60,0),1)</f>
        <v>0</v>
      </c>
      <c r="P60" s="209">
        <f ca="1">'Current - Sales, NWP, GWP'!O60/IFERROR(VLOOKUP($AV$4-COUNTA($F$4:P$4)+1,'Dev Patterns'!$B$6:$H$48,$B60,0),1)</f>
        <v>0</v>
      </c>
      <c r="Q60" s="238">
        <f ca="1">'Current - Sales, NWP, GWP'!P60/IFERROR(VLOOKUP($AV$4-COUNTA($F$4:Q$4)+1,'Dev Patterns'!$B$6:$H$48,$B60,0),1)</f>
        <v>0</v>
      </c>
      <c r="R60" s="209">
        <f ca="1">'Current - Sales, NWP, GWP'!Q60/IFERROR(VLOOKUP($AV$4-COUNTA($F$4:R$4)+1,'Dev Patterns'!$B$6:$H$48,$B60,0),1)</f>
        <v>273.08196722940011</v>
      </c>
      <c r="S60" s="209">
        <f ca="1">'Current - Sales, NWP, GWP'!R60/IFERROR(VLOOKUP($AV$4-COUNTA($F$4:S$4)+1,'Dev Patterns'!$B$6:$H$48,$B60,0),1)</f>
        <v>1449.8879781919002</v>
      </c>
      <c r="T60" s="209">
        <f ca="1">'Current - Sales, NWP, GWP'!S60/IFERROR(VLOOKUP($AV$4-COUNTA($F$4:T$4)+1,'Dev Patterns'!$B$6:$H$48,$B60,0),1)</f>
        <v>2876.5397260939967</v>
      </c>
      <c r="U60" s="209">
        <f ca="1">'Current - Sales, NWP, GWP'!T60/IFERROR(VLOOKUP($AV$4-COUNTA($F$4:U$4)+1,'Dev Patterns'!$B$6:$H$48,$B60,0),1)</f>
        <v>3056.3397261169957</v>
      </c>
      <c r="V60" s="209">
        <f ca="1">'Current - Sales, NWP, GWP'!U60/IFERROR(VLOOKUP($AV$4-COUNTA($F$4:V$4)+1,'Dev Patterns'!$B$6:$H$48,$B60,0),1)</f>
        <v>2954.6109589979951</v>
      </c>
      <c r="W60" s="209">
        <f ca="1">'Current - Sales, NWP, GWP'!V60/IFERROR(VLOOKUP($AV$4-COUNTA($F$4:W$4)+1,'Dev Patterns'!$B$6:$H$48,$B60,0),1)</f>
        <v>2561.9671233569888</v>
      </c>
      <c r="X60" s="209">
        <f ca="1">'Current - Sales, NWP, GWP'!W60/IFERROR(VLOOKUP($AV$4-COUNTA($F$4:X$4)+1,'Dev Patterns'!$B$6:$H$48,$B60,0),1)</f>
        <v>2169.4246576440032</v>
      </c>
      <c r="Y60" s="209">
        <f ca="1">'Current - Sales, NWP, GWP'!X60/IFERROR(VLOOKUP($AV$4-COUNTA($F$4:Y$4)+1,'Dev Patterns'!$B$6:$H$48,$B60,0),1)</f>
        <v>1909.4630137500026</v>
      </c>
      <c r="Z60" s="209">
        <f ca="1">'Current - Sales, NWP, GWP'!Y60/IFERROR(VLOOKUP($AV$4-COUNTA($F$4:Z$4)+1,'Dev Patterns'!$B$6:$H$48,$B60,0),1)</f>
        <v>1796.4321608933644</v>
      </c>
      <c r="AA60" s="209">
        <f ca="1">'Current - Sales, NWP, GWP'!Z60/IFERROR(VLOOKUP($AV$4-COUNTA($F$4:AA$4)+1,'Dev Patterns'!$B$6:$H$48,$B60,0),1)</f>
        <v>1783.4921077379461</v>
      </c>
      <c r="AB60" s="209">
        <f ca="1">'Current - Sales, NWP, GWP'!AA60/IFERROR(VLOOKUP($AV$4-COUNTA($F$4:AB$4)+1,'Dev Patterns'!$B$6:$H$48,$B60,0),1)</f>
        <v>1955.0941265566744</v>
      </c>
      <c r="AC60" s="238">
        <f ca="1">'Current - Sales, NWP, GWP'!AB60/IFERROR(VLOOKUP($AV$4-COUNTA($F$4:AC$4)+1,'Dev Patterns'!$B$6:$H$48,$B60,0),1)</f>
        <v>2142.437563591036</v>
      </c>
      <c r="AD60" s="209">
        <f ca="1">'Current - Sales, NWP, GWP'!AC60/IFERROR(VLOOKUP($AV$4-COUNTA($F$4:AD$4)+1,'Dev Patterns'!$B$6:$H$48,$B60,0),1)</f>
        <v>2462.0761568555381</v>
      </c>
      <c r="AE60" s="209">
        <f ca="1">'Current - Sales, NWP, GWP'!AD60/IFERROR(VLOOKUP($AV$4-COUNTA($F$4:AE$4)+1,'Dev Patterns'!$B$6:$H$48,$B60,0),1)</f>
        <v>2092.5905402761587</v>
      </c>
      <c r="AF60" s="209">
        <f ca="1">'Current - Sales, NWP, GWP'!AE60/IFERROR(VLOOKUP($AV$4-COUNTA($F$4:AF$4)+1,'Dev Patterns'!$B$6:$H$48,$B60,0),1)</f>
        <v>2756.5218623189953</v>
      </c>
      <c r="AG60" s="209">
        <f ca="1">'Current - Sales, NWP, GWP'!AF60/IFERROR(VLOOKUP($AV$4-COUNTA($F$4:AG$4)+1,'Dev Patterns'!$B$6:$H$48,$B60,0),1)</f>
        <v>2798.4787303897333</v>
      </c>
      <c r="AH60" s="209">
        <f ca="1">'Current - Sales, NWP, GWP'!AG60/IFERROR(VLOOKUP($AV$4-COUNTA($F$4:AH$4)+1,'Dev Patterns'!$B$6:$H$48,$B60,0),1)</f>
        <v>2750.3819152206079</v>
      </c>
      <c r="AI60" s="209">
        <f ca="1">'Current - Sales, NWP, GWP'!AH60/IFERROR(VLOOKUP($AV$4-COUNTA($F$4:AI$4)+1,'Dev Patterns'!$B$6:$H$48,$B60,0),1)</f>
        <v>2547.4224868597134</v>
      </c>
      <c r="AJ60" s="209">
        <f ca="1">'Current - Sales, NWP, GWP'!AI60/IFERROR(VLOOKUP($AV$4-COUNTA($F$4:AJ$4)+1,'Dev Patterns'!$B$6:$H$48,$B60,0),1)</f>
        <v>2453.5890477848166</v>
      </c>
      <c r="AK60" s="209">
        <f ca="1">'Current - Sales, NWP, GWP'!AJ60/IFERROR(VLOOKUP($AV$4-COUNTA($F$4:AK$4)+1,'Dev Patterns'!$B$6:$H$48,$B60,0),1)</f>
        <v>1111.2914298411049</v>
      </c>
      <c r="AL60" s="209">
        <f ca="1">'Current - Sales, NWP, GWP'!AK60/IFERROR(VLOOKUP($AV$4-COUNTA($F$4:AL$4)+1,'Dev Patterns'!$B$6:$H$48,$B60,0),1)</f>
        <v>0</v>
      </c>
      <c r="AM60" s="209">
        <f ca="1">'Current - Sales, NWP, GWP'!AL60/IFERROR(VLOOKUP($AV$4-COUNTA($F$4:AM$4)+1,'Dev Patterns'!$B$6:$H$48,$B60,0),1)</f>
        <v>0</v>
      </c>
      <c r="AN60" s="209">
        <f ca="1">'Current - Sales, NWP, GWP'!AM60/IFERROR(VLOOKUP($AV$4-COUNTA($F$4:AN$4)+1,'Dev Patterns'!$B$6:$H$48,$B60,0),1)</f>
        <v>0</v>
      </c>
      <c r="AO60" s="265">
        <f ca="1">'Current - Sales, NWP, GWP'!AN60/IFERROR(VLOOKUP($AV$4-COUNTA($F$4:AO$4)+1,'Dev Patterns'!$B$6:$H$48,$B60,0),1)</f>
        <v>0</v>
      </c>
      <c r="AP60" s="237">
        <f ca="1">IFERROR(AVERAGE(INDEX($F60:$AO60, $AV$4 - 3):INDEX($F60:$AO60, $AV$4)),"-")</f>
        <v>2215.6712199265608</v>
      </c>
      <c r="AQ60" s="209">
        <f ca="1">IFERROR(AVERAGE(INDEX($F60:$AO60, $AV$4 - 11):INDEX($F60:$AO60, $AV$4)),"-")</f>
        <v>2220.8173440271407</v>
      </c>
      <c r="AR60" s="209" cm="1">
        <f t="array" aca="1" ref="AR60" ca="1">IFERROR(SUMPRODUCT(IFERROR((YEAR($F$4:$AO$4)=2024)*$F60:$AO60,0)),"-")</f>
        <v>24928.771110160309</v>
      </c>
      <c r="AS60" s="209">
        <f ca="1">IFERROR(SUM(INDEX($F60:$AO60, $AV$4 - MONTH(TODAY())-11):INDEX($F60:$AO60, $AV$4-12)),"-")</f>
        <v>17251.315151381285</v>
      </c>
      <c r="AT60" s="238">
        <f ca="1">IFERROR(SUM(INDEX($F60:$AO60, $AV$4 - MONTH(TODAY())+1):INDEX($F60:$AO60, $AV$4)),"-")</f>
        <v>18972.35216954667</v>
      </c>
    </row>
    <row r="61" spans="2:46" ht="15.75" hidden="1" outlineLevel="1" x14ac:dyDescent="0.25">
      <c r="C61" t="str">
        <f>$E$22&amp;"_W VYRs"</f>
        <v>PC Annual Direct - Annual_W VYRs</v>
      </c>
      <c r="D61" t="str">
        <f>$D60</f>
        <v>Boom Premium Finance</v>
      </c>
      <c r="E61" s="211" t="s">
        <v>317</v>
      </c>
      <c r="F61" s="31" t="str">
        <f>INDEX('Plan Figures'!$B$5:$AP$31,MATCH('Ultimate - Sales, NWP, GWP'!F$4,'Plan Figures'!$B$5:$B$31,0),MATCH('Ultimate - Sales, NWP, GWP'!$C61,'Plan Figures'!$B$1:$AP$1,0))</f>
        <v>-</v>
      </c>
      <c r="G61" s="31" t="str">
        <f>INDEX('Plan Figures'!$B$5:$AP$31,MATCH('Ultimate - Sales, NWP, GWP'!G$4,'Plan Figures'!$B$5:$B$31,0),MATCH('Ultimate - Sales, NWP, GWP'!$C61,'Plan Figures'!$B$1:$AP$1,0))</f>
        <v>-</v>
      </c>
      <c r="H61" s="31" t="str">
        <f>INDEX('Plan Figures'!$B$5:$AP$31,MATCH('Ultimate - Sales, NWP, GWP'!H$4,'Plan Figures'!$B$5:$B$31,0),MATCH('Ultimate - Sales, NWP, GWP'!$C61,'Plan Figures'!$B$1:$AP$1,0))</f>
        <v>-</v>
      </c>
      <c r="I61" s="31" t="str">
        <f>INDEX('Plan Figures'!$B$5:$AP$31,MATCH('Ultimate - Sales, NWP, GWP'!I$4,'Plan Figures'!$B$5:$B$31,0),MATCH('Ultimate - Sales, NWP, GWP'!$C61,'Plan Figures'!$B$1:$AP$1,0))</f>
        <v>-</v>
      </c>
      <c r="J61" s="31" t="str">
        <f>INDEX('Plan Figures'!$B$5:$AP$31,MATCH('Ultimate - Sales, NWP, GWP'!J$4,'Plan Figures'!$B$5:$B$31,0),MATCH('Ultimate - Sales, NWP, GWP'!$C61,'Plan Figures'!$B$1:$AP$1,0))</f>
        <v>-</v>
      </c>
      <c r="K61" s="31" t="str">
        <f>INDEX('Plan Figures'!$B$5:$AP$31,MATCH('Ultimate - Sales, NWP, GWP'!K$4,'Plan Figures'!$B$5:$B$31,0),MATCH('Ultimate - Sales, NWP, GWP'!$C61,'Plan Figures'!$B$1:$AP$1,0))</f>
        <v>-</v>
      </c>
      <c r="L61" s="31" t="str">
        <f>INDEX('Plan Figures'!$B$5:$AP$31,MATCH('Ultimate - Sales, NWP, GWP'!L$4,'Plan Figures'!$B$5:$B$31,0),MATCH('Ultimate - Sales, NWP, GWP'!$C61,'Plan Figures'!$B$1:$AP$1,0))</f>
        <v>-</v>
      </c>
      <c r="M61" s="31" t="str">
        <f>INDEX('Plan Figures'!$B$5:$AP$31,MATCH('Ultimate - Sales, NWP, GWP'!M$4,'Plan Figures'!$B$5:$B$31,0),MATCH('Ultimate - Sales, NWP, GWP'!$C61,'Plan Figures'!$B$1:$AP$1,0))</f>
        <v>-</v>
      </c>
      <c r="N61" s="31" t="str">
        <f>INDEX('Plan Figures'!$B$5:$AP$31,MATCH('Ultimate - Sales, NWP, GWP'!N$4,'Plan Figures'!$B$5:$B$31,0),MATCH('Ultimate - Sales, NWP, GWP'!$C61,'Plan Figures'!$B$1:$AP$1,0))</f>
        <v>-</v>
      </c>
      <c r="O61" s="31" t="str">
        <f>INDEX('Plan Figures'!$B$5:$AP$31,MATCH('Ultimate - Sales, NWP, GWP'!O$4,'Plan Figures'!$B$5:$B$31,0),MATCH('Ultimate - Sales, NWP, GWP'!$C61,'Plan Figures'!$B$1:$AP$1,0))</f>
        <v>-</v>
      </c>
      <c r="P61" s="31">
        <f>INDEX('Plan Figures'!$B$5:$AP$31,MATCH('Ultimate - Sales, NWP, GWP'!P$4,'Plan Figures'!$B$5:$B$31,0),MATCH('Ultimate - Sales, NWP, GWP'!$C61,'Plan Figures'!$B$1:$AP$1,0))</f>
        <v>1113.4200697273855</v>
      </c>
      <c r="Q61" s="240">
        <f>INDEX('Plan Figures'!$B$5:$AP$31,MATCH('Ultimate - Sales, NWP, GWP'!Q$4,'Plan Figures'!$B$5:$B$31,0),MATCH('Ultimate - Sales, NWP, GWP'!$C61,'Plan Figures'!$B$1:$AP$1,0))</f>
        <v>989.67431218271486</v>
      </c>
      <c r="R61" s="31">
        <f>INDEX('Plan Figures'!$B$5:$AP$31,MATCH('Ultimate - Sales, NWP, GWP'!R$4,'Plan Figures'!$B$5:$B$31,0),MATCH('Ultimate - Sales, NWP, GWP'!$C61,'Plan Figures'!$B$1:$AP$1,0))</f>
        <v>1210.5482166933789</v>
      </c>
      <c r="S61" s="31">
        <f>INDEX('Plan Figures'!$B$5:$AP$31,MATCH('Ultimate - Sales, NWP, GWP'!S$4,'Plan Figures'!$B$5:$B$31,0),MATCH('Ultimate - Sales, NWP, GWP'!$C61,'Plan Figures'!$B$1:$AP$1,0))</f>
        <v>1208.1319527878034</v>
      </c>
      <c r="T61" s="31">
        <f>INDEX('Plan Figures'!$B$5:$AP$31,MATCH('Ultimate - Sales, NWP, GWP'!T$4,'Plan Figures'!$B$5:$B$31,0),MATCH('Ultimate - Sales, NWP, GWP'!$C61,'Plan Figures'!$B$1:$AP$1,0))</f>
        <v>1205.7205117642748</v>
      </c>
      <c r="U61" s="31">
        <f>INDEX('Plan Figures'!$B$5:$AP$31,MATCH('Ultimate - Sales, NWP, GWP'!U$4,'Plan Figures'!$B$5:$B$31,0),MATCH('Ultimate - Sales, NWP, GWP'!$C61,'Plan Figures'!$B$1:$AP$1,0))</f>
        <v>1203.3138839962821</v>
      </c>
      <c r="V61" s="31">
        <f>INDEX('Plan Figures'!$B$5:$AP$31,MATCH('Ultimate - Sales, NWP, GWP'!V$4,'Plan Figures'!$B$5:$B$31,0),MATCH('Ultimate - Sales, NWP, GWP'!$C61,'Plan Figures'!$B$1:$AP$1,0))</f>
        <v>1201.0207575202833</v>
      </c>
      <c r="W61" s="31">
        <f>INDEX('Plan Figures'!$B$5:$AP$31,MATCH('Ultimate - Sales, NWP, GWP'!W$4,'Plan Figures'!$B$5:$B$31,0),MATCH('Ultimate - Sales, NWP, GWP'!$C61,'Plan Figures'!$B$1:$AP$1,0))</f>
        <v>1228.875833502128</v>
      </c>
      <c r="X61" s="31">
        <f>INDEX('Plan Figures'!$B$5:$AP$31,MATCH('Ultimate - Sales, NWP, GWP'!X$4,'Plan Figures'!$B$5:$B$31,0),MATCH('Ultimate - Sales, NWP, GWP'!$C61,'Plan Figures'!$B$1:$AP$1,0))</f>
        <v>1163.6668411466933</v>
      </c>
      <c r="Y61" s="31">
        <f>INDEX('Plan Figures'!$B$5:$AP$31,MATCH('Ultimate - Sales, NWP, GWP'!Y$4,'Plan Figures'!$B$5:$B$31,0),MATCH('Ultimate - Sales, NWP, GWP'!$C61,'Plan Figures'!$B$1:$AP$1,0))</f>
        <v>1142.8043600541273</v>
      </c>
      <c r="Z61" s="31">
        <f>INDEX('Plan Figures'!$B$5:$AP$31,MATCH('Ultimate - Sales, NWP, GWP'!Z$4,'Plan Figures'!$B$5:$B$31,0),MATCH('Ultimate - Sales, NWP, GWP'!$C61,'Plan Figures'!$B$1:$AP$1,0))</f>
        <v>1583.4171745261115</v>
      </c>
      <c r="AA61" s="31">
        <f>INDEX('Plan Figures'!$B$5:$AP$31,MATCH('Ultimate - Sales, NWP, GWP'!AA$4,'Plan Figures'!$B$5:$B$31,0),MATCH('Ultimate - Sales, NWP, GWP'!$C61,'Plan Figures'!$B$1:$AP$1,0))</f>
        <v>1633.4199796082153</v>
      </c>
      <c r="AB61" s="31">
        <f>INDEX('Plan Figures'!$B$5:$AP$31,MATCH('Ultimate - Sales, NWP, GWP'!AB$4,'Plan Figures'!$B$5:$B$31,0),MATCH('Ultimate - Sales, NWP, GWP'!$C61,'Plan Figures'!$B$1:$AP$1,0))</f>
        <v>1421.9431064527189</v>
      </c>
      <c r="AC61" s="240">
        <f>INDEX('Plan Figures'!$B$5:$AP$31,MATCH('Ultimate - Sales, NWP, GWP'!AC$4,'Plan Figures'!$B$5:$B$31,0),MATCH('Ultimate - Sales, NWP, GWP'!$C61,'Plan Figures'!$B$1:$AP$1,0))</f>
        <v>1292.0881451523526</v>
      </c>
      <c r="AD61" s="31">
        <f>INDEX('Plan Figures'!$B$5:$AP$31,MATCH('Ultimate - Sales, NWP, GWP'!AD$4,'Plan Figures'!$B$5:$B$31,0),MATCH('Ultimate - Sales, NWP, GWP'!$C61,'Plan Figures'!$B$1:$AP$1,0))</f>
        <v>2450.6881730655136</v>
      </c>
      <c r="AE61" s="31" t="e">
        <f>INDEX('Plan Figures'!$B$5:$AP$31,MATCH('Ultimate - Sales, NWP, GWP'!AE$4,'Plan Figures'!$B$5:$B$31,0),MATCH('Ultimate - Sales, NWP, GWP'!$C61,'Plan Figures'!$B$1:$AP$1,0))</f>
        <v>#N/A</v>
      </c>
      <c r="AF61" s="31" t="e">
        <f>INDEX('Plan Figures'!$B$5:$AP$31,MATCH('Ultimate - Sales, NWP, GWP'!AF$4,'Plan Figures'!$B$5:$B$31,0),MATCH('Ultimate - Sales, NWP, GWP'!$C61,'Plan Figures'!$B$1:$AP$1,0))</f>
        <v>#N/A</v>
      </c>
      <c r="AG61" s="31" t="e">
        <f>INDEX('Plan Figures'!$B$5:$AP$31,MATCH('Ultimate - Sales, NWP, GWP'!AG$4,'Plan Figures'!$B$5:$B$31,0),MATCH('Ultimate - Sales, NWP, GWP'!$C61,'Plan Figures'!$B$1:$AP$1,0))</f>
        <v>#N/A</v>
      </c>
      <c r="AH61" s="31" t="e">
        <f>INDEX('Plan Figures'!$B$5:$AP$31,MATCH('Ultimate - Sales, NWP, GWP'!AH$4,'Plan Figures'!$B$5:$B$31,0),MATCH('Ultimate - Sales, NWP, GWP'!$C61,'Plan Figures'!$B$1:$AP$1,0))</f>
        <v>#N/A</v>
      </c>
      <c r="AI61" s="31" t="e">
        <f>INDEX('Plan Figures'!$B$5:$AP$31,MATCH('Ultimate - Sales, NWP, GWP'!AI$4,'Plan Figures'!$B$5:$B$31,0),MATCH('Ultimate - Sales, NWP, GWP'!$C61,'Plan Figures'!$B$1:$AP$1,0))</f>
        <v>#N/A</v>
      </c>
      <c r="AJ61" s="31" t="e">
        <f>INDEX('Plan Figures'!$B$5:$AP$31,MATCH('Ultimate - Sales, NWP, GWP'!AJ$4,'Plan Figures'!$B$5:$B$31,0),MATCH('Ultimate - Sales, NWP, GWP'!$C61,'Plan Figures'!$B$1:$AP$1,0))</f>
        <v>#N/A</v>
      </c>
      <c r="AK61" s="31" t="e">
        <f>INDEX('Plan Figures'!$B$5:$AP$31,MATCH('Ultimate - Sales, NWP, GWP'!AK$4,'Plan Figures'!$B$5:$B$31,0),MATCH('Ultimate - Sales, NWP, GWP'!$C61,'Plan Figures'!$B$1:$AP$1,0))</f>
        <v>#N/A</v>
      </c>
      <c r="AL61" s="31" t="e">
        <f>INDEX('Plan Figures'!$B$5:$AP$31,MATCH('Ultimate - Sales, NWP, GWP'!AL$4,'Plan Figures'!$B$5:$B$31,0),MATCH('Ultimate - Sales, NWP, GWP'!$C61,'Plan Figures'!$B$1:$AP$1,0))</f>
        <v>#N/A</v>
      </c>
      <c r="AM61" s="31" t="e">
        <f>INDEX('Plan Figures'!$B$5:$AP$31,MATCH('Ultimate - Sales, NWP, GWP'!AM$4,'Plan Figures'!$B$5:$B$31,0),MATCH('Ultimate - Sales, NWP, GWP'!$C61,'Plan Figures'!$B$1:$AP$1,0))</f>
        <v>#N/A</v>
      </c>
      <c r="AN61" s="31" t="e">
        <f>INDEX('Plan Figures'!$B$5:$AP$31,MATCH('Ultimate - Sales, NWP, GWP'!AN$4,'Plan Figures'!$B$5:$B$31,0),MATCH('Ultimate - Sales, NWP, GWP'!$C61,'Plan Figures'!$B$1:$AP$1,0))</f>
        <v>#N/A</v>
      </c>
      <c r="AO61" s="266" t="e">
        <f>INDEX('Plan Figures'!$B$5:$AP$31,MATCH('Ultimate - Sales, NWP, GWP'!AO$4,'Plan Figures'!$B$5:$B$31,0),MATCH('Ultimate - Sales, NWP, GWP'!$C61,'Plan Figures'!$B$1:$AP$1,0))</f>
        <v>#N/A</v>
      </c>
      <c r="AP61" s="239">
        <f t="shared" ref="AP61:AP62" si="174">AVERAGE(AA61:AD61)</f>
        <v>1699.5348510696999</v>
      </c>
      <c r="AQ61" s="31">
        <f t="shared" ref="AQ61:AQ62" si="175">AVERAGE(S61:AD61)</f>
        <v>1394.5908932980421</v>
      </c>
      <c r="AR61" s="31"/>
      <c r="AS61" s="31" t="e">
        <f>SUMIFS(AD61:AO61,AD$4:AO$4,"&lt;"&amp;'Title Sheet'!$C$13)</f>
        <v>#N/A</v>
      </c>
      <c r="AT61" s="240"/>
    </row>
    <row r="62" spans="2:46" ht="15.75" hidden="1" outlineLevel="1" x14ac:dyDescent="0.25">
      <c r="C62" t="str">
        <f t="shared" ref="C62:C71" si="176">$E$2</f>
        <v>PC Annual Direct</v>
      </c>
      <c r="D62" t="str">
        <f t="shared" ref="D62:D71" si="177">$D61</f>
        <v>Boom Premium Finance</v>
      </c>
      <c r="E62" s="213" t="s">
        <v>0</v>
      </c>
      <c r="F62" s="214" t="str">
        <f t="shared" ref="F62:AO62" ca="1" si="178">IFERROR(IF(F60=0,"-",(F60/F61)-1),"-")</f>
        <v>-</v>
      </c>
      <c r="G62" s="214" t="str">
        <f t="shared" ca="1" si="178"/>
        <v>-</v>
      </c>
      <c r="H62" s="214" t="str">
        <f t="shared" ca="1" si="178"/>
        <v>-</v>
      </c>
      <c r="I62" s="214" t="str">
        <f t="shared" ca="1" si="178"/>
        <v>-</v>
      </c>
      <c r="J62" s="214" t="str">
        <f t="shared" ca="1" si="178"/>
        <v>-</v>
      </c>
      <c r="K62" s="214" t="str">
        <f t="shared" ca="1" si="178"/>
        <v>-</v>
      </c>
      <c r="L62" s="214" t="str">
        <f t="shared" ca="1" si="178"/>
        <v>-</v>
      </c>
      <c r="M62" s="214" t="str">
        <f t="shared" ca="1" si="178"/>
        <v>-</v>
      </c>
      <c r="N62" s="214" t="str">
        <f t="shared" ca="1" si="178"/>
        <v>-</v>
      </c>
      <c r="O62" s="214" t="str">
        <f t="shared" ca="1" si="178"/>
        <v>-</v>
      </c>
      <c r="P62" s="214" t="str">
        <f t="shared" ca="1" si="178"/>
        <v>-</v>
      </c>
      <c r="Q62" s="294" t="str">
        <f t="shared" ca="1" si="178"/>
        <v>-</v>
      </c>
      <c r="R62" s="214">
        <f t="shared" ca="1" si="178"/>
        <v>-0.7744146301125242</v>
      </c>
      <c r="S62" s="214">
        <f t="shared" ca="1" si="178"/>
        <v>0.20010730189383463</v>
      </c>
      <c r="T62" s="214">
        <f t="shared" ca="1" si="178"/>
        <v>1.3857433775302455</v>
      </c>
      <c r="U62" s="214">
        <f t="shared" ca="1" si="178"/>
        <v>1.5399355619222947</v>
      </c>
      <c r="V62" s="214">
        <f t="shared" ca="1" si="178"/>
        <v>1.4600831754967372</v>
      </c>
      <c r="W62" s="214">
        <f t="shared" ca="1" si="178"/>
        <v>1.0848055218530361</v>
      </c>
      <c r="X62" s="214">
        <f t="shared" ca="1" si="178"/>
        <v>0.86430048613074018</v>
      </c>
      <c r="Y62" s="214">
        <f t="shared" ca="1" si="178"/>
        <v>0.67085730549677258</v>
      </c>
      <c r="Z62" s="214">
        <f t="shared" ca="1" si="178"/>
        <v>0.13452865725736785</v>
      </c>
      <c r="AA62" s="214">
        <f t="shared" ca="1" si="178"/>
        <v>9.1876020866186847E-2</v>
      </c>
      <c r="AB62" s="214">
        <f t="shared" ca="1" si="178"/>
        <v>0.37494539527252413</v>
      </c>
      <c r="AC62" s="294">
        <f t="shared" ca="1" si="178"/>
        <v>0.65812028508195697</v>
      </c>
      <c r="AD62" s="214">
        <f t="shared" ca="1" si="178"/>
        <v>4.6468514089981205E-3</v>
      </c>
      <c r="AE62" s="214" t="str">
        <f t="shared" ca="1" si="178"/>
        <v>-</v>
      </c>
      <c r="AF62" s="214" t="str">
        <f t="shared" ca="1" si="178"/>
        <v>-</v>
      </c>
      <c r="AG62" s="214" t="str">
        <f t="shared" ca="1" si="178"/>
        <v>-</v>
      </c>
      <c r="AH62" s="214" t="str">
        <f t="shared" ca="1" si="178"/>
        <v>-</v>
      </c>
      <c r="AI62" s="214" t="str">
        <f t="shared" ca="1" si="178"/>
        <v>-</v>
      </c>
      <c r="AJ62" s="214" t="str">
        <f t="shared" ca="1" si="178"/>
        <v>-</v>
      </c>
      <c r="AK62" s="214" t="str">
        <f t="shared" ca="1" si="178"/>
        <v>-</v>
      </c>
      <c r="AL62" s="214" t="str">
        <f t="shared" ca="1" si="178"/>
        <v>-</v>
      </c>
      <c r="AM62" s="214" t="str">
        <f t="shared" ca="1" si="178"/>
        <v>-</v>
      </c>
      <c r="AN62" s="214" t="str">
        <f t="shared" ca="1" si="178"/>
        <v>-</v>
      </c>
      <c r="AO62" s="270" t="str">
        <f t="shared" ca="1" si="178"/>
        <v>-</v>
      </c>
      <c r="AP62" s="274">
        <f t="shared" ca="1" si="174"/>
        <v>0.28239713815741652</v>
      </c>
      <c r="AQ62" s="275">
        <f t="shared" ca="1" si="175"/>
        <v>0.7058291616842246</v>
      </c>
      <c r="AR62" s="275"/>
      <c r="AS62" s="275" t="str">
        <f t="shared" ref="AS62" ca="1" si="179">IFERROR(IF(AS60=0,"-",(AS60/AS61)-1),"-")</f>
        <v>-</v>
      </c>
      <c r="AT62" s="276"/>
    </row>
    <row r="63" spans="2:46" ht="15.75" outlineLevel="1" x14ac:dyDescent="0.25">
      <c r="B63">
        <v>6</v>
      </c>
      <c r="C63" t="str">
        <f t="shared" si="176"/>
        <v>PC Annual Direct</v>
      </c>
      <c r="D63" t="str">
        <f t="shared" si="177"/>
        <v>Boom Premium Finance</v>
      </c>
      <c r="E63" s="208" t="s">
        <v>5</v>
      </c>
      <c r="F63" s="332">
        <f ca="1">IFERROR('Current - Sales, NWP, GWP'!E63/IFERROR(VLOOKUP($AV$4-COUNTA($F$4:F$4)+1,'Dev Patterns'!$B$6:$H$48,$B63,0),1),"-")</f>
        <v>0</v>
      </c>
      <c r="G63" s="332">
        <f ca="1">IFERROR('Current - Sales, NWP, GWP'!F63/IFERROR(VLOOKUP($AV$4-COUNTA($F$4:G$4)+1,'Dev Patterns'!$B$6:$H$48,$B63,0),1),"-")</f>
        <v>0</v>
      </c>
      <c r="H63" s="332">
        <f ca="1">IFERROR('Current - Sales, NWP, GWP'!G63/IFERROR(VLOOKUP($AV$4-COUNTA($F$4:H$4)+1,'Dev Patterns'!$B$6:$H$48,$B63,0),1),"-")</f>
        <v>0</v>
      </c>
      <c r="I63" s="332">
        <f ca="1">IFERROR('Current - Sales, NWP, GWP'!H63/IFERROR(VLOOKUP($AV$4-COUNTA($F$4:I$4)+1,'Dev Patterns'!$B$6:$H$48,$B63,0),1),"-")</f>
        <v>0</v>
      </c>
      <c r="J63" s="332">
        <f ca="1">IFERROR('Current - Sales, NWP, GWP'!I63/IFERROR(VLOOKUP($AV$4-COUNTA($F$4:J$4)+1,'Dev Patterns'!$B$6:$H$48,$B63,0),1),"-")</f>
        <v>0</v>
      </c>
      <c r="K63" s="332">
        <f ca="1">IFERROR('Current - Sales, NWP, GWP'!J63/IFERROR(VLOOKUP($AV$4-COUNTA($F$4:K$4)+1,'Dev Patterns'!$B$6:$H$48,$B63,0),1),"-")</f>
        <v>0</v>
      </c>
      <c r="L63" s="332">
        <f ca="1">IFERROR('Current - Sales, NWP, GWP'!K63/IFERROR(VLOOKUP($AV$4-COUNTA($F$4:L$4)+1,'Dev Patterns'!$B$6:$H$48,$B63,0),1),"-")</f>
        <v>0</v>
      </c>
      <c r="M63" s="332">
        <f ca="1">IFERROR('Current - Sales, NWP, GWP'!L63/IFERROR(VLOOKUP($AV$4-COUNTA($F$4:M$4)+1,'Dev Patterns'!$B$6:$H$48,$B63,0),1),"-")</f>
        <v>0</v>
      </c>
      <c r="N63" s="332">
        <f ca="1">IFERROR('Current - Sales, NWP, GWP'!M63/IFERROR(VLOOKUP($AV$4-COUNTA($F$4:N$4)+1,'Dev Patterns'!$B$6:$H$48,$B63,0),1),"-")</f>
        <v>0</v>
      </c>
      <c r="O63" s="332">
        <f ca="1">IFERROR('Current - Sales, NWP, GWP'!N63/IFERROR(VLOOKUP($AV$4-COUNTA($F$4:O$4)+1,'Dev Patterns'!$B$6:$H$48,$B63,0),1),"-")</f>
        <v>0</v>
      </c>
      <c r="P63" s="332">
        <f ca="1">IFERROR('Current - Sales, NWP, GWP'!O63/IFERROR(VLOOKUP($AV$4-COUNTA($F$4:P$4)+1,'Dev Patterns'!$B$6:$H$48,$B63,0),1),"-")</f>
        <v>0</v>
      </c>
      <c r="Q63" s="336">
        <f ca="1">IFERROR('Current - Sales, NWP, GWP'!P63/IFERROR(VLOOKUP($AV$4-COUNTA($F$4:Q$4)+1,'Dev Patterns'!$B$6:$H$48,$B63,0),1),"-")</f>
        <v>0</v>
      </c>
      <c r="R63" s="332">
        <f ca="1">IFERROR('Current - Sales, NWP, GWP'!Q63/IFERROR(VLOOKUP($AV$4-COUNTA($F$4:R$4)+1,'Dev Patterns'!$B$6:$H$48,$B63,0),1),"-")</f>
        <v>403313.7674962228</v>
      </c>
      <c r="S63" s="332">
        <f ca="1">IFERROR('Current - Sales, NWP, GWP'!R63/IFERROR(VLOOKUP($AV$4-COUNTA($F$4:S$4)+1,'Dev Patterns'!$B$6:$H$48,$B63,0),1),"-")</f>
        <v>2062718.8896380085</v>
      </c>
      <c r="T63" s="332">
        <f ca="1">IFERROR('Current - Sales, NWP, GWP'!S63/IFERROR(VLOOKUP($AV$4-COUNTA($F$4:T$4)+1,'Dev Patterns'!$B$6:$H$48,$B63,0),1),"-")</f>
        <v>3944434.833921642</v>
      </c>
      <c r="U63" s="332">
        <f ca="1">IFERROR('Current - Sales, NWP, GWP'!T63/IFERROR(VLOOKUP($AV$4-COUNTA($F$4:U$4)+1,'Dev Patterns'!$B$6:$H$48,$B63,0),1),"-")</f>
        <v>3668266.3146614251</v>
      </c>
      <c r="V63" s="332">
        <f ca="1">IFERROR('Current - Sales, NWP, GWP'!U63/IFERROR(VLOOKUP($AV$4-COUNTA($F$4:V$4)+1,'Dev Patterns'!$B$6:$H$48,$B63,0),1),"-")</f>
        <v>3425062.7117945501</v>
      </c>
      <c r="W63" s="332">
        <f ca="1">IFERROR('Current - Sales, NWP, GWP'!V63/IFERROR(VLOOKUP($AV$4-COUNTA($F$4:W$4)+1,'Dev Patterns'!$B$6:$H$48,$B63,0),1),"-")</f>
        <v>2868476.0167907304</v>
      </c>
      <c r="X63" s="332">
        <f ca="1">IFERROR('Current - Sales, NWP, GWP'!W63/IFERROR(VLOOKUP($AV$4-COUNTA($F$4:X$4)+1,'Dev Patterns'!$B$6:$H$48,$B63,0),1),"-")</f>
        <v>2417822.5735712615</v>
      </c>
      <c r="Y63" s="332">
        <f ca="1">IFERROR('Current - Sales, NWP, GWP'!X63/IFERROR(VLOOKUP($AV$4-COUNTA($F$4:Y$4)+1,'Dev Patterns'!$B$6:$H$48,$B63,0),1),"-")</f>
        <v>2128343.4046459794</v>
      </c>
      <c r="Z63" s="332">
        <f ca="1">IFERROR('Current - Sales, NWP, GWP'!Y63/IFERROR(VLOOKUP($AV$4-COUNTA($F$4:Z$4)+1,'Dev Patterns'!$B$6:$H$48,$B63,0),1),"-")</f>
        <v>1997068.6971342729</v>
      </c>
      <c r="AA63" s="332">
        <f ca="1">IFERROR('Current - Sales, NWP, GWP'!Z63/IFERROR(VLOOKUP($AV$4-COUNTA($F$4:AA$4)+1,'Dev Patterns'!$B$6:$H$48,$B63,0),1),"-")</f>
        <v>1960399.6964297239</v>
      </c>
      <c r="AB63" s="332">
        <f ca="1">IFERROR('Current - Sales, NWP, GWP'!AA63/IFERROR(VLOOKUP($AV$4-COUNTA($F$4:AB$4)+1,'Dev Patterns'!$B$6:$H$48,$B63,0),1),"-")</f>
        <v>2195998.5346237915</v>
      </c>
      <c r="AC63" s="336">
        <f ca="1">IFERROR('Current - Sales, NWP, GWP'!AB63/IFERROR(VLOOKUP($AV$4-COUNTA($F$4:AC$4)+1,'Dev Patterns'!$B$6:$H$48,$B63,0),1),"-")</f>
        <v>2370424.9937334894</v>
      </c>
      <c r="AD63" s="332">
        <f ca="1">IFERROR('Current - Sales, NWP, GWP'!AC63/IFERROR(VLOOKUP($AV$4-COUNTA($F$4:AD$4)+1,'Dev Patterns'!$B$6:$H$48,$B63,0),1),"-")</f>
        <v>2551312.8126310497</v>
      </c>
      <c r="AE63" s="332">
        <f ca="1">IFERROR('Current - Sales, NWP, GWP'!AD63/IFERROR(VLOOKUP($AV$4-COUNTA($F$4:AE$4)+1,'Dev Patterns'!$B$6:$H$48,$B63,0),1),"-")</f>
        <v>2102326.8213972934</v>
      </c>
      <c r="AF63" s="332">
        <f ca="1">IFERROR('Current - Sales, NWP, GWP'!AE63/IFERROR(VLOOKUP($AV$4-COUNTA($F$4:AF$4)+1,'Dev Patterns'!$B$6:$H$48,$B63,0),1),"-")</f>
        <v>2740639.5599985369</v>
      </c>
      <c r="AG63" s="332">
        <f ca="1">IFERROR('Current - Sales, NWP, GWP'!AF63/IFERROR(VLOOKUP($AV$4-COUNTA($F$4:AG$4)+1,'Dev Patterns'!$B$6:$H$48,$B63,0),1),"-")</f>
        <v>2643709.61314834</v>
      </c>
      <c r="AH63" s="332">
        <f ca="1">IFERROR('Current - Sales, NWP, GWP'!AG63/IFERROR(VLOOKUP($AV$4-COUNTA($F$4:AH$4)+1,'Dev Patterns'!$B$6:$H$48,$B63,0),1),"-")</f>
        <v>2631464.9289327329</v>
      </c>
      <c r="AI63" s="332">
        <f ca="1">IFERROR('Current - Sales, NWP, GWP'!AH63/IFERROR(VLOOKUP($AV$4-COUNTA($F$4:AI$4)+1,'Dev Patterns'!$B$6:$H$48,$B63,0),1),"-")</f>
        <v>2333180.529318451</v>
      </c>
      <c r="AJ63" s="332">
        <f ca="1">IFERROR('Current - Sales, NWP, GWP'!AI63/IFERROR(VLOOKUP($AV$4-COUNTA($F$4:AJ$4)+1,'Dev Patterns'!$B$6:$H$48,$B63,0),1),"-")</f>
        <v>2287862.0202816846</v>
      </c>
      <c r="AK63" s="332">
        <f ca="1">IFERROR('Current - Sales, NWP, GWP'!AJ63/IFERROR(VLOOKUP($AV$4-COUNTA($F$4:AK$4)+1,'Dev Patterns'!$B$6:$H$48,$B63,0),1),"-")</f>
        <v>1100427.6821574494</v>
      </c>
      <c r="AL63" s="332">
        <f ca="1">IFERROR('Current - Sales, NWP, GWP'!AK63/IFERROR(VLOOKUP($AV$4-COUNTA($F$4:AL$4)+1,'Dev Patterns'!$B$6:$H$48,$B63,0),1),"-")</f>
        <v>0</v>
      </c>
      <c r="AM63" s="332">
        <f ca="1">IFERROR('Current - Sales, NWP, GWP'!AL63/IFERROR(VLOOKUP($AV$4-COUNTA($F$4:AM$4)+1,'Dev Patterns'!$B$6:$H$48,$B63,0),1),"-")</f>
        <v>0</v>
      </c>
      <c r="AN63" s="332">
        <f ca="1">IFERROR('Current - Sales, NWP, GWP'!AM63/IFERROR(VLOOKUP($AV$4-COUNTA($F$4:AN$4)+1,'Dev Patterns'!$B$6:$H$48,$B63,0),1),"-")</f>
        <v>0</v>
      </c>
      <c r="AO63" s="334">
        <f ca="1">IFERROR('Current - Sales, NWP, GWP'!AN63/IFERROR(VLOOKUP($AV$4-COUNTA($F$4:AO$4)+1,'Dev Patterns'!$B$6:$H$48,$B63,0),1),"-")</f>
        <v>0</v>
      </c>
      <c r="AP63" s="335">
        <f ca="1">IFERROR(AVERAGE(INDEX($F63:$AO63, $AV$4 - 3):INDEX($F63:$AO63, $AV$4)),"-")</f>
        <v>2088233.7901725795</v>
      </c>
      <c r="AQ63" s="332">
        <f ca="1">IFERROR(AVERAGE(INDEX($F63:$AO63, $AV$4 - 11):INDEX($F63:$AO63, $AV$4)),"-")</f>
        <v>2242901.3241489013</v>
      </c>
      <c r="AR63" s="332" cm="1">
        <f t="array" aca="1" ref="AR63" ca="1">IFERROR(SUMPRODUCT(IFERROR((YEAR($F$4:$AO$4)=2024)*$F63:$AO63,0)),"-")</f>
        <v>29442330.434441093</v>
      </c>
      <c r="AS63" s="332">
        <f ca="1">IFERROR(SUM(INDEX($F63:$AO63, $AV$4 - MONTH(TODAY())-11):INDEX($F63:$AO63, $AV$4-12)),"-")</f>
        <v>20918438.512519822</v>
      </c>
      <c r="AT63" s="336">
        <f ca="1">IFERROR(SUM(INDEX($F63:$AO63, $AV$4 - MONTH(TODAY())+1):INDEX($F63:$AO63, $AV$4)),"-")</f>
        <v>18390923.967865538</v>
      </c>
    </row>
    <row r="64" spans="2:46" ht="15.75" outlineLevel="1" x14ac:dyDescent="0.25">
      <c r="C64" t="s">
        <v>354</v>
      </c>
      <c r="D64" t="str">
        <f t="shared" si="177"/>
        <v>Boom Premium Finance</v>
      </c>
      <c r="E64" s="211" t="s">
        <v>6</v>
      </c>
      <c r="F64" s="333" t="str">
        <f>INDEX('Plan Figures'!$B$5:$AP$42,MATCH('Ultimate - Sales, NWP, GWP'!F$4,'Plan Figures'!$B$5:$B$42,0),MATCH('Ultimate - Sales, NWP, GWP'!$C64,'Plan Figures'!$B$1:$AP$1,0))</f>
        <v>-</v>
      </c>
      <c r="G64" s="333" t="str">
        <f>INDEX('Plan Figures'!$B$5:$AP$42,MATCH('Ultimate - Sales, NWP, GWP'!G$4,'Plan Figures'!$B$5:$B$42,0),MATCH('Ultimate - Sales, NWP, GWP'!$C64,'Plan Figures'!$B$1:$AP$1,0))</f>
        <v>-</v>
      </c>
      <c r="H64" s="333" t="str">
        <f>INDEX('Plan Figures'!$B$5:$AP$42,MATCH('Ultimate - Sales, NWP, GWP'!H$4,'Plan Figures'!$B$5:$B$42,0),MATCH('Ultimate - Sales, NWP, GWP'!$C64,'Plan Figures'!$B$1:$AP$1,0))</f>
        <v>-</v>
      </c>
      <c r="I64" s="333" t="str">
        <f>INDEX('Plan Figures'!$B$5:$AP$42,MATCH('Ultimate - Sales, NWP, GWP'!I$4,'Plan Figures'!$B$5:$B$42,0),MATCH('Ultimate - Sales, NWP, GWP'!$C64,'Plan Figures'!$B$1:$AP$1,0))</f>
        <v>-</v>
      </c>
      <c r="J64" s="333" t="str">
        <f>INDEX('Plan Figures'!$B$5:$AP$42,MATCH('Ultimate - Sales, NWP, GWP'!J$4,'Plan Figures'!$B$5:$B$42,0),MATCH('Ultimate - Sales, NWP, GWP'!$C64,'Plan Figures'!$B$1:$AP$1,0))</f>
        <v>-</v>
      </c>
      <c r="K64" s="333" t="str">
        <f>INDEX('Plan Figures'!$B$5:$AP$42,MATCH('Ultimate - Sales, NWP, GWP'!K$4,'Plan Figures'!$B$5:$B$42,0),MATCH('Ultimate - Sales, NWP, GWP'!$C64,'Plan Figures'!$B$1:$AP$1,0))</f>
        <v>-</v>
      </c>
      <c r="L64" s="333" t="str">
        <f>INDEX('Plan Figures'!$B$5:$AP$42,MATCH('Ultimate - Sales, NWP, GWP'!L$4,'Plan Figures'!$B$5:$B$42,0),MATCH('Ultimate - Sales, NWP, GWP'!$C64,'Plan Figures'!$B$1:$AP$1,0))</f>
        <v>-</v>
      </c>
      <c r="M64" s="333" t="str">
        <f>INDEX('Plan Figures'!$B$5:$AP$42,MATCH('Ultimate - Sales, NWP, GWP'!M$4,'Plan Figures'!$B$5:$B$42,0),MATCH('Ultimate - Sales, NWP, GWP'!$C64,'Plan Figures'!$B$1:$AP$1,0))</f>
        <v>-</v>
      </c>
      <c r="N64" s="333" t="str">
        <f>INDEX('Plan Figures'!$B$5:$AP$42,MATCH('Ultimate - Sales, NWP, GWP'!N$4,'Plan Figures'!$B$5:$B$42,0),MATCH('Ultimate - Sales, NWP, GWP'!$C64,'Plan Figures'!$B$1:$AP$1,0))</f>
        <v>-</v>
      </c>
      <c r="O64" s="333" t="str">
        <f>INDEX('Plan Figures'!$B$5:$AP$42,MATCH('Ultimate - Sales, NWP, GWP'!O$4,'Plan Figures'!$B$5:$B$42,0),MATCH('Ultimate - Sales, NWP, GWP'!$C64,'Plan Figures'!$B$1:$AP$1,0))</f>
        <v>-</v>
      </c>
      <c r="P64" s="333">
        <f>INDEX('Plan Figures'!$B$5:$AP$42,MATCH('Ultimate - Sales, NWP, GWP'!P$4,'Plan Figures'!$B$5:$B$42,0),MATCH('Ultimate - Sales, NWP, GWP'!$C64,'Plan Figures'!$B$1:$AP$1,0))</f>
        <v>0</v>
      </c>
      <c r="Q64" s="339">
        <f>INDEX('Plan Figures'!$B$5:$AP$42,MATCH('Ultimate - Sales, NWP, GWP'!Q$4,'Plan Figures'!$B$5:$B$42,0),MATCH('Ultimate - Sales, NWP, GWP'!$C64,'Plan Figures'!$B$1:$AP$1,0))</f>
        <v>0</v>
      </c>
      <c r="R64" s="333">
        <f>INDEX('Plan Figures'!$B$5:$AP$42,MATCH('Ultimate - Sales, NWP, GWP'!R$4,'Plan Figures'!$B$5:$B$42,0),MATCH('Ultimate - Sales, NWP, GWP'!$C64,'Plan Figures'!$B$1:$AP$1,0))</f>
        <v>0</v>
      </c>
      <c r="S64" s="333">
        <f>INDEX('Plan Figures'!$B$5:$AP$42,MATCH('Ultimate - Sales, NWP, GWP'!S$4,'Plan Figures'!$B$5:$B$42,0),MATCH('Ultimate - Sales, NWP, GWP'!$C64,'Plan Figures'!$B$1:$AP$1,0))</f>
        <v>1876228.145843385</v>
      </c>
      <c r="T64" s="333">
        <f>INDEX('Plan Figures'!$B$5:$AP$42,MATCH('Ultimate - Sales, NWP, GWP'!T$4,'Plan Figures'!$B$5:$B$42,0),MATCH('Ultimate - Sales, NWP, GWP'!$C64,'Plan Figures'!$B$1:$AP$1,0))</f>
        <v>3685262.0501178172</v>
      </c>
      <c r="U64" s="333">
        <f>INDEX('Plan Figures'!$B$5:$AP$42,MATCH('Ultimate - Sales, NWP, GWP'!U$4,'Plan Figures'!$B$5:$B$42,0),MATCH('Ultimate - Sales, NWP, GWP'!$C64,'Plan Figures'!$B$1:$AP$1,0))</f>
        <v>3806335.4964611963</v>
      </c>
      <c r="V64" s="333">
        <f>INDEX('Plan Figures'!$B$5:$AP$42,MATCH('Ultimate - Sales, NWP, GWP'!V$4,'Plan Figures'!$B$5:$B$42,0),MATCH('Ultimate - Sales, NWP, GWP'!$C64,'Plan Figures'!$B$1:$AP$1,0))</f>
        <v>3852739.866022632</v>
      </c>
      <c r="W64" s="333">
        <f>INDEX('Plan Figures'!$B$5:$AP$42,MATCH('Ultimate - Sales, NWP, GWP'!W$4,'Plan Figures'!$B$5:$B$42,0),MATCH('Ultimate - Sales, NWP, GWP'!$C64,'Plan Figures'!$B$1:$AP$1,0))</f>
        <v>3925307.745408956</v>
      </c>
      <c r="X64" s="333">
        <f>INDEX('Plan Figures'!$B$5:$AP$42,MATCH('Ultimate - Sales, NWP, GWP'!X$4,'Plan Figures'!$B$5:$B$42,0),MATCH('Ultimate - Sales, NWP, GWP'!$C64,'Plan Figures'!$B$1:$AP$1,0))</f>
        <v>2546227.2053329675</v>
      </c>
      <c r="Y64" s="333">
        <f>INDEX('Plan Figures'!$B$5:$AP$42,MATCH('Ultimate - Sales, NWP, GWP'!Y$4,'Plan Figures'!$B$5:$B$42,0),MATCH('Ultimate - Sales, NWP, GWP'!$C64,'Plan Figures'!$B$1:$AP$1,0))</f>
        <v>2514046.3049153509</v>
      </c>
      <c r="Z64" s="333">
        <f>INDEX('Plan Figures'!$B$5:$AP$42,MATCH('Ultimate - Sales, NWP, GWP'!Z$4,'Plan Figures'!$B$5:$B$42,0),MATCH('Ultimate - Sales, NWP, GWP'!$C64,'Plan Figures'!$B$1:$AP$1,0))</f>
        <v>3444170.9289403721</v>
      </c>
      <c r="AA64" s="333">
        <f>INDEX('Plan Figures'!$B$5:$AP$42,MATCH('Ultimate - Sales, NWP, GWP'!AA$4,'Plan Figures'!$B$5:$B$42,0),MATCH('Ultimate - Sales, NWP, GWP'!$C64,'Plan Figures'!$B$1:$AP$1,0))</f>
        <v>3750587.4851131449</v>
      </c>
      <c r="AB64" s="333">
        <f>INDEX('Plan Figures'!$B$5:$AP$42,MATCH('Ultimate - Sales, NWP, GWP'!AB$4,'Plan Figures'!$B$5:$B$42,0),MATCH('Ultimate - Sales, NWP, GWP'!$C64,'Plan Figures'!$B$1:$AP$1,0))</f>
        <v>3223272.1176350005</v>
      </c>
      <c r="AC64" s="339">
        <f>INDEX('Plan Figures'!$B$5:$AP$42,MATCH('Ultimate - Sales, NWP, GWP'!AC$4,'Plan Figures'!$B$5:$B$42,0),MATCH('Ultimate - Sales, NWP, GWP'!$C64,'Plan Figures'!$B$1:$AP$1,0))</f>
        <v>2927181.7806394747</v>
      </c>
      <c r="AD64" s="333">
        <f>INDEX('Plan Figures'!$B$5:$AP$42,MATCH('Ultimate - Sales, NWP, GWP'!AD$4,'Plan Figures'!$B$5:$B$42,0),MATCH('Ultimate - Sales, NWP, GWP'!$C64,'Plan Figures'!$B$1:$AP$1,0))</f>
        <v>5570085.47008547</v>
      </c>
      <c r="AE64" s="333">
        <f>INDEX('Plan Figures'!$B$5:$AP$42,MATCH('Ultimate - Sales, NWP, GWP'!AE$4,'Plan Figures'!$B$5:$B$42,0),MATCH('Ultimate - Sales, NWP, GWP'!$C64,'Plan Figures'!$B$1:$AP$1,0))</f>
        <v>5570085.47008547</v>
      </c>
      <c r="AF64" s="333">
        <f>INDEX('Plan Figures'!$B$5:$AP$42,MATCH('Ultimate - Sales, NWP, GWP'!AF$4,'Plan Figures'!$B$5:$B$42,0),MATCH('Ultimate - Sales, NWP, GWP'!$C64,'Plan Figures'!$B$1:$AP$1,0))</f>
        <v>5570085.47008547</v>
      </c>
      <c r="AG64" s="333">
        <f>INDEX('Plan Figures'!$B$5:$AP$42,MATCH('Ultimate - Sales, NWP, GWP'!AG$4,'Plan Figures'!$B$5:$B$42,0),MATCH('Ultimate - Sales, NWP, GWP'!$C64,'Plan Figures'!$B$1:$AP$1,0))</f>
        <v>2671490.3988481779</v>
      </c>
      <c r="AH64" s="333">
        <f>INDEX('Plan Figures'!$B$5:$AP$42,MATCH('Ultimate - Sales, NWP, GWP'!AH$4,'Plan Figures'!$B$5:$B$42,0),MATCH('Ultimate - Sales, NWP, GWP'!$C64,'Plan Figures'!$B$1:$AP$1,0))</f>
        <v>2776616.0373907359</v>
      </c>
      <c r="AI64" s="333">
        <f>INDEX('Plan Figures'!$B$5:$AP$42,MATCH('Ultimate - Sales, NWP, GWP'!AI$4,'Plan Figures'!$B$5:$B$42,0),MATCH('Ultimate - Sales, NWP, GWP'!$C64,'Plan Figures'!$B$1:$AP$1,0))</f>
        <v>2741879.2367726471</v>
      </c>
      <c r="AJ64" s="333">
        <f>INDEX('Plan Figures'!$B$5:$AP$42,MATCH('Ultimate - Sales, NWP, GWP'!AJ$4,'Plan Figures'!$B$5:$B$42,0),MATCH('Ultimate - Sales, NWP, GWP'!$C64,'Plan Figures'!$B$1:$AP$1,0))</f>
        <v>2912069.4574833512</v>
      </c>
      <c r="AK64" s="333">
        <f>INDEX('Plan Figures'!$B$5:$AP$42,MATCH('Ultimate - Sales, NWP, GWP'!AK$4,'Plan Figures'!$B$5:$B$42,0),MATCH('Ultimate - Sales, NWP, GWP'!$C64,'Plan Figures'!$B$1:$AP$1,0))</f>
        <v>3006371.32003754</v>
      </c>
      <c r="AL64" s="333">
        <f>INDEX('Plan Figures'!$B$5:$AP$42,MATCH('Ultimate - Sales, NWP, GWP'!AL$4,'Plan Figures'!$B$5:$B$42,0),MATCH('Ultimate - Sales, NWP, GWP'!$C64,'Plan Figures'!$B$1:$AP$1,0))</f>
        <v>3011627.814853156</v>
      </c>
      <c r="AM64" s="333">
        <f>INDEX('Plan Figures'!$B$5:$AP$42,MATCH('Ultimate - Sales, NWP, GWP'!AM$4,'Plan Figures'!$B$5:$B$42,0),MATCH('Ultimate - Sales, NWP, GWP'!$C64,'Plan Figures'!$B$1:$AP$1,0))</f>
        <v>2952085.7163660252</v>
      </c>
      <c r="AN64" s="333">
        <f>INDEX('Plan Figures'!$B$5:$AP$42,MATCH('Ultimate - Sales, NWP, GWP'!AN$4,'Plan Figures'!$B$5:$B$42,0),MATCH('Ultimate - Sales, NWP, GWP'!$C64,'Plan Figures'!$B$1:$AP$1,0))</f>
        <v>3178933.4253925001</v>
      </c>
      <c r="AO64" s="337">
        <f>INDEX('Plan Figures'!$B$5:$AP$42,MATCH('Ultimate - Sales, NWP, GWP'!AO$4,'Plan Figures'!$B$5:$B$42,0),MATCH('Ultimate - Sales, NWP, GWP'!$C64,'Plan Figures'!$B$1:$AP$1,0))</f>
        <v>3059988.6929637264</v>
      </c>
      <c r="AP64" s="338">
        <f ca="1">IFERROR(AVERAGE(INDEX($F64:$AO64, $AV$4 - 3):INDEX($F64:$AO64, $AV$4)),"-")</f>
        <v>2859234.0129210688</v>
      </c>
      <c r="AQ64" s="333">
        <f ca="1">IFERROR(AVERAGE(INDEX($F64:$AO64, $AV$4 - 11):INDEX($F64:$AO64, $AV$4)),"-")</f>
        <v>3680324.5977597386</v>
      </c>
      <c r="AR64" s="333" t="str" cm="1">
        <f t="array" ref="AR64">IFERROR(SUMPRODUCT((YEAR($F$4:$AO$4)=2024)*$F64:$AO64),"-")</f>
        <v>-</v>
      </c>
      <c r="AS64" s="333" t="s">
        <v>491</v>
      </c>
      <c r="AT64" s="339">
        <f ca="1">IFERROR(SUM(INDEX($F64:$AO64, $AV$4 - MONTH(TODAY())+1):INDEX($F64:$AO64, $AV$4)),"-")</f>
        <v>30818682.860788863</v>
      </c>
    </row>
    <row r="65" spans="2:46" ht="15.75" outlineLevel="1" x14ac:dyDescent="0.25">
      <c r="C65" t="str">
        <f t="shared" si="176"/>
        <v>PC Annual Direct</v>
      </c>
      <c r="D65" t="str">
        <f t="shared" si="177"/>
        <v>Boom Premium Finance</v>
      </c>
      <c r="E65" s="213" t="s">
        <v>0</v>
      </c>
      <c r="F65" s="214" t="str">
        <f t="shared" ref="F65:AO65" ca="1" si="180">IFERROR(IF(F63=0,"-",(F63/F64)-1),"-")</f>
        <v>-</v>
      </c>
      <c r="G65" s="214" t="str">
        <f t="shared" ca="1" si="180"/>
        <v>-</v>
      </c>
      <c r="H65" s="214" t="str">
        <f t="shared" ca="1" si="180"/>
        <v>-</v>
      </c>
      <c r="I65" s="214" t="str">
        <f t="shared" ca="1" si="180"/>
        <v>-</v>
      </c>
      <c r="J65" s="214" t="str">
        <f t="shared" ca="1" si="180"/>
        <v>-</v>
      </c>
      <c r="K65" s="214" t="str">
        <f t="shared" ca="1" si="180"/>
        <v>-</v>
      </c>
      <c r="L65" s="214" t="str">
        <f t="shared" ca="1" si="180"/>
        <v>-</v>
      </c>
      <c r="M65" s="214" t="str">
        <f t="shared" ca="1" si="180"/>
        <v>-</v>
      </c>
      <c r="N65" s="214" t="str">
        <f t="shared" ca="1" si="180"/>
        <v>-</v>
      </c>
      <c r="O65" s="214" t="str">
        <f t="shared" ca="1" si="180"/>
        <v>-</v>
      </c>
      <c r="P65" s="214" t="str">
        <f t="shared" ca="1" si="180"/>
        <v>-</v>
      </c>
      <c r="Q65" s="294" t="str">
        <f t="shared" ca="1" si="180"/>
        <v>-</v>
      </c>
      <c r="R65" s="214" t="str">
        <f t="shared" ca="1" si="180"/>
        <v>-</v>
      </c>
      <c r="S65" s="214">
        <f t="shared" ca="1" si="180"/>
        <v>9.9396624130054345E-2</v>
      </c>
      <c r="T65" s="214">
        <f t="shared" ca="1" si="180"/>
        <v>7.0326826228148231E-2</v>
      </c>
      <c r="U65" s="214">
        <f t="shared" ca="1" si="180"/>
        <v>-3.6273518697481077E-2</v>
      </c>
      <c r="V65" s="214">
        <f t="shared" ca="1" si="180"/>
        <v>-0.11100597733051554</v>
      </c>
      <c r="W65" s="214">
        <f t="shared" ca="1" si="180"/>
        <v>-0.26923538157085825</v>
      </c>
      <c r="X65" s="214">
        <f t="shared" ca="1" si="180"/>
        <v>-5.0429369183067285E-2</v>
      </c>
      <c r="Y65" s="214">
        <f t="shared" ca="1" si="180"/>
        <v>-0.15341917112475711</v>
      </c>
      <c r="Z65" s="214">
        <f t="shared" ca="1" si="180"/>
        <v>-0.42015981833146487</v>
      </c>
      <c r="AA65" s="214">
        <f t="shared" ca="1" si="180"/>
        <v>-0.47730863385777444</v>
      </c>
      <c r="AB65" s="214">
        <f t="shared" ca="1" si="180"/>
        <v>-0.31870519941237441</v>
      </c>
      <c r="AC65" s="294">
        <f t="shared" ca="1" si="180"/>
        <v>-0.19020232723105968</v>
      </c>
      <c r="AD65" s="214">
        <f t="shared" ca="1" si="180"/>
        <v>-0.54196164020587267</v>
      </c>
      <c r="AE65" s="214">
        <f t="shared" ca="1" si="180"/>
        <v>-0.62256830120686923</v>
      </c>
      <c r="AF65" s="214">
        <f t="shared" ca="1" si="180"/>
        <v>-0.50797172238786437</v>
      </c>
      <c r="AG65" s="214">
        <f t="shared" ca="1" si="180"/>
        <v>-1.0398983919918114E-2</v>
      </c>
      <c r="AH65" s="214">
        <f t="shared" ca="1" si="180"/>
        <v>-5.227626236517946E-2</v>
      </c>
      <c r="AI65" s="214">
        <f t="shared" ca="1" si="180"/>
        <v>-0.14905788043942392</v>
      </c>
      <c r="AJ65" s="214">
        <f t="shared" ca="1" si="180"/>
        <v>-0.21435183683465953</v>
      </c>
      <c r="AK65" s="214">
        <f t="shared" ca="1" si="180"/>
        <v>-0.63396814131938006</v>
      </c>
      <c r="AL65" s="214" t="str">
        <f t="shared" ca="1" si="180"/>
        <v>-</v>
      </c>
      <c r="AM65" s="214" t="str">
        <f t="shared" ca="1" si="180"/>
        <v>-</v>
      </c>
      <c r="AN65" s="214" t="str">
        <f t="shared" ca="1" si="180"/>
        <v>-</v>
      </c>
      <c r="AO65" s="215" t="str">
        <f t="shared" ca="1" si="180"/>
        <v>-</v>
      </c>
      <c r="AP65" s="242">
        <f ca="1">IFERROR(IF(AP63=0,"-",(AP63/AP64)-1),"-")</f>
        <v>-0.2696527179182564</v>
      </c>
      <c r="AQ65" s="242">
        <f ca="1">IFERROR(IF(AQ63=0,"-",(AQ63/AQ64)-1),"-")</f>
        <v>-0.39056969988077017</v>
      </c>
      <c r="AR65" s="242"/>
      <c r="AS65" s="242"/>
      <c r="AT65" s="243">
        <f ca="1">IFERROR(IF(AT63=0,"-",(AT63/AT64)-1),"-")</f>
        <v>-0.40325405693230887</v>
      </c>
    </row>
    <row r="66" spans="2:46" ht="15.75" outlineLevel="1" x14ac:dyDescent="0.25">
      <c r="C66" t="str">
        <f t="shared" si="176"/>
        <v>PC Annual Direct</v>
      </c>
      <c r="D66" t="str">
        <f t="shared" si="177"/>
        <v>Boom Premium Finance</v>
      </c>
      <c r="E66" s="208" t="s">
        <v>12</v>
      </c>
      <c r="F66" s="332" t="str">
        <f ca="1">IFERROR(F63/F60,"-")</f>
        <v>-</v>
      </c>
      <c r="G66" s="332" t="str">
        <f t="shared" ref="G66:AO66" ca="1" si="181">IFERROR(G63/G60,"-")</f>
        <v>-</v>
      </c>
      <c r="H66" s="332" t="str">
        <f t="shared" ca="1" si="181"/>
        <v>-</v>
      </c>
      <c r="I66" s="332" t="str">
        <f t="shared" ca="1" si="181"/>
        <v>-</v>
      </c>
      <c r="J66" s="332" t="str">
        <f t="shared" ca="1" si="181"/>
        <v>-</v>
      </c>
      <c r="K66" s="332" t="str">
        <f t="shared" ca="1" si="181"/>
        <v>-</v>
      </c>
      <c r="L66" s="332" t="str">
        <f t="shared" ca="1" si="181"/>
        <v>-</v>
      </c>
      <c r="M66" s="332" t="str">
        <f t="shared" ca="1" si="181"/>
        <v>-</v>
      </c>
      <c r="N66" s="332" t="str">
        <f t="shared" ca="1" si="181"/>
        <v>-</v>
      </c>
      <c r="O66" s="332" t="str">
        <f t="shared" ca="1" si="181"/>
        <v>-</v>
      </c>
      <c r="P66" s="332" t="str">
        <f t="shared" ca="1" si="181"/>
        <v>-</v>
      </c>
      <c r="Q66" s="336" t="str">
        <f t="shared" ca="1" si="181"/>
        <v>-</v>
      </c>
      <c r="R66" s="332">
        <f t="shared" ca="1" si="181"/>
        <v>1476.8963750631788</v>
      </c>
      <c r="S66" s="332">
        <f t="shared" ca="1" si="181"/>
        <v>1422.6746622248336</v>
      </c>
      <c r="T66" s="332">
        <f t="shared" ca="1" si="181"/>
        <v>1371.242954908786</v>
      </c>
      <c r="U66" s="332">
        <f t="shared" ca="1" si="181"/>
        <v>1200.2155006903854</v>
      </c>
      <c r="V66" s="332">
        <f t="shared" ca="1" si="181"/>
        <v>1159.22629385904</v>
      </c>
      <c r="W66" s="332">
        <f t="shared" ca="1" si="181"/>
        <v>1119.638105672534</v>
      </c>
      <c r="X66" s="332">
        <f t="shared" ca="1" si="181"/>
        <v>1114.4994434593634</v>
      </c>
      <c r="Y66" s="332">
        <f t="shared" ca="1" si="181"/>
        <v>1114.6292907062477</v>
      </c>
      <c r="Z66" s="332">
        <f t="shared" ca="1" si="181"/>
        <v>1111.6861190801283</v>
      </c>
      <c r="AA66" s="332">
        <f t="shared" ca="1" si="181"/>
        <v>1099.1916857519234</v>
      </c>
      <c r="AB66" s="332">
        <f t="shared" ca="1" si="181"/>
        <v>1123.2188285949176</v>
      </c>
      <c r="AC66" s="336">
        <f t="shared" ca="1" si="181"/>
        <v>1106.4149705069181</v>
      </c>
      <c r="AD66" s="332">
        <f t="shared" ca="1" si="181"/>
        <v>1036.2444742121547</v>
      </c>
      <c r="AE66" s="332">
        <f t="shared" ca="1" si="181"/>
        <v>1004.6527406741741</v>
      </c>
      <c r="AF66" s="332">
        <f t="shared" ca="1" si="181"/>
        <v>994.23828175006861</v>
      </c>
      <c r="AG66" s="332">
        <f t="shared" ca="1" si="181"/>
        <v>944.69526762497878</v>
      </c>
      <c r="AH66" s="332">
        <f t="shared" ca="1" si="181"/>
        <v>956.76346414663772</v>
      </c>
      <c r="AI66" s="332">
        <f t="shared" ca="1" si="181"/>
        <v>915.89853718950042</v>
      </c>
      <c r="AJ66" s="332">
        <f t="shared" ca="1" si="181"/>
        <v>932.45526276995895</v>
      </c>
      <c r="AK66" s="332">
        <f t="shared" ca="1" si="181"/>
        <v>990.22421356636505</v>
      </c>
      <c r="AL66" s="332" t="str">
        <f t="shared" ca="1" si="181"/>
        <v>-</v>
      </c>
      <c r="AM66" s="332" t="str">
        <f t="shared" ca="1" si="181"/>
        <v>-</v>
      </c>
      <c r="AN66" s="332" t="str">
        <f t="shared" ca="1" si="181"/>
        <v>-</v>
      </c>
      <c r="AO66" s="334" t="str">
        <f t="shared" ca="1" si="181"/>
        <v>-</v>
      </c>
      <c r="AP66" s="335">
        <f ca="1">IFERROR(AP63/AP60,"-")</f>
        <v>942.48360108310419</v>
      </c>
      <c r="AQ66" s="332">
        <f t="shared" ref="AQ66:AT66" ca="1" si="182">IFERROR(AQ63/AQ60,"-")</f>
        <v>1009.9440776528313</v>
      </c>
      <c r="AR66" s="332">
        <f t="shared" ca="1" si="182"/>
        <v>1181.0582360572591</v>
      </c>
      <c r="AS66" s="332">
        <f t="shared" ca="1" si="182"/>
        <v>1212.5706549882902</v>
      </c>
      <c r="AT66" s="336">
        <f t="shared" ca="1" si="182"/>
        <v>969.35392109079612</v>
      </c>
    </row>
    <row r="67" spans="2:46" ht="15.75" hidden="1" outlineLevel="1" x14ac:dyDescent="0.25">
      <c r="C67" t="str">
        <f t="shared" si="176"/>
        <v>PC Annual Direct</v>
      </c>
      <c r="D67" t="str">
        <f t="shared" si="177"/>
        <v>Boom Premium Finance</v>
      </c>
      <c r="E67" s="211" t="s">
        <v>13</v>
      </c>
      <c r="F67" s="333">
        <f>IFERROR(F64/F61,0)</f>
        <v>0</v>
      </c>
      <c r="G67" s="333">
        <f t="shared" ref="G67:AQ67" si="183">IFERROR(G64/G61,0)</f>
        <v>0</v>
      </c>
      <c r="H67" s="333">
        <f t="shared" si="183"/>
        <v>0</v>
      </c>
      <c r="I67" s="333">
        <f t="shared" si="183"/>
        <v>0</v>
      </c>
      <c r="J67" s="333">
        <f t="shared" si="183"/>
        <v>0</v>
      </c>
      <c r="K67" s="333">
        <f t="shared" si="183"/>
        <v>0</v>
      </c>
      <c r="L67" s="333">
        <f t="shared" si="183"/>
        <v>0</v>
      </c>
      <c r="M67" s="333">
        <f t="shared" si="183"/>
        <v>0</v>
      </c>
      <c r="N67" s="333">
        <f t="shared" si="183"/>
        <v>0</v>
      </c>
      <c r="O67" s="333">
        <f t="shared" si="183"/>
        <v>0</v>
      </c>
      <c r="P67" s="333">
        <f t="shared" si="183"/>
        <v>0</v>
      </c>
      <c r="Q67" s="339">
        <f t="shared" si="183"/>
        <v>0</v>
      </c>
      <c r="R67" s="333">
        <f t="shared" si="183"/>
        <v>0</v>
      </c>
      <c r="S67" s="333">
        <f t="shared" si="183"/>
        <v>1552.9993569940173</v>
      </c>
      <c r="T67" s="333">
        <f t="shared" si="183"/>
        <v>3056.4811779848919</v>
      </c>
      <c r="U67" s="333">
        <f t="shared" si="183"/>
        <v>3163.2108189594833</v>
      </c>
      <c r="V67" s="333">
        <f t="shared" si="183"/>
        <v>3207.8878253339144</v>
      </c>
      <c r="W67" s="333">
        <f t="shared" si="183"/>
        <v>3194.2264941628528</v>
      </c>
      <c r="X67" s="333">
        <f t="shared" si="183"/>
        <v>2188.1066945448752</v>
      </c>
      <c r="Y67" s="333">
        <f t="shared" si="183"/>
        <v>2199.892118714245</v>
      </c>
      <c r="Z67" s="333">
        <f t="shared" si="183"/>
        <v>2175.1506705560087</v>
      </c>
      <c r="AA67" s="333">
        <f t="shared" si="183"/>
        <v>2296.1562439151403</v>
      </c>
      <c r="AB67" s="333">
        <f t="shared" si="183"/>
        <v>2266.8080762218442</v>
      </c>
      <c r="AC67" s="339">
        <f t="shared" si="183"/>
        <v>2265.4660145452576</v>
      </c>
      <c r="AD67" s="333">
        <f t="shared" si="183"/>
        <v>2272.8658551112067</v>
      </c>
      <c r="AE67" s="333">
        <f t="shared" si="183"/>
        <v>0</v>
      </c>
      <c r="AF67" s="333">
        <f t="shared" si="183"/>
        <v>0</v>
      </c>
      <c r="AG67" s="333">
        <f t="shared" si="183"/>
        <v>0</v>
      </c>
      <c r="AH67" s="333">
        <f t="shared" si="183"/>
        <v>0</v>
      </c>
      <c r="AI67" s="333">
        <f t="shared" si="183"/>
        <v>0</v>
      </c>
      <c r="AJ67" s="333">
        <f t="shared" si="183"/>
        <v>0</v>
      </c>
      <c r="AK67" s="333">
        <f t="shared" si="183"/>
        <v>0</v>
      </c>
      <c r="AL67" s="333">
        <f t="shared" si="183"/>
        <v>0</v>
      </c>
      <c r="AM67" s="333">
        <f t="shared" si="183"/>
        <v>0</v>
      </c>
      <c r="AN67" s="333">
        <f t="shared" si="183"/>
        <v>0</v>
      </c>
      <c r="AO67" s="337">
        <f t="shared" si="183"/>
        <v>0</v>
      </c>
      <c r="AP67" s="338">
        <f t="shared" ca="1" si="183"/>
        <v>1682.3626836021901</v>
      </c>
      <c r="AQ67" s="333">
        <f t="shared" ca="1" si="183"/>
        <v>2638.9994481150002</v>
      </c>
      <c r="AR67" s="333"/>
      <c r="AS67" s="333">
        <f>SUMIFS(AD67:AO67,AD$4:AO$4,"&lt;"&amp;'Title Sheet'!$C$13)</f>
        <v>2272.8658551112067</v>
      </c>
      <c r="AT67" s="339"/>
    </row>
    <row r="68" spans="2:46" ht="15.75" hidden="1" outlineLevel="1" x14ac:dyDescent="0.25">
      <c r="C68" t="str">
        <f t="shared" si="176"/>
        <v>PC Annual Direct</v>
      </c>
      <c r="D68" t="str">
        <f t="shared" si="177"/>
        <v>Boom Premium Finance</v>
      </c>
      <c r="E68" s="213" t="s">
        <v>0</v>
      </c>
      <c r="F68" s="340" t="str">
        <f t="shared" ref="F68:AO68" ca="1" si="184">IFERROR(IF(F66=0,"-",(F66/F67)-1),"-")</f>
        <v>-</v>
      </c>
      <c r="G68" s="340" t="str">
        <f t="shared" ca="1" si="184"/>
        <v>-</v>
      </c>
      <c r="H68" s="340" t="str">
        <f t="shared" ca="1" si="184"/>
        <v>-</v>
      </c>
      <c r="I68" s="340" t="str">
        <f t="shared" ca="1" si="184"/>
        <v>-</v>
      </c>
      <c r="J68" s="340" t="str">
        <f t="shared" ca="1" si="184"/>
        <v>-</v>
      </c>
      <c r="K68" s="340" t="str">
        <f t="shared" ca="1" si="184"/>
        <v>-</v>
      </c>
      <c r="L68" s="340" t="str">
        <f t="shared" ca="1" si="184"/>
        <v>-</v>
      </c>
      <c r="M68" s="340" t="str">
        <f t="shared" ca="1" si="184"/>
        <v>-</v>
      </c>
      <c r="N68" s="340" t="str">
        <f t="shared" ca="1" si="184"/>
        <v>-</v>
      </c>
      <c r="O68" s="340" t="str">
        <f t="shared" ca="1" si="184"/>
        <v>-</v>
      </c>
      <c r="P68" s="340" t="str">
        <f t="shared" ca="1" si="184"/>
        <v>-</v>
      </c>
      <c r="Q68" s="366" t="str">
        <f t="shared" ca="1" si="184"/>
        <v>-</v>
      </c>
      <c r="R68" s="340" t="str">
        <f t="shared" ca="1" si="184"/>
        <v>-</v>
      </c>
      <c r="S68" s="340">
        <f t="shared" ca="1" si="184"/>
        <v>-8.3918060997423716E-2</v>
      </c>
      <c r="T68" s="340">
        <f t="shared" ca="1" si="184"/>
        <v>-0.55136548368577454</v>
      </c>
      <c r="U68" s="340">
        <f t="shared" ca="1" si="184"/>
        <v>-0.62057049960230337</v>
      </c>
      <c r="V68" s="340">
        <f t="shared" ca="1" si="184"/>
        <v>-0.63863253424755451</v>
      </c>
      <c r="W68" s="340">
        <f t="shared" ca="1" si="184"/>
        <v>-0.64948067780460561</v>
      </c>
      <c r="X68" s="340">
        <f t="shared" ca="1" si="184"/>
        <v>-0.49065580474759318</v>
      </c>
      <c r="Y68" s="340">
        <f t="shared" ca="1" si="184"/>
        <v>-0.49332547663396009</v>
      </c>
      <c r="Z68" s="340">
        <f t="shared" ca="1" si="184"/>
        <v>-0.48891535003597675</v>
      </c>
      <c r="AA68" s="340">
        <f t="shared" ca="1" si="184"/>
        <v>-0.52129055299925553</v>
      </c>
      <c r="AB68" s="340">
        <f t="shared" ca="1" si="184"/>
        <v>-0.5044931944714881</v>
      </c>
      <c r="AC68" s="366">
        <f t="shared" ca="1" si="184"/>
        <v>-0.511617052119404</v>
      </c>
      <c r="AD68" s="340">
        <f t="shared" ca="1" si="184"/>
        <v>-0.54408023162394092</v>
      </c>
      <c r="AE68" s="340" t="str">
        <f t="shared" ca="1" si="184"/>
        <v>-</v>
      </c>
      <c r="AF68" s="340" t="str">
        <f t="shared" ca="1" si="184"/>
        <v>-</v>
      </c>
      <c r="AG68" s="340" t="str">
        <f t="shared" ca="1" si="184"/>
        <v>-</v>
      </c>
      <c r="AH68" s="340" t="str">
        <f t="shared" ca="1" si="184"/>
        <v>-</v>
      </c>
      <c r="AI68" s="340" t="str">
        <f t="shared" ca="1" si="184"/>
        <v>-</v>
      </c>
      <c r="AJ68" s="340" t="str">
        <f t="shared" ca="1" si="184"/>
        <v>-</v>
      </c>
      <c r="AK68" s="340" t="str">
        <f t="shared" ca="1" si="184"/>
        <v>-</v>
      </c>
      <c r="AL68" s="340" t="str">
        <f t="shared" ca="1" si="184"/>
        <v>-</v>
      </c>
      <c r="AM68" s="340" t="str">
        <f t="shared" ca="1" si="184"/>
        <v>-</v>
      </c>
      <c r="AN68" s="340" t="str">
        <f t="shared" ca="1" si="184"/>
        <v>-</v>
      </c>
      <c r="AO68" s="341" t="str">
        <f t="shared" ca="1" si="184"/>
        <v>-</v>
      </c>
      <c r="AP68" s="342">
        <f t="shared" ref="AP68:AQ68" ca="1" si="185">AP66-AP67</f>
        <v>-739.87908251908596</v>
      </c>
      <c r="AQ68" s="343">
        <f t="shared" ca="1" si="185"/>
        <v>-1629.0553704621689</v>
      </c>
      <c r="AR68" s="343"/>
      <c r="AS68" s="343">
        <f t="shared" ref="AS68" ca="1" si="186">IFERROR(IF(AS66=0,"-",(AS66/AS67)-1),"-")</f>
        <v>-0.4665014425459959</v>
      </c>
      <c r="AT68" s="344"/>
    </row>
    <row r="69" spans="2:46" outlineLevel="1" x14ac:dyDescent="0.25">
      <c r="C69" t="str">
        <f t="shared" si="176"/>
        <v>PC Annual Direct</v>
      </c>
      <c r="D69" t="str">
        <f t="shared" si="177"/>
        <v>Boom Premium Finance</v>
      </c>
      <c r="E69" s="258" t="s">
        <v>17</v>
      </c>
      <c r="F69" s="345"/>
      <c r="G69" s="345"/>
      <c r="H69" s="345"/>
      <c r="I69" s="345"/>
      <c r="J69" s="345"/>
      <c r="K69" s="345"/>
      <c r="L69" s="345"/>
      <c r="M69" s="345"/>
      <c r="N69" s="345"/>
      <c r="O69" s="345"/>
      <c r="P69" s="345"/>
      <c r="Q69" s="367"/>
      <c r="R69" s="345"/>
      <c r="S69" s="345"/>
      <c r="T69" s="345"/>
      <c r="U69" s="345"/>
      <c r="V69" s="345"/>
      <c r="W69" s="345"/>
      <c r="X69" s="345"/>
      <c r="Y69" s="345"/>
      <c r="Z69" s="345"/>
      <c r="AA69" s="345"/>
      <c r="AB69" s="345"/>
      <c r="AC69" s="367"/>
      <c r="AD69" s="345"/>
      <c r="AE69" s="345"/>
      <c r="AF69" s="345"/>
      <c r="AG69" s="345"/>
      <c r="AH69" s="345"/>
      <c r="AI69" s="345"/>
      <c r="AJ69" s="345"/>
      <c r="AK69" s="345"/>
      <c r="AL69" s="345"/>
      <c r="AM69" s="345"/>
      <c r="AN69" s="345"/>
      <c r="AO69" s="346"/>
      <c r="AP69" s="393"/>
      <c r="AQ69" s="347"/>
      <c r="AR69" s="347"/>
      <c r="AS69" s="347"/>
      <c r="AT69" s="348"/>
    </row>
    <row r="70" spans="2:46" ht="15.75" outlineLevel="1" x14ac:dyDescent="0.25">
      <c r="B70">
        <v>6</v>
      </c>
      <c r="C70" t="str">
        <f t="shared" si="176"/>
        <v>PC Annual Direct</v>
      </c>
      <c r="D70" t="str">
        <f t="shared" si="177"/>
        <v>Boom Premium Finance</v>
      </c>
      <c r="E70" s="208" t="s">
        <v>7</v>
      </c>
      <c r="F70" s="335">
        <f ca="1">'Current - Sales, NWP, GWP'!E70/IFERROR(VLOOKUP($AV$4-COUNTA($F$4:F$4)+1,'Dev Patterns'!$B$6:$H$48,$B70,0),1)</f>
        <v>0</v>
      </c>
      <c r="G70" s="332">
        <f ca="1">'Current - Sales, NWP, GWP'!F70/IFERROR(VLOOKUP($AV$4-COUNTA($F$4:G$4)+1,'Dev Patterns'!$B$6:$H$48,$B70,0),1)</f>
        <v>0</v>
      </c>
      <c r="H70" s="332">
        <f ca="1">'Current - Sales, NWP, GWP'!G70/IFERROR(VLOOKUP($AV$4-COUNTA($F$4:H$4)+1,'Dev Patterns'!$B$6:$H$48,$B70,0),1)</f>
        <v>0</v>
      </c>
      <c r="I70" s="332">
        <f ca="1">'Current - Sales, NWP, GWP'!H70/IFERROR(VLOOKUP($AV$4-COUNTA($F$4:I$4)+1,'Dev Patterns'!$B$6:$H$48,$B70,0),1)</f>
        <v>0</v>
      </c>
      <c r="J70" s="332">
        <f ca="1">'Current - Sales, NWP, GWP'!I70/IFERROR(VLOOKUP($AV$4-COUNTA($F$4:J$4)+1,'Dev Patterns'!$B$6:$H$48,$B70,0),1)</f>
        <v>0</v>
      </c>
      <c r="K70" s="332">
        <f ca="1">'Current - Sales, NWP, GWP'!J70/IFERROR(VLOOKUP($AV$4-COUNTA($F$4:K$4)+1,'Dev Patterns'!$B$6:$H$48,$B70,0),1)</f>
        <v>0</v>
      </c>
      <c r="L70" s="332">
        <f ca="1">'Current - Sales, NWP, GWP'!K70/IFERROR(VLOOKUP($AV$4-COUNTA($F$4:L$4)+1,'Dev Patterns'!$B$6:$H$48,$B70,0),1)</f>
        <v>0</v>
      </c>
      <c r="M70" s="332">
        <f ca="1">'Current - Sales, NWP, GWP'!L70/IFERROR(VLOOKUP($AV$4-COUNTA($F$4:M$4)+1,'Dev Patterns'!$B$6:$H$48,$B70,0),1)</f>
        <v>0</v>
      </c>
      <c r="N70" s="332">
        <f ca="1">'Current - Sales, NWP, GWP'!M70/IFERROR(VLOOKUP($AV$4-COUNTA($F$4:N$4)+1,'Dev Patterns'!$B$6:$H$48,$B70,0),1)</f>
        <v>0</v>
      </c>
      <c r="O70" s="332">
        <f ca="1">'Current - Sales, NWP, GWP'!N70/IFERROR(VLOOKUP($AV$4-COUNTA($F$4:O$4)+1,'Dev Patterns'!$B$6:$H$48,$B70,0),1)</f>
        <v>0</v>
      </c>
      <c r="P70" s="332">
        <f ca="1">'Current - Sales, NWP, GWP'!O70/IFERROR(VLOOKUP($AV$4-COUNTA($F$4:P$4)+1,'Dev Patterns'!$B$6:$H$48,$B70,0),1)</f>
        <v>0</v>
      </c>
      <c r="Q70" s="336">
        <f ca="1">'Current - Sales, NWP, GWP'!P70/IFERROR(VLOOKUP($AV$4-COUNTA($F$4:Q$4)+1,'Dev Patterns'!$B$6:$H$48,$B70,0),1)</f>
        <v>0</v>
      </c>
      <c r="R70" s="332">
        <f ca="1">'Current - Sales, NWP, GWP'!Q70/IFERROR(VLOOKUP($AV$4-COUNTA($F$4:R$4)+1,'Dev Patterns'!$B$6:$H$48,$B70,0),1)</f>
        <v>474845.18749523116</v>
      </c>
      <c r="S70" s="332">
        <f ca="1">'Current - Sales, NWP, GWP'!R70/IFERROR(VLOOKUP($AV$4-COUNTA($F$4:S$4)+1,'Dev Patterns'!$B$6:$H$48,$B70,0),1)</f>
        <v>2345456.1696455493</v>
      </c>
      <c r="T70" s="332">
        <f ca="1">'Current - Sales, NWP, GWP'!S70/IFERROR(VLOOKUP($AV$4-COUNTA($F$4:T$4)+1,'Dev Patterns'!$B$6:$H$48,$B70,0),1)</f>
        <v>4253305.1339150965</v>
      </c>
      <c r="U70" s="332">
        <f ca="1">'Current - Sales, NWP, GWP'!T70/IFERROR(VLOOKUP($AV$4-COUNTA($F$4:U$4)+1,'Dev Patterns'!$B$6:$H$48,$B70,0),1)</f>
        <v>3935689.5446633701</v>
      </c>
      <c r="V70" s="332">
        <f ca="1">'Current - Sales, NWP, GWP'!U70/IFERROR(VLOOKUP($AV$4-COUNTA($F$4:V$4)+1,'Dev Patterns'!$B$6:$H$48,$B70,0),1)</f>
        <v>3675903.4017963423</v>
      </c>
      <c r="W70" s="332">
        <f ca="1">'Current - Sales, NWP, GWP'!V70/IFERROR(VLOOKUP($AV$4-COUNTA($F$4:W$4)+1,'Dev Patterns'!$B$6:$H$48,$B70,0),1)</f>
        <v>3075984.2767860945</v>
      </c>
      <c r="X70" s="332">
        <f ca="1">'Current - Sales, NWP, GWP'!W70/IFERROR(VLOOKUP($AV$4-COUNTA($F$4:X$4)+1,'Dev Patterns'!$B$6:$H$48,$B70,0),1)</f>
        <v>2592743.05357278</v>
      </c>
      <c r="Y70" s="332">
        <f ca="1">'Current - Sales, NWP, GWP'!X70/IFERROR(VLOOKUP($AV$4-COUNTA($F$4:Y$4)+1,'Dev Patterns'!$B$6:$H$48,$B70,0),1)</f>
        <v>2282311.794644319</v>
      </c>
      <c r="Z70" s="332">
        <f ca="1">'Current - Sales, NWP, GWP'!Y70/IFERROR(VLOOKUP($AV$4-COUNTA($F$4:Z$4)+1,'Dev Patterns'!$B$6:$H$48,$B70,0),1)</f>
        <v>2139809.6097338172</v>
      </c>
      <c r="AA70" s="332">
        <f ca="1">'Current - Sales, NWP, GWP'!Z70/IFERROR(VLOOKUP($AV$4-COUNTA($F$4:AA$4)+1,'Dev Patterns'!$B$6:$H$48,$B70,0),1)</f>
        <v>2105524.7212296734</v>
      </c>
      <c r="AB70" s="332">
        <f ca="1">'Current - Sales, NWP, GWP'!AA70/IFERROR(VLOOKUP($AV$4-COUNTA($F$4:AB$4)+1,'Dev Patterns'!$B$6:$H$48,$B70,0),1)</f>
        <v>2361278.6914235614</v>
      </c>
      <c r="AC70" s="336">
        <f ca="1">'Current - Sales, NWP, GWP'!AB70/IFERROR(VLOOKUP($AV$4-COUNTA($F$4:AC$4)+1,'Dev Patterns'!$B$6:$H$48,$B70,0),1)</f>
        <v>2546952.2647335455</v>
      </c>
      <c r="AD70" s="332">
        <f ca="1">'Current - Sales, NWP, GWP'!AC70/IFERROR(VLOOKUP($AV$4-COUNTA($F$4:AD$4)+1,'Dev Patterns'!$B$6:$H$48,$B70,0),1)</f>
        <v>2735925.2247322788</v>
      </c>
      <c r="AE70" s="332">
        <f ca="1">'Current - Sales, NWP, GWP'!AD70/IFERROR(VLOOKUP($AV$4-COUNTA($F$4:AE$4)+1,'Dev Patterns'!$B$6:$H$48,$B70,0),1)</f>
        <v>2251780.6349993241</v>
      </c>
      <c r="AF70" s="332">
        <f ca="1">'Current - Sales, NWP, GWP'!AE70/IFERROR(VLOOKUP($AV$4-COUNTA($F$4:AF$4)+1,'Dev Patterns'!$B$6:$H$48,$B70,0),1)</f>
        <v>2859170.1515989136</v>
      </c>
      <c r="AG70" s="332">
        <f ca="1">'Current - Sales, NWP, GWP'!AF70/IFERROR(VLOOKUP($AV$4-COUNTA($F$4:AG$4)+1,'Dev Patterns'!$B$6:$H$48,$B70,0),1)</f>
        <v>2723300.8845481575</v>
      </c>
      <c r="AH70" s="332">
        <f ca="1">'Current - Sales, NWP, GWP'!AG70/IFERROR(VLOOKUP($AV$4-COUNTA($F$4:AH$4)+1,'Dev Patterns'!$B$6:$H$48,$B70,0),1)</f>
        <v>2711409.171433527</v>
      </c>
      <c r="AI70" s="332">
        <f ca="1">'Current - Sales, NWP, GWP'!AH70/IFERROR(VLOOKUP($AV$4-COUNTA($F$4:AI$4)+1,'Dev Patterns'!$B$6:$H$48,$B70,0),1)</f>
        <v>2401639.3773188158</v>
      </c>
      <c r="AJ70" s="332">
        <f ca="1">'Current - Sales, NWP, GWP'!AI70/IFERROR(VLOOKUP($AV$4-COUNTA($F$4:AJ$4)+1,'Dev Patterns'!$B$6:$H$48,$B70,0),1)</f>
        <v>2357970.1642818912</v>
      </c>
      <c r="AK70" s="332">
        <f ca="1">'Current - Sales, NWP, GWP'!AJ70/IFERROR(VLOOKUP($AV$4-COUNTA($F$4:AK$4)+1,'Dev Patterns'!$B$6:$H$48,$B70,0),1)</f>
        <v>1134520.4603569349</v>
      </c>
      <c r="AL70" s="332">
        <f ca="1">'Current - Sales, NWP, GWP'!AK70/IFERROR(VLOOKUP($AV$4-COUNTA($F$4:AL$4)+1,'Dev Patterns'!$B$6:$H$48,$B70,0),1)</f>
        <v>0</v>
      </c>
      <c r="AM70" s="332">
        <f ca="1">'Current - Sales, NWP, GWP'!AL70/IFERROR(VLOOKUP($AV$4-COUNTA($F$4:AM$4)+1,'Dev Patterns'!$B$6:$H$48,$B70,0),1)</f>
        <v>0</v>
      </c>
      <c r="AN70" s="332">
        <f ca="1">'Current - Sales, NWP, GWP'!AM70/IFERROR(VLOOKUP($AV$4-COUNTA($F$4:AN$4)+1,'Dev Patterns'!$B$6:$H$48,$B70,0),1)</f>
        <v>0</v>
      </c>
      <c r="AO70" s="334">
        <f ca="1">'Current - Sales, NWP, GWP'!AN70/IFERROR(VLOOKUP($AV$4-COUNTA($F$4:AO$4)+1,'Dev Patterns'!$B$6:$H$48,$B70,0),1)</f>
        <v>0</v>
      </c>
      <c r="AP70" s="335">
        <f ca="1">IFERROR(AVERAGE(INDEX($F70:$AO70, $AV$4 - 3):INDEX($F70:$AO70, $AV$4)),"-")</f>
        <v>2151384.7933477927</v>
      </c>
      <c r="AQ70" s="332">
        <f ca="1">IFERROR(AVERAGE(INDEX($F70:$AO70, $AV$4 - 11):INDEX($F70:$AO70, $AV$4)),"-")</f>
        <v>2360773.4463658696</v>
      </c>
      <c r="AR70" s="332" cm="1">
        <f t="array" aca="1" ref="AR70" ca="1">IFERROR(SUMPRODUCT(IFERROR((YEAR($F$4:$AO$4)=2024)*$F70:$AO70,0)),"-")</f>
        <v>31789803.849639378</v>
      </c>
      <c r="AS70" s="332">
        <f ca="1">IFERROR(SUM(INDEX($F70:$AO70, $AV$4 - MONTH(TODAY())-11):INDEX($F70:$AO70, $AV$4-12)),"-")</f>
        <v>22636238.562518783</v>
      </c>
      <c r="AT70" s="336">
        <f ca="1">IFERROR(SUM(INDEX($F70:$AO70, $AV$4 - MONTH(TODAY())+1):INDEX($F70:$AO70, $AV$4)),"-")</f>
        <v>19175716.069269843</v>
      </c>
    </row>
    <row r="71" spans="2:46" ht="15.75" outlineLevel="1" x14ac:dyDescent="0.25">
      <c r="C71" t="str">
        <f t="shared" si="176"/>
        <v>PC Annual Direct</v>
      </c>
      <c r="D71" t="str">
        <f t="shared" si="177"/>
        <v>Boom Premium Finance</v>
      </c>
      <c r="E71" s="211" t="s">
        <v>493</v>
      </c>
      <c r="F71" s="325">
        <f ca="1">IFERROR(F63/F$8,"-")</f>
        <v>0</v>
      </c>
      <c r="G71" s="325">
        <f t="shared" ref="G71:AO71" ca="1" si="187">IFERROR(G63/G$8,"-")</f>
        <v>0</v>
      </c>
      <c r="H71" s="325">
        <f t="shared" ca="1" si="187"/>
        <v>0</v>
      </c>
      <c r="I71" s="325">
        <f t="shared" ca="1" si="187"/>
        <v>0</v>
      </c>
      <c r="J71" s="325">
        <f t="shared" ca="1" si="187"/>
        <v>0</v>
      </c>
      <c r="K71" s="325">
        <f t="shared" ca="1" si="187"/>
        <v>0</v>
      </c>
      <c r="L71" s="325">
        <f t="shared" ca="1" si="187"/>
        <v>0</v>
      </c>
      <c r="M71" s="325">
        <f t="shared" ca="1" si="187"/>
        <v>0</v>
      </c>
      <c r="N71" s="325">
        <f t="shared" ca="1" si="187"/>
        <v>0</v>
      </c>
      <c r="O71" s="325">
        <f t="shared" ca="1" si="187"/>
        <v>0</v>
      </c>
      <c r="P71" s="325">
        <f t="shared" ca="1" si="187"/>
        <v>0</v>
      </c>
      <c r="Q71" s="382">
        <f t="shared" ca="1" si="187"/>
        <v>0</v>
      </c>
      <c r="R71" s="325">
        <f t="shared" ca="1" si="187"/>
        <v>0.10272871094682205</v>
      </c>
      <c r="S71" s="325">
        <f t="shared" ca="1" si="187"/>
        <v>0.39748997715190143</v>
      </c>
      <c r="T71" s="325">
        <f t="shared" ca="1" si="187"/>
        <v>0.52014652773941927</v>
      </c>
      <c r="U71" s="325">
        <f t="shared" ca="1" si="187"/>
        <v>0.54598080169120355</v>
      </c>
      <c r="V71" s="325">
        <f t="shared" ca="1" si="187"/>
        <v>0.53633790990734265</v>
      </c>
      <c r="W71" s="325">
        <f t="shared" ca="1" si="187"/>
        <v>0.53578929091030658</v>
      </c>
      <c r="X71" s="325">
        <f t="shared" ca="1" si="187"/>
        <v>0.52921318967035635</v>
      </c>
      <c r="Y71" s="325">
        <f t="shared" ca="1" si="187"/>
        <v>0.53526301968003487</v>
      </c>
      <c r="Z71" s="325">
        <f t="shared" ca="1" si="187"/>
        <v>0.54790695566602921</v>
      </c>
      <c r="AA71" s="325">
        <f t="shared" ca="1" si="187"/>
        <v>0.5656315113243201</v>
      </c>
      <c r="AB71" s="325">
        <f t="shared" ca="1" si="187"/>
        <v>0.60366496865135</v>
      </c>
      <c r="AC71" s="382">
        <f t="shared" ca="1" si="187"/>
        <v>0.65446900822646126</v>
      </c>
      <c r="AD71" s="325">
        <f t="shared" ca="1" si="187"/>
        <v>0.71002393793336982</v>
      </c>
      <c r="AE71" s="325">
        <f t="shared" ca="1" si="187"/>
        <v>0.71944675793111235</v>
      </c>
      <c r="AF71" s="325">
        <f t="shared" ca="1" si="187"/>
        <v>0.72671559117895534</v>
      </c>
      <c r="AG71" s="325">
        <f t="shared" ca="1" si="187"/>
        <v>0.71971830730404251</v>
      </c>
      <c r="AH71" s="325">
        <f t="shared" ca="1" si="187"/>
        <v>0.70077176972417066</v>
      </c>
      <c r="AI71" s="325">
        <f t="shared" ca="1" si="187"/>
        <v>0.68906441965752308</v>
      </c>
      <c r="AJ71" s="325">
        <f t="shared" ca="1" si="187"/>
        <v>0.67611273399523597</v>
      </c>
      <c r="AK71" s="325">
        <f t="shared" ca="1" si="187"/>
        <v>0.67706502681267655</v>
      </c>
      <c r="AL71" s="325" t="str">
        <f t="shared" ca="1" si="187"/>
        <v>-</v>
      </c>
      <c r="AM71" s="325" t="str">
        <f t="shared" ca="1" si="187"/>
        <v>-</v>
      </c>
      <c r="AN71" s="325" t="str">
        <f t="shared" ca="1" si="187"/>
        <v>-</v>
      </c>
      <c r="AO71" s="382" t="str">
        <f t="shared" ca="1" si="187"/>
        <v>-</v>
      </c>
      <c r="AP71" s="325">
        <f ca="1">IFERROR(AP63/AP$8,"-")</f>
        <v>0.68747047579985376</v>
      </c>
      <c r="AQ71" s="325">
        <f ca="1">IFERROR(AQ63/AQ$8,"-")</f>
        <v>0.66488120856525468</v>
      </c>
      <c r="AR71" s="325">
        <f t="shared" ref="AR71:AT71" ca="1" si="188">IFERROR(AR63/AR$8,"-")</f>
        <v>0.50699239745656555</v>
      </c>
      <c r="AS71" s="325">
        <f t="shared" ca="1" si="188"/>
        <v>0.47866001065914637</v>
      </c>
      <c r="AT71" s="382">
        <f t="shared" ca="1" si="188"/>
        <v>0.70435807874813339</v>
      </c>
    </row>
    <row r="72" spans="2:46" ht="16.5" thickBot="1" x14ac:dyDescent="0.3">
      <c r="E72" s="368" t="s">
        <v>492</v>
      </c>
      <c r="F72" s="383">
        <f ca="1">IFERROR(F63/F$28,"-")</f>
        <v>0</v>
      </c>
      <c r="G72" s="383">
        <f t="shared" ref="G72:AT72" ca="1" si="189">IFERROR(G63/G$28,"-")</f>
        <v>0</v>
      </c>
      <c r="H72" s="383">
        <f t="shared" ca="1" si="189"/>
        <v>0</v>
      </c>
      <c r="I72" s="383">
        <f t="shared" ca="1" si="189"/>
        <v>0</v>
      </c>
      <c r="J72" s="383">
        <f t="shared" ca="1" si="189"/>
        <v>0</v>
      </c>
      <c r="K72" s="383">
        <f t="shared" ca="1" si="189"/>
        <v>0</v>
      </c>
      <c r="L72" s="383">
        <f t="shared" ca="1" si="189"/>
        <v>0</v>
      </c>
      <c r="M72" s="383">
        <f t="shared" ca="1" si="189"/>
        <v>0</v>
      </c>
      <c r="N72" s="383">
        <f t="shared" ca="1" si="189"/>
        <v>0</v>
      </c>
      <c r="O72" s="383">
        <f t="shared" ca="1" si="189"/>
        <v>0</v>
      </c>
      <c r="P72" s="383">
        <f t="shared" ca="1" si="189"/>
        <v>0</v>
      </c>
      <c r="Q72" s="384">
        <f t="shared" ca="1" si="189"/>
        <v>0</v>
      </c>
      <c r="R72" s="383">
        <f t="shared" ca="1" si="189"/>
        <v>0.19543010201719918</v>
      </c>
      <c r="S72" s="383">
        <f t="shared" ca="1" si="189"/>
        <v>0.58059138619705097</v>
      </c>
      <c r="T72" s="383">
        <f t="shared" ca="1" si="189"/>
        <v>0.66845863772555147</v>
      </c>
      <c r="U72" s="383">
        <f t="shared" ca="1" si="189"/>
        <v>0.6905079624672309</v>
      </c>
      <c r="V72" s="383">
        <f t="shared" ca="1" si="189"/>
        <v>0.67739361438689349</v>
      </c>
      <c r="W72" s="383">
        <f t="shared" ca="1" si="189"/>
        <v>0.67963147134274893</v>
      </c>
      <c r="X72" s="383">
        <f t="shared" ca="1" si="189"/>
        <v>0.68698129364689908</v>
      </c>
      <c r="Y72" s="383">
        <f t="shared" ca="1" si="189"/>
        <v>0.69123447414624672</v>
      </c>
      <c r="Z72" s="383">
        <f t="shared" ca="1" si="189"/>
        <v>0.68624595771989072</v>
      </c>
      <c r="AA72" s="383">
        <f t="shared" ca="1" si="189"/>
        <v>0.68810602332759518</v>
      </c>
      <c r="AB72" s="383">
        <f t="shared" ca="1" si="189"/>
        <v>0.68583987475964092</v>
      </c>
      <c r="AC72" s="384">
        <f t="shared" ca="1" si="189"/>
        <v>0.71654074603176654</v>
      </c>
      <c r="AD72" s="383">
        <f t="shared" ca="1" si="189"/>
        <v>0.75325120877142548</v>
      </c>
      <c r="AE72" s="383">
        <f t="shared" ca="1" si="189"/>
        <v>0.76968201918281753</v>
      </c>
      <c r="AF72" s="383">
        <f t="shared" ca="1" si="189"/>
        <v>0.79125863372342164</v>
      </c>
      <c r="AG72" s="383">
        <f t="shared" ca="1" si="189"/>
        <v>0.79544233472754411</v>
      </c>
      <c r="AH72" s="383">
        <f t="shared" ca="1" si="189"/>
        <v>0.78398765553652749</v>
      </c>
      <c r="AI72" s="383">
        <f t="shared" ca="1" si="189"/>
        <v>0.78974275486758172</v>
      </c>
      <c r="AJ72" s="383">
        <f t="shared" ca="1" si="189"/>
        <v>0.78379072699599783</v>
      </c>
      <c r="AK72" s="383">
        <f t="shared" ca="1" si="189"/>
        <v>0.79567937810426381</v>
      </c>
      <c r="AL72" s="383" t="str">
        <f t="shared" ca="1" si="189"/>
        <v>-</v>
      </c>
      <c r="AM72" s="383" t="str">
        <f t="shared" ca="1" si="189"/>
        <v>-</v>
      </c>
      <c r="AN72" s="383" t="str">
        <f t="shared" ca="1" si="189"/>
        <v>-</v>
      </c>
      <c r="AO72" s="384" t="str">
        <f t="shared" ca="1" si="189"/>
        <v>-</v>
      </c>
      <c r="AP72" s="383">
        <f t="shared" ca="1" si="189"/>
        <v>0.78705916777506546</v>
      </c>
      <c r="AQ72" s="383">
        <f t="shared" ca="1" si="189"/>
        <v>0.75206831769354687</v>
      </c>
      <c r="AR72" s="383">
        <f t="shared" ca="1" si="189"/>
        <v>0.65464780954937807</v>
      </c>
      <c r="AS72" s="383">
        <f t="shared" ca="1" si="189"/>
        <v>0.63960729201907907</v>
      </c>
      <c r="AT72" s="384">
        <f t="shared" ca="1" si="189"/>
        <v>0.78197523784356082</v>
      </c>
    </row>
    <row r="74" spans="2:46" ht="15.75" thickBot="1" x14ac:dyDescent="0.3"/>
    <row r="75" spans="2:46" ht="21" x14ac:dyDescent="0.25">
      <c r="E75" s="362" t="s">
        <v>204</v>
      </c>
      <c r="F75" s="202" t="s">
        <v>315</v>
      </c>
      <c r="G75" s="202"/>
      <c r="H75" s="202"/>
      <c r="I75" s="202"/>
      <c r="J75" s="202"/>
      <c r="K75" s="202"/>
      <c r="L75" s="202"/>
      <c r="M75" s="202"/>
      <c r="N75" s="202"/>
      <c r="O75" s="202"/>
      <c r="P75" s="202"/>
      <c r="Q75" s="233"/>
      <c r="R75" s="202"/>
      <c r="S75" s="202"/>
      <c r="T75" s="202"/>
      <c r="U75" s="202"/>
      <c r="V75" s="202"/>
      <c r="W75" s="202"/>
      <c r="X75" s="202"/>
      <c r="Y75" s="202"/>
      <c r="Z75" s="202"/>
      <c r="AA75" s="202"/>
      <c r="AB75" s="202"/>
      <c r="AC75" s="233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63"/>
      <c r="AP75" s="507" t="s">
        <v>484</v>
      </c>
      <c r="AQ75" s="508"/>
      <c r="AR75" s="508"/>
      <c r="AS75" s="508"/>
      <c r="AT75" s="509"/>
    </row>
    <row r="76" spans="2:46" x14ac:dyDescent="0.25">
      <c r="E76" s="204"/>
      <c r="F76" s="355" t="s">
        <v>341</v>
      </c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6"/>
      <c r="R76" s="355" t="s">
        <v>341</v>
      </c>
      <c r="S76" s="357"/>
      <c r="T76" s="357"/>
      <c r="U76" s="357"/>
      <c r="V76" s="357"/>
      <c r="W76" s="357"/>
      <c r="X76" s="357"/>
      <c r="Y76" s="357"/>
      <c r="Z76" s="357"/>
      <c r="AA76" s="357"/>
      <c r="AB76" s="357"/>
      <c r="AC76" s="358"/>
      <c r="AD76" s="355" t="s">
        <v>341</v>
      </c>
      <c r="AE76" s="357"/>
      <c r="AF76" s="357"/>
      <c r="AG76" s="357"/>
      <c r="AH76" s="357"/>
      <c r="AI76" s="357"/>
      <c r="AJ76" s="357"/>
      <c r="AK76" s="357"/>
      <c r="AL76" s="357"/>
      <c r="AM76" s="357"/>
      <c r="AN76" s="357"/>
      <c r="AO76" s="359"/>
      <c r="AP76" s="510" t="s">
        <v>485</v>
      </c>
      <c r="AQ76" s="511"/>
      <c r="AR76" s="511" t="s">
        <v>486</v>
      </c>
      <c r="AS76" s="511"/>
      <c r="AT76" s="512"/>
    </row>
    <row r="77" spans="2:46" x14ac:dyDescent="0.25">
      <c r="E77" s="354" t="s">
        <v>487</v>
      </c>
      <c r="F77" s="360">
        <f t="shared" ref="F77:R77" si="190">F$4</f>
        <v>44927</v>
      </c>
      <c r="G77" s="360">
        <f t="shared" si="190"/>
        <v>44958</v>
      </c>
      <c r="H77" s="360">
        <f t="shared" si="190"/>
        <v>44986</v>
      </c>
      <c r="I77" s="360">
        <f t="shared" si="190"/>
        <v>45017</v>
      </c>
      <c r="J77" s="360">
        <f t="shared" si="190"/>
        <v>45047</v>
      </c>
      <c r="K77" s="360">
        <f t="shared" si="190"/>
        <v>45078</v>
      </c>
      <c r="L77" s="360">
        <f t="shared" si="190"/>
        <v>45108</v>
      </c>
      <c r="M77" s="360">
        <f t="shared" si="190"/>
        <v>45139</v>
      </c>
      <c r="N77" s="360">
        <f t="shared" si="190"/>
        <v>45170</v>
      </c>
      <c r="O77" s="360">
        <f t="shared" si="190"/>
        <v>45200</v>
      </c>
      <c r="P77" s="360">
        <f t="shared" si="190"/>
        <v>45231</v>
      </c>
      <c r="Q77" s="365">
        <f t="shared" si="190"/>
        <v>45261</v>
      </c>
      <c r="R77" s="360">
        <f t="shared" si="190"/>
        <v>45292</v>
      </c>
      <c r="S77" s="360">
        <f t="shared" ref="S77:AO77" si="191">S$4</f>
        <v>45323</v>
      </c>
      <c r="T77" s="360">
        <f t="shared" si="191"/>
        <v>45352</v>
      </c>
      <c r="U77" s="360">
        <f t="shared" si="191"/>
        <v>45383</v>
      </c>
      <c r="V77" s="360">
        <f t="shared" si="191"/>
        <v>45413</v>
      </c>
      <c r="W77" s="360">
        <f t="shared" si="191"/>
        <v>45444</v>
      </c>
      <c r="X77" s="360">
        <f t="shared" si="191"/>
        <v>45474</v>
      </c>
      <c r="Y77" s="360">
        <f t="shared" si="191"/>
        <v>45505</v>
      </c>
      <c r="Z77" s="360">
        <f t="shared" si="191"/>
        <v>45536</v>
      </c>
      <c r="AA77" s="360">
        <f t="shared" si="191"/>
        <v>45566</v>
      </c>
      <c r="AB77" s="360">
        <f t="shared" si="191"/>
        <v>45597</v>
      </c>
      <c r="AC77" s="365">
        <f t="shared" si="191"/>
        <v>45627</v>
      </c>
      <c r="AD77" s="360">
        <f t="shared" si="191"/>
        <v>45658</v>
      </c>
      <c r="AE77" s="360">
        <f t="shared" si="191"/>
        <v>45689</v>
      </c>
      <c r="AF77" s="360">
        <f t="shared" si="191"/>
        <v>45717</v>
      </c>
      <c r="AG77" s="360">
        <f t="shared" si="191"/>
        <v>45748</v>
      </c>
      <c r="AH77" s="360">
        <f t="shared" si="191"/>
        <v>45778</v>
      </c>
      <c r="AI77" s="360">
        <f t="shared" si="191"/>
        <v>45809</v>
      </c>
      <c r="AJ77" s="360">
        <f t="shared" si="191"/>
        <v>45839</v>
      </c>
      <c r="AK77" s="360">
        <f t="shared" si="191"/>
        <v>45870</v>
      </c>
      <c r="AL77" s="360">
        <f t="shared" si="191"/>
        <v>45901</v>
      </c>
      <c r="AM77" s="360">
        <f t="shared" si="191"/>
        <v>45931</v>
      </c>
      <c r="AN77" s="360">
        <f t="shared" si="191"/>
        <v>45962</v>
      </c>
      <c r="AO77" s="361">
        <f t="shared" si="191"/>
        <v>45992</v>
      </c>
      <c r="AP77" s="351" t="s">
        <v>349</v>
      </c>
      <c r="AQ77" s="352" t="s">
        <v>348</v>
      </c>
      <c r="AR77" s="352" t="s">
        <v>772</v>
      </c>
      <c r="AS77" s="352" t="s">
        <v>490</v>
      </c>
      <c r="AT77" s="353" t="s">
        <v>773</v>
      </c>
    </row>
    <row r="78" spans="2:46" ht="15.75" x14ac:dyDescent="0.25">
      <c r="B78">
        <v>3</v>
      </c>
      <c r="C78" t="str">
        <f>$E$2</f>
        <v>PC Annual Direct</v>
      </c>
      <c r="D78" t="s">
        <v>73</v>
      </c>
      <c r="E78" s="223" t="s">
        <v>488</v>
      </c>
      <c r="F78" s="209">
        <f ca="1">'Current - Sales, NWP, GWP'!E78/IFERROR(VLOOKUP($AV$4-COUNTA($F$4:F$4)+1,'Dev Patterns'!$B$6:$H$48,$B78,0),1)</f>
        <v>830.03287640139968</v>
      </c>
      <c r="G78" s="209">
        <f ca="1">'Current - Sales, NWP, GWP'!F78/IFERROR(VLOOKUP($AV$4-COUNTA($F$4:G$4)+1,'Dev Patterns'!$B$6:$H$48,$B78,0),1)</f>
        <v>769.7178076418985</v>
      </c>
      <c r="H78" s="209">
        <f ca="1">'Current - Sales, NWP, GWP'!G78/IFERROR(VLOOKUP($AV$4-COUNTA($F$4:H$4)+1,'Dev Patterns'!$B$6:$H$48,$B78,0),1)</f>
        <v>1088.5409834572031</v>
      </c>
      <c r="I78" s="209">
        <f ca="1">'Current - Sales, NWP, GWP'!H78/IFERROR(VLOOKUP($AV$4-COUNTA($F$4:I$4)+1,'Dev Patterns'!$B$6:$H$48,$B78,0),1)</f>
        <v>1050.4426231341004</v>
      </c>
      <c r="J78" s="209">
        <f ca="1">'Current - Sales, NWP, GWP'!I78/IFERROR(VLOOKUP($AV$4-COUNTA($F$4:J$4)+1,'Dev Patterns'!$B$6:$H$48,$B78,0),1)</f>
        <v>1253.5355189670008</v>
      </c>
      <c r="K78" s="209">
        <f ca="1">'Current - Sales, NWP, GWP'!J78/IFERROR(VLOOKUP($AV$4-COUNTA($F$4:K$4)+1,'Dev Patterns'!$B$6:$H$48,$B78,0),1)</f>
        <v>1215.5081968958004</v>
      </c>
      <c r="L78" s="209">
        <f ca="1">'Current - Sales, NWP, GWP'!K78/IFERROR(VLOOKUP($AV$4-COUNTA($F$4:L$4)+1,'Dev Patterns'!$B$6:$H$48,$B78,0),1)</f>
        <v>1350.9754096577994</v>
      </c>
      <c r="M78" s="209">
        <f ca="1">'Current - Sales, NWP, GWP'!L78/IFERROR(VLOOKUP($AV$4-COUNTA($F$4:M$4)+1,'Dev Patterns'!$B$6:$H$48,$B78,0),1)</f>
        <v>1386.5163932302983</v>
      </c>
      <c r="N78" s="209">
        <f ca="1">'Current - Sales, NWP, GWP'!M78/IFERROR(VLOOKUP($AV$4-COUNTA($F$4:N$4)+1,'Dev Patterns'!$B$6:$H$48,$B78,0),1)</f>
        <v>1305.6038253749011</v>
      </c>
      <c r="O78" s="209">
        <f ca="1">'Current - Sales, NWP, GWP'!N78/IFERROR(VLOOKUP($AV$4-COUNTA($F$4:O$4)+1,'Dev Patterns'!$B$6:$H$48,$B78,0),1)</f>
        <v>1429.9480872280976</v>
      </c>
      <c r="P78" s="209">
        <f ca="1">'Current - Sales, NWP, GWP'!O78/IFERROR(VLOOKUP($AV$4-COUNTA($F$4:P$4)+1,'Dev Patterns'!$B$6:$H$48,$B78,0),1)</f>
        <v>1408.2322406890014</v>
      </c>
      <c r="Q78" s="238">
        <f ca="1">'Current - Sales, NWP, GWP'!P78/IFERROR(VLOOKUP($AV$4-COUNTA($F$4:Q$4)+1,'Dev Patterns'!$B$6:$H$48,$B78,0),1)</f>
        <v>1585.3825134445001</v>
      </c>
      <c r="R78" s="209">
        <f ca="1">'Current - Sales, NWP, GWP'!Q78/IFERROR(VLOOKUP($AV$4-COUNTA($F$4:R$4)+1,'Dev Patterns'!$B$6:$H$48,$B78,0),1)</f>
        <v>1594.4726773750976</v>
      </c>
      <c r="S78" s="209">
        <f ca="1">'Current - Sales, NWP, GWP'!R78/IFERROR(VLOOKUP($AV$4-COUNTA($F$4:S$4)+1,'Dev Patterns'!$B$6:$H$48,$B78,0),1)</f>
        <v>1298.6803272729996</v>
      </c>
      <c r="T78" s="209">
        <f ca="1">'Current - Sales, NWP, GWP'!S78/IFERROR(VLOOKUP($AV$4-COUNTA($F$4:T$4)+1,'Dev Patterns'!$B$6:$H$48,$B78,0),1)</f>
        <v>1385.9589035485992</v>
      </c>
      <c r="U78" s="209">
        <f ca="1">'Current - Sales, NWP, GWP'!T78/IFERROR(VLOOKUP($AV$4-COUNTA($F$4:U$4)+1,'Dev Patterns'!$B$6:$H$48,$B78,0),1)</f>
        <v>1108.7095889984012</v>
      </c>
      <c r="V78" s="209">
        <f ca="1">'Current - Sales, NWP, GWP'!U78/IFERROR(VLOOKUP($AV$4-COUNTA($F$4:V$4)+1,'Dev Patterns'!$B$6:$H$48,$B78,0),1)</f>
        <v>1040.3589037358004</v>
      </c>
      <c r="W78" s="209">
        <f ca="1">'Current - Sales, NWP, GWP'!V78/IFERROR(VLOOKUP($AV$4-COUNTA($F$4:W$4)+1,'Dev Patterns'!$B$6:$H$48,$B78,0),1)</f>
        <v>854.66575339900271</v>
      </c>
      <c r="X78" s="209">
        <f ca="1">'Current - Sales, NWP, GWP'!W78/IFERROR(VLOOKUP($AV$4-COUNTA($F$4:X$4)+1,'Dev Patterns'!$B$6:$H$48,$B78,0),1)</f>
        <v>820.16438327679577</v>
      </c>
      <c r="Y78" s="209">
        <f ca="1">'Current - Sales, NWP, GWP'!X78/IFERROR(VLOOKUP($AV$4-COUNTA($F$4:Y$4)+1,'Dev Patterns'!$B$6:$H$48,$B78,0),1)</f>
        <v>694.21917784379309</v>
      </c>
      <c r="Z78" s="209">
        <f ca="1">'Current - Sales, NWP, GWP'!Y78/IFERROR(VLOOKUP($AV$4-COUNTA($F$4:Z$4)+1,'Dev Patterns'!$B$6:$H$48,$B78,0),1)</f>
        <v>557.65479451639612</v>
      </c>
      <c r="AA78" s="209">
        <f ca="1">'Current - Sales, NWP, GWP'!Z78/IFERROR(VLOOKUP($AV$4-COUNTA($F$4:AA$4)+1,'Dev Patterns'!$B$6:$H$48,$B78,0),1)</f>
        <v>465.00112421993487</v>
      </c>
      <c r="AB78" s="209">
        <f ca="1">'Current - Sales, NWP, GWP'!AA78/IFERROR(VLOOKUP($AV$4-COUNTA($F$4:AB$4)+1,'Dev Patterns'!$B$6:$H$48,$B78,0),1)</f>
        <v>271.05960679788251</v>
      </c>
      <c r="AC78" s="238">
        <f ca="1">'Current - Sales, NWP, GWP'!AB78/IFERROR(VLOOKUP($AV$4-COUNTA($F$4:AC$4)+1,'Dev Patterns'!$B$6:$H$48,$B78,0),1)</f>
        <v>152.66245614590687</v>
      </c>
      <c r="AD78" s="209">
        <f ca="1">'Current - Sales, NWP, GWP'!AC78/IFERROR(VLOOKUP($AV$4-COUNTA($F$4:AD$4)+1,'Dev Patterns'!$B$6:$H$48,$B78,0),1)</f>
        <v>26.062117869799497</v>
      </c>
      <c r="AE78" s="209">
        <f ca="1">'Current - Sales, NWP, GWP'!AD78/IFERROR(VLOOKUP($AV$4-COUNTA($F$4:AE$4)+1,'Dev Patterns'!$B$6:$H$48,$B78,0),1)</f>
        <v>0</v>
      </c>
      <c r="AF78" s="209">
        <f ca="1">'Current - Sales, NWP, GWP'!AE78/IFERROR(VLOOKUP($AV$4-COUNTA($F$4:AF$4)+1,'Dev Patterns'!$B$6:$H$48,$B78,0),1)</f>
        <v>0</v>
      </c>
      <c r="AG78" s="209">
        <f ca="1">'Current - Sales, NWP, GWP'!AF78/IFERROR(VLOOKUP($AV$4-COUNTA($F$4:AG$4)+1,'Dev Patterns'!$B$6:$H$48,$B78,0),1)</f>
        <v>0</v>
      </c>
      <c r="AH78" s="209">
        <f ca="1">'Current - Sales, NWP, GWP'!AG78/IFERROR(VLOOKUP($AV$4-COUNTA($F$4:AH$4)+1,'Dev Patterns'!$B$6:$H$48,$B78,0),1)</f>
        <v>0</v>
      </c>
      <c r="AI78" s="209">
        <f ca="1">'Current - Sales, NWP, GWP'!AH78/IFERROR(VLOOKUP($AV$4-COUNTA($F$4:AI$4)+1,'Dev Patterns'!$B$6:$H$48,$B78,0),1)</f>
        <v>0</v>
      </c>
      <c r="AJ78" s="209">
        <f ca="1">'Current - Sales, NWP, GWP'!AI78/IFERROR(VLOOKUP($AV$4-COUNTA($F$4:AJ$4)+1,'Dev Patterns'!$B$6:$H$48,$B78,0),1)</f>
        <v>0</v>
      </c>
      <c r="AK78" s="209">
        <f ca="1">'Current - Sales, NWP, GWP'!AJ78/IFERROR(VLOOKUP($AV$4-COUNTA($F$4:AK$4)+1,'Dev Patterns'!$B$6:$H$48,$B78,0),1)</f>
        <v>0</v>
      </c>
      <c r="AL78" s="209">
        <f ca="1">'Current - Sales, NWP, GWP'!AK78/IFERROR(VLOOKUP($AV$4-COUNTA($F$4:AL$4)+1,'Dev Patterns'!$B$6:$H$48,$B78,0),1)</f>
        <v>0</v>
      </c>
      <c r="AM78" s="209">
        <f ca="1">'Current - Sales, NWP, GWP'!AL78/IFERROR(VLOOKUP($AV$4-COUNTA($F$4:AM$4)+1,'Dev Patterns'!$B$6:$H$48,$B78,0),1)</f>
        <v>0</v>
      </c>
      <c r="AN78" s="209">
        <f ca="1">'Current - Sales, NWP, GWP'!AM78/IFERROR(VLOOKUP($AV$4-COUNTA($F$4:AN$4)+1,'Dev Patterns'!$B$6:$H$48,$B78,0),1)</f>
        <v>0</v>
      </c>
      <c r="AO78" s="265">
        <f ca="1">'Current - Sales, NWP, GWP'!AN78/IFERROR(VLOOKUP($AV$4-COUNTA($F$4:AO$4)+1,'Dev Patterns'!$B$6:$H$48,$B78,0),1)</f>
        <v>0</v>
      </c>
      <c r="AP78" s="237">
        <f ca="1">IFERROR(AVERAGE(INDEX($F78:$AO78, $AV$4 - 3):INDEX($F78:$AO78, $AV$4)),"-")</f>
        <v>0</v>
      </c>
      <c r="AQ78" s="209">
        <f ca="1">IFERROR(AVERAGE(INDEX($F78:$AO78, $AV$4 - 11):INDEX($F78:$AO78, $AV$4)),"-")</f>
        <v>122.70334162915998</v>
      </c>
      <c r="AR78" s="209" cm="1">
        <f t="array" aca="1" ref="AR78" ca="1">IFERROR(SUMPRODUCT(IFERROR((YEAR($F$4:$AO$4)=2024)*$F78:$AO78,0)),"-")</f>
        <v>10243.60769713061</v>
      </c>
      <c r="AS78" s="209">
        <f ca="1">IFERROR(SUM(INDEX($F78:$AO78, $AV$4 - MONTH(TODAY())-11):INDEX($F78:$AO78, $AV$4-12)),"-")</f>
        <v>8797.2297154504904</v>
      </c>
      <c r="AT78" s="238">
        <f ca="1">IFERROR(SUM(INDEX($F78:$AO78, $AV$4 - MONTH(TODAY())+1):INDEX($F78:$AO78, $AV$4)),"-")</f>
        <v>26.062117869799497</v>
      </c>
    </row>
    <row r="79" spans="2:46" ht="15.75" hidden="1" x14ac:dyDescent="0.25">
      <c r="C79" t="str">
        <f>$E$92&amp;"_W VYRs"</f>
        <v>PC Annual Direct - Subscription_W VYRs</v>
      </c>
      <c r="D79" t="str">
        <f t="shared" ref="D79:D89" si="192">$D78</f>
        <v>Boom Subscription</v>
      </c>
      <c r="E79" s="211" t="s">
        <v>317</v>
      </c>
      <c r="F79" s="31" t="str">
        <f>INDEX('Plan Figures'!$B$5:$AP$31,MATCH('Ultimate - Sales, NWP, GWP'!F$4,'Plan Figures'!$B$5:$B$31,0),MATCH('Ultimate - Sales, NWP, GWP'!$C79,'Plan Figures'!$B$1:$AP$1,0))</f>
        <v>-</v>
      </c>
      <c r="G79" s="31" t="str">
        <f>INDEX('Plan Figures'!$B$5:$AP$31,MATCH('Ultimate - Sales, NWP, GWP'!G$4,'Plan Figures'!$B$5:$B$31,0),MATCH('Ultimate - Sales, NWP, GWP'!$C79,'Plan Figures'!$B$1:$AP$1,0))</f>
        <v>-</v>
      </c>
      <c r="H79" s="31" t="str">
        <f>INDEX('Plan Figures'!$B$5:$AP$31,MATCH('Ultimate - Sales, NWP, GWP'!H$4,'Plan Figures'!$B$5:$B$31,0),MATCH('Ultimate - Sales, NWP, GWP'!$C79,'Plan Figures'!$B$1:$AP$1,0))</f>
        <v>-</v>
      </c>
      <c r="I79" s="31" t="str">
        <f>INDEX('Plan Figures'!$B$5:$AP$31,MATCH('Ultimate - Sales, NWP, GWP'!I$4,'Plan Figures'!$B$5:$B$31,0),MATCH('Ultimate - Sales, NWP, GWP'!$C79,'Plan Figures'!$B$1:$AP$1,0))</f>
        <v>-</v>
      </c>
      <c r="J79" s="31" t="str">
        <f>INDEX('Plan Figures'!$B$5:$AP$31,MATCH('Ultimate - Sales, NWP, GWP'!J$4,'Plan Figures'!$B$5:$B$31,0),MATCH('Ultimate - Sales, NWP, GWP'!$C79,'Plan Figures'!$B$1:$AP$1,0))</f>
        <v>-</v>
      </c>
      <c r="K79" s="31" t="str">
        <f>INDEX('Plan Figures'!$B$5:$AP$31,MATCH('Ultimate - Sales, NWP, GWP'!K$4,'Plan Figures'!$B$5:$B$31,0),MATCH('Ultimate - Sales, NWP, GWP'!$C79,'Plan Figures'!$B$1:$AP$1,0))</f>
        <v>-</v>
      </c>
      <c r="L79" s="31" t="str">
        <f>INDEX('Plan Figures'!$B$5:$AP$31,MATCH('Ultimate - Sales, NWP, GWP'!L$4,'Plan Figures'!$B$5:$B$31,0),MATCH('Ultimate - Sales, NWP, GWP'!$C79,'Plan Figures'!$B$1:$AP$1,0))</f>
        <v>-</v>
      </c>
      <c r="M79" s="31" t="str">
        <f>INDEX('Plan Figures'!$B$5:$AP$31,MATCH('Ultimate - Sales, NWP, GWP'!M$4,'Plan Figures'!$B$5:$B$31,0),MATCH('Ultimate - Sales, NWP, GWP'!$C79,'Plan Figures'!$B$1:$AP$1,0))</f>
        <v>-</v>
      </c>
      <c r="N79" s="31" t="str">
        <f>INDEX('Plan Figures'!$B$5:$AP$31,MATCH('Ultimate - Sales, NWP, GWP'!N$4,'Plan Figures'!$B$5:$B$31,0),MATCH('Ultimate - Sales, NWP, GWP'!$C79,'Plan Figures'!$B$1:$AP$1,0))</f>
        <v>-</v>
      </c>
      <c r="O79" s="31" t="str">
        <f>INDEX('Plan Figures'!$B$5:$AP$31,MATCH('Ultimate - Sales, NWP, GWP'!O$4,'Plan Figures'!$B$5:$B$31,0),MATCH('Ultimate - Sales, NWP, GWP'!$C79,'Plan Figures'!$B$1:$AP$1,0))</f>
        <v>-</v>
      </c>
      <c r="P79" s="31">
        <f>INDEX('Plan Figures'!$B$5:$AP$31,MATCH('Ultimate - Sales, NWP, GWP'!P$4,'Plan Figures'!$B$5:$B$31,0),MATCH('Ultimate - Sales, NWP, GWP'!$C79,'Plan Figures'!$B$1:$AP$1,0))</f>
        <v>615.93307879093663</v>
      </c>
      <c r="Q79" s="240">
        <f>INDEX('Plan Figures'!$B$5:$AP$31,MATCH('Ultimate - Sales, NWP, GWP'!Q$4,'Plan Figures'!$B$5:$B$31,0),MATCH('Ultimate - Sales, NWP, GWP'!$C79,'Plan Figures'!$B$1:$AP$1,0))</f>
        <v>763.72800510730349</v>
      </c>
      <c r="R79" s="31">
        <f>INDEX('Plan Figures'!$B$5:$AP$31,MATCH('Ultimate - Sales, NWP, GWP'!R$4,'Plan Figures'!$B$5:$B$31,0),MATCH('Ultimate - Sales, NWP, GWP'!$C79,'Plan Figures'!$B$1:$AP$1,0))</f>
        <v>833.27735263273371</v>
      </c>
      <c r="S79" s="31">
        <f>INDEX('Plan Figures'!$B$5:$AP$31,MATCH('Ultimate - Sales, NWP, GWP'!S$4,'Plan Figures'!$B$5:$B$31,0),MATCH('Ultimate - Sales, NWP, GWP'!$C79,'Plan Figures'!$B$1:$AP$1,0))</f>
        <v>833.27735263273371</v>
      </c>
      <c r="T79" s="31">
        <f>INDEX('Plan Figures'!$B$5:$AP$31,MATCH('Ultimate - Sales, NWP, GWP'!T$4,'Plan Figures'!$B$5:$B$31,0),MATCH('Ultimate - Sales, NWP, GWP'!$C79,'Plan Figures'!$B$1:$AP$1,0))</f>
        <v>833.27735263273371</v>
      </c>
      <c r="U79" s="31">
        <f>INDEX('Plan Figures'!$B$5:$AP$31,MATCH('Ultimate - Sales, NWP, GWP'!U$4,'Plan Figures'!$B$5:$B$31,0),MATCH('Ultimate - Sales, NWP, GWP'!$C79,'Plan Figures'!$B$1:$AP$1,0))</f>
        <v>833.27735263273371</v>
      </c>
      <c r="V79" s="31">
        <f>INDEX('Plan Figures'!$B$5:$AP$31,MATCH('Ultimate - Sales, NWP, GWP'!V$4,'Plan Figures'!$B$5:$B$31,0),MATCH('Ultimate - Sales, NWP, GWP'!$C79,'Plan Figures'!$B$1:$AP$1,0))</f>
        <v>832.96485263273371</v>
      </c>
      <c r="W79" s="31">
        <f>INDEX('Plan Figures'!$B$5:$AP$31,MATCH('Ultimate - Sales, NWP, GWP'!W$4,'Plan Figures'!$B$5:$B$31,0),MATCH('Ultimate - Sales, NWP, GWP'!$C79,'Plan Figures'!$B$1:$AP$1,0))</f>
        <v>805.37110263273371</v>
      </c>
      <c r="X79" s="31">
        <f>INDEX('Plan Figures'!$B$5:$AP$31,MATCH('Ultimate - Sales, NWP, GWP'!X$4,'Plan Figures'!$B$5:$B$31,0),MATCH('Ultimate - Sales, NWP, GWP'!$C79,'Plan Figures'!$B$1:$AP$1,0))</f>
        <v>954.34078893945116</v>
      </c>
      <c r="Y79" s="31">
        <f>INDEX('Plan Figures'!$B$5:$AP$31,MATCH('Ultimate - Sales, NWP, GWP'!Y$4,'Plan Figures'!$B$5:$B$31,0),MATCH('Ultimate - Sales, NWP, GWP'!$C79,'Plan Figures'!$B$1:$AP$1,0))</f>
        <v>847.6297730046125</v>
      </c>
      <c r="Z79" s="31">
        <f>INDEX('Plan Figures'!$B$5:$AP$31,MATCH('Ultimate - Sales, NWP, GWP'!Z$4,'Plan Figures'!$B$5:$B$31,0),MATCH('Ultimate - Sales, NWP, GWP'!$C79,'Plan Figures'!$B$1:$AP$1,0))</f>
        <v>739.0592621321797</v>
      </c>
      <c r="AA79" s="31">
        <f>INDEX('Plan Figures'!$B$5:$AP$31,MATCH('Ultimate - Sales, NWP, GWP'!AA$4,'Plan Figures'!$B$5:$B$31,0),MATCH('Ultimate - Sales, NWP, GWP'!$C79,'Plan Figures'!$B$1:$AP$1,0))</f>
        <v>573.92411493228599</v>
      </c>
      <c r="AB79" s="31">
        <f>INDEX('Plan Figures'!$B$5:$AP$31,MATCH('Ultimate - Sales, NWP, GWP'!AB$4,'Plan Figures'!$B$5:$B$31,0),MATCH('Ultimate - Sales, NWP, GWP'!$C79,'Plan Figures'!$B$1:$AP$1,0))</f>
        <v>364.52099147611852</v>
      </c>
      <c r="AC79" s="240">
        <f>INDEX('Plan Figures'!$B$5:$AP$31,MATCH('Ultimate - Sales, NWP, GWP'!AC$4,'Plan Figures'!$B$5:$B$31,0),MATCH('Ultimate - Sales, NWP, GWP'!$C79,'Plan Figures'!$B$1:$AP$1,0))</f>
        <v>181.09081343860487</v>
      </c>
      <c r="AD79" s="31">
        <f>INDEX('Plan Figures'!$B$5:$AP$31,MATCH('Ultimate - Sales, NWP, GWP'!AD$4,'Plan Figures'!$B$5:$B$31,0),MATCH('Ultimate - Sales, NWP, GWP'!$C79,'Plan Figures'!$B$1:$AP$1,0))</f>
        <v>28.672212263548566</v>
      </c>
      <c r="AE79" s="31" t="e">
        <f>INDEX('Plan Figures'!$B$5:$AP$31,MATCH('Ultimate - Sales, NWP, GWP'!AE$4,'Plan Figures'!$B$5:$B$31,0),MATCH('Ultimate - Sales, NWP, GWP'!$C79,'Plan Figures'!$B$1:$AP$1,0))</f>
        <v>#N/A</v>
      </c>
      <c r="AF79" s="31" t="e">
        <f>INDEX('Plan Figures'!$B$5:$AP$31,MATCH('Ultimate - Sales, NWP, GWP'!AF$4,'Plan Figures'!$B$5:$B$31,0),MATCH('Ultimate - Sales, NWP, GWP'!$C79,'Plan Figures'!$B$1:$AP$1,0))</f>
        <v>#N/A</v>
      </c>
      <c r="AG79" s="31" t="e">
        <f>INDEX('Plan Figures'!$B$5:$AP$31,MATCH('Ultimate - Sales, NWP, GWP'!AG$4,'Plan Figures'!$B$5:$B$31,0),MATCH('Ultimate - Sales, NWP, GWP'!$C79,'Plan Figures'!$B$1:$AP$1,0))</f>
        <v>#N/A</v>
      </c>
      <c r="AH79" s="31" t="e">
        <f>INDEX('Plan Figures'!$B$5:$AP$31,MATCH('Ultimate - Sales, NWP, GWP'!AH$4,'Plan Figures'!$B$5:$B$31,0),MATCH('Ultimate - Sales, NWP, GWP'!$C79,'Plan Figures'!$B$1:$AP$1,0))</f>
        <v>#N/A</v>
      </c>
      <c r="AI79" s="31" t="e">
        <f>INDEX('Plan Figures'!$B$5:$AP$31,MATCH('Ultimate - Sales, NWP, GWP'!AI$4,'Plan Figures'!$B$5:$B$31,0),MATCH('Ultimate - Sales, NWP, GWP'!$C79,'Plan Figures'!$B$1:$AP$1,0))</f>
        <v>#N/A</v>
      </c>
      <c r="AJ79" s="31" t="e">
        <f>INDEX('Plan Figures'!$B$5:$AP$31,MATCH('Ultimate - Sales, NWP, GWP'!AJ$4,'Plan Figures'!$B$5:$B$31,0),MATCH('Ultimate - Sales, NWP, GWP'!$C79,'Plan Figures'!$B$1:$AP$1,0))</f>
        <v>#N/A</v>
      </c>
      <c r="AK79" s="31" t="e">
        <f>INDEX('Plan Figures'!$B$5:$AP$31,MATCH('Ultimate - Sales, NWP, GWP'!AK$4,'Plan Figures'!$B$5:$B$31,0),MATCH('Ultimate - Sales, NWP, GWP'!$C79,'Plan Figures'!$B$1:$AP$1,0))</f>
        <v>#N/A</v>
      </c>
      <c r="AL79" s="31" t="e">
        <f>INDEX('Plan Figures'!$B$5:$AP$31,MATCH('Ultimate - Sales, NWP, GWP'!AL$4,'Plan Figures'!$B$5:$B$31,0),MATCH('Ultimate - Sales, NWP, GWP'!$C79,'Plan Figures'!$B$1:$AP$1,0))</f>
        <v>#N/A</v>
      </c>
      <c r="AM79" s="31" t="e">
        <f>INDEX('Plan Figures'!$B$5:$AP$31,MATCH('Ultimate - Sales, NWP, GWP'!AM$4,'Plan Figures'!$B$5:$B$31,0),MATCH('Ultimate - Sales, NWP, GWP'!$C79,'Plan Figures'!$B$1:$AP$1,0))</f>
        <v>#N/A</v>
      </c>
      <c r="AN79" s="31" t="e">
        <f>INDEX('Plan Figures'!$B$5:$AP$31,MATCH('Ultimate - Sales, NWP, GWP'!AN$4,'Plan Figures'!$B$5:$B$31,0),MATCH('Ultimate - Sales, NWP, GWP'!$C79,'Plan Figures'!$B$1:$AP$1,0))</f>
        <v>#N/A</v>
      </c>
      <c r="AO79" s="266" t="e">
        <f>INDEX('Plan Figures'!$B$5:$AP$31,MATCH('Ultimate - Sales, NWP, GWP'!AO$4,'Plan Figures'!$B$5:$B$31,0),MATCH('Ultimate - Sales, NWP, GWP'!$C79,'Plan Figures'!$B$1:$AP$1,0))</f>
        <v>#N/A</v>
      </c>
      <c r="AP79" s="239">
        <f t="shared" ref="AP79:AP80" si="193">AVERAGE(AA79:AD79)</f>
        <v>287.05203302763948</v>
      </c>
      <c r="AQ79" s="31">
        <f t="shared" ref="AQ79:AQ80" si="194">AVERAGE(S79:AD79)</f>
        <v>652.28383077920569</v>
      </c>
      <c r="AR79" s="31"/>
      <c r="AS79" s="31" t="e">
        <f>SUMIFS(AD79:AO79,AD$4:AO$4,"&lt;"&amp;'Title Sheet'!$C$13)</f>
        <v>#N/A</v>
      </c>
      <c r="AT79" s="240"/>
    </row>
    <row r="80" spans="2:46" ht="15.75" hidden="1" x14ac:dyDescent="0.25">
      <c r="C80" t="str">
        <f t="shared" ref="C80:C89" si="195">$E$2</f>
        <v>PC Annual Direct</v>
      </c>
      <c r="D80" t="str">
        <f t="shared" si="192"/>
        <v>Boom Subscription</v>
      </c>
      <c r="E80" s="213" t="s">
        <v>0</v>
      </c>
      <c r="F80" s="214" t="str">
        <f t="shared" ref="F80:AO80" ca="1" si="196">IFERROR(IF(F78=0,"-",(F78/F79)-1),"-")</f>
        <v>-</v>
      </c>
      <c r="G80" s="214" t="str">
        <f t="shared" ca="1" si="196"/>
        <v>-</v>
      </c>
      <c r="H80" s="214" t="str">
        <f t="shared" ca="1" si="196"/>
        <v>-</v>
      </c>
      <c r="I80" s="214" t="str">
        <f t="shared" ca="1" si="196"/>
        <v>-</v>
      </c>
      <c r="J80" s="214" t="str">
        <f t="shared" ca="1" si="196"/>
        <v>-</v>
      </c>
      <c r="K80" s="214" t="str">
        <f t="shared" ca="1" si="196"/>
        <v>-</v>
      </c>
      <c r="L80" s="214" t="str">
        <f t="shared" ca="1" si="196"/>
        <v>-</v>
      </c>
      <c r="M80" s="214" t="str">
        <f t="shared" ca="1" si="196"/>
        <v>-</v>
      </c>
      <c r="N80" s="214" t="str">
        <f t="shared" ca="1" si="196"/>
        <v>-</v>
      </c>
      <c r="O80" s="214" t="str">
        <f t="shared" ca="1" si="196"/>
        <v>-</v>
      </c>
      <c r="P80" s="214">
        <f t="shared" ca="1" si="196"/>
        <v>1.2863396839366557</v>
      </c>
      <c r="Q80" s="294">
        <f t="shared" ca="1" si="196"/>
        <v>1.0758470330307639</v>
      </c>
      <c r="R80" s="214">
        <f t="shared" ca="1" si="196"/>
        <v>0.91349575544969852</v>
      </c>
      <c r="S80" s="214">
        <f t="shared" ca="1" si="196"/>
        <v>0.55852108925057031</v>
      </c>
      <c r="T80" s="214">
        <f t="shared" ca="1" si="196"/>
        <v>0.66326241697277877</v>
      </c>
      <c r="U80" s="214">
        <f t="shared" ca="1" si="196"/>
        <v>0.3305408883314076</v>
      </c>
      <c r="V80" s="214">
        <f t="shared" ca="1" si="196"/>
        <v>0.24898295582047769</v>
      </c>
      <c r="W80" s="214">
        <f t="shared" ca="1" si="196"/>
        <v>6.1207374594303587E-2</v>
      </c>
      <c r="X80" s="214">
        <f t="shared" ca="1" si="196"/>
        <v>-0.14059590370413089</v>
      </c>
      <c r="Y80" s="214">
        <f t="shared" ca="1" si="196"/>
        <v>-0.18098773786227607</v>
      </c>
      <c r="Z80" s="214">
        <f t="shared" ca="1" si="196"/>
        <v>-0.24545320911402047</v>
      </c>
      <c r="AA80" s="214">
        <f t="shared" ca="1" si="196"/>
        <v>-0.1897863983728969</v>
      </c>
      <c r="AB80" s="214">
        <f t="shared" ca="1" si="196"/>
        <v>-0.25639506877166796</v>
      </c>
      <c r="AC80" s="294">
        <f t="shared" ca="1" si="196"/>
        <v>-0.15698398363170452</v>
      </c>
      <c r="AD80" s="214">
        <f t="shared" ca="1" si="196"/>
        <v>-9.1032194159197277E-2</v>
      </c>
      <c r="AE80" s="214" t="str">
        <f t="shared" ca="1" si="196"/>
        <v>-</v>
      </c>
      <c r="AF80" s="214" t="str">
        <f t="shared" ca="1" si="196"/>
        <v>-</v>
      </c>
      <c r="AG80" s="214" t="str">
        <f t="shared" ca="1" si="196"/>
        <v>-</v>
      </c>
      <c r="AH80" s="214" t="str">
        <f t="shared" ca="1" si="196"/>
        <v>-</v>
      </c>
      <c r="AI80" s="214" t="str">
        <f t="shared" ca="1" si="196"/>
        <v>-</v>
      </c>
      <c r="AJ80" s="214" t="str">
        <f t="shared" ca="1" si="196"/>
        <v>-</v>
      </c>
      <c r="AK80" s="214" t="str">
        <f t="shared" ca="1" si="196"/>
        <v>-</v>
      </c>
      <c r="AL80" s="214" t="str">
        <f t="shared" ca="1" si="196"/>
        <v>-</v>
      </c>
      <c r="AM80" s="214" t="str">
        <f t="shared" ca="1" si="196"/>
        <v>-</v>
      </c>
      <c r="AN80" s="214" t="str">
        <f t="shared" ca="1" si="196"/>
        <v>-</v>
      </c>
      <c r="AO80" s="270" t="str">
        <f t="shared" ca="1" si="196"/>
        <v>-</v>
      </c>
      <c r="AP80" s="274">
        <f t="shared" ca="1" si="193"/>
        <v>-0.17354941123386666</v>
      </c>
      <c r="AQ80" s="275">
        <f t="shared" ca="1" si="194"/>
        <v>5.0106685779470334E-2</v>
      </c>
      <c r="AR80" s="275"/>
      <c r="AS80" s="275" t="str">
        <f t="shared" ref="AS80" ca="1" si="197">IFERROR(IF(AS78=0,"-",(AS78/AS79)-1),"-")</f>
        <v>-</v>
      </c>
      <c r="AT80" s="276"/>
    </row>
    <row r="81" spans="2:47" ht="15.75" x14ac:dyDescent="0.25">
      <c r="B81">
        <v>2</v>
      </c>
      <c r="C81" t="str">
        <f t="shared" si="195"/>
        <v>PC Annual Direct</v>
      </c>
      <c r="D81" t="str">
        <f t="shared" si="192"/>
        <v>Boom Subscription</v>
      </c>
      <c r="E81" s="208" t="s">
        <v>5</v>
      </c>
      <c r="F81" s="332">
        <f ca="1">IFERROR('Current - Sales, NWP, GWP'!E81/IFERROR(VLOOKUP($AV$4-COUNTA($F$4:F$4)+1,'Dev Patterns'!$B$6:$H$48,$B81,0),1),"-")</f>
        <v>1070212.2560720325</v>
      </c>
      <c r="G81" s="332">
        <f ca="1">IFERROR('Current - Sales, NWP, GWP'!F81/IFERROR(VLOOKUP($AV$4-COUNTA($F$4:G$4)+1,'Dev Patterns'!$B$6:$H$48,$B81,0),1),"-")</f>
        <v>1107168.0560714623</v>
      </c>
      <c r="H81" s="332">
        <f ca="1">IFERROR('Current - Sales, NWP, GWP'!G81/IFERROR(VLOOKUP($AV$4-COUNTA($F$4:H$4)+1,'Dev Patterns'!$B$6:$H$48,$B81,0),1),"-")</f>
        <v>1196806.3042855575</v>
      </c>
      <c r="I81" s="332">
        <f ca="1">IFERROR('Current - Sales, NWP, GWP'!H81/IFERROR(VLOOKUP($AV$4-COUNTA($F$4:I$4)+1,'Dev Patterns'!$B$6:$H$48,$B81,0),1),"-")</f>
        <v>1196843.1078571794</v>
      </c>
      <c r="J81" s="332">
        <f ca="1">IFERROR('Current - Sales, NWP, GWP'!I81/IFERROR(VLOOKUP($AV$4-COUNTA($F$4:J$4)+1,'Dev Patterns'!$B$6:$H$48,$B81,0),1),"-")</f>
        <v>1370790.6685737956</v>
      </c>
      <c r="K81" s="332">
        <f ca="1">IFERROR('Current - Sales, NWP, GWP'!J81/IFERROR(VLOOKUP($AV$4-COUNTA($F$4:K$4)+1,'Dev Patterns'!$B$6:$H$48,$B81,0),1),"-")</f>
        <v>1318028.1692854087</v>
      </c>
      <c r="L81" s="332">
        <f ca="1">IFERROR('Current - Sales, NWP, GWP'!K81/IFERROR(VLOOKUP($AV$4-COUNTA($F$4:L$4)+1,'Dev Patterns'!$B$6:$H$48,$B81,0),1),"-")</f>
        <v>1486296.7482147964</v>
      </c>
      <c r="M81" s="332">
        <f ca="1">IFERROR('Current - Sales, NWP, GWP'!L81/IFERROR(VLOOKUP($AV$4-COUNTA($F$4:M$4)+1,'Dev Patterns'!$B$6:$H$48,$B81,0),1),"-")</f>
        <v>1612451.3564286958</v>
      </c>
      <c r="N81" s="332">
        <f ca="1">IFERROR('Current - Sales, NWP, GWP'!M81/IFERROR(VLOOKUP($AV$4-COUNTA($F$4:N$4)+1,'Dev Patterns'!$B$6:$H$48,$B81,0),1),"-")</f>
        <v>1638559.6060715215</v>
      </c>
      <c r="O81" s="332">
        <f ca="1">IFERROR('Current - Sales, NWP, GWP'!N81/IFERROR(VLOOKUP($AV$4-COUNTA($F$4:O$4)+1,'Dev Patterns'!$B$6:$H$48,$B81,0),1),"-")</f>
        <v>1872056.7585720269</v>
      </c>
      <c r="P81" s="332">
        <f ca="1">IFERROR('Current - Sales, NWP, GWP'!O81/IFERROR(VLOOKUP($AV$4-COUNTA($F$4:P$4)+1,'Dev Patterns'!$B$6:$H$48,$B81,0),1),"-")</f>
        <v>2020209.9689292929</v>
      </c>
      <c r="Q81" s="336">
        <f ca="1">IFERROR('Current - Sales, NWP, GWP'!P81/IFERROR(VLOOKUP($AV$4-COUNTA($F$4:Q$4)+1,'Dev Patterns'!$B$6:$H$48,$B81,0),1),"-")</f>
        <v>2154653.3017852441</v>
      </c>
      <c r="R81" s="332">
        <f ca="1">IFERROR('Current - Sales, NWP, GWP'!Q81/IFERROR(VLOOKUP($AV$4-COUNTA($F$4:R$4)+1,'Dev Patterns'!$B$6:$H$48,$B81,0),1),"-")</f>
        <v>1862284.3825005875</v>
      </c>
      <c r="S81" s="332">
        <f ca="1">IFERROR('Current - Sales, NWP, GWP'!R81/IFERROR(VLOOKUP($AV$4-COUNTA($F$4:S$4)+1,'Dev Patterns'!$B$6:$H$48,$B81,0),1),"-")</f>
        <v>1636571.4160711705</v>
      </c>
      <c r="T81" s="332">
        <f ca="1">IFERROR('Current - Sales, NWP, GWP'!S81/IFERROR(VLOOKUP($AV$4-COUNTA($F$4:T$4)+1,'Dev Patterns'!$B$6:$H$48,$B81,0),1),"-")</f>
        <v>1682523.5657136443</v>
      </c>
      <c r="U81" s="332">
        <f ca="1">IFERROR('Current - Sales, NWP, GWP'!T81/IFERROR(VLOOKUP($AV$4-COUNTA($F$4:U$4)+1,'Dev Patterns'!$B$6:$H$48,$B81,0),1),"-")</f>
        <v>1406255.6035711993</v>
      </c>
      <c r="V81" s="332">
        <f ca="1">IFERROR('Current - Sales, NWP, GWP'!U81/IFERROR(VLOOKUP($AV$4-COUNTA($F$4:V$4)+1,'Dev Patterns'!$B$6:$H$48,$B81,0),1),"-")</f>
        <v>1329779.3617862051</v>
      </c>
      <c r="W81" s="332">
        <f ca="1">IFERROR('Current - Sales, NWP, GWP'!V81/IFERROR(VLOOKUP($AV$4-COUNTA($F$4:W$4)+1,'Dev Patterns'!$B$6:$H$48,$B81,0),1),"-")</f>
        <v>1133104.5164289197</v>
      </c>
      <c r="X81" s="332">
        <f ca="1">IFERROR('Current - Sales, NWP, GWP'!W81/IFERROR(VLOOKUP($AV$4-COUNTA($F$4:X$4)+1,'Dev Patterns'!$B$6:$H$48,$B81,0),1),"-")</f>
        <v>1049221.6692862462</v>
      </c>
      <c r="Y81" s="332">
        <f ca="1">IFERROR('Current - Sales, NWP, GWP'!X81/IFERROR(VLOOKUP($AV$4-COUNTA($F$4:Y$4)+1,'Dev Patterns'!$B$6:$H$48,$B81,0),1),"-")</f>
        <v>897208.56535697333</v>
      </c>
      <c r="Z81" s="332">
        <f ca="1">IFERROR('Current - Sales, NWP, GWP'!Y81/IFERROR(VLOOKUP($AV$4-COUNTA($F$4:Z$4)+1,'Dev Patterns'!$B$6:$H$48,$B81,0),1),"-")</f>
        <v>714745.29999965394</v>
      </c>
      <c r="AA81" s="332">
        <f ca="1">IFERROR('Current - Sales, NWP, GWP'!Z81/IFERROR(VLOOKUP($AV$4-COUNTA($F$4:AA$4)+1,'Dev Patterns'!$B$6:$H$48,$B81,0),1),"-")</f>
        <v>578069.01744659815</v>
      </c>
      <c r="AB81" s="332">
        <f ca="1">IFERROR('Current - Sales, NWP, GWP'!AA81/IFERROR(VLOOKUP($AV$4-COUNTA($F$4:AB$4)+1,'Dev Patterns'!$B$6:$H$48,$B81,0),1),"-")</f>
        <v>347876.14257995773</v>
      </c>
      <c r="AC81" s="336">
        <f ca="1">IFERROR('Current - Sales, NWP, GWP'!AB81/IFERROR(VLOOKUP($AV$4-COUNTA($F$4:AC$4)+1,'Dev Patterns'!$B$6:$H$48,$B81,0),1),"-")</f>
        <v>196314.1312985298</v>
      </c>
      <c r="AD81" s="332">
        <f ca="1">IFERROR('Current - Sales, NWP, GWP'!AC81/IFERROR(VLOOKUP($AV$4-COUNTA($F$4:AD$4)+1,'Dev Patterns'!$B$6:$H$48,$B81,0),1),"-")</f>
        <v>29836.854956771182</v>
      </c>
      <c r="AE81" s="332">
        <f ca="1">IFERROR('Current - Sales, NWP, GWP'!AD81/IFERROR(VLOOKUP($AV$4-COUNTA($F$4:AE$4)+1,'Dev Patterns'!$B$6:$H$48,$B81,0),1),"-")</f>
        <v>0</v>
      </c>
      <c r="AF81" s="332">
        <f ca="1">IFERROR('Current - Sales, NWP, GWP'!AE81/IFERROR(VLOOKUP($AV$4-COUNTA($F$4:AF$4)+1,'Dev Patterns'!$B$6:$H$48,$B81,0),1),"-")</f>
        <v>0</v>
      </c>
      <c r="AG81" s="332">
        <f ca="1">IFERROR('Current - Sales, NWP, GWP'!AF81/IFERROR(VLOOKUP($AV$4-COUNTA($F$4:AG$4)+1,'Dev Patterns'!$B$6:$H$48,$B81,0),1),"-")</f>
        <v>0</v>
      </c>
      <c r="AH81" s="332">
        <f ca="1">IFERROR('Current - Sales, NWP, GWP'!AG81/IFERROR(VLOOKUP($AV$4-COUNTA($F$4:AH$4)+1,'Dev Patterns'!$B$6:$H$48,$B81,0),1),"-")</f>
        <v>0</v>
      </c>
      <c r="AI81" s="332">
        <f ca="1">IFERROR('Current - Sales, NWP, GWP'!AH81/IFERROR(VLOOKUP($AV$4-COUNTA($F$4:AI$4)+1,'Dev Patterns'!$B$6:$H$48,$B81,0),1),"-")</f>
        <v>0</v>
      </c>
      <c r="AJ81" s="332">
        <f ca="1">IFERROR('Current - Sales, NWP, GWP'!AI81/IFERROR(VLOOKUP($AV$4-COUNTA($F$4:AJ$4)+1,'Dev Patterns'!$B$6:$H$48,$B81,0),1),"-")</f>
        <v>0</v>
      </c>
      <c r="AK81" s="332">
        <f ca="1">IFERROR('Current - Sales, NWP, GWP'!AJ81/IFERROR(VLOOKUP($AV$4-COUNTA($F$4:AK$4)+1,'Dev Patterns'!$B$6:$H$48,$B81,0),1),"-")</f>
        <v>0</v>
      </c>
      <c r="AL81" s="332">
        <f ca="1">IFERROR('Current - Sales, NWP, GWP'!AK81/IFERROR(VLOOKUP($AV$4-COUNTA($F$4:AL$4)+1,'Dev Patterns'!$B$6:$H$48,$B81,0),1),"-")</f>
        <v>0</v>
      </c>
      <c r="AM81" s="332">
        <f ca="1">IFERROR('Current - Sales, NWP, GWP'!AL81/IFERROR(VLOOKUP($AV$4-COUNTA($F$4:AM$4)+1,'Dev Patterns'!$B$6:$H$48,$B81,0),1),"-")</f>
        <v>0</v>
      </c>
      <c r="AN81" s="332">
        <f ca="1">IFERROR('Current - Sales, NWP, GWP'!AM81/IFERROR(VLOOKUP($AV$4-COUNTA($F$4:AN$4)+1,'Dev Patterns'!$B$6:$H$48,$B81,0),1),"-")</f>
        <v>0</v>
      </c>
      <c r="AO81" s="334">
        <f ca="1">IFERROR('Current - Sales, NWP, GWP'!AN81/IFERROR(VLOOKUP($AV$4-COUNTA($F$4:AO$4)+1,'Dev Patterns'!$B$6:$H$48,$B81,0),1),"-")</f>
        <v>0</v>
      </c>
      <c r="AP81" s="335">
        <f ca="1">IFERROR(AVERAGE(INDEX($F81:$AO81, $AV$4 - 3):INDEX($F81:$AO81, $AV$4)),"-")</f>
        <v>0</v>
      </c>
      <c r="AQ81" s="332">
        <f ca="1">IFERROR(AVERAGE(INDEX($F81:$AO81, $AV$4 - 11):INDEX($F81:$AO81, $AV$4)),"-")</f>
        <v>155570.12052345925</v>
      </c>
      <c r="AR81" s="332" cm="1">
        <f t="array" aca="1" ref="AR81" ca="1">IFERROR(SUMPRODUCT(IFERROR((YEAR($F$4:$AO$4)=2024)*$F81:$AO81,0)),"-")</f>
        <v>12833953.672039684</v>
      </c>
      <c r="AS81" s="332">
        <f ca="1">IFERROR(SUM(INDEX($F81:$AO81, $AV$4 - MONTH(TODAY())-11):INDEX($F81:$AO81, $AV$4-12)),"-")</f>
        <v>10996949.080714945</v>
      </c>
      <c r="AT81" s="336">
        <f ca="1">IFERROR(SUM(INDEX($F81:$AO81, $AV$4 - MONTH(TODAY())+1):INDEX($F81:$AO81, $AV$4)),"-")</f>
        <v>29836.854956771182</v>
      </c>
    </row>
    <row r="82" spans="2:47" ht="15.75" x14ac:dyDescent="0.25">
      <c r="C82" t="str">
        <f>$E$92&amp;"_NWP"</f>
        <v>PC Annual Direct - Subscription_NWP</v>
      </c>
      <c r="D82" t="str">
        <f t="shared" si="192"/>
        <v>Boom Subscription</v>
      </c>
      <c r="E82" s="211" t="s">
        <v>6</v>
      </c>
      <c r="F82" s="333" t="str">
        <f>INDEX('Plan Figures'!$B$5:$AP$42,MATCH('Ultimate - Sales, NWP, GWP'!F$4,'Plan Figures'!$B$5:$B$42,0),MATCH('Ultimate - Sales, NWP, GWP'!$C82,'Plan Figures'!$B$1:$AP$1,0))</f>
        <v>-</v>
      </c>
      <c r="G82" s="333" t="str">
        <f>INDEX('Plan Figures'!$B$5:$AP$42,MATCH('Ultimate - Sales, NWP, GWP'!G$4,'Plan Figures'!$B$5:$B$42,0),MATCH('Ultimate - Sales, NWP, GWP'!$C82,'Plan Figures'!$B$1:$AP$1,0))</f>
        <v>-</v>
      </c>
      <c r="H82" s="333" t="str">
        <f>INDEX('Plan Figures'!$B$5:$AP$42,MATCH('Ultimate - Sales, NWP, GWP'!H$4,'Plan Figures'!$B$5:$B$42,0),MATCH('Ultimate - Sales, NWP, GWP'!$C82,'Plan Figures'!$B$1:$AP$1,0))</f>
        <v>-</v>
      </c>
      <c r="I82" s="333" t="str">
        <f>INDEX('Plan Figures'!$B$5:$AP$42,MATCH('Ultimate - Sales, NWP, GWP'!I$4,'Plan Figures'!$B$5:$B$42,0),MATCH('Ultimate - Sales, NWP, GWP'!$C82,'Plan Figures'!$B$1:$AP$1,0))</f>
        <v>-</v>
      </c>
      <c r="J82" s="333" t="str">
        <f>INDEX('Plan Figures'!$B$5:$AP$42,MATCH('Ultimate - Sales, NWP, GWP'!J$4,'Plan Figures'!$B$5:$B$42,0),MATCH('Ultimate - Sales, NWP, GWP'!$C82,'Plan Figures'!$B$1:$AP$1,0))</f>
        <v>-</v>
      </c>
      <c r="K82" s="333" t="str">
        <f>INDEX('Plan Figures'!$B$5:$AP$42,MATCH('Ultimate - Sales, NWP, GWP'!K$4,'Plan Figures'!$B$5:$B$42,0),MATCH('Ultimate - Sales, NWP, GWP'!$C82,'Plan Figures'!$B$1:$AP$1,0))</f>
        <v>-</v>
      </c>
      <c r="L82" s="333" t="str">
        <f>INDEX('Plan Figures'!$B$5:$AP$42,MATCH('Ultimate - Sales, NWP, GWP'!L$4,'Plan Figures'!$B$5:$B$42,0),MATCH('Ultimate - Sales, NWP, GWP'!$C82,'Plan Figures'!$B$1:$AP$1,0))</f>
        <v>-</v>
      </c>
      <c r="M82" s="333" t="str">
        <f>INDEX('Plan Figures'!$B$5:$AP$42,MATCH('Ultimate - Sales, NWP, GWP'!M$4,'Plan Figures'!$B$5:$B$42,0),MATCH('Ultimate - Sales, NWP, GWP'!$C82,'Plan Figures'!$B$1:$AP$1,0))</f>
        <v>-</v>
      </c>
      <c r="N82" s="333" t="str">
        <f>INDEX('Plan Figures'!$B$5:$AP$42,MATCH('Ultimate - Sales, NWP, GWP'!N$4,'Plan Figures'!$B$5:$B$42,0),MATCH('Ultimate - Sales, NWP, GWP'!$C82,'Plan Figures'!$B$1:$AP$1,0))</f>
        <v>-</v>
      </c>
      <c r="O82" s="333" t="str">
        <f>INDEX('Plan Figures'!$B$5:$AP$42,MATCH('Ultimate - Sales, NWP, GWP'!O$4,'Plan Figures'!$B$5:$B$42,0),MATCH('Ultimate - Sales, NWP, GWP'!$C82,'Plan Figures'!$B$1:$AP$1,0))</f>
        <v>-</v>
      </c>
      <c r="P82" s="333">
        <f>INDEX('Plan Figures'!$B$5:$AP$42,MATCH('Ultimate - Sales, NWP, GWP'!P$4,'Plan Figures'!$B$5:$B$42,0),MATCH('Ultimate - Sales, NWP, GWP'!$C82,'Plan Figures'!$B$1:$AP$1,0))</f>
        <v>1811220.2312349698</v>
      </c>
      <c r="Q82" s="339">
        <f>INDEX('Plan Figures'!$B$5:$AP$42,MATCH('Ultimate - Sales, NWP, GWP'!Q$4,'Plan Figures'!$B$5:$B$42,0),MATCH('Ultimate - Sales, NWP, GWP'!$C82,'Plan Figures'!$B$1:$AP$1,0))</f>
        <v>1916096.3475731572</v>
      </c>
      <c r="R82" s="333">
        <f>INDEX('Plan Figures'!$B$5:$AP$42,MATCH('Ultimate - Sales, NWP, GWP'!R$4,'Plan Figures'!$B$5:$B$42,0),MATCH('Ultimate - Sales, NWP, GWP'!$C82,'Plan Figures'!$B$1:$AP$1,0))</f>
        <v>2026245.4879278806</v>
      </c>
      <c r="S82" s="333">
        <f>INDEX('Plan Figures'!$B$5:$AP$42,MATCH('Ultimate - Sales, NWP, GWP'!S$4,'Plan Figures'!$B$5:$B$42,0),MATCH('Ultimate - Sales, NWP, GWP'!$C82,'Plan Figures'!$B$1:$AP$1,0))</f>
        <v>2073314.966746679</v>
      </c>
      <c r="T82" s="333">
        <f>INDEX('Plan Figures'!$B$5:$AP$42,MATCH('Ultimate - Sales, NWP, GWP'!T$4,'Plan Figures'!$B$5:$B$42,0),MATCH('Ultimate - Sales, NWP, GWP'!$C82,'Plan Figures'!$B$1:$AP$1,0))</f>
        <v>1955902.6469528598</v>
      </c>
      <c r="U82" s="333">
        <f>INDEX('Plan Figures'!$B$5:$AP$42,MATCH('Ultimate - Sales, NWP, GWP'!U$4,'Plan Figures'!$B$5:$B$42,0),MATCH('Ultimate - Sales, NWP, GWP'!$C82,'Plan Figures'!$B$1:$AP$1,0))</f>
        <v>1768843.0862598093</v>
      </c>
      <c r="V82" s="333">
        <f>INDEX('Plan Figures'!$B$5:$AP$42,MATCH('Ultimate - Sales, NWP, GWP'!V$4,'Plan Figures'!$B$5:$B$42,0),MATCH('Ultimate - Sales, NWP, GWP'!$C82,'Plan Figures'!$B$1:$AP$1,0))</f>
        <v>1606725.6641009036</v>
      </c>
      <c r="W82" s="333">
        <f>INDEX('Plan Figures'!$B$5:$AP$42,MATCH('Ultimate - Sales, NWP, GWP'!W$4,'Plan Figures'!$B$5:$B$42,0),MATCH('Ultimate - Sales, NWP, GWP'!$C82,'Plan Figures'!$B$1:$AP$1,0))</f>
        <v>1443312.9653584959</v>
      </c>
      <c r="X82" s="333">
        <f>INDEX('Plan Figures'!$B$5:$AP$42,MATCH('Ultimate - Sales, NWP, GWP'!X$4,'Plan Figures'!$B$5:$B$42,0),MATCH('Ultimate - Sales, NWP, GWP'!$C82,'Plan Figures'!$B$1:$AP$1,0))</f>
        <v>1349487.1149863317</v>
      </c>
      <c r="Y82" s="333">
        <f>INDEX('Plan Figures'!$B$5:$AP$42,MATCH('Ultimate - Sales, NWP, GWP'!Y$4,'Plan Figures'!$B$5:$B$42,0),MATCH('Ultimate - Sales, NWP, GWP'!$C82,'Plan Figures'!$B$1:$AP$1,0))</f>
        <v>1181466.7154575591</v>
      </c>
      <c r="Z82" s="333">
        <f>INDEX('Plan Figures'!$B$5:$AP$42,MATCH('Ultimate - Sales, NWP, GWP'!Z$4,'Plan Figures'!$B$5:$B$42,0),MATCH('Ultimate - Sales, NWP, GWP'!$C82,'Plan Figures'!$B$1:$AP$1,0))</f>
        <v>1008629.6841870487</v>
      </c>
      <c r="AA82" s="333">
        <f>INDEX('Plan Figures'!$B$5:$AP$42,MATCH('Ultimate - Sales, NWP, GWP'!AA$4,'Plan Figures'!$B$5:$B$42,0),MATCH('Ultimate - Sales, NWP, GWP'!$C82,'Plan Figures'!$B$1:$AP$1,0))</f>
        <v>770515.80233695055</v>
      </c>
      <c r="AB82" s="333">
        <f>INDEX('Plan Figures'!$B$5:$AP$42,MATCH('Ultimate - Sales, NWP, GWP'!AB$4,'Plan Figures'!$B$5:$B$42,0),MATCH('Ultimate - Sales, NWP, GWP'!$C82,'Plan Figures'!$B$1:$AP$1,0))</f>
        <v>485375.48606279783</v>
      </c>
      <c r="AC82" s="339">
        <f>INDEX('Plan Figures'!$B$5:$AP$42,MATCH('Ultimate - Sales, NWP, GWP'!AC$4,'Plan Figures'!$B$5:$B$42,0),MATCH('Ultimate - Sales, NWP, GWP'!$C82,'Plan Figures'!$B$1:$AP$1,0))</f>
        <v>234050.2177927887</v>
      </c>
      <c r="AD82" s="333">
        <f>INDEX('Plan Figures'!$B$5:$AP$42,MATCH('Ultimate - Sales, NWP, GWP'!AD$4,'Plan Figures'!$B$5:$B$42,0),MATCH('Ultimate - Sales, NWP, GWP'!$C82,'Plan Figures'!$B$1:$AP$1,0))</f>
        <v>32401.885836908965</v>
      </c>
      <c r="AE82" s="333">
        <f>INDEX('Plan Figures'!$B$5:$AP$42,MATCH('Ultimate - Sales, NWP, GWP'!AE$4,'Plan Figures'!$B$5:$B$42,0),MATCH('Ultimate - Sales, NWP, GWP'!$C82,'Plan Figures'!$B$1:$AP$1,0))</f>
        <v>0</v>
      </c>
      <c r="AF82" s="333">
        <f>INDEX('Plan Figures'!$B$5:$AP$42,MATCH('Ultimate - Sales, NWP, GWP'!AF$4,'Plan Figures'!$B$5:$B$42,0),MATCH('Ultimate - Sales, NWP, GWP'!$C82,'Plan Figures'!$B$1:$AP$1,0))</f>
        <v>0</v>
      </c>
      <c r="AG82" s="333">
        <f>INDEX('Plan Figures'!$B$5:$AP$42,MATCH('Ultimate - Sales, NWP, GWP'!AG$4,'Plan Figures'!$B$5:$B$42,0),MATCH('Ultimate - Sales, NWP, GWP'!$C82,'Plan Figures'!$B$1:$AP$1,0))</f>
        <v>0</v>
      </c>
      <c r="AH82" s="333">
        <f>INDEX('Plan Figures'!$B$5:$AP$42,MATCH('Ultimate - Sales, NWP, GWP'!AH$4,'Plan Figures'!$B$5:$B$42,0),MATCH('Ultimate - Sales, NWP, GWP'!$C82,'Plan Figures'!$B$1:$AP$1,0))</f>
        <v>0</v>
      </c>
      <c r="AI82" s="333">
        <f>INDEX('Plan Figures'!$B$5:$AP$42,MATCH('Ultimate - Sales, NWP, GWP'!AI$4,'Plan Figures'!$B$5:$B$42,0),MATCH('Ultimate - Sales, NWP, GWP'!$C82,'Plan Figures'!$B$1:$AP$1,0))</f>
        <v>0</v>
      </c>
      <c r="AJ82" s="333">
        <f>INDEX('Plan Figures'!$B$5:$AP$42,MATCH('Ultimate - Sales, NWP, GWP'!AJ$4,'Plan Figures'!$B$5:$B$42,0),MATCH('Ultimate - Sales, NWP, GWP'!$C82,'Plan Figures'!$B$1:$AP$1,0))</f>
        <v>0</v>
      </c>
      <c r="AK82" s="333">
        <f>INDEX('Plan Figures'!$B$5:$AP$42,MATCH('Ultimate - Sales, NWP, GWP'!AK$4,'Plan Figures'!$B$5:$B$42,0),MATCH('Ultimate - Sales, NWP, GWP'!$C82,'Plan Figures'!$B$1:$AP$1,0))</f>
        <v>0</v>
      </c>
      <c r="AL82" s="333">
        <f>INDEX('Plan Figures'!$B$5:$AP$42,MATCH('Ultimate - Sales, NWP, GWP'!AL$4,'Plan Figures'!$B$5:$B$42,0),MATCH('Ultimate - Sales, NWP, GWP'!$C82,'Plan Figures'!$B$1:$AP$1,0))</f>
        <v>0</v>
      </c>
      <c r="AM82" s="333">
        <f>INDEX('Plan Figures'!$B$5:$AP$42,MATCH('Ultimate - Sales, NWP, GWP'!AM$4,'Plan Figures'!$B$5:$B$42,0),MATCH('Ultimate - Sales, NWP, GWP'!$C82,'Plan Figures'!$B$1:$AP$1,0))</f>
        <v>0</v>
      </c>
      <c r="AN82" s="333">
        <f>INDEX('Plan Figures'!$B$5:$AP$42,MATCH('Ultimate - Sales, NWP, GWP'!AN$4,'Plan Figures'!$B$5:$B$42,0),MATCH('Ultimate - Sales, NWP, GWP'!$C82,'Plan Figures'!$B$1:$AP$1,0))</f>
        <v>0</v>
      </c>
      <c r="AO82" s="337">
        <f>INDEX('Plan Figures'!$B$5:$AP$42,MATCH('Ultimate - Sales, NWP, GWP'!AO$4,'Plan Figures'!$B$5:$B$42,0),MATCH('Ultimate - Sales, NWP, GWP'!$C82,'Plan Figures'!$B$1:$AP$1,0))</f>
        <v>0</v>
      </c>
      <c r="AP82" s="338">
        <f ca="1">IFERROR(AVERAGE(INDEX($F82:$AO82, $AV$4 - 3):INDEX($F82:$AO82, $AV$4)),"-")</f>
        <v>0</v>
      </c>
      <c r="AQ82" s="333">
        <f ca="1">IFERROR(AVERAGE(INDEX($F82:$AO82, $AV$4 - 11):INDEX($F82:$AO82, $AV$4)),"-")</f>
        <v>210914.42301804121</v>
      </c>
      <c r="AR82" s="333" t="str" cm="1">
        <f t="array" ref="AR82">IFERROR(SUMPRODUCT((YEAR($F$4:$AO$4)=2024)*$F82:$AO82),"-")</f>
        <v>-</v>
      </c>
      <c r="AS82" s="333" t="s">
        <v>491</v>
      </c>
      <c r="AT82" s="339">
        <f ca="1">IFERROR(SUM(INDEX($F82:$AO82, $AV$4 - MONTH(TODAY())+1):INDEX($F82:$AO82, $AV$4)),"-")</f>
        <v>32401.885836908965</v>
      </c>
    </row>
    <row r="83" spans="2:47" ht="15.75" x14ac:dyDescent="0.25">
      <c r="C83" t="str">
        <f t="shared" si="195"/>
        <v>PC Annual Direct</v>
      </c>
      <c r="D83" t="str">
        <f t="shared" si="192"/>
        <v>Boom Subscription</v>
      </c>
      <c r="E83" s="213" t="s">
        <v>0</v>
      </c>
      <c r="F83" s="214" t="str">
        <f t="shared" ref="F83:AO83" ca="1" si="198">IFERROR(IF(F81=0,"-",(F81/F82)-1),"-")</f>
        <v>-</v>
      </c>
      <c r="G83" s="214" t="str">
        <f t="shared" ca="1" si="198"/>
        <v>-</v>
      </c>
      <c r="H83" s="214" t="str">
        <f t="shared" ca="1" si="198"/>
        <v>-</v>
      </c>
      <c r="I83" s="214" t="str">
        <f t="shared" ca="1" si="198"/>
        <v>-</v>
      </c>
      <c r="J83" s="214" t="str">
        <f t="shared" ca="1" si="198"/>
        <v>-</v>
      </c>
      <c r="K83" s="214" t="str">
        <f t="shared" ca="1" si="198"/>
        <v>-</v>
      </c>
      <c r="L83" s="214" t="str">
        <f t="shared" ca="1" si="198"/>
        <v>-</v>
      </c>
      <c r="M83" s="214" t="str">
        <f t="shared" ca="1" si="198"/>
        <v>-</v>
      </c>
      <c r="N83" s="214" t="str">
        <f t="shared" ca="1" si="198"/>
        <v>-</v>
      </c>
      <c r="O83" s="214" t="str">
        <f t="shared" ca="1" si="198"/>
        <v>-</v>
      </c>
      <c r="P83" s="214">
        <f t="shared" ca="1" si="198"/>
        <v>0.11538615464328417</v>
      </c>
      <c r="Q83" s="294">
        <f t="shared" ca="1" si="198"/>
        <v>0.12450154425388504</v>
      </c>
      <c r="R83" s="214">
        <f t="shared" ca="1" si="198"/>
        <v>-8.0918677625269497E-2</v>
      </c>
      <c r="S83" s="214">
        <f t="shared" ca="1" si="198"/>
        <v>-0.21064988083350411</v>
      </c>
      <c r="T83" s="214">
        <f t="shared" ca="1" si="198"/>
        <v>-0.13977131308918589</v>
      </c>
      <c r="U83" s="214">
        <f t="shared" ca="1" si="198"/>
        <v>-0.20498566860178391</v>
      </c>
      <c r="V83" s="214">
        <f t="shared" ca="1" si="198"/>
        <v>-0.17236688782815512</v>
      </c>
      <c r="W83" s="214">
        <f t="shared" ca="1" si="198"/>
        <v>-0.21492805536637394</v>
      </c>
      <c r="X83" s="214">
        <f t="shared" ca="1" si="198"/>
        <v>-0.22250338099977096</v>
      </c>
      <c r="Y83" s="214">
        <f t="shared" ca="1" si="198"/>
        <v>-0.24059767946192046</v>
      </c>
      <c r="Z83" s="214">
        <f t="shared" ca="1" si="198"/>
        <v>-0.29136995350703399</v>
      </c>
      <c r="AA83" s="214">
        <f t="shared" ca="1" si="198"/>
        <v>-0.24976357954848849</v>
      </c>
      <c r="AB83" s="214">
        <f t="shared" ca="1" si="198"/>
        <v>-0.28328448269645501</v>
      </c>
      <c r="AC83" s="294">
        <f t="shared" ca="1" si="198"/>
        <v>-0.16123072582512066</v>
      </c>
      <c r="AD83" s="214">
        <f t="shared" ca="1" si="198"/>
        <v>-7.9163012086659434E-2</v>
      </c>
      <c r="AE83" s="214" t="str">
        <f t="shared" ca="1" si="198"/>
        <v>-</v>
      </c>
      <c r="AF83" s="214" t="str">
        <f t="shared" ca="1" si="198"/>
        <v>-</v>
      </c>
      <c r="AG83" s="214" t="str">
        <f t="shared" ca="1" si="198"/>
        <v>-</v>
      </c>
      <c r="AH83" s="214" t="str">
        <f t="shared" ca="1" si="198"/>
        <v>-</v>
      </c>
      <c r="AI83" s="214" t="str">
        <f t="shared" ca="1" si="198"/>
        <v>-</v>
      </c>
      <c r="AJ83" s="214" t="str">
        <f t="shared" ca="1" si="198"/>
        <v>-</v>
      </c>
      <c r="AK83" s="214" t="str">
        <f t="shared" ca="1" si="198"/>
        <v>-</v>
      </c>
      <c r="AL83" s="214" t="str">
        <f t="shared" ca="1" si="198"/>
        <v>-</v>
      </c>
      <c r="AM83" s="214" t="str">
        <f t="shared" ca="1" si="198"/>
        <v>-</v>
      </c>
      <c r="AN83" s="214" t="str">
        <f t="shared" ca="1" si="198"/>
        <v>-</v>
      </c>
      <c r="AO83" s="215" t="str">
        <f t="shared" ca="1" si="198"/>
        <v>-</v>
      </c>
      <c r="AP83" s="242" t="str">
        <f ca="1">IFERROR(IF(AP81=0,"-",(AP81/AP82)-1),"-")</f>
        <v>-</v>
      </c>
      <c r="AQ83" s="242">
        <f ca="1">IFERROR(IF(AQ81=0,"-",(AQ81/AQ82)-1),"-")</f>
        <v>-0.26240169687137949</v>
      </c>
      <c r="AR83" s="242"/>
      <c r="AS83" s="242"/>
      <c r="AT83" s="243">
        <f ca="1">IFERROR(IF(AT81=0,"-",(AT81/AT82)-1),"-")</f>
        <v>-7.9163012086659434E-2</v>
      </c>
    </row>
    <row r="84" spans="2:47" ht="15.75" x14ac:dyDescent="0.25">
      <c r="C84" t="str">
        <f t="shared" si="195"/>
        <v>PC Annual Direct</v>
      </c>
      <c r="D84" t="str">
        <f t="shared" si="192"/>
        <v>Boom Subscription</v>
      </c>
      <c r="E84" s="208" t="s">
        <v>302</v>
      </c>
      <c r="F84" s="332">
        <f ca="1">IFERROR(F81/F78,"-")</f>
        <v>1289.361284955276</v>
      </c>
      <c r="G84" s="332">
        <f t="shared" ref="G84:AO84" ca="1" si="199">IFERROR(G81/G78,"-")</f>
        <v>1438.4077451233379</v>
      </c>
      <c r="H84" s="332">
        <f t="shared" ca="1" si="199"/>
        <v>1099.4591131373888</v>
      </c>
      <c r="I84" s="332">
        <f t="shared" ca="1" si="199"/>
        <v>1139.3702821066786</v>
      </c>
      <c r="J84" s="332">
        <f t="shared" ca="1" si="199"/>
        <v>1093.5395510000556</v>
      </c>
      <c r="K84" s="332">
        <f t="shared" ca="1" si="199"/>
        <v>1084.3432999065137</v>
      </c>
      <c r="L84" s="332">
        <f t="shared" ca="1" si="199"/>
        <v>1100.1656563025626</v>
      </c>
      <c r="M84" s="332">
        <f t="shared" ca="1" si="199"/>
        <v>1162.9515267915554</v>
      </c>
      <c r="N84" s="332">
        <f t="shared" ca="1" si="199"/>
        <v>1255.0205309034025</v>
      </c>
      <c r="O84" s="332">
        <f t="shared" ca="1" si="199"/>
        <v>1309.1781270192407</v>
      </c>
      <c r="P84" s="332">
        <f t="shared" ca="1" si="199"/>
        <v>1434.5715930639899</v>
      </c>
      <c r="Q84" s="336">
        <f t="shared" ca="1" si="199"/>
        <v>1359.0747239313944</v>
      </c>
      <c r="R84" s="332">
        <f t="shared" ca="1" si="199"/>
        <v>1167.9625552231946</v>
      </c>
      <c r="S84" s="332">
        <f t="shared" ca="1" si="199"/>
        <v>1260.1803397666636</v>
      </c>
      <c r="T84" s="332">
        <f t="shared" ca="1" si="199"/>
        <v>1213.9779624097966</v>
      </c>
      <c r="U84" s="332">
        <f t="shared" ca="1" si="199"/>
        <v>1268.3714631183075</v>
      </c>
      <c r="V84" s="332">
        <f t="shared" ca="1" si="199"/>
        <v>1278.1928976732277</v>
      </c>
      <c r="W84" s="332">
        <f t="shared" ca="1" si="199"/>
        <v>1325.7867323249668</v>
      </c>
      <c r="X84" s="332">
        <f t="shared" ca="1" si="199"/>
        <v>1279.2821666972416</v>
      </c>
      <c r="Y84" s="332">
        <f t="shared" ca="1" si="199"/>
        <v>1292.3995677325629</v>
      </c>
      <c r="Z84" s="332">
        <f t="shared" ca="1" si="199"/>
        <v>1281.6984755228157</v>
      </c>
      <c r="AA84" s="332">
        <f t="shared" ca="1" si="199"/>
        <v>1243.156171754081</v>
      </c>
      <c r="AB84" s="332">
        <f t="shared" ca="1" si="199"/>
        <v>1283.3935188261157</v>
      </c>
      <c r="AC84" s="336">
        <f t="shared" ca="1" si="199"/>
        <v>1285.9358892464229</v>
      </c>
      <c r="AD84" s="332">
        <f t="shared" ca="1" si="199"/>
        <v>1144.8361605081147</v>
      </c>
      <c r="AE84" s="332" t="str">
        <f t="shared" ca="1" si="199"/>
        <v>-</v>
      </c>
      <c r="AF84" s="332" t="str">
        <f t="shared" ca="1" si="199"/>
        <v>-</v>
      </c>
      <c r="AG84" s="332" t="str">
        <f t="shared" ca="1" si="199"/>
        <v>-</v>
      </c>
      <c r="AH84" s="332" t="str">
        <f t="shared" ca="1" si="199"/>
        <v>-</v>
      </c>
      <c r="AI84" s="332" t="str">
        <f t="shared" ca="1" si="199"/>
        <v>-</v>
      </c>
      <c r="AJ84" s="332" t="str">
        <f t="shared" ca="1" si="199"/>
        <v>-</v>
      </c>
      <c r="AK84" s="332" t="str">
        <f t="shared" ca="1" si="199"/>
        <v>-</v>
      </c>
      <c r="AL84" s="332" t="str">
        <f t="shared" ca="1" si="199"/>
        <v>-</v>
      </c>
      <c r="AM84" s="332" t="str">
        <f t="shared" ca="1" si="199"/>
        <v>-</v>
      </c>
      <c r="AN84" s="332" t="str">
        <f t="shared" ca="1" si="199"/>
        <v>-</v>
      </c>
      <c r="AO84" s="334" t="str">
        <f t="shared" ca="1" si="199"/>
        <v>-</v>
      </c>
      <c r="AP84" s="335" t="str">
        <f ca="1">IFERROR(AP81/AP78,"-")</f>
        <v>-</v>
      </c>
      <c r="AQ84" s="332">
        <f t="shared" ref="AQ84:AT84" ca="1" si="200">IFERROR(AQ81/AQ78,"-")</f>
        <v>1267.8556138563108</v>
      </c>
      <c r="AR84" s="332">
        <f t="shared" ca="1" si="200"/>
        <v>1252.8743828831584</v>
      </c>
      <c r="AS84" s="332">
        <f t="shared" ca="1" si="200"/>
        <v>1250.0468256957197</v>
      </c>
      <c r="AT84" s="336">
        <f t="shared" ca="1" si="200"/>
        <v>1144.8361605081147</v>
      </c>
    </row>
    <row r="85" spans="2:47" ht="15.75" hidden="1" x14ac:dyDescent="0.25">
      <c r="C85" t="str">
        <f t="shared" si="195"/>
        <v>PC Annual Direct</v>
      </c>
      <c r="D85" t="str">
        <f t="shared" si="192"/>
        <v>Boom Subscription</v>
      </c>
      <c r="E85" s="211" t="s">
        <v>303</v>
      </c>
      <c r="F85" s="333">
        <f>IFERROR(F82/F79,0)</f>
        <v>0</v>
      </c>
      <c r="G85" s="333">
        <f t="shared" ref="G85:AQ85" si="201">IFERROR(G82/G79,0)</f>
        <v>0</v>
      </c>
      <c r="H85" s="333">
        <f t="shared" si="201"/>
        <v>0</v>
      </c>
      <c r="I85" s="333">
        <f t="shared" si="201"/>
        <v>0</v>
      </c>
      <c r="J85" s="333">
        <f t="shared" si="201"/>
        <v>0</v>
      </c>
      <c r="K85" s="333">
        <f t="shared" si="201"/>
        <v>0</v>
      </c>
      <c r="L85" s="333">
        <f t="shared" si="201"/>
        <v>0</v>
      </c>
      <c r="M85" s="333">
        <f t="shared" si="201"/>
        <v>0</v>
      </c>
      <c r="N85" s="333">
        <f t="shared" si="201"/>
        <v>0</v>
      </c>
      <c r="O85" s="333">
        <f t="shared" si="201"/>
        <v>0</v>
      </c>
      <c r="P85" s="333">
        <f t="shared" si="201"/>
        <v>2940.6120463449633</v>
      </c>
      <c r="Q85" s="339">
        <f t="shared" si="201"/>
        <v>2508.8727069841393</v>
      </c>
      <c r="R85" s="333">
        <f t="shared" si="201"/>
        <v>2431.6579366113488</v>
      </c>
      <c r="S85" s="333">
        <f t="shared" si="201"/>
        <v>2488.1451058234757</v>
      </c>
      <c r="T85" s="333">
        <f t="shared" si="201"/>
        <v>2347.2408565685837</v>
      </c>
      <c r="U85" s="333">
        <f t="shared" si="201"/>
        <v>2122.7543034395003</v>
      </c>
      <c r="V85" s="333">
        <f t="shared" si="201"/>
        <v>1928.923722318608</v>
      </c>
      <c r="W85" s="333">
        <f t="shared" si="201"/>
        <v>1792.1092036209764</v>
      </c>
      <c r="X85" s="333">
        <f t="shared" si="201"/>
        <v>1414.0515952231303</v>
      </c>
      <c r="Y85" s="333">
        <f t="shared" si="201"/>
        <v>1393.8475889887482</v>
      </c>
      <c r="Z85" s="333">
        <f t="shared" si="201"/>
        <v>1364.7480464248031</v>
      </c>
      <c r="AA85" s="333">
        <f t="shared" si="201"/>
        <v>1342.5395140050166</v>
      </c>
      <c r="AB85" s="333">
        <f t="shared" si="201"/>
        <v>1331.5433059075201</v>
      </c>
      <c r="AC85" s="339">
        <f t="shared" si="201"/>
        <v>1292.44666445843</v>
      </c>
      <c r="AD85" s="333">
        <f t="shared" si="201"/>
        <v>1130.0797280334727</v>
      </c>
      <c r="AE85" s="333">
        <f t="shared" si="201"/>
        <v>0</v>
      </c>
      <c r="AF85" s="333">
        <f t="shared" si="201"/>
        <v>0</v>
      </c>
      <c r="AG85" s="333">
        <f t="shared" si="201"/>
        <v>0</v>
      </c>
      <c r="AH85" s="333">
        <f t="shared" si="201"/>
        <v>0</v>
      </c>
      <c r="AI85" s="333">
        <f t="shared" si="201"/>
        <v>0</v>
      </c>
      <c r="AJ85" s="333">
        <f t="shared" si="201"/>
        <v>0</v>
      </c>
      <c r="AK85" s="333">
        <f t="shared" si="201"/>
        <v>0</v>
      </c>
      <c r="AL85" s="333">
        <f t="shared" si="201"/>
        <v>0</v>
      </c>
      <c r="AM85" s="333">
        <f t="shared" si="201"/>
        <v>0</v>
      </c>
      <c r="AN85" s="333">
        <f t="shared" si="201"/>
        <v>0</v>
      </c>
      <c r="AO85" s="337">
        <f t="shared" si="201"/>
        <v>0</v>
      </c>
      <c r="AP85" s="338">
        <f t="shared" ca="1" si="201"/>
        <v>0</v>
      </c>
      <c r="AQ85" s="333">
        <f t="shared" ca="1" si="201"/>
        <v>323.34761811600771</v>
      </c>
      <c r="AR85" s="333"/>
      <c r="AS85" s="333">
        <f>SUMIFS(AD85:AO85,AD$4:AO$4,"&lt;"&amp;'Title Sheet'!$C$13)</f>
        <v>1130.0797280334727</v>
      </c>
      <c r="AT85" s="339"/>
    </row>
    <row r="86" spans="2:47" ht="15.75" hidden="1" x14ac:dyDescent="0.25">
      <c r="C86" t="str">
        <f t="shared" si="195"/>
        <v>PC Annual Direct</v>
      </c>
      <c r="D86" t="str">
        <f t="shared" si="192"/>
        <v>Boom Subscription</v>
      </c>
      <c r="E86" s="213" t="s">
        <v>0</v>
      </c>
      <c r="F86" s="340" t="str">
        <f t="shared" ref="F86:AO86" ca="1" si="202">IFERROR(IF(F84=0,"-",(F84/F85)-1),"-")</f>
        <v>-</v>
      </c>
      <c r="G86" s="340" t="str">
        <f t="shared" ca="1" si="202"/>
        <v>-</v>
      </c>
      <c r="H86" s="340" t="str">
        <f t="shared" ca="1" si="202"/>
        <v>-</v>
      </c>
      <c r="I86" s="340" t="str">
        <f t="shared" ca="1" si="202"/>
        <v>-</v>
      </c>
      <c r="J86" s="340" t="str">
        <f t="shared" ca="1" si="202"/>
        <v>-</v>
      </c>
      <c r="K86" s="340" t="str">
        <f t="shared" ca="1" si="202"/>
        <v>-</v>
      </c>
      <c r="L86" s="340" t="str">
        <f t="shared" ca="1" si="202"/>
        <v>-</v>
      </c>
      <c r="M86" s="340" t="str">
        <f t="shared" ca="1" si="202"/>
        <v>-</v>
      </c>
      <c r="N86" s="340" t="str">
        <f t="shared" ca="1" si="202"/>
        <v>-</v>
      </c>
      <c r="O86" s="340" t="str">
        <f t="shared" ca="1" si="202"/>
        <v>-</v>
      </c>
      <c r="P86" s="340">
        <f t="shared" ca="1" si="202"/>
        <v>-0.51215203826458777</v>
      </c>
      <c r="Q86" s="366">
        <f t="shared" ca="1" si="202"/>
        <v>-0.45829267457530432</v>
      </c>
      <c r="R86" s="340">
        <f t="shared" ca="1" si="202"/>
        <v>-0.5196846819455142</v>
      </c>
      <c r="S86" s="340">
        <f t="shared" ca="1" si="202"/>
        <v>-0.49352618670943849</v>
      </c>
      <c r="T86" s="340">
        <f t="shared" ca="1" si="202"/>
        <v>-0.48280639414887183</v>
      </c>
      <c r="U86" s="340">
        <f t="shared" ca="1" si="202"/>
        <v>-0.40248786161301653</v>
      </c>
      <c r="V86" s="340">
        <f t="shared" ca="1" si="202"/>
        <v>-0.33735435834818173</v>
      </c>
      <c r="W86" s="340">
        <f t="shared" ca="1" si="202"/>
        <v>-0.26020873636148956</v>
      </c>
      <c r="X86" s="340">
        <f t="shared" ca="1" si="202"/>
        <v>-9.5307292167527202E-2</v>
      </c>
      <c r="Y86" s="340">
        <f t="shared" ca="1" si="202"/>
        <v>-7.2782721767870595E-2</v>
      </c>
      <c r="Z86" s="340">
        <f t="shared" ca="1" si="202"/>
        <v>-6.0853408890784166E-2</v>
      </c>
      <c r="AA86" s="340">
        <f t="shared" ca="1" si="202"/>
        <v>-7.4026381506238637E-2</v>
      </c>
      <c r="AB86" s="340">
        <f t="shared" ca="1" si="202"/>
        <v>-3.6160887045718515E-2</v>
      </c>
      <c r="AC86" s="366">
        <f t="shared" ca="1" si="202"/>
        <v>-5.0375581376390643E-3</v>
      </c>
      <c r="AD86" s="340">
        <f t="shared" ca="1" si="202"/>
        <v>1.3057868492447611E-2</v>
      </c>
      <c r="AE86" s="340" t="str">
        <f t="shared" ca="1" si="202"/>
        <v>-</v>
      </c>
      <c r="AF86" s="340" t="str">
        <f t="shared" ca="1" si="202"/>
        <v>-</v>
      </c>
      <c r="AG86" s="340" t="str">
        <f t="shared" ca="1" si="202"/>
        <v>-</v>
      </c>
      <c r="AH86" s="340" t="str">
        <f t="shared" ca="1" si="202"/>
        <v>-</v>
      </c>
      <c r="AI86" s="340" t="str">
        <f t="shared" ca="1" si="202"/>
        <v>-</v>
      </c>
      <c r="AJ86" s="340" t="str">
        <f t="shared" ca="1" si="202"/>
        <v>-</v>
      </c>
      <c r="AK86" s="340" t="str">
        <f t="shared" ca="1" si="202"/>
        <v>-</v>
      </c>
      <c r="AL86" s="340" t="str">
        <f t="shared" ca="1" si="202"/>
        <v>-</v>
      </c>
      <c r="AM86" s="340" t="str">
        <f t="shared" ca="1" si="202"/>
        <v>-</v>
      </c>
      <c r="AN86" s="340" t="str">
        <f t="shared" ca="1" si="202"/>
        <v>-</v>
      </c>
      <c r="AO86" s="341" t="str">
        <f t="shared" ca="1" si="202"/>
        <v>-</v>
      </c>
      <c r="AP86" s="342" t="e">
        <f t="shared" ref="AP86:AQ86" ca="1" si="203">AP84-AP85</f>
        <v>#VALUE!</v>
      </c>
      <c r="AQ86" s="343">
        <f t="shared" ca="1" si="203"/>
        <v>944.50799574030316</v>
      </c>
      <c r="AR86" s="343"/>
      <c r="AS86" s="343">
        <f t="shared" ref="AS86" ca="1" si="204">IFERROR(IF(AS84=0,"-",(AS84/AS85)-1),"-")</f>
        <v>0.10615808308588082</v>
      </c>
      <c r="AT86" s="344"/>
    </row>
    <row r="87" spans="2:47" x14ac:dyDescent="0.25">
      <c r="C87" t="str">
        <f t="shared" si="195"/>
        <v>PC Annual Direct</v>
      </c>
      <c r="D87" t="str">
        <f t="shared" si="192"/>
        <v>Boom Subscription</v>
      </c>
      <c r="E87" s="258" t="s">
        <v>17</v>
      </c>
      <c r="F87" s="345"/>
      <c r="G87" s="345"/>
      <c r="H87" s="345"/>
      <c r="I87" s="345"/>
      <c r="J87" s="345"/>
      <c r="K87" s="345"/>
      <c r="L87" s="345"/>
      <c r="M87" s="345"/>
      <c r="N87" s="345"/>
      <c r="O87" s="345"/>
      <c r="P87" s="345"/>
      <c r="Q87" s="367"/>
      <c r="R87" s="345"/>
      <c r="S87" s="345"/>
      <c r="T87" s="345"/>
      <c r="U87" s="345"/>
      <c r="V87" s="345"/>
      <c r="W87" s="345"/>
      <c r="X87" s="345"/>
      <c r="Y87" s="345"/>
      <c r="Z87" s="345"/>
      <c r="AA87" s="345"/>
      <c r="AB87" s="345"/>
      <c r="AC87" s="367"/>
      <c r="AD87" s="345"/>
      <c r="AE87" s="345"/>
      <c r="AF87" s="345"/>
      <c r="AG87" s="345"/>
      <c r="AH87" s="345"/>
      <c r="AI87" s="345"/>
      <c r="AJ87" s="345"/>
      <c r="AK87" s="345"/>
      <c r="AL87" s="345"/>
      <c r="AM87" s="345"/>
      <c r="AN87" s="345"/>
      <c r="AO87" s="346"/>
      <c r="AP87" s="393"/>
      <c r="AQ87" s="347"/>
      <c r="AR87" s="347"/>
      <c r="AS87" s="347"/>
      <c r="AT87" s="348"/>
    </row>
    <row r="88" spans="2:47" ht="15.75" x14ac:dyDescent="0.25">
      <c r="B88">
        <v>2</v>
      </c>
      <c r="C88" t="str">
        <f t="shared" si="195"/>
        <v>PC Annual Direct</v>
      </c>
      <c r="D88" t="str">
        <f t="shared" si="192"/>
        <v>Boom Subscription</v>
      </c>
      <c r="E88" s="208" t="s">
        <v>7</v>
      </c>
      <c r="F88" s="335">
        <f ca="1">'Current - Sales, NWP, GWP'!E88/IFERROR(VLOOKUP($AV$4-COUNTA($F$4:F$4)+1,'Dev Patterns'!$B$6:$H$48,$B88,0),1)</f>
        <v>1186519.8660717688</v>
      </c>
      <c r="G88" s="332">
        <f ca="1">'Current - Sales, NWP, GWP'!F88/IFERROR(VLOOKUP($AV$4-COUNTA($F$4:G$4)+1,'Dev Patterns'!$B$6:$H$48,$B88,0),1)</f>
        <v>1157236.6160712091</v>
      </c>
      <c r="H88" s="332">
        <f ca="1">'Current - Sales, NWP, GWP'!G88/IFERROR(VLOOKUP($AV$4-COUNTA($F$4:H$4)+1,'Dev Patterns'!$B$6:$H$48,$B88,0),1)</f>
        <v>1396789.464285569</v>
      </c>
      <c r="I88" s="332">
        <f ca="1">'Current - Sales, NWP, GWP'!H88/IFERROR(VLOOKUP($AV$4-COUNTA($F$4:I$4)+1,'Dev Patterns'!$B$6:$H$48,$B88,0),1)</f>
        <v>1365173.5178568573</v>
      </c>
      <c r="J88" s="332">
        <f ca="1">'Current - Sales, NWP, GWP'!I88/IFERROR(VLOOKUP($AV$4-COUNTA($F$4:J$4)+1,'Dev Patterns'!$B$6:$H$48,$B88,0),1)</f>
        <v>1566038.9285736412</v>
      </c>
      <c r="K88" s="332">
        <f ca="1">'Current - Sales, NWP, GWP'!J88/IFERROR(VLOOKUP($AV$4-COUNTA($F$4:K$4)+1,'Dev Patterns'!$B$6:$H$48,$B88,0),1)</f>
        <v>1566907.3392851199</v>
      </c>
      <c r="L88" s="332">
        <f ca="1">'Current - Sales, NWP, GWP'!K88/IFERROR(VLOOKUP($AV$4-COUNTA($F$4:L$4)+1,'Dev Patterns'!$B$6:$H$48,$B88,0),1)</f>
        <v>1765429.598214569</v>
      </c>
      <c r="M88" s="332">
        <f ca="1">'Current - Sales, NWP, GWP'!L88/IFERROR(VLOOKUP($AV$4-COUNTA($F$4:M$4)+1,'Dev Patterns'!$B$6:$H$48,$B88,0),1)</f>
        <v>1910330.1964290359</v>
      </c>
      <c r="N88" s="332">
        <f ca="1">'Current - Sales, NWP, GWP'!M88/IFERROR(VLOOKUP($AV$4-COUNTA($F$4:N$4)+1,'Dev Patterns'!$B$6:$H$48,$B88,0),1)</f>
        <v>1938425.6160724042</v>
      </c>
      <c r="O88" s="332">
        <f ca="1">'Current - Sales, NWP, GWP'!N88/IFERROR(VLOOKUP($AV$4-COUNTA($F$4:O$4)+1,'Dev Patterns'!$B$6:$H$48,$B88,0),1)</f>
        <v>2205989.9285718729</v>
      </c>
      <c r="P88" s="332">
        <f ca="1">'Current - Sales, NWP, GWP'!O88/IFERROR(VLOOKUP($AV$4-COUNTA($F$4:P$4)+1,'Dev Patterns'!$B$6:$H$48,$B88,0),1)</f>
        <v>2374496.2589290282</v>
      </c>
      <c r="Q88" s="336">
        <f ca="1">'Current - Sales, NWP, GWP'!P88/IFERROR(VLOOKUP($AV$4-COUNTA($F$4:Q$4)+1,'Dev Patterns'!$B$6:$H$48,$B88,0),1)</f>
        <v>2522405.651784393</v>
      </c>
      <c r="R88" s="332">
        <f ca="1">'Current - Sales, NWP, GWP'!Q88/IFERROR(VLOOKUP($AV$4-COUNTA($F$4:R$4)+1,'Dev Patterns'!$B$6:$H$48,$B88,0),1)</f>
        <v>2479069.3125012428</v>
      </c>
      <c r="S88" s="332">
        <f ca="1">'Current - Sales, NWP, GWP'!R88/IFERROR(VLOOKUP($AV$4-COUNTA($F$4:S$4)+1,'Dev Patterns'!$B$6:$H$48,$B88,0),1)</f>
        <v>1942443.1160720733</v>
      </c>
      <c r="T88" s="332">
        <f ca="1">'Current - Sales, NWP, GWP'!S88/IFERROR(VLOOKUP($AV$4-COUNTA($F$4:T$4)+1,'Dev Patterns'!$B$6:$H$48,$B88,0),1)</f>
        <v>1920223.2857131353</v>
      </c>
      <c r="U88" s="332">
        <f ca="1">'Current - Sales, NWP, GWP'!T88/IFERROR(VLOOKUP($AV$4-COUNTA($F$4:U$4)+1,'Dev Patterns'!$B$6:$H$48,$B88,0),1)</f>
        <v>1614257.3035714719</v>
      </c>
      <c r="V88" s="332">
        <f ca="1">'Current - Sales, NWP, GWP'!U88/IFERROR(VLOOKUP($AV$4-COUNTA($F$4:V$4)+1,'Dev Patterns'!$B$6:$H$48,$B88,0),1)</f>
        <v>1513613.1517860643</v>
      </c>
      <c r="W88" s="332">
        <f ca="1">'Current - Sales, NWP, GWP'!V88/IFERROR(VLOOKUP($AV$4-COUNTA($F$4:W$4)+1,'Dev Patterns'!$B$6:$H$48,$B88,0),1)</f>
        <v>1300846.1964293618</v>
      </c>
      <c r="X88" s="332">
        <f ca="1">'Current - Sales, NWP, GWP'!W88/IFERROR(VLOOKUP($AV$4-COUNTA($F$4:X$4)+1,'Dev Patterns'!$B$6:$H$48,$B88,0),1)</f>
        <v>1193804.8392867255</v>
      </c>
      <c r="Y88" s="332">
        <f ca="1">'Current - Sales, NWP, GWP'!X88/IFERROR(VLOOKUP($AV$4-COUNTA($F$4:Y$4)+1,'Dev Patterns'!$B$6:$H$48,$B88,0),1)</f>
        <v>1018597.7053572248</v>
      </c>
      <c r="Z88" s="332">
        <f ca="1">'Current - Sales, NWP, GWP'!Y88/IFERROR(VLOOKUP($AV$4-COUNTA($F$4:Z$4)+1,'Dev Patterns'!$B$6:$H$48,$B88,0),1)</f>
        <v>815721.7499990958</v>
      </c>
      <c r="AA88" s="332">
        <f ca="1">'Current - Sales, NWP, GWP'!Z88/IFERROR(VLOOKUP($AV$4-COUNTA($F$4:AA$4)+1,'Dev Patterns'!$B$6:$H$48,$B88,0),1)</f>
        <v>648865.28464499058</v>
      </c>
      <c r="AB88" s="332">
        <f ca="1">'Current - Sales, NWP, GWP'!AA88/IFERROR(VLOOKUP($AV$4-COUNTA($F$4:AB$4)+1,'Dev Patterns'!$B$6:$H$48,$B88,0),1)</f>
        <v>389794.51472311211</v>
      </c>
      <c r="AC88" s="336">
        <f ca="1">'Current - Sales, NWP, GWP'!AB88/IFERROR(VLOOKUP($AV$4-COUNTA($F$4:AC$4)+1,'Dev Patterns'!$B$6:$H$48,$B88,0),1)</f>
        <v>206136.79720458284</v>
      </c>
      <c r="AD88" s="332">
        <f ca="1">'Current - Sales, NWP, GWP'!AC88/IFERROR(VLOOKUP($AV$4-COUNTA($F$4:AD$4)+1,'Dev Patterns'!$B$6:$H$48,$B88,0),1)</f>
        <v>30912.441048555884</v>
      </c>
      <c r="AE88" s="332">
        <f ca="1">'Current - Sales, NWP, GWP'!AD88/IFERROR(VLOOKUP($AV$4-COUNTA($F$4:AE$4)+1,'Dev Patterns'!$B$6:$H$48,$B88,0),1)</f>
        <v>0</v>
      </c>
      <c r="AF88" s="332">
        <f ca="1">'Current - Sales, NWP, GWP'!AE88/IFERROR(VLOOKUP($AV$4-COUNTA($F$4:AF$4)+1,'Dev Patterns'!$B$6:$H$48,$B88,0),1)</f>
        <v>0</v>
      </c>
      <c r="AG88" s="332">
        <f ca="1">'Current - Sales, NWP, GWP'!AF88/IFERROR(VLOOKUP($AV$4-COUNTA($F$4:AG$4)+1,'Dev Patterns'!$B$6:$H$48,$B88,0),1)</f>
        <v>0</v>
      </c>
      <c r="AH88" s="332">
        <f ca="1">'Current - Sales, NWP, GWP'!AG88/IFERROR(VLOOKUP($AV$4-COUNTA($F$4:AH$4)+1,'Dev Patterns'!$B$6:$H$48,$B88,0),1)</f>
        <v>0</v>
      </c>
      <c r="AI88" s="332">
        <f ca="1">'Current - Sales, NWP, GWP'!AH88/IFERROR(VLOOKUP($AV$4-COUNTA($F$4:AI$4)+1,'Dev Patterns'!$B$6:$H$48,$B88,0),1)</f>
        <v>0</v>
      </c>
      <c r="AJ88" s="332">
        <f ca="1">'Current - Sales, NWP, GWP'!AI88/IFERROR(VLOOKUP($AV$4-COUNTA($F$4:AJ$4)+1,'Dev Patterns'!$B$6:$H$48,$B88,0),1)</f>
        <v>0</v>
      </c>
      <c r="AK88" s="332">
        <f ca="1">'Current - Sales, NWP, GWP'!AJ88/IFERROR(VLOOKUP($AV$4-COUNTA($F$4:AK$4)+1,'Dev Patterns'!$B$6:$H$48,$B88,0),1)</f>
        <v>0</v>
      </c>
      <c r="AL88" s="332">
        <f ca="1">'Current - Sales, NWP, GWP'!AK88/IFERROR(VLOOKUP($AV$4-COUNTA($F$4:AL$4)+1,'Dev Patterns'!$B$6:$H$48,$B88,0),1)</f>
        <v>0</v>
      </c>
      <c r="AM88" s="332">
        <f ca="1">'Current - Sales, NWP, GWP'!AL88/IFERROR(VLOOKUP($AV$4-COUNTA($F$4:AM$4)+1,'Dev Patterns'!$B$6:$H$48,$B88,0),1)</f>
        <v>0</v>
      </c>
      <c r="AN88" s="332">
        <f ca="1">'Current - Sales, NWP, GWP'!AM88/IFERROR(VLOOKUP($AV$4-COUNTA($F$4:AN$4)+1,'Dev Patterns'!$B$6:$H$48,$B88,0),1)</f>
        <v>0</v>
      </c>
      <c r="AO88" s="334">
        <f ca="1">'Current - Sales, NWP, GWP'!AN88/IFERROR(VLOOKUP($AV$4-COUNTA($F$4:AO$4)+1,'Dev Patterns'!$B$6:$H$48,$B88,0),1)</f>
        <v>0</v>
      </c>
      <c r="AP88" s="335">
        <f ca="1">IFERROR(AVERAGE(INDEX($F88:$AO88, $AV$4 - 3):INDEX($F88:$AO88, $AV$4)),"-")</f>
        <v>0</v>
      </c>
      <c r="AQ88" s="332">
        <f ca="1">IFERROR(AVERAGE(INDEX($F88:$AO88, $AV$4 - 11):INDEX($F88:$AO88, $AV$4)),"-")</f>
        <v>174285.89896836141</v>
      </c>
      <c r="AR88" s="332" cm="1">
        <f t="array" aca="1" ref="AR88" ca="1">IFERROR(SUMPRODUCT(IFERROR((YEAR($F$4:$AO$4)=2024)*$F88:$AO88,0)),"-")</f>
        <v>15043373.257289084</v>
      </c>
      <c r="AS88" s="332">
        <f ca="1">IFERROR(SUM(INDEX($F88:$AO88, $AV$4 - MONTH(TODAY())-11):INDEX($F88:$AO88, $AV$4-12)),"-")</f>
        <v>12982854.910717301</v>
      </c>
      <c r="AT88" s="336">
        <f ca="1">IFERROR(SUM(INDEX($F88:$AO88, $AV$4 - MONTH(TODAY())+1):INDEX($F88:$AO88, $AV$4)),"-")</f>
        <v>30912.441048555884</v>
      </c>
    </row>
    <row r="89" spans="2:47" ht="16.5" thickBot="1" x14ac:dyDescent="0.3">
      <c r="C89" t="str">
        <f t="shared" si="195"/>
        <v>PC Annual Direct</v>
      </c>
      <c r="D89" t="str">
        <f t="shared" si="192"/>
        <v>Boom Subscription</v>
      </c>
      <c r="E89" s="226" t="s">
        <v>493</v>
      </c>
      <c r="F89" s="269">
        <f ca="1">IFERROR(F81/F$8,"-")</f>
        <v>0.49630216745126626</v>
      </c>
      <c r="G89" s="269">
        <f t="shared" ref="G89:AO89" ca="1" si="205">IFERROR(G81/G$8,"-")</f>
        <v>0.5015916494266015</v>
      </c>
      <c r="H89" s="269">
        <f t="shared" ca="1" si="205"/>
        <v>0.50596939106431882</v>
      </c>
      <c r="I89" s="269">
        <f t="shared" ca="1" si="205"/>
        <v>0.56568155193694636</v>
      </c>
      <c r="J89" s="269">
        <f t="shared" ca="1" si="205"/>
        <v>0.56173004860585496</v>
      </c>
      <c r="K89" s="269">
        <f t="shared" ca="1" si="205"/>
        <v>0.58225725654578953</v>
      </c>
      <c r="L89" s="269">
        <f t="shared" ca="1" si="205"/>
        <v>0.62376922794025857</v>
      </c>
      <c r="M89" s="269">
        <f t="shared" ca="1" si="205"/>
        <v>0.60074090638191047</v>
      </c>
      <c r="N89" s="269">
        <f t="shared" ca="1" si="205"/>
        <v>0.59503959217884439</v>
      </c>
      <c r="O89" s="269">
        <f t="shared" ca="1" si="205"/>
        <v>0.58324829263922451</v>
      </c>
      <c r="P89" s="269">
        <f t="shared" ca="1" si="205"/>
        <v>0.52292830062093398</v>
      </c>
      <c r="Q89" s="280">
        <f t="shared" ca="1" si="205"/>
        <v>0.56786667609179742</v>
      </c>
      <c r="R89" s="269">
        <f t="shared" ca="1" si="205"/>
        <v>0.47434550825859306</v>
      </c>
      <c r="S89" s="269">
        <f t="shared" ca="1" si="205"/>
        <v>0.31537052288096606</v>
      </c>
      <c r="T89" s="269">
        <f t="shared" ca="1" si="205"/>
        <v>0.22187178325762755</v>
      </c>
      <c r="U89" s="269">
        <f t="shared" ca="1" si="205"/>
        <v>0.2093055672517104</v>
      </c>
      <c r="V89" s="269">
        <f t="shared" ca="1" si="205"/>
        <v>0.20823299996298425</v>
      </c>
      <c r="W89" s="269">
        <f t="shared" ca="1" si="205"/>
        <v>0.21164732137588171</v>
      </c>
      <c r="X89" s="269">
        <f t="shared" ca="1" si="205"/>
        <v>0.22965371915362534</v>
      </c>
      <c r="Y89" s="269">
        <f t="shared" ca="1" si="205"/>
        <v>0.2256414847939669</v>
      </c>
      <c r="Z89" s="269">
        <f t="shared" ca="1" si="205"/>
        <v>0.19609436668922109</v>
      </c>
      <c r="AA89" s="269">
        <f t="shared" ca="1" si="205"/>
        <v>0.16678948307509361</v>
      </c>
      <c r="AB89" s="269">
        <f t="shared" ca="1" si="205"/>
        <v>9.5628770873045735E-2</v>
      </c>
      <c r="AC89" s="280">
        <f t="shared" ca="1" si="205"/>
        <v>5.4201890020331711E-2</v>
      </c>
      <c r="AD89" s="269">
        <f t="shared" ca="1" si="205"/>
        <v>8.3035216799254349E-3</v>
      </c>
      <c r="AE89" s="269">
        <f t="shared" ca="1" si="205"/>
        <v>0</v>
      </c>
      <c r="AF89" s="269">
        <f t="shared" ca="1" si="205"/>
        <v>0</v>
      </c>
      <c r="AG89" s="269">
        <f t="shared" ca="1" si="205"/>
        <v>0</v>
      </c>
      <c r="AH89" s="269">
        <f t="shared" ca="1" si="205"/>
        <v>0</v>
      </c>
      <c r="AI89" s="269">
        <f t="shared" ca="1" si="205"/>
        <v>0</v>
      </c>
      <c r="AJ89" s="269">
        <f t="shared" ca="1" si="205"/>
        <v>0</v>
      </c>
      <c r="AK89" s="269">
        <f t="shared" ca="1" si="205"/>
        <v>0</v>
      </c>
      <c r="AL89" s="269" t="str">
        <f t="shared" ca="1" si="205"/>
        <v>-</v>
      </c>
      <c r="AM89" s="269" t="str">
        <f t="shared" ca="1" si="205"/>
        <v>-</v>
      </c>
      <c r="AN89" s="269" t="str">
        <f t="shared" ca="1" si="205"/>
        <v>-</v>
      </c>
      <c r="AO89" s="281" t="str">
        <f t="shared" ca="1" si="205"/>
        <v>-</v>
      </c>
      <c r="AP89" s="279">
        <f ca="1">IFERROR(AP81/AP$8,"-")</f>
        <v>0</v>
      </c>
      <c r="AQ89" s="269">
        <f ca="1">IFERROR(AQ81/AQ$8,"-")</f>
        <v>4.611689717983021E-2</v>
      </c>
      <c r="AR89" s="269">
        <f t="shared" ref="AR89:AT89" ca="1" si="206">IFERROR(AR81/AR$8,"-")</f>
        <v>0.22099870645505887</v>
      </c>
      <c r="AS89" s="269">
        <f t="shared" ca="1" si="206"/>
        <v>0.25163444972447091</v>
      </c>
      <c r="AT89" s="280">
        <f t="shared" ca="1" si="206"/>
        <v>1.1427283300153397E-3</v>
      </c>
    </row>
    <row r="90" spans="2:47" outlineLevel="1" x14ac:dyDescent="0.25"/>
    <row r="91" spans="2:47" hidden="1" outlineLevel="1" x14ac:dyDescent="0.25">
      <c r="F91" s="188"/>
      <c r="G91" s="188"/>
      <c r="H91" s="188"/>
      <c r="I91" s="188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513" t="s">
        <v>312</v>
      </c>
      <c r="V91" s="513"/>
      <c r="W91" s="513"/>
      <c r="X91" s="513"/>
      <c r="Y91" s="513"/>
      <c r="Z91" s="513"/>
      <c r="AA91" s="513"/>
      <c r="AB91" s="513"/>
      <c r="AC91" s="513"/>
      <c r="AD91" s="513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</row>
    <row r="92" spans="2:47" ht="18.75" hidden="1" outlineLevel="1" x14ac:dyDescent="0.3">
      <c r="E92" s="68" t="s">
        <v>204</v>
      </c>
      <c r="F92" s="174" t="s">
        <v>300</v>
      </c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"/>
      <c r="T92" s="1"/>
      <c r="U92" s="505" t="s">
        <v>307</v>
      </c>
      <c r="V92" s="505"/>
      <c r="W92" s="505"/>
      <c r="X92" s="505"/>
      <c r="Y92" s="505"/>
      <c r="Z92" s="505"/>
      <c r="AA92" s="505"/>
      <c r="AB92" s="505"/>
      <c r="AC92" s="505"/>
      <c r="AD92" s="506"/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4"/>
      <c r="AQ92" s="1"/>
      <c r="AU92" s="118" t="s">
        <v>184</v>
      </c>
    </row>
    <row r="93" spans="2:47" hidden="1" outlineLevel="1" x14ac:dyDescent="0.25">
      <c r="E93" s="19"/>
      <c r="F93" s="503" t="s">
        <v>237</v>
      </c>
      <c r="G93" s="503"/>
      <c r="H93" s="503"/>
      <c r="I93" s="503"/>
      <c r="J93" s="503"/>
      <c r="K93" s="503"/>
      <c r="L93" s="503"/>
      <c r="M93" s="503"/>
      <c r="N93" s="503"/>
      <c r="O93" s="503"/>
      <c r="P93" s="503"/>
      <c r="Q93" s="503"/>
      <c r="R93" s="503"/>
      <c r="S93" s="503"/>
      <c r="T93" s="503"/>
      <c r="U93" s="503"/>
      <c r="V93" s="503"/>
      <c r="W93" s="503"/>
      <c r="X93" s="503"/>
      <c r="Y93" s="503"/>
      <c r="Z93" s="503"/>
      <c r="AA93" s="503"/>
      <c r="AB93" s="503"/>
      <c r="AC93" s="503"/>
      <c r="AD93" s="504"/>
      <c r="AE93" s="194"/>
      <c r="AF93" s="194"/>
      <c r="AG93" s="194"/>
      <c r="AH93" s="194"/>
      <c r="AI93" s="194"/>
      <c r="AJ93" s="194"/>
      <c r="AK93" s="194"/>
      <c r="AL93" s="194"/>
      <c r="AM93" s="194"/>
      <c r="AN93" s="194"/>
      <c r="AO93" s="194"/>
      <c r="AP93" s="500" t="s">
        <v>8</v>
      </c>
      <c r="AQ93" s="501"/>
      <c r="AR93" s="331"/>
    </row>
    <row r="94" spans="2:47" hidden="1" outlineLevel="1" x14ac:dyDescent="0.25">
      <c r="E94" s="22" t="s">
        <v>16</v>
      </c>
      <c r="F94" s="23">
        <f>F$4</f>
        <v>44927</v>
      </c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>
        <f t="shared" ref="S94:AD94" si="207">S$4</f>
        <v>45323</v>
      </c>
      <c r="T94" s="23">
        <f t="shared" si="207"/>
        <v>45352</v>
      </c>
      <c r="U94" s="23">
        <f t="shared" si="207"/>
        <v>45383</v>
      </c>
      <c r="V94" s="23">
        <f t="shared" si="207"/>
        <v>45413</v>
      </c>
      <c r="W94" s="23">
        <f t="shared" si="207"/>
        <v>45444</v>
      </c>
      <c r="X94" s="23">
        <f t="shared" si="207"/>
        <v>45474</v>
      </c>
      <c r="Y94" s="23">
        <f t="shared" si="207"/>
        <v>45505</v>
      </c>
      <c r="Z94" s="23">
        <f t="shared" si="207"/>
        <v>45536</v>
      </c>
      <c r="AA94" s="23">
        <f t="shared" si="207"/>
        <v>45566</v>
      </c>
      <c r="AB94" s="23">
        <f t="shared" si="207"/>
        <v>45597</v>
      </c>
      <c r="AC94" s="23">
        <f t="shared" si="207"/>
        <v>45627</v>
      </c>
      <c r="AD94" s="24">
        <f t="shared" si="207"/>
        <v>45658</v>
      </c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8" t="s">
        <v>9</v>
      </c>
      <c r="AQ94" s="29" t="s">
        <v>10</v>
      </c>
      <c r="AR94" s="331"/>
    </row>
    <row r="95" spans="2:47" ht="15.75" hidden="1" outlineLevel="1" x14ac:dyDescent="0.25">
      <c r="C95" t="str">
        <f>$E$2</f>
        <v>PC Annual Direct</v>
      </c>
      <c r="D95" t="s">
        <v>73</v>
      </c>
      <c r="E95" s="5" t="s">
        <v>308</v>
      </c>
      <c r="F95" s="6">
        <v>2339</v>
      </c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>
        <v>548</v>
      </c>
      <c r="T95" s="6">
        <v>26</v>
      </c>
      <c r="U95" s="6">
        <v>5</v>
      </c>
      <c r="V95" s="6">
        <v>11</v>
      </c>
      <c r="W95" s="6">
        <v>14</v>
      </c>
      <c r="X95" s="6">
        <v>12</v>
      </c>
      <c r="Y95" s="6">
        <v>7</v>
      </c>
      <c r="Z95" s="6">
        <v>8</v>
      </c>
      <c r="AA95" s="6">
        <v>13</v>
      </c>
      <c r="AB95" s="6">
        <v>8</v>
      </c>
      <c r="AC95" s="6">
        <v>2</v>
      </c>
      <c r="AD95" s="7">
        <v>0</v>
      </c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8">
        <f t="shared" ref="AP95:AP100" si="208">AVERAGE(AA95:AD95)</f>
        <v>5.75</v>
      </c>
      <c r="AQ95" s="6">
        <f>AVERAGE(S95:AD95)</f>
        <v>54.5</v>
      </c>
      <c r="AR95" s="15"/>
    </row>
    <row r="96" spans="2:47" ht="15.75" hidden="1" outlineLevel="1" x14ac:dyDescent="0.25">
      <c r="C96" t="str">
        <f>$E$92&amp;"_W VYRs"</f>
        <v>PC Annual Direct - Subscription_W VYRs</v>
      </c>
      <c r="D96" t="str">
        <f>$D95</f>
        <v>Boom Subscription</v>
      </c>
      <c r="E96" s="175" t="s">
        <v>4</v>
      </c>
      <c r="F96" s="176" t="str">
        <f>INDEX('Plan Figures'!$B$5:$AP$31,MATCH('Ultimate - Sales, NWP, GWP'!F$4,'Plan Figures'!$B$5:$B$31,0),MATCH('Ultimate - Sales, NWP, GWP'!$C96,'Plan Figures'!$B$1:$AP$1,0))</f>
        <v>-</v>
      </c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/>
      <c r="S96" s="176">
        <f>INDEX('Plan Figures'!$B$5:$AP$31,MATCH('Ultimate - Sales, NWP, GWP'!S$4,'Plan Figures'!$B$5:$B$31,0),MATCH('Ultimate - Sales, NWP, GWP'!$C96,'Plan Figures'!$B$1:$AP$1,0))</f>
        <v>833.27735263273371</v>
      </c>
      <c r="T96" s="176">
        <f>INDEX('Plan Figures'!$B$5:$AP$31,MATCH('Ultimate - Sales, NWP, GWP'!T$4,'Plan Figures'!$B$5:$B$31,0),MATCH('Ultimate - Sales, NWP, GWP'!$C96,'Plan Figures'!$B$1:$AP$1,0))</f>
        <v>833.27735263273371</v>
      </c>
      <c r="U96" s="176">
        <f>INDEX('Plan Figures'!$B$5:$AP$31,MATCH('Ultimate - Sales, NWP, GWP'!U$4,'Plan Figures'!$B$5:$B$31,0),MATCH('Ultimate - Sales, NWP, GWP'!$C96,'Plan Figures'!$B$1:$AP$1,0))</f>
        <v>833.27735263273371</v>
      </c>
      <c r="V96" s="176">
        <f>INDEX('Plan Figures'!$B$5:$AP$31,MATCH('Ultimate - Sales, NWP, GWP'!V$4,'Plan Figures'!$B$5:$B$31,0),MATCH('Ultimate - Sales, NWP, GWP'!$C96,'Plan Figures'!$B$1:$AP$1,0))</f>
        <v>832.96485263273371</v>
      </c>
      <c r="W96" s="176">
        <f>INDEX('Plan Figures'!$B$5:$AP$31,MATCH('Ultimate - Sales, NWP, GWP'!W$4,'Plan Figures'!$B$5:$B$31,0),MATCH('Ultimate - Sales, NWP, GWP'!$C96,'Plan Figures'!$B$1:$AP$1,0))</f>
        <v>805.37110263273371</v>
      </c>
      <c r="X96" s="176">
        <f>INDEX('Plan Figures'!$B$5:$AP$31,MATCH('Ultimate - Sales, NWP, GWP'!X$4,'Plan Figures'!$B$5:$B$31,0),MATCH('Ultimate - Sales, NWP, GWP'!$C96,'Plan Figures'!$B$1:$AP$1,0))</f>
        <v>954.34078893945116</v>
      </c>
      <c r="Y96" s="176">
        <f>INDEX('Plan Figures'!$B$5:$AP$31,MATCH('Ultimate - Sales, NWP, GWP'!Y$4,'Plan Figures'!$B$5:$B$31,0),MATCH('Ultimate - Sales, NWP, GWP'!$C96,'Plan Figures'!$B$1:$AP$1,0))</f>
        <v>847.6297730046125</v>
      </c>
      <c r="Z96" s="176">
        <f>INDEX('Plan Figures'!$B$5:$AP$31,MATCH('Ultimate - Sales, NWP, GWP'!Z$4,'Plan Figures'!$B$5:$B$31,0),MATCH('Ultimate - Sales, NWP, GWP'!$C96,'Plan Figures'!$B$1:$AP$1,0))</f>
        <v>739.0592621321797</v>
      </c>
      <c r="AA96" s="176">
        <f>INDEX('Plan Figures'!$B$5:$AP$31,MATCH('Ultimate - Sales, NWP, GWP'!AA$4,'Plan Figures'!$B$5:$B$31,0),MATCH('Ultimate - Sales, NWP, GWP'!$C96,'Plan Figures'!$B$1:$AP$1,0))</f>
        <v>573.92411493228599</v>
      </c>
      <c r="AB96" s="176">
        <f>INDEX('Plan Figures'!$B$5:$AP$31,MATCH('Ultimate - Sales, NWP, GWP'!AB$4,'Plan Figures'!$B$5:$B$31,0),MATCH('Ultimate - Sales, NWP, GWP'!$C96,'Plan Figures'!$B$1:$AP$1,0))</f>
        <v>364.52099147611852</v>
      </c>
      <c r="AC96" s="176">
        <f>INDEX('Plan Figures'!$B$5:$AP$31,MATCH('Ultimate - Sales, NWP, GWP'!AC$4,'Plan Figures'!$B$5:$B$31,0),MATCH('Ultimate - Sales, NWP, GWP'!$C96,'Plan Figures'!$B$1:$AP$1,0))</f>
        <v>181.09081343860487</v>
      </c>
      <c r="AD96" s="177">
        <f>INDEX('Plan Figures'!$B$5:$AP$31,MATCH('Ultimate - Sales, NWP, GWP'!AD$4,'Plan Figures'!$B$5:$B$31,0),MATCH('Ultimate - Sales, NWP, GWP'!$C96,'Plan Figures'!$B$1:$AP$1,0))</f>
        <v>28.672212263548566</v>
      </c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6"/>
      <c r="AP96" s="178">
        <f t="shared" si="208"/>
        <v>287.05203302763948</v>
      </c>
      <c r="AQ96" s="176">
        <f t="shared" ref="AQ96:AQ100" si="209">AVERAGE(S96:AD96)</f>
        <v>652.28383077920569</v>
      </c>
      <c r="AR96" s="176"/>
    </row>
    <row r="97" spans="3:45" ht="15.75" hidden="1" outlineLevel="1" x14ac:dyDescent="0.25">
      <c r="C97" t="str">
        <f t="shared" ref="C97:C106" si="210">$E$2</f>
        <v>PC Annual Direct</v>
      </c>
      <c r="D97" t="str">
        <f t="shared" ref="D97:D105" si="211">$D96</f>
        <v>Boom Subscription</v>
      </c>
      <c r="E97" s="179" t="s">
        <v>0</v>
      </c>
      <c r="F97" s="180" t="e">
        <f t="shared" ref="F97:AD97" si="212">F95-F96</f>
        <v>#VALUE!</v>
      </c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/>
      <c r="S97" s="180">
        <f t="shared" si="212"/>
        <v>-285.27735263273371</v>
      </c>
      <c r="T97" s="180">
        <f t="shared" si="212"/>
        <v>-807.27735263273371</v>
      </c>
      <c r="U97" s="180">
        <f t="shared" si="212"/>
        <v>-828.27735263273371</v>
      </c>
      <c r="V97" s="180">
        <f t="shared" si="212"/>
        <v>-821.96485263273371</v>
      </c>
      <c r="W97" s="180">
        <f t="shared" si="212"/>
        <v>-791.37110263273371</v>
      </c>
      <c r="X97" s="180">
        <f t="shared" si="212"/>
        <v>-942.34078893945116</v>
      </c>
      <c r="Y97" s="180">
        <f t="shared" si="212"/>
        <v>-840.6297730046125</v>
      </c>
      <c r="Z97" s="180">
        <f t="shared" si="212"/>
        <v>-731.0592621321797</v>
      </c>
      <c r="AA97" s="180">
        <f t="shared" si="212"/>
        <v>-560.92411493228599</v>
      </c>
      <c r="AB97" s="180">
        <f t="shared" si="212"/>
        <v>-356.52099147611852</v>
      </c>
      <c r="AC97" s="180">
        <f t="shared" si="212"/>
        <v>-179.09081343860487</v>
      </c>
      <c r="AD97" s="181">
        <f t="shared" si="212"/>
        <v>-28.672212263548566</v>
      </c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2">
        <f t="shared" si="208"/>
        <v>-281.30203302763948</v>
      </c>
      <c r="AQ97" s="180">
        <f t="shared" si="209"/>
        <v>-597.78383077920569</v>
      </c>
      <c r="AR97" s="349"/>
    </row>
    <row r="98" spans="3:45" ht="15.75" hidden="1" outlineLevel="1" x14ac:dyDescent="0.25">
      <c r="C98" t="str">
        <f t="shared" si="210"/>
        <v>PC Annual Direct</v>
      </c>
      <c r="D98" t="str">
        <f t="shared" si="211"/>
        <v>Boom Subscription</v>
      </c>
      <c r="E98" s="9" t="s">
        <v>309</v>
      </c>
      <c r="F98" s="15">
        <v>3953534.2928585261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>
        <v>-499371.03428566817</v>
      </c>
      <c r="T98" s="15">
        <v>-2148791.6399996402</v>
      </c>
      <c r="U98" s="15">
        <v>-1332743.3999999999</v>
      </c>
      <c r="V98" s="15">
        <v>-1626294.6</v>
      </c>
      <c r="W98" s="15">
        <v>-991343.28035714</v>
      </c>
      <c r="X98" s="15">
        <v>-1193156.6399999999</v>
      </c>
      <c r="Y98" s="15">
        <v>-963982.92</v>
      </c>
      <c r="Z98" s="15">
        <v>-506199.24</v>
      </c>
      <c r="AA98" s="15">
        <v>-514950.72</v>
      </c>
      <c r="AB98" s="15">
        <v>-151176.6</v>
      </c>
      <c r="AC98" s="15">
        <v>-5492.2082142899999</v>
      </c>
      <c r="AD98" s="16">
        <v>-64.44</v>
      </c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8">
        <f t="shared" si="208"/>
        <v>-167920.99205357247</v>
      </c>
      <c r="AQ98" s="6">
        <f t="shared" si="209"/>
        <v>-827797.22690472833</v>
      </c>
      <c r="AR98" s="15"/>
    </row>
    <row r="99" spans="3:45" ht="15.75" hidden="1" outlineLevel="1" x14ac:dyDescent="0.25">
      <c r="C99" t="str">
        <f>$E$92&amp;"_NWP"</f>
        <v>PC Annual Direct - Subscription_NWP</v>
      </c>
      <c r="D99" t="str">
        <f t="shared" si="211"/>
        <v>Boom Subscription</v>
      </c>
      <c r="E99" s="175" t="s">
        <v>6</v>
      </c>
      <c r="F99" s="176" t="str">
        <f>INDEX('Plan Figures'!$B$5:$AP$31,MATCH('Ultimate - Sales, NWP, GWP'!F$4,'Plan Figures'!$B$5:$B$31,0),MATCH('Ultimate - Sales, NWP, GWP'!$C99,'Plan Figures'!$B$1:$AP$1,0))</f>
        <v>-</v>
      </c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/>
      <c r="S99" s="176">
        <f>INDEX('Plan Figures'!$B$5:$AP$31,MATCH('Ultimate - Sales, NWP, GWP'!S$4,'Plan Figures'!$B$5:$B$31,0),MATCH('Ultimate - Sales, NWP, GWP'!$C99,'Plan Figures'!$B$1:$AP$1,0))</f>
        <v>2073314.966746679</v>
      </c>
      <c r="T99" s="176">
        <f>INDEX('Plan Figures'!$B$5:$AP$31,MATCH('Ultimate - Sales, NWP, GWP'!T$4,'Plan Figures'!$B$5:$B$31,0),MATCH('Ultimate - Sales, NWP, GWP'!$C99,'Plan Figures'!$B$1:$AP$1,0))</f>
        <v>1955902.6469528598</v>
      </c>
      <c r="U99" s="176">
        <f>INDEX('Plan Figures'!$B$5:$AP$31,MATCH('Ultimate - Sales, NWP, GWP'!U$4,'Plan Figures'!$B$5:$B$31,0),MATCH('Ultimate - Sales, NWP, GWP'!$C99,'Plan Figures'!$B$1:$AP$1,0))</f>
        <v>1768843.0862598093</v>
      </c>
      <c r="V99" s="176">
        <f>INDEX('Plan Figures'!$B$5:$AP$31,MATCH('Ultimate - Sales, NWP, GWP'!V$4,'Plan Figures'!$B$5:$B$31,0),MATCH('Ultimate - Sales, NWP, GWP'!$C99,'Plan Figures'!$B$1:$AP$1,0))</f>
        <v>1606725.6641009036</v>
      </c>
      <c r="W99" s="176">
        <f>INDEX('Plan Figures'!$B$5:$AP$31,MATCH('Ultimate - Sales, NWP, GWP'!W$4,'Plan Figures'!$B$5:$B$31,0),MATCH('Ultimate - Sales, NWP, GWP'!$C99,'Plan Figures'!$B$1:$AP$1,0))</f>
        <v>1443312.9653584959</v>
      </c>
      <c r="X99" s="176">
        <f>INDEX('Plan Figures'!$B$5:$AP$31,MATCH('Ultimate - Sales, NWP, GWP'!X$4,'Plan Figures'!$B$5:$B$31,0),MATCH('Ultimate - Sales, NWP, GWP'!$C99,'Plan Figures'!$B$1:$AP$1,0))</f>
        <v>1349487.1149863317</v>
      </c>
      <c r="Y99" s="176">
        <f>INDEX('Plan Figures'!$B$5:$AP$31,MATCH('Ultimate - Sales, NWP, GWP'!Y$4,'Plan Figures'!$B$5:$B$31,0),MATCH('Ultimate - Sales, NWP, GWP'!$C99,'Plan Figures'!$B$1:$AP$1,0))</f>
        <v>1181466.7154575591</v>
      </c>
      <c r="Z99" s="176">
        <f>INDEX('Plan Figures'!$B$5:$AP$31,MATCH('Ultimate - Sales, NWP, GWP'!Z$4,'Plan Figures'!$B$5:$B$31,0),MATCH('Ultimate - Sales, NWP, GWP'!$C99,'Plan Figures'!$B$1:$AP$1,0))</f>
        <v>1008629.6841870487</v>
      </c>
      <c r="AA99" s="176">
        <f>INDEX('Plan Figures'!$B$5:$AP$31,MATCH('Ultimate - Sales, NWP, GWP'!AA$4,'Plan Figures'!$B$5:$B$31,0),MATCH('Ultimate - Sales, NWP, GWP'!$C99,'Plan Figures'!$B$1:$AP$1,0))</f>
        <v>770515.80233695055</v>
      </c>
      <c r="AB99" s="176">
        <f>INDEX('Plan Figures'!$B$5:$AP$31,MATCH('Ultimate - Sales, NWP, GWP'!AB$4,'Plan Figures'!$B$5:$B$31,0),MATCH('Ultimate - Sales, NWP, GWP'!$C99,'Plan Figures'!$B$1:$AP$1,0))</f>
        <v>485375.48606279783</v>
      </c>
      <c r="AC99" s="176">
        <f>INDEX('Plan Figures'!$B$5:$AP$31,MATCH('Ultimate - Sales, NWP, GWP'!AC$4,'Plan Figures'!$B$5:$B$31,0),MATCH('Ultimate - Sales, NWP, GWP'!$C99,'Plan Figures'!$B$1:$AP$1,0))</f>
        <v>234050.2177927887</v>
      </c>
      <c r="AD99" s="177">
        <f>INDEX('Plan Figures'!$B$5:$AP$31,MATCH('Ultimate - Sales, NWP, GWP'!AD$4,'Plan Figures'!$B$5:$B$31,0),MATCH('Ultimate - Sales, NWP, GWP'!$C99,'Plan Figures'!$B$1:$AP$1,0))</f>
        <v>32401.885836908965</v>
      </c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8">
        <f t="shared" si="208"/>
        <v>380585.84800736158</v>
      </c>
      <c r="AQ99" s="176">
        <f t="shared" si="209"/>
        <v>1159168.8530065943</v>
      </c>
      <c r="AR99" s="176"/>
    </row>
    <row r="100" spans="3:45" ht="15.75" hidden="1" outlineLevel="1" x14ac:dyDescent="0.25">
      <c r="C100" t="str">
        <f t="shared" si="210"/>
        <v>PC Annual Direct</v>
      </c>
      <c r="D100" t="str">
        <f t="shared" si="211"/>
        <v>Boom Subscription</v>
      </c>
      <c r="E100" s="179" t="s">
        <v>0</v>
      </c>
      <c r="F100" s="180" t="e">
        <f t="shared" ref="F100:AD100" si="213">F98-F99</f>
        <v>#VALUE!</v>
      </c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/>
      <c r="S100" s="180">
        <f t="shared" si="213"/>
        <v>-2572686.0010323473</v>
      </c>
      <c r="T100" s="180">
        <f t="shared" si="213"/>
        <v>-4104694.2869525002</v>
      </c>
      <c r="U100" s="180">
        <f t="shared" si="213"/>
        <v>-3101586.4862598092</v>
      </c>
      <c r="V100" s="180">
        <f t="shared" si="213"/>
        <v>-3233020.2641009036</v>
      </c>
      <c r="W100" s="180">
        <f t="shared" si="213"/>
        <v>-2434656.2457156358</v>
      </c>
      <c r="X100" s="180">
        <f t="shared" si="213"/>
        <v>-2542643.7549863318</v>
      </c>
      <c r="Y100" s="180">
        <f t="shared" si="213"/>
        <v>-2145449.635457559</v>
      </c>
      <c r="Z100" s="180">
        <f t="shared" si="213"/>
        <v>-1514828.9241870488</v>
      </c>
      <c r="AA100" s="180">
        <f t="shared" si="213"/>
        <v>-1285466.5223369505</v>
      </c>
      <c r="AB100" s="180">
        <f t="shared" si="213"/>
        <v>-636552.08606279781</v>
      </c>
      <c r="AC100" s="180">
        <f t="shared" si="213"/>
        <v>-239542.4260070787</v>
      </c>
      <c r="AD100" s="181">
        <f t="shared" si="213"/>
        <v>-32466.325836908964</v>
      </c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2">
        <f t="shared" si="208"/>
        <v>-548506.84006093396</v>
      </c>
      <c r="AQ100" s="180">
        <f t="shared" si="209"/>
        <v>-1986966.0799113223</v>
      </c>
      <c r="AR100" s="349"/>
    </row>
    <row r="101" spans="3:45" ht="15.75" hidden="1" outlineLevel="1" x14ac:dyDescent="0.25">
      <c r="C101" t="str">
        <f t="shared" si="210"/>
        <v>PC Annual Direct</v>
      </c>
      <c r="D101" t="str">
        <f t="shared" si="211"/>
        <v>Boom Subscription</v>
      </c>
      <c r="E101" s="9" t="s">
        <v>310</v>
      </c>
      <c r="F101" s="15">
        <f>IFERROR(F98/F95,0)</f>
        <v>1690.2669058822257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>
        <f t="shared" ref="S101:AQ102" si="214">IFERROR(S98/S95,0)</f>
        <v>-911.26101147019733</v>
      </c>
      <c r="T101" s="15">
        <f t="shared" si="214"/>
        <v>-82645.832307678473</v>
      </c>
      <c r="U101" s="15">
        <f t="shared" si="214"/>
        <v>-266548.68</v>
      </c>
      <c r="V101" s="15">
        <f t="shared" si="214"/>
        <v>-147844.96363636365</v>
      </c>
      <c r="W101" s="15">
        <f t="shared" si="214"/>
        <v>-70810.234311224282</v>
      </c>
      <c r="X101" s="15">
        <f t="shared" si="214"/>
        <v>-99429.719999999987</v>
      </c>
      <c r="Y101" s="15">
        <f t="shared" si="214"/>
        <v>-137711.84571428571</v>
      </c>
      <c r="Z101" s="15">
        <f t="shared" si="214"/>
        <v>-63274.904999999999</v>
      </c>
      <c r="AA101" s="15">
        <f t="shared" si="214"/>
        <v>-39611.593846153846</v>
      </c>
      <c r="AB101" s="15">
        <f t="shared" si="214"/>
        <v>-18897.075000000001</v>
      </c>
      <c r="AC101" s="15">
        <f t="shared" si="214"/>
        <v>-2746.1041071449999</v>
      </c>
      <c r="AD101" s="16">
        <f t="shared" si="214"/>
        <v>0</v>
      </c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8">
        <f t="shared" si="214"/>
        <v>-29203.650791925647</v>
      </c>
      <c r="AQ101" s="6">
        <f t="shared" si="214"/>
        <v>-15188.939943206024</v>
      </c>
      <c r="AR101" s="15"/>
    </row>
    <row r="102" spans="3:45" ht="15.75" hidden="1" outlineLevel="1" x14ac:dyDescent="0.25">
      <c r="C102" t="str">
        <f t="shared" si="210"/>
        <v>PC Annual Direct</v>
      </c>
      <c r="D102" t="str">
        <f t="shared" si="211"/>
        <v>Boom Subscription</v>
      </c>
      <c r="E102" s="175" t="s">
        <v>13</v>
      </c>
      <c r="F102" s="176">
        <f>IFERROR(F99/F96,0)</f>
        <v>0</v>
      </c>
      <c r="G102" s="176"/>
      <c r="H102" s="176"/>
      <c r="I102" s="176"/>
      <c r="J102" s="176"/>
      <c r="K102" s="176"/>
      <c r="L102" s="176"/>
      <c r="M102" s="176"/>
      <c r="N102" s="176"/>
      <c r="O102" s="176"/>
      <c r="P102" s="176"/>
      <c r="Q102" s="176"/>
      <c r="R102" s="176"/>
      <c r="S102" s="176">
        <f t="shared" si="214"/>
        <v>2488.1451058234757</v>
      </c>
      <c r="T102" s="176">
        <f t="shared" si="214"/>
        <v>2347.2408565685837</v>
      </c>
      <c r="U102" s="176">
        <f t="shared" si="214"/>
        <v>2122.7543034395003</v>
      </c>
      <c r="V102" s="176">
        <f t="shared" si="214"/>
        <v>1928.923722318608</v>
      </c>
      <c r="W102" s="176">
        <f t="shared" si="214"/>
        <v>1792.1092036209764</v>
      </c>
      <c r="X102" s="176">
        <f t="shared" si="214"/>
        <v>1414.0515952231303</v>
      </c>
      <c r="Y102" s="176">
        <f t="shared" si="214"/>
        <v>1393.8475889887482</v>
      </c>
      <c r="Z102" s="176">
        <f t="shared" si="214"/>
        <v>1364.7480464248031</v>
      </c>
      <c r="AA102" s="176">
        <f t="shared" si="214"/>
        <v>1342.5395140050166</v>
      </c>
      <c r="AB102" s="176">
        <f t="shared" si="214"/>
        <v>1331.5433059075201</v>
      </c>
      <c r="AC102" s="176">
        <f t="shared" si="214"/>
        <v>1292.44666445843</v>
      </c>
      <c r="AD102" s="177">
        <f t="shared" si="214"/>
        <v>1130.0797280334727</v>
      </c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8">
        <f t="shared" si="214"/>
        <v>1325.8427191516041</v>
      </c>
      <c r="AQ102" s="176">
        <f t="shared" si="214"/>
        <v>1777.0927291297005</v>
      </c>
      <c r="AR102" s="176"/>
      <c r="AS102" s="3"/>
    </row>
    <row r="103" spans="3:45" ht="15.75" hidden="1" outlineLevel="1" x14ac:dyDescent="0.25">
      <c r="C103" t="str">
        <f t="shared" si="210"/>
        <v>PC Annual Direct</v>
      </c>
      <c r="D103" t="str">
        <f t="shared" si="211"/>
        <v>Boom Subscription</v>
      </c>
      <c r="E103" s="179" t="s">
        <v>0</v>
      </c>
      <c r="F103" s="180">
        <f t="shared" ref="F103:AQ103" si="215">F101-F102</f>
        <v>1690.2669058822257</v>
      </c>
      <c r="G103" s="180"/>
      <c r="H103" s="180"/>
      <c r="I103" s="180"/>
      <c r="J103" s="180"/>
      <c r="K103" s="180"/>
      <c r="L103" s="180"/>
      <c r="M103" s="180"/>
      <c r="N103" s="180"/>
      <c r="O103" s="180"/>
      <c r="P103" s="180"/>
      <c r="Q103" s="180"/>
      <c r="R103" s="180"/>
      <c r="S103" s="180">
        <f t="shared" si="215"/>
        <v>-3399.4061172936731</v>
      </c>
      <c r="T103" s="180">
        <f t="shared" si="215"/>
        <v>-84993.073164247064</v>
      </c>
      <c r="U103" s="180">
        <f t="shared" si="215"/>
        <v>-268671.43430343951</v>
      </c>
      <c r="V103" s="180">
        <f t="shared" si="215"/>
        <v>-149773.88735868226</v>
      </c>
      <c r="W103" s="180">
        <f t="shared" si="215"/>
        <v>-72602.343514845255</v>
      </c>
      <c r="X103" s="180">
        <f t="shared" si="215"/>
        <v>-100843.77159522312</v>
      </c>
      <c r="Y103" s="180">
        <f t="shared" si="215"/>
        <v>-139105.69330327446</v>
      </c>
      <c r="Z103" s="180">
        <f t="shared" si="215"/>
        <v>-64639.653046424799</v>
      </c>
      <c r="AA103" s="180">
        <f t="shared" si="215"/>
        <v>-40954.133360158863</v>
      </c>
      <c r="AB103" s="180">
        <f t="shared" si="215"/>
        <v>-20228.618305907519</v>
      </c>
      <c r="AC103" s="180">
        <f t="shared" si="215"/>
        <v>-4038.5507716034299</v>
      </c>
      <c r="AD103" s="181">
        <f t="shared" si="215"/>
        <v>-1130.0797280334727</v>
      </c>
      <c r="AE103" s="180"/>
      <c r="AF103" s="180"/>
      <c r="AG103" s="180"/>
      <c r="AH103" s="180"/>
      <c r="AI103" s="180"/>
      <c r="AJ103" s="180"/>
      <c r="AK103" s="180"/>
      <c r="AL103" s="180"/>
      <c r="AM103" s="180"/>
      <c r="AN103" s="180"/>
      <c r="AO103" s="180"/>
      <c r="AP103" s="182">
        <f t="shared" si="215"/>
        <v>-30529.493511077253</v>
      </c>
      <c r="AQ103" s="180">
        <f t="shared" si="215"/>
        <v>-16966.032672335725</v>
      </c>
      <c r="AR103" s="349"/>
    </row>
    <row r="104" spans="3:45" hidden="1" outlineLevel="1" x14ac:dyDescent="0.25">
      <c r="C104" t="str">
        <f t="shared" si="210"/>
        <v>PC Annual Direct</v>
      </c>
      <c r="D104" t="str">
        <f t="shared" si="211"/>
        <v>Boom Subscription</v>
      </c>
      <c r="E104" s="35" t="s">
        <v>17</v>
      </c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7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8"/>
      <c r="AQ104" s="39"/>
      <c r="AR104" s="350"/>
    </row>
    <row r="105" spans="3:45" ht="15.75" hidden="1" outlineLevel="1" x14ac:dyDescent="0.25">
      <c r="C105" t="str">
        <f t="shared" si="210"/>
        <v>PC Annual Direct</v>
      </c>
      <c r="D105" t="str">
        <f t="shared" si="211"/>
        <v>Boom Subscription</v>
      </c>
      <c r="E105" s="5" t="s">
        <v>311</v>
      </c>
      <c r="F105" s="6">
        <v>2329156.4464303199</v>
      </c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>
        <v>590753.14285810187</v>
      </c>
      <c r="T105" s="6">
        <v>1.8000082491198555E-7</v>
      </c>
      <c r="U105" s="6">
        <v>0</v>
      </c>
      <c r="V105" s="6">
        <v>0</v>
      </c>
      <c r="W105" s="6">
        <v>1125.9196429000001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34.151785710000013</v>
      </c>
      <c r="AD105" s="6">
        <v>0</v>
      </c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8">
        <f t="shared" ref="AP105" si="216">AVERAGE(AA105:AD105)</f>
        <v>8.5379464275000032</v>
      </c>
      <c r="AQ105" s="6">
        <f>AVERAGE(S105:AD105)</f>
        <v>49326.101190574322</v>
      </c>
      <c r="AR105" s="15"/>
    </row>
    <row r="106" spans="3:45" ht="15.75" hidden="1" outlineLevel="1" x14ac:dyDescent="0.25">
      <c r="C106" t="str">
        <f t="shared" si="210"/>
        <v>PC Annual Direct</v>
      </c>
      <c r="D106" t="e">
        <f>#REF!</f>
        <v>#REF!</v>
      </c>
      <c r="E106" s="45" t="s">
        <v>21</v>
      </c>
      <c r="F106" s="41">
        <f ca="1">F98/F$8</f>
        <v>1.8334191441987469</v>
      </c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>
        <f t="shared" ref="S106:AQ106" ca="1" si="217">S98/S$8</f>
        <v>-9.6229778088358892E-2</v>
      </c>
      <c r="T106" s="41">
        <f t="shared" ca="1" si="217"/>
        <v>-0.28335783386997349</v>
      </c>
      <c r="U106" s="41">
        <f t="shared" ca="1" si="217"/>
        <v>-0.19836409016225459</v>
      </c>
      <c r="V106" s="41">
        <f t="shared" ca="1" si="217"/>
        <v>-0.25466495654340554</v>
      </c>
      <c r="W106" s="41">
        <f t="shared" ca="1" si="217"/>
        <v>-0.18516839956901737</v>
      </c>
      <c r="X106" s="41">
        <f t="shared" ca="1" si="217"/>
        <v>-0.26115821654278826</v>
      </c>
      <c r="Y106" s="41">
        <f t="shared" ca="1" si="217"/>
        <v>-0.24243475350492344</v>
      </c>
      <c r="Z106" s="41">
        <f t="shared" ca="1" si="217"/>
        <v>-0.13887858987867857</v>
      </c>
      <c r="AA106" s="41">
        <f t="shared" ca="1" si="217"/>
        <v>-0.14857804484545239</v>
      </c>
      <c r="AB106" s="41">
        <f t="shared" ca="1" si="217"/>
        <v>-4.1557412749117305E-2</v>
      </c>
      <c r="AC106" s="41">
        <f t="shared" ca="1" si="217"/>
        <v>-1.5163863326121058E-3</v>
      </c>
      <c r="AD106" s="41">
        <f t="shared" ca="1" si="217"/>
        <v>-1.7933489901319645E-5</v>
      </c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4">
        <f t="shared" ca="1" si="217"/>
        <v>-5.5281513423989022E-2</v>
      </c>
      <c r="AQ106" s="41">
        <f t="shared" ca="1" si="217"/>
        <v>-0.24539056388503122</v>
      </c>
      <c r="AR106" s="56"/>
    </row>
    <row r="107" spans="3:45" hidden="1" outlineLevel="1" x14ac:dyDescent="0.25"/>
  </sheetData>
  <mergeCells count="19">
    <mergeCell ref="AP2:AT2"/>
    <mergeCell ref="AR3:AT3"/>
    <mergeCell ref="AP22:AT22"/>
    <mergeCell ref="AR23:AT23"/>
    <mergeCell ref="U92:AD92"/>
    <mergeCell ref="AP39:AT39"/>
    <mergeCell ref="AR40:AT40"/>
    <mergeCell ref="AR58:AT58"/>
    <mergeCell ref="AP75:AT75"/>
    <mergeCell ref="AR76:AT76"/>
    <mergeCell ref="AP3:AQ3"/>
    <mergeCell ref="AP23:AQ23"/>
    <mergeCell ref="F93:AD93"/>
    <mergeCell ref="AP93:AQ93"/>
    <mergeCell ref="U91:AD91"/>
    <mergeCell ref="AP40:AQ40"/>
    <mergeCell ref="AP58:AQ58"/>
    <mergeCell ref="AP76:AQ76"/>
    <mergeCell ref="AP57:AT57"/>
  </mergeCells>
  <conditionalFormatting sqref="F16:AO16">
    <cfRule type="cellIs" dxfId="216" priority="68" operator="lessThan">
      <formula>0</formula>
    </cfRule>
  </conditionalFormatting>
  <conditionalFormatting sqref="F19:AO19">
    <cfRule type="cellIs" dxfId="215" priority="67" operator="lessThan">
      <formula>0</formula>
    </cfRule>
  </conditionalFormatting>
  <conditionalFormatting sqref="F33:AO33">
    <cfRule type="cellIs" dxfId="214" priority="65" operator="lessThan">
      <formula>0</formula>
    </cfRule>
  </conditionalFormatting>
  <conditionalFormatting sqref="F50:AO50">
    <cfRule type="cellIs" dxfId="213" priority="52" operator="lessThan">
      <formula>0</formula>
    </cfRule>
  </conditionalFormatting>
  <conditionalFormatting sqref="F68:AO68">
    <cfRule type="cellIs" dxfId="212" priority="44" operator="lessThan">
      <formula>0</formula>
    </cfRule>
  </conditionalFormatting>
  <conditionalFormatting sqref="F86:AO86">
    <cfRule type="cellIs" dxfId="211" priority="41" operator="lessThan">
      <formula>0</formula>
    </cfRule>
  </conditionalFormatting>
  <conditionalFormatting sqref="F97:AO98 F100:AO103">
    <cfRule type="cellIs" dxfId="210" priority="99" operator="lessThan">
      <formula>0</formula>
    </cfRule>
  </conditionalFormatting>
  <conditionalFormatting sqref="F105:AO105">
    <cfRule type="cellIs" dxfId="209" priority="94" operator="lessThan">
      <formula>0</formula>
    </cfRule>
  </conditionalFormatting>
  <conditionalFormatting sqref="F73:AR74">
    <cfRule type="cellIs" dxfId="208" priority="71" operator="lessThan">
      <formula>0</formula>
    </cfRule>
  </conditionalFormatting>
  <conditionalFormatting sqref="F7:AT7">
    <cfRule type="cellIs" dxfId="207" priority="27" operator="lessThan">
      <formula>0</formula>
    </cfRule>
  </conditionalFormatting>
  <conditionalFormatting sqref="F10:AT10">
    <cfRule type="cellIs" dxfId="206" priority="9" operator="greaterThan">
      <formula>0</formula>
    </cfRule>
    <cfRule type="cellIs" dxfId="205" priority="10" operator="lessThan">
      <formula>0</formula>
    </cfRule>
  </conditionalFormatting>
  <conditionalFormatting sqref="F13:AT13">
    <cfRule type="cellIs" dxfId="204" priority="26" operator="lessThan">
      <formula>0</formula>
    </cfRule>
  </conditionalFormatting>
  <conditionalFormatting sqref="F27:AT27">
    <cfRule type="cellIs" dxfId="203" priority="60" operator="lessThan">
      <formula>0</formula>
    </cfRule>
  </conditionalFormatting>
  <conditionalFormatting sqref="F30:AT30">
    <cfRule type="cellIs" dxfId="202" priority="7" operator="greaterThan">
      <formula>0</formula>
    </cfRule>
    <cfRule type="cellIs" dxfId="201" priority="8" operator="lessThan">
      <formula>0</formula>
    </cfRule>
  </conditionalFormatting>
  <conditionalFormatting sqref="F44:AT44">
    <cfRule type="cellIs" dxfId="200" priority="22" operator="lessThan">
      <formula>0</formula>
    </cfRule>
  </conditionalFormatting>
  <conditionalFormatting sqref="F47:AT47">
    <cfRule type="cellIs" dxfId="199" priority="5" operator="greaterThan">
      <formula>0</formula>
    </cfRule>
    <cfRule type="cellIs" dxfId="198" priority="6" operator="lessThan">
      <formula>0</formula>
    </cfRule>
  </conditionalFormatting>
  <conditionalFormatting sqref="F62:AT62">
    <cfRule type="cellIs" dxfId="197" priority="18" operator="lessThan">
      <formula>0</formula>
    </cfRule>
  </conditionalFormatting>
  <conditionalFormatting sqref="F65:AT65">
    <cfRule type="cellIs" dxfId="196" priority="3" operator="greaterThan">
      <formula>0</formula>
    </cfRule>
    <cfRule type="cellIs" dxfId="195" priority="4" operator="lessThan">
      <formula>0</formula>
    </cfRule>
  </conditionalFormatting>
  <conditionalFormatting sqref="F80:AT80">
    <cfRule type="cellIs" dxfId="194" priority="14" operator="lessThan">
      <formula>0</formula>
    </cfRule>
  </conditionalFormatting>
  <conditionalFormatting sqref="F83:AT83">
    <cfRule type="cellIs" dxfId="193" priority="1" operator="greaterThan">
      <formula>0</formula>
    </cfRule>
    <cfRule type="cellIs" dxfId="192" priority="2" operator="lessThan">
      <formula>0</formula>
    </cfRule>
  </conditionalFormatting>
  <conditionalFormatting sqref="AP97:AR97 AP100:AR100 AP103:AR104">
    <cfRule type="cellIs" dxfId="191" priority="98" operator="lessThan">
      <formula>0</formula>
    </cfRule>
  </conditionalFormatting>
  <conditionalFormatting sqref="AP16:AT18">
    <cfRule type="cellIs" dxfId="190" priority="24" operator="lessThan">
      <formula>0</formula>
    </cfRule>
  </conditionalFormatting>
  <conditionalFormatting sqref="AP33:AT34">
    <cfRule type="cellIs" dxfId="189" priority="23" operator="lessThan">
      <formula>0</formula>
    </cfRule>
  </conditionalFormatting>
  <conditionalFormatting sqref="AP50:AT51">
    <cfRule type="cellIs" dxfId="188" priority="19" operator="lessThan">
      <formula>0</formula>
    </cfRule>
  </conditionalFormatting>
  <conditionalFormatting sqref="AP68:AT69">
    <cfRule type="cellIs" dxfId="187" priority="15" operator="lessThan">
      <formula>0</formula>
    </cfRule>
  </conditionalFormatting>
  <conditionalFormatting sqref="AP86:AT87">
    <cfRule type="cellIs" dxfId="186" priority="1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4DCD5-9E9F-40EC-8B7F-9E84C145B5B3}">
  <dimension ref="A1:AS104"/>
  <sheetViews>
    <sheetView showGridLines="0" zoomScale="70" zoomScaleNormal="70" workbookViewId="0">
      <pane xSplit="1" topLeftCell="N1" activePane="topRight" state="frozen"/>
      <selection activeCell="N63" sqref="N63"/>
      <selection pane="topRight" activeCell="N63" sqref="N63"/>
    </sheetView>
  </sheetViews>
  <sheetFormatPr defaultRowHeight="15" outlineLevelRow="1" x14ac:dyDescent="0.25"/>
  <cols>
    <col min="1" max="1" width="9.140625" customWidth="1"/>
    <col min="2" max="2" width="36.5703125" customWidth="1"/>
    <col min="3" max="3" width="24.28515625" customWidth="1"/>
    <col min="4" max="4" width="55.28515625" customWidth="1"/>
    <col min="5" max="17" width="16.7109375" customWidth="1"/>
    <col min="18" max="26" width="13.140625" bestFit="1" customWidth="1"/>
    <col min="27" max="27" width="13.28515625" bestFit="1" customWidth="1"/>
    <col min="28" max="28" width="13.140625" bestFit="1" customWidth="1"/>
    <col min="29" max="29" width="13.42578125" bestFit="1" customWidth="1"/>
    <col min="30" max="40" width="13.42578125" customWidth="1"/>
    <col min="41" max="42" width="16" customWidth="1"/>
    <col min="43" max="43" width="15.28515625" customWidth="1"/>
    <col min="45" max="45" width="17.140625" bestFit="1" customWidth="1"/>
  </cols>
  <sheetData>
    <row r="1" spans="2:44" ht="15.75" thickBot="1" x14ac:dyDescent="0.3">
      <c r="D1" s="47" t="s">
        <v>318</v>
      </c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</row>
    <row r="2" spans="2:44" ht="18.75" x14ac:dyDescent="0.25">
      <c r="D2" s="257" t="s">
        <v>1</v>
      </c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63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63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63"/>
      <c r="AO2" s="202"/>
      <c r="AP2" s="202"/>
      <c r="AQ2" s="233"/>
    </row>
    <row r="3" spans="2:44" x14ac:dyDescent="0.25">
      <c r="D3" s="204" t="s">
        <v>205</v>
      </c>
      <c r="E3" s="200" t="s">
        <v>237</v>
      </c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64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64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64"/>
      <c r="AO3" s="510" t="s">
        <v>8</v>
      </c>
      <c r="AP3" s="511"/>
      <c r="AQ3" s="512"/>
    </row>
    <row r="4" spans="2:44" x14ac:dyDescent="0.25">
      <c r="D4" s="256" t="s">
        <v>16</v>
      </c>
      <c r="E4" s="285">
        <f t="shared" ref="E4" si="0">EDATE(F4,-1)</f>
        <v>44562</v>
      </c>
      <c r="F4" s="285">
        <f t="shared" ref="F4" si="1">EDATE(G4,-1)</f>
        <v>44593</v>
      </c>
      <c r="G4" s="285">
        <f t="shared" ref="G4" si="2">EDATE(H4,-1)</f>
        <v>44621</v>
      </c>
      <c r="H4" s="285">
        <f t="shared" ref="H4" si="3">EDATE(I4,-1)</f>
        <v>44652</v>
      </c>
      <c r="I4" s="285">
        <f t="shared" ref="I4" si="4">EDATE(J4,-1)</f>
        <v>44682</v>
      </c>
      <c r="J4" s="285">
        <f t="shared" ref="J4" si="5">EDATE(K4,-1)</f>
        <v>44713</v>
      </c>
      <c r="K4" s="285">
        <f t="shared" ref="K4" si="6">EDATE(L4,-1)</f>
        <v>44743</v>
      </c>
      <c r="L4" s="285">
        <f t="shared" ref="L4" si="7">EDATE(M4,-1)</f>
        <v>44774</v>
      </c>
      <c r="M4" s="285">
        <f t="shared" ref="M4" si="8">EDATE(N4,-1)</f>
        <v>44805</v>
      </c>
      <c r="N4" s="285">
        <f t="shared" ref="N4" si="9">EDATE(O4,-1)</f>
        <v>44835</v>
      </c>
      <c r="O4" s="285">
        <f t="shared" ref="O4" si="10">EDATE(P4,-1)</f>
        <v>44866</v>
      </c>
      <c r="P4" s="286">
        <f t="shared" ref="P4" si="11">EDATE(Q4,-1)</f>
        <v>44896</v>
      </c>
      <c r="Q4" s="285">
        <f t="shared" ref="Q4:AM4" si="12">EDATE(R4,-1)</f>
        <v>44927</v>
      </c>
      <c r="R4" s="285">
        <f t="shared" si="12"/>
        <v>44958</v>
      </c>
      <c r="S4" s="285">
        <f t="shared" si="12"/>
        <v>44986</v>
      </c>
      <c r="T4" s="285">
        <f t="shared" si="12"/>
        <v>45017</v>
      </c>
      <c r="U4" s="285">
        <f t="shared" si="12"/>
        <v>45047</v>
      </c>
      <c r="V4" s="285">
        <f t="shared" si="12"/>
        <v>45078</v>
      </c>
      <c r="W4" s="285">
        <f t="shared" si="12"/>
        <v>45108</v>
      </c>
      <c r="X4" s="285">
        <f t="shared" si="12"/>
        <v>45139</v>
      </c>
      <c r="Y4" s="285">
        <f t="shared" si="12"/>
        <v>45170</v>
      </c>
      <c r="Z4" s="285">
        <f t="shared" si="12"/>
        <v>45200</v>
      </c>
      <c r="AA4" s="285">
        <f t="shared" si="12"/>
        <v>45231</v>
      </c>
      <c r="AB4" s="286">
        <f t="shared" si="12"/>
        <v>45261</v>
      </c>
      <c r="AC4" s="285">
        <f t="shared" si="12"/>
        <v>45292</v>
      </c>
      <c r="AD4" s="285">
        <f t="shared" si="12"/>
        <v>45323</v>
      </c>
      <c r="AE4" s="285">
        <f t="shared" si="12"/>
        <v>45352</v>
      </c>
      <c r="AF4" s="285">
        <f t="shared" si="12"/>
        <v>45383</v>
      </c>
      <c r="AG4" s="285">
        <f t="shared" si="12"/>
        <v>45413</v>
      </c>
      <c r="AH4" s="285">
        <f t="shared" si="12"/>
        <v>45444</v>
      </c>
      <c r="AI4" s="285">
        <f t="shared" si="12"/>
        <v>45474</v>
      </c>
      <c r="AJ4" s="285">
        <f t="shared" si="12"/>
        <v>45505</v>
      </c>
      <c r="AK4" s="285">
        <f t="shared" si="12"/>
        <v>45536</v>
      </c>
      <c r="AL4" s="285">
        <f t="shared" si="12"/>
        <v>45566</v>
      </c>
      <c r="AM4" s="285">
        <f t="shared" si="12"/>
        <v>45597</v>
      </c>
      <c r="AN4" s="286">
        <v>45627</v>
      </c>
      <c r="AO4" s="271" t="s">
        <v>347</v>
      </c>
      <c r="AP4" s="272" t="s">
        <v>348</v>
      </c>
      <c r="AQ4" s="273" t="s">
        <v>346</v>
      </c>
    </row>
    <row r="5" spans="2:44" ht="15.75" x14ac:dyDescent="0.25">
      <c r="B5" t="str">
        <f>$D$2</f>
        <v>PC Annual Direct</v>
      </c>
      <c r="D5" s="208" t="s">
        <v>316</v>
      </c>
      <c r="E5" s="209" t="str">
        <f>IFERROR('Current - Sales, NWP, GWP'!E5/((VLOOKUP(COUNTA(E$4:$AC$4),'Dev Patterns'!$B$6:$F$22,$A24,0)*('Current - Sales, NWP, GWP'!E25/'Current - Sales, NWP, GWP'!E5))+(VLOOKUP(COUNTA(E$4:$AC$4),'Dev Patterns'!$B$6:$F$22,$A75,0)*(1-'Current - Sales, NWP, GWP'!E25/'Current - Sales, NWP, GWP'!E5))),"-")</f>
        <v>-</v>
      </c>
      <c r="F5" s="209" t="str">
        <f>IFERROR('Current - Sales, NWP, GWP'!F5/((VLOOKUP(COUNTA(F$4:$AC$4),'Dev Patterns'!$B$6:$F$22,$A24,0)*('Current - Sales, NWP, GWP'!F25/'Current - Sales, NWP, GWP'!F5))+(VLOOKUP(COUNTA(F$4:$AC$4),'Dev Patterns'!$B$6:$F$22,$A75,0)*(1-'Current - Sales, NWP, GWP'!F25/'Current - Sales, NWP, GWP'!F5))),"-")</f>
        <v>-</v>
      </c>
      <c r="G5" s="209" t="str">
        <f>IFERROR('Current - Sales, NWP, GWP'!G5/((VLOOKUP(COUNTA(G$4:$AC$4),'Dev Patterns'!$B$6:$F$22,$A24,0)*('Current - Sales, NWP, GWP'!G25/'Current - Sales, NWP, GWP'!G5))+(VLOOKUP(COUNTA(G$4:$AC$4),'Dev Patterns'!$B$6:$F$22,$A75,0)*(1-'Current - Sales, NWP, GWP'!G25/'Current - Sales, NWP, GWP'!G5))),"-")</f>
        <v>-</v>
      </c>
      <c r="H5" s="209" t="str">
        <f>IFERROR('Current - Sales, NWP, GWP'!H5/((VLOOKUP(COUNTA(H$4:$AC$4),'Dev Patterns'!$B$6:$F$22,$A24,0)*('Current - Sales, NWP, GWP'!H25/'Current - Sales, NWP, GWP'!H5))+(VLOOKUP(COUNTA(H$4:$AC$4),'Dev Patterns'!$B$6:$F$22,$A75,0)*(1-'Current - Sales, NWP, GWP'!H25/'Current - Sales, NWP, GWP'!H5))),"-")</f>
        <v>-</v>
      </c>
      <c r="I5" s="209" t="str">
        <f>IFERROR('Current - Sales, NWP, GWP'!I5/((VLOOKUP(COUNTA(I$4:$AC$4),'Dev Patterns'!$B$6:$F$22,$A24,0)*('Current - Sales, NWP, GWP'!I25/'Current - Sales, NWP, GWP'!I5))+(VLOOKUP(COUNTA(I$4:$AC$4),'Dev Patterns'!$B$6:$F$22,$A75,0)*(1-'Current - Sales, NWP, GWP'!I25/'Current - Sales, NWP, GWP'!I5))),"-")</f>
        <v>-</v>
      </c>
      <c r="J5" s="209" t="str">
        <f>IFERROR('Current - Sales, NWP, GWP'!J5/((VLOOKUP(COUNTA(J$4:$AC$4),'Dev Patterns'!$B$6:$F$22,$A24,0)*('Current - Sales, NWP, GWP'!J25/'Current - Sales, NWP, GWP'!J5))+(VLOOKUP(COUNTA(J$4:$AC$4),'Dev Patterns'!$B$6:$F$22,$A75,0)*(1-'Current - Sales, NWP, GWP'!J25/'Current - Sales, NWP, GWP'!J5))),"-")</f>
        <v>-</v>
      </c>
      <c r="K5" s="209" t="str">
        <f>IFERROR('Current - Sales, NWP, GWP'!K5/((VLOOKUP(COUNTA(K$4:$AC$4),'Dev Patterns'!$B$6:$F$22,$A24,0)*('Current - Sales, NWP, GWP'!K25/'Current - Sales, NWP, GWP'!K5))+(VLOOKUP(COUNTA(K$4:$AC$4),'Dev Patterns'!$B$6:$F$22,$A75,0)*(1-'Current - Sales, NWP, GWP'!K25/'Current - Sales, NWP, GWP'!K5))),"-")</f>
        <v>-</v>
      </c>
      <c r="L5" s="209" t="str">
        <f>IFERROR('Current - Sales, NWP, GWP'!L5/((VLOOKUP(COUNTA(L$4:$AC$4),'Dev Patterns'!$B$6:$F$22,$A24,0)*('Current - Sales, NWP, GWP'!L25/'Current - Sales, NWP, GWP'!L5))+(VLOOKUP(COUNTA(L$4:$AC$4),'Dev Patterns'!$B$6:$F$22,$A75,0)*(1-'Current - Sales, NWP, GWP'!L25/'Current - Sales, NWP, GWP'!L5))),"-")</f>
        <v>-</v>
      </c>
      <c r="M5" s="209" t="str">
        <f>IFERROR('Current - Sales, NWP, GWP'!M5/((VLOOKUP(COUNTA(M$4:$AC$4),'Dev Patterns'!$B$6:$F$22,$A24,0)*('Current - Sales, NWP, GWP'!M25/'Current - Sales, NWP, GWP'!M5))+(VLOOKUP(COUNTA(M$4:$AC$4),'Dev Patterns'!$B$6:$F$22,$A75,0)*(1-'Current - Sales, NWP, GWP'!M25/'Current - Sales, NWP, GWP'!M5))),"-")</f>
        <v>-</v>
      </c>
      <c r="N5" s="209">
        <f>IFERROR('Current - Sales, NWP, GWP'!N5/((VLOOKUP(COUNTA(N$4:$AC$4),'Dev Patterns'!$B$6:$F$22,$A24,0)*('Current - Sales, NWP, GWP'!N25/'Current - Sales, NWP, GWP'!N5))+(VLOOKUP(COUNTA(N$4:$AC$4),'Dev Patterns'!$B$6:$F$22,$A75,0)*(1-'Current - Sales, NWP, GWP'!N25/'Current - Sales, NWP, GWP'!N5))),"-")</f>
        <v>2519.644808569898</v>
      </c>
      <c r="O5" s="209">
        <f>IFERROR('Current - Sales, NWP, GWP'!O5/((VLOOKUP(COUNTA(O$4:$AC$4),'Dev Patterns'!$B$6:$F$22,$A24,0)*('Current - Sales, NWP, GWP'!O25/'Current - Sales, NWP, GWP'!O5))+(VLOOKUP(COUNTA(O$4:$AC$4),'Dev Patterns'!$B$6:$F$22,$A75,0)*(1-'Current - Sales, NWP, GWP'!O25/'Current - Sales, NWP, GWP'!O5))),"-")</f>
        <v>3230.5928964846048</v>
      </c>
      <c r="P5" s="265">
        <f>IFERROR('Current - Sales, NWP, GWP'!P5/((VLOOKUP(COUNTA(P$4:$AC$4),'Dev Patterns'!$B$6:$F$22,$A24,0)*('Current - Sales, NWP, GWP'!P25/'Current - Sales, NWP, GWP'!P5))+(VLOOKUP(COUNTA(P$4:$AC$4),'Dev Patterns'!$B$6:$F$22,$A75,0)*(1-'Current - Sales, NWP, GWP'!P25/'Current - Sales, NWP, GWP'!P5))),"-")</f>
        <v>3230.0081965512977</v>
      </c>
      <c r="Q5" s="209">
        <f>IFERROR('Current - Sales, NWP, GWP'!Q5/((VLOOKUP(COUNTA(Q$4:$AC$4),'Dev Patterns'!$B$6:$F$22,$A24,0)*('Current - Sales, NWP, GWP'!Q25/'Current - Sales, NWP, GWP'!Q5))+(VLOOKUP(COUNTA(Q$4:$AC$4),'Dev Patterns'!$B$6:$F$22,$A75,0)*(1-'Current - Sales, NWP, GWP'!Q25/'Current - Sales, NWP, GWP'!Q5))),"-")</f>
        <v>3523.3825135082916</v>
      </c>
      <c r="R5" s="209">
        <f>IFERROR('Current - Sales, NWP, GWP'!R5/((VLOOKUP(COUNTA(R$4:$AC$4),'Dev Patterns'!$B$6:$F$22,$A24,0)*('Current - Sales, NWP, GWP'!R25/'Current - Sales, NWP, GWP'!R5))+(VLOOKUP(COUNTA(R$4:$AC$4),'Dev Patterns'!$B$6:$F$22,$A75,0)*(1-'Current - Sales, NWP, GWP'!R25/'Current - Sales, NWP, GWP'!R5))),"-")</f>
        <v>4237.2157162691637</v>
      </c>
      <c r="S5" s="209">
        <f>IFERROR('Current - Sales, NWP, GWP'!S5/((VLOOKUP(COUNTA(S$4:$AC$4),'Dev Patterns'!$B$6:$F$22,$A24,0)*('Current - Sales, NWP, GWP'!S25/'Current - Sales, NWP, GWP'!S5))+(VLOOKUP(COUNTA(S$4:$AC$4),'Dev Patterns'!$B$6:$F$22,$A75,0)*(1-'Current - Sales, NWP, GWP'!S25/'Current - Sales, NWP, GWP'!S5))),"-")</f>
        <v>6101.3569486300667</v>
      </c>
      <c r="T5" s="209">
        <f>IFERROR('Current - Sales, NWP, GWP'!T5/((VLOOKUP(COUNTA(T$4:$AC$4),'Dev Patterns'!$B$6:$F$22,$A24,0)*('Current - Sales, NWP, GWP'!T25/'Current - Sales, NWP, GWP'!T5))+(VLOOKUP(COUNTA(T$4:$AC$4),'Dev Patterns'!$B$6:$F$22,$A75,0)*(1-'Current - Sales, NWP, GWP'!T25/'Current - Sales, NWP, GWP'!T5))),"-")</f>
        <v>5911.4262170106103</v>
      </c>
      <c r="U5" s="209">
        <f>IFERROR('Current - Sales, NWP, GWP'!U5/((VLOOKUP(COUNTA(U$4:$AC$4),'Dev Patterns'!$B$6:$F$22,$A24,0)*('Current - Sales, NWP, GWP'!U25/'Current - Sales, NWP, GWP'!U5))+(VLOOKUP(COUNTA(U$4:$AC$4),'Dev Patterns'!$B$6:$F$22,$A75,0)*(1-'Current - Sales, NWP, GWP'!U25/'Current - Sales, NWP, GWP'!U5))),"-")</f>
        <v>5839.4676898496091</v>
      </c>
      <c r="V5" s="209">
        <f>IFERROR('Current - Sales, NWP, GWP'!V5/((VLOOKUP(COUNTA(V$4:$AC$4),'Dev Patterns'!$B$6:$F$22,$A24,0)*('Current - Sales, NWP, GWP'!V25/'Current - Sales, NWP, GWP'!V5))+(VLOOKUP(COUNTA(V$4:$AC$4),'Dev Patterns'!$B$6:$F$22,$A75,0)*(1-'Current - Sales, NWP, GWP'!V25/'Current - Sales, NWP, GWP'!V5))),"-")</f>
        <v>4911.5897632900223</v>
      </c>
      <c r="W5" s="209">
        <f>IFERROR('Current - Sales, NWP, GWP'!W5/((VLOOKUP(COUNTA(W$4:$AC$4),'Dev Patterns'!$B$6:$F$22,$A24,0)*('Current - Sales, NWP, GWP'!W25/'Current - Sales, NWP, GWP'!W5))+(VLOOKUP(COUNTA(W$4:$AC$4),'Dev Patterns'!$B$6:$F$22,$A75,0)*(1-'Current - Sales, NWP, GWP'!W25/'Current - Sales, NWP, GWP'!W5))),"-")</f>
        <v>4188.7325943822134</v>
      </c>
      <c r="X5" s="209">
        <f>IFERROR('Current - Sales, NWP, GWP'!X5/((VLOOKUP(COUNTA(X$4:$AC$4),'Dev Patterns'!$B$6:$F$22,$A24,0)*('Current - Sales, NWP, GWP'!X25/'Current - Sales, NWP, GWP'!X5))+(VLOOKUP(COUNTA(X$4:$AC$4),'Dev Patterns'!$B$6:$F$22,$A75,0)*(1-'Current - Sales, NWP, GWP'!X25/'Current - Sales, NWP, GWP'!X5))),"-")</f>
        <v>3622.0570786442713</v>
      </c>
      <c r="Y5" s="209">
        <f>IFERROR('Current - Sales, NWP, GWP'!Y5/((VLOOKUP(COUNTA(Y$4:$AC$4),'Dev Patterns'!$B$6:$F$22,$A24,0)*('Current - Sales, NWP, GWP'!Y25/'Current - Sales, NWP, GWP'!Y5))+(VLOOKUP(COUNTA(Y$4:$AC$4),'Dev Patterns'!$B$6:$F$22,$A75,0)*(1-'Current - Sales, NWP, GWP'!Y25/'Current - Sales, NWP, GWP'!Y5))),"-")</f>
        <v>3276.2444462366971</v>
      </c>
      <c r="Z5" s="209">
        <f>IFERROR('Current - Sales, NWP, GWP'!Z5/((VLOOKUP(COUNTA(Z$4:$AC$4),'Dev Patterns'!$B$6:$F$22,$A24,0)*('Current - Sales, NWP, GWP'!Z25/'Current - Sales, NWP, GWP'!Z5))+(VLOOKUP(COUNTA(Z$4:$AC$4),'Dev Patterns'!$B$6:$F$22,$A75,0)*(1-'Current - Sales, NWP, GWP'!Z25/'Current - Sales, NWP, GWP'!Z5))),"-")</f>
        <v>3160.4202325656211</v>
      </c>
      <c r="AA5" s="209">
        <f>IFERROR('Current - Sales, NWP, GWP'!AA5/((VLOOKUP(COUNTA(AA$4:$AC$4),'Dev Patterns'!$B$6:$F$22,$A24,0)*('Current - Sales, NWP, GWP'!AA25/'Current - Sales, NWP, GWP'!AA5))+(VLOOKUP(COUNTA(AA$4:$AC$4),'Dev Patterns'!$B$6:$F$22,$A75,0)*(1-'Current - Sales, NWP, GWP'!AA25/'Current - Sales, NWP, GWP'!AA5))),"-")</f>
        <v>3207.9335433305228</v>
      </c>
      <c r="AB5" s="265">
        <f>IFERROR('Current - Sales, NWP, GWP'!AB5/((VLOOKUP(COUNTA(AB$4:$AC$4),'Dev Patterns'!$B$6:$F$22,$A24,0)*('Current - Sales, NWP, GWP'!AB25/'Current - Sales, NWP, GWP'!AB5))+(VLOOKUP(COUNTA(AB$4:$AC$4),'Dev Patterns'!$B$6:$F$22,$A75,0)*(1-'Current - Sales, NWP, GWP'!AB25/'Current - Sales, NWP, GWP'!AB5))),"-")</f>
        <v>3171.682416574628</v>
      </c>
      <c r="AC5" s="209">
        <f t="shared" ref="AC5:AN5" si="13">SUM(AC24,AC75)</f>
        <v>3238.4858987805637</v>
      </c>
      <c r="AD5" s="209">
        <f t="shared" si="13"/>
        <v>2696.5156165180279</v>
      </c>
      <c r="AE5" s="209">
        <f t="shared" si="13"/>
        <v>3457.7320258545496</v>
      </c>
      <c r="AF5" s="209">
        <f t="shared" si="13"/>
        <v>3535.0185602772344</v>
      </c>
      <c r="AG5" s="209">
        <f t="shared" si="13"/>
        <v>3612.0403078181857</v>
      </c>
      <c r="AH5" s="209">
        <f t="shared" si="13"/>
        <v>3305.444238129995</v>
      </c>
      <c r="AI5" s="209">
        <f t="shared" si="13"/>
        <v>3248.9059966048685</v>
      </c>
      <c r="AJ5" s="209">
        <f t="shared" si="13"/>
        <v>1497.775779747225</v>
      </c>
      <c r="AK5" s="209">
        <f t="shared" si="13"/>
        <v>0</v>
      </c>
      <c r="AL5" s="209">
        <f t="shared" si="13"/>
        <v>0</v>
      </c>
      <c r="AM5" s="209">
        <f t="shared" si="13"/>
        <v>0</v>
      </c>
      <c r="AN5" s="265">
        <f t="shared" si="13"/>
        <v>0</v>
      </c>
      <c r="AO5" s="237">
        <f t="shared" ref="AO5:AO10" si="14">AVERAGE(Z5:AC5)</f>
        <v>3194.630522812834</v>
      </c>
      <c r="AP5" s="209">
        <f>AVERAGE(R5:AC5)</f>
        <v>4238.884378797</v>
      </c>
      <c r="AQ5" s="238">
        <f>SUMIFS(AC5:AN5,AC$4:AN$4,"&lt;"&amp;'Title Sheet'!$C$13)</f>
        <v>24591.918423730654</v>
      </c>
      <c r="AR5" s="3" t="s">
        <v>313</v>
      </c>
    </row>
    <row r="6" spans="2:44" ht="15.75" hidden="1" x14ac:dyDescent="0.25">
      <c r="B6" t="str">
        <f>$D$2&amp;"_W VYRs"</f>
        <v>PC Annual Direct_W VYRs</v>
      </c>
      <c r="D6" s="211" t="s">
        <v>317</v>
      </c>
      <c r="E6" s="31" t="e">
        <f>INDEX('Plan Figures'!$B$5:$AP$31,MATCH('Ultimate - MGA and MPM'!E$4,'Plan Figures'!$B$5:$B$31,0),MATCH('Ultimate - MGA and MPM'!$B6,'Plan Figures'!$B$1:$AP$1,0))</f>
        <v>#N/A</v>
      </c>
      <c r="F6" s="31"/>
      <c r="G6" s="31"/>
      <c r="H6" s="31"/>
      <c r="I6" s="31"/>
      <c r="J6" s="31"/>
      <c r="K6" s="31"/>
      <c r="L6" s="31"/>
      <c r="M6" s="31"/>
      <c r="N6" s="31"/>
      <c r="O6" s="31"/>
      <c r="P6" s="266"/>
      <c r="Q6" s="31"/>
      <c r="R6" s="31" t="str">
        <f>INDEX('Plan Figures'!$B$5:$AP$31,MATCH('Ultimate - MGA and MPM'!R$4,'Plan Figures'!$B$5:$B$31,0),MATCH('Ultimate - MGA and MPM'!$B6,'Plan Figures'!$B$1:$AP$1,0))</f>
        <v>-</v>
      </c>
      <c r="S6" s="31" t="str">
        <f>INDEX('Plan Figures'!$B$5:$AP$31,MATCH('Ultimate - MGA and MPM'!S$4,'Plan Figures'!$B$5:$B$31,0),MATCH('Ultimate - MGA and MPM'!$B6,'Plan Figures'!$B$1:$AP$1,0))</f>
        <v>-</v>
      </c>
      <c r="T6" s="31" t="str">
        <f>INDEX('Plan Figures'!$B$5:$AP$31,MATCH('Ultimate - MGA and MPM'!T$4,'Plan Figures'!$B$5:$B$31,0),MATCH('Ultimate - MGA and MPM'!$B6,'Plan Figures'!$B$1:$AP$1,0))</f>
        <v>-</v>
      </c>
      <c r="U6" s="31" t="str">
        <f>INDEX('Plan Figures'!$B$5:$AP$31,MATCH('Ultimate - MGA and MPM'!U$4,'Plan Figures'!$B$5:$B$31,0),MATCH('Ultimate - MGA and MPM'!$B6,'Plan Figures'!$B$1:$AP$1,0))</f>
        <v>-</v>
      </c>
      <c r="V6" s="31" t="str">
        <f>INDEX('Plan Figures'!$B$5:$AP$31,MATCH('Ultimate - MGA and MPM'!V$4,'Plan Figures'!$B$5:$B$31,0),MATCH('Ultimate - MGA and MPM'!$B6,'Plan Figures'!$B$1:$AP$1,0))</f>
        <v>-</v>
      </c>
      <c r="W6" s="31" t="str">
        <f>INDEX('Plan Figures'!$B$5:$AP$31,MATCH('Ultimate - MGA and MPM'!W$4,'Plan Figures'!$B$5:$B$31,0),MATCH('Ultimate - MGA and MPM'!$B6,'Plan Figures'!$B$1:$AP$1,0))</f>
        <v>-</v>
      </c>
      <c r="X6" s="31" t="str">
        <f>INDEX('Plan Figures'!$B$5:$AP$31,MATCH('Ultimate - MGA and MPM'!X$4,'Plan Figures'!$B$5:$B$31,0),MATCH('Ultimate - MGA and MPM'!$B6,'Plan Figures'!$B$1:$AP$1,0))</f>
        <v>-</v>
      </c>
      <c r="Y6" s="31" t="str">
        <f>INDEX('Plan Figures'!$B$5:$AP$31,MATCH('Ultimate - MGA and MPM'!Y$4,'Plan Figures'!$B$5:$B$31,0),MATCH('Ultimate - MGA and MPM'!$B6,'Plan Figures'!$B$1:$AP$1,0))</f>
        <v>-</v>
      </c>
      <c r="Z6" s="31" t="str">
        <f>INDEX('Plan Figures'!$B$5:$AP$31,MATCH('Ultimate - MGA and MPM'!Z$4,'Plan Figures'!$B$5:$B$31,0),MATCH('Ultimate - MGA and MPM'!$B6,'Plan Figures'!$B$1:$AP$1,0))</f>
        <v>-</v>
      </c>
      <c r="AA6" s="31">
        <f>INDEX('Plan Figures'!$B$5:$AP$31,MATCH('Ultimate - MGA and MPM'!AA$4,'Plan Figures'!$B$5:$B$31,0),MATCH('Ultimate - MGA and MPM'!$B6,'Plan Figures'!$B$1:$AP$1,0))</f>
        <v>1729.3531485183221</v>
      </c>
      <c r="AB6" s="266">
        <f>INDEX('Plan Figures'!$B$5:$AP$31,MATCH('Ultimate - MGA and MPM'!AB$4,'Plan Figures'!$B$5:$B$31,0),MATCH('Ultimate - MGA and MPM'!$B6,'Plan Figures'!$B$1:$AP$1,0))</f>
        <v>1753.4023172900183</v>
      </c>
      <c r="AC6" s="31">
        <f>INDEX('Plan Figures'!$B$5:$AP$31,MATCH('Ultimate - MGA and MPM'!AC$4,'Plan Figures'!$B$5:$B$31,0),MATCH('Ultimate - MGA and MPM'!$B6,'Plan Figures'!$B$1:$AP$1,0))</f>
        <v>4273.8740763903043</v>
      </c>
      <c r="AD6" s="31">
        <f>INDEX('Plan Figures'!$B$5:$AP$42,MATCH('Ultimate - MGA and MPM'!AD$4,'Plan Figures'!$B$5:$B$42,0),MATCH('Ultimate - MGA and MPM'!$B6,'Plan Figures'!$B$1:$AP$1,0))</f>
        <v>4267.0066178598499</v>
      </c>
      <c r="AE6" s="31">
        <f>INDEX('Plan Figures'!$B$5:$AP$42,MATCH('Ultimate - MGA and MPM'!AE$4,'Plan Figures'!$B$5:$B$42,0),MATCH('Ultimate - MGA and MPM'!$B6,'Plan Figures'!$B$1:$AP$1,0))</f>
        <v>4260.1528668314522</v>
      </c>
      <c r="AF6" s="31">
        <f>INDEX('Plan Figures'!$B$5:$AP$42,MATCH('Ultimate - MGA and MPM'!AF$4,'Plan Figures'!$B$5:$B$42,0),MATCH('Ultimate - MGA and MPM'!$B6,'Plan Figures'!$B$1:$AP$1,0))</f>
        <v>4253.3127959448284</v>
      </c>
      <c r="AG6" s="31">
        <f>INDEX('Plan Figures'!$B$5:$AP$42,MATCH('Ultimate - MGA and MPM'!AG$4,'Plan Figures'!$B$5:$B$42,0),MATCH('Ultimate - MGA and MPM'!$B6,'Plan Figures'!$B$1:$AP$1,0))</f>
        <v>4246.8636837603826</v>
      </c>
      <c r="AH6" s="31">
        <f>INDEX('Plan Figures'!$B$5:$AP$42,MATCH('Ultimate - MGA and MPM'!AH$4,'Plan Figures'!$B$5:$B$42,0),MATCH('Ultimate - MGA and MPM'!$B6,'Plan Figures'!$B$1:$AP$1,0))</f>
        <v>4318.1657423106572</v>
      </c>
      <c r="AI6" s="31">
        <f>INDEX('Plan Figures'!$B$5:$AP$42,MATCH('Ultimate - MGA and MPM'!AI$4,'Plan Figures'!$B$5:$B$42,0),MATCH('Ultimate - MGA and MPM'!$B6,'Plan Figures'!$B$1:$AP$1,0))</f>
        <v>4195.7154005708353</v>
      </c>
      <c r="AJ6" s="31">
        <f>INDEX('Plan Figures'!$B$5:$AP$42,MATCH('Ultimate - MGA and MPM'!AJ$4,'Plan Figures'!$B$5:$B$42,0),MATCH('Ultimate - MGA and MPM'!$B6,'Plan Figures'!$B$1:$AP$1,0))</f>
        <v>4057.7980519065386</v>
      </c>
      <c r="AK6" s="31">
        <f>INDEX('Plan Figures'!$B$5:$AP$42,MATCH('Ultimate - MGA and MPM'!AK$4,'Plan Figures'!$B$5:$B$42,0),MATCH('Ultimate - MGA and MPM'!$B6,'Plan Figures'!$B$1:$AP$1,0))</f>
        <v>5129.8964943047231</v>
      </c>
      <c r="AL6" s="31">
        <f>INDEX('Plan Figures'!$B$5:$AP$42,MATCH('Ultimate - MGA and MPM'!AL$4,'Plan Figures'!$B$5:$B$42,0),MATCH('Ultimate - MGA and MPM'!$B6,'Plan Figures'!$B$1:$AP$1,0))</f>
        <v>5273.6010221942579</v>
      </c>
      <c r="AM6" s="31">
        <f>INDEX('Plan Figures'!$B$5:$AP$42,MATCH('Ultimate - MGA and MPM'!AM$4,'Plan Figures'!$B$5:$B$42,0),MATCH('Ultimate - MGA and MPM'!$B6,'Plan Figures'!$B$1:$AP$1,0))</f>
        <v>4282.0488949348064</v>
      </c>
      <c r="AN6" s="266">
        <f>INDEX('Plan Figures'!$B$5:$AP$42,MATCH('Ultimate - MGA and MPM'!AN$4,'Plan Figures'!$B$5:$B$42,0),MATCH('Ultimate - MGA and MPM'!$B6,'Plan Figures'!$B$1:$AP$1,0))</f>
        <v>3736.9957476015165</v>
      </c>
      <c r="AO6" s="239">
        <f t="shared" si="14"/>
        <v>2585.5431807328819</v>
      </c>
      <c r="AP6" s="31">
        <f t="shared" ref="AP6:AP10" si="15">AVERAGE(R6:AC6)</f>
        <v>2585.5431807328819</v>
      </c>
      <c r="AQ6" s="240">
        <f>SUMIFS(AC6:AN6,AC$4:AN$4,"&lt;"&amp;'Title Sheet'!$C$13)</f>
        <v>52295.431394610161</v>
      </c>
    </row>
    <row r="7" spans="2:44" ht="15.75" hidden="1" x14ac:dyDescent="0.25">
      <c r="B7" t="str">
        <f t="shared" ref="B7:B17" si="16">$D$2</f>
        <v>PC Annual Direct</v>
      </c>
      <c r="D7" s="213" t="s">
        <v>0</v>
      </c>
      <c r="E7" s="214" t="str">
        <f t="shared" ref="E7:AN7" si="17">IFERROR(IF(E5=0,"-",(E5/E6)-1),"-")</f>
        <v>-</v>
      </c>
      <c r="F7" s="214" t="str">
        <f t="shared" si="17"/>
        <v>-</v>
      </c>
      <c r="G7" s="214" t="str">
        <f t="shared" si="17"/>
        <v>-</v>
      </c>
      <c r="H7" s="214" t="str">
        <f t="shared" si="17"/>
        <v>-</v>
      </c>
      <c r="I7" s="214" t="str">
        <f t="shared" si="17"/>
        <v>-</v>
      </c>
      <c r="J7" s="214" t="str">
        <f t="shared" si="17"/>
        <v>-</v>
      </c>
      <c r="K7" s="214" t="str">
        <f t="shared" si="17"/>
        <v>-</v>
      </c>
      <c r="L7" s="214" t="str">
        <f t="shared" si="17"/>
        <v>-</v>
      </c>
      <c r="M7" s="214" t="str">
        <f t="shared" si="17"/>
        <v>-</v>
      </c>
      <c r="N7" s="214" t="str">
        <f t="shared" si="17"/>
        <v>-</v>
      </c>
      <c r="O7" s="214" t="str">
        <f t="shared" si="17"/>
        <v>-</v>
      </c>
      <c r="P7" s="270" t="str">
        <f t="shared" si="17"/>
        <v>-</v>
      </c>
      <c r="Q7" s="214" t="str">
        <f t="shared" si="17"/>
        <v>-</v>
      </c>
      <c r="R7" s="214" t="str">
        <f t="shared" si="17"/>
        <v>-</v>
      </c>
      <c r="S7" s="214" t="str">
        <f t="shared" si="17"/>
        <v>-</v>
      </c>
      <c r="T7" s="214" t="str">
        <f t="shared" si="17"/>
        <v>-</v>
      </c>
      <c r="U7" s="214" t="str">
        <f t="shared" si="17"/>
        <v>-</v>
      </c>
      <c r="V7" s="214" t="str">
        <f t="shared" si="17"/>
        <v>-</v>
      </c>
      <c r="W7" s="214" t="str">
        <f t="shared" si="17"/>
        <v>-</v>
      </c>
      <c r="X7" s="214" t="str">
        <f t="shared" si="17"/>
        <v>-</v>
      </c>
      <c r="Y7" s="214" t="str">
        <f t="shared" si="17"/>
        <v>-</v>
      </c>
      <c r="Z7" s="214" t="str">
        <f t="shared" si="17"/>
        <v>-</v>
      </c>
      <c r="AA7" s="214">
        <f t="shared" si="17"/>
        <v>0.8549904315836363</v>
      </c>
      <c r="AB7" s="270">
        <f t="shared" si="17"/>
        <v>0.80887317491209942</v>
      </c>
      <c r="AC7" s="214">
        <f t="shared" si="17"/>
        <v>-0.24225986987530179</v>
      </c>
      <c r="AD7" s="214">
        <f t="shared" si="17"/>
        <v>-0.36805450330646872</v>
      </c>
      <c r="AE7" s="214">
        <f t="shared" si="17"/>
        <v>-0.18835494078730419</v>
      </c>
      <c r="AF7" s="214">
        <f t="shared" si="17"/>
        <v>-0.16887877053209588</v>
      </c>
      <c r="AG7" s="214">
        <f t="shared" si="17"/>
        <v>-0.14948051626184833</v>
      </c>
      <c r="AH7" s="214">
        <f t="shared" si="17"/>
        <v>-0.23452585301618212</v>
      </c>
      <c r="AI7" s="214">
        <f t="shared" si="17"/>
        <v>-0.22566101691195539</v>
      </c>
      <c r="AJ7" s="214">
        <f t="shared" si="17"/>
        <v>-0.63088952170907042</v>
      </c>
      <c r="AK7" s="214" t="str">
        <f t="shared" si="17"/>
        <v>-</v>
      </c>
      <c r="AL7" s="214" t="str">
        <f t="shared" si="17"/>
        <v>-</v>
      </c>
      <c r="AM7" s="214" t="str">
        <f t="shared" si="17"/>
        <v>-</v>
      </c>
      <c r="AN7" s="270" t="str">
        <f t="shared" si="17"/>
        <v>-</v>
      </c>
      <c r="AO7" s="241">
        <f t="shared" si="14"/>
        <v>0.47386791220681129</v>
      </c>
      <c r="AP7" s="242">
        <f t="shared" si="15"/>
        <v>0.47386791220681129</v>
      </c>
      <c r="AQ7" s="243">
        <f t="shared" ref="AQ7" si="18">IFERROR(IF(AQ5=0,"-",(AQ5/AQ6)-1),"-")</f>
        <v>-0.52975015660229885</v>
      </c>
    </row>
    <row r="8" spans="2:44" ht="15.75" x14ac:dyDescent="0.25">
      <c r="B8" t="str">
        <f t="shared" si="16"/>
        <v>PC Annual Direct</v>
      </c>
      <c r="D8" s="208" t="s">
        <v>5</v>
      </c>
      <c r="E8" s="209">
        <f>SUM(E27,E78)</f>
        <v>54404.443214097795</v>
      </c>
      <c r="F8" s="209">
        <f t="shared" ref="F8:AN8" si="19">SUM(F27,F78)</f>
        <v>154577.88964227081</v>
      </c>
      <c r="G8" s="209">
        <f t="shared" si="19"/>
        <v>1330455.7271475936</v>
      </c>
      <c r="H8" s="209">
        <f t="shared" si="19"/>
        <v>1713812.9246342052</v>
      </c>
      <c r="I8" s="209">
        <f t="shared" si="19"/>
        <v>2279345.2964331149</v>
      </c>
      <c r="J8" s="209">
        <f t="shared" si="19"/>
        <v>3041000.1807196802</v>
      </c>
      <c r="K8" s="209">
        <f t="shared" si="19"/>
        <v>3927830.2535809847</v>
      </c>
      <c r="L8" s="209">
        <f t="shared" si="19"/>
        <v>2914993.5578613752</v>
      </c>
      <c r="M8" s="209">
        <f t="shared" si="19"/>
        <v>2774467.8075009137</v>
      </c>
      <c r="N8" s="209">
        <f t="shared" si="19"/>
        <v>3582418.9857119569</v>
      </c>
      <c r="O8" s="209">
        <f t="shared" si="19"/>
        <v>3167251.6742823175</v>
      </c>
      <c r="P8" s="265">
        <f t="shared" si="19"/>
        <v>2630571.1843861509</v>
      </c>
      <c r="Q8" s="209">
        <f t="shared" si="19"/>
        <v>2156373.1456704526</v>
      </c>
      <c r="R8" s="209">
        <f t="shared" si="19"/>
        <v>2207228.6741455989</v>
      </c>
      <c r="S8" s="209">
        <f t="shared" si="19"/>
        <v>2364674.2618373241</v>
      </c>
      <c r="T8" s="209">
        <f t="shared" si="19"/>
        <v>2114344.250678841</v>
      </c>
      <c r="U8" s="209">
        <f t="shared" si="19"/>
        <v>2437129.7857257221</v>
      </c>
      <c r="V8" s="209">
        <f t="shared" si="19"/>
        <v>2258199.4632939068</v>
      </c>
      <c r="W8" s="209">
        <f t="shared" si="19"/>
        <v>2375875.2728888448</v>
      </c>
      <c r="X8" s="209">
        <f t="shared" si="19"/>
        <v>2673032.8817371204</v>
      </c>
      <c r="Y8" s="209">
        <f t="shared" si="19"/>
        <v>2736807.4987610253</v>
      </c>
      <c r="Z8" s="209">
        <f t="shared" si="19"/>
        <v>3180805.4467911255</v>
      </c>
      <c r="AA8" s="209">
        <f t="shared" si="19"/>
        <v>3810901.7796301986</v>
      </c>
      <c r="AB8" s="265">
        <f t="shared" si="19"/>
        <v>3732179.9101681318</v>
      </c>
      <c r="AC8" s="209">
        <f t="shared" si="19"/>
        <v>3824307.1963093551</v>
      </c>
      <c r="AD8" s="209">
        <f t="shared" si="19"/>
        <v>5052879.6001312779</v>
      </c>
      <c r="AE8" s="209">
        <f t="shared" si="19"/>
        <v>7399925.4730520248</v>
      </c>
      <c r="AF8" s="209">
        <f t="shared" si="19"/>
        <v>6602812.5541471653</v>
      </c>
      <c r="AG8" s="209">
        <f t="shared" si="19"/>
        <v>6309054.1672810297</v>
      </c>
      <c r="AH8" s="209">
        <f t="shared" si="19"/>
        <v>5310725.0920892032</v>
      </c>
      <c r="AI8" s="209">
        <f t="shared" si="19"/>
        <v>4542392.1634822879</v>
      </c>
      <c r="AJ8" s="209">
        <f t="shared" si="19"/>
        <v>3958450.3274649214</v>
      </c>
      <c r="AK8" s="209">
        <f t="shared" si="19"/>
        <v>3636418.784064821</v>
      </c>
      <c r="AL8" s="209">
        <f t="shared" si="19"/>
        <v>3463081.1673732973</v>
      </c>
      <c r="AM8" s="209">
        <f t="shared" si="19"/>
        <v>3640827.0024508485</v>
      </c>
      <c r="AN8" s="265">
        <f t="shared" si="19"/>
        <v>3631750.167773501</v>
      </c>
      <c r="AO8" s="237">
        <f t="shared" si="14"/>
        <v>3637048.5832247026</v>
      </c>
      <c r="AP8" s="209">
        <f t="shared" si="15"/>
        <v>2809623.8684972669</v>
      </c>
      <c r="AQ8" s="238">
        <f>SUMIFS(AC8:AN8,AC$4:AN$4,"&lt;"&amp;'Title Sheet'!$C$13)</f>
        <v>57372623.69561974</v>
      </c>
    </row>
    <row r="9" spans="2:44" ht="15.75" x14ac:dyDescent="0.25">
      <c r="B9" t="str">
        <f>$D$2&amp;"_NWP"</f>
        <v>PC Annual Direct_NWP</v>
      </c>
      <c r="D9" s="211" t="s">
        <v>6</v>
      </c>
      <c r="E9" s="31" t="e">
        <f>INDEX('Plan Figures'!$B$5:$AP$31,MATCH('Ultimate - MGA and MPM'!E$4,'Plan Figures'!$B$5:$B$31,0),MATCH('Ultimate - MGA and MPM'!$B9,'Plan Figures'!$B$1:$AP$1,0))</f>
        <v>#N/A</v>
      </c>
      <c r="F9" s="31"/>
      <c r="G9" s="31"/>
      <c r="H9" s="31"/>
      <c r="I9" s="31"/>
      <c r="J9" s="31"/>
      <c r="K9" s="31"/>
      <c r="L9" s="31"/>
      <c r="M9" s="31"/>
      <c r="N9" s="31"/>
      <c r="O9" s="31"/>
      <c r="P9" s="266"/>
      <c r="Q9" s="31"/>
      <c r="R9" s="31" t="str">
        <f>INDEX('Plan Figures'!$B$5:$AP$31,MATCH('Ultimate - MGA and MPM'!R$4,'Plan Figures'!$B$5:$B$31,0),MATCH('Ultimate - MGA and MPM'!$B9,'Plan Figures'!$B$1:$AP$1,0))</f>
        <v>-</v>
      </c>
      <c r="S9" s="31" t="str">
        <f>INDEX('Plan Figures'!$B$5:$AP$31,MATCH('Ultimate - MGA and MPM'!S$4,'Plan Figures'!$B$5:$B$31,0),MATCH('Ultimate - MGA and MPM'!$B9,'Plan Figures'!$B$1:$AP$1,0))</f>
        <v>-</v>
      </c>
      <c r="T9" s="31" t="str">
        <f>INDEX('Plan Figures'!$B$5:$AP$31,MATCH('Ultimate - MGA and MPM'!T$4,'Plan Figures'!$B$5:$B$31,0),MATCH('Ultimate - MGA and MPM'!$B9,'Plan Figures'!$B$1:$AP$1,0))</f>
        <v>-</v>
      </c>
      <c r="U9" s="31" t="str">
        <f>INDEX('Plan Figures'!$B$5:$AP$31,MATCH('Ultimate - MGA and MPM'!U$4,'Plan Figures'!$B$5:$B$31,0),MATCH('Ultimate - MGA and MPM'!$B9,'Plan Figures'!$B$1:$AP$1,0))</f>
        <v>-</v>
      </c>
      <c r="V9" s="31" t="str">
        <f>INDEX('Plan Figures'!$B$5:$AP$31,MATCH('Ultimate - MGA and MPM'!V$4,'Plan Figures'!$B$5:$B$31,0),MATCH('Ultimate - MGA and MPM'!$B9,'Plan Figures'!$B$1:$AP$1,0))</f>
        <v>-</v>
      </c>
      <c r="W9" s="31" t="str">
        <f>INDEX('Plan Figures'!$B$5:$AP$31,MATCH('Ultimate - MGA and MPM'!W$4,'Plan Figures'!$B$5:$B$31,0),MATCH('Ultimate - MGA and MPM'!$B9,'Plan Figures'!$B$1:$AP$1,0))</f>
        <v>-</v>
      </c>
      <c r="X9" s="31" t="str">
        <f>INDEX('Plan Figures'!$B$5:$AP$31,MATCH('Ultimate - MGA and MPM'!X$4,'Plan Figures'!$B$5:$B$31,0),MATCH('Ultimate - MGA and MPM'!$B9,'Plan Figures'!$B$1:$AP$1,0))</f>
        <v>-</v>
      </c>
      <c r="Y9" s="31" t="str">
        <f>INDEX('Plan Figures'!$B$5:$AP$31,MATCH('Ultimate - MGA and MPM'!Y$4,'Plan Figures'!$B$5:$B$31,0),MATCH('Ultimate - MGA and MPM'!$B9,'Plan Figures'!$B$1:$AP$1,0))</f>
        <v>-</v>
      </c>
      <c r="Z9" s="31" t="str">
        <f>INDEX('Plan Figures'!$B$5:$AP$31,MATCH('Ultimate - MGA and MPM'!Z$4,'Plan Figures'!$B$5:$B$31,0),MATCH('Ultimate - MGA and MPM'!$B9,'Plan Figures'!$B$1:$AP$1,0))</f>
        <v>-</v>
      </c>
      <c r="AA9" s="31">
        <f>INDEX('Plan Figures'!$B$5:$AP$31,MATCH('Ultimate - MGA and MPM'!AA$4,'Plan Figures'!$B$5:$B$31,0),MATCH('Ultimate - MGA and MPM'!$B9,'Plan Figures'!$B$1:$AP$1,0))</f>
        <v>3013169.0914932396</v>
      </c>
      <c r="AB9" s="266">
        <f>INDEX('Plan Figures'!$B$5:$AP$31,MATCH('Ultimate - MGA and MPM'!AB$4,'Plan Figures'!$B$5:$B$31,0),MATCH('Ultimate - MGA and MPM'!$B9,'Plan Figures'!$B$1:$AP$1,0))</f>
        <v>3046278.3015965438</v>
      </c>
      <c r="AC9" s="31">
        <f>INDEX('Plan Figures'!$B$5:$AP$31,MATCH('Ultimate - MGA and MPM'!AC$4,'Plan Figures'!$B$5:$B$31,0),MATCH('Ultimate - MGA and MPM'!$B9,'Plan Figures'!$B$1:$AP$1,0))</f>
        <v>3262205.5406420417</v>
      </c>
      <c r="AD9" s="31">
        <f>INDEX('Plan Figures'!$B$5:$AP$42,MATCH('Ultimate - MGA and MPM'!AD$4,'Plan Figures'!$B$5:$B$42,0),MATCH('Ultimate - MGA and MPM'!$B9,'Plan Figures'!$B$1:$AP$1,0))</f>
        <v>5283002.670942123</v>
      </c>
      <c r="AE9" s="31">
        <f>INDEX('Plan Figures'!$B$5:$AP$42,MATCH('Ultimate - MGA and MPM'!AE$4,'Plan Figures'!$B$5:$B$42,0),MATCH('Ultimate - MGA and MPM'!$B9,'Plan Figures'!$B$1:$AP$1,0))</f>
        <v>7028722.699423207</v>
      </c>
      <c r="AF9" s="31">
        <f>INDEX('Plan Figures'!$B$5:$AP$42,MATCH('Ultimate - MGA and MPM'!AF$4,'Plan Figures'!$B$5:$B$42,0),MATCH('Ultimate - MGA and MPM'!$B9,'Plan Figures'!$B$1:$AP$1,0))</f>
        <v>7008322.6050258419</v>
      </c>
      <c r="AG9" s="31">
        <f>INDEX('Plan Figures'!$B$5:$AP$42,MATCH('Ultimate - MGA and MPM'!AG$4,'Plan Figures'!$B$5:$B$42,0),MATCH('Ultimate - MGA and MPM'!$B9,'Plan Figures'!$B$1:$AP$1,0))</f>
        <v>6910081.5132966693</v>
      </c>
      <c r="AH9" s="31">
        <f>INDEX('Plan Figures'!$B$5:$AP$42,MATCH('Ultimate - MGA and MPM'!AH$4,'Plan Figures'!$B$5:$B$42,0),MATCH('Ultimate - MGA and MPM'!$B9,'Plan Figures'!$B$1:$AP$1,0))</f>
        <v>6846559.6197968433</v>
      </c>
      <c r="AI9" s="31">
        <f>INDEX('Plan Figures'!$B$5:$AP$42,MATCH('Ultimate - MGA and MPM'!AI$4,'Plan Figures'!$B$5:$B$42,0),MATCH('Ultimate - MGA and MPM'!$B9,'Plan Figures'!$B$1:$AP$1,0))</f>
        <v>4986954.5511762854</v>
      </c>
      <c r="AJ9" s="31">
        <f>INDEX('Plan Figures'!$B$5:$AP$42,MATCH('Ultimate - MGA and MPM'!AJ$4,'Plan Figures'!$B$5:$B$42,0),MATCH('Ultimate - MGA and MPM'!$B9,'Plan Figures'!$B$1:$AP$1,0))</f>
        <v>4772961.4367652033</v>
      </c>
      <c r="AK9" s="31">
        <f>INDEX('Plan Figures'!$B$5:$AP$42,MATCH('Ultimate - MGA and MPM'!AK$4,'Plan Figures'!$B$5:$B$42,0),MATCH('Ultimate - MGA and MPM'!$B9,'Plan Figures'!$B$1:$AP$1,0))</f>
        <v>5928873.8683875808</v>
      </c>
      <c r="AL9" s="31">
        <f>INDEX('Plan Figures'!$B$5:$AP$42,MATCH('Ultimate - MGA and MPM'!AL$4,'Plan Figures'!$B$5:$B$42,0),MATCH('Ultimate - MGA and MPM'!$B9,'Plan Figures'!$B$1:$AP$1,0))</f>
        <v>6128497.9239271581</v>
      </c>
      <c r="AM9" s="31">
        <f>INDEX('Plan Figures'!$B$5:$AP$42,MATCH('Ultimate - MGA and MPM'!AM$4,'Plan Figures'!$B$5:$B$42,0),MATCH('Ultimate - MGA and MPM'!$B9,'Plan Figures'!$B$1:$AP$1,0))</f>
        <v>5090049.9398270845</v>
      </c>
      <c r="AN9" s="266">
        <f>INDEX('Plan Figures'!$B$5:$AP$42,MATCH('Ultimate - MGA and MPM'!AN$4,'Plan Figures'!$B$5:$B$42,0),MATCH('Ultimate - MGA and MPM'!$B9,'Plan Figures'!$B$1:$AP$1,0))</f>
        <v>4415738.4758491814</v>
      </c>
      <c r="AO9" s="239">
        <f t="shared" si="14"/>
        <v>3107217.6445772746</v>
      </c>
      <c r="AP9" s="31">
        <f t="shared" si="15"/>
        <v>3107217.6445772746</v>
      </c>
      <c r="AQ9" s="240">
        <f>SUMIFS(AC9:AN9,AC$4:AN$4,"&lt;"&amp;'Title Sheet'!$C$13)</f>
        <v>67661970.845059216</v>
      </c>
    </row>
    <row r="10" spans="2:44" ht="15.75" x14ac:dyDescent="0.25">
      <c r="B10" t="str">
        <f t="shared" si="16"/>
        <v>PC Annual Direct</v>
      </c>
      <c r="D10" s="213" t="s">
        <v>0</v>
      </c>
      <c r="E10" s="214" t="str">
        <f t="shared" ref="E10:AN10" si="20">IFERROR(IF(E8=0,"-",(E8/E9)-1),"-")</f>
        <v>-</v>
      </c>
      <c r="F10" s="214" t="str">
        <f t="shared" si="20"/>
        <v>-</v>
      </c>
      <c r="G10" s="214" t="str">
        <f t="shared" si="20"/>
        <v>-</v>
      </c>
      <c r="H10" s="214" t="str">
        <f t="shared" si="20"/>
        <v>-</v>
      </c>
      <c r="I10" s="214" t="str">
        <f t="shared" si="20"/>
        <v>-</v>
      </c>
      <c r="J10" s="214" t="str">
        <f t="shared" si="20"/>
        <v>-</v>
      </c>
      <c r="K10" s="214" t="str">
        <f t="shared" si="20"/>
        <v>-</v>
      </c>
      <c r="L10" s="214" t="str">
        <f t="shared" si="20"/>
        <v>-</v>
      </c>
      <c r="M10" s="214" t="str">
        <f t="shared" si="20"/>
        <v>-</v>
      </c>
      <c r="N10" s="214" t="str">
        <f t="shared" si="20"/>
        <v>-</v>
      </c>
      <c r="O10" s="214" t="str">
        <f t="shared" si="20"/>
        <v>-</v>
      </c>
      <c r="P10" s="270" t="str">
        <f t="shared" si="20"/>
        <v>-</v>
      </c>
      <c r="Q10" s="214" t="str">
        <f t="shared" si="20"/>
        <v>-</v>
      </c>
      <c r="R10" s="214" t="str">
        <f t="shared" si="20"/>
        <v>-</v>
      </c>
      <c r="S10" s="214" t="str">
        <f t="shared" si="20"/>
        <v>-</v>
      </c>
      <c r="T10" s="214" t="str">
        <f t="shared" si="20"/>
        <v>-</v>
      </c>
      <c r="U10" s="214" t="str">
        <f t="shared" si="20"/>
        <v>-</v>
      </c>
      <c r="V10" s="214" t="str">
        <f t="shared" si="20"/>
        <v>-</v>
      </c>
      <c r="W10" s="214" t="str">
        <f t="shared" si="20"/>
        <v>-</v>
      </c>
      <c r="X10" s="214" t="str">
        <f t="shared" si="20"/>
        <v>-</v>
      </c>
      <c r="Y10" s="214" t="str">
        <f t="shared" si="20"/>
        <v>-</v>
      </c>
      <c r="Z10" s="214" t="str">
        <f t="shared" si="20"/>
        <v>-</v>
      </c>
      <c r="AA10" s="214">
        <f t="shared" si="20"/>
        <v>0.26474872929936555</v>
      </c>
      <c r="AB10" s="270">
        <f t="shared" si="20"/>
        <v>0.22516052069573211</v>
      </c>
      <c r="AC10" s="214">
        <f t="shared" si="20"/>
        <v>0.17230724694210564</v>
      </c>
      <c r="AD10" s="214">
        <f t="shared" si="20"/>
        <v>-4.3559143378174237E-2</v>
      </c>
      <c r="AE10" s="214">
        <f t="shared" si="20"/>
        <v>5.2812266111918138E-2</v>
      </c>
      <c r="AF10" s="214">
        <f t="shared" si="20"/>
        <v>-5.7861213550283064E-2</v>
      </c>
      <c r="AG10" s="214">
        <f t="shared" si="20"/>
        <v>-8.6978329395842491E-2</v>
      </c>
      <c r="AH10" s="214">
        <f t="shared" si="20"/>
        <v>-0.2243220848127534</v>
      </c>
      <c r="AI10" s="214">
        <f t="shared" si="20"/>
        <v>-8.9145065015508784E-2</v>
      </c>
      <c r="AJ10" s="214">
        <f t="shared" si="20"/>
        <v>-0.17065109787526456</v>
      </c>
      <c r="AK10" s="214">
        <f t="shared" si="20"/>
        <v>-0.38665944582596035</v>
      </c>
      <c r="AL10" s="214">
        <f t="shared" si="20"/>
        <v>-0.43492170343199765</v>
      </c>
      <c r="AM10" s="214">
        <f t="shared" si="20"/>
        <v>-0.28471684060244562</v>
      </c>
      <c r="AN10" s="270">
        <f t="shared" si="20"/>
        <v>-0.17754409876479682</v>
      </c>
      <c r="AO10" s="241">
        <f t="shared" si="14"/>
        <v>0.2207388323124011</v>
      </c>
      <c r="AP10" s="242">
        <f t="shared" si="15"/>
        <v>0.2207388323124011</v>
      </c>
      <c r="AQ10" s="243">
        <f t="shared" ref="AQ10" si="21">IFERROR(IF(AQ8=0,"-",(AQ8/AQ9)-1),"-")</f>
        <v>-0.15206987057768828</v>
      </c>
    </row>
    <row r="11" spans="2:44" ht="15.75" x14ac:dyDescent="0.25">
      <c r="B11" t="str">
        <f t="shared" si="16"/>
        <v>PC Annual Direct</v>
      </c>
      <c r="D11" s="208" t="s">
        <v>12</v>
      </c>
      <c r="E11" s="209">
        <f>IFERROR(E8/E5,0)</f>
        <v>0</v>
      </c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65"/>
      <c r="Q11" s="209"/>
      <c r="R11" s="209">
        <f t="shared" ref="R11:AP12" si="22">IFERROR(R8/R5,0)</f>
        <v>520.91487003381712</v>
      </c>
      <c r="S11" s="209">
        <f t="shared" si="22"/>
        <v>387.56530420143059</v>
      </c>
      <c r="T11" s="209">
        <f t="shared" si="22"/>
        <v>357.6707503503373</v>
      </c>
      <c r="U11" s="209">
        <f t="shared" si="22"/>
        <v>417.35478560178291</v>
      </c>
      <c r="V11" s="209">
        <f t="shared" si="22"/>
        <v>459.7695597812417</v>
      </c>
      <c r="W11" s="209">
        <f t="shared" si="22"/>
        <v>567.20624182963797</v>
      </c>
      <c r="X11" s="209">
        <f t="shared" si="22"/>
        <v>737.98750922435249</v>
      </c>
      <c r="Y11" s="209">
        <f t="shared" si="22"/>
        <v>835.34899293143303</v>
      </c>
      <c r="Z11" s="209">
        <f t="shared" si="22"/>
        <v>1006.450159385594</v>
      </c>
      <c r="AA11" s="209">
        <f t="shared" si="22"/>
        <v>1187.9615734413455</v>
      </c>
      <c r="AB11" s="265">
        <f t="shared" si="22"/>
        <v>1176.7192990901131</v>
      </c>
      <c r="AC11" s="209">
        <f t="shared" si="22"/>
        <v>1180.8935767635671</v>
      </c>
      <c r="AD11" s="209">
        <f t="shared" si="22"/>
        <v>1873.8551222098945</v>
      </c>
      <c r="AE11" s="209">
        <f t="shared" si="22"/>
        <v>2140.109591408604</v>
      </c>
      <c r="AF11" s="209">
        <f t="shared" si="22"/>
        <v>1867.8296709223894</v>
      </c>
      <c r="AG11" s="209">
        <f t="shared" si="22"/>
        <v>1746.6732454854432</v>
      </c>
      <c r="AH11" s="209">
        <f t="shared" si="22"/>
        <v>1606.6600158693541</v>
      </c>
      <c r="AI11" s="209">
        <f t="shared" si="22"/>
        <v>1398.129760673015</v>
      </c>
      <c r="AJ11" s="209">
        <f t="shared" si="22"/>
        <v>2642.8857917124128</v>
      </c>
      <c r="AK11" s="209">
        <f t="shared" si="22"/>
        <v>0</v>
      </c>
      <c r="AL11" s="209">
        <f t="shared" si="22"/>
        <v>0</v>
      </c>
      <c r="AM11" s="209">
        <f t="shared" si="22"/>
        <v>0</v>
      </c>
      <c r="AN11" s="265">
        <f t="shared" si="22"/>
        <v>0</v>
      </c>
      <c r="AO11" s="237">
        <f t="shared" si="22"/>
        <v>1138.4880214636917</v>
      </c>
      <c r="AP11" s="209">
        <f t="shared" si="22"/>
        <v>662.82153921231543</v>
      </c>
      <c r="AQ11" s="238">
        <f>SUMIFS(AC11:AN11,AC$4:AN$4,"&lt;"&amp;'Title Sheet'!$C$13)</f>
        <v>14457.036775044682</v>
      </c>
    </row>
    <row r="12" spans="2:44" ht="15.75" hidden="1" x14ac:dyDescent="0.25">
      <c r="B12" t="str">
        <f t="shared" si="16"/>
        <v>PC Annual Direct</v>
      </c>
      <c r="D12" s="211" t="s">
        <v>13</v>
      </c>
      <c r="E12" s="31">
        <f>IFERROR(E9/E6,0)</f>
        <v>0</v>
      </c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266"/>
      <c r="Q12" s="31"/>
      <c r="R12" s="31">
        <f t="shared" si="22"/>
        <v>0</v>
      </c>
      <c r="S12" s="31">
        <f t="shared" si="22"/>
        <v>0</v>
      </c>
      <c r="T12" s="31">
        <f t="shared" si="22"/>
        <v>0</v>
      </c>
      <c r="U12" s="31">
        <f t="shared" si="22"/>
        <v>0</v>
      </c>
      <c r="V12" s="31">
        <f t="shared" si="22"/>
        <v>0</v>
      </c>
      <c r="W12" s="31">
        <f t="shared" si="22"/>
        <v>0</v>
      </c>
      <c r="X12" s="31">
        <f t="shared" si="22"/>
        <v>0</v>
      </c>
      <c r="Y12" s="31">
        <f t="shared" si="22"/>
        <v>0</v>
      </c>
      <c r="Z12" s="31">
        <f t="shared" si="22"/>
        <v>0</v>
      </c>
      <c r="AA12" s="31">
        <f t="shared" si="22"/>
        <v>1742.3677136592185</v>
      </c>
      <c r="AB12" s="266">
        <f t="shared" si="22"/>
        <v>1737.3527293523473</v>
      </c>
      <c r="AC12" s="31">
        <f t="shared" si="22"/>
        <v>763.2900460645501</v>
      </c>
      <c r="AD12" s="31">
        <f t="shared" si="22"/>
        <v>1238.1051036644171</v>
      </c>
      <c r="AE12" s="31">
        <f t="shared" si="22"/>
        <v>1649.875701444234</v>
      </c>
      <c r="AF12" s="31">
        <f t="shared" si="22"/>
        <v>1647.7327065405773</v>
      </c>
      <c r="AG12" s="31">
        <f t="shared" si="22"/>
        <v>1627.1022636587531</v>
      </c>
      <c r="AH12" s="31">
        <f t="shared" si="22"/>
        <v>1585.5249724928897</v>
      </c>
      <c r="AI12" s="31">
        <f t="shared" si="22"/>
        <v>1188.5826551767072</v>
      </c>
      <c r="AJ12" s="31">
        <f t="shared" si="22"/>
        <v>1176.2442033118548</v>
      </c>
      <c r="AK12" s="31">
        <f t="shared" si="22"/>
        <v>1155.7492193009923</v>
      </c>
      <c r="AL12" s="31">
        <f t="shared" si="22"/>
        <v>1162.1087560729409</v>
      </c>
      <c r="AM12" s="31">
        <f t="shared" si="22"/>
        <v>1188.6949599870413</v>
      </c>
      <c r="AN12" s="266">
        <f t="shared" si="22"/>
        <v>1181.6279102493752</v>
      </c>
      <c r="AO12" s="239">
        <f t="shared" si="22"/>
        <v>1201.7659065730716</v>
      </c>
      <c r="AP12" s="31">
        <f t="shared" si="22"/>
        <v>1201.7659065730716</v>
      </c>
      <c r="AQ12" s="240">
        <f>SUMIFS(AC12:AN12,AC$4:AN$4,"&lt;"&amp;'Title Sheet'!$C$13)</f>
        <v>15564.638497964334</v>
      </c>
    </row>
    <row r="13" spans="2:44" ht="15.75" hidden="1" x14ac:dyDescent="0.25">
      <c r="B13" t="str">
        <f t="shared" si="16"/>
        <v>PC Annual Direct</v>
      </c>
      <c r="D13" s="213" t="s">
        <v>0</v>
      </c>
      <c r="E13" s="214" t="str">
        <f t="shared" ref="E13:AN13" si="23">IFERROR(IF(E11=0,"-",(E11/E12)-1),"-")</f>
        <v>-</v>
      </c>
      <c r="F13" s="214" t="str">
        <f t="shared" si="23"/>
        <v>-</v>
      </c>
      <c r="G13" s="214" t="str">
        <f t="shared" si="23"/>
        <v>-</v>
      </c>
      <c r="H13" s="214" t="str">
        <f t="shared" si="23"/>
        <v>-</v>
      </c>
      <c r="I13" s="214" t="str">
        <f t="shared" si="23"/>
        <v>-</v>
      </c>
      <c r="J13" s="214" t="str">
        <f t="shared" si="23"/>
        <v>-</v>
      </c>
      <c r="K13" s="214" t="str">
        <f t="shared" si="23"/>
        <v>-</v>
      </c>
      <c r="L13" s="214" t="str">
        <f t="shared" si="23"/>
        <v>-</v>
      </c>
      <c r="M13" s="214" t="str">
        <f t="shared" si="23"/>
        <v>-</v>
      </c>
      <c r="N13" s="214" t="str">
        <f t="shared" si="23"/>
        <v>-</v>
      </c>
      <c r="O13" s="214" t="str">
        <f t="shared" si="23"/>
        <v>-</v>
      </c>
      <c r="P13" s="270" t="str">
        <f t="shared" si="23"/>
        <v>-</v>
      </c>
      <c r="Q13" s="214" t="str">
        <f t="shared" si="23"/>
        <v>-</v>
      </c>
      <c r="R13" s="214" t="str">
        <f t="shared" si="23"/>
        <v>-</v>
      </c>
      <c r="S13" s="214" t="str">
        <f t="shared" si="23"/>
        <v>-</v>
      </c>
      <c r="T13" s="214" t="str">
        <f t="shared" si="23"/>
        <v>-</v>
      </c>
      <c r="U13" s="214" t="str">
        <f t="shared" si="23"/>
        <v>-</v>
      </c>
      <c r="V13" s="214" t="str">
        <f t="shared" si="23"/>
        <v>-</v>
      </c>
      <c r="W13" s="214" t="str">
        <f t="shared" si="23"/>
        <v>-</v>
      </c>
      <c r="X13" s="214" t="str">
        <f t="shared" si="23"/>
        <v>-</v>
      </c>
      <c r="Y13" s="214" t="str">
        <f t="shared" si="23"/>
        <v>-</v>
      </c>
      <c r="Z13" s="214" t="str">
        <f t="shared" si="23"/>
        <v>-</v>
      </c>
      <c r="AA13" s="214">
        <f t="shared" si="23"/>
        <v>-0.31819123820513273</v>
      </c>
      <c r="AB13" s="270">
        <f t="shared" si="23"/>
        <v>-0.32269407403022177</v>
      </c>
      <c r="AC13" s="214">
        <f t="shared" si="23"/>
        <v>0.54710988680140749</v>
      </c>
      <c r="AD13" s="214">
        <f t="shared" si="23"/>
        <v>0.51348630795870998</v>
      </c>
      <c r="AE13" s="214">
        <f t="shared" si="23"/>
        <v>0.29713383228520751</v>
      </c>
      <c r="AF13" s="214">
        <f t="shared" si="23"/>
        <v>0.13357564822750079</v>
      </c>
      <c r="AG13" s="214">
        <f t="shared" si="23"/>
        <v>7.3487072384632368E-2</v>
      </c>
      <c r="AH13" s="214">
        <f t="shared" si="23"/>
        <v>1.3329997157492945E-2</v>
      </c>
      <c r="AI13" s="214">
        <f t="shared" si="23"/>
        <v>0.17629998602424024</v>
      </c>
      <c r="AJ13" s="214">
        <f t="shared" si="23"/>
        <v>1.2468852847657441</v>
      </c>
      <c r="AK13" s="214" t="str">
        <f t="shared" si="23"/>
        <v>-</v>
      </c>
      <c r="AL13" s="214" t="str">
        <f t="shared" si="23"/>
        <v>-</v>
      </c>
      <c r="AM13" s="214" t="str">
        <f t="shared" si="23"/>
        <v>-</v>
      </c>
      <c r="AN13" s="270" t="str">
        <f t="shared" si="23"/>
        <v>-</v>
      </c>
      <c r="AO13" s="241">
        <f t="shared" ref="AO13:AP13" si="24">AO11-AO12</f>
        <v>-63.277885109379895</v>
      </c>
      <c r="AP13" s="242">
        <f t="shared" si="24"/>
        <v>-538.94436736075613</v>
      </c>
      <c r="AQ13" s="243">
        <f t="shared" ref="AQ13" si="25">IFERROR(IF(AQ11=0,"-",(AQ11/AQ12)-1),"-")</f>
        <v>-7.1161416506044239E-2</v>
      </c>
    </row>
    <row r="14" spans="2:44" ht="15.75" x14ac:dyDescent="0.25">
      <c r="B14" t="str">
        <f t="shared" si="16"/>
        <v>PC Annual Direct</v>
      </c>
      <c r="D14" s="208" t="s">
        <v>7</v>
      </c>
      <c r="E14" s="209">
        <v>63882.723213917787</v>
      </c>
      <c r="F14" s="209"/>
      <c r="G14" s="209"/>
      <c r="H14" s="209"/>
      <c r="I14" s="209"/>
      <c r="J14" s="209"/>
      <c r="K14" s="209"/>
      <c r="L14" s="209"/>
      <c r="M14" s="209"/>
      <c r="N14" s="209"/>
      <c r="O14" s="209"/>
      <c r="P14" s="265"/>
      <c r="Q14" s="209"/>
      <c r="R14" s="209">
        <f t="shared" ref="R14:AN14" si="26">SUM(R34,R85)</f>
        <v>6020261.4066121634</v>
      </c>
      <c r="S14" s="209">
        <f t="shared" si="26"/>
        <v>8375571.4987623682</v>
      </c>
      <c r="T14" s="209">
        <f t="shared" si="26"/>
        <v>7391641.5865257829</v>
      </c>
      <c r="U14" s="209">
        <f t="shared" si="26"/>
        <v>7010982.1113823764</v>
      </c>
      <c r="V14" s="209">
        <f t="shared" si="26"/>
        <v>5872809.0517976107</v>
      </c>
      <c r="W14" s="209">
        <f t="shared" si="26"/>
        <v>4999578.2891884819</v>
      </c>
      <c r="X14" s="209">
        <f t="shared" si="26"/>
        <v>4336480.4582210528</v>
      </c>
      <c r="Y14" s="209">
        <f t="shared" si="26"/>
        <v>3957009.8766119601</v>
      </c>
      <c r="Z14" s="209">
        <f t="shared" si="26"/>
        <v>3732614.5019087535</v>
      </c>
      <c r="AA14" s="209">
        <f t="shared" si="26"/>
        <v>3883759.7143237591</v>
      </c>
      <c r="AB14" s="265">
        <f t="shared" si="26"/>
        <v>3807501.348997497</v>
      </c>
      <c r="AC14" s="209">
        <f t="shared" si="26"/>
        <v>3732874.8366595353</v>
      </c>
      <c r="AD14" s="209">
        <f t="shared" si="26"/>
        <v>3068873.0073799109</v>
      </c>
      <c r="AE14" s="209">
        <f t="shared" si="26"/>
        <v>3907814.5093155364</v>
      </c>
      <c r="AF14" s="209">
        <f t="shared" si="26"/>
        <v>3802373.739826418</v>
      </c>
      <c r="AG14" s="209">
        <f t="shared" si="26"/>
        <v>3940669.324243865</v>
      </c>
      <c r="AH14" s="209">
        <f t="shared" si="26"/>
        <v>3590660.8282440053</v>
      </c>
      <c r="AI14" s="209">
        <f t="shared" si="26"/>
        <v>3634569.8719625878</v>
      </c>
      <c r="AJ14" s="209">
        <f t="shared" si="26"/>
        <v>1767853.3504476703</v>
      </c>
      <c r="AK14" s="209">
        <f t="shared" si="26"/>
        <v>0</v>
      </c>
      <c r="AL14" s="209">
        <f t="shared" si="26"/>
        <v>0</v>
      </c>
      <c r="AM14" s="209">
        <f t="shared" si="26"/>
        <v>0</v>
      </c>
      <c r="AN14" s="265">
        <f t="shared" si="26"/>
        <v>0</v>
      </c>
      <c r="AO14" s="237">
        <f t="shared" ref="AO14:AO16" si="27">AVERAGE(Z14:AC14)</f>
        <v>3789187.600472386</v>
      </c>
      <c r="AP14" s="209">
        <f>AVERAGE(R14:AC14)</f>
        <v>5260090.3900826126</v>
      </c>
      <c r="AQ14" s="238">
        <f>SUMIFS(AC14:AN14,AC$4:AN$4,"&lt;"&amp;'Title Sheet'!$C$13)</f>
        <v>27445689.46807953</v>
      </c>
    </row>
    <row r="15" spans="2:44" ht="15.75" hidden="1" x14ac:dyDescent="0.25">
      <c r="B15" t="str">
        <f>$D$2&amp;"_GWP"</f>
        <v>PC Annual Direct_GWP</v>
      </c>
      <c r="D15" s="211" t="s">
        <v>23</v>
      </c>
      <c r="E15" s="31" t="e">
        <f>INDEX('Plan Figures'!$B$5:$AP$31,MATCH('Ultimate - MGA and MPM'!E$4,'Plan Figures'!$B$5:$B$31,0),MATCH('Ultimate - MGA and MPM'!$B15,'Plan Figures'!$B$1:$AP$1,0))</f>
        <v>#N/A</v>
      </c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266"/>
      <c r="Q15" s="31"/>
      <c r="R15" s="31" t="str">
        <f>INDEX('Plan Figures'!$B$5:$AP$31,MATCH('Ultimate - MGA and MPM'!R$4,'Plan Figures'!$B$5:$B$31,0),MATCH('Ultimate - MGA and MPM'!$B15,'Plan Figures'!$B$1:$AP$1,0))</f>
        <v>-</v>
      </c>
      <c r="S15" s="31" t="str">
        <f>INDEX('Plan Figures'!$B$5:$AP$31,MATCH('Ultimate - MGA and MPM'!S$4,'Plan Figures'!$B$5:$B$31,0),MATCH('Ultimate - MGA and MPM'!$B15,'Plan Figures'!$B$1:$AP$1,0))</f>
        <v>-</v>
      </c>
      <c r="T15" s="31" t="str">
        <f>INDEX('Plan Figures'!$B$5:$AP$31,MATCH('Ultimate - MGA and MPM'!T$4,'Plan Figures'!$B$5:$B$31,0),MATCH('Ultimate - MGA and MPM'!$B15,'Plan Figures'!$B$1:$AP$1,0))</f>
        <v>-</v>
      </c>
      <c r="U15" s="31" t="str">
        <f>INDEX('Plan Figures'!$B$5:$AP$31,MATCH('Ultimate - MGA and MPM'!U$4,'Plan Figures'!$B$5:$B$31,0),MATCH('Ultimate - MGA and MPM'!$B15,'Plan Figures'!$B$1:$AP$1,0))</f>
        <v>-</v>
      </c>
      <c r="V15" s="31" t="str">
        <f>INDEX('Plan Figures'!$B$5:$AP$31,MATCH('Ultimate - MGA and MPM'!V$4,'Plan Figures'!$B$5:$B$31,0),MATCH('Ultimate - MGA and MPM'!$B15,'Plan Figures'!$B$1:$AP$1,0))</f>
        <v>-</v>
      </c>
      <c r="W15" s="31" t="str">
        <f>INDEX('Plan Figures'!$B$5:$AP$31,MATCH('Ultimate - MGA and MPM'!W$4,'Plan Figures'!$B$5:$B$31,0),MATCH('Ultimate - MGA and MPM'!$B15,'Plan Figures'!$B$1:$AP$1,0))</f>
        <v>-</v>
      </c>
      <c r="X15" s="31" t="str">
        <f>INDEX('Plan Figures'!$B$5:$AP$31,MATCH('Ultimate - MGA and MPM'!X$4,'Plan Figures'!$B$5:$B$31,0),MATCH('Ultimate - MGA and MPM'!$B15,'Plan Figures'!$B$1:$AP$1,0))</f>
        <v>-</v>
      </c>
      <c r="Y15" s="31" t="str">
        <f>INDEX('Plan Figures'!$B$5:$AP$31,MATCH('Ultimate - MGA and MPM'!Y$4,'Plan Figures'!$B$5:$B$31,0),MATCH('Ultimate - MGA and MPM'!$B15,'Plan Figures'!$B$1:$AP$1,0))</f>
        <v>-</v>
      </c>
      <c r="Z15" s="31" t="str">
        <f>INDEX('Plan Figures'!$B$5:$AP$31,MATCH('Ultimate - MGA and MPM'!Z$4,'Plan Figures'!$B$5:$B$31,0),MATCH('Ultimate - MGA and MPM'!$B15,'Plan Figures'!$B$1:$AP$1,0))</f>
        <v>-</v>
      </c>
      <c r="AA15" s="31">
        <f>INDEX('Plan Figures'!$B$5:$AP$31,MATCH('Ultimate - MGA and MPM'!AA$4,'Plan Figures'!$B$5:$B$31,0),MATCH('Ultimate - MGA and MPM'!$B15,'Plan Figures'!$B$1:$AP$1,0))</f>
        <v>2730383.5064988472</v>
      </c>
      <c r="AB15" s="266">
        <f>INDEX('Plan Figures'!$B$5:$AP$31,MATCH('Ultimate - MGA and MPM'!AB$4,'Plan Figures'!$B$5:$B$31,0),MATCH('Ultimate - MGA and MPM'!$B15,'Plan Figures'!$B$1:$AP$1,0))</f>
        <v>2820707.4327293462</v>
      </c>
      <c r="AC15" s="31">
        <f>INDEX('Plan Figures'!$B$5:$AP$31,MATCH('Ultimate - MGA and MPM'!AC$4,'Plan Figures'!$B$5:$B$31,0),MATCH('Ultimate - MGA and MPM'!$B15,'Plan Figures'!$B$1:$AP$1,0))</f>
        <v>7198457.7531405166</v>
      </c>
      <c r="AD15" s="31">
        <f>INDEX('Plan Figures'!$B$5:$AP$42,MATCH('Ultimate - MGA and MPM'!AD$4,'Plan Figures'!$B$5:$B$42,0),MATCH('Ultimate - MGA and MPM'!$B15,'Plan Figures'!$B$1:$AP$1,0))</f>
        <v>7198457.7531405166</v>
      </c>
      <c r="AE15" s="31">
        <f>INDEX('Plan Figures'!$B$5:$AP$42,MATCH('Ultimate - MGA and MPM'!AE$4,'Plan Figures'!$B$5:$B$42,0),MATCH('Ultimate - MGA and MPM'!$B15,'Plan Figures'!$B$1:$AP$1,0))</f>
        <v>7198457.7531405166</v>
      </c>
      <c r="AF15" s="31">
        <f>INDEX('Plan Figures'!$B$5:$AP$42,MATCH('Ultimate - MGA and MPM'!AF$4,'Plan Figures'!$B$5:$B$42,0),MATCH('Ultimate - MGA and MPM'!$B15,'Plan Figures'!$B$1:$AP$1,0))</f>
        <v>7198457.7531405166</v>
      </c>
      <c r="AG15" s="31">
        <f>INDEX('Plan Figures'!$B$5:$AP$42,MATCH('Ultimate - MGA and MPM'!AG$4,'Plan Figures'!$B$5:$B$42,0),MATCH('Ultimate - MGA and MPM'!$B15,'Plan Figures'!$B$1:$AP$1,0))</f>
        <v>7199202.3378039943</v>
      </c>
      <c r="AH15" s="31">
        <f>INDEX('Plan Figures'!$B$5:$AP$42,MATCH('Ultimate - MGA and MPM'!AH$4,'Plan Figures'!$B$5:$B$42,0),MATCH('Ultimate - MGA and MPM'!$B15,'Plan Figures'!$B$1:$AP$1,0))</f>
        <v>7318060.3548614709</v>
      </c>
      <c r="AI15" s="31">
        <f>INDEX('Plan Figures'!$B$5:$AP$42,MATCH('Ultimate - MGA and MPM'!AI$4,'Plan Figures'!$B$5:$B$42,0),MATCH('Ultimate - MGA and MPM'!$B15,'Plan Figures'!$B$1:$AP$1,0))</f>
        <v>5702770.0132108573</v>
      </c>
      <c r="AJ15" s="31">
        <f>INDEX('Plan Figures'!$B$5:$AP$42,MATCH('Ultimate - MGA and MPM'!AJ$4,'Plan Figures'!$B$5:$B$42,0),MATCH('Ultimate - MGA and MPM'!$B15,'Plan Figures'!$B$1:$AP$1,0))</f>
        <v>5426956.6830632938</v>
      </c>
      <c r="AK15" s="31">
        <f>INDEX('Plan Figures'!$B$5:$AP$42,MATCH('Ultimate - MGA and MPM'!AK$4,'Plan Figures'!$B$5:$B$42,0),MATCH('Ultimate - MGA and MPM'!$B15,'Plan Figures'!$B$1:$AP$1,0))</f>
        <v>6638651.4077064805</v>
      </c>
      <c r="AL15" s="31">
        <f>INDEX('Plan Figures'!$B$5:$AP$42,MATCH('Ultimate - MGA and MPM'!AL$4,'Plan Figures'!$B$5:$B$42,0),MATCH('Ultimate - MGA and MPM'!$B15,'Plan Figures'!$B$1:$AP$1,0))</f>
        <v>6810173.3330016024</v>
      </c>
      <c r="AM15" s="31">
        <f>INDEX('Plan Figures'!$B$5:$AP$42,MATCH('Ultimate - MGA and MPM'!AM$4,'Plan Figures'!$B$5:$B$42,0),MATCH('Ultimate - MGA and MPM'!$B15,'Plan Figures'!$B$1:$AP$1,0))</f>
        <v>5567465.9289929308</v>
      </c>
      <c r="AN15" s="266">
        <f>INDEX('Plan Figures'!$B$5:$AP$42,MATCH('Ultimate - MGA and MPM'!AN$4,'Plan Figures'!$B$5:$B$42,0),MATCH('Ultimate - MGA and MPM'!$B15,'Plan Figures'!$B$1:$AP$1,0))</f>
        <v>4824288.6394563289</v>
      </c>
      <c r="AO15" s="239">
        <f t="shared" si="27"/>
        <v>4249849.5641229032</v>
      </c>
      <c r="AP15" s="31">
        <f t="shared" ref="AP15:AP16" si="28">AVERAGE(R15:AC15)</f>
        <v>4249849.5641229032</v>
      </c>
      <c r="AQ15" s="240">
        <f>SUMIFS(AC15:AN15,AC$4:AN$4,"&lt;"&amp;'Title Sheet'!$C$13)</f>
        <v>78281399.710659012</v>
      </c>
    </row>
    <row r="16" spans="2:44" ht="15.75" hidden="1" x14ac:dyDescent="0.25">
      <c r="B16" t="str">
        <f t="shared" si="16"/>
        <v>PC Annual Direct</v>
      </c>
      <c r="D16" s="213" t="s">
        <v>0</v>
      </c>
      <c r="E16" s="214" t="str">
        <f t="shared" ref="E16:AN16" si="29">IFERROR(IF(E14=0,"-",(E14/E15)-1),"-")</f>
        <v>-</v>
      </c>
      <c r="F16" s="214" t="str">
        <f t="shared" si="29"/>
        <v>-</v>
      </c>
      <c r="G16" s="214" t="str">
        <f t="shared" si="29"/>
        <v>-</v>
      </c>
      <c r="H16" s="214" t="str">
        <f t="shared" si="29"/>
        <v>-</v>
      </c>
      <c r="I16" s="214" t="str">
        <f t="shared" si="29"/>
        <v>-</v>
      </c>
      <c r="J16" s="214" t="str">
        <f t="shared" si="29"/>
        <v>-</v>
      </c>
      <c r="K16" s="214" t="str">
        <f t="shared" si="29"/>
        <v>-</v>
      </c>
      <c r="L16" s="214" t="str">
        <f t="shared" si="29"/>
        <v>-</v>
      </c>
      <c r="M16" s="214" t="str">
        <f t="shared" si="29"/>
        <v>-</v>
      </c>
      <c r="N16" s="214" t="str">
        <f t="shared" si="29"/>
        <v>-</v>
      </c>
      <c r="O16" s="214" t="str">
        <f t="shared" si="29"/>
        <v>-</v>
      </c>
      <c r="P16" s="270" t="str">
        <f t="shared" si="29"/>
        <v>-</v>
      </c>
      <c r="Q16" s="214" t="str">
        <f t="shared" si="29"/>
        <v>-</v>
      </c>
      <c r="R16" s="214" t="str">
        <f t="shared" si="29"/>
        <v>-</v>
      </c>
      <c r="S16" s="214" t="str">
        <f t="shared" si="29"/>
        <v>-</v>
      </c>
      <c r="T16" s="214" t="str">
        <f t="shared" si="29"/>
        <v>-</v>
      </c>
      <c r="U16" s="214" t="str">
        <f t="shared" si="29"/>
        <v>-</v>
      </c>
      <c r="V16" s="214" t="str">
        <f t="shared" si="29"/>
        <v>-</v>
      </c>
      <c r="W16" s="214" t="str">
        <f t="shared" si="29"/>
        <v>-</v>
      </c>
      <c r="X16" s="214" t="str">
        <f t="shared" si="29"/>
        <v>-</v>
      </c>
      <c r="Y16" s="214" t="str">
        <f t="shared" si="29"/>
        <v>-</v>
      </c>
      <c r="Z16" s="214" t="str">
        <f t="shared" si="29"/>
        <v>-</v>
      </c>
      <c r="AA16" s="214">
        <f t="shared" si="29"/>
        <v>0.4224227860590466</v>
      </c>
      <c r="AB16" s="270">
        <f t="shared" si="29"/>
        <v>0.34983915907695495</v>
      </c>
      <c r="AC16" s="214">
        <f t="shared" si="29"/>
        <v>-0.48143408426187251</v>
      </c>
      <c r="AD16" s="214">
        <f t="shared" si="29"/>
        <v>-0.57367631892525384</v>
      </c>
      <c r="AE16" s="214">
        <f t="shared" si="29"/>
        <v>-0.45713170191064201</v>
      </c>
      <c r="AF16" s="214">
        <f t="shared" si="29"/>
        <v>-0.47177939077748532</v>
      </c>
      <c r="AG16" s="214">
        <f t="shared" si="29"/>
        <v>-0.45262417427124224</v>
      </c>
      <c r="AH16" s="214">
        <f t="shared" si="29"/>
        <v>-0.50934255060376921</v>
      </c>
      <c r="AI16" s="214">
        <f t="shared" si="29"/>
        <v>-0.36266588630738084</v>
      </c>
      <c r="AJ16" s="214">
        <f t="shared" si="29"/>
        <v>-0.67424590729370082</v>
      </c>
      <c r="AK16" s="214" t="str">
        <f t="shared" si="29"/>
        <v>-</v>
      </c>
      <c r="AL16" s="214" t="str">
        <f t="shared" si="29"/>
        <v>-</v>
      </c>
      <c r="AM16" s="214" t="str">
        <f t="shared" si="29"/>
        <v>-</v>
      </c>
      <c r="AN16" s="270" t="str">
        <f t="shared" si="29"/>
        <v>-</v>
      </c>
      <c r="AO16" s="274">
        <f t="shared" si="27"/>
        <v>9.6942620291376347E-2</v>
      </c>
      <c r="AP16" s="275">
        <f t="shared" si="28"/>
        <v>9.6942620291376347E-2</v>
      </c>
      <c r="AQ16" s="276">
        <f t="shared" ref="AQ16" si="30">IFERROR(IF(AQ14=0,"-",(AQ14/AQ15)-1),"-")</f>
        <v>-0.64939705256263514</v>
      </c>
    </row>
    <row r="17" spans="1:43" x14ac:dyDescent="0.25">
      <c r="B17" t="str">
        <f t="shared" si="16"/>
        <v>PC Annual Direct</v>
      </c>
      <c r="D17" s="258" t="s">
        <v>17</v>
      </c>
      <c r="E17" s="259"/>
      <c r="F17" s="259"/>
      <c r="G17" s="259"/>
      <c r="H17" s="259"/>
      <c r="I17" s="259"/>
      <c r="J17" s="259"/>
      <c r="K17" s="259"/>
      <c r="L17" s="259"/>
      <c r="M17" s="259"/>
      <c r="N17" s="259"/>
      <c r="O17" s="259"/>
      <c r="P17" s="267"/>
      <c r="Q17" s="259"/>
      <c r="R17" s="259"/>
      <c r="S17" s="259"/>
      <c r="T17" s="259"/>
      <c r="U17" s="259"/>
      <c r="V17" s="259"/>
      <c r="W17" s="259"/>
      <c r="X17" s="259"/>
      <c r="Y17" s="259"/>
      <c r="Z17" s="259"/>
      <c r="AA17" s="259"/>
      <c r="AB17" s="267"/>
      <c r="AC17" s="259"/>
      <c r="AD17" s="259"/>
      <c r="AE17" s="259"/>
      <c r="AF17" s="259"/>
      <c r="AG17" s="259"/>
      <c r="AH17" s="259"/>
      <c r="AI17" s="259"/>
      <c r="AJ17" s="259"/>
      <c r="AK17" s="259"/>
      <c r="AL17" s="259"/>
      <c r="AM17" s="259"/>
      <c r="AN17" s="267"/>
      <c r="AO17" s="277"/>
      <c r="AP17" s="277"/>
      <c r="AQ17" s="278"/>
    </row>
    <row r="18" spans="1:43" ht="16.5" thickBot="1" x14ac:dyDescent="0.3">
      <c r="D18" s="260" t="s">
        <v>198</v>
      </c>
      <c r="E18" s="261"/>
      <c r="F18" s="261"/>
      <c r="G18" s="261"/>
      <c r="H18" s="261"/>
      <c r="I18" s="261"/>
      <c r="J18" s="261"/>
      <c r="K18" s="261"/>
      <c r="L18" s="261"/>
      <c r="M18" s="261"/>
      <c r="N18" s="261"/>
      <c r="O18" s="261"/>
      <c r="P18" s="268"/>
      <c r="Q18" s="261"/>
      <c r="R18" s="261"/>
      <c r="S18" s="261"/>
      <c r="T18" s="261"/>
      <c r="U18" s="261"/>
      <c r="V18" s="261"/>
      <c r="W18" s="261"/>
      <c r="X18" s="261"/>
      <c r="Y18" s="261"/>
      <c r="Z18" s="261"/>
      <c r="AA18" s="261"/>
      <c r="AB18" s="268"/>
      <c r="AC18" s="261"/>
      <c r="AD18" s="261"/>
      <c r="AE18" s="261"/>
      <c r="AF18" s="261"/>
      <c r="AG18" s="261"/>
      <c r="AH18" s="261"/>
      <c r="AI18" s="261"/>
      <c r="AJ18" s="261"/>
      <c r="AK18" s="261"/>
      <c r="AL18" s="261"/>
      <c r="AM18" s="261"/>
      <c r="AN18" s="268"/>
      <c r="AO18" s="261"/>
      <c r="AP18" s="261"/>
      <c r="AQ18" s="262"/>
    </row>
    <row r="20" spans="1:43" ht="15.75" thickBot="1" x14ac:dyDescent="0.3"/>
    <row r="21" spans="1:43" ht="18.75" outlineLevel="1" x14ac:dyDescent="0.25">
      <c r="D21" s="255" t="s">
        <v>183</v>
      </c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63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63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63"/>
      <c r="AO21" s="202"/>
      <c r="AP21" s="202"/>
      <c r="AQ21" s="233"/>
    </row>
    <row r="22" spans="1:43" outlineLevel="1" x14ac:dyDescent="0.25">
      <c r="D22" s="204"/>
      <c r="E22" s="200" t="s">
        <v>237</v>
      </c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64"/>
      <c r="Q22" s="200"/>
      <c r="R22" s="200"/>
      <c r="S22" s="200"/>
      <c r="T22" s="200"/>
      <c r="U22" s="200"/>
      <c r="V22" s="200"/>
      <c r="W22" s="200"/>
      <c r="X22" s="200"/>
      <c r="Y22" s="200"/>
      <c r="Z22" s="200"/>
      <c r="AA22" s="200"/>
      <c r="AB22" s="264"/>
      <c r="AC22" s="200"/>
      <c r="AD22" s="200"/>
      <c r="AE22" s="200"/>
      <c r="AF22" s="200"/>
      <c r="AG22" s="200"/>
      <c r="AH22" s="200"/>
      <c r="AI22" s="200"/>
      <c r="AJ22" s="200"/>
      <c r="AK22" s="200"/>
      <c r="AL22" s="200"/>
      <c r="AM22" s="200"/>
      <c r="AN22" s="264"/>
      <c r="AO22" s="510" t="s">
        <v>8</v>
      </c>
      <c r="AP22" s="511"/>
      <c r="AQ22" s="512"/>
    </row>
    <row r="23" spans="1:43" outlineLevel="1" x14ac:dyDescent="0.25">
      <c r="D23" s="256" t="s">
        <v>16</v>
      </c>
      <c r="E23" s="285">
        <f t="shared" ref="E23:Q23" si="31">E$4</f>
        <v>44562</v>
      </c>
      <c r="F23" s="285">
        <f t="shared" si="31"/>
        <v>44593</v>
      </c>
      <c r="G23" s="285">
        <f t="shared" si="31"/>
        <v>44621</v>
      </c>
      <c r="H23" s="285">
        <f t="shared" si="31"/>
        <v>44652</v>
      </c>
      <c r="I23" s="285">
        <f t="shared" si="31"/>
        <v>44682</v>
      </c>
      <c r="J23" s="285">
        <f t="shared" si="31"/>
        <v>44713</v>
      </c>
      <c r="K23" s="285">
        <f t="shared" si="31"/>
        <v>44743</v>
      </c>
      <c r="L23" s="285">
        <f t="shared" si="31"/>
        <v>44774</v>
      </c>
      <c r="M23" s="285">
        <f t="shared" si="31"/>
        <v>44805</v>
      </c>
      <c r="N23" s="285">
        <f t="shared" si="31"/>
        <v>44835</v>
      </c>
      <c r="O23" s="285">
        <f t="shared" si="31"/>
        <v>44866</v>
      </c>
      <c r="P23" s="286">
        <f t="shared" si="31"/>
        <v>44896</v>
      </c>
      <c r="Q23" s="285">
        <f t="shared" si="31"/>
        <v>44927</v>
      </c>
      <c r="R23" s="285">
        <f t="shared" ref="R23:AN23" si="32">R$4</f>
        <v>44958</v>
      </c>
      <c r="S23" s="285">
        <f t="shared" si="32"/>
        <v>44986</v>
      </c>
      <c r="T23" s="285">
        <f t="shared" si="32"/>
        <v>45017</v>
      </c>
      <c r="U23" s="285">
        <f t="shared" si="32"/>
        <v>45047</v>
      </c>
      <c r="V23" s="285">
        <f t="shared" si="32"/>
        <v>45078</v>
      </c>
      <c r="W23" s="285">
        <f t="shared" si="32"/>
        <v>45108</v>
      </c>
      <c r="X23" s="285">
        <f t="shared" si="32"/>
        <v>45139</v>
      </c>
      <c r="Y23" s="285">
        <f t="shared" si="32"/>
        <v>45170</v>
      </c>
      <c r="Z23" s="285">
        <f t="shared" si="32"/>
        <v>45200</v>
      </c>
      <c r="AA23" s="285">
        <f t="shared" si="32"/>
        <v>45231</v>
      </c>
      <c r="AB23" s="286">
        <f t="shared" si="32"/>
        <v>45261</v>
      </c>
      <c r="AC23" s="285">
        <f t="shared" si="32"/>
        <v>45292</v>
      </c>
      <c r="AD23" s="285">
        <f t="shared" si="32"/>
        <v>45323</v>
      </c>
      <c r="AE23" s="285">
        <f t="shared" si="32"/>
        <v>45352</v>
      </c>
      <c r="AF23" s="285">
        <f t="shared" si="32"/>
        <v>45383</v>
      </c>
      <c r="AG23" s="285">
        <f t="shared" si="32"/>
        <v>45413</v>
      </c>
      <c r="AH23" s="285">
        <f t="shared" si="32"/>
        <v>45444</v>
      </c>
      <c r="AI23" s="285">
        <f t="shared" si="32"/>
        <v>45474</v>
      </c>
      <c r="AJ23" s="285">
        <f t="shared" si="32"/>
        <v>45505</v>
      </c>
      <c r="AK23" s="285">
        <f t="shared" si="32"/>
        <v>45536</v>
      </c>
      <c r="AL23" s="285">
        <f t="shared" si="32"/>
        <v>45566</v>
      </c>
      <c r="AM23" s="285">
        <f t="shared" si="32"/>
        <v>45597</v>
      </c>
      <c r="AN23" s="286">
        <f t="shared" si="32"/>
        <v>45627</v>
      </c>
      <c r="AO23" s="271" t="str">
        <f>AO4</f>
        <v>Last 3 Months</v>
      </c>
      <c r="AP23" s="272" t="str">
        <f>AP4</f>
        <v>Last Year</v>
      </c>
      <c r="AQ23" s="273" t="s">
        <v>346</v>
      </c>
    </row>
    <row r="24" spans="1:43" ht="15.75" outlineLevel="1" x14ac:dyDescent="0.25">
      <c r="A24">
        <v>5</v>
      </c>
      <c r="B24" t="str">
        <f>$D$2</f>
        <v>PC Annual Direct</v>
      </c>
      <c r="C24" t="s">
        <v>72</v>
      </c>
      <c r="D24" s="208" t="s">
        <v>316</v>
      </c>
      <c r="E24" s="209" t="e">
        <f>'Current - Sales, NWP, GWP'!E25/VLOOKUP(COUNTA(E$4:$AC$4),'Dev Patterns'!$B$6:$F$22,$A24,0)</f>
        <v>#N/A</v>
      </c>
      <c r="F24" s="209"/>
      <c r="G24" s="209"/>
      <c r="H24" s="209"/>
      <c r="I24" s="209"/>
      <c r="J24" s="209"/>
      <c r="K24" s="209"/>
      <c r="L24" s="209"/>
      <c r="M24" s="209"/>
      <c r="N24" s="209"/>
      <c r="O24" s="209"/>
      <c r="P24" s="265"/>
      <c r="Q24" s="209"/>
      <c r="R24" s="209">
        <f>'Current - Sales, NWP, GWP'!R25/VLOOKUP(COUNTA(R$4:$AC$4),'Dev Patterns'!$B$6:$F$22,$A24,0)</f>
        <v>2938.5353979168267</v>
      </c>
      <c r="S24" s="209">
        <f>'Current - Sales, NWP, GWP'!S25/VLOOKUP(COUNTA(S$4:$AC$4),'Dev Patterns'!$B$6:$F$22,$A24,0)</f>
        <v>4715.7378493460346</v>
      </c>
      <c r="T24" s="209">
        <f>'Current - Sales, NWP, GWP'!T25/VLOOKUP(COUNTA(T$4:$AC$4),'Dev Patterns'!$B$6:$F$22,$A24,0)</f>
        <v>4802.9919740674686</v>
      </c>
      <c r="U24" s="209">
        <f>'Current - Sales, NWP, GWP'!U25/VLOOKUP(COUNTA(U$4:$AC$4),'Dev Patterns'!$B$6:$F$22,$A24,0)</f>
        <v>4799.7063501888488</v>
      </c>
      <c r="V24" s="209">
        <f>'Current - Sales, NWP, GWP'!V25/VLOOKUP(COUNTA(V$4:$AC$4),'Dev Patterns'!$B$6:$F$22,$A24,0)</f>
        <v>4057.4519800839817</v>
      </c>
      <c r="W24" s="209">
        <f>'Current - Sales, NWP, GWP'!W25/VLOOKUP(COUNTA(W$4:$AC$4),'Dev Patterns'!$B$6:$F$22,$A24,0)</f>
        <v>3369.487882670539</v>
      </c>
      <c r="X24" s="209">
        <f>'Current - Sales, NWP, GWP'!X25/VLOOKUP(COUNTA(X$4:$AC$4),'Dev Patterns'!$B$6:$F$22,$A24,0)</f>
        <v>2929.1183773998309</v>
      </c>
      <c r="Y24" s="209">
        <f>'Current - Sales, NWP, GWP'!Y25/VLOOKUP(COUNTA(Y$4:$AC$4),'Dev Patterns'!$B$6:$F$22,$A24,0)</f>
        <v>2720.1389136650396</v>
      </c>
      <c r="Z24" s="209">
        <f>'Current - Sales, NWP, GWP'!Z25/VLOOKUP(COUNTA(Z$4:$AC$4),'Dev Patterns'!$B$6:$F$22,$A24,0)</f>
        <v>2696.9641022523706</v>
      </c>
      <c r="AA24" s="209">
        <f>'Current - Sales, NWP, GWP'!AA25/VLOOKUP(COUNTA(AA$4:$AC$4),'Dev Patterns'!$B$6:$F$22,$A24,0)</f>
        <v>2938.2063195241076</v>
      </c>
      <c r="AB24" s="265">
        <f>'Current - Sales, NWP, GWP'!AB25/VLOOKUP(COUNTA(AB$4:$AC$4),'Dev Patterns'!$B$6:$F$22,$A24,0)</f>
        <v>3019.9866459152445</v>
      </c>
      <c r="AC24" s="209">
        <f>'Current - Sales, NWP, GWP'!AC25/VLOOKUP(COUNTA(AC$4:$AC$4),'Dev Patterns'!$B$6:$F$22,$A24,0)</f>
        <v>3212.5373991154825</v>
      </c>
      <c r="AD24" s="209">
        <f>'Current - Sales, NWP, GWP'!AD25/VLOOKUP(COUNTA($AC$4:AD$4),'Dev Patterns'!$B$6:$F$22,$A24,0)</f>
        <v>2696.5156165180279</v>
      </c>
      <c r="AE24" s="209">
        <f>'Current - Sales, NWP, GWP'!AE25/VLOOKUP(COUNTA($AC$4:AE$4),'Dev Patterns'!$B$6:$F$22,$A24,0)</f>
        <v>3457.7320258545496</v>
      </c>
      <c r="AF24" s="209">
        <f>'Current - Sales, NWP, GWP'!AF25/VLOOKUP(COUNTA($AC$4:AF$4),'Dev Patterns'!$B$6:$F$22,$A24,0)</f>
        <v>3535.0185602772344</v>
      </c>
      <c r="AG24" s="209">
        <f>'Current - Sales, NWP, GWP'!AG25/VLOOKUP(COUNTA($AC$4:AG$4),'Dev Patterns'!$B$6:$F$22,$A24,0)</f>
        <v>3612.0403078181857</v>
      </c>
      <c r="AH24" s="209">
        <f>'Current - Sales, NWP, GWP'!AH25/VLOOKUP(COUNTA($AC$4:AH$4),'Dev Patterns'!$B$6:$F$22,$A24,0)</f>
        <v>3305.444238129995</v>
      </c>
      <c r="AI24" s="209">
        <f>'Current - Sales, NWP, GWP'!AI25/VLOOKUP(COUNTA($AC$4:AI$4),'Dev Patterns'!$B$6:$F$22,$A24,0)</f>
        <v>3248.9059966048685</v>
      </c>
      <c r="AJ24" s="209">
        <f>'Current - Sales, NWP, GWP'!AJ25/VLOOKUP(COUNTA($AC$4:AJ$4),'Dev Patterns'!$B$6:$F$22,$A24,0)</f>
        <v>1497.775779747225</v>
      </c>
      <c r="AK24" s="209">
        <f>'Current - Sales, NWP, GWP'!AK25/VLOOKUP(COUNTA($AC$4:AK$4),'Dev Patterns'!$B$6:$F$22,$A24,0)</f>
        <v>0</v>
      </c>
      <c r="AL24" s="209">
        <f>'Current - Sales, NWP, GWP'!AL25/VLOOKUP(COUNTA($AC$4:AL$4),'Dev Patterns'!$B$6:$F$22,$A24,0)</f>
        <v>0</v>
      </c>
      <c r="AM24" s="209">
        <f>'Current - Sales, NWP, GWP'!AM25/VLOOKUP(COUNTA($AC$4:AM$4),'Dev Patterns'!$B$6:$F$22,$A24,0)</f>
        <v>0</v>
      </c>
      <c r="AN24" s="265">
        <f>'Current - Sales, NWP, GWP'!AN25/VLOOKUP(COUNTA($AC$4:AN$4),'Dev Patterns'!$B$6:$F$22,$A24,0)</f>
        <v>0</v>
      </c>
      <c r="AO24" s="237">
        <f t="shared" ref="AO24:AO29" si="33">AVERAGE(Z24:AC24)</f>
        <v>2966.9236167018012</v>
      </c>
      <c r="AP24" s="209">
        <f>AVERAGE(R24:AC24)</f>
        <v>3516.7385993454814</v>
      </c>
      <c r="AQ24" s="238">
        <f>SUMIFS(AC24:AN24,AC$4:AN$4,"&lt;"&amp;'Title Sheet'!$C$13)</f>
        <v>24565.969924065572</v>
      </c>
    </row>
    <row r="25" spans="1:43" ht="15.75" hidden="1" outlineLevel="1" x14ac:dyDescent="0.25">
      <c r="B25" t="str">
        <f>$D$21&amp;"_W VYRs"</f>
        <v>PC Annual Direct - Annual_W VYRs</v>
      </c>
      <c r="C25" t="str">
        <f>$C24</f>
        <v>Boom Annual</v>
      </c>
      <c r="D25" s="211" t="s">
        <v>317</v>
      </c>
      <c r="E25" s="31" t="e">
        <f>INDEX('Plan Figures'!$B$5:$AP$31,MATCH('Ultimate - MGA and MPM'!E$4,'Plan Figures'!$B$5:$B$31,0),MATCH('Ultimate - MGA and MPM'!$B25,'Plan Figures'!$B$1:$AP$1,0))</f>
        <v>#N/A</v>
      </c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266"/>
      <c r="Q25" s="31"/>
      <c r="R25" s="31" t="str">
        <f>INDEX('Plan Figures'!$B$5:$AP$31,MATCH('Ultimate - MGA and MPM'!R$4,'Plan Figures'!$B$5:$B$31,0),MATCH('Ultimate - MGA and MPM'!$B25,'Plan Figures'!$B$1:$AP$1,0))</f>
        <v>-</v>
      </c>
      <c r="S25" s="31" t="str">
        <f>INDEX('Plan Figures'!$B$5:$AP$31,MATCH('Ultimate - MGA and MPM'!S$4,'Plan Figures'!$B$5:$B$31,0),MATCH('Ultimate - MGA and MPM'!$B25,'Plan Figures'!$B$1:$AP$1,0))</f>
        <v>-</v>
      </c>
      <c r="T25" s="31" t="str">
        <f>INDEX('Plan Figures'!$B$5:$AP$31,MATCH('Ultimate - MGA and MPM'!T$4,'Plan Figures'!$B$5:$B$31,0),MATCH('Ultimate - MGA and MPM'!$B25,'Plan Figures'!$B$1:$AP$1,0))</f>
        <v>-</v>
      </c>
      <c r="U25" s="31" t="str">
        <f>INDEX('Plan Figures'!$B$5:$AP$31,MATCH('Ultimate - MGA and MPM'!U$4,'Plan Figures'!$B$5:$B$31,0),MATCH('Ultimate - MGA and MPM'!$B25,'Plan Figures'!$B$1:$AP$1,0))</f>
        <v>-</v>
      </c>
      <c r="V25" s="31" t="str">
        <f>INDEX('Plan Figures'!$B$5:$AP$31,MATCH('Ultimate - MGA and MPM'!V$4,'Plan Figures'!$B$5:$B$31,0),MATCH('Ultimate - MGA and MPM'!$B25,'Plan Figures'!$B$1:$AP$1,0))</f>
        <v>-</v>
      </c>
      <c r="W25" s="31" t="str">
        <f>INDEX('Plan Figures'!$B$5:$AP$31,MATCH('Ultimate - MGA and MPM'!W$4,'Plan Figures'!$B$5:$B$31,0),MATCH('Ultimate - MGA and MPM'!$B25,'Plan Figures'!$B$1:$AP$1,0))</f>
        <v>-</v>
      </c>
      <c r="X25" s="31" t="str">
        <f>INDEX('Plan Figures'!$B$5:$AP$31,MATCH('Ultimate - MGA and MPM'!X$4,'Plan Figures'!$B$5:$B$31,0),MATCH('Ultimate - MGA and MPM'!$B25,'Plan Figures'!$B$1:$AP$1,0))</f>
        <v>-</v>
      </c>
      <c r="Y25" s="31" t="str">
        <f>INDEX('Plan Figures'!$B$5:$AP$31,MATCH('Ultimate - MGA and MPM'!Y$4,'Plan Figures'!$B$5:$B$31,0),MATCH('Ultimate - MGA and MPM'!$B25,'Plan Figures'!$B$1:$AP$1,0))</f>
        <v>-</v>
      </c>
      <c r="Z25" s="31" t="str">
        <f>INDEX('Plan Figures'!$B$5:$AP$31,MATCH('Ultimate - MGA and MPM'!Z$4,'Plan Figures'!$B$5:$B$31,0),MATCH('Ultimate - MGA and MPM'!$B25,'Plan Figures'!$B$1:$AP$1,0))</f>
        <v>-</v>
      </c>
      <c r="AA25" s="31">
        <f>INDEX('Plan Figures'!$B$5:$AP$31,MATCH('Ultimate - MGA and MPM'!AA$4,'Plan Figures'!$B$5:$B$31,0),MATCH('Ultimate - MGA and MPM'!$B25,'Plan Figures'!$B$1:$AP$1,0))</f>
        <v>1113.4200697273855</v>
      </c>
      <c r="AB25" s="266">
        <f>INDEX('Plan Figures'!$B$5:$AP$31,MATCH('Ultimate - MGA and MPM'!AB$4,'Plan Figures'!$B$5:$B$31,0),MATCH('Ultimate - MGA and MPM'!$B25,'Plan Figures'!$B$1:$AP$1,0))</f>
        <v>989.67431218271486</v>
      </c>
      <c r="AC25" s="31">
        <f>INDEX('Plan Figures'!$B$5:$AP$31,MATCH('Ultimate - MGA and MPM'!AC$4,'Plan Figures'!$B$5:$B$31,0),MATCH('Ultimate - MGA and MPM'!$B25,'Plan Figures'!$B$1:$AP$1,0))</f>
        <v>1210.5482166933789</v>
      </c>
      <c r="AD25" s="31">
        <f>INDEX('Plan Figures'!$B$5:$AP$42,MATCH('Ultimate - MGA and MPM'!AD$4,'Plan Figures'!$B$5:$B$42,0),MATCH('Ultimate - MGA and MPM'!$B25,'Plan Figures'!$B$1:$AP$1,0))</f>
        <v>1208.1319527878034</v>
      </c>
      <c r="AE25" s="31">
        <f>INDEX('Plan Figures'!$B$5:$AP$42,MATCH('Ultimate - MGA and MPM'!AE$4,'Plan Figures'!$B$5:$B$42,0),MATCH('Ultimate - MGA and MPM'!$B25,'Plan Figures'!$B$1:$AP$1,0))</f>
        <v>1205.7205117642748</v>
      </c>
      <c r="AF25" s="31">
        <f>INDEX('Plan Figures'!$B$5:$AP$42,MATCH('Ultimate - MGA and MPM'!AF$4,'Plan Figures'!$B$5:$B$42,0),MATCH('Ultimate - MGA and MPM'!$B25,'Plan Figures'!$B$1:$AP$1,0))</f>
        <v>1203.3138839962821</v>
      </c>
      <c r="AG25" s="31">
        <f>INDEX('Plan Figures'!$B$5:$AP$42,MATCH('Ultimate - MGA and MPM'!AG$4,'Plan Figures'!$B$5:$B$42,0),MATCH('Ultimate - MGA and MPM'!$B25,'Plan Figures'!$B$1:$AP$1,0))</f>
        <v>1201.0207575202833</v>
      </c>
      <c r="AH25" s="31">
        <f>INDEX('Plan Figures'!$B$5:$AP$42,MATCH('Ultimate - MGA and MPM'!AH$4,'Plan Figures'!$B$5:$B$42,0),MATCH('Ultimate - MGA and MPM'!$B25,'Plan Figures'!$B$1:$AP$1,0))</f>
        <v>1228.875833502128</v>
      </c>
      <c r="AI25" s="31">
        <f>INDEX('Plan Figures'!$B$5:$AP$42,MATCH('Ultimate - MGA and MPM'!AI$4,'Plan Figures'!$B$5:$B$42,0),MATCH('Ultimate - MGA and MPM'!$B25,'Plan Figures'!$B$1:$AP$1,0))</f>
        <v>1163.6668411466933</v>
      </c>
      <c r="AJ25" s="31">
        <f>INDEX('Plan Figures'!$B$5:$AP$42,MATCH('Ultimate - MGA and MPM'!AJ$4,'Plan Figures'!$B$5:$B$42,0),MATCH('Ultimate - MGA and MPM'!$B25,'Plan Figures'!$B$1:$AP$1,0))</f>
        <v>1142.8043600541273</v>
      </c>
      <c r="AK25" s="31">
        <f>INDEX('Plan Figures'!$B$5:$AP$42,MATCH('Ultimate - MGA and MPM'!AK$4,'Plan Figures'!$B$5:$B$42,0),MATCH('Ultimate - MGA and MPM'!$B25,'Plan Figures'!$B$1:$AP$1,0))</f>
        <v>1583.4171745261115</v>
      </c>
      <c r="AL25" s="31">
        <f>INDEX('Plan Figures'!$B$5:$AP$42,MATCH('Ultimate - MGA and MPM'!AL$4,'Plan Figures'!$B$5:$B$42,0),MATCH('Ultimate - MGA and MPM'!$B25,'Plan Figures'!$B$1:$AP$1,0))</f>
        <v>1633.4199796082153</v>
      </c>
      <c r="AM25" s="31">
        <f>INDEX('Plan Figures'!$B$5:$AP$42,MATCH('Ultimate - MGA and MPM'!AM$4,'Plan Figures'!$B$5:$B$42,0),MATCH('Ultimate - MGA and MPM'!$B25,'Plan Figures'!$B$1:$AP$1,0))</f>
        <v>1421.9431064527189</v>
      </c>
      <c r="AN25" s="266">
        <f>INDEX('Plan Figures'!$B$5:$AP$42,MATCH('Ultimate - MGA and MPM'!AN$4,'Plan Figures'!$B$5:$B$42,0),MATCH('Ultimate - MGA and MPM'!$B25,'Plan Figures'!$B$1:$AP$1,0))</f>
        <v>1292.0881451523526</v>
      </c>
      <c r="AO25" s="239">
        <f t="shared" si="33"/>
        <v>1104.5475328678265</v>
      </c>
      <c r="AP25" s="31">
        <f t="shared" ref="AP25:AP29" si="34">AVERAGE(R25:AC25)</f>
        <v>1104.5475328678265</v>
      </c>
      <c r="AQ25" s="240">
        <f>SUMIFS(AC25:AN25,AC$4:AN$4,"&lt;"&amp;'Title Sheet'!$C$13)</f>
        <v>15494.950763204368</v>
      </c>
    </row>
    <row r="26" spans="1:43" ht="15.75" hidden="1" outlineLevel="1" x14ac:dyDescent="0.25">
      <c r="B26" t="str">
        <f t="shared" ref="B26:B35" si="35">$D$2</f>
        <v>PC Annual Direct</v>
      </c>
      <c r="C26" t="str">
        <f t="shared" ref="C26:C35" si="36">$C25</f>
        <v>Boom Annual</v>
      </c>
      <c r="D26" s="213" t="s">
        <v>0</v>
      </c>
      <c r="E26" s="214" t="str">
        <f t="shared" ref="E26:AN26" si="37">IFERROR(IF(E24=0,"-",(E24/E25)-1),"-")</f>
        <v>-</v>
      </c>
      <c r="F26" s="214" t="str">
        <f t="shared" si="37"/>
        <v>-</v>
      </c>
      <c r="G26" s="214" t="str">
        <f t="shared" si="37"/>
        <v>-</v>
      </c>
      <c r="H26" s="214" t="str">
        <f t="shared" si="37"/>
        <v>-</v>
      </c>
      <c r="I26" s="214" t="str">
        <f t="shared" si="37"/>
        <v>-</v>
      </c>
      <c r="J26" s="214" t="str">
        <f t="shared" si="37"/>
        <v>-</v>
      </c>
      <c r="K26" s="214" t="str">
        <f t="shared" si="37"/>
        <v>-</v>
      </c>
      <c r="L26" s="214" t="str">
        <f t="shared" si="37"/>
        <v>-</v>
      </c>
      <c r="M26" s="214" t="str">
        <f t="shared" si="37"/>
        <v>-</v>
      </c>
      <c r="N26" s="214" t="str">
        <f t="shared" si="37"/>
        <v>-</v>
      </c>
      <c r="O26" s="214" t="str">
        <f t="shared" si="37"/>
        <v>-</v>
      </c>
      <c r="P26" s="270" t="str">
        <f t="shared" si="37"/>
        <v>-</v>
      </c>
      <c r="Q26" s="214" t="str">
        <f t="shared" si="37"/>
        <v>-</v>
      </c>
      <c r="R26" s="214" t="str">
        <f t="shared" si="37"/>
        <v>-</v>
      </c>
      <c r="S26" s="214" t="str">
        <f t="shared" si="37"/>
        <v>-</v>
      </c>
      <c r="T26" s="214" t="str">
        <f t="shared" si="37"/>
        <v>-</v>
      </c>
      <c r="U26" s="214" t="str">
        <f t="shared" si="37"/>
        <v>-</v>
      </c>
      <c r="V26" s="214" t="str">
        <f t="shared" si="37"/>
        <v>-</v>
      </c>
      <c r="W26" s="214" t="str">
        <f t="shared" si="37"/>
        <v>-</v>
      </c>
      <c r="X26" s="214" t="str">
        <f t="shared" si="37"/>
        <v>-</v>
      </c>
      <c r="Y26" s="214" t="str">
        <f t="shared" si="37"/>
        <v>-</v>
      </c>
      <c r="Z26" s="214" t="str">
        <f t="shared" si="37"/>
        <v>-</v>
      </c>
      <c r="AA26" s="214">
        <f t="shared" si="37"/>
        <v>1.6389018838536931</v>
      </c>
      <c r="AB26" s="270">
        <f t="shared" si="37"/>
        <v>2.0514954351545209</v>
      </c>
      <c r="AC26" s="214">
        <f t="shared" si="37"/>
        <v>1.6537872302935206</v>
      </c>
      <c r="AD26" s="214">
        <f t="shared" si="37"/>
        <v>1.2319711106851625</v>
      </c>
      <c r="AE26" s="214">
        <f t="shared" si="37"/>
        <v>1.8677724166730907</v>
      </c>
      <c r="AF26" s="214">
        <f t="shared" si="37"/>
        <v>1.9377360365337202</v>
      </c>
      <c r="AG26" s="214">
        <f t="shared" si="37"/>
        <v>2.0074753372921488</v>
      </c>
      <c r="AH26" s="214">
        <f t="shared" si="37"/>
        <v>1.6898114097580805</v>
      </c>
      <c r="AI26" s="214">
        <f t="shared" si="37"/>
        <v>1.7919554650224043</v>
      </c>
      <c r="AJ26" s="214">
        <f t="shared" si="37"/>
        <v>0.31061433793994708</v>
      </c>
      <c r="AK26" s="214" t="str">
        <f t="shared" si="37"/>
        <v>-</v>
      </c>
      <c r="AL26" s="214" t="str">
        <f t="shared" si="37"/>
        <v>-</v>
      </c>
      <c r="AM26" s="214" t="str">
        <f t="shared" si="37"/>
        <v>-</v>
      </c>
      <c r="AN26" s="270" t="str">
        <f t="shared" si="37"/>
        <v>-</v>
      </c>
      <c r="AO26" s="274">
        <f t="shared" si="33"/>
        <v>1.7813948497672449</v>
      </c>
      <c r="AP26" s="275">
        <f t="shared" si="34"/>
        <v>1.7813948497672449</v>
      </c>
      <c r="AQ26" s="276">
        <f t="shared" ref="AQ26" si="38">IFERROR(IF(AQ24=0,"-",(AQ24/AQ25)-1),"-")</f>
        <v>0.58541774668958735</v>
      </c>
    </row>
    <row r="27" spans="1:43" ht="15.75" outlineLevel="1" x14ac:dyDescent="0.25">
      <c r="A27">
        <v>4</v>
      </c>
      <c r="B27" t="str">
        <f t="shared" si="35"/>
        <v>PC Annual Direct</v>
      </c>
      <c r="C27" t="str">
        <f t="shared" si="36"/>
        <v>Boom Annual</v>
      </c>
      <c r="D27" s="208" t="s">
        <v>5</v>
      </c>
      <c r="E27" s="209">
        <f>'Current - MGA and MPM'!E27/VLOOKUP(COUNTA(E$4:$AE$4),'Dev Patterns'!$B$6:$F$34,$A27,0)</f>
        <v>54404.443214097795</v>
      </c>
      <c r="F27" s="209">
        <f>'Current - MGA and MPM'!F27/VLOOKUP(COUNTA(F$4:$AC$4),'Dev Patterns'!$B$6:$F$34,$A27,0)</f>
        <v>154577.88964227081</v>
      </c>
      <c r="G27" s="209">
        <f>'Current - MGA and MPM'!G27/VLOOKUP(COUNTA(G$4:$AC$4),'Dev Patterns'!$B$6:$F$34,$A27,0)</f>
        <v>483467.82464259694</v>
      </c>
      <c r="H27" s="209">
        <f>'Current - MGA and MPM'!H27/VLOOKUP(COUNTA(H$4:$AC$4),'Dev Patterns'!$B$6:$F$34,$A27,0)</f>
        <v>538846.57178365299</v>
      </c>
      <c r="I27" s="209">
        <f>'Current - MGA and MPM'!I27/VLOOKUP(COUNTA(I$4:$AC$4),'Dev Patterns'!$B$6:$F$34,$A27,0)</f>
        <v>694728.56106937001</v>
      </c>
      <c r="J27" s="209">
        <f>'Current - MGA and MPM'!J27/VLOOKUP(COUNTA(J$4:$AC$4),'Dev Patterns'!$B$6:$F$34,$A27,0)</f>
        <v>973925.98714369722</v>
      </c>
      <c r="K27" s="209">
        <f>'Current - MGA and MPM'!K27/VLOOKUP(COUNTA(K$4:$AC$4),'Dev Patterns'!$B$6:$F$34,$A27,0)</f>
        <v>1780448.7428612791</v>
      </c>
      <c r="L27" s="209">
        <f>'Current - MGA and MPM'!L27/VLOOKUP(COUNTA(L$4:$AC$4),'Dev Patterns'!$B$6:$F$34,$A27,0)</f>
        <v>1529874.777141179</v>
      </c>
      <c r="M27" s="209">
        <f>'Current - MGA and MPM'!M27/VLOOKUP(COUNTA(M$4:$AC$4),'Dev Patterns'!$B$6:$F$34,$A27,0)</f>
        <v>2131022.4157159706</v>
      </c>
      <c r="N27" s="209">
        <f>'Current - MGA and MPM'!N27/VLOOKUP(COUNTA(N$4:$AC$4),'Dev Patterns'!$B$6:$F$34,$A27,0)</f>
        <v>2601431.4985690014</v>
      </c>
      <c r="O27" s="209">
        <f>'Current - MGA and MPM'!O27/VLOOKUP(COUNTA(O$4:$AC$4),'Dev Patterns'!$B$6:$F$34,$A27,0)</f>
        <v>2062684.9914250069</v>
      </c>
      <c r="P27" s="265">
        <f>'Current - MGA and MPM'!P27/VLOOKUP(COUNTA(P$4:$AC$4),'Dev Patterns'!$B$6:$F$34,$A27,0)</f>
        <v>1540264.3825995426</v>
      </c>
      <c r="Q27" s="209">
        <f>'Current - MGA and MPM'!Q27/VLOOKUP(COUNTA(Q$4:$AC$4),'Dev Patterns'!$B$6:$F$34,$A27,0)</f>
        <v>1086160.8895984201</v>
      </c>
      <c r="R27" s="209">
        <f>'Current - MGA and MPM'!R27/VLOOKUP(COUNTA(R$4:$AC$4),'Dev Patterns'!$B$6:$F$34,$A27,0)</f>
        <v>1100060.6180741363</v>
      </c>
      <c r="S27" s="209">
        <f>'Current - MGA and MPM'!S27/VLOOKUP(COUNTA(S$4:$AC$4),'Dev Patterns'!$B$6:$F$34,$A27,0)</f>
        <v>1167867.9575517664</v>
      </c>
      <c r="T27" s="209">
        <f>'Current - MGA and MPM'!T27/VLOOKUP(COUNTA(T$4:$AC$4),'Dev Patterns'!$B$6:$F$34,$A27,0)</f>
        <v>917501.1428216619</v>
      </c>
      <c r="U27" s="209">
        <f>'Current - MGA and MPM'!U27/VLOOKUP(COUNTA(U$4:$AC$4),'Dev Patterns'!$B$6:$F$34,$A27,0)</f>
        <v>1066374.4101851906</v>
      </c>
      <c r="V27" s="209">
        <f>'Current - MGA and MPM'!V27/VLOOKUP(COUNTA(V$4:$AC$4),'Dev Patterns'!$B$6:$F$34,$A27,0)</f>
        <v>940226.24910477619</v>
      </c>
      <c r="W27" s="209">
        <f>'Current - MGA and MPM'!W27/VLOOKUP(COUNTA(W$4:$AC$4),'Dev Patterns'!$B$6:$F$34,$A27,0)</f>
        <v>889795.49001768453</v>
      </c>
      <c r="X27" s="209">
        <f>'Current - MGA and MPM'!X27/VLOOKUP(COUNTA(X$4:$AC$4),'Dev Patterns'!$B$6:$F$34,$A27,0)</f>
        <v>1060827.2088209339</v>
      </c>
      <c r="Y27" s="209">
        <f>'Current - MGA and MPM'!Y27/VLOOKUP(COUNTA(Y$4:$AC$4),'Dev Patterns'!$B$6:$F$34,$A27,0)</f>
        <v>1098495.6156921512</v>
      </c>
      <c r="Z27" s="209">
        <f>'Current - MGA and MPM'!Z27/VLOOKUP(COUNTA(Z$4:$AC$4),'Dev Patterns'!$B$6:$F$34,$A27,0)</f>
        <v>1309223.1021593756</v>
      </c>
      <c r="AA27" s="209">
        <f>'Current - MGA and MPM'!AA27/VLOOKUP(COUNTA(AA$4:$AC$4),'Dev Patterns'!$B$6:$F$34,$A27,0)</f>
        <v>1790907.5157922232</v>
      </c>
      <c r="AB27" s="265">
        <f>'Current - MGA and MPM'!AB27/VLOOKUP(COUNTA(AB$4:$AC$4),'Dev Patterns'!$B$6:$F$34,$A27,0)</f>
        <v>1578243.04321398</v>
      </c>
      <c r="AC27" s="209">
        <f>'Current - MGA and MPM'!AC27/VLOOKUP(COUNTA(AC$4:$AC$4),'Dev Patterns'!$B$6:$F$34,$A27,0)</f>
        <v>1964121.9495559018</v>
      </c>
      <c r="AD27" s="209">
        <f>'Current - MGA and MPM'!AD27/VLOOKUP(COUNTA($AC$4:AD$4),'Dev Patterns'!$B$6:$F$34,$A27,0)</f>
        <v>3419751.6490699621</v>
      </c>
      <c r="AE27" s="209">
        <f>'Current - MGA and MPM'!AE27/VLOOKUP(COUNTA($AC$4:AE$4),'Dev Patterns'!$B$6:$F$34,$A27,0)</f>
        <v>5733837.5847169319</v>
      </c>
      <c r="AF27" s="209">
        <f>'Current - MGA and MPM'!AF27/VLOOKUP(COUNTA($AC$4:AF$4),'Dev Patterns'!$B$6:$F$34,$A27,0)</f>
        <v>5199515.8144044904</v>
      </c>
      <c r="AG27" s="209">
        <f>'Current - MGA and MPM'!AG27/VLOOKUP(COUNTA($AC$4:AG$4),'Dev Patterns'!$B$6:$F$34,$A27,0)</f>
        <v>4980773.7105065174</v>
      </c>
      <c r="AH27" s="209">
        <f>'Current - MGA and MPM'!AH27/VLOOKUP(COUNTA($AC$4:AH$4),'Dev Patterns'!$B$6:$F$34,$A27,0)</f>
        <v>4177997.3395425123</v>
      </c>
      <c r="AI27" s="209">
        <f>'Current - MGA and MPM'!AI27/VLOOKUP(COUNTA($AC$4:AI$4),'Dev Patterns'!$B$6:$F$34,$A27,0)</f>
        <v>3493282.5233709621</v>
      </c>
      <c r="AJ27" s="209">
        <f>'Current - MGA and MPM'!AJ27/VLOOKUP(COUNTA($AC$4:AJ$4),'Dev Patterns'!$B$6:$F$34,$A27,0)</f>
        <v>3061469.1314164861</v>
      </c>
      <c r="AK27" s="209">
        <f>'Current - MGA and MPM'!AK27/VLOOKUP(COUNTA($AC$4:AK$4),'Dev Patterns'!$B$6:$F$34,$A27,0)</f>
        <v>2921781.5416855235</v>
      </c>
      <c r="AL27" s="209">
        <f>'Current - MGA and MPM'!AL27/VLOOKUP(COUNTA($AC$4:AL$4),'Dev Patterns'!$B$6:$F$34,$A27,0)</f>
        <v>2885085.346901882</v>
      </c>
      <c r="AM27" s="209">
        <f>'Current - MGA and MPM'!AM27/VLOOKUP(COUNTA($AC$4:AM$4),'Dev Patterns'!$B$6:$F$34,$A27,0)</f>
        <v>3292987.1386742885</v>
      </c>
      <c r="AN27" s="265">
        <f>'Current - MGA and MPM'!AN27/VLOOKUP(COUNTA($AC$4:AN$4),'Dev Patterns'!$B$6:$F$34,$A27,0)</f>
        <v>3435415.5614158558</v>
      </c>
      <c r="AO27" s="237">
        <f t="shared" si="33"/>
        <v>1660623.9026803703</v>
      </c>
      <c r="AP27" s="209">
        <f t="shared" si="34"/>
        <v>1240303.6919158152</v>
      </c>
      <c r="AQ27" s="238">
        <f>SUMIFS(AC27:AN27,AC$4:AN$4,"&lt;"&amp;'Title Sheet'!$C$13)</f>
        <v>44566019.291261315</v>
      </c>
    </row>
    <row r="28" spans="1:43" ht="15.75" outlineLevel="1" x14ac:dyDescent="0.25">
      <c r="B28" t="str">
        <f>$D$21&amp;"_NWP"</f>
        <v>PC Annual Direct - Annual_NWP</v>
      </c>
      <c r="C28" t="str">
        <f t="shared" si="36"/>
        <v>Boom Annual</v>
      </c>
      <c r="D28" s="211" t="s">
        <v>6</v>
      </c>
      <c r="E28" s="31" t="e">
        <f>INDEX('Plan Figures'!$B$5:$AP$31,MATCH('Ultimate - MGA and MPM'!E$4,'Plan Figures'!$B$5:$B$31,0),MATCH('Ultimate - MGA and MPM'!$B28,'Plan Figures'!$B$1:$AP$1,0))</f>
        <v>#N/A</v>
      </c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6"/>
      <c r="Q28" s="31"/>
      <c r="R28" s="31" t="str">
        <f>INDEX('Plan Figures'!$B$5:$AP$31,MATCH('Ultimate - MGA and MPM'!R$4,'Plan Figures'!$B$5:$B$31,0),MATCH('Ultimate - MGA and MPM'!$B28,'Plan Figures'!$B$1:$AP$1,0))</f>
        <v>-</v>
      </c>
      <c r="S28" s="31" t="str">
        <f>INDEX('Plan Figures'!$B$5:$AP$31,MATCH('Ultimate - MGA and MPM'!S$4,'Plan Figures'!$B$5:$B$31,0),MATCH('Ultimate - MGA and MPM'!$B28,'Plan Figures'!$B$1:$AP$1,0))</f>
        <v>-</v>
      </c>
      <c r="T28" s="31" t="str">
        <f>INDEX('Plan Figures'!$B$5:$AP$31,MATCH('Ultimate - MGA and MPM'!T$4,'Plan Figures'!$B$5:$B$31,0),MATCH('Ultimate - MGA and MPM'!$B28,'Plan Figures'!$B$1:$AP$1,0))</f>
        <v>-</v>
      </c>
      <c r="U28" s="31" t="str">
        <f>INDEX('Plan Figures'!$B$5:$AP$31,MATCH('Ultimate - MGA and MPM'!U$4,'Plan Figures'!$B$5:$B$31,0),MATCH('Ultimate - MGA and MPM'!$B28,'Plan Figures'!$B$1:$AP$1,0))</f>
        <v>-</v>
      </c>
      <c r="V28" s="31" t="str">
        <f>INDEX('Plan Figures'!$B$5:$AP$31,MATCH('Ultimate - MGA and MPM'!V$4,'Plan Figures'!$B$5:$B$31,0),MATCH('Ultimate - MGA and MPM'!$B28,'Plan Figures'!$B$1:$AP$1,0))</f>
        <v>-</v>
      </c>
      <c r="W28" s="31" t="str">
        <f>INDEX('Plan Figures'!$B$5:$AP$31,MATCH('Ultimate - MGA and MPM'!W$4,'Plan Figures'!$B$5:$B$31,0),MATCH('Ultimate - MGA and MPM'!$B28,'Plan Figures'!$B$1:$AP$1,0))</f>
        <v>-</v>
      </c>
      <c r="X28" s="31" t="str">
        <f>INDEX('Plan Figures'!$B$5:$AP$31,MATCH('Ultimate - MGA and MPM'!X$4,'Plan Figures'!$B$5:$B$31,0),MATCH('Ultimate - MGA and MPM'!$B28,'Plan Figures'!$B$1:$AP$1,0))</f>
        <v>-</v>
      </c>
      <c r="Y28" s="31" t="str">
        <f>INDEX('Plan Figures'!$B$5:$AP$31,MATCH('Ultimate - MGA and MPM'!Y$4,'Plan Figures'!$B$5:$B$31,0),MATCH('Ultimate - MGA and MPM'!$B28,'Plan Figures'!$B$1:$AP$1,0))</f>
        <v>-</v>
      </c>
      <c r="Z28" s="31" t="str">
        <f>INDEX('Plan Figures'!$B$5:$AP$31,MATCH('Ultimate - MGA and MPM'!Z$4,'Plan Figures'!$B$5:$B$31,0),MATCH('Ultimate - MGA and MPM'!$B28,'Plan Figures'!$B$1:$AP$1,0))</f>
        <v>-</v>
      </c>
      <c r="AA28" s="31">
        <f>INDEX('Plan Figures'!$B$5:$AP$31,MATCH('Ultimate - MGA and MPM'!AA$4,'Plan Figures'!$B$5:$B$31,0),MATCH('Ultimate - MGA and MPM'!$B28,'Plan Figures'!$B$1:$AP$1,0))</f>
        <v>1201948.8602582696</v>
      </c>
      <c r="AB28" s="266">
        <f>INDEX('Plan Figures'!$B$5:$AP$31,MATCH('Ultimate - MGA and MPM'!AB$4,'Plan Figures'!$B$5:$B$31,0),MATCH('Ultimate - MGA and MPM'!$B28,'Plan Figures'!$B$1:$AP$1,0))</f>
        <v>1130181.9540233866</v>
      </c>
      <c r="AC28" s="31">
        <f>INDEX('Plan Figures'!$B$5:$AP$31,MATCH('Ultimate - MGA and MPM'!AC$4,'Plan Figures'!$B$5:$B$31,0),MATCH('Ultimate - MGA and MPM'!$B28,'Plan Figures'!$B$1:$AP$1,0))</f>
        <v>1235960.0527141613</v>
      </c>
      <c r="AD28" s="31">
        <f>INDEX('Plan Figures'!$B$5:$AP$42,MATCH('Ultimate - MGA and MPM'!AD$4,'Plan Figures'!$B$5:$B$42,0),MATCH('Ultimate - MGA and MPM'!$B28,'Plan Figures'!$B$1:$AP$1,0))</f>
        <v>1333459.558352059</v>
      </c>
      <c r="AE28" s="31">
        <f>INDEX('Plan Figures'!$B$5:$AP$42,MATCH('Ultimate - MGA and MPM'!AE$4,'Plan Figures'!$B$5:$B$42,0),MATCH('Ultimate - MGA and MPM'!$B28,'Plan Figures'!$B$1:$AP$1,0))</f>
        <v>1387558.0023525297</v>
      </c>
      <c r="AF28" s="31">
        <f>INDEX('Plan Figures'!$B$5:$AP$42,MATCH('Ultimate - MGA and MPM'!AF$4,'Plan Figures'!$B$5:$B$42,0),MATCH('Ultimate - MGA and MPM'!$B28,'Plan Figures'!$B$1:$AP$1,0))</f>
        <v>1433144.0223048357</v>
      </c>
      <c r="AG28" s="31">
        <f>INDEX('Plan Figures'!$B$5:$AP$42,MATCH('Ultimate - MGA and MPM'!AG$4,'Plan Figures'!$B$5:$B$42,0),MATCH('Ultimate - MGA and MPM'!$B28,'Plan Figures'!$B$1:$AP$1,0))</f>
        <v>1450615.9831731343</v>
      </c>
      <c r="AH28" s="31">
        <f>INDEX('Plan Figures'!$B$5:$AP$42,MATCH('Ultimate - MGA and MPM'!AH$4,'Plan Figures'!$B$5:$B$42,0),MATCH('Ultimate - MGA and MPM'!$B28,'Plan Figures'!$B$1:$AP$1,0))</f>
        <v>1477938.9090293914</v>
      </c>
      <c r="AI28" s="31">
        <f>INDEX('Plan Figures'!$B$5:$AP$42,MATCH('Ultimate - MGA and MPM'!AI$4,'Plan Figures'!$B$5:$B$42,0),MATCH('Ultimate - MGA and MPM'!$B28,'Plan Figures'!$B$1:$AP$1,0))</f>
        <v>1091240.230856986</v>
      </c>
      <c r="AJ28" s="31">
        <f>INDEX('Plan Figures'!$B$5:$AP$42,MATCH('Ultimate - MGA and MPM'!AJ$4,'Plan Figures'!$B$5:$B$42,0),MATCH('Ultimate - MGA and MPM'!$B28,'Plan Figures'!$B$1:$AP$1,0))</f>
        <v>1077448.4163922931</v>
      </c>
      <c r="AK28" s="31">
        <f>INDEX('Plan Figures'!$B$5:$AP$42,MATCH('Ultimate - MGA and MPM'!AK$4,'Plan Figures'!$B$5:$B$42,0),MATCH('Ultimate - MGA and MPM'!$B28,'Plan Figures'!$B$1:$AP$1,0))</f>
        <v>1476073.2552601595</v>
      </c>
      <c r="AL28" s="31">
        <f>INDEX('Plan Figures'!$B$5:$AP$42,MATCH('Ultimate - MGA and MPM'!AL$4,'Plan Figures'!$B$5:$B$42,0),MATCH('Ultimate - MGA and MPM'!$B28,'Plan Figures'!$B$1:$AP$1,0))</f>
        <v>1607394.6364770622</v>
      </c>
      <c r="AM28" s="31">
        <f>INDEX('Plan Figures'!$B$5:$AP$42,MATCH('Ultimate - MGA and MPM'!AM$4,'Plan Figures'!$B$5:$B$42,0),MATCH('Ultimate - MGA and MPM'!$B28,'Plan Figures'!$B$1:$AP$1,0))</f>
        <v>1381402.3361292861</v>
      </c>
      <c r="AN28" s="266">
        <f>INDEX('Plan Figures'!$B$5:$AP$42,MATCH('Ultimate - MGA and MPM'!AN$4,'Plan Figures'!$B$5:$B$42,0),MATCH('Ultimate - MGA and MPM'!$B28,'Plan Figures'!$B$1:$AP$1,0))</f>
        <v>1254506.4774169179</v>
      </c>
      <c r="AO28" s="239">
        <f t="shared" si="33"/>
        <v>1189363.6223319394</v>
      </c>
      <c r="AP28" s="31">
        <f t="shared" si="34"/>
        <v>1189363.6223319394</v>
      </c>
      <c r="AQ28" s="240">
        <f>SUMIFS(AC28:AN28,AC$4:AN$4,"&lt;"&amp;'Title Sheet'!$C$13)</f>
        <v>16206741.880458815</v>
      </c>
    </row>
    <row r="29" spans="1:43" ht="15.75" outlineLevel="1" x14ac:dyDescent="0.25">
      <c r="B29" t="str">
        <f t="shared" si="35"/>
        <v>PC Annual Direct</v>
      </c>
      <c r="C29" t="str">
        <f t="shared" si="36"/>
        <v>Boom Annual</v>
      </c>
      <c r="D29" s="213" t="s">
        <v>0</v>
      </c>
      <c r="E29" s="214" t="str">
        <f t="shared" ref="E29:AN29" si="39">IFERROR(IF(E27=0,"-",(E27/E28)-1),"-")</f>
        <v>-</v>
      </c>
      <c r="F29" s="214" t="str">
        <f t="shared" si="39"/>
        <v>-</v>
      </c>
      <c r="G29" s="214" t="str">
        <f t="shared" si="39"/>
        <v>-</v>
      </c>
      <c r="H29" s="214" t="str">
        <f t="shared" si="39"/>
        <v>-</v>
      </c>
      <c r="I29" s="214" t="str">
        <f t="shared" si="39"/>
        <v>-</v>
      </c>
      <c r="J29" s="214" t="str">
        <f t="shared" si="39"/>
        <v>-</v>
      </c>
      <c r="K29" s="214" t="str">
        <f t="shared" si="39"/>
        <v>-</v>
      </c>
      <c r="L29" s="214" t="str">
        <f t="shared" si="39"/>
        <v>-</v>
      </c>
      <c r="M29" s="214" t="str">
        <f t="shared" si="39"/>
        <v>-</v>
      </c>
      <c r="N29" s="214" t="str">
        <f t="shared" si="39"/>
        <v>-</v>
      </c>
      <c r="O29" s="214" t="str">
        <f t="shared" si="39"/>
        <v>-</v>
      </c>
      <c r="P29" s="270" t="str">
        <f t="shared" si="39"/>
        <v>-</v>
      </c>
      <c r="Q29" s="214" t="str">
        <f t="shared" si="39"/>
        <v>-</v>
      </c>
      <c r="R29" s="214" t="str">
        <f t="shared" si="39"/>
        <v>-</v>
      </c>
      <c r="S29" s="214" t="str">
        <f t="shared" si="39"/>
        <v>-</v>
      </c>
      <c r="T29" s="214" t="str">
        <f t="shared" si="39"/>
        <v>-</v>
      </c>
      <c r="U29" s="214" t="str">
        <f t="shared" si="39"/>
        <v>-</v>
      </c>
      <c r="V29" s="214" t="str">
        <f t="shared" si="39"/>
        <v>-</v>
      </c>
      <c r="W29" s="214" t="str">
        <f t="shared" si="39"/>
        <v>-</v>
      </c>
      <c r="X29" s="214" t="str">
        <f t="shared" si="39"/>
        <v>-</v>
      </c>
      <c r="Y29" s="214" t="str">
        <f t="shared" si="39"/>
        <v>-</v>
      </c>
      <c r="Z29" s="214" t="str">
        <f t="shared" si="39"/>
        <v>-</v>
      </c>
      <c r="AA29" s="214">
        <f t="shared" si="39"/>
        <v>0.49000308998787245</v>
      </c>
      <c r="AB29" s="270">
        <f t="shared" si="39"/>
        <v>0.39645040127876774</v>
      </c>
      <c r="AC29" s="214">
        <f t="shared" si="39"/>
        <v>0.58914678936645326</v>
      </c>
      <c r="AD29" s="214">
        <f t="shared" si="39"/>
        <v>1.5645709520401381</v>
      </c>
      <c r="AE29" s="214">
        <f t="shared" si="39"/>
        <v>3.1323228110071941</v>
      </c>
      <c r="AF29" s="214">
        <f t="shared" si="39"/>
        <v>2.6280483562583159</v>
      </c>
      <c r="AG29" s="214">
        <f t="shared" si="39"/>
        <v>2.4335577218798994</v>
      </c>
      <c r="AH29" s="214">
        <f t="shared" si="39"/>
        <v>1.8269080095376431</v>
      </c>
      <c r="AI29" s="214">
        <f t="shared" si="39"/>
        <v>2.2012039371271852</v>
      </c>
      <c r="AJ29" s="214">
        <f t="shared" si="39"/>
        <v>1.841406683456317</v>
      </c>
      <c r="AK29" s="214">
        <f t="shared" si="39"/>
        <v>0.97942854887006026</v>
      </c>
      <c r="AL29" s="214">
        <f t="shared" si="39"/>
        <v>0.79488302463491056</v>
      </c>
      <c r="AM29" s="214">
        <f t="shared" si="39"/>
        <v>1.3838001808374649</v>
      </c>
      <c r="AN29" s="270">
        <f t="shared" si="39"/>
        <v>1.738459803324031</v>
      </c>
      <c r="AO29" s="274">
        <f t="shared" si="33"/>
        <v>0.49186676021103115</v>
      </c>
      <c r="AP29" s="275">
        <f t="shared" si="34"/>
        <v>0.49186676021103115</v>
      </c>
      <c r="AQ29" s="276">
        <f t="shared" ref="AQ29" si="40">IFERROR(IF(AQ27=0,"-",(AQ27/AQ28)-1),"-")</f>
        <v>1.7498444548559471</v>
      </c>
    </row>
    <row r="30" spans="1:43" ht="15.75" outlineLevel="1" x14ac:dyDescent="0.25">
      <c r="B30" t="str">
        <f t="shared" si="35"/>
        <v>PC Annual Direct</v>
      </c>
      <c r="C30" t="str">
        <f t="shared" si="36"/>
        <v>Boom Annual</v>
      </c>
      <c r="D30" s="208" t="s">
        <v>12</v>
      </c>
      <c r="E30" s="209">
        <f>IFERROR(E27/E24,0)</f>
        <v>0</v>
      </c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65"/>
      <c r="Q30" s="209"/>
      <c r="R30" s="209">
        <f t="shared" ref="R30:AP31" si="41">IFERROR(R27/R24,0)</f>
        <v>374.35676931235417</v>
      </c>
      <c r="S30" s="209">
        <f t="shared" si="41"/>
        <v>247.65328244735298</v>
      </c>
      <c r="T30" s="209">
        <f t="shared" si="41"/>
        <v>191.02699895720741</v>
      </c>
      <c r="U30" s="209">
        <f t="shared" si="41"/>
        <v>222.17492746055873</v>
      </c>
      <c r="V30" s="209">
        <f t="shared" si="41"/>
        <v>231.72825056707518</v>
      </c>
      <c r="W30" s="209">
        <f t="shared" si="41"/>
        <v>264.07439973117323</v>
      </c>
      <c r="X30" s="209">
        <f t="shared" si="41"/>
        <v>362.16604183905565</v>
      </c>
      <c r="Y30" s="209">
        <f t="shared" si="41"/>
        <v>403.8380577453924</v>
      </c>
      <c r="Z30" s="209">
        <f t="shared" si="41"/>
        <v>485.44328086012615</v>
      </c>
      <c r="AA30" s="209">
        <f t="shared" si="41"/>
        <v>609.52408409573195</v>
      </c>
      <c r="AB30" s="265">
        <f t="shared" si="41"/>
        <v>522.59934504964474</v>
      </c>
      <c r="AC30" s="209">
        <f t="shared" si="41"/>
        <v>611.39271097565722</v>
      </c>
      <c r="AD30" s="209">
        <f t="shared" si="41"/>
        <v>1268.2113272853353</v>
      </c>
      <c r="AE30" s="209">
        <f t="shared" si="41"/>
        <v>1658.2654589318158</v>
      </c>
      <c r="AF30" s="209">
        <f t="shared" si="41"/>
        <v>1470.8595515823026</v>
      </c>
      <c r="AG30" s="209">
        <f t="shared" si="41"/>
        <v>1378.9363589674613</v>
      </c>
      <c r="AH30" s="209">
        <f t="shared" si="41"/>
        <v>1263.9745336941915</v>
      </c>
      <c r="AI30" s="209">
        <f t="shared" si="41"/>
        <v>1075.2180971137573</v>
      </c>
      <c r="AJ30" s="209">
        <f t="shared" si="41"/>
        <v>2044.010307025502</v>
      </c>
      <c r="AK30" s="209">
        <f t="shared" si="41"/>
        <v>0</v>
      </c>
      <c r="AL30" s="209">
        <f t="shared" si="41"/>
        <v>0</v>
      </c>
      <c r="AM30" s="209">
        <f t="shared" si="41"/>
        <v>0</v>
      </c>
      <c r="AN30" s="265">
        <f t="shared" si="41"/>
        <v>0</v>
      </c>
      <c r="AO30" s="237">
        <f t="shared" si="41"/>
        <v>559.71238805480709</v>
      </c>
      <c r="AP30" s="209">
        <f t="shared" si="41"/>
        <v>352.68577884823588</v>
      </c>
      <c r="AQ30" s="238">
        <f>SUMIFS(AC30:AN30,AC$4:AN$4,"&lt;"&amp;'Title Sheet'!$C$13)</f>
        <v>10770.868345576024</v>
      </c>
    </row>
    <row r="31" spans="1:43" ht="15.75" hidden="1" outlineLevel="1" x14ac:dyDescent="0.25">
      <c r="B31" t="str">
        <f t="shared" si="35"/>
        <v>PC Annual Direct</v>
      </c>
      <c r="C31" t="str">
        <f t="shared" si="36"/>
        <v>Boom Annual</v>
      </c>
      <c r="D31" s="211" t="s">
        <v>13</v>
      </c>
      <c r="E31" s="31">
        <f>IFERROR(E28/E25,0)</f>
        <v>0</v>
      </c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266"/>
      <c r="Q31" s="31"/>
      <c r="R31" s="31">
        <f t="shared" si="41"/>
        <v>0</v>
      </c>
      <c r="S31" s="31">
        <f t="shared" si="41"/>
        <v>0</v>
      </c>
      <c r="T31" s="31">
        <f t="shared" si="41"/>
        <v>0</v>
      </c>
      <c r="U31" s="31">
        <f t="shared" si="41"/>
        <v>0</v>
      </c>
      <c r="V31" s="31">
        <f t="shared" si="41"/>
        <v>0</v>
      </c>
      <c r="W31" s="31">
        <f t="shared" si="41"/>
        <v>0</v>
      </c>
      <c r="X31" s="31">
        <f t="shared" si="41"/>
        <v>0</v>
      </c>
      <c r="Y31" s="31">
        <f t="shared" si="41"/>
        <v>0</v>
      </c>
      <c r="Z31" s="31">
        <f t="shared" si="41"/>
        <v>0</v>
      </c>
      <c r="AA31" s="31">
        <f t="shared" si="41"/>
        <v>1079.510683288258</v>
      </c>
      <c r="AB31" s="266">
        <f t="shared" si="41"/>
        <v>1141.9736170890237</v>
      </c>
      <c r="AC31" s="31">
        <f t="shared" si="41"/>
        <v>1020.9920064895846</v>
      </c>
      <c r="AD31" s="31">
        <f t="shared" si="41"/>
        <v>1103.7366864398034</v>
      </c>
      <c r="AE31" s="31">
        <f t="shared" si="41"/>
        <v>1150.8123058487083</v>
      </c>
      <c r="AF31" s="31">
        <f t="shared" si="41"/>
        <v>1190.9976618446992</v>
      </c>
      <c r="AG31" s="31">
        <f t="shared" si="41"/>
        <v>1207.8192438307094</v>
      </c>
      <c r="AH31" s="31">
        <f t="shared" si="41"/>
        <v>1202.675541936135</v>
      </c>
      <c r="AI31" s="31">
        <f t="shared" si="41"/>
        <v>937.7600119478036</v>
      </c>
      <c r="AJ31" s="31">
        <f t="shared" si="41"/>
        <v>942.81090802039057</v>
      </c>
      <c r="AK31" s="31">
        <f t="shared" si="41"/>
        <v>932.20743023828948</v>
      </c>
      <c r="AL31" s="31">
        <f t="shared" si="41"/>
        <v>984.06696167791745</v>
      </c>
      <c r="AM31" s="31">
        <f t="shared" si="41"/>
        <v>971.48917552364753</v>
      </c>
      <c r="AN31" s="266">
        <f t="shared" si="41"/>
        <v>970.91400623368202</v>
      </c>
      <c r="AO31" s="239">
        <f t="shared" si="41"/>
        <v>1076.7880846593339</v>
      </c>
      <c r="AP31" s="31">
        <f t="shared" si="41"/>
        <v>1076.7880846593339</v>
      </c>
      <c r="AQ31" s="240">
        <f>SUMIFS(AC31:AN31,AC$4:AN$4,"&lt;"&amp;'Title Sheet'!$C$13)</f>
        <v>12616.281940031373</v>
      </c>
    </row>
    <row r="32" spans="1:43" ht="15.75" hidden="1" outlineLevel="1" x14ac:dyDescent="0.25">
      <c r="B32" t="str">
        <f t="shared" si="35"/>
        <v>PC Annual Direct</v>
      </c>
      <c r="C32" t="str">
        <f t="shared" si="36"/>
        <v>Boom Annual</v>
      </c>
      <c r="D32" s="213" t="s">
        <v>0</v>
      </c>
      <c r="E32" s="214" t="str">
        <f t="shared" ref="E32:AN32" si="42">IFERROR(IF(E30=0,"-",(E30/E31)-1),"-")</f>
        <v>-</v>
      </c>
      <c r="F32" s="214" t="str">
        <f t="shared" si="42"/>
        <v>-</v>
      </c>
      <c r="G32" s="214" t="str">
        <f t="shared" si="42"/>
        <v>-</v>
      </c>
      <c r="H32" s="214" t="str">
        <f t="shared" si="42"/>
        <v>-</v>
      </c>
      <c r="I32" s="214" t="str">
        <f t="shared" si="42"/>
        <v>-</v>
      </c>
      <c r="J32" s="214" t="str">
        <f t="shared" si="42"/>
        <v>-</v>
      </c>
      <c r="K32" s="214" t="str">
        <f t="shared" si="42"/>
        <v>-</v>
      </c>
      <c r="L32" s="214" t="str">
        <f t="shared" si="42"/>
        <v>-</v>
      </c>
      <c r="M32" s="214" t="str">
        <f t="shared" si="42"/>
        <v>-</v>
      </c>
      <c r="N32" s="214" t="str">
        <f t="shared" si="42"/>
        <v>-</v>
      </c>
      <c r="O32" s="214" t="str">
        <f t="shared" si="42"/>
        <v>-</v>
      </c>
      <c r="P32" s="270" t="str">
        <f t="shared" si="42"/>
        <v>-</v>
      </c>
      <c r="Q32" s="214" t="str">
        <f t="shared" si="42"/>
        <v>-</v>
      </c>
      <c r="R32" s="214" t="str">
        <f t="shared" si="42"/>
        <v>-</v>
      </c>
      <c r="S32" s="214" t="str">
        <f t="shared" si="42"/>
        <v>-</v>
      </c>
      <c r="T32" s="214" t="str">
        <f t="shared" si="42"/>
        <v>-</v>
      </c>
      <c r="U32" s="214" t="str">
        <f t="shared" si="42"/>
        <v>-</v>
      </c>
      <c r="V32" s="214" t="str">
        <f t="shared" si="42"/>
        <v>-</v>
      </c>
      <c r="W32" s="214" t="str">
        <f t="shared" si="42"/>
        <v>-</v>
      </c>
      <c r="X32" s="214" t="str">
        <f t="shared" si="42"/>
        <v>-</v>
      </c>
      <c r="Y32" s="214" t="str">
        <f t="shared" si="42"/>
        <v>-</v>
      </c>
      <c r="Z32" s="214" t="str">
        <f t="shared" si="42"/>
        <v>-</v>
      </c>
      <c r="AA32" s="214">
        <f t="shared" si="42"/>
        <v>-0.43537003057803658</v>
      </c>
      <c r="AB32" s="270">
        <f t="shared" si="42"/>
        <v>-0.54237178755338533</v>
      </c>
      <c r="AC32" s="214">
        <f t="shared" si="42"/>
        <v>-0.40117776917982739</v>
      </c>
      <c r="AD32" s="214">
        <f t="shared" si="42"/>
        <v>0.14901619459262405</v>
      </c>
      <c r="AE32" s="214">
        <f t="shared" si="42"/>
        <v>0.44095214354600398</v>
      </c>
      <c r="AF32" s="214">
        <f t="shared" si="42"/>
        <v>0.23498105722905782</v>
      </c>
      <c r="AG32" s="214">
        <f t="shared" si="42"/>
        <v>0.14167444012072394</v>
      </c>
      <c r="AH32" s="214">
        <f t="shared" si="42"/>
        <v>5.0968852047472257E-2</v>
      </c>
      <c r="AI32" s="214">
        <f t="shared" si="42"/>
        <v>0.14658130376069467</v>
      </c>
      <c r="AJ32" s="214">
        <f t="shared" si="42"/>
        <v>1.1679960314813154</v>
      </c>
      <c r="AK32" s="214" t="str">
        <f t="shared" si="42"/>
        <v>-</v>
      </c>
      <c r="AL32" s="214" t="str">
        <f t="shared" si="42"/>
        <v>-</v>
      </c>
      <c r="AM32" s="214" t="str">
        <f t="shared" si="42"/>
        <v>-</v>
      </c>
      <c r="AN32" s="270" t="str">
        <f t="shared" si="42"/>
        <v>-</v>
      </c>
      <c r="AO32" s="274">
        <f t="shared" ref="AO32:AP32" si="43">AO30-AO31</f>
        <v>-517.0756966045268</v>
      </c>
      <c r="AP32" s="275">
        <f t="shared" si="43"/>
        <v>-724.10230581109795</v>
      </c>
      <c r="AQ32" s="276">
        <f t="shared" ref="AQ32" si="44">IFERROR(IF(AQ30=0,"-",(AQ30/AQ31)-1),"-")</f>
        <v>-0.14627238066072901</v>
      </c>
    </row>
    <row r="33" spans="1:43" outlineLevel="1" x14ac:dyDescent="0.25">
      <c r="B33" t="str">
        <f t="shared" si="35"/>
        <v>PC Annual Direct</v>
      </c>
      <c r="C33" t="str">
        <f t="shared" si="36"/>
        <v>Boom Annual</v>
      </c>
      <c r="D33" s="258" t="s">
        <v>17</v>
      </c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67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267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67"/>
      <c r="AO33" s="277"/>
      <c r="AP33" s="277"/>
      <c r="AQ33" s="278">
        <f>SUMIFS(AC33:AN33,AC$4:AN$4,"&lt;"&amp;'Title Sheet'!$C$13)</f>
        <v>0</v>
      </c>
    </row>
    <row r="34" spans="1:43" ht="15.75" outlineLevel="1" x14ac:dyDescent="0.25">
      <c r="A34">
        <v>4</v>
      </c>
      <c r="B34" t="str">
        <f t="shared" si="35"/>
        <v>PC Annual Direct</v>
      </c>
      <c r="C34" t="str">
        <f t="shared" si="36"/>
        <v>Boom Annual</v>
      </c>
      <c r="D34" s="208" t="s">
        <v>7</v>
      </c>
      <c r="E34" s="282" t="e">
        <f>'Current - Sales, NWP, GWP'!E35/VLOOKUP(COUNTA(E$4:$AC$4),'Dev Patterns'!$B$6:$F$22,$A34,0)</f>
        <v>#N/A</v>
      </c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4"/>
      <c r="Q34" s="282"/>
      <c r="R34" s="283">
        <f>'Current - Sales, NWP, GWP'!R35/VLOOKUP(COUNTA(R$4:$AC$4),'Dev Patterns'!$B$6:$F$22,$A34,0)</f>
        <v>4077818.2905400903</v>
      </c>
      <c r="S34" s="283">
        <f>'Current - Sales, NWP, GWP'!S35/VLOOKUP(COUNTA(S$4:$AC$4),'Dev Patterns'!$B$6:$F$22,$A34,0)</f>
        <v>6455397.6520378767</v>
      </c>
      <c r="T34" s="283">
        <f>'Current - Sales, NWP, GWP'!T35/VLOOKUP(COUNTA(T$4:$AC$4),'Dev Patterns'!$B$6:$F$22,$A34,0)</f>
        <v>5777451.5893045105</v>
      </c>
      <c r="U34" s="283">
        <f>'Current - Sales, NWP, GWP'!U35/VLOOKUP(COUNTA(U$4:$AC$4),'Dev Patterns'!$B$6:$F$22,$A34,0)</f>
        <v>5497589.9125103271</v>
      </c>
      <c r="V34" s="283">
        <f>'Current - Sales, NWP, GWP'!V35/VLOOKUP(COUNTA(V$4:$AC$4),'Dev Patterns'!$B$6:$F$22,$A34,0)</f>
        <v>4572161.06070418</v>
      </c>
      <c r="W34" s="283">
        <f>'Current - Sales, NWP, GWP'!W35/VLOOKUP(COUNTA(W$4:$AC$4),'Dev Patterns'!$B$6:$F$22,$A34,0)</f>
        <v>3805953.9333692277</v>
      </c>
      <c r="X34" s="283">
        <f>'Current - Sales, NWP, GWP'!X35/VLOOKUP(COUNTA(X$4:$AC$4),'Dev Patterns'!$B$6:$F$22,$A34,0)</f>
        <v>3318140.8844342213</v>
      </c>
      <c r="Y34" s="283">
        <f>'Current - Sales, NWP, GWP'!Y35/VLOOKUP(COUNTA(Y$4:$AC$4),'Dev Patterns'!$B$6:$F$22,$A34,0)</f>
        <v>3141375.2241607821</v>
      </c>
      <c r="Z34" s="283">
        <f>'Current - Sales, NWP, GWP'!Z35/VLOOKUP(COUNTA(Z$4:$AC$4),'Dev Patterns'!$B$6:$F$22,$A34,0)</f>
        <v>3083948.2678962112</v>
      </c>
      <c r="AA34" s="283">
        <f>'Current - Sales, NWP, GWP'!AA35/VLOOKUP(COUNTA(AA$4:$AC$4),'Dev Patterns'!$B$6:$F$22,$A34,0)</f>
        <v>3494388.3346317201</v>
      </c>
      <c r="AB34" s="284">
        <f>'Current - Sales, NWP, GWP'!AB35/VLOOKUP(COUNTA(AB$4:$AC$4),'Dev Patterns'!$B$6:$F$22,$A34,0)</f>
        <v>3601768.2462423509</v>
      </c>
      <c r="AC34" s="282">
        <f>'Current - Sales, NWP, GWP'!AC35/VLOOKUP(COUNTA(AC$4:$AC$4),'Dev Patterns'!$B$6:$F$22,$A34,0)</f>
        <v>3702259.6980774659</v>
      </c>
      <c r="AD34" s="283">
        <f>'Current - Sales, NWP, GWP'!AD35/VLOOKUP(COUNTA($AC$4:AD$4),'Dev Patterns'!$B$6:$F$22,$A34,0)</f>
        <v>3068873.0073799109</v>
      </c>
      <c r="AE34" s="283">
        <f>'Current - Sales, NWP, GWP'!AE35/VLOOKUP(COUNTA($AC$4:AE$4),'Dev Patterns'!$B$6:$F$22,$A34,0)</f>
        <v>3907814.5093155364</v>
      </c>
      <c r="AF34" s="283">
        <f>'Current - Sales, NWP, GWP'!AF35/VLOOKUP(COUNTA($AC$4:AF$4),'Dev Patterns'!$B$6:$F$22,$A34,0)</f>
        <v>3802373.739826418</v>
      </c>
      <c r="AG34" s="283">
        <f>'Current - Sales, NWP, GWP'!AG35/VLOOKUP(COUNTA($AC$4:AG$4),'Dev Patterns'!$B$6:$F$22,$A34,0)</f>
        <v>3940669.324243865</v>
      </c>
      <c r="AH34" s="283">
        <f>'Current - Sales, NWP, GWP'!AH35/VLOOKUP(COUNTA($AC$4:AH$4),'Dev Patterns'!$B$6:$F$22,$A34,0)</f>
        <v>3590660.8282440053</v>
      </c>
      <c r="AI34" s="283">
        <f>'Current - Sales, NWP, GWP'!AI35/VLOOKUP(COUNTA($AC$4:AI$4),'Dev Patterns'!$B$6:$F$22,$A34,0)</f>
        <v>3634569.8719625878</v>
      </c>
      <c r="AJ34" s="283">
        <f>'Current - Sales, NWP, GWP'!AJ35/VLOOKUP(COUNTA($AC$4:AJ$4),'Dev Patterns'!$B$6:$F$22,$A34,0)</f>
        <v>1767853.3504476703</v>
      </c>
      <c r="AK34" s="283">
        <f>'Current - Sales, NWP, GWP'!AK35/VLOOKUP(COUNTA($AC$4:AK$4),'Dev Patterns'!$B$6:$F$22,$A34,0)</f>
        <v>0</v>
      </c>
      <c r="AL34" s="283">
        <f>'Current - Sales, NWP, GWP'!AL35/VLOOKUP(COUNTA($AC$4:AL$4),'Dev Patterns'!$B$6:$F$22,$A34,0)</f>
        <v>0</v>
      </c>
      <c r="AM34" s="283">
        <f>'Current - Sales, NWP, GWP'!AM35/VLOOKUP(COUNTA($AC$4:AM$4),'Dev Patterns'!$B$6:$F$22,$A34,0)</f>
        <v>0</v>
      </c>
      <c r="AN34" s="284">
        <f>'Current - Sales, NWP, GWP'!AN35/VLOOKUP(COUNTA($AC$4:AN$4),'Dev Patterns'!$B$6:$F$22,$A34,0)</f>
        <v>0</v>
      </c>
      <c r="AO34" s="237">
        <f t="shared" ref="AO34" si="45">AVERAGE(Z34:AC34)</f>
        <v>3470591.1367119374</v>
      </c>
      <c r="AP34" s="209">
        <f>AVERAGE(R34:AC34)</f>
        <v>4210687.7578257462</v>
      </c>
      <c r="AQ34" s="238">
        <f>SUMIFS(AC34:AN34,AC$4:AN$4,"&lt;"&amp;'Title Sheet'!$C$13)</f>
        <v>27415074.32949746</v>
      </c>
    </row>
    <row r="35" spans="1:43" ht="16.5" outlineLevel="1" thickBot="1" x14ac:dyDescent="0.3">
      <c r="B35" t="str">
        <f t="shared" si="35"/>
        <v>PC Annual Direct</v>
      </c>
      <c r="C35" t="str">
        <f t="shared" si="36"/>
        <v>Boom Annual</v>
      </c>
      <c r="D35" s="226" t="s">
        <v>21</v>
      </c>
      <c r="E35" s="269">
        <f t="shared" ref="E35:AP35" si="46">E27/E$8</f>
        <v>1</v>
      </c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81"/>
      <c r="Q35" s="269"/>
      <c r="R35" s="269">
        <f t="shared" si="46"/>
        <v>0.4983899633779274</v>
      </c>
      <c r="S35" s="269">
        <f t="shared" si="46"/>
        <v>0.49388111352146519</v>
      </c>
      <c r="T35" s="269">
        <f t="shared" si="46"/>
        <v>0.4339412290723636</v>
      </c>
      <c r="U35" s="269">
        <f t="shared" si="46"/>
        <v>0.4375533943374495</v>
      </c>
      <c r="V35" s="269">
        <f t="shared" si="46"/>
        <v>0.41636102761857968</v>
      </c>
      <c r="W35" s="269">
        <f t="shared" si="46"/>
        <v>0.37451271124000352</v>
      </c>
      <c r="X35" s="269">
        <f t="shared" si="46"/>
        <v>0.39686276067488385</v>
      </c>
      <c r="Y35" s="269">
        <f t="shared" si="46"/>
        <v>0.40137847334511068</v>
      </c>
      <c r="Z35" s="269">
        <f t="shared" si="46"/>
        <v>0.41160112558287776</v>
      </c>
      <c r="AA35" s="269">
        <f t="shared" si="46"/>
        <v>0.46994323636596291</v>
      </c>
      <c r="AB35" s="281">
        <f t="shared" si="46"/>
        <v>0.42287432042440887</v>
      </c>
      <c r="AC35" s="269">
        <f t="shared" si="46"/>
        <v>0.51358895840045915</v>
      </c>
      <c r="AD35" s="269">
        <f t="shared" si="46"/>
        <v>0.67679262513619243</v>
      </c>
      <c r="AE35" s="269">
        <f t="shared" si="46"/>
        <v>0.77485072053733373</v>
      </c>
      <c r="AF35" s="269">
        <f t="shared" si="46"/>
        <v>0.78746985042589501</v>
      </c>
      <c r="AG35" s="269">
        <f t="shared" si="46"/>
        <v>0.78946440757110314</v>
      </c>
      <c r="AH35" s="269">
        <f t="shared" si="46"/>
        <v>0.78670939788730743</v>
      </c>
      <c r="AI35" s="269">
        <f t="shared" si="46"/>
        <v>0.7690402760586269</v>
      </c>
      <c r="AJ35" s="269">
        <f t="shared" si="46"/>
        <v>0.77340092161194762</v>
      </c>
      <c r="AK35" s="269">
        <f t="shared" si="46"/>
        <v>0.80347773872720185</v>
      </c>
      <c r="AL35" s="269">
        <f t="shared" si="46"/>
        <v>0.83309781303514241</v>
      </c>
      <c r="AM35" s="269">
        <f t="shared" si="46"/>
        <v>0.90446130410964076</v>
      </c>
      <c r="AN35" s="281">
        <f t="shared" si="46"/>
        <v>0.94593939635500557</v>
      </c>
      <c r="AO35" s="279">
        <f t="shared" si="46"/>
        <v>0.45658557060241894</v>
      </c>
      <c r="AP35" s="269">
        <f t="shared" si="46"/>
        <v>0.44144830410313757</v>
      </c>
      <c r="AQ35" s="280" t="str">
        <f t="shared" ref="AQ35" si="47">IFERROR(IF(AQ33=0,"-",(AQ33/AQ34)-1),"-")</f>
        <v>-</v>
      </c>
    </row>
    <row r="36" spans="1:43" ht="15.75" outlineLevel="1" x14ac:dyDescent="0.25">
      <c r="D36" s="46"/>
      <c r="E36" s="325"/>
      <c r="F36" s="325"/>
      <c r="G36" s="325"/>
      <c r="H36" s="325"/>
      <c r="I36" s="325"/>
      <c r="J36" s="325"/>
      <c r="K36" s="325"/>
      <c r="L36" s="325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5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</row>
    <row r="37" spans="1:43" ht="16.5" outlineLevel="1" thickBot="1" x14ac:dyDescent="0.3">
      <c r="D37" s="46"/>
      <c r="E37" s="325"/>
      <c r="F37" s="325"/>
      <c r="G37" s="325"/>
      <c r="H37" s="325"/>
      <c r="I37" s="325"/>
      <c r="J37" s="325"/>
      <c r="K37" s="325"/>
      <c r="L37" s="325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</row>
    <row r="38" spans="1:43" ht="18.75" outlineLevel="1" x14ac:dyDescent="0.25">
      <c r="D38" s="309" t="s">
        <v>350</v>
      </c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63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63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63"/>
      <c r="AO38" s="202"/>
      <c r="AP38" s="202"/>
      <c r="AQ38" s="233"/>
    </row>
    <row r="39" spans="1:43" outlineLevel="1" x14ac:dyDescent="0.25">
      <c r="D39" s="204"/>
      <c r="E39" s="200" t="s">
        <v>237</v>
      </c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64"/>
      <c r="Q39" s="200"/>
      <c r="R39" s="200"/>
      <c r="S39" s="200"/>
      <c r="T39" s="200"/>
      <c r="U39" s="200"/>
      <c r="V39" s="200"/>
      <c r="W39" s="200"/>
      <c r="X39" s="200"/>
      <c r="Y39" s="200"/>
      <c r="Z39" s="200"/>
      <c r="AA39" s="200"/>
      <c r="AB39" s="264"/>
      <c r="AC39" s="200"/>
      <c r="AD39" s="200"/>
      <c r="AE39" s="200"/>
      <c r="AF39" s="200"/>
      <c r="AG39" s="200"/>
      <c r="AH39" s="200"/>
      <c r="AI39" s="200"/>
      <c r="AJ39" s="200"/>
      <c r="AK39" s="200"/>
      <c r="AL39" s="200"/>
      <c r="AM39" s="200"/>
      <c r="AN39" s="264"/>
      <c r="AO39" s="510" t="s">
        <v>8</v>
      </c>
      <c r="AP39" s="511"/>
      <c r="AQ39" s="512"/>
    </row>
    <row r="40" spans="1:43" outlineLevel="1" x14ac:dyDescent="0.25">
      <c r="D40" s="256" t="s">
        <v>16</v>
      </c>
      <c r="E40" s="285">
        <f t="shared" ref="E40:AN40" si="48">E$4</f>
        <v>44562</v>
      </c>
      <c r="F40" s="285">
        <f t="shared" si="48"/>
        <v>44593</v>
      </c>
      <c r="G40" s="285">
        <f t="shared" si="48"/>
        <v>44621</v>
      </c>
      <c r="H40" s="285">
        <f t="shared" si="48"/>
        <v>44652</v>
      </c>
      <c r="I40" s="285">
        <f t="shared" si="48"/>
        <v>44682</v>
      </c>
      <c r="J40" s="285">
        <f t="shared" si="48"/>
        <v>44713</v>
      </c>
      <c r="K40" s="285">
        <f t="shared" si="48"/>
        <v>44743</v>
      </c>
      <c r="L40" s="285">
        <f t="shared" si="48"/>
        <v>44774</v>
      </c>
      <c r="M40" s="285">
        <f t="shared" si="48"/>
        <v>44805</v>
      </c>
      <c r="N40" s="285">
        <f t="shared" si="48"/>
        <v>44835</v>
      </c>
      <c r="O40" s="285">
        <f t="shared" si="48"/>
        <v>44866</v>
      </c>
      <c r="P40" s="286">
        <f t="shared" si="48"/>
        <v>44896</v>
      </c>
      <c r="Q40" s="285">
        <f t="shared" si="48"/>
        <v>44927</v>
      </c>
      <c r="R40" s="285">
        <f t="shared" si="48"/>
        <v>44958</v>
      </c>
      <c r="S40" s="285">
        <f t="shared" si="48"/>
        <v>44986</v>
      </c>
      <c r="T40" s="285">
        <f t="shared" si="48"/>
        <v>45017</v>
      </c>
      <c r="U40" s="285">
        <f t="shared" si="48"/>
        <v>45047</v>
      </c>
      <c r="V40" s="285">
        <f t="shared" si="48"/>
        <v>45078</v>
      </c>
      <c r="W40" s="285">
        <f t="shared" si="48"/>
        <v>45108</v>
      </c>
      <c r="X40" s="285">
        <f t="shared" si="48"/>
        <v>45139</v>
      </c>
      <c r="Y40" s="285">
        <f t="shared" si="48"/>
        <v>45170</v>
      </c>
      <c r="Z40" s="285">
        <f t="shared" si="48"/>
        <v>45200</v>
      </c>
      <c r="AA40" s="285">
        <f t="shared" si="48"/>
        <v>45231</v>
      </c>
      <c r="AB40" s="286">
        <f t="shared" si="48"/>
        <v>45261</v>
      </c>
      <c r="AC40" s="285">
        <f t="shared" si="48"/>
        <v>45292</v>
      </c>
      <c r="AD40" s="285">
        <f t="shared" si="48"/>
        <v>45323</v>
      </c>
      <c r="AE40" s="285">
        <f t="shared" si="48"/>
        <v>45352</v>
      </c>
      <c r="AF40" s="285">
        <f t="shared" si="48"/>
        <v>45383</v>
      </c>
      <c r="AG40" s="285">
        <f t="shared" si="48"/>
        <v>45413</v>
      </c>
      <c r="AH40" s="285">
        <f t="shared" si="48"/>
        <v>45444</v>
      </c>
      <c r="AI40" s="285">
        <f t="shared" si="48"/>
        <v>45474</v>
      </c>
      <c r="AJ40" s="285">
        <f t="shared" si="48"/>
        <v>45505</v>
      </c>
      <c r="AK40" s="285">
        <f t="shared" si="48"/>
        <v>45536</v>
      </c>
      <c r="AL40" s="285">
        <f t="shared" si="48"/>
        <v>45566</v>
      </c>
      <c r="AM40" s="285">
        <f t="shared" si="48"/>
        <v>45597</v>
      </c>
      <c r="AN40" s="286">
        <f t="shared" si="48"/>
        <v>45627</v>
      </c>
      <c r="AO40" s="271">
        <f>AO21</f>
        <v>0</v>
      </c>
      <c r="AP40" s="272">
        <f>AP21</f>
        <v>0</v>
      </c>
      <c r="AQ40" s="273" t="s">
        <v>346</v>
      </c>
    </row>
    <row r="41" spans="1:43" ht="15.75" outlineLevel="1" x14ac:dyDescent="0.25">
      <c r="A41">
        <v>5</v>
      </c>
      <c r="B41" t="str">
        <f>$D$2</f>
        <v>PC Annual Direct</v>
      </c>
      <c r="C41" t="s">
        <v>72</v>
      </c>
      <c r="D41" s="208" t="s">
        <v>316</v>
      </c>
      <c r="E41" s="209" t="e">
        <f>'Current - Sales, NWP, GWP'!E42/VLOOKUP(COUNTA(E$4:$AC$4),'Dev Patterns'!$B$6:$F$22,$A41,0)</f>
        <v>#N/A</v>
      </c>
      <c r="F41" s="209"/>
      <c r="G41" s="209"/>
      <c r="H41" s="209"/>
      <c r="I41" s="209"/>
      <c r="J41" s="209"/>
      <c r="K41" s="209"/>
      <c r="L41" s="209"/>
      <c r="M41" s="209"/>
      <c r="N41" s="209"/>
      <c r="O41" s="209"/>
      <c r="P41" s="265"/>
      <c r="Q41" s="209"/>
      <c r="R41" s="209">
        <f>'Current - Sales, NWP, GWP'!R42/VLOOKUP(COUNTA(R$4:$AC$4),'Dev Patterns'!$B$6:$F$22,$A41,0)</f>
        <v>1488.7917120180659</v>
      </c>
      <c r="S41" s="209">
        <f>'Current - Sales, NWP, GWP'!S42/VLOOKUP(COUNTA(S$4:$AC$4),'Dev Patterns'!$B$6:$F$22,$A41,0)</f>
        <v>1841.350159635369</v>
      </c>
      <c r="T41" s="209">
        <f>'Current - Sales, NWP, GWP'!T42/VLOOKUP(COUNTA(T$4:$AC$4),'Dev Patterns'!$B$6:$F$22,$A41,0)</f>
        <v>1753.6202608394594</v>
      </c>
      <c r="U41" s="209">
        <f>'Current - Sales, NWP, GWP'!U42/VLOOKUP(COUNTA(U$4:$AC$4),'Dev Patterns'!$B$6:$F$22,$A41,0)</f>
        <v>1859.2349928338151</v>
      </c>
      <c r="V41" s="209">
        <f>'Current - Sales, NWP, GWP'!V42/VLOOKUP(COUNTA(V$4:$AC$4),'Dev Patterns'!$B$6:$F$22,$A41,0)</f>
        <v>1518.3628858822276</v>
      </c>
      <c r="W41" s="209">
        <f>'Current - Sales, NWP, GWP'!W42/VLOOKUP(COUNTA(W$4:$AC$4),'Dev Patterns'!$B$6:$F$22,$A41,0)</f>
        <v>1227.8293887119908</v>
      </c>
      <c r="X41" s="209">
        <f>'Current - Sales, NWP, GWP'!X42/VLOOKUP(COUNTA(X$4:$AC$4),'Dev Patterns'!$B$6:$F$22,$A41,0)</f>
        <v>1053.2516215373466</v>
      </c>
      <c r="Y41" s="209">
        <f>'Current - Sales, NWP, GWP'!Y42/VLOOKUP(COUNTA(Y$4:$AC$4),'Dev Patterns'!$B$6:$F$22,$A41,0)</f>
        <v>966.27754935873747</v>
      </c>
      <c r="Z41" s="209">
        <f>'Current - Sales, NWP, GWP'!Z42/VLOOKUP(COUNTA(Z$4:$AC$4),'Dev Patterns'!$B$6:$F$22,$A41,0)</f>
        <v>968.47479262573722</v>
      </c>
      <c r="AA41" s="209">
        <f>'Current - Sales, NWP, GWP'!AA42/VLOOKUP(COUNTA(AA$4:$AC$4),'Dev Patterns'!$B$6:$F$22,$A41,0)</f>
        <v>1058.0360744857287</v>
      </c>
      <c r="AB41" s="265">
        <f>'Current - Sales, NWP, GWP'!AB42/VLOOKUP(COUNTA(AB$4:$AC$4),'Dev Patterns'!$B$6:$F$22,$A41,0)</f>
        <v>975.47655195901484</v>
      </c>
      <c r="AC41" s="209">
        <f>'Current - Sales, NWP, GWP'!AC42/VLOOKUP(COUNTA(AC$4:$AC$4),'Dev Patterns'!$B$6:$F$22,$A41,0)</f>
        <v>880.95241759729788</v>
      </c>
      <c r="AD41" s="209">
        <f>'Current - Sales, NWP, GWP'!AD42/VLOOKUP(COUNTA($AC$4:AD$4),'Dev Patterns'!$B$6:$F$22,$A41,0)</f>
        <v>683.36465160980094</v>
      </c>
      <c r="AE41" s="209">
        <f>'Current - Sales, NWP, GWP'!AE42/VLOOKUP(COUNTA($AC$4:AE$4),'Dev Patterns'!$B$6:$F$22,$A41,0)</f>
        <v>765.52191954049647</v>
      </c>
      <c r="AF41" s="209">
        <f>'Current - Sales, NWP, GWP'!AF42/VLOOKUP(COUNTA($AC$4:AF$4),'Dev Patterns'!$B$6:$F$22,$A41,0)</f>
        <v>758.81524955580028</v>
      </c>
      <c r="AG41" s="209">
        <f>'Current - Sales, NWP, GWP'!AG42/VLOOKUP(COUNTA($AC$4:AG$4),'Dev Patterns'!$B$6:$F$22,$A41,0)</f>
        <v>839.59015603398223</v>
      </c>
      <c r="AH41" s="209">
        <f>'Current - Sales, NWP, GWP'!AH42/VLOOKUP(COUNTA($AC$4:AH$4),'Dev Patterns'!$B$6:$F$22,$A41,0)</f>
        <v>697.16869487910515</v>
      </c>
      <c r="AI41" s="209">
        <f>'Current - Sales, NWP, GWP'!AI42/VLOOKUP(COUNTA($AC$4:AI$4),'Dev Patterns'!$B$6:$F$22,$A41,0)</f>
        <v>698.49754705585326</v>
      </c>
      <c r="AJ41" s="209">
        <f>'Current - Sales, NWP, GWP'!AJ42/VLOOKUP(COUNTA($AC$4:AJ$4),'Dev Patterns'!$B$6:$F$22,$A41,0)</f>
        <v>324.28900812283695</v>
      </c>
      <c r="AK41" s="209">
        <f>'Current - Sales, NWP, GWP'!AK42/VLOOKUP(COUNTA($AC$4:AK$4),'Dev Patterns'!$B$6:$F$22,$A41,0)</f>
        <v>0</v>
      </c>
      <c r="AL41" s="209">
        <f>'Current - Sales, NWP, GWP'!AL42/VLOOKUP(COUNTA($AC$4:AL$4),'Dev Patterns'!$B$6:$F$22,$A41,0)</f>
        <v>0</v>
      </c>
      <c r="AM41" s="209">
        <f>'Current - Sales, NWP, GWP'!AM42/VLOOKUP(COUNTA($AC$4:AM$4),'Dev Patterns'!$B$6:$F$22,$A41,0)</f>
        <v>0</v>
      </c>
      <c r="AN41" s="265">
        <f>'Current - Sales, NWP, GWP'!AN42/VLOOKUP(COUNTA($AC$4:AN$4),'Dev Patterns'!$B$6:$F$22,$A41,0)</f>
        <v>0</v>
      </c>
      <c r="AO41" s="237">
        <f t="shared" ref="AO41:AO46" si="49">AVERAGE(Z41:AC41)</f>
        <v>970.73495916694458</v>
      </c>
      <c r="AP41" s="209">
        <f>AVERAGE(R41:AC41)</f>
        <v>1299.3048672903992</v>
      </c>
      <c r="AQ41" s="238">
        <f>SUMIFS(AC41:AN41,AC$4:AN$4,"&lt;"&amp;'Title Sheet'!$C$13)</f>
        <v>5648.199644395173</v>
      </c>
    </row>
    <row r="42" spans="1:43" ht="15.75" hidden="1" outlineLevel="1" x14ac:dyDescent="0.25">
      <c r="B42" t="str">
        <f>$D$21&amp;"_W VYRs"</f>
        <v>PC Annual Direct - Annual_W VYRs</v>
      </c>
      <c r="C42" t="str">
        <f>$C41</f>
        <v>Boom Annual</v>
      </c>
      <c r="D42" s="211" t="s">
        <v>317</v>
      </c>
      <c r="E42" s="31" t="e">
        <f>INDEX('Plan Figures'!$B$5:$AP$31,MATCH('Ultimate - MGA and MPM'!E$4,'Plan Figures'!$B$5:$B$31,0),MATCH('Ultimate - MGA and MPM'!$B42,'Plan Figures'!$B$1:$AP$1,0))</f>
        <v>#N/A</v>
      </c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6"/>
      <c r="Q42" s="31"/>
      <c r="R42" s="31" t="str">
        <f>INDEX('Plan Figures'!$B$5:$AP$31,MATCH('Ultimate - MGA and MPM'!R$4,'Plan Figures'!$B$5:$B$31,0),MATCH('Ultimate - MGA and MPM'!$B42,'Plan Figures'!$B$1:$AP$1,0))</f>
        <v>-</v>
      </c>
      <c r="S42" s="31" t="str">
        <f>INDEX('Plan Figures'!$B$5:$AP$31,MATCH('Ultimate - MGA and MPM'!S$4,'Plan Figures'!$B$5:$B$31,0),MATCH('Ultimate - MGA and MPM'!$B42,'Plan Figures'!$B$1:$AP$1,0))</f>
        <v>-</v>
      </c>
      <c r="T42" s="31" t="str">
        <f>INDEX('Plan Figures'!$B$5:$AP$31,MATCH('Ultimate - MGA and MPM'!T$4,'Plan Figures'!$B$5:$B$31,0),MATCH('Ultimate - MGA and MPM'!$B42,'Plan Figures'!$B$1:$AP$1,0))</f>
        <v>-</v>
      </c>
      <c r="U42" s="31" t="str">
        <f>INDEX('Plan Figures'!$B$5:$AP$31,MATCH('Ultimate - MGA and MPM'!U$4,'Plan Figures'!$B$5:$B$31,0),MATCH('Ultimate - MGA and MPM'!$B42,'Plan Figures'!$B$1:$AP$1,0))</f>
        <v>-</v>
      </c>
      <c r="V42" s="31" t="str">
        <f>INDEX('Plan Figures'!$B$5:$AP$31,MATCH('Ultimate - MGA and MPM'!V$4,'Plan Figures'!$B$5:$B$31,0),MATCH('Ultimate - MGA and MPM'!$B42,'Plan Figures'!$B$1:$AP$1,0))</f>
        <v>-</v>
      </c>
      <c r="W42" s="31" t="str">
        <f>INDEX('Plan Figures'!$B$5:$AP$31,MATCH('Ultimate - MGA and MPM'!W$4,'Plan Figures'!$B$5:$B$31,0),MATCH('Ultimate - MGA and MPM'!$B42,'Plan Figures'!$B$1:$AP$1,0))</f>
        <v>-</v>
      </c>
      <c r="X42" s="31" t="str">
        <f>INDEX('Plan Figures'!$B$5:$AP$31,MATCH('Ultimate - MGA and MPM'!X$4,'Plan Figures'!$B$5:$B$31,0),MATCH('Ultimate - MGA and MPM'!$B42,'Plan Figures'!$B$1:$AP$1,0))</f>
        <v>-</v>
      </c>
      <c r="Y42" s="31" t="str">
        <f>INDEX('Plan Figures'!$B$5:$AP$31,MATCH('Ultimate - MGA and MPM'!Y$4,'Plan Figures'!$B$5:$B$31,0),MATCH('Ultimate - MGA and MPM'!$B42,'Plan Figures'!$B$1:$AP$1,0))</f>
        <v>-</v>
      </c>
      <c r="Z42" s="31" t="str">
        <f>INDEX('Plan Figures'!$B$5:$AP$31,MATCH('Ultimate - MGA and MPM'!Z$4,'Plan Figures'!$B$5:$B$31,0),MATCH('Ultimate - MGA and MPM'!$B42,'Plan Figures'!$B$1:$AP$1,0))</f>
        <v>-</v>
      </c>
      <c r="AA42" s="31">
        <f>INDEX('Plan Figures'!$B$5:$AP$31,MATCH('Ultimate - MGA and MPM'!AA$4,'Plan Figures'!$B$5:$B$31,0),MATCH('Ultimate - MGA and MPM'!$B42,'Plan Figures'!$B$1:$AP$1,0))</f>
        <v>1113.4200697273855</v>
      </c>
      <c r="AB42" s="266">
        <f>INDEX('Plan Figures'!$B$5:$AP$31,MATCH('Ultimate - MGA and MPM'!AB$4,'Plan Figures'!$B$5:$B$31,0),MATCH('Ultimate - MGA and MPM'!$B42,'Plan Figures'!$B$1:$AP$1,0))</f>
        <v>989.67431218271486</v>
      </c>
      <c r="AC42" s="31">
        <f>INDEX('Plan Figures'!$B$5:$AP$31,MATCH('Ultimate - MGA and MPM'!AC$4,'Plan Figures'!$B$5:$B$31,0),MATCH('Ultimate - MGA and MPM'!$B42,'Plan Figures'!$B$1:$AP$1,0))</f>
        <v>1210.5482166933789</v>
      </c>
      <c r="AD42" s="31">
        <f>INDEX('Plan Figures'!$B$5:$AP$42,MATCH('Ultimate - MGA and MPM'!AD$4,'Plan Figures'!$B$5:$B$42,0),MATCH('Ultimate - MGA and MPM'!$B42,'Plan Figures'!$B$1:$AP$1,0))</f>
        <v>1208.1319527878034</v>
      </c>
      <c r="AE42" s="31">
        <f>INDEX('Plan Figures'!$B$5:$AP$42,MATCH('Ultimate - MGA and MPM'!AE$4,'Plan Figures'!$B$5:$B$42,0),MATCH('Ultimate - MGA and MPM'!$B42,'Plan Figures'!$B$1:$AP$1,0))</f>
        <v>1205.7205117642748</v>
      </c>
      <c r="AF42" s="31">
        <f>INDEX('Plan Figures'!$B$5:$AP$42,MATCH('Ultimate - MGA and MPM'!AF$4,'Plan Figures'!$B$5:$B$42,0),MATCH('Ultimate - MGA and MPM'!$B42,'Plan Figures'!$B$1:$AP$1,0))</f>
        <v>1203.3138839962821</v>
      </c>
      <c r="AG42" s="31">
        <f>INDEX('Plan Figures'!$B$5:$AP$42,MATCH('Ultimate - MGA and MPM'!AG$4,'Plan Figures'!$B$5:$B$42,0),MATCH('Ultimate - MGA and MPM'!$B42,'Plan Figures'!$B$1:$AP$1,0))</f>
        <v>1201.0207575202833</v>
      </c>
      <c r="AH42" s="31">
        <f>INDEX('Plan Figures'!$B$5:$AP$42,MATCH('Ultimate - MGA and MPM'!AH$4,'Plan Figures'!$B$5:$B$42,0),MATCH('Ultimate - MGA and MPM'!$B42,'Plan Figures'!$B$1:$AP$1,0))</f>
        <v>1228.875833502128</v>
      </c>
      <c r="AI42" s="31">
        <f>INDEX('Plan Figures'!$B$5:$AP$42,MATCH('Ultimate - MGA and MPM'!AI$4,'Plan Figures'!$B$5:$B$42,0),MATCH('Ultimate - MGA and MPM'!$B42,'Plan Figures'!$B$1:$AP$1,0))</f>
        <v>1163.6668411466933</v>
      </c>
      <c r="AJ42" s="31">
        <f>INDEX('Plan Figures'!$B$5:$AP$42,MATCH('Ultimate - MGA and MPM'!AJ$4,'Plan Figures'!$B$5:$B$42,0),MATCH('Ultimate - MGA and MPM'!$B42,'Plan Figures'!$B$1:$AP$1,0))</f>
        <v>1142.8043600541273</v>
      </c>
      <c r="AK42" s="31">
        <f>INDEX('Plan Figures'!$B$5:$AP$42,MATCH('Ultimate - MGA and MPM'!AK$4,'Plan Figures'!$B$5:$B$42,0),MATCH('Ultimate - MGA and MPM'!$B42,'Plan Figures'!$B$1:$AP$1,0))</f>
        <v>1583.4171745261115</v>
      </c>
      <c r="AL42" s="31">
        <f>INDEX('Plan Figures'!$B$5:$AP$42,MATCH('Ultimate - MGA and MPM'!AL$4,'Plan Figures'!$B$5:$B$42,0),MATCH('Ultimate - MGA and MPM'!$B42,'Plan Figures'!$B$1:$AP$1,0))</f>
        <v>1633.4199796082153</v>
      </c>
      <c r="AM42" s="31">
        <f>INDEX('Plan Figures'!$B$5:$AP$42,MATCH('Ultimate - MGA and MPM'!AM$4,'Plan Figures'!$B$5:$B$42,0),MATCH('Ultimate - MGA and MPM'!$B42,'Plan Figures'!$B$1:$AP$1,0))</f>
        <v>1421.9431064527189</v>
      </c>
      <c r="AN42" s="266">
        <f>INDEX('Plan Figures'!$B$5:$AP$42,MATCH('Ultimate - MGA and MPM'!AN$4,'Plan Figures'!$B$5:$B$42,0),MATCH('Ultimate - MGA and MPM'!$B42,'Plan Figures'!$B$1:$AP$1,0))</f>
        <v>1292.0881451523526</v>
      </c>
      <c r="AO42" s="239">
        <f t="shared" si="49"/>
        <v>1104.5475328678265</v>
      </c>
      <c r="AP42" s="31">
        <f t="shared" ref="AP42:AP46" si="50">AVERAGE(R42:AC42)</f>
        <v>1104.5475328678265</v>
      </c>
      <c r="AQ42" s="240">
        <f>SUMIFS(AC42:AN42,AC$4:AN$4,"&lt;"&amp;'Title Sheet'!$C$13)</f>
        <v>15494.950763204368</v>
      </c>
    </row>
    <row r="43" spans="1:43" ht="15.75" hidden="1" outlineLevel="1" x14ac:dyDescent="0.25">
      <c r="B43" t="str">
        <f t="shared" ref="B43:B52" si="51">$D$2</f>
        <v>PC Annual Direct</v>
      </c>
      <c r="C43" t="str">
        <f t="shared" ref="C43:C52" si="52">$C42</f>
        <v>Boom Annual</v>
      </c>
      <c r="D43" s="213" t="s">
        <v>0</v>
      </c>
      <c r="E43" s="214" t="str">
        <f t="shared" ref="E43:AN43" si="53">IFERROR(IF(E41=0,"-",(E41/E42)-1),"-")</f>
        <v>-</v>
      </c>
      <c r="F43" s="214" t="str">
        <f t="shared" si="53"/>
        <v>-</v>
      </c>
      <c r="G43" s="214" t="str">
        <f t="shared" si="53"/>
        <v>-</v>
      </c>
      <c r="H43" s="214" t="str">
        <f t="shared" si="53"/>
        <v>-</v>
      </c>
      <c r="I43" s="214" t="str">
        <f t="shared" si="53"/>
        <v>-</v>
      </c>
      <c r="J43" s="214" t="str">
        <f t="shared" si="53"/>
        <v>-</v>
      </c>
      <c r="K43" s="214" t="str">
        <f t="shared" si="53"/>
        <v>-</v>
      </c>
      <c r="L43" s="214" t="str">
        <f t="shared" si="53"/>
        <v>-</v>
      </c>
      <c r="M43" s="214" t="str">
        <f t="shared" si="53"/>
        <v>-</v>
      </c>
      <c r="N43" s="214" t="str">
        <f t="shared" si="53"/>
        <v>-</v>
      </c>
      <c r="O43" s="214" t="str">
        <f t="shared" si="53"/>
        <v>-</v>
      </c>
      <c r="P43" s="270" t="str">
        <f t="shared" si="53"/>
        <v>-</v>
      </c>
      <c r="Q43" s="214" t="str">
        <f t="shared" si="53"/>
        <v>-</v>
      </c>
      <c r="R43" s="214" t="str">
        <f t="shared" si="53"/>
        <v>-</v>
      </c>
      <c r="S43" s="214" t="str">
        <f t="shared" si="53"/>
        <v>-</v>
      </c>
      <c r="T43" s="214" t="str">
        <f t="shared" si="53"/>
        <v>-</v>
      </c>
      <c r="U43" s="214" t="str">
        <f t="shared" si="53"/>
        <v>-</v>
      </c>
      <c r="V43" s="214" t="str">
        <f t="shared" si="53"/>
        <v>-</v>
      </c>
      <c r="W43" s="214" t="str">
        <f t="shared" si="53"/>
        <v>-</v>
      </c>
      <c r="X43" s="214" t="str">
        <f t="shared" si="53"/>
        <v>-</v>
      </c>
      <c r="Y43" s="214" t="str">
        <f t="shared" si="53"/>
        <v>-</v>
      </c>
      <c r="Z43" s="214" t="str">
        <f t="shared" si="53"/>
        <v>-</v>
      </c>
      <c r="AA43" s="214">
        <f t="shared" si="53"/>
        <v>-4.9742228245640674E-2</v>
      </c>
      <c r="AB43" s="270">
        <f t="shared" si="53"/>
        <v>-1.434589141996323E-2</v>
      </c>
      <c r="AC43" s="214">
        <f t="shared" si="53"/>
        <v>-0.27226986463734115</v>
      </c>
      <c r="AD43" s="214">
        <f t="shared" si="53"/>
        <v>-0.43436257104787679</v>
      </c>
      <c r="AE43" s="214">
        <f t="shared" si="53"/>
        <v>-0.36509173388752936</v>
      </c>
      <c r="AF43" s="214">
        <f t="shared" si="53"/>
        <v>-0.36939541739872028</v>
      </c>
      <c r="AG43" s="214">
        <f t="shared" si="53"/>
        <v>-0.30093618217934681</v>
      </c>
      <c r="AH43" s="214">
        <f t="shared" si="53"/>
        <v>-0.43267767509735322</v>
      </c>
      <c r="AI43" s="214">
        <f t="shared" si="53"/>
        <v>-0.39974439215992075</v>
      </c>
      <c r="AJ43" s="214">
        <f t="shared" si="53"/>
        <v>-0.71623401217380955</v>
      </c>
      <c r="AK43" s="214" t="str">
        <f t="shared" si="53"/>
        <v>-</v>
      </c>
      <c r="AL43" s="214" t="str">
        <f t="shared" si="53"/>
        <v>-</v>
      </c>
      <c r="AM43" s="214" t="str">
        <f t="shared" si="53"/>
        <v>-</v>
      </c>
      <c r="AN43" s="270" t="str">
        <f t="shared" si="53"/>
        <v>-</v>
      </c>
      <c r="AO43" s="274">
        <f t="shared" si="49"/>
        <v>-0.11211932810098169</v>
      </c>
      <c r="AP43" s="275">
        <f t="shared" si="50"/>
        <v>-0.11211932810098169</v>
      </c>
      <c r="AQ43" s="276">
        <f t="shared" ref="AQ43" si="54">IFERROR(IF(AQ41=0,"-",(AQ41/AQ42)-1),"-")</f>
        <v>-0.6354812783395305</v>
      </c>
    </row>
    <row r="44" spans="1:43" ht="15.75" outlineLevel="1" x14ac:dyDescent="0.25">
      <c r="A44">
        <v>4</v>
      </c>
      <c r="B44" t="str">
        <f t="shared" si="51"/>
        <v>PC Annual Direct</v>
      </c>
      <c r="C44" t="str">
        <f t="shared" si="52"/>
        <v>Boom Annual</v>
      </c>
      <c r="D44" s="208" t="s">
        <v>5</v>
      </c>
      <c r="E44" s="209">
        <f>'Current - MGA and MPM'!E44/VLOOKUP(COUNTA(E$4:$AE$4),'Dev Patterns'!$B$6:$F$34,$A44,0)</f>
        <v>54404.443214097795</v>
      </c>
      <c r="F44" s="209">
        <f>'Current - MGA and MPM'!F44/VLOOKUP(COUNTA(F$4:$AE$4),'Dev Patterns'!$B$6:$F$34,$A44,0)</f>
        <v>154577.88964227081</v>
      </c>
      <c r="G44" s="209">
        <f>'Current - MGA and MPM'!G44/VLOOKUP(COUNTA(G$4:$AE$4),'Dev Patterns'!$B$6:$F$34,$A44,0)</f>
        <v>483467.82464259694</v>
      </c>
      <c r="H44" s="209">
        <f>'Current - MGA and MPM'!H44/VLOOKUP(COUNTA(H$4:$AE$4),'Dev Patterns'!$B$6:$F$34,$A44,0)</f>
        <v>538846.57178365299</v>
      </c>
      <c r="I44" s="209">
        <f>'Current - MGA and MPM'!I44/VLOOKUP(COUNTA(I$4:$AE$4),'Dev Patterns'!$B$6:$F$34,$A44,0)</f>
        <v>694728.56106937001</v>
      </c>
      <c r="J44" s="209">
        <f>'Current - MGA and MPM'!J44/VLOOKUP(COUNTA(J$4:$AE$4),'Dev Patterns'!$B$6:$F$34,$A44,0)</f>
        <v>973925.98714369722</v>
      </c>
      <c r="K44" s="209">
        <f>'Current - MGA and MPM'!K44/VLOOKUP(COUNTA(K$4:$AE$4),'Dev Patterns'!$B$6:$F$34,$A44,0)</f>
        <v>1780448.7428612791</v>
      </c>
      <c r="L44" s="209">
        <f>'Current - MGA and MPM'!L44/VLOOKUP(COUNTA(L$4:$AE$4),'Dev Patterns'!$B$6:$F$34,$A44,0)</f>
        <v>1529874.777141179</v>
      </c>
      <c r="M44" s="209">
        <f>'Current - MGA and MPM'!M44/VLOOKUP(COUNTA(M$4:$AE$4),'Dev Patterns'!$B$6:$F$34,$A44,0)</f>
        <v>2131022.4157159706</v>
      </c>
      <c r="N44" s="209">
        <f>'Current - MGA and MPM'!N44/VLOOKUP(COUNTA(N$4:$AE$4),'Dev Patterns'!$B$6:$F$34,$A44,0)</f>
        <v>2601431.4985689996</v>
      </c>
      <c r="O44" s="209">
        <f>'Current - MGA and MPM'!O44/VLOOKUP(COUNTA(O$4:$AE$4),'Dev Patterns'!$B$6:$F$34,$A44,0)</f>
        <v>2062684.991425006</v>
      </c>
      <c r="P44" s="265">
        <f>'Current - MGA and MPM'!P44/VLOOKUP(COUNTA(P$4:$AE$4),'Dev Patterns'!$B$6:$F$34,$A44,0)</f>
        <v>1540263.1332138125</v>
      </c>
      <c r="Q44" s="209">
        <f>'Current - MGA and MPM'!Q44/VLOOKUP(COUNTA(Q$4:$AE$4),'Dev Patterns'!$B$6:$F$34,$A44,0)</f>
        <v>1086160.0635735809</v>
      </c>
      <c r="R44" s="209">
        <f>'Current - MGA and MPM'!R44/VLOOKUP(COUNTA(R$4:$AE$4),'Dev Patterns'!$B$6:$F$34,$A44,0)</f>
        <v>1100142.4223781892</v>
      </c>
      <c r="S44" s="209">
        <f>'Current - MGA and MPM'!S44/VLOOKUP(COUNTA(S$4:$AE$4),'Dev Patterns'!$B$6:$F$34,$A44,0)</f>
        <v>1168567.520839582</v>
      </c>
      <c r="T44" s="209">
        <f>'Current - MGA and MPM'!T44/VLOOKUP(COUNTA(T$4:$AE$4),'Dev Patterns'!$B$6:$F$34,$A44,0)</f>
        <v>918843.48878777411</v>
      </c>
      <c r="U44" s="209">
        <f>'Current - MGA and MPM'!U44/VLOOKUP(COUNTA(U$4:$AE$4),'Dev Patterns'!$B$6:$F$34,$A44,0)</f>
        <v>1068871.3606317358</v>
      </c>
      <c r="V44" s="209">
        <f>'Current - MGA and MPM'!V44/VLOOKUP(COUNTA(V$4:$AE$4),'Dev Patterns'!$B$6:$F$34,$A44,0)</f>
        <v>944173.54270274728</v>
      </c>
      <c r="W44" s="209">
        <f>'Current - MGA and MPM'!W44/VLOOKUP(COUNTA(W$4:$AE$4),'Dev Patterns'!$B$6:$F$34,$A44,0)</f>
        <v>893841.32841079542</v>
      </c>
      <c r="X44" s="209">
        <f>'Current - MGA and MPM'!X44/VLOOKUP(COUNTA(X$4:$AE$4),'Dev Patterns'!$B$6:$F$34,$A44,0)</f>
        <v>1065535.4608737039</v>
      </c>
      <c r="Y44" s="209">
        <f>'Current - MGA and MPM'!Y44/VLOOKUP(COUNTA(Y$4:$AE$4),'Dev Patterns'!$B$6:$F$34,$A44,0)</f>
        <v>1106835.9360740939</v>
      </c>
      <c r="Z44" s="209">
        <f>'Current - MGA and MPM'!Z44/VLOOKUP(COUNTA(Z$4:$AE$4),'Dev Patterns'!$B$6:$F$34,$A44,0)</f>
        <v>1324138.2795783167</v>
      </c>
      <c r="AA44" s="209">
        <f>'Current - MGA and MPM'!AA44/VLOOKUP(COUNTA(AA$4:$AE$4),'Dev Patterns'!$B$6:$F$34,$A44,0)</f>
        <v>1815546.5961625825</v>
      </c>
      <c r="AB44" s="265">
        <f>'Current - MGA and MPM'!AB44/VLOOKUP(COUNTA(AB$4:$AE$4),'Dev Patterns'!$B$6:$F$34,$A44,0)</f>
        <v>1604794.8062612936</v>
      </c>
      <c r="AC44" s="209">
        <f>'Current - MGA and MPM'!AC44/VLOOKUP(COUNTA(AC$4:$AE$4),'Dev Patterns'!$B$6:$F$34,$A44,0)</f>
        <v>1613431.418178566</v>
      </c>
      <c r="AD44" s="209">
        <f>'Current - MGA and MPM'!AD44/VLOOKUP(COUNTA(AD$4:$AE$4),'Dev Patterns'!$B$6:$F$34,$A44,0)</f>
        <v>1434273.2986867821</v>
      </c>
      <c r="AE44" s="209">
        <f>'Current - MGA and MPM'!AE44/VLOOKUP(COUNTA(AE$4:$AE$4),'Dev Patterns'!$B$6:$F$34,$A44,0)</f>
        <v>1861936.3215512976</v>
      </c>
      <c r="AF44" s="209">
        <f>'Current - MGA and MPM'!AF44/VLOOKUP(COUNTA($AE$4:AF$4),'Dev Patterns'!$B$6:$F$34,$A44,0)</f>
        <v>1582583.9507526932</v>
      </c>
      <c r="AG44" s="209">
        <f>'Current - MGA and MPM'!AG44/VLOOKUP(COUNTA($AE$4:AG$4),'Dev Patterns'!$B$6:$F$34,$A44,0)</f>
        <v>1585022.8591461624</v>
      </c>
      <c r="AH44" s="209">
        <f>'Current - MGA and MPM'!AH44/VLOOKUP(COUNTA($AE$4:AH$4),'Dev Patterns'!$B$6:$F$34,$A44,0)</f>
        <v>1323421.9244925519</v>
      </c>
      <c r="AI44" s="209">
        <f>'Current - MGA and MPM'!AI44/VLOOKUP(COUNTA($AE$4:AI$4),'Dev Patterns'!$B$6:$F$34,$A44,0)</f>
        <v>1085222.6217972687</v>
      </c>
      <c r="AJ44" s="209">
        <f>'Current - MGA and MPM'!AJ44/VLOOKUP(COUNTA($AE$4:AJ$4),'Dev Patterns'!$B$6:$F$34,$A44,0)</f>
        <v>941098.76606741117</v>
      </c>
      <c r="AK44" s="209">
        <f>'Current - MGA and MPM'!AK44/VLOOKUP(COUNTA($AE$4:AK$4),'Dev Patterns'!$B$6:$F$34,$A44,0)</f>
        <v>906335.06364531105</v>
      </c>
      <c r="AL44" s="209">
        <f>'Current - MGA and MPM'!AL44/VLOOKUP(COUNTA($AE$4:AL$4),'Dev Patterns'!$B$6:$F$34,$A44,0)</f>
        <v>884035.4231815167</v>
      </c>
      <c r="AM44" s="209">
        <f>'Current - MGA and MPM'!AM44/VLOOKUP(COUNTA($AE$4:AM$4),'Dev Patterns'!$B$6:$F$34,$A44,0)</f>
        <v>1004504.2586663573</v>
      </c>
      <c r="AN44" s="265">
        <f>'Current - MGA and MPM'!AN44/VLOOKUP(COUNTA($AE$4:AN$4),'Dev Patterns'!$B$6:$F$34,$A44,0)</f>
        <v>939041.01060329506</v>
      </c>
      <c r="AO44" s="237">
        <f t="shared" si="49"/>
        <v>1589477.7750451895</v>
      </c>
      <c r="AP44" s="209">
        <f t="shared" si="50"/>
        <v>1218726.8467399483</v>
      </c>
      <c r="AQ44" s="238">
        <f>SUMIFS(AC44:AN44,AC$4:AN$4,"&lt;"&amp;'Title Sheet'!$C$13)</f>
        <v>15160906.916769214</v>
      </c>
    </row>
    <row r="45" spans="1:43" ht="15.75" outlineLevel="1" x14ac:dyDescent="0.25">
      <c r="B45" t="str">
        <f>$D$21&amp;"_NWP"</f>
        <v>PC Annual Direct - Annual_NWP</v>
      </c>
      <c r="C45" t="str">
        <f t="shared" si="52"/>
        <v>Boom Annual</v>
      </c>
      <c r="D45" s="211" t="s">
        <v>6</v>
      </c>
      <c r="E45" s="31" t="e">
        <f>INDEX('Plan Figures'!$B$5:$AP$31,MATCH('Ultimate - MGA and MPM'!E$4,'Plan Figures'!$B$5:$B$31,0),MATCH('Ultimate - MGA and MPM'!$B45,'Plan Figures'!$B$1:$AP$1,0))</f>
        <v>#N/A</v>
      </c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266"/>
      <c r="Q45" s="31"/>
      <c r="R45" s="31" t="str">
        <f>INDEX('Plan Figures'!$B$5:$AP$31,MATCH('Ultimate - MGA and MPM'!R$4,'Plan Figures'!$B$5:$B$31,0),MATCH('Ultimate - MGA and MPM'!$B45,'Plan Figures'!$B$1:$AP$1,0))</f>
        <v>-</v>
      </c>
      <c r="S45" s="31" t="str">
        <f>INDEX('Plan Figures'!$B$5:$AP$31,MATCH('Ultimate - MGA and MPM'!S$4,'Plan Figures'!$B$5:$B$31,0),MATCH('Ultimate - MGA and MPM'!$B45,'Plan Figures'!$B$1:$AP$1,0))</f>
        <v>-</v>
      </c>
      <c r="T45" s="31" t="str">
        <f>INDEX('Plan Figures'!$B$5:$AP$31,MATCH('Ultimate - MGA and MPM'!T$4,'Plan Figures'!$B$5:$B$31,0),MATCH('Ultimate - MGA and MPM'!$B45,'Plan Figures'!$B$1:$AP$1,0))</f>
        <v>-</v>
      </c>
      <c r="U45" s="31" t="str">
        <f>INDEX('Plan Figures'!$B$5:$AP$31,MATCH('Ultimate - MGA and MPM'!U$4,'Plan Figures'!$B$5:$B$31,0),MATCH('Ultimate - MGA and MPM'!$B45,'Plan Figures'!$B$1:$AP$1,0))</f>
        <v>-</v>
      </c>
      <c r="V45" s="31" t="str">
        <f>INDEX('Plan Figures'!$B$5:$AP$31,MATCH('Ultimate - MGA and MPM'!V$4,'Plan Figures'!$B$5:$B$31,0),MATCH('Ultimate - MGA and MPM'!$B45,'Plan Figures'!$B$1:$AP$1,0))</f>
        <v>-</v>
      </c>
      <c r="W45" s="31" t="str">
        <f>INDEX('Plan Figures'!$B$5:$AP$31,MATCH('Ultimate - MGA and MPM'!W$4,'Plan Figures'!$B$5:$B$31,0),MATCH('Ultimate - MGA and MPM'!$B45,'Plan Figures'!$B$1:$AP$1,0))</f>
        <v>-</v>
      </c>
      <c r="X45" s="31" t="str">
        <f>INDEX('Plan Figures'!$B$5:$AP$31,MATCH('Ultimate - MGA and MPM'!X$4,'Plan Figures'!$B$5:$B$31,0),MATCH('Ultimate - MGA and MPM'!$B45,'Plan Figures'!$B$1:$AP$1,0))</f>
        <v>-</v>
      </c>
      <c r="Y45" s="31" t="str">
        <f>INDEX('Plan Figures'!$B$5:$AP$31,MATCH('Ultimate - MGA and MPM'!Y$4,'Plan Figures'!$B$5:$B$31,0),MATCH('Ultimate - MGA and MPM'!$B45,'Plan Figures'!$B$1:$AP$1,0))</f>
        <v>-</v>
      </c>
      <c r="Z45" s="31" t="str">
        <f>INDEX('Plan Figures'!$B$5:$AP$31,MATCH('Ultimate - MGA and MPM'!Z$4,'Plan Figures'!$B$5:$B$31,0),MATCH('Ultimate - MGA and MPM'!$B45,'Plan Figures'!$B$1:$AP$1,0))</f>
        <v>-</v>
      </c>
      <c r="AA45" s="31">
        <f>INDEX('Plan Figures'!$B$5:$AP$31,MATCH('Ultimate - MGA and MPM'!AA$4,'Plan Figures'!$B$5:$B$31,0),MATCH('Ultimate - MGA and MPM'!$B45,'Plan Figures'!$B$1:$AP$1,0))</f>
        <v>1201948.8602582696</v>
      </c>
      <c r="AB45" s="266">
        <f>INDEX('Plan Figures'!$B$5:$AP$31,MATCH('Ultimate - MGA and MPM'!AB$4,'Plan Figures'!$B$5:$B$31,0),MATCH('Ultimate - MGA and MPM'!$B45,'Plan Figures'!$B$1:$AP$1,0))</f>
        <v>1130181.9540233866</v>
      </c>
      <c r="AC45" s="31">
        <f>INDEX('Plan Figures'!$B$5:$AP$31,MATCH('Ultimate - MGA and MPM'!AC$4,'Plan Figures'!$B$5:$B$31,0),MATCH('Ultimate - MGA and MPM'!$B45,'Plan Figures'!$B$1:$AP$1,0))</f>
        <v>1235960.0527141613</v>
      </c>
      <c r="AD45" s="31">
        <f>INDEX('Plan Figures'!$B$5:$AP$42,MATCH('Ultimate - MGA and MPM'!AD$4,'Plan Figures'!$B$5:$B$42,0),MATCH('Ultimate - MGA and MPM'!$B45,'Plan Figures'!$B$1:$AP$1,0))</f>
        <v>1333459.558352059</v>
      </c>
      <c r="AE45" s="31">
        <f>INDEX('Plan Figures'!$B$5:$AP$42,MATCH('Ultimate - MGA and MPM'!AE$4,'Plan Figures'!$B$5:$B$42,0),MATCH('Ultimate - MGA and MPM'!$B45,'Plan Figures'!$B$1:$AP$1,0))</f>
        <v>1387558.0023525297</v>
      </c>
      <c r="AF45" s="31">
        <f>INDEX('Plan Figures'!$B$5:$AP$42,MATCH('Ultimate - MGA and MPM'!AF$4,'Plan Figures'!$B$5:$B$42,0),MATCH('Ultimate - MGA and MPM'!$B45,'Plan Figures'!$B$1:$AP$1,0))</f>
        <v>1433144.0223048357</v>
      </c>
      <c r="AG45" s="31">
        <f>INDEX('Plan Figures'!$B$5:$AP$42,MATCH('Ultimate - MGA and MPM'!AG$4,'Plan Figures'!$B$5:$B$42,0),MATCH('Ultimate - MGA and MPM'!$B45,'Plan Figures'!$B$1:$AP$1,0))</f>
        <v>1450615.9831731343</v>
      </c>
      <c r="AH45" s="31">
        <f>INDEX('Plan Figures'!$B$5:$AP$42,MATCH('Ultimate - MGA and MPM'!AH$4,'Plan Figures'!$B$5:$B$42,0),MATCH('Ultimate - MGA and MPM'!$B45,'Plan Figures'!$B$1:$AP$1,0))</f>
        <v>1477938.9090293914</v>
      </c>
      <c r="AI45" s="31">
        <f>INDEX('Plan Figures'!$B$5:$AP$42,MATCH('Ultimate - MGA and MPM'!AI$4,'Plan Figures'!$B$5:$B$42,0),MATCH('Ultimate - MGA and MPM'!$B45,'Plan Figures'!$B$1:$AP$1,0))</f>
        <v>1091240.230856986</v>
      </c>
      <c r="AJ45" s="31">
        <f>INDEX('Plan Figures'!$B$5:$AP$42,MATCH('Ultimate - MGA and MPM'!AJ$4,'Plan Figures'!$B$5:$B$42,0),MATCH('Ultimate - MGA and MPM'!$B45,'Plan Figures'!$B$1:$AP$1,0))</f>
        <v>1077448.4163922931</v>
      </c>
      <c r="AK45" s="31">
        <f>INDEX('Plan Figures'!$B$5:$AP$42,MATCH('Ultimate - MGA and MPM'!AK$4,'Plan Figures'!$B$5:$B$42,0),MATCH('Ultimate - MGA and MPM'!$B45,'Plan Figures'!$B$1:$AP$1,0))</f>
        <v>1476073.2552601595</v>
      </c>
      <c r="AL45" s="31">
        <f>INDEX('Plan Figures'!$B$5:$AP$42,MATCH('Ultimate - MGA and MPM'!AL$4,'Plan Figures'!$B$5:$B$42,0),MATCH('Ultimate - MGA and MPM'!$B45,'Plan Figures'!$B$1:$AP$1,0))</f>
        <v>1607394.6364770622</v>
      </c>
      <c r="AM45" s="31">
        <f>INDEX('Plan Figures'!$B$5:$AP$42,MATCH('Ultimate - MGA and MPM'!AM$4,'Plan Figures'!$B$5:$B$42,0),MATCH('Ultimate - MGA and MPM'!$B45,'Plan Figures'!$B$1:$AP$1,0))</f>
        <v>1381402.3361292861</v>
      </c>
      <c r="AN45" s="266">
        <f>INDEX('Plan Figures'!$B$5:$AP$42,MATCH('Ultimate - MGA and MPM'!AN$4,'Plan Figures'!$B$5:$B$42,0),MATCH('Ultimate - MGA and MPM'!$B45,'Plan Figures'!$B$1:$AP$1,0))</f>
        <v>1254506.4774169179</v>
      </c>
      <c r="AO45" s="239">
        <f t="shared" si="49"/>
        <v>1189363.6223319394</v>
      </c>
      <c r="AP45" s="31">
        <f t="shared" si="50"/>
        <v>1189363.6223319394</v>
      </c>
      <c r="AQ45" s="240">
        <f>SUMIFS(AC45:AN45,AC$4:AN$4,"&lt;"&amp;'Title Sheet'!$C$13)</f>
        <v>16206741.880458815</v>
      </c>
    </row>
    <row r="46" spans="1:43" ht="15.75" outlineLevel="1" x14ac:dyDescent="0.25">
      <c r="B46" t="str">
        <f t="shared" si="51"/>
        <v>PC Annual Direct</v>
      </c>
      <c r="C46" t="str">
        <f t="shared" si="52"/>
        <v>Boom Annual</v>
      </c>
      <c r="D46" s="213" t="s">
        <v>0</v>
      </c>
      <c r="E46" s="214" t="str">
        <f t="shared" ref="E46:AN46" si="55">IFERROR(IF(E44=0,"-",(E44/E45)-1),"-")</f>
        <v>-</v>
      </c>
      <c r="F46" s="214" t="str">
        <f t="shared" si="55"/>
        <v>-</v>
      </c>
      <c r="G46" s="214" t="str">
        <f t="shared" si="55"/>
        <v>-</v>
      </c>
      <c r="H46" s="214" t="str">
        <f t="shared" si="55"/>
        <v>-</v>
      </c>
      <c r="I46" s="214" t="str">
        <f t="shared" si="55"/>
        <v>-</v>
      </c>
      <c r="J46" s="214" t="str">
        <f t="shared" si="55"/>
        <v>-</v>
      </c>
      <c r="K46" s="214" t="str">
        <f t="shared" si="55"/>
        <v>-</v>
      </c>
      <c r="L46" s="214" t="str">
        <f t="shared" si="55"/>
        <v>-</v>
      </c>
      <c r="M46" s="214" t="str">
        <f t="shared" si="55"/>
        <v>-</v>
      </c>
      <c r="N46" s="214" t="str">
        <f t="shared" si="55"/>
        <v>-</v>
      </c>
      <c r="O46" s="214" t="str">
        <f t="shared" si="55"/>
        <v>-</v>
      </c>
      <c r="P46" s="270" t="str">
        <f t="shared" si="55"/>
        <v>-</v>
      </c>
      <c r="Q46" s="214" t="str">
        <f t="shared" si="55"/>
        <v>-</v>
      </c>
      <c r="R46" s="214" t="str">
        <f t="shared" si="55"/>
        <v>-</v>
      </c>
      <c r="S46" s="214" t="str">
        <f t="shared" si="55"/>
        <v>-</v>
      </c>
      <c r="T46" s="214" t="str">
        <f t="shared" si="55"/>
        <v>-</v>
      </c>
      <c r="U46" s="214" t="str">
        <f t="shared" si="55"/>
        <v>-</v>
      </c>
      <c r="V46" s="214" t="str">
        <f t="shared" si="55"/>
        <v>-</v>
      </c>
      <c r="W46" s="214" t="str">
        <f t="shared" si="55"/>
        <v>-</v>
      </c>
      <c r="X46" s="214" t="str">
        <f t="shared" si="55"/>
        <v>-</v>
      </c>
      <c r="Y46" s="214" t="str">
        <f t="shared" si="55"/>
        <v>-</v>
      </c>
      <c r="Z46" s="214" t="str">
        <f t="shared" si="55"/>
        <v>-</v>
      </c>
      <c r="AA46" s="214">
        <f t="shared" si="55"/>
        <v>0.51050236511099634</v>
      </c>
      <c r="AB46" s="270">
        <f t="shared" si="55"/>
        <v>0.41994375378965398</v>
      </c>
      <c r="AC46" s="214">
        <f t="shared" si="55"/>
        <v>0.3054074155839257</v>
      </c>
      <c r="AD46" s="214">
        <f t="shared" si="55"/>
        <v>7.5603147994463882E-2</v>
      </c>
      <c r="AE46" s="214">
        <f t="shared" si="55"/>
        <v>0.34187999232787747</v>
      </c>
      <c r="AF46" s="214">
        <f t="shared" si="55"/>
        <v>0.10427418746618544</v>
      </c>
      <c r="AG46" s="214">
        <f t="shared" si="55"/>
        <v>9.2655035882771131E-2</v>
      </c>
      <c r="AH46" s="214">
        <f t="shared" si="55"/>
        <v>-0.10454896585564255</v>
      </c>
      <c r="AI46" s="214">
        <f t="shared" si="55"/>
        <v>-5.5144677492245942E-3</v>
      </c>
      <c r="AJ46" s="214">
        <f t="shared" si="55"/>
        <v>-0.12654865722614583</v>
      </c>
      <c r="AK46" s="214">
        <f t="shared" si="55"/>
        <v>-0.38598232817004163</v>
      </c>
      <c r="AL46" s="214">
        <f t="shared" si="55"/>
        <v>-0.45001967586562119</v>
      </c>
      <c r="AM46" s="214">
        <f t="shared" si="55"/>
        <v>-0.2728372955550401</v>
      </c>
      <c r="AN46" s="270">
        <f t="shared" si="55"/>
        <v>-0.25146579351521536</v>
      </c>
      <c r="AO46" s="274">
        <f t="shared" si="49"/>
        <v>0.41195117816152532</v>
      </c>
      <c r="AP46" s="275">
        <f t="shared" si="50"/>
        <v>0.41195117816152532</v>
      </c>
      <c r="AQ46" s="276">
        <f t="shared" ref="AQ46" si="56">IFERROR(IF(AQ44=0,"-",(AQ44/AQ45)-1),"-")</f>
        <v>-6.4530858293646909E-2</v>
      </c>
    </row>
    <row r="47" spans="1:43" ht="15.75" outlineLevel="1" x14ac:dyDescent="0.25">
      <c r="B47" t="str">
        <f t="shared" si="51"/>
        <v>PC Annual Direct</v>
      </c>
      <c r="C47" t="str">
        <f t="shared" si="52"/>
        <v>Boom Annual</v>
      </c>
      <c r="D47" s="208" t="s">
        <v>12</v>
      </c>
      <c r="E47" s="209">
        <f>IFERROR(E44/E41,0)</f>
        <v>0</v>
      </c>
      <c r="F47" s="209"/>
      <c r="G47" s="209"/>
      <c r="H47" s="209"/>
      <c r="I47" s="209"/>
      <c r="J47" s="209"/>
      <c r="K47" s="209"/>
      <c r="L47" s="209"/>
      <c r="M47" s="209"/>
      <c r="N47" s="209"/>
      <c r="O47" s="209"/>
      <c r="P47" s="265"/>
      <c r="Q47" s="209"/>
      <c r="R47" s="209">
        <f t="shared" ref="R47:AP47" si="57">IFERROR(R44/R41,0)</f>
        <v>738.94985678482828</v>
      </c>
      <c r="S47" s="209">
        <f t="shared" si="57"/>
        <v>634.6253670029746</v>
      </c>
      <c r="T47" s="209">
        <f t="shared" si="57"/>
        <v>523.96947577916501</v>
      </c>
      <c r="U47" s="209">
        <f t="shared" si="57"/>
        <v>574.89847423890171</v>
      </c>
      <c r="V47" s="209">
        <f t="shared" si="57"/>
        <v>621.83655269876135</v>
      </c>
      <c r="W47" s="209">
        <f t="shared" si="57"/>
        <v>727.98495998572469</v>
      </c>
      <c r="X47" s="209">
        <f t="shared" si="57"/>
        <v>1011.6627775216975</v>
      </c>
      <c r="Y47" s="209">
        <f t="shared" si="57"/>
        <v>1145.4637819212885</v>
      </c>
      <c r="Z47" s="209">
        <f t="shared" si="57"/>
        <v>1367.2408302835654</v>
      </c>
      <c r="AA47" s="209">
        <f t="shared" si="57"/>
        <v>1715.9590678843829</v>
      </c>
      <c r="AB47" s="265">
        <f t="shared" si="57"/>
        <v>1645.1392942643688</v>
      </c>
      <c r="AC47" s="209">
        <f t="shared" si="57"/>
        <v>1831.462614722172</v>
      </c>
      <c r="AD47" s="209">
        <f t="shared" si="57"/>
        <v>2098.8403414020127</v>
      </c>
      <c r="AE47" s="209">
        <f t="shared" si="57"/>
        <v>2432.244295067243</v>
      </c>
      <c r="AF47" s="209">
        <f t="shared" si="57"/>
        <v>2085.5985059329205</v>
      </c>
      <c r="AG47" s="209">
        <f t="shared" si="57"/>
        <v>1887.8530765932526</v>
      </c>
      <c r="AH47" s="209">
        <f t="shared" si="57"/>
        <v>1898.2807664966142</v>
      </c>
      <c r="AI47" s="209">
        <f t="shared" si="57"/>
        <v>1553.6527313108691</v>
      </c>
      <c r="AJ47" s="209">
        <f t="shared" si="57"/>
        <v>2902.0372029104783</v>
      </c>
      <c r="AK47" s="209">
        <f t="shared" si="57"/>
        <v>0</v>
      </c>
      <c r="AL47" s="209">
        <f t="shared" si="57"/>
        <v>0</v>
      </c>
      <c r="AM47" s="209">
        <f t="shared" si="57"/>
        <v>0</v>
      </c>
      <c r="AN47" s="265">
        <f t="shared" si="57"/>
        <v>0</v>
      </c>
      <c r="AO47" s="237">
        <f t="shared" si="57"/>
        <v>1637.3962429551639</v>
      </c>
      <c r="AP47" s="209">
        <f t="shared" si="57"/>
        <v>937.98374609456346</v>
      </c>
      <c r="AQ47" s="238">
        <f>SUMIFS(AC47:AN47,AC$4:AN$4,"&lt;"&amp;'Title Sheet'!$C$13)</f>
        <v>16689.969534435564</v>
      </c>
    </row>
    <row r="48" spans="1:43" ht="15.75" hidden="1" outlineLevel="1" x14ac:dyDescent="0.25">
      <c r="B48" t="str">
        <f t="shared" si="51"/>
        <v>PC Annual Direct</v>
      </c>
      <c r="C48" t="str">
        <f t="shared" si="52"/>
        <v>Boom Annual</v>
      </c>
      <c r="D48" s="211" t="s">
        <v>13</v>
      </c>
      <c r="E48" s="31">
        <f>IFERROR(E45/E42,0)</f>
        <v>0</v>
      </c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6"/>
      <c r="Q48" s="31"/>
      <c r="R48" s="31">
        <f t="shared" ref="R48:AP48" si="58">IFERROR(R45/R42,0)</f>
        <v>0</v>
      </c>
      <c r="S48" s="31">
        <f t="shared" si="58"/>
        <v>0</v>
      </c>
      <c r="T48" s="31">
        <f t="shared" si="58"/>
        <v>0</v>
      </c>
      <c r="U48" s="31">
        <f t="shared" si="58"/>
        <v>0</v>
      </c>
      <c r="V48" s="31">
        <f t="shared" si="58"/>
        <v>0</v>
      </c>
      <c r="W48" s="31">
        <f t="shared" si="58"/>
        <v>0</v>
      </c>
      <c r="X48" s="31">
        <f t="shared" si="58"/>
        <v>0</v>
      </c>
      <c r="Y48" s="31">
        <f t="shared" si="58"/>
        <v>0</v>
      </c>
      <c r="Z48" s="31">
        <f t="shared" si="58"/>
        <v>0</v>
      </c>
      <c r="AA48" s="31">
        <f t="shared" si="58"/>
        <v>1079.510683288258</v>
      </c>
      <c r="AB48" s="266">
        <f t="shared" si="58"/>
        <v>1141.9736170890237</v>
      </c>
      <c r="AC48" s="31">
        <f t="shared" si="58"/>
        <v>1020.9920064895846</v>
      </c>
      <c r="AD48" s="31">
        <f t="shared" si="58"/>
        <v>1103.7366864398034</v>
      </c>
      <c r="AE48" s="31">
        <f t="shared" si="58"/>
        <v>1150.8123058487083</v>
      </c>
      <c r="AF48" s="31">
        <f t="shared" si="58"/>
        <v>1190.9976618446992</v>
      </c>
      <c r="AG48" s="31">
        <f t="shared" si="58"/>
        <v>1207.8192438307094</v>
      </c>
      <c r="AH48" s="31">
        <f t="shared" si="58"/>
        <v>1202.675541936135</v>
      </c>
      <c r="AI48" s="31">
        <f t="shared" si="58"/>
        <v>937.7600119478036</v>
      </c>
      <c r="AJ48" s="31">
        <f t="shared" si="58"/>
        <v>942.81090802039057</v>
      </c>
      <c r="AK48" s="31">
        <f t="shared" si="58"/>
        <v>932.20743023828948</v>
      </c>
      <c r="AL48" s="31">
        <f t="shared" si="58"/>
        <v>984.06696167791745</v>
      </c>
      <c r="AM48" s="31">
        <f t="shared" si="58"/>
        <v>971.48917552364753</v>
      </c>
      <c r="AN48" s="266">
        <f t="shared" si="58"/>
        <v>970.91400623368202</v>
      </c>
      <c r="AO48" s="239">
        <f t="shared" si="58"/>
        <v>1076.7880846593339</v>
      </c>
      <c r="AP48" s="31">
        <f t="shared" si="58"/>
        <v>1076.7880846593339</v>
      </c>
      <c r="AQ48" s="240">
        <f>SUMIFS(AC48:AN48,AC$4:AN$4,"&lt;"&amp;'Title Sheet'!$C$13)</f>
        <v>12616.281940031373</v>
      </c>
    </row>
    <row r="49" spans="1:43" ht="15.75" hidden="1" outlineLevel="1" x14ac:dyDescent="0.25">
      <c r="B49" t="str">
        <f t="shared" si="51"/>
        <v>PC Annual Direct</v>
      </c>
      <c r="C49" t="str">
        <f t="shared" si="52"/>
        <v>Boom Annual</v>
      </c>
      <c r="D49" s="213" t="s">
        <v>0</v>
      </c>
      <c r="E49" s="214" t="str">
        <f t="shared" ref="E49:AN49" si="59">IFERROR(IF(E47=0,"-",(E47/E48)-1),"-")</f>
        <v>-</v>
      </c>
      <c r="F49" s="214" t="str">
        <f t="shared" si="59"/>
        <v>-</v>
      </c>
      <c r="G49" s="214" t="str">
        <f t="shared" si="59"/>
        <v>-</v>
      </c>
      <c r="H49" s="214" t="str">
        <f t="shared" si="59"/>
        <v>-</v>
      </c>
      <c r="I49" s="214" t="str">
        <f t="shared" si="59"/>
        <v>-</v>
      </c>
      <c r="J49" s="214" t="str">
        <f t="shared" si="59"/>
        <v>-</v>
      </c>
      <c r="K49" s="214" t="str">
        <f t="shared" si="59"/>
        <v>-</v>
      </c>
      <c r="L49" s="214" t="str">
        <f t="shared" si="59"/>
        <v>-</v>
      </c>
      <c r="M49" s="214" t="str">
        <f t="shared" si="59"/>
        <v>-</v>
      </c>
      <c r="N49" s="214" t="str">
        <f t="shared" si="59"/>
        <v>-</v>
      </c>
      <c r="O49" s="214" t="str">
        <f t="shared" si="59"/>
        <v>-</v>
      </c>
      <c r="P49" s="270" t="str">
        <f t="shared" si="59"/>
        <v>-</v>
      </c>
      <c r="Q49" s="214" t="str">
        <f t="shared" si="59"/>
        <v>-</v>
      </c>
      <c r="R49" s="214" t="str">
        <f t="shared" si="59"/>
        <v>-</v>
      </c>
      <c r="S49" s="214" t="str">
        <f t="shared" si="59"/>
        <v>-</v>
      </c>
      <c r="T49" s="214" t="str">
        <f t="shared" si="59"/>
        <v>-</v>
      </c>
      <c r="U49" s="214" t="str">
        <f t="shared" si="59"/>
        <v>-</v>
      </c>
      <c r="V49" s="214" t="str">
        <f t="shared" si="59"/>
        <v>-</v>
      </c>
      <c r="W49" s="214" t="str">
        <f t="shared" si="59"/>
        <v>-</v>
      </c>
      <c r="X49" s="214" t="str">
        <f t="shared" si="59"/>
        <v>-</v>
      </c>
      <c r="Y49" s="214" t="str">
        <f t="shared" si="59"/>
        <v>-</v>
      </c>
      <c r="Z49" s="214" t="str">
        <f t="shared" si="59"/>
        <v>-</v>
      </c>
      <c r="AA49" s="214">
        <f t="shared" si="59"/>
        <v>0.58957117743148491</v>
      </c>
      <c r="AB49" s="270">
        <f t="shared" si="59"/>
        <v>0.44061059699255756</v>
      </c>
      <c r="AC49" s="214">
        <f t="shared" si="59"/>
        <v>0.79380700640270407</v>
      </c>
      <c r="AD49" s="214">
        <f t="shared" si="59"/>
        <v>0.90157704023774077</v>
      </c>
      <c r="AE49" s="214">
        <f t="shared" si="59"/>
        <v>1.113502160783288</v>
      </c>
      <c r="AF49" s="214">
        <f t="shared" si="59"/>
        <v>0.75113568460126268</v>
      </c>
      <c r="AG49" s="214">
        <f t="shared" si="59"/>
        <v>0.56302616160159324</v>
      </c>
      <c r="AH49" s="214">
        <f t="shared" si="59"/>
        <v>0.5783814506119036</v>
      </c>
      <c r="AI49" s="214">
        <f t="shared" si="59"/>
        <v>0.65677008138127624</v>
      </c>
      <c r="AJ49" s="214">
        <f t="shared" si="59"/>
        <v>2.0780691846298778</v>
      </c>
      <c r="AK49" s="214" t="str">
        <f t="shared" si="59"/>
        <v>-</v>
      </c>
      <c r="AL49" s="214" t="str">
        <f t="shared" si="59"/>
        <v>-</v>
      </c>
      <c r="AM49" s="214" t="str">
        <f t="shared" si="59"/>
        <v>-</v>
      </c>
      <c r="AN49" s="270" t="str">
        <f t="shared" si="59"/>
        <v>-</v>
      </c>
      <c r="AO49" s="274">
        <f t="shared" ref="AO49:AP49" si="60">AO47-AO48</f>
        <v>560.60815829582998</v>
      </c>
      <c r="AP49" s="275">
        <f t="shared" si="60"/>
        <v>-138.80433856477043</v>
      </c>
      <c r="AQ49" s="276">
        <f t="shared" ref="AQ49" si="61">IFERROR(IF(AQ47=0,"-",(AQ47/AQ48)-1),"-")</f>
        <v>0.3228912934704169</v>
      </c>
    </row>
    <row r="50" spans="1:43" outlineLevel="1" x14ac:dyDescent="0.25">
      <c r="B50" t="str">
        <f t="shared" si="51"/>
        <v>PC Annual Direct</v>
      </c>
      <c r="C50" t="str">
        <f t="shared" si="52"/>
        <v>Boom Annual</v>
      </c>
      <c r="D50" s="258" t="s">
        <v>17</v>
      </c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67"/>
      <c r="Q50" s="259"/>
      <c r="R50" s="259"/>
      <c r="S50" s="259"/>
      <c r="T50" s="259"/>
      <c r="U50" s="259"/>
      <c r="V50" s="259"/>
      <c r="W50" s="259"/>
      <c r="X50" s="259"/>
      <c r="Y50" s="259"/>
      <c r="Z50" s="259"/>
      <c r="AA50" s="259"/>
      <c r="AB50" s="267"/>
      <c r="AC50" s="259"/>
      <c r="AD50" s="259"/>
      <c r="AE50" s="259"/>
      <c r="AF50" s="259"/>
      <c r="AG50" s="259"/>
      <c r="AH50" s="259"/>
      <c r="AI50" s="259"/>
      <c r="AJ50" s="259"/>
      <c r="AK50" s="259"/>
      <c r="AL50" s="259"/>
      <c r="AM50" s="259"/>
      <c r="AN50" s="267"/>
      <c r="AO50" s="277"/>
      <c r="AP50" s="277"/>
      <c r="AQ50" s="278">
        <f>SUMIFS(AC50:AN50,AC$4:AN$4,"&lt;"&amp;'Title Sheet'!$C$13)</f>
        <v>0</v>
      </c>
    </row>
    <row r="51" spans="1:43" ht="15.75" outlineLevel="1" x14ac:dyDescent="0.25">
      <c r="A51">
        <v>4</v>
      </c>
      <c r="B51" t="str">
        <f t="shared" si="51"/>
        <v>PC Annual Direct</v>
      </c>
      <c r="C51" t="str">
        <f t="shared" si="52"/>
        <v>Boom Annual</v>
      </c>
      <c r="D51" s="208" t="s">
        <v>7</v>
      </c>
      <c r="E51" s="282" t="e">
        <f>'Current - Sales, NWP, GWP'!E52/VLOOKUP(COUNTA(E$4:$AC$4),'Dev Patterns'!$B$6:$F$22,$A51,0)</f>
        <v>#N/A</v>
      </c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4"/>
      <c r="Q51" s="282"/>
      <c r="R51" s="283">
        <f>'Current - Sales, NWP, GWP'!R52/VLOOKUP(COUNTA(R$4:$AC$4),'Dev Patterns'!$B$6:$F$22,$A51,0)</f>
        <v>1732534.6217633793</v>
      </c>
      <c r="S51" s="283">
        <f>'Current - Sales, NWP, GWP'!S52/VLOOKUP(COUNTA(S$4:$AC$4),'Dev Patterns'!$B$6:$F$22,$A51,0)</f>
        <v>2204635.5277814767</v>
      </c>
      <c r="T51" s="283">
        <f>'Current - Sales, NWP, GWP'!T52/VLOOKUP(COUNTA(T$4:$AC$4),'Dev Patterns'!$B$6:$F$22,$A51,0)</f>
        <v>1847800.7603024098</v>
      </c>
      <c r="U51" s="283">
        <f>'Current - Sales, NWP, GWP'!U52/VLOOKUP(COUNTA(U$4:$AC$4),'Dev Patterns'!$B$6:$F$22,$A51,0)</f>
        <v>1832466.3039251945</v>
      </c>
      <c r="V51" s="283">
        <f>'Current - Sales, NWP, GWP'!V52/VLOOKUP(COUNTA(V$4:$AC$4),'Dev Patterns'!$B$6:$F$22,$A51,0)</f>
        <v>1513736.407594407</v>
      </c>
      <c r="W51" s="283">
        <f>'Current - Sales, NWP, GWP'!W52/VLOOKUP(COUNTA(W$4:$AC$4),'Dev Patterns'!$B$6:$F$22,$A51,0)</f>
        <v>1232515.4905949472</v>
      </c>
      <c r="X51" s="283">
        <f>'Current - Sales, NWP, GWP'!X52/VLOOKUP(COUNTA(X$4:$AC$4),'Dev Patterns'!$B$6:$F$22,$A51,0)</f>
        <v>1058885.1570445432</v>
      </c>
      <c r="Y51" s="283">
        <f>'Current - Sales, NWP, GWP'!Y52/VLOOKUP(COUNTA(Y$4:$AC$4),'Dev Patterns'!$B$6:$F$22,$A51,0)</f>
        <v>1012210.2132932072</v>
      </c>
      <c r="Z51" s="283">
        <f>'Current - Sales, NWP, GWP'!Z52/VLOOKUP(COUNTA(Z$4:$AC$4),'Dev Patterns'!$B$6:$F$22,$A51,0)</f>
        <v>981114.19294443948</v>
      </c>
      <c r="AA51" s="283">
        <f>'Current - Sales, NWP, GWP'!AA52/VLOOKUP(COUNTA(AA$4:$AC$4),'Dev Patterns'!$B$6:$F$22,$A51,0)</f>
        <v>1104315.3880800544</v>
      </c>
      <c r="AB51" s="284">
        <f>'Current - Sales, NWP, GWP'!AB52/VLOOKUP(COUNTA(AB$4:$AC$4),'Dev Patterns'!$B$6:$F$22,$A51,0)</f>
        <v>1021158.6356167542</v>
      </c>
      <c r="AC51" s="282">
        <f>'Current - Sales, NWP, GWP'!AC52/VLOOKUP(COUNTA(AC$4:$AC$4),'Dev Patterns'!$B$6:$F$22,$A51,0)</f>
        <v>902387.96875295264</v>
      </c>
      <c r="AD51" s="283">
        <f>'Current - Sales, NWP, GWP'!AD52/VLOOKUP(COUNTA($AC$4:AD$4),'Dev Patterns'!$B$6:$F$22,$A51,0)</f>
        <v>687048.2902513711</v>
      </c>
      <c r="AE51" s="283">
        <f>'Current - Sales, NWP, GWP'!AE52/VLOOKUP(COUNTA($AC$4:AE$4),'Dev Patterns'!$B$6:$F$22,$A51,0)</f>
        <v>786157.84197758266</v>
      </c>
      <c r="AF51" s="283">
        <f>'Current - Sales, NWP, GWP'!AF52/VLOOKUP(COUNTA($AC$4:AF$4),'Dev Patterns'!$B$6:$F$22,$A51,0)</f>
        <v>738667.57022752124</v>
      </c>
      <c r="AG51" s="283">
        <f>'Current - Sales, NWP, GWP'!AG52/VLOOKUP(COUNTA($AC$4:AG$4),'Dev Patterns'!$B$6:$F$22,$A51,0)</f>
        <v>798384.72615536361</v>
      </c>
      <c r="AH51" s="283">
        <f>'Current - Sales, NWP, GWP'!AH52/VLOOKUP(COUNTA($AC$4:AH$4),'Dev Patterns'!$B$6:$F$22,$A51,0)</f>
        <v>691419.54190475075</v>
      </c>
      <c r="AI51" s="283">
        <f>'Current - Sales, NWP, GWP'!AI52/VLOOKUP(COUNTA($AC$4:AI$4),'Dev Patterns'!$B$6:$F$22,$A51,0)</f>
        <v>709052.88941970596</v>
      </c>
      <c r="AJ51" s="283">
        <f>'Current - Sales, NWP, GWP'!AJ52/VLOOKUP(COUNTA($AC$4:AJ$4),'Dev Patterns'!$B$6:$F$22,$A51,0)</f>
        <v>321643.20328316023</v>
      </c>
      <c r="AK51" s="283">
        <f>'Current - Sales, NWP, GWP'!AK52/VLOOKUP(COUNTA($AC$4:AK$4),'Dev Patterns'!$B$6:$F$22,$A51,0)</f>
        <v>0</v>
      </c>
      <c r="AL51" s="283">
        <f>'Current - Sales, NWP, GWP'!AL52/VLOOKUP(COUNTA($AC$4:AL$4),'Dev Patterns'!$B$6:$F$22,$A51,0)</f>
        <v>0</v>
      </c>
      <c r="AM51" s="283">
        <f>'Current - Sales, NWP, GWP'!AM52/VLOOKUP(COUNTA($AC$4:AM$4),'Dev Patterns'!$B$6:$F$22,$A51,0)</f>
        <v>0</v>
      </c>
      <c r="AN51" s="284">
        <f>'Current - Sales, NWP, GWP'!AN52/VLOOKUP(COUNTA($AC$4:AN$4),'Dev Patterns'!$B$6:$F$22,$A51,0)</f>
        <v>0</v>
      </c>
      <c r="AO51" s="237">
        <f t="shared" ref="AO51" si="62">AVERAGE(Z51:AC51)</f>
        <v>1002244.0463485502</v>
      </c>
      <c r="AP51" s="209">
        <f>AVERAGE(R51:AC51)</f>
        <v>1370313.3889744806</v>
      </c>
      <c r="AQ51" s="238">
        <f>SUMIFS(AC51:AN51,AC$4:AN$4,"&lt;"&amp;'Title Sheet'!$C$13)</f>
        <v>5634762.0319724074</v>
      </c>
    </row>
    <row r="52" spans="1:43" ht="16.5" outlineLevel="1" thickBot="1" x14ac:dyDescent="0.3">
      <c r="B52" t="str">
        <f t="shared" si="51"/>
        <v>PC Annual Direct</v>
      </c>
      <c r="C52" t="str">
        <f t="shared" si="52"/>
        <v>Boom Annual</v>
      </c>
      <c r="D52" s="226" t="s">
        <v>21</v>
      </c>
      <c r="E52" s="269">
        <f t="shared" ref="E52" si="63">E44/E$8</f>
        <v>1</v>
      </c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81"/>
      <c r="Q52" s="269"/>
      <c r="R52" s="269">
        <f t="shared" ref="R52:AP52" si="64">R44/R$8</f>
        <v>0.49842702537563116</v>
      </c>
      <c r="S52" s="269">
        <f t="shared" si="64"/>
        <v>0.49417695269860074</v>
      </c>
      <c r="T52" s="269">
        <f t="shared" si="64"/>
        <v>0.43457610485745923</v>
      </c>
      <c r="U52" s="269">
        <f t="shared" si="64"/>
        <v>0.43857793987506088</v>
      </c>
      <c r="V52" s="269">
        <f t="shared" si="64"/>
        <v>0.41810901031990116</v>
      </c>
      <c r="W52" s="269">
        <f t="shared" si="64"/>
        <v>0.37621559456863529</v>
      </c>
      <c r="X52" s="269">
        <f t="shared" si="64"/>
        <v>0.3986241501755286</v>
      </c>
      <c r="Y52" s="269">
        <f t="shared" si="64"/>
        <v>0.40442593663425996</v>
      </c>
      <c r="Z52" s="269">
        <f t="shared" si="64"/>
        <v>0.4162902452629223</v>
      </c>
      <c r="AA52" s="269">
        <f t="shared" si="64"/>
        <v>0.47640865630988766</v>
      </c>
      <c r="AB52" s="281">
        <f t="shared" si="64"/>
        <v>0.42998859778680892</v>
      </c>
      <c r="AC52" s="269">
        <f t="shared" si="64"/>
        <v>0.42188855009754628</v>
      </c>
      <c r="AD52" s="269">
        <f t="shared" si="64"/>
        <v>0.28385265674042948</v>
      </c>
      <c r="AE52" s="269">
        <f t="shared" si="64"/>
        <v>0.2516155504986945</v>
      </c>
      <c r="AF52" s="269">
        <f t="shared" si="64"/>
        <v>0.23968330734433571</v>
      </c>
      <c r="AG52" s="269">
        <f t="shared" si="64"/>
        <v>0.25122987013903686</v>
      </c>
      <c r="AH52" s="269">
        <f t="shared" si="64"/>
        <v>0.24919797231905422</v>
      </c>
      <c r="AI52" s="269">
        <f t="shared" si="64"/>
        <v>0.23890993616132772</v>
      </c>
      <c r="AJ52" s="269">
        <f t="shared" si="64"/>
        <v>0.23774424035026645</v>
      </c>
      <c r="AK52" s="269">
        <f t="shared" si="64"/>
        <v>0.24923836264870508</v>
      </c>
      <c r="AL52" s="269">
        <f t="shared" si="64"/>
        <v>0.25527424292282652</v>
      </c>
      <c r="AM52" s="269">
        <f t="shared" si="64"/>
        <v>0.2759000243598963</v>
      </c>
      <c r="AN52" s="281">
        <f t="shared" si="64"/>
        <v>0.25856431946666314</v>
      </c>
      <c r="AO52" s="279">
        <f t="shared" si="64"/>
        <v>0.43702407011454242</v>
      </c>
      <c r="AP52" s="269">
        <f t="shared" si="64"/>
        <v>0.43376868356111553</v>
      </c>
      <c r="AQ52" s="280" t="str">
        <f t="shared" ref="AQ52" si="65">IFERROR(IF(AQ50=0,"-",(AQ50/AQ51)-1),"-")</f>
        <v>-</v>
      </c>
    </row>
    <row r="53" spans="1:43" ht="15.75" outlineLevel="1" x14ac:dyDescent="0.25">
      <c r="D53" s="46"/>
      <c r="E53" s="325"/>
      <c r="F53" s="325"/>
      <c r="G53" s="325"/>
      <c r="H53" s="325"/>
      <c r="I53" s="325"/>
      <c r="J53" s="325"/>
      <c r="K53" s="325"/>
      <c r="L53" s="325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5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</row>
    <row r="54" spans="1:43" ht="16.5" outlineLevel="1" thickBot="1" x14ac:dyDescent="0.3">
      <c r="D54" s="46"/>
      <c r="E54" s="325"/>
      <c r="F54" s="325"/>
      <c r="G54" s="325"/>
      <c r="H54" s="325"/>
      <c r="I54" s="325"/>
      <c r="J54" s="325"/>
      <c r="K54" s="325"/>
      <c r="L54" s="325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</row>
    <row r="55" spans="1:43" ht="18.75" outlineLevel="1" x14ac:dyDescent="0.25">
      <c r="D55" s="309" t="s">
        <v>351</v>
      </c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63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63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63"/>
      <c r="AO55" s="202"/>
      <c r="AP55" s="202"/>
      <c r="AQ55" s="233"/>
    </row>
    <row r="56" spans="1:43" outlineLevel="1" x14ac:dyDescent="0.25">
      <c r="D56" s="204"/>
      <c r="E56" s="200" t="s">
        <v>237</v>
      </c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64"/>
      <c r="Q56" s="200"/>
      <c r="R56" s="200"/>
      <c r="S56" s="200"/>
      <c r="T56" s="200"/>
      <c r="U56" s="200"/>
      <c r="V56" s="200"/>
      <c r="W56" s="200"/>
      <c r="X56" s="200"/>
      <c r="Y56" s="200"/>
      <c r="Z56" s="200"/>
      <c r="AA56" s="200"/>
      <c r="AB56" s="264"/>
      <c r="AC56" s="200"/>
      <c r="AD56" s="200"/>
      <c r="AE56" s="200"/>
      <c r="AF56" s="200"/>
      <c r="AG56" s="200"/>
      <c r="AH56" s="200"/>
      <c r="AI56" s="200"/>
      <c r="AJ56" s="200"/>
      <c r="AK56" s="200"/>
      <c r="AL56" s="200"/>
      <c r="AM56" s="200"/>
      <c r="AN56" s="264"/>
      <c r="AO56" s="510" t="s">
        <v>8</v>
      </c>
      <c r="AP56" s="511"/>
      <c r="AQ56" s="512"/>
    </row>
    <row r="57" spans="1:43" outlineLevel="1" x14ac:dyDescent="0.25">
      <c r="D57" s="256" t="s">
        <v>16</v>
      </c>
      <c r="E57" s="285">
        <f t="shared" ref="E57:AN57" si="66">E$4</f>
        <v>44562</v>
      </c>
      <c r="F57" s="285">
        <f t="shared" si="66"/>
        <v>44593</v>
      </c>
      <c r="G57" s="285">
        <f t="shared" si="66"/>
        <v>44621</v>
      </c>
      <c r="H57" s="285">
        <f t="shared" si="66"/>
        <v>44652</v>
      </c>
      <c r="I57" s="285">
        <f t="shared" si="66"/>
        <v>44682</v>
      </c>
      <c r="J57" s="285">
        <f t="shared" si="66"/>
        <v>44713</v>
      </c>
      <c r="K57" s="285">
        <f t="shared" si="66"/>
        <v>44743</v>
      </c>
      <c r="L57" s="285">
        <f t="shared" si="66"/>
        <v>44774</v>
      </c>
      <c r="M57" s="285">
        <f t="shared" si="66"/>
        <v>44805</v>
      </c>
      <c r="N57" s="285">
        <f t="shared" si="66"/>
        <v>44835</v>
      </c>
      <c r="O57" s="285">
        <f t="shared" si="66"/>
        <v>44866</v>
      </c>
      <c r="P57" s="286">
        <f t="shared" si="66"/>
        <v>44896</v>
      </c>
      <c r="Q57" s="285">
        <f t="shared" si="66"/>
        <v>44927</v>
      </c>
      <c r="R57" s="285">
        <f t="shared" si="66"/>
        <v>44958</v>
      </c>
      <c r="S57" s="285">
        <f t="shared" si="66"/>
        <v>44986</v>
      </c>
      <c r="T57" s="285">
        <f t="shared" si="66"/>
        <v>45017</v>
      </c>
      <c r="U57" s="285">
        <f t="shared" si="66"/>
        <v>45047</v>
      </c>
      <c r="V57" s="285">
        <f t="shared" si="66"/>
        <v>45078</v>
      </c>
      <c r="W57" s="285">
        <f t="shared" si="66"/>
        <v>45108</v>
      </c>
      <c r="X57" s="285">
        <f t="shared" si="66"/>
        <v>45139</v>
      </c>
      <c r="Y57" s="285">
        <f t="shared" si="66"/>
        <v>45170</v>
      </c>
      <c r="Z57" s="285">
        <f t="shared" si="66"/>
        <v>45200</v>
      </c>
      <c r="AA57" s="285">
        <f t="shared" si="66"/>
        <v>45231</v>
      </c>
      <c r="AB57" s="286">
        <f t="shared" si="66"/>
        <v>45261</v>
      </c>
      <c r="AC57" s="285">
        <f t="shared" si="66"/>
        <v>45292</v>
      </c>
      <c r="AD57" s="285">
        <f t="shared" si="66"/>
        <v>45323</v>
      </c>
      <c r="AE57" s="285">
        <f t="shared" si="66"/>
        <v>45352</v>
      </c>
      <c r="AF57" s="285">
        <f t="shared" si="66"/>
        <v>45383</v>
      </c>
      <c r="AG57" s="285">
        <f t="shared" si="66"/>
        <v>45413</v>
      </c>
      <c r="AH57" s="285">
        <f t="shared" si="66"/>
        <v>45444</v>
      </c>
      <c r="AI57" s="285">
        <f t="shared" si="66"/>
        <v>45474</v>
      </c>
      <c r="AJ57" s="285">
        <f t="shared" si="66"/>
        <v>45505</v>
      </c>
      <c r="AK57" s="285">
        <f t="shared" si="66"/>
        <v>45536</v>
      </c>
      <c r="AL57" s="285">
        <f t="shared" si="66"/>
        <v>45566</v>
      </c>
      <c r="AM57" s="285">
        <f t="shared" si="66"/>
        <v>45597</v>
      </c>
      <c r="AN57" s="286">
        <f t="shared" si="66"/>
        <v>45627</v>
      </c>
      <c r="AO57" s="271">
        <f>AO38</f>
        <v>0</v>
      </c>
      <c r="AP57" s="272">
        <f>AP38</f>
        <v>0</v>
      </c>
      <c r="AQ57" s="273" t="s">
        <v>346</v>
      </c>
    </row>
    <row r="58" spans="1:43" ht="15.75" outlineLevel="1" x14ac:dyDescent="0.25">
      <c r="A58">
        <v>5</v>
      </c>
      <c r="B58" t="str">
        <f>$D$2</f>
        <v>PC Annual Direct</v>
      </c>
      <c r="C58" t="s">
        <v>353</v>
      </c>
      <c r="D58" s="208" t="s">
        <v>316</v>
      </c>
      <c r="E58" s="209" t="e">
        <f>'Current - Sales, NWP, GWP'!E60/VLOOKUP(COUNTA(E$4:$AC$4),'Dev Patterns'!$B$6:$F$22,$A58,0)</f>
        <v>#N/A</v>
      </c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65"/>
      <c r="Q58" s="209"/>
      <c r="R58" s="209">
        <f>'Current - Sales, NWP, GWP'!R60/VLOOKUP(COUNTA(R$4:$AC$4),'Dev Patterns'!$B$6:$F$22,$A58,0)</f>
        <v>1449.743685898761</v>
      </c>
      <c r="S58" s="209">
        <f>'Current - Sales, NWP, GWP'!S60/VLOOKUP(COUNTA(S$4:$AC$4),'Dev Patterns'!$B$6:$F$22,$A58,0)</f>
        <v>2874.3876897106657</v>
      </c>
      <c r="T58" s="209">
        <f>'Current - Sales, NWP, GWP'!T60/VLOOKUP(COUNTA(T$4:$AC$4),'Dev Patterns'!$B$6:$F$22,$A58,0)</f>
        <v>3049.371713228009</v>
      </c>
      <c r="U58" s="209">
        <f>'Current - Sales, NWP, GWP'!U60/VLOOKUP(COUNTA(U$4:$AC$4),'Dev Patterns'!$B$6:$F$22,$A58,0)</f>
        <v>2940.4713573550334</v>
      </c>
      <c r="V58" s="209">
        <f>'Current - Sales, NWP, GWP'!V60/VLOOKUP(COUNTA(V$4:$AC$4),'Dev Patterns'!$B$6:$F$22,$A58,0)</f>
        <v>2539.0890942017536</v>
      </c>
      <c r="W58" s="209">
        <f>'Current - Sales, NWP, GWP'!W60/VLOOKUP(COUNTA(W$4:$AC$4),'Dev Patterns'!$B$6:$F$22,$A58,0)</f>
        <v>2141.6584939585482</v>
      </c>
      <c r="X58" s="209">
        <f>'Current - Sales, NWP, GWP'!X60/VLOOKUP(COUNTA(X$4:$AC$4),'Dev Patterns'!$B$6:$F$22,$A58,0)</f>
        <v>1875.8667558624843</v>
      </c>
      <c r="Y58" s="209">
        <f>'Current - Sales, NWP, GWP'!Y60/VLOOKUP(COUNTA(Y$4:$AC$4),'Dev Patterns'!$B$6:$F$22,$A58,0)</f>
        <v>1753.8613643063022</v>
      </c>
      <c r="Z58" s="209">
        <f>'Current - Sales, NWP, GWP'!Z60/VLOOKUP(COUNTA(Z$4:$AC$4),'Dev Patterns'!$B$6:$F$22,$A58,0)</f>
        <v>1728.4893096266337</v>
      </c>
      <c r="AA58" s="209">
        <f>'Current - Sales, NWP, GWP'!AA60/VLOOKUP(COUNTA(AA$4:$AC$4),'Dev Patterns'!$B$6:$F$22,$A58,0)</f>
        <v>1880.1702450383784</v>
      </c>
      <c r="AB58" s="265">
        <f>'Current - Sales, NWP, GWP'!AB60/VLOOKUP(COUNTA(AB$4:$AC$4),'Dev Patterns'!$B$6:$F$22,$A58,0)</f>
        <v>2044.5100939562296</v>
      </c>
      <c r="AC58" s="209">
        <f>'Current - Sales, NWP, GWP'!AC60/VLOOKUP(COUNTA(AC$4:$AC$4),'Dev Patterns'!$B$6:$F$22,$A58,0)</f>
        <v>2331.5849815181846</v>
      </c>
      <c r="AD58" s="209">
        <f>'Current - Sales, NWP, GWP'!AD60/VLOOKUP(COUNTA($AC$4:AD$4),'Dev Patterns'!$B$6:$F$22,$A58,0)</f>
        <v>2013.1509649082268</v>
      </c>
      <c r="AE58" s="209">
        <f>'Current - Sales, NWP, GWP'!AE60/VLOOKUP(COUNTA($AC$4:AE$4),'Dev Patterns'!$B$6:$F$22,$A58,0)</f>
        <v>2692.2101063140535</v>
      </c>
      <c r="AF58" s="209">
        <f>'Current - Sales, NWP, GWP'!AF60/VLOOKUP(COUNTA($AC$4:AF$4),'Dev Patterns'!$B$6:$F$22,$A58,0)</f>
        <v>2776.2033107214343</v>
      </c>
      <c r="AG58" s="209">
        <f>'Current - Sales, NWP, GWP'!AG60/VLOOKUP(COUNTA($AC$4:AG$4),'Dev Patterns'!$B$6:$F$22,$A58,0)</f>
        <v>2772.4501517842036</v>
      </c>
      <c r="AH58" s="209">
        <f>'Current - Sales, NWP, GWP'!AH60/VLOOKUP(COUNTA($AC$4:AH$4),'Dev Patterns'!$B$6:$F$22,$A58,0)</f>
        <v>2608.2755432508898</v>
      </c>
      <c r="AI58" s="209">
        <f>'Current - Sales, NWP, GWP'!AI60/VLOOKUP(COUNTA($AC$4:AI$4),'Dev Patterns'!$B$6:$F$22,$A58,0)</f>
        <v>2550.4084495490156</v>
      </c>
      <c r="AJ58" s="209">
        <f>'Current - Sales, NWP, GWP'!AJ60/VLOOKUP(COUNTA($AC$4:AJ$4),'Dev Patterns'!$B$6:$F$22,$A58,0)</f>
        <v>1173.486771624388</v>
      </c>
      <c r="AK58" s="209">
        <f>'Current - Sales, NWP, GWP'!AK60/VLOOKUP(COUNTA($AC$4:AK$4),'Dev Patterns'!$B$6:$F$22,$A58,0)</f>
        <v>0</v>
      </c>
      <c r="AL58" s="209">
        <f>'Current - Sales, NWP, GWP'!AL60/VLOOKUP(COUNTA($AC$4:AL$4),'Dev Patterns'!$B$6:$F$22,$A58,0)</f>
        <v>0</v>
      </c>
      <c r="AM58" s="209">
        <f>'Current - Sales, NWP, GWP'!AM60/VLOOKUP(COUNTA($AC$4:AM$4),'Dev Patterns'!$B$6:$F$22,$A58,0)</f>
        <v>0</v>
      </c>
      <c r="AN58" s="265">
        <f>'Current - Sales, NWP, GWP'!AN60/VLOOKUP(COUNTA($AC$4:AN$4),'Dev Patterns'!$B$6:$F$22,$A58,0)</f>
        <v>0</v>
      </c>
      <c r="AO58" s="237">
        <f t="shared" ref="AO58:AO63" si="67">AVERAGE(Z58:AC58)</f>
        <v>1996.1886575348567</v>
      </c>
      <c r="AP58" s="209">
        <f>AVERAGE(R58:AC58)</f>
        <v>2217.4337320550821</v>
      </c>
      <c r="AQ58" s="238">
        <f>SUMIFS(AC58:AN58,AC$4:AN$4,"&lt;"&amp;'Title Sheet'!$C$13)</f>
        <v>18917.770279670396</v>
      </c>
    </row>
    <row r="59" spans="1:43" ht="15.75" hidden="1" outlineLevel="1" x14ac:dyDescent="0.25">
      <c r="B59" t="str">
        <f>$D$21&amp;"_W VYRs"</f>
        <v>PC Annual Direct - Annual_W VYRs</v>
      </c>
      <c r="C59" t="str">
        <f>$C58</f>
        <v>Boom Premium Finance</v>
      </c>
      <c r="D59" s="211" t="s">
        <v>317</v>
      </c>
      <c r="E59" s="31" t="e">
        <f>INDEX('Plan Figures'!$B$5:$AP$31,MATCH('Ultimate - MGA and MPM'!E$4,'Plan Figures'!$B$5:$B$31,0),MATCH('Ultimate - MGA and MPM'!$B59,'Plan Figures'!$B$1:$AP$1,0))</f>
        <v>#N/A</v>
      </c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266"/>
      <c r="Q59" s="31"/>
      <c r="R59" s="31" t="str">
        <f>INDEX('Plan Figures'!$B$5:$AP$31,MATCH('Ultimate - MGA and MPM'!R$4,'Plan Figures'!$B$5:$B$31,0),MATCH('Ultimate - MGA and MPM'!$B59,'Plan Figures'!$B$1:$AP$1,0))</f>
        <v>-</v>
      </c>
      <c r="S59" s="31" t="str">
        <f>INDEX('Plan Figures'!$B$5:$AP$31,MATCH('Ultimate - MGA and MPM'!S$4,'Plan Figures'!$B$5:$B$31,0),MATCH('Ultimate - MGA and MPM'!$B59,'Plan Figures'!$B$1:$AP$1,0))</f>
        <v>-</v>
      </c>
      <c r="T59" s="31" t="str">
        <f>INDEX('Plan Figures'!$B$5:$AP$31,MATCH('Ultimate - MGA and MPM'!T$4,'Plan Figures'!$B$5:$B$31,0),MATCH('Ultimate - MGA and MPM'!$B59,'Plan Figures'!$B$1:$AP$1,0))</f>
        <v>-</v>
      </c>
      <c r="U59" s="31" t="str">
        <f>INDEX('Plan Figures'!$B$5:$AP$31,MATCH('Ultimate - MGA and MPM'!U$4,'Plan Figures'!$B$5:$B$31,0),MATCH('Ultimate - MGA and MPM'!$B59,'Plan Figures'!$B$1:$AP$1,0))</f>
        <v>-</v>
      </c>
      <c r="V59" s="31" t="str">
        <f>INDEX('Plan Figures'!$B$5:$AP$31,MATCH('Ultimate - MGA and MPM'!V$4,'Plan Figures'!$B$5:$B$31,0),MATCH('Ultimate - MGA and MPM'!$B59,'Plan Figures'!$B$1:$AP$1,0))</f>
        <v>-</v>
      </c>
      <c r="W59" s="31" t="str">
        <f>INDEX('Plan Figures'!$B$5:$AP$31,MATCH('Ultimate - MGA and MPM'!W$4,'Plan Figures'!$B$5:$B$31,0),MATCH('Ultimate - MGA and MPM'!$B59,'Plan Figures'!$B$1:$AP$1,0))</f>
        <v>-</v>
      </c>
      <c r="X59" s="31" t="str">
        <f>INDEX('Plan Figures'!$B$5:$AP$31,MATCH('Ultimate - MGA and MPM'!X$4,'Plan Figures'!$B$5:$B$31,0),MATCH('Ultimate - MGA and MPM'!$B59,'Plan Figures'!$B$1:$AP$1,0))</f>
        <v>-</v>
      </c>
      <c r="Y59" s="31" t="str">
        <f>INDEX('Plan Figures'!$B$5:$AP$31,MATCH('Ultimate - MGA and MPM'!Y$4,'Plan Figures'!$B$5:$B$31,0),MATCH('Ultimate - MGA and MPM'!$B59,'Plan Figures'!$B$1:$AP$1,0))</f>
        <v>-</v>
      </c>
      <c r="Z59" s="31" t="str">
        <f>INDEX('Plan Figures'!$B$5:$AP$31,MATCH('Ultimate - MGA and MPM'!Z$4,'Plan Figures'!$B$5:$B$31,0),MATCH('Ultimate - MGA and MPM'!$B59,'Plan Figures'!$B$1:$AP$1,0))</f>
        <v>-</v>
      </c>
      <c r="AA59" s="31">
        <f>INDEX('Plan Figures'!$B$5:$AP$31,MATCH('Ultimate - MGA and MPM'!AA$4,'Plan Figures'!$B$5:$B$31,0),MATCH('Ultimate - MGA and MPM'!$B59,'Plan Figures'!$B$1:$AP$1,0))</f>
        <v>1113.4200697273855</v>
      </c>
      <c r="AB59" s="266">
        <f>INDEX('Plan Figures'!$B$5:$AP$31,MATCH('Ultimate - MGA and MPM'!AB$4,'Plan Figures'!$B$5:$B$31,0),MATCH('Ultimate - MGA and MPM'!$B59,'Plan Figures'!$B$1:$AP$1,0))</f>
        <v>989.67431218271486</v>
      </c>
      <c r="AC59" s="31">
        <f>INDEX('Plan Figures'!$B$5:$AP$31,MATCH('Ultimate - MGA and MPM'!AC$4,'Plan Figures'!$B$5:$B$31,0),MATCH('Ultimate - MGA and MPM'!$B59,'Plan Figures'!$B$1:$AP$1,0))</f>
        <v>1210.5482166933789</v>
      </c>
      <c r="AD59" s="31">
        <f>INDEX('Plan Figures'!$B$5:$AP$42,MATCH('Ultimate - MGA and MPM'!AD$4,'Plan Figures'!$B$5:$B$42,0),MATCH('Ultimate - MGA and MPM'!$B59,'Plan Figures'!$B$1:$AP$1,0))</f>
        <v>1208.1319527878034</v>
      </c>
      <c r="AE59" s="31">
        <f>INDEX('Plan Figures'!$B$5:$AP$42,MATCH('Ultimate - MGA and MPM'!AE$4,'Plan Figures'!$B$5:$B$42,0),MATCH('Ultimate - MGA and MPM'!$B59,'Plan Figures'!$B$1:$AP$1,0))</f>
        <v>1205.7205117642748</v>
      </c>
      <c r="AF59" s="31">
        <f>INDEX('Plan Figures'!$B$5:$AP$42,MATCH('Ultimate - MGA and MPM'!AF$4,'Plan Figures'!$B$5:$B$42,0),MATCH('Ultimate - MGA and MPM'!$B59,'Plan Figures'!$B$1:$AP$1,0))</f>
        <v>1203.3138839962821</v>
      </c>
      <c r="AG59" s="31">
        <f>INDEX('Plan Figures'!$B$5:$AP$42,MATCH('Ultimate - MGA and MPM'!AG$4,'Plan Figures'!$B$5:$B$42,0),MATCH('Ultimate - MGA and MPM'!$B59,'Plan Figures'!$B$1:$AP$1,0))</f>
        <v>1201.0207575202833</v>
      </c>
      <c r="AH59" s="31">
        <f>INDEX('Plan Figures'!$B$5:$AP$42,MATCH('Ultimate - MGA and MPM'!AH$4,'Plan Figures'!$B$5:$B$42,0),MATCH('Ultimate - MGA and MPM'!$B59,'Plan Figures'!$B$1:$AP$1,0))</f>
        <v>1228.875833502128</v>
      </c>
      <c r="AI59" s="31">
        <f>INDEX('Plan Figures'!$B$5:$AP$42,MATCH('Ultimate - MGA and MPM'!AI$4,'Plan Figures'!$B$5:$B$42,0),MATCH('Ultimate - MGA and MPM'!$B59,'Plan Figures'!$B$1:$AP$1,0))</f>
        <v>1163.6668411466933</v>
      </c>
      <c r="AJ59" s="31">
        <f>INDEX('Plan Figures'!$B$5:$AP$42,MATCH('Ultimate - MGA and MPM'!AJ$4,'Plan Figures'!$B$5:$B$42,0),MATCH('Ultimate - MGA and MPM'!$B59,'Plan Figures'!$B$1:$AP$1,0))</f>
        <v>1142.8043600541273</v>
      </c>
      <c r="AK59" s="31">
        <f>INDEX('Plan Figures'!$B$5:$AP$42,MATCH('Ultimate - MGA and MPM'!AK$4,'Plan Figures'!$B$5:$B$42,0),MATCH('Ultimate - MGA and MPM'!$B59,'Plan Figures'!$B$1:$AP$1,0))</f>
        <v>1583.4171745261115</v>
      </c>
      <c r="AL59" s="31">
        <f>INDEX('Plan Figures'!$B$5:$AP$42,MATCH('Ultimate - MGA and MPM'!AL$4,'Plan Figures'!$B$5:$B$42,0),MATCH('Ultimate - MGA and MPM'!$B59,'Plan Figures'!$B$1:$AP$1,0))</f>
        <v>1633.4199796082153</v>
      </c>
      <c r="AM59" s="31">
        <f>INDEX('Plan Figures'!$B$5:$AP$42,MATCH('Ultimate - MGA and MPM'!AM$4,'Plan Figures'!$B$5:$B$42,0),MATCH('Ultimate - MGA and MPM'!$B59,'Plan Figures'!$B$1:$AP$1,0))</f>
        <v>1421.9431064527189</v>
      </c>
      <c r="AN59" s="266">
        <f>INDEX('Plan Figures'!$B$5:$AP$42,MATCH('Ultimate - MGA and MPM'!AN$4,'Plan Figures'!$B$5:$B$42,0),MATCH('Ultimate - MGA and MPM'!$B59,'Plan Figures'!$B$1:$AP$1,0))</f>
        <v>1292.0881451523526</v>
      </c>
      <c r="AO59" s="239">
        <f t="shared" si="67"/>
        <v>1104.5475328678265</v>
      </c>
      <c r="AP59" s="31">
        <f t="shared" ref="AP59:AP63" si="68">AVERAGE(R59:AC59)</f>
        <v>1104.5475328678265</v>
      </c>
      <c r="AQ59" s="240">
        <f>SUMIFS(AC59:AN59,AC$4:AN$4,"&lt;"&amp;'Title Sheet'!$C$13)</f>
        <v>15494.950763204368</v>
      </c>
    </row>
    <row r="60" spans="1:43" ht="15.75" hidden="1" outlineLevel="1" x14ac:dyDescent="0.25">
      <c r="B60" t="str">
        <f t="shared" ref="B60:B69" si="69">$D$2</f>
        <v>PC Annual Direct</v>
      </c>
      <c r="C60" t="str">
        <f t="shared" ref="C60:C69" si="70">$C59</f>
        <v>Boom Premium Finance</v>
      </c>
      <c r="D60" s="213" t="s">
        <v>0</v>
      </c>
      <c r="E60" s="214" t="str">
        <f t="shared" ref="E60:AN60" si="71">IFERROR(IF(E58=0,"-",(E58/E59)-1),"-")</f>
        <v>-</v>
      </c>
      <c r="F60" s="214" t="str">
        <f t="shared" si="71"/>
        <v>-</v>
      </c>
      <c r="G60" s="214" t="str">
        <f t="shared" si="71"/>
        <v>-</v>
      </c>
      <c r="H60" s="214" t="str">
        <f t="shared" si="71"/>
        <v>-</v>
      </c>
      <c r="I60" s="214" t="str">
        <f t="shared" si="71"/>
        <v>-</v>
      </c>
      <c r="J60" s="214" t="str">
        <f t="shared" si="71"/>
        <v>-</v>
      </c>
      <c r="K60" s="214" t="str">
        <f t="shared" si="71"/>
        <v>-</v>
      </c>
      <c r="L60" s="214" t="str">
        <f t="shared" si="71"/>
        <v>-</v>
      </c>
      <c r="M60" s="214" t="str">
        <f t="shared" si="71"/>
        <v>-</v>
      </c>
      <c r="N60" s="214" t="str">
        <f t="shared" si="71"/>
        <v>-</v>
      </c>
      <c r="O60" s="214" t="str">
        <f t="shared" si="71"/>
        <v>-</v>
      </c>
      <c r="P60" s="270" t="str">
        <f t="shared" si="71"/>
        <v>-</v>
      </c>
      <c r="Q60" s="214" t="str">
        <f t="shared" si="71"/>
        <v>-</v>
      </c>
      <c r="R60" s="214" t="str">
        <f t="shared" si="71"/>
        <v>-</v>
      </c>
      <c r="S60" s="214" t="str">
        <f t="shared" si="71"/>
        <v>-</v>
      </c>
      <c r="T60" s="214" t="str">
        <f t="shared" si="71"/>
        <v>-</v>
      </c>
      <c r="U60" s="214" t="str">
        <f t="shared" si="71"/>
        <v>-</v>
      </c>
      <c r="V60" s="214" t="str">
        <f t="shared" si="71"/>
        <v>-</v>
      </c>
      <c r="W60" s="214" t="str">
        <f t="shared" si="71"/>
        <v>-</v>
      </c>
      <c r="X60" s="214" t="str">
        <f t="shared" si="71"/>
        <v>-</v>
      </c>
      <c r="Y60" s="214" t="str">
        <f t="shared" si="71"/>
        <v>-</v>
      </c>
      <c r="Z60" s="214" t="str">
        <f t="shared" si="71"/>
        <v>-</v>
      </c>
      <c r="AA60" s="214">
        <f t="shared" si="71"/>
        <v>0.68864411209933318</v>
      </c>
      <c r="AB60" s="270">
        <f t="shared" si="71"/>
        <v>1.0658413265744842</v>
      </c>
      <c r="AC60" s="214">
        <f t="shared" si="71"/>
        <v>0.92605709493086175</v>
      </c>
      <c r="AD60" s="214">
        <f t="shared" si="71"/>
        <v>0.66633368173303942</v>
      </c>
      <c r="AE60" s="214">
        <f t="shared" si="71"/>
        <v>1.2328641505606202</v>
      </c>
      <c r="AF60" s="214">
        <f t="shared" si="71"/>
        <v>1.3071314539324406</v>
      </c>
      <c r="AG60" s="214">
        <f t="shared" si="71"/>
        <v>1.3084115194714956</v>
      </c>
      <c r="AH60" s="214">
        <f t="shared" si="71"/>
        <v>1.1224890848554336</v>
      </c>
      <c r="AI60" s="214">
        <f t="shared" si="71"/>
        <v>1.1916998571823254</v>
      </c>
      <c r="AJ60" s="214">
        <f t="shared" si="71"/>
        <v>2.6848350113756636E-2</v>
      </c>
      <c r="AK60" s="214" t="str">
        <f t="shared" si="71"/>
        <v>-</v>
      </c>
      <c r="AL60" s="214" t="str">
        <f t="shared" si="71"/>
        <v>-</v>
      </c>
      <c r="AM60" s="214" t="str">
        <f t="shared" si="71"/>
        <v>-</v>
      </c>
      <c r="AN60" s="270" t="str">
        <f t="shared" si="71"/>
        <v>-</v>
      </c>
      <c r="AO60" s="274">
        <f t="shared" si="67"/>
        <v>0.8935141778682264</v>
      </c>
      <c r="AP60" s="275">
        <f t="shared" si="68"/>
        <v>0.8935141778682264</v>
      </c>
      <c r="AQ60" s="276">
        <f t="shared" ref="AQ60" si="72">IFERROR(IF(AQ58=0,"-",(AQ58/AQ59)-1),"-")</f>
        <v>0.22089902502911762</v>
      </c>
    </row>
    <row r="61" spans="1:43" ht="15.75" outlineLevel="1" x14ac:dyDescent="0.25">
      <c r="A61">
        <v>4</v>
      </c>
      <c r="B61" t="str">
        <f t="shared" si="69"/>
        <v>PC Annual Direct</v>
      </c>
      <c r="C61" t="str">
        <f t="shared" si="70"/>
        <v>Boom Premium Finance</v>
      </c>
      <c r="D61" s="208" t="s">
        <v>5</v>
      </c>
      <c r="E61" s="209">
        <f>'Current - MGA and MPM'!E61/VLOOKUP(COUNTA(E$4:$AE$4),'Dev Patterns'!$B$6:$F$34,$A61,0)</f>
        <v>0</v>
      </c>
      <c r="F61" s="209">
        <f>'Current - MGA and MPM'!F61/VLOOKUP(COUNTA(F$4:$AE$4),'Dev Patterns'!$B$6:$F$34,$A61,0)</f>
        <v>0</v>
      </c>
      <c r="G61" s="209">
        <f>'Current - MGA and MPM'!G61/VLOOKUP(COUNTA(G$4:$AE$4),'Dev Patterns'!$B$6:$F$34,$A61,0)</f>
        <v>0</v>
      </c>
      <c r="H61" s="209">
        <f>'Current - MGA and MPM'!H61/VLOOKUP(COUNTA(H$4:$AE$4),'Dev Patterns'!$B$6:$F$34,$A61,0)</f>
        <v>0</v>
      </c>
      <c r="I61" s="209">
        <f>'Current - MGA and MPM'!I61/VLOOKUP(COUNTA(I$4:$AE$4),'Dev Patterns'!$B$6:$F$34,$A61,0)</f>
        <v>0</v>
      </c>
      <c r="J61" s="209">
        <f>'Current - MGA and MPM'!J61/VLOOKUP(COUNTA(J$4:$AE$4),'Dev Patterns'!$B$6:$F$34,$A61,0)</f>
        <v>0</v>
      </c>
      <c r="K61" s="209">
        <f>'Current - MGA and MPM'!K61/VLOOKUP(COUNTA(K$4:$AE$4),'Dev Patterns'!$B$6:$F$34,$A61,0)</f>
        <v>0</v>
      </c>
      <c r="L61" s="209">
        <f>'Current - MGA and MPM'!L61/VLOOKUP(COUNTA(L$4:$AE$4),'Dev Patterns'!$B$6:$F$34,$A61,0)</f>
        <v>0</v>
      </c>
      <c r="M61" s="209">
        <f>'Current - MGA and MPM'!M61/VLOOKUP(COUNTA(M$4:$AE$4),'Dev Patterns'!$B$6:$F$34,$A61,0)</f>
        <v>0</v>
      </c>
      <c r="N61" s="209">
        <f>'Current - MGA and MPM'!N61/VLOOKUP(COUNTA(N$4:$AE$4),'Dev Patterns'!$B$6:$F$34,$A61,0)</f>
        <v>0</v>
      </c>
      <c r="O61" s="209">
        <f>'Current - MGA and MPM'!O61/VLOOKUP(COUNTA(O$4:$AE$4),'Dev Patterns'!$B$6:$F$34,$A61,0)</f>
        <v>0</v>
      </c>
      <c r="P61" s="265">
        <f>'Current - MGA and MPM'!P61/VLOOKUP(COUNTA(P$4:$AE$4),'Dev Patterns'!$B$6:$F$34,$A61,0)</f>
        <v>0</v>
      </c>
      <c r="Q61" s="209">
        <f>'Current - MGA and MPM'!Q61/VLOOKUP(COUNTA(Q$4:$AE$4),'Dev Patterns'!$B$6:$F$34,$A61,0)</f>
        <v>0</v>
      </c>
      <c r="R61" s="209">
        <f>'Current - MGA and MPM'!R61/VLOOKUP(COUNTA(R$4:$AE$4),'Dev Patterns'!$B$6:$F$34,$A61,0)</f>
        <v>0</v>
      </c>
      <c r="S61" s="209">
        <f>'Current - MGA and MPM'!S61/VLOOKUP(COUNTA(S$4:$AE$4),'Dev Patterns'!$B$6:$F$34,$A61,0)</f>
        <v>0</v>
      </c>
      <c r="T61" s="209">
        <f>'Current - MGA and MPM'!T61/VLOOKUP(COUNTA(T$4:$AE$4),'Dev Patterns'!$B$6:$F$34,$A61,0)</f>
        <v>0</v>
      </c>
      <c r="U61" s="209">
        <f>'Current - MGA and MPM'!U61/VLOOKUP(COUNTA(U$4:$AE$4),'Dev Patterns'!$B$6:$F$34,$A61,0)</f>
        <v>0</v>
      </c>
      <c r="V61" s="209">
        <f>'Current - MGA and MPM'!V61/VLOOKUP(COUNTA(V$4:$AE$4),'Dev Patterns'!$B$6:$F$34,$A61,0)</f>
        <v>0</v>
      </c>
      <c r="W61" s="209">
        <f>'Current - MGA and MPM'!W61/VLOOKUP(COUNTA(W$4:$AE$4),'Dev Patterns'!$B$6:$F$34,$A61,0)</f>
        <v>0</v>
      </c>
      <c r="X61" s="209">
        <f>'Current - MGA and MPM'!X61/VLOOKUP(COUNTA(X$4:$AE$4),'Dev Patterns'!$B$6:$F$34,$A61,0)</f>
        <v>0</v>
      </c>
      <c r="Y61" s="209">
        <f>'Current - MGA and MPM'!Y61/VLOOKUP(COUNTA(Y$4:$AE$4),'Dev Patterns'!$B$6:$F$34,$A61,0)</f>
        <v>0</v>
      </c>
      <c r="Z61" s="209">
        <f>'Current - MGA and MPM'!Z61/VLOOKUP(COUNTA(Z$4:$AE$4),'Dev Patterns'!$B$6:$F$34,$A61,0)</f>
        <v>0</v>
      </c>
      <c r="AA61" s="209">
        <f>'Current - MGA and MPM'!AA61/VLOOKUP(COUNTA(AA$4:$AE$4),'Dev Patterns'!$B$6:$F$34,$A61,0)</f>
        <v>0</v>
      </c>
      <c r="AB61" s="265">
        <f>'Current - MGA and MPM'!AB61/VLOOKUP(COUNTA(AB$4:$AE$4),'Dev Patterns'!$B$6:$F$34,$A61,0)</f>
        <v>0</v>
      </c>
      <c r="AC61" s="209">
        <f>'Current - MGA and MPM'!AC61/VLOOKUP(COUNTA(AC$4:$AE$4),'Dev Patterns'!$B$6:$F$34,$A61,0)</f>
        <v>391902.63946356589</v>
      </c>
      <c r="AD61" s="209">
        <f>'Current - MGA and MPM'!AD61/VLOOKUP(COUNTA(AD$4:$AE$4),'Dev Patterns'!$B$6:$F$34,$A61,0)</f>
        <v>1985478.3503831804</v>
      </c>
      <c r="AE61" s="209">
        <f>'Current - MGA and MPM'!AE61/VLOOKUP(COUNTA(AE$4:$AE$4),'Dev Patterns'!$B$6:$F$34,$A61,0)</f>
        <v>3754063.7720056386</v>
      </c>
      <c r="AF61" s="209">
        <f>'Current - MGA and MPM'!AF61/VLOOKUP(COUNTA($AE$4:AF$4),'Dev Patterns'!$B$6:$F$34,$A61,0)</f>
        <v>3530904.4716598839</v>
      </c>
      <c r="AG61" s="209">
        <f>'Current - MGA and MPM'!AG61/VLOOKUP(COUNTA($AE$4:AG$4),'Dev Patterns'!$B$6:$F$34,$A61,0)</f>
        <v>3328155.9551350893</v>
      </c>
      <c r="AH61" s="209">
        <f>'Current - MGA and MPM'!AH61/VLOOKUP(COUNTA($AE$4:AH$4),'Dev Patterns'!$B$6:$F$34,$A61,0)</f>
        <v>2807514.1884875917</v>
      </c>
      <c r="AI61" s="209">
        <f>'Current - MGA and MPM'!AI61/VLOOKUP(COUNTA($AE$4:AI$4),'Dev Patterns'!$B$6:$F$34,$A61,0)</f>
        <v>2381737.0343085625</v>
      </c>
      <c r="AJ61" s="209">
        <f>'Current - MGA and MPM'!AJ61/VLOOKUP(COUNTA($AE$4:AJ$4),'Dev Patterns'!$B$6:$F$34,$A61,0)</f>
        <v>2106842.7364228033</v>
      </c>
      <c r="AK61" s="209">
        <f>'Current - MGA and MPM'!AK61/VLOOKUP(COUNTA($AE$4:AK$4),'Dev Patterns'!$B$6:$F$34,$A61,0)</f>
        <v>2002221.4731518715</v>
      </c>
      <c r="AL61" s="209">
        <f>'Current - MGA and MPM'!AL61/VLOOKUP(COUNTA($AE$4:AL$4),'Dev Patterns'!$B$6:$F$34,$A61,0)</f>
        <v>1988988.2863154169</v>
      </c>
      <c r="AM61" s="209">
        <f>'Current - MGA and MPM'!AM61/VLOOKUP(COUNTA($AE$4:AM$4),'Dev Patterns'!$B$6:$F$34,$A61,0)</f>
        <v>2280790.2557977359</v>
      </c>
      <c r="AN61" s="265">
        <f>'Current - MGA and MPM'!AN61/VLOOKUP(COUNTA($AE$4:AN$4),'Dev Patterns'!$B$6:$F$34,$A61,0)</f>
        <v>2491355.7241276489</v>
      </c>
      <c r="AO61" s="237">
        <f t="shared" si="67"/>
        <v>97975.659865891474</v>
      </c>
      <c r="AP61" s="209">
        <f t="shared" si="68"/>
        <v>32658.55328863049</v>
      </c>
      <c r="AQ61" s="238">
        <f>SUMIFS(AC61:AN61,AC$4:AN$4,"&lt;"&amp;'Title Sheet'!$C$13)</f>
        <v>29049954.887258992</v>
      </c>
    </row>
    <row r="62" spans="1:43" ht="15.75" outlineLevel="1" x14ac:dyDescent="0.25">
      <c r="B62" t="str">
        <f>$D$21&amp;"_NWP"</f>
        <v>PC Annual Direct - Annual_NWP</v>
      </c>
      <c r="C62" t="str">
        <f t="shared" si="70"/>
        <v>Boom Premium Finance</v>
      </c>
      <c r="D62" s="211" t="s">
        <v>6</v>
      </c>
      <c r="E62" s="31" t="e">
        <f>INDEX('Plan Figures'!$B$5:$AP$31,MATCH('Ultimate - MGA and MPM'!E$4,'Plan Figures'!$B$5:$B$31,0),MATCH('Ultimate - MGA and MPM'!$B62,'Plan Figures'!$B$1:$AP$1,0))</f>
        <v>#N/A</v>
      </c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6"/>
      <c r="Q62" s="31"/>
      <c r="R62" s="31" t="str">
        <f>INDEX('Plan Figures'!$B$5:$AP$31,MATCH('Ultimate - MGA and MPM'!R$4,'Plan Figures'!$B$5:$B$31,0),MATCH('Ultimate - MGA and MPM'!$B62,'Plan Figures'!$B$1:$AP$1,0))</f>
        <v>-</v>
      </c>
      <c r="S62" s="31" t="str">
        <f>INDEX('Plan Figures'!$B$5:$AP$31,MATCH('Ultimate - MGA and MPM'!S$4,'Plan Figures'!$B$5:$B$31,0),MATCH('Ultimate - MGA and MPM'!$B62,'Plan Figures'!$B$1:$AP$1,0))</f>
        <v>-</v>
      </c>
      <c r="T62" s="31" t="str">
        <f>INDEX('Plan Figures'!$B$5:$AP$31,MATCH('Ultimate - MGA and MPM'!T$4,'Plan Figures'!$B$5:$B$31,0),MATCH('Ultimate - MGA and MPM'!$B62,'Plan Figures'!$B$1:$AP$1,0))</f>
        <v>-</v>
      </c>
      <c r="U62" s="31" t="str">
        <f>INDEX('Plan Figures'!$B$5:$AP$31,MATCH('Ultimate - MGA and MPM'!U$4,'Plan Figures'!$B$5:$B$31,0),MATCH('Ultimate - MGA and MPM'!$B62,'Plan Figures'!$B$1:$AP$1,0))</f>
        <v>-</v>
      </c>
      <c r="V62" s="31" t="str">
        <f>INDEX('Plan Figures'!$B$5:$AP$31,MATCH('Ultimate - MGA and MPM'!V$4,'Plan Figures'!$B$5:$B$31,0),MATCH('Ultimate - MGA and MPM'!$B62,'Plan Figures'!$B$1:$AP$1,0))</f>
        <v>-</v>
      </c>
      <c r="W62" s="31" t="str">
        <f>INDEX('Plan Figures'!$B$5:$AP$31,MATCH('Ultimate - MGA and MPM'!W$4,'Plan Figures'!$B$5:$B$31,0),MATCH('Ultimate - MGA and MPM'!$B62,'Plan Figures'!$B$1:$AP$1,0))</f>
        <v>-</v>
      </c>
      <c r="X62" s="31" t="str">
        <f>INDEX('Plan Figures'!$B$5:$AP$31,MATCH('Ultimate - MGA and MPM'!X$4,'Plan Figures'!$B$5:$B$31,0),MATCH('Ultimate - MGA and MPM'!$B62,'Plan Figures'!$B$1:$AP$1,0))</f>
        <v>-</v>
      </c>
      <c r="Y62" s="31" t="str">
        <f>INDEX('Plan Figures'!$B$5:$AP$31,MATCH('Ultimate - MGA and MPM'!Y$4,'Plan Figures'!$B$5:$B$31,0),MATCH('Ultimate - MGA and MPM'!$B62,'Plan Figures'!$B$1:$AP$1,0))</f>
        <v>-</v>
      </c>
      <c r="Z62" s="31" t="str">
        <f>INDEX('Plan Figures'!$B$5:$AP$31,MATCH('Ultimate - MGA and MPM'!Z$4,'Plan Figures'!$B$5:$B$31,0),MATCH('Ultimate - MGA and MPM'!$B62,'Plan Figures'!$B$1:$AP$1,0))</f>
        <v>-</v>
      </c>
      <c r="AA62" s="31">
        <f>INDEX('Plan Figures'!$B$5:$AP$31,MATCH('Ultimate - MGA and MPM'!AA$4,'Plan Figures'!$B$5:$B$31,0),MATCH('Ultimate - MGA and MPM'!$B62,'Plan Figures'!$B$1:$AP$1,0))</f>
        <v>1201948.8602582696</v>
      </c>
      <c r="AB62" s="266">
        <f>INDEX('Plan Figures'!$B$5:$AP$31,MATCH('Ultimate - MGA and MPM'!AB$4,'Plan Figures'!$B$5:$B$31,0),MATCH('Ultimate - MGA and MPM'!$B62,'Plan Figures'!$B$1:$AP$1,0))</f>
        <v>1130181.9540233866</v>
      </c>
      <c r="AC62" s="31">
        <f>INDEX('Plan Figures'!$B$5:$AP$31,MATCH('Ultimate - MGA and MPM'!AC$4,'Plan Figures'!$B$5:$B$31,0),MATCH('Ultimate - MGA and MPM'!$B62,'Plan Figures'!$B$1:$AP$1,0))</f>
        <v>1235960.0527141613</v>
      </c>
      <c r="AD62" s="31">
        <f>INDEX('Plan Figures'!$B$5:$AP$42,MATCH('Ultimate - MGA and MPM'!AD$4,'Plan Figures'!$B$5:$B$42,0),MATCH('Ultimate - MGA and MPM'!$B62,'Plan Figures'!$B$1:$AP$1,0))</f>
        <v>1333459.558352059</v>
      </c>
      <c r="AE62" s="31">
        <f>INDEX('Plan Figures'!$B$5:$AP$42,MATCH('Ultimate - MGA and MPM'!AE$4,'Plan Figures'!$B$5:$B$42,0),MATCH('Ultimate - MGA and MPM'!$B62,'Plan Figures'!$B$1:$AP$1,0))</f>
        <v>1387558.0023525297</v>
      </c>
      <c r="AF62" s="31">
        <f>INDEX('Plan Figures'!$B$5:$AP$42,MATCH('Ultimate - MGA and MPM'!AF$4,'Plan Figures'!$B$5:$B$42,0),MATCH('Ultimate - MGA and MPM'!$B62,'Plan Figures'!$B$1:$AP$1,0))</f>
        <v>1433144.0223048357</v>
      </c>
      <c r="AG62" s="31">
        <f>INDEX('Plan Figures'!$B$5:$AP$42,MATCH('Ultimate - MGA and MPM'!AG$4,'Plan Figures'!$B$5:$B$42,0),MATCH('Ultimate - MGA and MPM'!$B62,'Plan Figures'!$B$1:$AP$1,0))</f>
        <v>1450615.9831731343</v>
      </c>
      <c r="AH62" s="31">
        <f>INDEX('Plan Figures'!$B$5:$AP$42,MATCH('Ultimate - MGA and MPM'!AH$4,'Plan Figures'!$B$5:$B$42,0),MATCH('Ultimate - MGA and MPM'!$B62,'Plan Figures'!$B$1:$AP$1,0))</f>
        <v>1477938.9090293914</v>
      </c>
      <c r="AI62" s="31">
        <f>INDEX('Plan Figures'!$B$5:$AP$42,MATCH('Ultimate - MGA and MPM'!AI$4,'Plan Figures'!$B$5:$B$42,0),MATCH('Ultimate - MGA and MPM'!$B62,'Plan Figures'!$B$1:$AP$1,0))</f>
        <v>1091240.230856986</v>
      </c>
      <c r="AJ62" s="31">
        <f>INDEX('Plan Figures'!$B$5:$AP$42,MATCH('Ultimate - MGA and MPM'!AJ$4,'Plan Figures'!$B$5:$B$42,0),MATCH('Ultimate - MGA and MPM'!$B62,'Plan Figures'!$B$1:$AP$1,0))</f>
        <v>1077448.4163922931</v>
      </c>
      <c r="AK62" s="31">
        <f>INDEX('Plan Figures'!$B$5:$AP$42,MATCH('Ultimate - MGA and MPM'!AK$4,'Plan Figures'!$B$5:$B$42,0),MATCH('Ultimate - MGA and MPM'!$B62,'Plan Figures'!$B$1:$AP$1,0))</f>
        <v>1476073.2552601595</v>
      </c>
      <c r="AL62" s="31">
        <f>INDEX('Plan Figures'!$B$5:$AP$42,MATCH('Ultimate - MGA and MPM'!AL$4,'Plan Figures'!$B$5:$B$42,0),MATCH('Ultimate - MGA and MPM'!$B62,'Plan Figures'!$B$1:$AP$1,0))</f>
        <v>1607394.6364770622</v>
      </c>
      <c r="AM62" s="31">
        <f>INDEX('Plan Figures'!$B$5:$AP$42,MATCH('Ultimate - MGA and MPM'!AM$4,'Plan Figures'!$B$5:$B$42,0),MATCH('Ultimate - MGA and MPM'!$B62,'Plan Figures'!$B$1:$AP$1,0))</f>
        <v>1381402.3361292861</v>
      </c>
      <c r="AN62" s="266">
        <f>INDEX('Plan Figures'!$B$5:$AP$42,MATCH('Ultimate - MGA and MPM'!AN$4,'Plan Figures'!$B$5:$B$42,0),MATCH('Ultimate - MGA and MPM'!$B62,'Plan Figures'!$B$1:$AP$1,0))</f>
        <v>1254506.4774169179</v>
      </c>
      <c r="AO62" s="239">
        <f t="shared" si="67"/>
        <v>1189363.6223319394</v>
      </c>
      <c r="AP62" s="31">
        <f t="shared" si="68"/>
        <v>1189363.6223319394</v>
      </c>
      <c r="AQ62" s="240">
        <f>SUMIFS(AC62:AN62,AC$4:AN$4,"&lt;"&amp;'Title Sheet'!$C$13)</f>
        <v>16206741.880458815</v>
      </c>
    </row>
    <row r="63" spans="1:43" ht="15.75" outlineLevel="1" x14ac:dyDescent="0.25">
      <c r="B63" t="str">
        <f t="shared" si="69"/>
        <v>PC Annual Direct</v>
      </c>
      <c r="C63" t="str">
        <f t="shared" si="70"/>
        <v>Boom Premium Finance</v>
      </c>
      <c r="D63" s="213" t="s">
        <v>0</v>
      </c>
      <c r="E63" s="214" t="str">
        <f t="shared" ref="E63:AN63" si="73">IFERROR(IF(E61=0,"-",(E61/E62)-1),"-")</f>
        <v>-</v>
      </c>
      <c r="F63" s="214" t="str">
        <f t="shared" si="73"/>
        <v>-</v>
      </c>
      <c r="G63" s="214" t="str">
        <f t="shared" si="73"/>
        <v>-</v>
      </c>
      <c r="H63" s="214" t="str">
        <f t="shared" si="73"/>
        <v>-</v>
      </c>
      <c r="I63" s="214" t="str">
        <f t="shared" si="73"/>
        <v>-</v>
      </c>
      <c r="J63" s="214" t="str">
        <f t="shared" si="73"/>
        <v>-</v>
      </c>
      <c r="K63" s="214" t="str">
        <f t="shared" si="73"/>
        <v>-</v>
      </c>
      <c r="L63" s="214" t="str">
        <f t="shared" si="73"/>
        <v>-</v>
      </c>
      <c r="M63" s="214" t="str">
        <f t="shared" si="73"/>
        <v>-</v>
      </c>
      <c r="N63" s="214" t="str">
        <f t="shared" si="73"/>
        <v>-</v>
      </c>
      <c r="O63" s="214" t="str">
        <f t="shared" si="73"/>
        <v>-</v>
      </c>
      <c r="P63" s="270" t="str">
        <f t="shared" si="73"/>
        <v>-</v>
      </c>
      <c r="Q63" s="214" t="str">
        <f t="shared" si="73"/>
        <v>-</v>
      </c>
      <c r="R63" s="214" t="str">
        <f t="shared" si="73"/>
        <v>-</v>
      </c>
      <c r="S63" s="214" t="str">
        <f t="shared" si="73"/>
        <v>-</v>
      </c>
      <c r="T63" s="214" t="str">
        <f t="shared" si="73"/>
        <v>-</v>
      </c>
      <c r="U63" s="214" t="str">
        <f t="shared" si="73"/>
        <v>-</v>
      </c>
      <c r="V63" s="214" t="str">
        <f t="shared" si="73"/>
        <v>-</v>
      </c>
      <c r="W63" s="214" t="str">
        <f t="shared" si="73"/>
        <v>-</v>
      </c>
      <c r="X63" s="214" t="str">
        <f t="shared" si="73"/>
        <v>-</v>
      </c>
      <c r="Y63" s="214" t="str">
        <f t="shared" si="73"/>
        <v>-</v>
      </c>
      <c r="Z63" s="214" t="str">
        <f t="shared" si="73"/>
        <v>-</v>
      </c>
      <c r="AA63" s="214" t="str">
        <f t="shared" si="73"/>
        <v>-</v>
      </c>
      <c r="AB63" s="270" t="str">
        <f t="shared" si="73"/>
        <v>-</v>
      </c>
      <c r="AC63" s="214">
        <f t="shared" si="73"/>
        <v>-0.68291641901940925</v>
      </c>
      <c r="AD63" s="214">
        <f t="shared" si="73"/>
        <v>0.48896780404567464</v>
      </c>
      <c r="AE63" s="214">
        <f t="shared" si="73"/>
        <v>1.7055184472582958</v>
      </c>
      <c r="AF63" s="214">
        <f t="shared" si="73"/>
        <v>1.4637471298811624</v>
      </c>
      <c r="AG63" s="214">
        <f t="shared" si="73"/>
        <v>1.2943053114959828</v>
      </c>
      <c r="AH63" s="214">
        <f t="shared" si="73"/>
        <v>0.89961450458826731</v>
      </c>
      <c r="AI63" s="214">
        <f t="shared" si="73"/>
        <v>1.1825964319864819</v>
      </c>
      <c r="AJ63" s="214">
        <f t="shared" si="73"/>
        <v>0.95540009560486783</v>
      </c>
      <c r="AK63" s="214">
        <f t="shared" si="73"/>
        <v>0.35645129130056485</v>
      </c>
      <c r="AL63" s="214">
        <f t="shared" si="73"/>
        <v>0.23739885724310739</v>
      </c>
      <c r="AM63" s="214">
        <f t="shared" si="73"/>
        <v>0.65106876986218998</v>
      </c>
      <c r="AN63" s="270">
        <f t="shared" si="73"/>
        <v>0.9859249585203067</v>
      </c>
      <c r="AO63" s="274">
        <f t="shared" si="67"/>
        <v>-0.68291641901940925</v>
      </c>
      <c r="AP63" s="275">
        <f t="shared" si="68"/>
        <v>-0.68291641901940925</v>
      </c>
      <c r="AQ63" s="276">
        <f t="shared" ref="AQ63" si="74">IFERROR(IF(AQ61=0,"-",(AQ61/AQ62)-1),"-")</f>
        <v>0.7924611313940777</v>
      </c>
    </row>
    <row r="64" spans="1:43" ht="15.75" outlineLevel="1" x14ac:dyDescent="0.25">
      <c r="B64" t="str">
        <f t="shared" si="69"/>
        <v>PC Annual Direct</v>
      </c>
      <c r="C64" t="str">
        <f t="shared" si="70"/>
        <v>Boom Premium Finance</v>
      </c>
      <c r="D64" s="208" t="s">
        <v>12</v>
      </c>
      <c r="E64" s="209">
        <f>IFERROR(E61/E58,0)</f>
        <v>0</v>
      </c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65"/>
      <c r="Q64" s="209"/>
      <c r="R64" s="209">
        <f t="shared" ref="R64:AP64" si="75">IFERROR(R61/R58,0)</f>
        <v>0</v>
      </c>
      <c r="S64" s="209">
        <f t="shared" si="75"/>
        <v>0</v>
      </c>
      <c r="T64" s="209">
        <f t="shared" si="75"/>
        <v>0</v>
      </c>
      <c r="U64" s="209">
        <f t="shared" si="75"/>
        <v>0</v>
      </c>
      <c r="V64" s="209">
        <f t="shared" si="75"/>
        <v>0</v>
      </c>
      <c r="W64" s="209">
        <f t="shared" si="75"/>
        <v>0</v>
      </c>
      <c r="X64" s="209">
        <f t="shared" si="75"/>
        <v>0</v>
      </c>
      <c r="Y64" s="209">
        <f t="shared" si="75"/>
        <v>0</v>
      </c>
      <c r="Z64" s="209">
        <f t="shared" si="75"/>
        <v>0</v>
      </c>
      <c r="AA64" s="209">
        <f t="shared" si="75"/>
        <v>0</v>
      </c>
      <c r="AB64" s="265">
        <f t="shared" si="75"/>
        <v>0</v>
      </c>
      <c r="AC64" s="209">
        <f t="shared" si="75"/>
        <v>168.08421849088384</v>
      </c>
      <c r="AD64" s="209">
        <f t="shared" si="75"/>
        <v>986.25407880113562</v>
      </c>
      <c r="AE64" s="209">
        <f t="shared" si="75"/>
        <v>1394.4170862449459</v>
      </c>
      <c r="AF64" s="209">
        <f t="shared" si="75"/>
        <v>1271.8465027485074</v>
      </c>
      <c r="AG64" s="209">
        <f t="shared" si="75"/>
        <v>1200.438519333977</v>
      </c>
      <c r="AH64" s="209">
        <f t="shared" si="75"/>
        <v>1076.3871155224558</v>
      </c>
      <c r="AI64" s="209">
        <f t="shared" si="75"/>
        <v>933.86494023328737</v>
      </c>
      <c r="AJ64" s="209">
        <f t="shared" si="75"/>
        <v>1795.369822112631</v>
      </c>
      <c r="AK64" s="209">
        <f t="shared" si="75"/>
        <v>0</v>
      </c>
      <c r="AL64" s="209">
        <f t="shared" si="75"/>
        <v>0</v>
      </c>
      <c r="AM64" s="209">
        <f t="shared" si="75"/>
        <v>0</v>
      </c>
      <c r="AN64" s="265">
        <f t="shared" si="75"/>
        <v>0</v>
      </c>
      <c r="AO64" s="237">
        <f t="shared" si="75"/>
        <v>49.081362874230571</v>
      </c>
      <c r="AP64" s="209">
        <f t="shared" si="75"/>
        <v>14.728085361253644</v>
      </c>
      <c r="AQ64" s="238">
        <f>SUMIFS(AC64:AN64,AC$4:AN$4,"&lt;"&amp;'Title Sheet'!$C$13)</f>
        <v>8826.6622834878235</v>
      </c>
    </row>
    <row r="65" spans="1:43" ht="15.75" hidden="1" outlineLevel="1" x14ac:dyDescent="0.25">
      <c r="B65" t="str">
        <f t="shared" si="69"/>
        <v>PC Annual Direct</v>
      </c>
      <c r="C65" t="str">
        <f t="shared" si="70"/>
        <v>Boom Premium Finance</v>
      </c>
      <c r="D65" s="211" t="s">
        <v>13</v>
      </c>
      <c r="E65" s="31">
        <f>IFERROR(E62/E59,0)</f>
        <v>0</v>
      </c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266"/>
      <c r="Q65" s="31"/>
      <c r="R65" s="31">
        <f t="shared" ref="R65:AP65" si="76">IFERROR(R62/R59,0)</f>
        <v>0</v>
      </c>
      <c r="S65" s="31">
        <f t="shared" si="76"/>
        <v>0</v>
      </c>
      <c r="T65" s="31">
        <f t="shared" si="76"/>
        <v>0</v>
      </c>
      <c r="U65" s="31">
        <f t="shared" si="76"/>
        <v>0</v>
      </c>
      <c r="V65" s="31">
        <f t="shared" si="76"/>
        <v>0</v>
      </c>
      <c r="W65" s="31">
        <f t="shared" si="76"/>
        <v>0</v>
      </c>
      <c r="X65" s="31">
        <f t="shared" si="76"/>
        <v>0</v>
      </c>
      <c r="Y65" s="31">
        <f t="shared" si="76"/>
        <v>0</v>
      </c>
      <c r="Z65" s="31">
        <f t="shared" si="76"/>
        <v>0</v>
      </c>
      <c r="AA65" s="31">
        <f t="shared" si="76"/>
        <v>1079.510683288258</v>
      </c>
      <c r="AB65" s="266">
        <f t="shared" si="76"/>
        <v>1141.9736170890237</v>
      </c>
      <c r="AC65" s="31">
        <f t="shared" si="76"/>
        <v>1020.9920064895846</v>
      </c>
      <c r="AD65" s="31">
        <f t="shared" si="76"/>
        <v>1103.7366864398034</v>
      </c>
      <c r="AE65" s="31">
        <f t="shared" si="76"/>
        <v>1150.8123058487083</v>
      </c>
      <c r="AF65" s="31">
        <f t="shared" si="76"/>
        <v>1190.9976618446992</v>
      </c>
      <c r="AG65" s="31">
        <f t="shared" si="76"/>
        <v>1207.8192438307094</v>
      </c>
      <c r="AH65" s="31">
        <f t="shared" si="76"/>
        <v>1202.675541936135</v>
      </c>
      <c r="AI65" s="31">
        <f t="shared" si="76"/>
        <v>937.7600119478036</v>
      </c>
      <c r="AJ65" s="31">
        <f t="shared" si="76"/>
        <v>942.81090802039057</v>
      </c>
      <c r="AK65" s="31">
        <f t="shared" si="76"/>
        <v>932.20743023828948</v>
      </c>
      <c r="AL65" s="31">
        <f t="shared" si="76"/>
        <v>984.06696167791745</v>
      </c>
      <c r="AM65" s="31">
        <f t="shared" si="76"/>
        <v>971.48917552364753</v>
      </c>
      <c r="AN65" s="266">
        <f t="shared" si="76"/>
        <v>970.91400623368202</v>
      </c>
      <c r="AO65" s="239">
        <f t="shared" si="76"/>
        <v>1076.7880846593339</v>
      </c>
      <c r="AP65" s="31">
        <f t="shared" si="76"/>
        <v>1076.7880846593339</v>
      </c>
      <c r="AQ65" s="240">
        <f>SUMIFS(AC65:AN65,AC$4:AN$4,"&lt;"&amp;'Title Sheet'!$C$13)</f>
        <v>12616.281940031373</v>
      </c>
    </row>
    <row r="66" spans="1:43" ht="15.75" hidden="1" outlineLevel="1" x14ac:dyDescent="0.25">
      <c r="B66" t="str">
        <f t="shared" si="69"/>
        <v>PC Annual Direct</v>
      </c>
      <c r="C66" t="str">
        <f t="shared" si="70"/>
        <v>Boom Premium Finance</v>
      </c>
      <c r="D66" s="213" t="s">
        <v>0</v>
      </c>
      <c r="E66" s="214" t="str">
        <f t="shared" ref="E66:AN66" si="77">IFERROR(IF(E64=0,"-",(E64/E65)-1),"-")</f>
        <v>-</v>
      </c>
      <c r="F66" s="214" t="str">
        <f t="shared" si="77"/>
        <v>-</v>
      </c>
      <c r="G66" s="214" t="str">
        <f t="shared" si="77"/>
        <v>-</v>
      </c>
      <c r="H66" s="214" t="str">
        <f t="shared" si="77"/>
        <v>-</v>
      </c>
      <c r="I66" s="214" t="str">
        <f t="shared" si="77"/>
        <v>-</v>
      </c>
      <c r="J66" s="214" t="str">
        <f t="shared" si="77"/>
        <v>-</v>
      </c>
      <c r="K66" s="214" t="str">
        <f t="shared" si="77"/>
        <v>-</v>
      </c>
      <c r="L66" s="214" t="str">
        <f t="shared" si="77"/>
        <v>-</v>
      </c>
      <c r="M66" s="214" t="str">
        <f t="shared" si="77"/>
        <v>-</v>
      </c>
      <c r="N66" s="214" t="str">
        <f t="shared" si="77"/>
        <v>-</v>
      </c>
      <c r="O66" s="214" t="str">
        <f t="shared" si="77"/>
        <v>-</v>
      </c>
      <c r="P66" s="270" t="str">
        <f t="shared" si="77"/>
        <v>-</v>
      </c>
      <c r="Q66" s="214" t="str">
        <f t="shared" si="77"/>
        <v>-</v>
      </c>
      <c r="R66" s="214" t="str">
        <f t="shared" si="77"/>
        <v>-</v>
      </c>
      <c r="S66" s="214" t="str">
        <f t="shared" si="77"/>
        <v>-</v>
      </c>
      <c r="T66" s="214" t="str">
        <f t="shared" si="77"/>
        <v>-</v>
      </c>
      <c r="U66" s="214" t="str">
        <f t="shared" si="77"/>
        <v>-</v>
      </c>
      <c r="V66" s="214" t="str">
        <f t="shared" si="77"/>
        <v>-</v>
      </c>
      <c r="W66" s="214" t="str">
        <f t="shared" si="77"/>
        <v>-</v>
      </c>
      <c r="X66" s="214" t="str">
        <f t="shared" si="77"/>
        <v>-</v>
      </c>
      <c r="Y66" s="214" t="str">
        <f t="shared" si="77"/>
        <v>-</v>
      </c>
      <c r="Z66" s="214" t="str">
        <f t="shared" si="77"/>
        <v>-</v>
      </c>
      <c r="AA66" s="214" t="str">
        <f t="shared" si="77"/>
        <v>-</v>
      </c>
      <c r="AB66" s="270" t="str">
        <f t="shared" si="77"/>
        <v>-</v>
      </c>
      <c r="AC66" s="214">
        <f t="shared" si="77"/>
        <v>-0.83537166067656332</v>
      </c>
      <c r="AD66" s="214">
        <f t="shared" si="77"/>
        <v>-0.10644079252055849</v>
      </c>
      <c r="AE66" s="214">
        <f t="shared" si="77"/>
        <v>0.21168072252806014</v>
      </c>
      <c r="AF66" s="214">
        <f t="shared" si="77"/>
        <v>6.7883291037351023E-2</v>
      </c>
      <c r="AG66" s="214">
        <f t="shared" si="77"/>
        <v>-6.1107856448153752E-3</v>
      </c>
      <c r="AH66" s="214">
        <f t="shared" si="77"/>
        <v>-0.10500623153138455</v>
      </c>
      <c r="AI66" s="214">
        <f t="shared" si="77"/>
        <v>-4.1535911799287506E-3</v>
      </c>
      <c r="AJ66" s="214">
        <f t="shared" si="77"/>
        <v>0.90427349412232494</v>
      </c>
      <c r="AK66" s="214" t="str">
        <f t="shared" si="77"/>
        <v>-</v>
      </c>
      <c r="AL66" s="214" t="str">
        <f t="shared" si="77"/>
        <v>-</v>
      </c>
      <c r="AM66" s="214" t="str">
        <f t="shared" si="77"/>
        <v>-</v>
      </c>
      <c r="AN66" s="270" t="str">
        <f t="shared" si="77"/>
        <v>-</v>
      </c>
      <c r="AO66" s="274">
        <f t="shared" ref="AO66:AP66" si="78">AO64-AO65</f>
        <v>-1027.7067217851034</v>
      </c>
      <c r="AP66" s="275">
        <f t="shared" si="78"/>
        <v>-1062.0599992980804</v>
      </c>
      <c r="AQ66" s="276">
        <f t="shared" ref="AQ66" si="79">IFERROR(IF(AQ64=0,"-",(AQ64/AQ65)-1),"-")</f>
        <v>-0.30037531457814948</v>
      </c>
    </row>
    <row r="67" spans="1:43" outlineLevel="1" x14ac:dyDescent="0.25">
      <c r="B67" t="str">
        <f t="shared" si="69"/>
        <v>PC Annual Direct</v>
      </c>
      <c r="C67" t="str">
        <f t="shared" si="70"/>
        <v>Boom Premium Finance</v>
      </c>
      <c r="D67" s="258" t="s">
        <v>17</v>
      </c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67"/>
      <c r="Q67" s="259"/>
      <c r="R67" s="259"/>
      <c r="S67" s="259"/>
      <c r="T67" s="259"/>
      <c r="U67" s="259"/>
      <c r="V67" s="259"/>
      <c r="W67" s="259"/>
      <c r="X67" s="259"/>
      <c r="Y67" s="259"/>
      <c r="Z67" s="259"/>
      <c r="AA67" s="259"/>
      <c r="AB67" s="267"/>
      <c r="AC67" s="259"/>
      <c r="AD67" s="259"/>
      <c r="AE67" s="259"/>
      <c r="AF67" s="259"/>
      <c r="AG67" s="259"/>
      <c r="AH67" s="259"/>
      <c r="AI67" s="259"/>
      <c r="AJ67" s="259"/>
      <c r="AK67" s="259"/>
      <c r="AL67" s="259"/>
      <c r="AM67" s="259"/>
      <c r="AN67" s="267"/>
      <c r="AO67" s="277"/>
      <c r="AP67" s="277"/>
      <c r="AQ67" s="278">
        <f>SUMIFS(AC67:AN67,AC$4:AN$4,"&lt;"&amp;'Title Sheet'!$C$13)</f>
        <v>0</v>
      </c>
    </row>
    <row r="68" spans="1:43" ht="15.75" outlineLevel="1" x14ac:dyDescent="0.25">
      <c r="A68">
        <v>4</v>
      </c>
      <c r="B68" t="str">
        <f t="shared" si="69"/>
        <v>PC Annual Direct</v>
      </c>
      <c r="C68" t="str">
        <f t="shared" si="70"/>
        <v>Boom Premium Finance</v>
      </c>
      <c r="D68" s="208" t="s">
        <v>7</v>
      </c>
      <c r="E68" s="282" t="e">
        <f>'Current - Sales, NWP, GWP'!E70/VLOOKUP(COUNTA(E$4:$AC$4),'Dev Patterns'!$B$6:$F$22,$A68,0)</f>
        <v>#N/A</v>
      </c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4"/>
      <c r="Q68" s="282"/>
      <c r="R68" s="283">
        <f>'Current - Sales, NWP, GWP'!R70/VLOOKUP(COUNTA(R$4:$AC$4),'Dev Patterns'!$B$6:$F$22,$A68,0)</f>
        <v>2345283.6687767105</v>
      </c>
      <c r="S68" s="283">
        <f>'Current - Sales, NWP, GWP'!S70/VLOOKUP(COUNTA(S$4:$AC$4),'Dev Patterns'!$B$6:$F$22,$A68,0)</f>
        <v>4250762.1242564004</v>
      </c>
      <c r="T68" s="283">
        <f>'Current - Sales, NWP, GWP'!T70/VLOOKUP(COUNTA(T$4:$AC$4),'Dev Patterns'!$B$6:$F$22,$A68,0)</f>
        <v>3929650.829002101</v>
      </c>
      <c r="U68" s="283">
        <f>'Current - Sales, NWP, GWP'!U70/VLOOKUP(COUNTA(U$4:$AC$4),'Dev Patterns'!$B$6:$F$22,$A68,0)</f>
        <v>3665123.6085851318</v>
      </c>
      <c r="V68" s="283">
        <f>'Current - Sales, NWP, GWP'!V70/VLOOKUP(COUNTA(V$4:$AC$4),'Dev Patterns'!$B$6:$F$22,$A68,0)</f>
        <v>3058424.6531097731</v>
      </c>
      <c r="W68" s="283">
        <f>'Current - Sales, NWP, GWP'!W70/VLOOKUP(COUNTA(W$4:$AC$4),'Dev Patterns'!$B$6:$F$22,$A68,0)</f>
        <v>2573438.4427742809</v>
      </c>
      <c r="X68" s="283">
        <f>'Current - Sales, NWP, GWP'!X70/VLOOKUP(COUNTA(X$4:$AC$4),'Dev Patterns'!$B$6:$F$22,$A68,0)</f>
        <v>2259255.7273896779</v>
      </c>
      <c r="Y68" s="283">
        <f>'Current - Sales, NWP, GWP'!Y70/VLOOKUP(COUNTA(Y$4:$AC$4),'Dev Patterns'!$B$6:$F$22,$A68,0)</f>
        <v>2129165.0108675747</v>
      </c>
      <c r="Z68" s="283">
        <f>'Current - Sales, NWP, GWP'!Z70/VLOOKUP(COUNTA(Z$4:$AC$4),'Dev Patterns'!$B$6:$F$22,$A68,0)</f>
        <v>2102834.0749517716</v>
      </c>
      <c r="AA68" s="283">
        <f>'Current - Sales, NWP, GWP'!AA70/VLOOKUP(COUNTA(AA$4:$AC$4),'Dev Patterns'!$B$6:$F$22,$A68,0)</f>
        <v>2390072.9465516657</v>
      </c>
      <c r="AB68" s="284">
        <f>'Current - Sales, NWP, GWP'!AB70/VLOOKUP(COUNTA(AB$4:$AC$4),'Dev Patterns'!$B$6:$F$22,$A68,0)</f>
        <v>2580609.6106255967</v>
      </c>
      <c r="AC68" s="282">
        <f>'Current - Sales, NWP, GWP'!AC70/VLOOKUP(COUNTA(AC$4:$AC$4),'Dev Patterns'!$B$6:$F$22,$A68,0)</f>
        <v>2799871.7293245126</v>
      </c>
      <c r="AD68" s="283">
        <f>'Current - Sales, NWP, GWP'!AD70/VLOOKUP(COUNTA($AC$4:AD$4),'Dev Patterns'!$B$6:$F$22,$A68,0)</f>
        <v>2381824.7171285395</v>
      </c>
      <c r="AE68" s="283">
        <f>'Current - Sales, NWP, GWP'!AE70/VLOOKUP(COUNTA($AC$4:AE$4),'Dev Patterns'!$B$6:$F$22,$A68,0)</f>
        <v>3121656.6673379536</v>
      </c>
      <c r="AF68" s="283">
        <f>'Current - Sales, NWP, GWP'!AF70/VLOOKUP(COUNTA($AC$4:AF$4),'Dev Patterns'!$B$6:$F$22,$A68,0)</f>
        <v>3063706.169598897</v>
      </c>
      <c r="AG68" s="283">
        <f>'Current - Sales, NWP, GWP'!AG70/VLOOKUP(COUNTA($AC$4:AG$4),'Dev Patterns'!$B$6:$F$22,$A68,0)</f>
        <v>3142284.5980885015</v>
      </c>
      <c r="AH68" s="283">
        <f>'Current - Sales, NWP, GWP'!AH70/VLOOKUP(COUNTA($AC$4:AH$4),'Dev Patterns'!$B$6:$F$22,$A68,0)</f>
        <v>2899241.2863392546</v>
      </c>
      <c r="AI68" s="283">
        <f>'Current - Sales, NWP, GWP'!AI70/VLOOKUP(COUNTA($AC$4:AI$4),'Dev Patterns'!$B$6:$F$22,$A68,0)</f>
        <v>2925516.9825428817</v>
      </c>
      <c r="AJ68" s="283">
        <f>'Current - Sales, NWP, GWP'!AJ70/VLOOKUP(COUNTA($AC$4:AJ$4),'Dev Patterns'!$B$6:$F$22,$A68,0)</f>
        <v>1446210.1471645101</v>
      </c>
      <c r="AK68" s="283">
        <f>'Current - Sales, NWP, GWP'!AK70/VLOOKUP(COUNTA($AC$4:AK$4),'Dev Patterns'!$B$6:$F$22,$A68,0)</f>
        <v>0</v>
      </c>
      <c r="AL68" s="283">
        <f>'Current - Sales, NWP, GWP'!AL70/VLOOKUP(COUNTA($AC$4:AL$4),'Dev Patterns'!$B$6:$F$22,$A68,0)</f>
        <v>0</v>
      </c>
      <c r="AM68" s="283">
        <f>'Current - Sales, NWP, GWP'!AM70/VLOOKUP(COUNTA($AC$4:AM$4),'Dev Patterns'!$B$6:$F$22,$A68,0)</f>
        <v>0</v>
      </c>
      <c r="AN68" s="284">
        <f>'Current - Sales, NWP, GWP'!AN70/VLOOKUP(COUNTA($AC$4:AN$4),'Dev Patterns'!$B$6:$F$22,$A68,0)</f>
        <v>0</v>
      </c>
      <c r="AO68" s="237">
        <f t="shared" ref="AO68" si="80">AVERAGE(Z68:AC68)</f>
        <v>2468347.0903633866</v>
      </c>
      <c r="AP68" s="209">
        <f>AVERAGE(R68:AC68)</f>
        <v>2840374.3688512663</v>
      </c>
      <c r="AQ68" s="238">
        <f>SUMIFS(AC68:AN68,AC$4:AN$4,"&lt;"&amp;'Title Sheet'!$C$13)</f>
        <v>21780312.297525048</v>
      </c>
    </row>
    <row r="69" spans="1:43" ht="16.5" outlineLevel="1" thickBot="1" x14ac:dyDescent="0.3">
      <c r="B69" t="str">
        <f t="shared" si="69"/>
        <v>PC Annual Direct</v>
      </c>
      <c r="C69" t="str">
        <f t="shared" si="70"/>
        <v>Boom Premium Finance</v>
      </c>
      <c r="D69" s="226" t="s">
        <v>21</v>
      </c>
      <c r="E69" s="269">
        <f t="shared" ref="E69" si="81">E61/E$8</f>
        <v>0</v>
      </c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81"/>
      <c r="Q69" s="269"/>
      <c r="R69" s="269">
        <f t="shared" ref="R69:AP69" si="82">R61/R$8</f>
        <v>0</v>
      </c>
      <c r="S69" s="269">
        <f t="shared" si="82"/>
        <v>0</v>
      </c>
      <c r="T69" s="269">
        <f t="shared" si="82"/>
        <v>0</v>
      </c>
      <c r="U69" s="269">
        <f t="shared" si="82"/>
        <v>0</v>
      </c>
      <c r="V69" s="269">
        <f t="shared" si="82"/>
        <v>0</v>
      </c>
      <c r="W69" s="269">
        <f t="shared" si="82"/>
        <v>0</v>
      </c>
      <c r="X69" s="269">
        <f t="shared" si="82"/>
        <v>0</v>
      </c>
      <c r="Y69" s="269">
        <f t="shared" si="82"/>
        <v>0</v>
      </c>
      <c r="Z69" s="269">
        <f t="shared" si="82"/>
        <v>0</v>
      </c>
      <c r="AA69" s="269">
        <f t="shared" si="82"/>
        <v>0</v>
      </c>
      <c r="AB69" s="281">
        <f t="shared" si="82"/>
        <v>0</v>
      </c>
      <c r="AC69" s="269">
        <f t="shared" si="82"/>
        <v>0.10247676751537409</v>
      </c>
      <c r="AD69" s="269">
        <f t="shared" si="82"/>
        <v>0.39293996839576312</v>
      </c>
      <c r="AE69" s="269">
        <f t="shared" si="82"/>
        <v>0.50731102437134579</v>
      </c>
      <c r="AF69" s="269">
        <f t="shared" si="82"/>
        <v>0.5347576419448945</v>
      </c>
      <c r="AG69" s="269">
        <f t="shared" si="82"/>
        <v>0.52752058658729228</v>
      </c>
      <c r="AH69" s="269">
        <f t="shared" si="82"/>
        <v>0.52864988109997135</v>
      </c>
      <c r="AI69" s="269">
        <f t="shared" si="82"/>
        <v>0.52433540491199593</v>
      </c>
      <c r="AJ69" s="269">
        <f t="shared" si="82"/>
        <v>0.53223927601286125</v>
      </c>
      <c r="AK69" s="269">
        <f t="shared" si="82"/>
        <v>0.55060255488884335</v>
      </c>
      <c r="AL69" s="269">
        <f t="shared" si="82"/>
        <v>0.57434064931953044</v>
      </c>
      <c r="AM69" s="269">
        <f t="shared" si="82"/>
        <v>0.62644840149295911</v>
      </c>
      <c r="AN69" s="281">
        <f t="shared" si="82"/>
        <v>0.68599314628930319</v>
      </c>
      <c r="AO69" s="279">
        <f t="shared" si="82"/>
        <v>2.6938232367251933E-2</v>
      </c>
      <c r="AP69" s="269">
        <f t="shared" si="82"/>
        <v>1.1623816858481482E-2</v>
      </c>
      <c r="AQ69" s="280" t="str">
        <f t="shared" ref="AQ69" si="83">IFERROR(IF(AQ67=0,"-",(AQ67/AQ68)-1),"-")</f>
        <v>-</v>
      </c>
    </row>
    <row r="70" spans="1:43" ht="15.75" outlineLevel="1" x14ac:dyDescent="0.25">
      <c r="D70" s="46"/>
      <c r="E70" s="325"/>
      <c r="F70" s="325"/>
      <c r="G70" s="325"/>
      <c r="H70" s="325"/>
      <c r="I70" s="325"/>
      <c r="J70" s="325"/>
      <c r="K70" s="325"/>
      <c r="L70" s="325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5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</row>
    <row r="71" spans="1:43" ht="16.5" outlineLevel="1" thickBot="1" x14ac:dyDescent="0.3">
      <c r="D71" s="46"/>
      <c r="E71" s="325"/>
      <c r="F71" s="325"/>
      <c r="G71" s="325"/>
      <c r="H71" s="325"/>
      <c r="I71" s="325"/>
      <c r="J71" s="325"/>
      <c r="K71" s="325"/>
      <c r="L71" s="325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5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</row>
    <row r="72" spans="1:43" ht="18.75" x14ac:dyDescent="0.25">
      <c r="D72" s="255" t="s">
        <v>204</v>
      </c>
      <c r="E72" s="202" t="s">
        <v>301</v>
      </c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63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63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63"/>
      <c r="AO72" s="202"/>
      <c r="AP72" s="202"/>
      <c r="AQ72" s="233"/>
    </row>
    <row r="73" spans="1:43" x14ac:dyDescent="0.25">
      <c r="D73" s="204"/>
      <c r="E73" s="200" t="s">
        <v>237</v>
      </c>
      <c r="F73" s="200"/>
      <c r="G73" s="200"/>
      <c r="H73" s="200"/>
      <c r="I73" s="200"/>
      <c r="J73" s="200"/>
      <c r="K73" s="200"/>
      <c r="L73" s="200"/>
      <c r="M73" s="200"/>
      <c r="N73" s="200"/>
      <c r="O73" s="200"/>
      <c r="P73" s="264"/>
      <c r="Q73" s="200"/>
      <c r="R73" s="200"/>
      <c r="S73" s="200"/>
      <c r="T73" s="200"/>
      <c r="U73" s="200"/>
      <c r="V73" s="200"/>
      <c r="W73" s="200"/>
      <c r="X73" s="200"/>
      <c r="Y73" s="200"/>
      <c r="Z73" s="200"/>
      <c r="AA73" s="200"/>
      <c r="AB73" s="264"/>
      <c r="AC73" s="200"/>
      <c r="AD73" s="200"/>
      <c r="AE73" s="200"/>
      <c r="AF73" s="200"/>
      <c r="AG73" s="200"/>
      <c r="AH73" s="200"/>
      <c r="AI73" s="200"/>
      <c r="AJ73" s="200"/>
      <c r="AK73" s="200"/>
      <c r="AL73" s="200"/>
      <c r="AM73" s="200"/>
      <c r="AN73" s="264"/>
      <c r="AO73" s="510" t="s">
        <v>8</v>
      </c>
      <c r="AP73" s="511"/>
      <c r="AQ73" s="512"/>
    </row>
    <row r="74" spans="1:43" x14ac:dyDescent="0.25">
      <c r="D74" s="256" t="s">
        <v>16</v>
      </c>
      <c r="E74" s="285">
        <f t="shared" ref="E74:Q74" si="84">E$4</f>
        <v>44562</v>
      </c>
      <c r="F74" s="285">
        <f t="shared" si="84"/>
        <v>44593</v>
      </c>
      <c r="G74" s="285">
        <f t="shared" si="84"/>
        <v>44621</v>
      </c>
      <c r="H74" s="285">
        <f t="shared" si="84"/>
        <v>44652</v>
      </c>
      <c r="I74" s="285">
        <f t="shared" si="84"/>
        <v>44682</v>
      </c>
      <c r="J74" s="285">
        <f t="shared" si="84"/>
        <v>44713</v>
      </c>
      <c r="K74" s="285">
        <f t="shared" si="84"/>
        <v>44743</v>
      </c>
      <c r="L74" s="285">
        <f t="shared" si="84"/>
        <v>44774</v>
      </c>
      <c r="M74" s="285">
        <f t="shared" si="84"/>
        <v>44805</v>
      </c>
      <c r="N74" s="285">
        <f t="shared" si="84"/>
        <v>44835</v>
      </c>
      <c r="O74" s="285">
        <f t="shared" si="84"/>
        <v>44866</v>
      </c>
      <c r="P74" s="286">
        <f t="shared" si="84"/>
        <v>44896</v>
      </c>
      <c r="Q74" s="285">
        <f t="shared" si="84"/>
        <v>44927</v>
      </c>
      <c r="R74" s="285">
        <f t="shared" ref="R74:AN74" si="85">R$4</f>
        <v>44958</v>
      </c>
      <c r="S74" s="285">
        <f t="shared" si="85"/>
        <v>44986</v>
      </c>
      <c r="T74" s="285">
        <f t="shared" si="85"/>
        <v>45017</v>
      </c>
      <c r="U74" s="285">
        <f t="shared" si="85"/>
        <v>45047</v>
      </c>
      <c r="V74" s="285">
        <f t="shared" si="85"/>
        <v>45078</v>
      </c>
      <c r="W74" s="285">
        <f t="shared" si="85"/>
        <v>45108</v>
      </c>
      <c r="X74" s="285">
        <f t="shared" si="85"/>
        <v>45139</v>
      </c>
      <c r="Y74" s="285">
        <f t="shared" si="85"/>
        <v>45170</v>
      </c>
      <c r="Z74" s="285">
        <f t="shared" si="85"/>
        <v>45200</v>
      </c>
      <c r="AA74" s="285">
        <f t="shared" si="85"/>
        <v>45231</v>
      </c>
      <c r="AB74" s="286">
        <f t="shared" si="85"/>
        <v>45261</v>
      </c>
      <c r="AC74" s="285">
        <f t="shared" si="85"/>
        <v>45292</v>
      </c>
      <c r="AD74" s="285">
        <f t="shared" si="85"/>
        <v>45323</v>
      </c>
      <c r="AE74" s="285">
        <f t="shared" si="85"/>
        <v>45352</v>
      </c>
      <c r="AF74" s="285">
        <f t="shared" si="85"/>
        <v>45383</v>
      </c>
      <c r="AG74" s="285">
        <f t="shared" si="85"/>
        <v>45413</v>
      </c>
      <c r="AH74" s="285">
        <f t="shared" si="85"/>
        <v>45444</v>
      </c>
      <c r="AI74" s="285">
        <f t="shared" si="85"/>
        <v>45474</v>
      </c>
      <c r="AJ74" s="285">
        <f t="shared" si="85"/>
        <v>45505</v>
      </c>
      <c r="AK74" s="285">
        <f t="shared" si="85"/>
        <v>45536</v>
      </c>
      <c r="AL74" s="285">
        <f t="shared" si="85"/>
        <v>45566</v>
      </c>
      <c r="AM74" s="285">
        <f t="shared" si="85"/>
        <v>45597</v>
      </c>
      <c r="AN74" s="286">
        <f t="shared" si="85"/>
        <v>45627</v>
      </c>
      <c r="AO74" s="271" t="str">
        <f>AO23</f>
        <v>Last 3 Months</v>
      </c>
      <c r="AP74" s="272" t="str">
        <f>AP23</f>
        <v>Last Year</v>
      </c>
      <c r="AQ74" s="273" t="s">
        <v>346</v>
      </c>
    </row>
    <row r="75" spans="1:43" ht="15.75" x14ac:dyDescent="0.25">
      <c r="A75">
        <v>3</v>
      </c>
      <c r="B75" t="str">
        <f>$D$2</f>
        <v>PC Annual Direct</v>
      </c>
      <c r="C75" t="s">
        <v>73</v>
      </c>
      <c r="D75" s="208" t="s">
        <v>316</v>
      </c>
      <c r="E75" s="209" t="e">
        <f>'Current - Sales, NWP, GWP'!E78/VLOOKUP(COUNTA(E$4:$AC$4),'Dev Patterns'!$B$6:$F$22,$A75,0)</f>
        <v>#N/A</v>
      </c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65"/>
      <c r="Q75" s="209"/>
      <c r="R75" s="209">
        <f>'Current - Sales, NWP, GWP'!R78/VLOOKUP(COUNTA(R$4:$AC$4),'Dev Patterns'!$B$6:$F$22,$A75,0)</f>
        <v>1298.6803272729899</v>
      </c>
      <c r="S75" s="209">
        <f>'Current - Sales, NWP, GWP'!S78/VLOOKUP(COUNTA(S$4:$AC$4),'Dev Patterns'!$B$6:$F$22,$A75,0)</f>
        <v>1385.6193706027227</v>
      </c>
      <c r="T75" s="209">
        <f>'Current - Sales, NWP, GWP'!T78/VLOOKUP(COUNTA(T$4:$AC$4),'Dev Patterns'!$B$6:$F$22,$A75,0)</f>
        <v>1108.4379767363703</v>
      </c>
      <c r="U75" s="209">
        <f>'Current - Sales, NWP, GWP'!U78/VLOOKUP(COUNTA(U$4:$AC$4),'Dev Patterns'!$B$6:$F$22,$A75,0)</f>
        <v>1039.7766422374566</v>
      </c>
      <c r="V75" s="209">
        <f>'Current - Sales, NWP, GWP'!V78/VLOOKUP(COUNTA(V$4:$AC$4),'Dev Patterns'!$B$6:$F$22,$A75,0)</f>
        <v>854.18741946984505</v>
      </c>
      <c r="W75" s="209">
        <f>'Current - Sales, NWP, GWP'!W78/VLOOKUP(COUNTA(W$4:$AC$4),'Dev Patterns'!$B$6:$F$22,$A75,0)</f>
        <v>819.33693377380177</v>
      </c>
      <c r="X75" s="209">
        <f>'Current - Sales, NWP, GWP'!X78/VLOOKUP(COUNTA(X$4:$AC$4),'Dev Patterns'!$B$6:$F$22,$A75,0)</f>
        <v>693.08276452995528</v>
      </c>
      <c r="Y75" s="209">
        <f>'Current - Sales, NWP, GWP'!Y78/VLOOKUP(COUNTA(Y$4:$AC$4),'Dev Patterns'!$B$6:$F$22,$A75,0)</f>
        <v>556.31961125849762</v>
      </c>
      <c r="Z75" s="209">
        <f>'Current - Sales, NWP, GWP'!Z78/VLOOKUP(COUNTA(Z$4:$AC$4),'Dev Patterns'!$B$6:$F$22,$A75,0)</f>
        <v>463.78693419683691</v>
      </c>
      <c r="AA75" s="209">
        <f>'Current - Sales, NWP, GWP'!AA78/VLOOKUP(COUNTA(AA$4:$AC$4),'Dev Patterns'!$B$6:$F$22,$A75,0)</f>
        <v>270.06308749590426</v>
      </c>
      <c r="AB75" s="265">
        <f>'Current - Sales, NWP, GWP'!AB78/VLOOKUP(COUNTA(AB$4:$AC$4),'Dev Patterns'!$B$6:$F$22,$A75,0)</f>
        <v>151.99781890713558</v>
      </c>
      <c r="AC75" s="209">
        <f>'Current - Sales, NWP, GWP'!AC78/VLOOKUP(COUNTA(AC$4:$AC$4),'Dev Patterns'!$B$6:$F$22,$A75,0)</f>
        <v>25.948499665081496</v>
      </c>
      <c r="AD75" s="209">
        <f>'Current - Sales, NWP, GWP'!AD78/VLOOKUP(COUNTA($AC$4:AD$4),'Dev Patterns'!$B$6:$F$22,$A75,0)</f>
        <v>0</v>
      </c>
      <c r="AE75" s="209">
        <f>'Current - Sales, NWP, GWP'!AE78/VLOOKUP(COUNTA($AC$4:AE$4),'Dev Patterns'!$B$6:$F$22,$A75,0)</f>
        <v>0</v>
      </c>
      <c r="AF75" s="209">
        <f>'Current - Sales, NWP, GWP'!AF78/VLOOKUP(COUNTA($AC$4:AF$4),'Dev Patterns'!$B$6:$F$22,$A75,0)</f>
        <v>0</v>
      </c>
      <c r="AG75" s="209">
        <f>'Current - Sales, NWP, GWP'!AG78/VLOOKUP(COUNTA($AC$4:AG$4),'Dev Patterns'!$B$6:$F$22,$A75,0)</f>
        <v>0</v>
      </c>
      <c r="AH75" s="209">
        <f>'Current - Sales, NWP, GWP'!AH78/VLOOKUP(COUNTA($AC$4:AH$4),'Dev Patterns'!$B$6:$F$22,$A75,0)</f>
        <v>0</v>
      </c>
      <c r="AI75" s="209">
        <f>'Current - Sales, NWP, GWP'!AI78/VLOOKUP(COUNTA($AC$4:AI$4),'Dev Patterns'!$B$6:$F$22,$A75,0)</f>
        <v>0</v>
      </c>
      <c r="AJ75" s="209">
        <f>'Current - Sales, NWP, GWP'!AJ78/VLOOKUP(COUNTA($AC$4:AJ$4),'Dev Patterns'!$B$6:$F$22,$A75,0)</f>
        <v>0</v>
      </c>
      <c r="AK75" s="209">
        <f>'Current - Sales, NWP, GWP'!AK78/VLOOKUP(COUNTA($AC$4:AK$4),'Dev Patterns'!$B$6:$F$22,$A75,0)</f>
        <v>0</v>
      </c>
      <c r="AL75" s="209">
        <f>'Current - Sales, NWP, GWP'!AL78/VLOOKUP(COUNTA($AC$4:AL$4),'Dev Patterns'!$B$6:$F$22,$A75,0)</f>
        <v>0</v>
      </c>
      <c r="AM75" s="209">
        <f>'Current - Sales, NWP, GWP'!AM78/VLOOKUP(COUNTA($AC$4:AM$4),'Dev Patterns'!$B$6:$F$22,$A75,0)</f>
        <v>0</v>
      </c>
      <c r="AN75" s="265">
        <f>'Current - Sales, NWP, GWP'!AN78/VLOOKUP(COUNTA($AC$4:AN$4),'Dev Patterns'!$B$6:$F$22,$A75,0)</f>
        <v>0</v>
      </c>
      <c r="AO75" s="237">
        <f t="shared" ref="AO75:AO80" si="86">AVERAGE(Z75:AC75)</f>
        <v>227.94908506623955</v>
      </c>
      <c r="AP75" s="209">
        <f t="shared" ref="AP75:AP80" si="87">AVERAGE(R75:AC75)</f>
        <v>722.26978217888302</v>
      </c>
      <c r="AQ75" s="238">
        <f>SUMIFS(AC75:AN75,AC$4:AN$4,"&lt;"&amp;'Title Sheet'!$C$13)</f>
        <v>25.948499665081496</v>
      </c>
    </row>
    <row r="76" spans="1:43" ht="15.75" hidden="1" x14ac:dyDescent="0.25">
      <c r="B76" t="str">
        <f>$D$89&amp;"_W VYRs"</f>
        <v>PC Annual Direct - Subscription_W VYRs</v>
      </c>
      <c r="C76" t="str">
        <f t="shared" ref="C76:C86" si="88">$C75</f>
        <v>Boom Subscription</v>
      </c>
      <c r="D76" s="211" t="s">
        <v>317</v>
      </c>
      <c r="E76" s="31" t="e">
        <f>INDEX('Plan Figures'!$B$5:$AP$31,MATCH('Ultimate - MGA and MPM'!E$4,'Plan Figures'!$B$5:$B$31,0),MATCH('Ultimate - MGA and MPM'!$B76,'Plan Figures'!$B$1:$AP$1,0))</f>
        <v>#N/A</v>
      </c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6"/>
      <c r="Q76" s="31"/>
      <c r="R76" s="31" t="str">
        <f>INDEX('Plan Figures'!$B$5:$AP$31,MATCH('Ultimate - MGA and MPM'!R$4,'Plan Figures'!$B$5:$B$31,0),MATCH('Ultimate - MGA and MPM'!$B76,'Plan Figures'!$B$1:$AP$1,0))</f>
        <v>-</v>
      </c>
      <c r="S76" s="31" t="str">
        <f>INDEX('Plan Figures'!$B$5:$AP$31,MATCH('Ultimate - MGA and MPM'!S$4,'Plan Figures'!$B$5:$B$31,0),MATCH('Ultimate - MGA and MPM'!$B76,'Plan Figures'!$B$1:$AP$1,0))</f>
        <v>-</v>
      </c>
      <c r="T76" s="31" t="str">
        <f>INDEX('Plan Figures'!$B$5:$AP$31,MATCH('Ultimate - MGA and MPM'!T$4,'Plan Figures'!$B$5:$B$31,0),MATCH('Ultimate - MGA and MPM'!$B76,'Plan Figures'!$B$1:$AP$1,0))</f>
        <v>-</v>
      </c>
      <c r="U76" s="31" t="str">
        <f>INDEX('Plan Figures'!$B$5:$AP$31,MATCH('Ultimate - MGA and MPM'!U$4,'Plan Figures'!$B$5:$B$31,0),MATCH('Ultimate - MGA and MPM'!$B76,'Plan Figures'!$B$1:$AP$1,0))</f>
        <v>-</v>
      </c>
      <c r="V76" s="31" t="str">
        <f>INDEX('Plan Figures'!$B$5:$AP$31,MATCH('Ultimate - MGA and MPM'!V$4,'Plan Figures'!$B$5:$B$31,0),MATCH('Ultimate - MGA and MPM'!$B76,'Plan Figures'!$B$1:$AP$1,0))</f>
        <v>-</v>
      </c>
      <c r="W76" s="31" t="str">
        <f>INDEX('Plan Figures'!$B$5:$AP$31,MATCH('Ultimate - MGA and MPM'!W$4,'Plan Figures'!$B$5:$B$31,0),MATCH('Ultimate - MGA and MPM'!$B76,'Plan Figures'!$B$1:$AP$1,0))</f>
        <v>-</v>
      </c>
      <c r="X76" s="31" t="str">
        <f>INDEX('Plan Figures'!$B$5:$AP$31,MATCH('Ultimate - MGA and MPM'!X$4,'Plan Figures'!$B$5:$B$31,0),MATCH('Ultimate - MGA and MPM'!$B76,'Plan Figures'!$B$1:$AP$1,0))</f>
        <v>-</v>
      </c>
      <c r="Y76" s="31" t="str">
        <f>INDEX('Plan Figures'!$B$5:$AP$31,MATCH('Ultimate - MGA and MPM'!Y$4,'Plan Figures'!$B$5:$B$31,0),MATCH('Ultimate - MGA and MPM'!$B76,'Plan Figures'!$B$1:$AP$1,0))</f>
        <v>-</v>
      </c>
      <c r="Z76" s="31" t="str">
        <f>INDEX('Plan Figures'!$B$5:$AP$31,MATCH('Ultimate - MGA and MPM'!Z$4,'Plan Figures'!$B$5:$B$31,0),MATCH('Ultimate - MGA and MPM'!$B76,'Plan Figures'!$B$1:$AP$1,0))</f>
        <v>-</v>
      </c>
      <c r="AA76" s="31">
        <f>INDEX('Plan Figures'!$B$5:$AP$31,MATCH('Ultimate - MGA and MPM'!AA$4,'Plan Figures'!$B$5:$B$31,0),MATCH('Ultimate - MGA and MPM'!$B76,'Plan Figures'!$B$1:$AP$1,0))</f>
        <v>615.93307879093663</v>
      </c>
      <c r="AB76" s="266">
        <f>INDEX('Plan Figures'!$B$5:$AP$31,MATCH('Ultimate - MGA and MPM'!AB$4,'Plan Figures'!$B$5:$B$31,0),MATCH('Ultimate - MGA and MPM'!$B76,'Plan Figures'!$B$1:$AP$1,0))</f>
        <v>763.72800510730349</v>
      </c>
      <c r="AC76" s="31">
        <f>INDEX('Plan Figures'!$B$5:$AP$31,MATCH('Ultimate - MGA and MPM'!AC$4,'Plan Figures'!$B$5:$B$31,0),MATCH('Ultimate - MGA and MPM'!$B76,'Plan Figures'!$B$1:$AP$1,0))</f>
        <v>833.27735263273371</v>
      </c>
      <c r="AD76" s="31">
        <f>INDEX('Plan Figures'!$B$5:$AP$42,MATCH('Ultimate - MGA and MPM'!AD$4,'Plan Figures'!$B$5:$B$42,0),MATCH('Ultimate - MGA and MPM'!$B76,'Plan Figures'!$B$1:$AP$1,0))</f>
        <v>833.27735263273371</v>
      </c>
      <c r="AE76" s="31">
        <f>INDEX('Plan Figures'!$B$5:$AP$42,MATCH('Ultimate - MGA and MPM'!AE$4,'Plan Figures'!$B$5:$B$42,0),MATCH('Ultimate - MGA and MPM'!$B76,'Plan Figures'!$B$1:$AP$1,0))</f>
        <v>833.27735263273371</v>
      </c>
      <c r="AF76" s="31">
        <f>INDEX('Plan Figures'!$B$5:$AP$42,MATCH('Ultimate - MGA and MPM'!AF$4,'Plan Figures'!$B$5:$B$42,0),MATCH('Ultimate - MGA and MPM'!$B76,'Plan Figures'!$B$1:$AP$1,0))</f>
        <v>833.27735263273371</v>
      </c>
      <c r="AG76" s="31">
        <f>INDEX('Plan Figures'!$B$5:$AP$42,MATCH('Ultimate - MGA and MPM'!AG$4,'Plan Figures'!$B$5:$B$42,0),MATCH('Ultimate - MGA and MPM'!$B76,'Plan Figures'!$B$1:$AP$1,0))</f>
        <v>832.96485263273371</v>
      </c>
      <c r="AH76" s="31">
        <f>INDEX('Plan Figures'!$B$5:$AP$42,MATCH('Ultimate - MGA and MPM'!AH$4,'Plan Figures'!$B$5:$B$42,0),MATCH('Ultimate - MGA and MPM'!$B76,'Plan Figures'!$B$1:$AP$1,0))</f>
        <v>805.37110263273371</v>
      </c>
      <c r="AI76" s="31">
        <f>INDEX('Plan Figures'!$B$5:$AP$42,MATCH('Ultimate - MGA and MPM'!AI$4,'Plan Figures'!$B$5:$B$42,0),MATCH('Ultimate - MGA and MPM'!$B76,'Plan Figures'!$B$1:$AP$1,0))</f>
        <v>954.34078893945116</v>
      </c>
      <c r="AJ76" s="31">
        <f>INDEX('Plan Figures'!$B$5:$AP$42,MATCH('Ultimate - MGA and MPM'!AJ$4,'Plan Figures'!$B$5:$B$42,0),MATCH('Ultimate - MGA and MPM'!$B76,'Plan Figures'!$B$1:$AP$1,0))</f>
        <v>847.6297730046125</v>
      </c>
      <c r="AK76" s="31">
        <f>INDEX('Plan Figures'!$B$5:$AP$42,MATCH('Ultimate - MGA and MPM'!AK$4,'Plan Figures'!$B$5:$B$42,0),MATCH('Ultimate - MGA and MPM'!$B76,'Plan Figures'!$B$1:$AP$1,0))</f>
        <v>739.0592621321797</v>
      </c>
      <c r="AL76" s="31">
        <f>INDEX('Plan Figures'!$B$5:$AP$42,MATCH('Ultimate - MGA and MPM'!AL$4,'Plan Figures'!$B$5:$B$42,0),MATCH('Ultimate - MGA and MPM'!$B76,'Plan Figures'!$B$1:$AP$1,0))</f>
        <v>573.92411493228599</v>
      </c>
      <c r="AM76" s="31">
        <f>INDEX('Plan Figures'!$B$5:$AP$42,MATCH('Ultimate - MGA and MPM'!AM$4,'Plan Figures'!$B$5:$B$42,0),MATCH('Ultimate - MGA and MPM'!$B76,'Plan Figures'!$B$1:$AP$1,0))</f>
        <v>364.52099147611852</v>
      </c>
      <c r="AN76" s="266">
        <f>INDEX('Plan Figures'!$B$5:$AP$42,MATCH('Ultimate - MGA and MPM'!AN$4,'Plan Figures'!$B$5:$B$42,0),MATCH('Ultimate - MGA and MPM'!$B76,'Plan Figures'!$B$1:$AP$1,0))</f>
        <v>181.09081343860487</v>
      </c>
      <c r="AO76" s="239">
        <f t="shared" si="86"/>
        <v>737.64614551032457</v>
      </c>
      <c r="AP76" s="31">
        <f t="shared" si="87"/>
        <v>737.64614551032457</v>
      </c>
      <c r="AQ76" s="240">
        <f>SUMIFS(AC76:AN76,AC$4:AN$4,"&lt;"&amp;'Title Sheet'!$C$13)</f>
        <v>8632.011109719655</v>
      </c>
    </row>
    <row r="77" spans="1:43" ht="15.75" hidden="1" x14ac:dyDescent="0.25">
      <c r="B77" t="str">
        <f t="shared" ref="B77:B86" si="89">$D$2</f>
        <v>PC Annual Direct</v>
      </c>
      <c r="C77" t="str">
        <f t="shared" si="88"/>
        <v>Boom Subscription</v>
      </c>
      <c r="D77" s="213" t="s">
        <v>0</v>
      </c>
      <c r="E77" s="214" t="str">
        <f t="shared" ref="E77:AN77" si="90">IFERROR(IF(E75=0,"-",(E75/E76)-1),"-")</f>
        <v>-</v>
      </c>
      <c r="F77" s="214" t="str">
        <f t="shared" si="90"/>
        <v>-</v>
      </c>
      <c r="G77" s="214" t="str">
        <f t="shared" si="90"/>
        <v>-</v>
      </c>
      <c r="H77" s="214" t="str">
        <f t="shared" si="90"/>
        <v>-</v>
      </c>
      <c r="I77" s="214" t="str">
        <f t="shared" si="90"/>
        <v>-</v>
      </c>
      <c r="J77" s="214" t="str">
        <f t="shared" si="90"/>
        <v>-</v>
      </c>
      <c r="K77" s="214" t="str">
        <f t="shared" si="90"/>
        <v>-</v>
      </c>
      <c r="L77" s="214" t="str">
        <f t="shared" si="90"/>
        <v>-</v>
      </c>
      <c r="M77" s="214" t="str">
        <f t="shared" si="90"/>
        <v>-</v>
      </c>
      <c r="N77" s="214" t="str">
        <f t="shared" si="90"/>
        <v>-</v>
      </c>
      <c r="O77" s="214" t="str">
        <f t="shared" si="90"/>
        <v>-</v>
      </c>
      <c r="P77" s="270" t="str">
        <f t="shared" si="90"/>
        <v>-</v>
      </c>
      <c r="Q77" s="214" t="str">
        <f t="shared" si="90"/>
        <v>-</v>
      </c>
      <c r="R77" s="214" t="str">
        <f t="shared" si="90"/>
        <v>-</v>
      </c>
      <c r="S77" s="214" t="str">
        <f t="shared" si="90"/>
        <v>-</v>
      </c>
      <c r="T77" s="214" t="str">
        <f t="shared" si="90"/>
        <v>-</v>
      </c>
      <c r="U77" s="214" t="str">
        <f t="shared" si="90"/>
        <v>-</v>
      </c>
      <c r="V77" s="214" t="str">
        <f t="shared" si="90"/>
        <v>-</v>
      </c>
      <c r="W77" s="214" t="str">
        <f t="shared" si="90"/>
        <v>-</v>
      </c>
      <c r="X77" s="214" t="str">
        <f t="shared" si="90"/>
        <v>-</v>
      </c>
      <c r="Y77" s="214" t="str">
        <f t="shared" si="90"/>
        <v>-</v>
      </c>
      <c r="Z77" s="214" t="str">
        <f t="shared" si="90"/>
        <v>-</v>
      </c>
      <c r="AA77" s="214">
        <f t="shared" si="90"/>
        <v>-0.5615382631729533</v>
      </c>
      <c r="AB77" s="270">
        <f t="shared" si="90"/>
        <v>-0.80097912098197843</v>
      </c>
      <c r="AC77" s="214">
        <f t="shared" si="90"/>
        <v>-0.96885970849549985</v>
      </c>
      <c r="AD77" s="214" t="str">
        <f t="shared" si="90"/>
        <v>-</v>
      </c>
      <c r="AE77" s="214" t="str">
        <f t="shared" si="90"/>
        <v>-</v>
      </c>
      <c r="AF77" s="214" t="str">
        <f t="shared" si="90"/>
        <v>-</v>
      </c>
      <c r="AG77" s="214" t="str">
        <f t="shared" si="90"/>
        <v>-</v>
      </c>
      <c r="AH77" s="214" t="str">
        <f t="shared" si="90"/>
        <v>-</v>
      </c>
      <c r="AI77" s="214" t="str">
        <f t="shared" si="90"/>
        <v>-</v>
      </c>
      <c r="AJ77" s="214" t="str">
        <f t="shared" si="90"/>
        <v>-</v>
      </c>
      <c r="AK77" s="214" t="str">
        <f t="shared" si="90"/>
        <v>-</v>
      </c>
      <c r="AL77" s="214" t="str">
        <f t="shared" si="90"/>
        <v>-</v>
      </c>
      <c r="AM77" s="214" t="str">
        <f t="shared" si="90"/>
        <v>-</v>
      </c>
      <c r="AN77" s="270" t="str">
        <f t="shared" si="90"/>
        <v>-</v>
      </c>
      <c r="AO77" s="274">
        <f t="shared" si="86"/>
        <v>-0.77712569755014382</v>
      </c>
      <c r="AP77" s="275">
        <f t="shared" si="87"/>
        <v>-0.77712569755014382</v>
      </c>
      <c r="AQ77" s="276">
        <f t="shared" ref="AQ77" si="91">IFERROR(IF(AQ75=0,"-",(AQ75/AQ76)-1),"-")</f>
        <v>-0.99699392188734981</v>
      </c>
    </row>
    <row r="78" spans="1:43" ht="15.75" x14ac:dyDescent="0.25">
      <c r="A78">
        <v>2</v>
      </c>
      <c r="B78" t="str">
        <f t="shared" si="89"/>
        <v>PC Annual Direct</v>
      </c>
      <c r="C78" t="str">
        <f t="shared" si="88"/>
        <v>Boom Subscription</v>
      </c>
      <c r="D78" s="208" t="s">
        <v>5</v>
      </c>
      <c r="E78" s="209">
        <f>'Current - MGA and MPM'!E78/VLOOKUP(COUNTA(E$4:$AE$4),'Dev Patterns'!$B$6:$F$34,$A78,0)</f>
        <v>0</v>
      </c>
      <c r="F78" s="209">
        <f>'Current - MGA and MPM'!F78/VLOOKUP(COUNTA(F$4:$AE$4),'Dev Patterns'!$B$6:$F$34,$A78,0)</f>
        <v>0</v>
      </c>
      <c r="G78" s="209">
        <f>'Current - MGA and MPM'!G78/VLOOKUP(COUNTA(G$4:$AE$4),'Dev Patterns'!$B$6:$F$34,$A78,0)</f>
        <v>846987.90250499675</v>
      </c>
      <c r="H78" s="209">
        <f>'Current - MGA and MPM'!H78/VLOOKUP(COUNTA(H$4:$AE$4),'Dev Patterns'!$B$6:$F$34,$A78,0)</f>
        <v>1174966.3528505522</v>
      </c>
      <c r="I78" s="209">
        <f>'Current - MGA and MPM'!I78/VLOOKUP(COUNTA(I$4:$AE$4),'Dev Patterns'!$B$6:$F$34,$A78,0)</f>
        <v>1584616.7353637449</v>
      </c>
      <c r="J78" s="209">
        <f>'Current - MGA and MPM'!J78/VLOOKUP(COUNTA(J$4:$AE$4),'Dev Patterns'!$B$6:$F$34,$A78,0)</f>
        <v>2067074.1935759829</v>
      </c>
      <c r="K78" s="209">
        <f>'Current - MGA and MPM'!K78/VLOOKUP(COUNTA(K$4:$AE$4),'Dev Patterns'!$B$6:$F$34,$A78,0)</f>
        <v>2147381.5107197058</v>
      </c>
      <c r="L78" s="209">
        <f>'Current - MGA and MPM'!L78/VLOOKUP(COUNTA(L$4:$AE$4),'Dev Patterns'!$B$6:$F$34,$A78,0)</f>
        <v>1385118.7807201962</v>
      </c>
      <c r="M78" s="209">
        <f>'Current - MGA and MPM'!M78/VLOOKUP(COUNTA(M$4:$AE$4),'Dev Patterns'!$B$6:$F$34,$A78,0)</f>
        <v>643445.39178494341</v>
      </c>
      <c r="N78" s="209">
        <f>'Current - MGA and MPM'!N78/VLOOKUP(COUNTA(N$4:$AE$4),'Dev Patterns'!$B$6:$F$34,$A78,0)</f>
        <v>980987.4871429553</v>
      </c>
      <c r="O78" s="209">
        <f>'Current - MGA and MPM'!O78/VLOOKUP(COUNTA(O$4:$AE$4),'Dev Patterns'!$B$6:$F$34,$A78,0)</f>
        <v>1104566.6828573106</v>
      </c>
      <c r="P78" s="265">
        <f>'Current - MGA and MPM'!P78/VLOOKUP(COUNTA(P$4:$AE$4),'Dev Patterns'!$B$6:$F$34,$A78,0)</f>
        <v>1090306.8017866081</v>
      </c>
      <c r="Q78" s="209">
        <f>'Current - MGA and MPM'!Q78/VLOOKUP(COUNTA(Q$4:$AE$4),'Dev Patterns'!$B$6:$F$34,$A78,0)</f>
        <v>1070212.2560720325</v>
      </c>
      <c r="R78" s="209">
        <f>'Current - MGA and MPM'!R78/VLOOKUP(COUNTA(R$4:$AE$4),'Dev Patterns'!$B$6:$F$34,$A78,0)</f>
        <v>1107168.0560714623</v>
      </c>
      <c r="S78" s="209">
        <f>'Current - MGA and MPM'!S78/VLOOKUP(COUNTA(S$4:$AE$4),'Dev Patterns'!$B$6:$F$34,$A78,0)</f>
        <v>1196806.3042855575</v>
      </c>
      <c r="T78" s="209">
        <f>'Current - MGA and MPM'!T78/VLOOKUP(COUNTA(T$4:$AE$4),'Dev Patterns'!$B$6:$F$34,$A78,0)</f>
        <v>1196843.1078571794</v>
      </c>
      <c r="U78" s="209">
        <f>'Current - MGA and MPM'!U78/VLOOKUP(COUNTA(U$4:$AE$4),'Dev Patterns'!$B$6:$F$34,$A78,0)</f>
        <v>1370755.3755405317</v>
      </c>
      <c r="V78" s="209">
        <f>'Current - MGA and MPM'!V78/VLOOKUP(COUNTA(V$4:$AE$4),'Dev Patterns'!$B$6:$F$34,$A78,0)</f>
        <v>1317973.2141891306</v>
      </c>
      <c r="W78" s="209">
        <f>'Current - MGA and MPM'!W78/VLOOKUP(COUNTA(W$4:$AE$4),'Dev Patterns'!$B$6:$F$34,$A78,0)</f>
        <v>1486079.7828711604</v>
      </c>
      <c r="X78" s="209">
        <f>'Current - MGA and MPM'!X78/VLOOKUP(COUNTA(X$4:$AE$4),'Dev Patterns'!$B$6:$F$34,$A78,0)</f>
        <v>1612205.6729161865</v>
      </c>
      <c r="Y78" s="209">
        <f>'Current - MGA and MPM'!Y78/VLOOKUP(COUNTA(Y$4:$AE$4),'Dev Patterns'!$B$6:$F$34,$A78,0)</f>
        <v>1638311.883068874</v>
      </c>
      <c r="Z78" s="209">
        <f>'Current - MGA and MPM'!Z78/VLOOKUP(COUNTA(Z$4:$AE$4),'Dev Patterns'!$B$6:$F$34,$A78,0)</f>
        <v>1871582.3446317501</v>
      </c>
      <c r="AA78" s="209">
        <f>'Current - MGA and MPM'!AA78/VLOOKUP(COUNTA(AA$4:$AE$4),'Dev Patterns'!$B$6:$F$34,$A78,0)</f>
        <v>2019994.2638379754</v>
      </c>
      <c r="AB78" s="265">
        <f>'Current - MGA and MPM'!AB78/VLOOKUP(COUNTA(AB$4:$AE$4),'Dev Patterns'!$B$6:$F$34,$A78,0)</f>
        <v>2153936.8669541515</v>
      </c>
      <c r="AC78" s="209">
        <f>'Current - MGA and MPM'!AC78/VLOOKUP(COUNTA(AC$4:$AE$4),'Dev Patterns'!$B$6:$F$34,$A78,0)</f>
        <v>1860185.246753453</v>
      </c>
      <c r="AD78" s="209">
        <f>'Current - MGA and MPM'!AD78/VLOOKUP(COUNTA(AD$4:$AE$4),'Dev Patterns'!$B$6:$F$34,$A78,0)</f>
        <v>1633127.9510613156</v>
      </c>
      <c r="AE78" s="209">
        <f>'Current - MGA and MPM'!AE78/VLOOKUP(COUNTA(AE$4:$AE$4),'Dev Patterns'!$B$6:$F$34,$A78,0)</f>
        <v>1666087.8883350932</v>
      </c>
      <c r="AF78" s="209">
        <f>'Current - MGA and MPM'!AF78/VLOOKUP(COUNTA($AE$4:AF$4),'Dev Patterns'!$B$6:$F$34,$A78,0)</f>
        <v>1403296.7397426751</v>
      </c>
      <c r="AG78" s="209">
        <f>'Current - MGA and MPM'!AG78/VLOOKUP(COUNTA($AE$4:AG$4),'Dev Patterns'!$B$6:$F$34,$A78,0)</f>
        <v>1328280.4567745125</v>
      </c>
      <c r="AH78" s="209">
        <f>'Current - MGA and MPM'!AH78/VLOOKUP(COUNTA($AE$4:AH$4),'Dev Patterns'!$B$6:$F$34,$A78,0)</f>
        <v>1132727.7525466909</v>
      </c>
      <c r="AI78" s="209">
        <f>'Current - MGA and MPM'!AI78/VLOOKUP(COUNTA($AE$4:AI$4),'Dev Patterns'!$B$6:$F$34,$A78,0)</f>
        <v>1049109.6401113255</v>
      </c>
      <c r="AJ78" s="209">
        <f>'Current - MGA and MPM'!AJ78/VLOOKUP(COUNTA($AE$4:AJ$4),'Dev Patterns'!$B$6:$F$34,$A78,0)</f>
        <v>896981.19604843506</v>
      </c>
      <c r="AK78" s="209">
        <f>'Current - MGA and MPM'!AK78/VLOOKUP(COUNTA($AE$4:AK$4),'Dev Patterns'!$B$6:$F$34,$A78,0)</f>
        <v>714637.24237929762</v>
      </c>
      <c r="AL78" s="209">
        <f>'Current - MGA and MPM'!AL78/VLOOKUP(COUNTA($AE$4:AL$4),'Dev Patterns'!$B$6:$F$34,$A78,0)</f>
        <v>577995.82047141518</v>
      </c>
      <c r="AM78" s="209">
        <f>'Current - MGA and MPM'!AM78/VLOOKUP(COUNTA($AE$4:AM$4),'Dev Patterns'!$B$6:$F$34,$A78,0)</f>
        <v>347839.86377655988</v>
      </c>
      <c r="AN78" s="265">
        <f>'Current - MGA and MPM'!AN78/VLOOKUP(COUNTA($AE$4:AN$4),'Dev Patterns'!$B$6:$F$34,$A78,0)</f>
        <v>196334.60635764542</v>
      </c>
      <c r="AO78" s="237">
        <f t="shared" si="86"/>
        <v>1976424.6805443326</v>
      </c>
      <c r="AP78" s="209">
        <f t="shared" si="87"/>
        <v>1569320.1765814514</v>
      </c>
      <c r="AQ78" s="238">
        <f>SUMIFS(AC78:AN78,AC$4:AN$4,"&lt;"&amp;'Title Sheet'!$C$13)</f>
        <v>12806604.404358419</v>
      </c>
    </row>
    <row r="79" spans="1:43" ht="15.75" x14ac:dyDescent="0.25">
      <c r="B79" t="str">
        <f>$D$89&amp;"_NWP"</f>
        <v>PC Annual Direct - Subscription_NWP</v>
      </c>
      <c r="C79" t="str">
        <f t="shared" si="88"/>
        <v>Boom Subscription</v>
      </c>
      <c r="D79" s="211" t="s">
        <v>6</v>
      </c>
      <c r="E79" s="31" t="e">
        <f>INDEX('Plan Figures'!$B$5:$AP$31,MATCH('Ultimate - MGA and MPM'!E$4,'Plan Figures'!$B$5:$B$31,0),MATCH('Ultimate - MGA and MPM'!$B79,'Plan Figures'!$B$1:$AP$1,0))</f>
        <v>#N/A</v>
      </c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266"/>
      <c r="Q79" s="31"/>
      <c r="R79" s="31" t="str">
        <f>INDEX('Plan Figures'!$B$5:$AP$31,MATCH('Ultimate - MGA and MPM'!R$4,'Plan Figures'!$B$5:$B$31,0),MATCH('Ultimate - MGA and MPM'!$B79,'Plan Figures'!$B$1:$AP$1,0))</f>
        <v>-</v>
      </c>
      <c r="S79" s="31" t="str">
        <f>INDEX('Plan Figures'!$B$5:$AP$31,MATCH('Ultimate - MGA and MPM'!S$4,'Plan Figures'!$B$5:$B$31,0),MATCH('Ultimate - MGA and MPM'!$B79,'Plan Figures'!$B$1:$AP$1,0))</f>
        <v>-</v>
      </c>
      <c r="T79" s="31" t="str">
        <f>INDEX('Plan Figures'!$B$5:$AP$31,MATCH('Ultimate - MGA and MPM'!T$4,'Plan Figures'!$B$5:$B$31,0),MATCH('Ultimate - MGA and MPM'!$B79,'Plan Figures'!$B$1:$AP$1,0))</f>
        <v>-</v>
      </c>
      <c r="U79" s="31" t="str">
        <f>INDEX('Plan Figures'!$B$5:$AP$31,MATCH('Ultimate - MGA and MPM'!U$4,'Plan Figures'!$B$5:$B$31,0),MATCH('Ultimate - MGA and MPM'!$B79,'Plan Figures'!$B$1:$AP$1,0))</f>
        <v>-</v>
      </c>
      <c r="V79" s="31" t="str">
        <f>INDEX('Plan Figures'!$B$5:$AP$31,MATCH('Ultimate - MGA and MPM'!V$4,'Plan Figures'!$B$5:$B$31,0),MATCH('Ultimate - MGA and MPM'!$B79,'Plan Figures'!$B$1:$AP$1,0))</f>
        <v>-</v>
      </c>
      <c r="W79" s="31" t="str">
        <f>INDEX('Plan Figures'!$B$5:$AP$31,MATCH('Ultimate - MGA and MPM'!W$4,'Plan Figures'!$B$5:$B$31,0),MATCH('Ultimate - MGA and MPM'!$B79,'Plan Figures'!$B$1:$AP$1,0))</f>
        <v>-</v>
      </c>
      <c r="X79" s="31" t="str">
        <f>INDEX('Plan Figures'!$B$5:$AP$31,MATCH('Ultimate - MGA and MPM'!X$4,'Plan Figures'!$B$5:$B$31,0),MATCH('Ultimate - MGA and MPM'!$B79,'Plan Figures'!$B$1:$AP$1,0))</f>
        <v>-</v>
      </c>
      <c r="Y79" s="31" t="str">
        <f>INDEX('Plan Figures'!$B$5:$AP$31,MATCH('Ultimate - MGA and MPM'!Y$4,'Plan Figures'!$B$5:$B$31,0),MATCH('Ultimate - MGA and MPM'!$B79,'Plan Figures'!$B$1:$AP$1,0))</f>
        <v>-</v>
      </c>
      <c r="Z79" s="31" t="str">
        <f>INDEX('Plan Figures'!$B$5:$AP$31,MATCH('Ultimate - MGA and MPM'!Z$4,'Plan Figures'!$B$5:$B$31,0),MATCH('Ultimate - MGA and MPM'!$B79,'Plan Figures'!$B$1:$AP$1,0))</f>
        <v>-</v>
      </c>
      <c r="AA79" s="31">
        <f>INDEX('Plan Figures'!$B$5:$AP$31,MATCH('Ultimate - MGA and MPM'!AA$4,'Plan Figures'!$B$5:$B$31,0),MATCH('Ultimate - MGA and MPM'!$B79,'Plan Figures'!$B$1:$AP$1,0))</f>
        <v>1811220.2312349698</v>
      </c>
      <c r="AB79" s="266">
        <f>INDEX('Plan Figures'!$B$5:$AP$31,MATCH('Ultimate - MGA and MPM'!AB$4,'Plan Figures'!$B$5:$B$31,0),MATCH('Ultimate - MGA and MPM'!$B79,'Plan Figures'!$B$1:$AP$1,0))</f>
        <v>1916096.3475731572</v>
      </c>
      <c r="AC79" s="31">
        <f>INDEX('Plan Figures'!$B$5:$AP$31,MATCH('Ultimate - MGA and MPM'!AC$4,'Plan Figures'!$B$5:$B$31,0),MATCH('Ultimate - MGA and MPM'!$B79,'Plan Figures'!$B$1:$AP$1,0))</f>
        <v>2026245.4879278806</v>
      </c>
      <c r="AD79" s="31">
        <f>INDEX('Plan Figures'!$B$5:$AP$42,MATCH('Ultimate - MGA and MPM'!AD$4,'Plan Figures'!$B$5:$B$42,0),MATCH('Ultimate - MGA and MPM'!$B79,'Plan Figures'!$B$1:$AP$1,0))</f>
        <v>2073314.966746679</v>
      </c>
      <c r="AE79" s="31">
        <f>INDEX('Plan Figures'!$B$5:$AP$42,MATCH('Ultimate - MGA and MPM'!AE$4,'Plan Figures'!$B$5:$B$42,0),MATCH('Ultimate - MGA and MPM'!$B79,'Plan Figures'!$B$1:$AP$1,0))</f>
        <v>1955902.6469528598</v>
      </c>
      <c r="AF79" s="31">
        <f>INDEX('Plan Figures'!$B$5:$AP$42,MATCH('Ultimate - MGA and MPM'!AF$4,'Plan Figures'!$B$5:$B$42,0),MATCH('Ultimate - MGA and MPM'!$B79,'Plan Figures'!$B$1:$AP$1,0))</f>
        <v>1768843.0862598093</v>
      </c>
      <c r="AG79" s="31">
        <f>INDEX('Plan Figures'!$B$5:$AP$42,MATCH('Ultimate - MGA and MPM'!AG$4,'Plan Figures'!$B$5:$B$42,0),MATCH('Ultimate - MGA and MPM'!$B79,'Plan Figures'!$B$1:$AP$1,0))</f>
        <v>1606725.6641009036</v>
      </c>
      <c r="AH79" s="31">
        <f>INDEX('Plan Figures'!$B$5:$AP$42,MATCH('Ultimate - MGA and MPM'!AH$4,'Plan Figures'!$B$5:$B$42,0),MATCH('Ultimate - MGA and MPM'!$B79,'Plan Figures'!$B$1:$AP$1,0))</f>
        <v>1443312.9653584959</v>
      </c>
      <c r="AI79" s="31">
        <f>INDEX('Plan Figures'!$B$5:$AP$42,MATCH('Ultimate - MGA and MPM'!AI$4,'Plan Figures'!$B$5:$B$42,0),MATCH('Ultimate - MGA and MPM'!$B79,'Plan Figures'!$B$1:$AP$1,0))</f>
        <v>1349487.1149863317</v>
      </c>
      <c r="AJ79" s="31">
        <f>INDEX('Plan Figures'!$B$5:$AP$42,MATCH('Ultimate - MGA and MPM'!AJ$4,'Plan Figures'!$B$5:$B$42,0),MATCH('Ultimate - MGA and MPM'!$B79,'Plan Figures'!$B$1:$AP$1,0))</f>
        <v>1181466.7154575591</v>
      </c>
      <c r="AK79" s="31">
        <f>INDEX('Plan Figures'!$B$5:$AP$42,MATCH('Ultimate - MGA and MPM'!AK$4,'Plan Figures'!$B$5:$B$42,0),MATCH('Ultimate - MGA and MPM'!$B79,'Plan Figures'!$B$1:$AP$1,0))</f>
        <v>1008629.6841870487</v>
      </c>
      <c r="AL79" s="31">
        <f>INDEX('Plan Figures'!$B$5:$AP$42,MATCH('Ultimate - MGA and MPM'!AL$4,'Plan Figures'!$B$5:$B$42,0),MATCH('Ultimate - MGA and MPM'!$B79,'Plan Figures'!$B$1:$AP$1,0))</f>
        <v>770515.80233695055</v>
      </c>
      <c r="AM79" s="31">
        <f>INDEX('Plan Figures'!$B$5:$AP$42,MATCH('Ultimate - MGA and MPM'!AM$4,'Plan Figures'!$B$5:$B$42,0),MATCH('Ultimate - MGA and MPM'!$B79,'Plan Figures'!$B$1:$AP$1,0))</f>
        <v>485375.48606279783</v>
      </c>
      <c r="AN79" s="266">
        <f>INDEX('Plan Figures'!$B$5:$AP$42,MATCH('Ultimate - MGA and MPM'!AN$4,'Plan Figures'!$B$5:$B$42,0),MATCH('Ultimate - MGA and MPM'!$B79,'Plan Figures'!$B$1:$AP$1,0))</f>
        <v>234050.2177927887</v>
      </c>
      <c r="AO79" s="239">
        <f t="shared" si="86"/>
        <v>1917854.0222453356</v>
      </c>
      <c r="AP79" s="31">
        <f t="shared" si="87"/>
        <v>1917854.0222453356</v>
      </c>
      <c r="AQ79" s="240">
        <f>SUMIFS(AC79:AN79,AC$4:AN$4,"&lt;"&amp;'Title Sheet'!$C$13)</f>
        <v>15903869.838170106</v>
      </c>
    </row>
    <row r="80" spans="1:43" ht="15.75" x14ac:dyDescent="0.25">
      <c r="B80" t="str">
        <f t="shared" si="89"/>
        <v>PC Annual Direct</v>
      </c>
      <c r="C80" t="str">
        <f t="shared" si="88"/>
        <v>Boom Subscription</v>
      </c>
      <c r="D80" s="213" t="s">
        <v>0</v>
      </c>
      <c r="E80" s="214" t="str">
        <f t="shared" ref="E80:AN80" si="92">IFERROR(IF(E78=0,"-",(E78/E79)-1),"-")</f>
        <v>-</v>
      </c>
      <c r="F80" s="214" t="str">
        <f t="shared" si="92"/>
        <v>-</v>
      </c>
      <c r="G80" s="214" t="str">
        <f t="shared" si="92"/>
        <v>-</v>
      </c>
      <c r="H80" s="214" t="str">
        <f t="shared" si="92"/>
        <v>-</v>
      </c>
      <c r="I80" s="214" t="str">
        <f t="shared" si="92"/>
        <v>-</v>
      </c>
      <c r="J80" s="214" t="str">
        <f t="shared" si="92"/>
        <v>-</v>
      </c>
      <c r="K80" s="214" t="str">
        <f t="shared" si="92"/>
        <v>-</v>
      </c>
      <c r="L80" s="214" t="str">
        <f t="shared" si="92"/>
        <v>-</v>
      </c>
      <c r="M80" s="214" t="str">
        <f t="shared" si="92"/>
        <v>-</v>
      </c>
      <c r="N80" s="214" t="str">
        <f t="shared" si="92"/>
        <v>-</v>
      </c>
      <c r="O80" s="214" t="str">
        <f t="shared" si="92"/>
        <v>-</v>
      </c>
      <c r="P80" s="270" t="str">
        <f t="shared" si="92"/>
        <v>-</v>
      </c>
      <c r="Q80" s="214" t="str">
        <f t="shared" si="92"/>
        <v>-</v>
      </c>
      <c r="R80" s="214" t="str">
        <f t="shared" si="92"/>
        <v>-</v>
      </c>
      <c r="S80" s="214" t="str">
        <f t="shared" si="92"/>
        <v>-</v>
      </c>
      <c r="T80" s="214" t="str">
        <f t="shared" si="92"/>
        <v>-</v>
      </c>
      <c r="U80" s="214" t="str">
        <f t="shared" si="92"/>
        <v>-</v>
      </c>
      <c r="V80" s="214" t="str">
        <f t="shared" si="92"/>
        <v>-</v>
      </c>
      <c r="W80" s="214" t="str">
        <f t="shared" si="92"/>
        <v>-</v>
      </c>
      <c r="X80" s="214" t="str">
        <f t="shared" si="92"/>
        <v>-</v>
      </c>
      <c r="Y80" s="214" t="str">
        <f t="shared" si="92"/>
        <v>-</v>
      </c>
      <c r="Z80" s="214" t="str">
        <f t="shared" si="92"/>
        <v>-</v>
      </c>
      <c r="AA80" s="214">
        <f t="shared" si="92"/>
        <v>0.11526706084806393</v>
      </c>
      <c r="AB80" s="270">
        <f t="shared" si="92"/>
        <v>0.12412764091024586</v>
      </c>
      <c r="AC80" s="214">
        <f t="shared" si="92"/>
        <v>-8.1954650689560538E-2</v>
      </c>
      <c r="AD80" s="214">
        <f t="shared" si="92"/>
        <v>-0.21231073075987017</v>
      </c>
      <c r="AE80" s="214">
        <f t="shared" si="92"/>
        <v>-0.14817442937115244</v>
      </c>
      <c r="AF80" s="214">
        <f t="shared" si="92"/>
        <v>-0.20665843644168358</v>
      </c>
      <c r="AG80" s="214">
        <f t="shared" si="92"/>
        <v>-0.17329978200242679</v>
      </c>
      <c r="AH80" s="214">
        <f t="shared" si="92"/>
        <v>-0.21518909638192063</v>
      </c>
      <c r="AI80" s="214">
        <f t="shared" si="92"/>
        <v>-0.22258639711283834</v>
      </c>
      <c r="AJ80" s="214">
        <f t="shared" si="92"/>
        <v>-0.24079012610943362</v>
      </c>
      <c r="AK80" s="214">
        <f t="shared" si="92"/>
        <v>-0.29147708660260951</v>
      </c>
      <c r="AL80" s="214">
        <f t="shared" si="92"/>
        <v>-0.24985857691903035</v>
      </c>
      <c r="AM80" s="214">
        <f t="shared" si="92"/>
        <v>-0.28335922648644762</v>
      </c>
      <c r="AN80" s="270">
        <f t="shared" si="92"/>
        <v>-0.16114324434653582</v>
      </c>
      <c r="AO80" s="274">
        <f t="shared" si="86"/>
        <v>5.2480017022916416E-2</v>
      </c>
      <c r="AP80" s="275">
        <f t="shared" si="87"/>
        <v>5.2480017022916416E-2</v>
      </c>
      <c r="AQ80" s="276">
        <f t="shared" ref="AQ80" si="93">IFERROR(IF(AQ78=0,"-",(AQ78/AQ79)-1),"-")</f>
        <v>-0.1947491689335944</v>
      </c>
    </row>
    <row r="81" spans="1:45" ht="15.75" x14ac:dyDescent="0.25">
      <c r="B81" t="str">
        <f t="shared" si="89"/>
        <v>PC Annual Direct</v>
      </c>
      <c r="C81" t="str">
        <f t="shared" si="88"/>
        <v>Boom Subscription</v>
      </c>
      <c r="D81" s="208" t="s">
        <v>302</v>
      </c>
      <c r="E81" s="209">
        <f t="shared" ref="E81:AP82" si="94">IFERROR(E78/E75,0)</f>
        <v>0</v>
      </c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65"/>
      <c r="Q81" s="209"/>
      <c r="R81" s="209">
        <f t="shared" si="94"/>
        <v>852.53316988048084</v>
      </c>
      <c r="S81" s="209">
        <f t="shared" si="94"/>
        <v>863.73381440601941</v>
      </c>
      <c r="T81" s="209">
        <f t="shared" si="94"/>
        <v>1079.7564978611656</v>
      </c>
      <c r="U81" s="209">
        <f t="shared" si="94"/>
        <v>1318.3171460659612</v>
      </c>
      <c r="V81" s="209">
        <f t="shared" si="94"/>
        <v>1542.9555436523942</v>
      </c>
      <c r="W81" s="209">
        <f t="shared" si="94"/>
        <v>1813.7590551745218</v>
      </c>
      <c r="X81" s="209">
        <f t="shared" si="94"/>
        <v>2326.1373033992195</v>
      </c>
      <c r="Y81" s="209">
        <f t="shared" si="94"/>
        <v>2944.9112522974165</v>
      </c>
      <c r="Z81" s="209">
        <f t="shared" si="94"/>
        <v>4035.4356852955834</v>
      </c>
      <c r="AA81" s="209">
        <f t="shared" si="94"/>
        <v>7479.7125463086859</v>
      </c>
      <c r="AB81" s="265">
        <f t="shared" si="94"/>
        <v>14170.840624167893</v>
      </c>
      <c r="AC81" s="209">
        <f t="shared" si="94"/>
        <v>71687.583897448843</v>
      </c>
      <c r="AD81" s="209">
        <f t="shared" si="94"/>
        <v>0</v>
      </c>
      <c r="AE81" s="209">
        <f t="shared" si="94"/>
        <v>0</v>
      </c>
      <c r="AF81" s="209">
        <f t="shared" si="94"/>
        <v>0</v>
      </c>
      <c r="AG81" s="209">
        <f t="shared" si="94"/>
        <v>0</v>
      </c>
      <c r="AH81" s="209">
        <f t="shared" si="94"/>
        <v>0</v>
      </c>
      <c r="AI81" s="209">
        <f t="shared" si="94"/>
        <v>0</v>
      </c>
      <c r="AJ81" s="209">
        <f t="shared" si="94"/>
        <v>0</v>
      </c>
      <c r="AK81" s="209">
        <f t="shared" si="94"/>
        <v>0</v>
      </c>
      <c r="AL81" s="209">
        <f t="shared" si="94"/>
        <v>0</v>
      </c>
      <c r="AM81" s="209">
        <f t="shared" si="94"/>
        <v>0</v>
      </c>
      <c r="AN81" s="265">
        <f t="shared" si="94"/>
        <v>0</v>
      </c>
      <c r="AO81" s="237">
        <f t="shared" si="94"/>
        <v>8670.4655119366016</v>
      </c>
      <c r="AP81" s="209">
        <f t="shared" si="94"/>
        <v>2172.7617786352043</v>
      </c>
      <c r="AQ81" s="238">
        <f>SUMIFS(AC81:AN81,AC$4:AN$4,"&lt;"&amp;'Title Sheet'!$C$13)</f>
        <v>71687.583897448843</v>
      </c>
    </row>
    <row r="82" spans="1:45" ht="15.75" hidden="1" x14ac:dyDescent="0.25">
      <c r="B82" t="str">
        <f t="shared" si="89"/>
        <v>PC Annual Direct</v>
      </c>
      <c r="C82" t="str">
        <f t="shared" si="88"/>
        <v>Boom Subscription</v>
      </c>
      <c r="D82" s="211" t="s">
        <v>303</v>
      </c>
      <c r="E82" s="31">
        <f t="shared" si="94"/>
        <v>0</v>
      </c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6"/>
      <c r="Q82" s="31"/>
      <c r="R82" s="31">
        <f t="shared" si="94"/>
        <v>0</v>
      </c>
      <c r="S82" s="31">
        <f t="shared" si="94"/>
        <v>0</v>
      </c>
      <c r="T82" s="31">
        <f t="shared" si="94"/>
        <v>0</v>
      </c>
      <c r="U82" s="31">
        <f t="shared" si="94"/>
        <v>0</v>
      </c>
      <c r="V82" s="31">
        <f t="shared" si="94"/>
        <v>0</v>
      </c>
      <c r="W82" s="31">
        <f t="shared" si="94"/>
        <v>0</v>
      </c>
      <c r="X82" s="31">
        <f t="shared" si="94"/>
        <v>0</v>
      </c>
      <c r="Y82" s="31">
        <f t="shared" si="94"/>
        <v>0</v>
      </c>
      <c r="Z82" s="31">
        <f t="shared" si="94"/>
        <v>0</v>
      </c>
      <c r="AA82" s="31">
        <f t="shared" si="94"/>
        <v>2940.6120463449633</v>
      </c>
      <c r="AB82" s="266">
        <f t="shared" si="94"/>
        <v>2508.8727069841393</v>
      </c>
      <c r="AC82" s="31">
        <f t="shared" si="94"/>
        <v>2431.6579366113488</v>
      </c>
      <c r="AD82" s="31">
        <f t="shared" si="94"/>
        <v>2488.1451058234757</v>
      </c>
      <c r="AE82" s="31">
        <f t="shared" si="94"/>
        <v>2347.2408565685837</v>
      </c>
      <c r="AF82" s="31">
        <f t="shared" si="94"/>
        <v>2122.7543034395003</v>
      </c>
      <c r="AG82" s="31">
        <f t="shared" si="94"/>
        <v>1928.923722318608</v>
      </c>
      <c r="AH82" s="31">
        <f t="shared" si="94"/>
        <v>1792.1092036209764</v>
      </c>
      <c r="AI82" s="31">
        <f t="shared" si="94"/>
        <v>1414.0515952231303</v>
      </c>
      <c r="AJ82" s="31">
        <f t="shared" si="94"/>
        <v>1393.8475889887482</v>
      </c>
      <c r="AK82" s="31">
        <f t="shared" si="94"/>
        <v>1364.7480464248031</v>
      </c>
      <c r="AL82" s="31">
        <f t="shared" si="94"/>
        <v>1342.5395140050166</v>
      </c>
      <c r="AM82" s="31">
        <f t="shared" si="94"/>
        <v>1331.5433059075201</v>
      </c>
      <c r="AN82" s="266">
        <f t="shared" si="94"/>
        <v>1292.44666445843</v>
      </c>
      <c r="AO82" s="239">
        <f t="shared" si="94"/>
        <v>2599.9648122861263</v>
      </c>
      <c r="AP82" s="31">
        <f t="shared" si="94"/>
        <v>2599.9648122861263</v>
      </c>
      <c r="AQ82" s="240">
        <f>SUMIFS(AC82:AN82,AC$4:AN$4,"&lt;"&amp;'Title Sheet'!$C$13)</f>
        <v>21250.007843390136</v>
      </c>
    </row>
    <row r="83" spans="1:45" ht="15.75" hidden="1" x14ac:dyDescent="0.25">
      <c r="B83" t="str">
        <f t="shared" si="89"/>
        <v>PC Annual Direct</v>
      </c>
      <c r="C83" t="str">
        <f t="shared" si="88"/>
        <v>Boom Subscription</v>
      </c>
      <c r="D83" s="213" t="s">
        <v>0</v>
      </c>
      <c r="E83" s="214" t="str">
        <f t="shared" ref="E83:AN83" si="95">IFERROR(IF(E81=0,"-",(E81/E82)-1),"-")</f>
        <v>-</v>
      </c>
      <c r="F83" s="214" t="str">
        <f t="shared" si="95"/>
        <v>-</v>
      </c>
      <c r="G83" s="214" t="str">
        <f t="shared" si="95"/>
        <v>-</v>
      </c>
      <c r="H83" s="214" t="str">
        <f t="shared" si="95"/>
        <v>-</v>
      </c>
      <c r="I83" s="214" t="str">
        <f t="shared" si="95"/>
        <v>-</v>
      </c>
      <c r="J83" s="214" t="str">
        <f t="shared" si="95"/>
        <v>-</v>
      </c>
      <c r="K83" s="214" t="str">
        <f t="shared" si="95"/>
        <v>-</v>
      </c>
      <c r="L83" s="214" t="str">
        <f t="shared" si="95"/>
        <v>-</v>
      </c>
      <c r="M83" s="214" t="str">
        <f t="shared" si="95"/>
        <v>-</v>
      </c>
      <c r="N83" s="214" t="str">
        <f t="shared" si="95"/>
        <v>-</v>
      </c>
      <c r="O83" s="214" t="str">
        <f t="shared" si="95"/>
        <v>-</v>
      </c>
      <c r="P83" s="270" t="str">
        <f t="shared" si="95"/>
        <v>-</v>
      </c>
      <c r="Q83" s="214" t="str">
        <f t="shared" si="95"/>
        <v>-</v>
      </c>
      <c r="R83" s="214" t="str">
        <f t="shared" si="95"/>
        <v>-</v>
      </c>
      <c r="S83" s="214" t="str">
        <f t="shared" si="95"/>
        <v>-</v>
      </c>
      <c r="T83" s="214" t="str">
        <f t="shared" si="95"/>
        <v>-</v>
      </c>
      <c r="U83" s="214" t="str">
        <f t="shared" si="95"/>
        <v>-</v>
      </c>
      <c r="V83" s="214" t="str">
        <f t="shared" si="95"/>
        <v>-</v>
      </c>
      <c r="W83" s="214" t="str">
        <f t="shared" si="95"/>
        <v>-</v>
      </c>
      <c r="X83" s="214" t="str">
        <f t="shared" si="95"/>
        <v>-</v>
      </c>
      <c r="Y83" s="214" t="str">
        <f t="shared" si="95"/>
        <v>-</v>
      </c>
      <c r="Z83" s="214" t="str">
        <f t="shared" si="95"/>
        <v>-</v>
      </c>
      <c r="AA83" s="214">
        <f t="shared" si="95"/>
        <v>1.5435903915328111</v>
      </c>
      <c r="AB83" s="270">
        <f t="shared" si="95"/>
        <v>4.6482900008116985</v>
      </c>
      <c r="AC83" s="214">
        <f t="shared" si="95"/>
        <v>28.480949116284627</v>
      </c>
      <c r="AD83" s="214" t="str">
        <f t="shared" si="95"/>
        <v>-</v>
      </c>
      <c r="AE83" s="214" t="str">
        <f t="shared" si="95"/>
        <v>-</v>
      </c>
      <c r="AF83" s="214" t="str">
        <f t="shared" si="95"/>
        <v>-</v>
      </c>
      <c r="AG83" s="214" t="str">
        <f t="shared" si="95"/>
        <v>-</v>
      </c>
      <c r="AH83" s="214" t="str">
        <f t="shared" si="95"/>
        <v>-</v>
      </c>
      <c r="AI83" s="214" t="str">
        <f t="shared" si="95"/>
        <v>-</v>
      </c>
      <c r="AJ83" s="214" t="str">
        <f t="shared" si="95"/>
        <v>-</v>
      </c>
      <c r="AK83" s="214" t="str">
        <f t="shared" si="95"/>
        <v>-</v>
      </c>
      <c r="AL83" s="214" t="str">
        <f t="shared" si="95"/>
        <v>-</v>
      </c>
      <c r="AM83" s="214" t="str">
        <f t="shared" si="95"/>
        <v>-</v>
      </c>
      <c r="AN83" s="270" t="str">
        <f t="shared" si="95"/>
        <v>-</v>
      </c>
      <c r="AO83" s="274">
        <f t="shared" ref="AO83:AP83" si="96">AO81-AO82</f>
        <v>6070.5006996504753</v>
      </c>
      <c r="AP83" s="275">
        <f t="shared" si="96"/>
        <v>-427.20303365092195</v>
      </c>
      <c r="AQ83" s="276">
        <f t="shared" ref="AQ83" si="97">IFERROR(IF(AQ81=0,"-",(AQ81/AQ82)-1),"-")</f>
        <v>2.3735321147068391</v>
      </c>
    </row>
    <row r="84" spans="1:45" x14ac:dyDescent="0.25">
      <c r="B84" t="str">
        <f t="shared" si="89"/>
        <v>PC Annual Direct</v>
      </c>
      <c r="C84" t="str">
        <f t="shared" si="88"/>
        <v>Boom Subscription</v>
      </c>
      <c r="D84" s="258" t="s">
        <v>17</v>
      </c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67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67"/>
      <c r="AC84" s="259"/>
      <c r="AD84" s="259"/>
      <c r="AE84" s="259"/>
      <c r="AF84" s="259"/>
      <c r="AG84" s="259"/>
      <c r="AH84" s="259"/>
      <c r="AI84" s="259"/>
      <c r="AJ84" s="259"/>
      <c r="AK84" s="259"/>
      <c r="AL84" s="259"/>
      <c r="AM84" s="259"/>
      <c r="AN84" s="267"/>
      <c r="AO84" s="277"/>
      <c r="AP84" s="277"/>
      <c r="AQ84" s="278">
        <f>SUMIFS(AC84:AN84,AC$4:AN$4,"&lt;"&amp;'Title Sheet'!$C$13)</f>
        <v>0</v>
      </c>
    </row>
    <row r="85" spans="1:45" ht="15.75" x14ac:dyDescent="0.25">
      <c r="A85">
        <v>2</v>
      </c>
      <c r="B85" t="str">
        <f t="shared" si="89"/>
        <v>PC Annual Direct</v>
      </c>
      <c r="C85" t="str">
        <f t="shared" si="88"/>
        <v>Boom Subscription</v>
      </c>
      <c r="D85" s="208" t="s">
        <v>7</v>
      </c>
      <c r="E85" s="282" t="e">
        <f>'Current - Sales, NWP, GWP'!E88/VLOOKUP(COUNTA(E$4:$AC$4),'Dev Patterns'!$B$6:$F$22,$A85,0)</f>
        <v>#N/A</v>
      </c>
      <c r="F85" s="283"/>
      <c r="G85" s="283"/>
      <c r="H85" s="283"/>
      <c r="I85" s="283"/>
      <c r="J85" s="283"/>
      <c r="K85" s="283"/>
      <c r="L85" s="283"/>
      <c r="M85" s="283"/>
      <c r="N85" s="283"/>
      <c r="O85" s="283"/>
      <c r="P85" s="284"/>
      <c r="Q85" s="282"/>
      <c r="R85" s="283">
        <f>'Current - Sales, NWP, GWP'!R88/VLOOKUP(COUNTA(R$4:$AC$4),'Dev Patterns'!$B$6:$F$22,$A85,0)</f>
        <v>1942443.1160720733</v>
      </c>
      <c r="S85" s="283">
        <f>'Current - Sales, NWP, GWP'!S88/VLOOKUP(COUNTA(S$4:$AC$4),'Dev Patterns'!$B$6:$F$22,$A85,0)</f>
        <v>1920173.8467244913</v>
      </c>
      <c r="T85" s="283">
        <f>'Current - Sales, NWP, GWP'!T88/VLOOKUP(COUNTA(T$4:$AC$4),'Dev Patterns'!$B$6:$F$22,$A85,0)</f>
        <v>1614189.997221272</v>
      </c>
      <c r="U85" s="283">
        <f>'Current - Sales, NWP, GWP'!U88/VLOOKUP(COUNTA(U$4:$AC$4),'Dev Patterns'!$B$6:$F$22,$A85,0)</f>
        <v>1513392.1988720493</v>
      </c>
      <c r="V85" s="283">
        <f>'Current - Sales, NWP, GWP'!V88/VLOOKUP(COUNTA(V$4:$AC$4),'Dev Patterns'!$B$6:$F$22,$A85,0)</f>
        <v>1300647.9910934309</v>
      </c>
      <c r="W85" s="283">
        <f>'Current - Sales, NWP, GWP'!W88/VLOOKUP(COUNTA(W$4:$AC$4),'Dev Patterns'!$B$6:$F$22,$A85,0)</f>
        <v>1193624.3558192537</v>
      </c>
      <c r="X85" s="283">
        <f>'Current - Sales, NWP, GWP'!X88/VLOOKUP(COUNTA(X$4:$AC$4),'Dev Patterns'!$B$6:$F$22,$A85,0)</f>
        <v>1018339.5737868317</v>
      </c>
      <c r="Y85" s="283">
        <f>'Current - Sales, NWP, GWP'!Y88/VLOOKUP(COUNTA(Y$4:$AC$4),'Dev Patterns'!$B$6:$F$22,$A85,0)</f>
        <v>815634.65245117783</v>
      </c>
      <c r="Z85" s="283">
        <f>'Current - Sales, NWP, GWP'!Z88/VLOOKUP(COUNTA(Z$4:$AC$4),'Dev Patterns'!$B$6:$F$22,$A85,0)</f>
        <v>648666.23401254229</v>
      </c>
      <c r="AA85" s="283">
        <f>'Current - Sales, NWP, GWP'!AA88/VLOOKUP(COUNTA(AA$4:$AC$4),'Dev Patterns'!$B$6:$F$22,$A85,0)</f>
        <v>389371.37969203893</v>
      </c>
      <c r="AB85" s="284">
        <f>'Current - Sales, NWP, GWP'!AB88/VLOOKUP(COUNTA(AB$4:$AC$4),'Dev Patterns'!$B$6:$F$22,$A85,0)</f>
        <v>205733.10275514604</v>
      </c>
      <c r="AC85" s="282">
        <f>'Current - Sales, NWP, GWP'!AC88/VLOOKUP(COUNTA(AC$4:$AC$4),'Dev Patterns'!$B$6:$F$22,$A85,0)</f>
        <v>30615.138582069223</v>
      </c>
      <c r="AD85" s="283">
        <f>'Current - Sales, NWP, GWP'!AD88/VLOOKUP(COUNTA($AC$4:AD$4),'Dev Patterns'!$B$6:$F$22,$A85,0)</f>
        <v>0</v>
      </c>
      <c r="AE85" s="283">
        <f>'Current - Sales, NWP, GWP'!AE88/VLOOKUP(COUNTA($AC$4:AE$4),'Dev Patterns'!$B$6:$F$22,$A85,0)</f>
        <v>0</v>
      </c>
      <c r="AF85" s="283">
        <f>'Current - Sales, NWP, GWP'!AF88/VLOOKUP(COUNTA($AC$4:AF$4),'Dev Patterns'!$B$6:$F$22,$A85,0)</f>
        <v>0</v>
      </c>
      <c r="AG85" s="283">
        <f>'Current - Sales, NWP, GWP'!AG88/VLOOKUP(COUNTA($AC$4:AG$4),'Dev Patterns'!$B$6:$F$22,$A85,0)</f>
        <v>0</v>
      </c>
      <c r="AH85" s="283">
        <f>'Current - Sales, NWP, GWP'!AH88/VLOOKUP(COUNTA($AC$4:AH$4),'Dev Patterns'!$B$6:$F$22,$A85,0)</f>
        <v>0</v>
      </c>
      <c r="AI85" s="283">
        <f>'Current - Sales, NWP, GWP'!AI88/VLOOKUP(COUNTA($AC$4:AI$4),'Dev Patterns'!$B$6:$F$22,$A85,0)</f>
        <v>0</v>
      </c>
      <c r="AJ85" s="283">
        <f>'Current - Sales, NWP, GWP'!AJ88/VLOOKUP(COUNTA($AC$4:AJ$4),'Dev Patterns'!$B$6:$F$22,$A85,0)</f>
        <v>0</v>
      </c>
      <c r="AK85" s="283">
        <f>'Current - Sales, NWP, GWP'!AK88/VLOOKUP(COUNTA($AC$4:AK$4),'Dev Patterns'!$B$6:$F$22,$A85,0)</f>
        <v>0</v>
      </c>
      <c r="AL85" s="283">
        <f>'Current - Sales, NWP, GWP'!AL88/VLOOKUP(COUNTA($AC$4:AL$4),'Dev Patterns'!$B$6:$F$22,$A85,0)</f>
        <v>0</v>
      </c>
      <c r="AM85" s="283">
        <f>'Current - Sales, NWP, GWP'!AM88/VLOOKUP(COUNTA($AC$4:AM$4),'Dev Patterns'!$B$6:$F$22,$A85,0)</f>
        <v>0</v>
      </c>
      <c r="AN85" s="284">
        <f>'Current - Sales, NWP, GWP'!AN88/VLOOKUP(COUNTA($AC$4:AN$4),'Dev Patterns'!$B$6:$F$22,$A85,0)</f>
        <v>0</v>
      </c>
      <c r="AO85" s="237">
        <f>AVERAGE(Z85:AC85)</f>
        <v>318596.46376044914</v>
      </c>
      <c r="AP85" s="209">
        <f>AVERAGE(R85:AC85)</f>
        <v>1049402.6322568648</v>
      </c>
      <c r="AQ85" s="238">
        <f>SUMIFS(AC85:AN85,AC$4:AN$4,"&lt;"&amp;'Title Sheet'!$C$13)</f>
        <v>30615.138582069223</v>
      </c>
    </row>
    <row r="86" spans="1:45" ht="16.5" thickBot="1" x14ac:dyDescent="0.3">
      <c r="B86" t="str">
        <f t="shared" si="89"/>
        <v>PC Annual Direct</v>
      </c>
      <c r="C86" t="str">
        <f t="shared" si="88"/>
        <v>Boom Subscription</v>
      </c>
      <c r="D86" s="226" t="s">
        <v>21</v>
      </c>
      <c r="E86" s="269">
        <f t="shared" ref="E86:AP86" si="98">E78/E$8</f>
        <v>0</v>
      </c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81"/>
      <c r="Q86" s="269"/>
      <c r="R86" s="269">
        <f t="shared" si="98"/>
        <v>0.50161003662207249</v>
      </c>
      <c r="S86" s="269">
        <f t="shared" si="98"/>
        <v>0.50611888647853465</v>
      </c>
      <c r="T86" s="269">
        <f t="shared" si="98"/>
        <v>0.56605877092763657</v>
      </c>
      <c r="U86" s="269">
        <f t="shared" si="98"/>
        <v>0.56244660566255067</v>
      </c>
      <c r="V86" s="269">
        <f t="shared" si="98"/>
        <v>0.58363897238142026</v>
      </c>
      <c r="W86" s="269">
        <f t="shared" si="98"/>
        <v>0.62548728875999648</v>
      </c>
      <c r="X86" s="269">
        <f t="shared" si="98"/>
        <v>0.6031372393251162</v>
      </c>
      <c r="Y86" s="269">
        <f t="shared" si="98"/>
        <v>0.59862152665488932</v>
      </c>
      <c r="Z86" s="269">
        <f t="shared" si="98"/>
        <v>0.58839887441712235</v>
      </c>
      <c r="AA86" s="269">
        <f t="shared" si="98"/>
        <v>0.53005676363403709</v>
      </c>
      <c r="AB86" s="281">
        <f t="shared" si="98"/>
        <v>0.57712567957559113</v>
      </c>
      <c r="AC86" s="269">
        <f t="shared" si="98"/>
        <v>0.48641104159954079</v>
      </c>
      <c r="AD86" s="269">
        <f t="shared" si="98"/>
        <v>0.32320737486380746</v>
      </c>
      <c r="AE86" s="269">
        <f t="shared" si="98"/>
        <v>0.22514927946266625</v>
      </c>
      <c r="AF86" s="269">
        <f t="shared" si="98"/>
        <v>0.21253014957410496</v>
      </c>
      <c r="AG86" s="269">
        <f t="shared" si="98"/>
        <v>0.21053559242889691</v>
      </c>
      <c r="AH86" s="269">
        <f t="shared" si="98"/>
        <v>0.21329060211269257</v>
      </c>
      <c r="AI86" s="269">
        <f t="shared" si="98"/>
        <v>0.23095972394137307</v>
      </c>
      <c r="AJ86" s="269">
        <f t="shared" si="98"/>
        <v>0.22659907838805232</v>
      </c>
      <c r="AK86" s="269">
        <f t="shared" si="98"/>
        <v>0.19652226127279812</v>
      </c>
      <c r="AL86" s="269">
        <f t="shared" si="98"/>
        <v>0.16690218696485754</v>
      </c>
      <c r="AM86" s="269">
        <f t="shared" si="98"/>
        <v>9.5538695890359251E-2</v>
      </c>
      <c r="AN86" s="281">
        <f t="shared" si="98"/>
        <v>5.4060603644994473E-2</v>
      </c>
      <c r="AO86" s="279">
        <f t="shared" si="98"/>
        <v>0.54341442939758111</v>
      </c>
      <c r="AP86" s="269">
        <f t="shared" si="98"/>
        <v>0.55855169589686238</v>
      </c>
      <c r="AQ86" s="280" t="str">
        <f t="shared" ref="AQ86" si="99">IFERROR(IF(AQ84=0,"-",(AQ84/AQ85)-1),"-")</f>
        <v>-</v>
      </c>
    </row>
    <row r="87" spans="1:45" outlineLevel="1" x14ac:dyDescent="0.25"/>
    <row r="88" spans="1:45" hidden="1" outlineLevel="1" x14ac:dyDescent="0.25">
      <c r="E88" s="188"/>
      <c r="F88" s="188"/>
      <c r="G88" s="188"/>
      <c r="H88" s="188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513" t="s">
        <v>312</v>
      </c>
      <c r="U88" s="513"/>
      <c r="V88" s="513"/>
      <c r="W88" s="513"/>
      <c r="X88" s="513"/>
      <c r="Y88" s="513"/>
      <c r="Z88" s="513"/>
      <c r="AA88" s="513"/>
      <c r="AB88" s="513"/>
      <c r="AC88" s="513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</row>
    <row r="89" spans="1:45" ht="18.75" hidden="1" outlineLevel="1" x14ac:dyDescent="0.3">
      <c r="D89" s="68" t="s">
        <v>204</v>
      </c>
      <c r="E89" s="174" t="s">
        <v>300</v>
      </c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"/>
      <c r="S89" s="1"/>
      <c r="T89" s="505" t="s">
        <v>307</v>
      </c>
      <c r="U89" s="505"/>
      <c r="V89" s="505"/>
      <c r="W89" s="505"/>
      <c r="X89" s="505"/>
      <c r="Y89" s="505"/>
      <c r="Z89" s="505"/>
      <c r="AA89" s="505"/>
      <c r="AB89" s="505"/>
      <c r="AC89" s="506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4"/>
      <c r="AP89" s="1"/>
      <c r="AS89" s="118" t="s">
        <v>184</v>
      </c>
    </row>
    <row r="90" spans="1:45" hidden="1" outlineLevel="1" x14ac:dyDescent="0.25">
      <c r="D90" s="19"/>
      <c r="E90" s="503" t="s">
        <v>237</v>
      </c>
      <c r="F90" s="503"/>
      <c r="G90" s="503"/>
      <c r="H90" s="503"/>
      <c r="I90" s="503"/>
      <c r="J90" s="503"/>
      <c r="K90" s="503"/>
      <c r="L90" s="503"/>
      <c r="M90" s="503"/>
      <c r="N90" s="503"/>
      <c r="O90" s="503"/>
      <c r="P90" s="503"/>
      <c r="Q90" s="503"/>
      <c r="R90" s="503"/>
      <c r="S90" s="503"/>
      <c r="T90" s="503"/>
      <c r="U90" s="503"/>
      <c r="V90" s="503"/>
      <c r="W90" s="503"/>
      <c r="X90" s="503"/>
      <c r="Y90" s="503"/>
      <c r="Z90" s="503"/>
      <c r="AA90" s="503"/>
      <c r="AB90" s="503"/>
      <c r="AC90" s="50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  <c r="AN90" s="194"/>
      <c r="AO90" s="500" t="s">
        <v>8</v>
      </c>
      <c r="AP90" s="501"/>
    </row>
    <row r="91" spans="1:45" hidden="1" outlineLevel="1" x14ac:dyDescent="0.25">
      <c r="D91" s="22" t="s">
        <v>16</v>
      </c>
      <c r="E91" s="23">
        <f>E$4</f>
        <v>44562</v>
      </c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>
        <f t="shared" ref="R91:AC91" si="100">R$4</f>
        <v>44958</v>
      </c>
      <c r="S91" s="23">
        <f t="shared" si="100"/>
        <v>44986</v>
      </c>
      <c r="T91" s="23">
        <f t="shared" si="100"/>
        <v>45017</v>
      </c>
      <c r="U91" s="23">
        <f t="shared" si="100"/>
        <v>45047</v>
      </c>
      <c r="V91" s="23">
        <f t="shared" si="100"/>
        <v>45078</v>
      </c>
      <c r="W91" s="23">
        <f t="shared" si="100"/>
        <v>45108</v>
      </c>
      <c r="X91" s="23">
        <f t="shared" si="100"/>
        <v>45139</v>
      </c>
      <c r="Y91" s="23">
        <f t="shared" si="100"/>
        <v>45170</v>
      </c>
      <c r="Z91" s="23">
        <f t="shared" si="100"/>
        <v>45200</v>
      </c>
      <c r="AA91" s="23">
        <f t="shared" si="100"/>
        <v>45231</v>
      </c>
      <c r="AB91" s="23">
        <f t="shared" si="100"/>
        <v>45261</v>
      </c>
      <c r="AC91" s="24">
        <f t="shared" si="100"/>
        <v>45292</v>
      </c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8" t="s">
        <v>9</v>
      </c>
      <c r="AP91" s="29" t="s">
        <v>10</v>
      </c>
    </row>
    <row r="92" spans="1:45" ht="15.75" hidden="1" outlineLevel="1" x14ac:dyDescent="0.25">
      <c r="B92" t="str">
        <f>$D$2</f>
        <v>PC Annual Direct</v>
      </c>
      <c r="C92" t="s">
        <v>73</v>
      </c>
      <c r="D92" s="5" t="s">
        <v>308</v>
      </c>
      <c r="E92" s="6">
        <v>2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>
        <v>2242</v>
      </c>
      <c r="S92" s="6">
        <v>2478</v>
      </c>
      <c r="T92" s="6">
        <v>2183</v>
      </c>
      <c r="U92" s="6">
        <v>2872</v>
      </c>
      <c r="V92" s="6">
        <v>1836</v>
      </c>
      <c r="W92" s="6">
        <v>1791</v>
      </c>
      <c r="X92" s="6">
        <v>1999</v>
      </c>
      <c r="Y92" s="6">
        <v>2026</v>
      </c>
      <c r="Z92" s="6">
        <v>3086</v>
      </c>
      <c r="AA92" s="6">
        <v>3887</v>
      </c>
      <c r="AB92" s="6">
        <v>3367</v>
      </c>
      <c r="AC92" s="7">
        <v>2792</v>
      </c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8">
        <f t="shared" ref="AO92:AO97" si="101">AVERAGE(Z92:AC92)</f>
        <v>3283</v>
      </c>
      <c r="AP92" s="6">
        <f>AVERAGE(R92:AC92)</f>
        <v>2546.5833333333335</v>
      </c>
    </row>
    <row r="93" spans="1:45" ht="15.75" hidden="1" outlineLevel="1" x14ac:dyDescent="0.25">
      <c r="B93" t="str">
        <f>$D$89&amp;"_W VYRs"</f>
        <v>PC Annual Direct - Subscription_W VYRs</v>
      </c>
      <c r="C93" t="str">
        <f>$C92</f>
        <v>Boom Subscription</v>
      </c>
      <c r="D93" s="175" t="s">
        <v>4</v>
      </c>
      <c r="E93" s="176" t="e">
        <f>INDEX('Plan Figures'!$B$5:$AP$31,MATCH('Ultimate - MGA and MPM'!E$4,'Plan Figures'!$B$5:$B$31,0),MATCH('Ultimate - MGA and MPM'!$B93,'Plan Figures'!$B$1:$AP$1,0))</f>
        <v>#N/A</v>
      </c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 t="str">
        <f>INDEX('Plan Figures'!$B$5:$AP$31,MATCH('Ultimate - MGA and MPM'!R$4,'Plan Figures'!$B$5:$B$31,0),MATCH('Ultimate - MGA and MPM'!$B93,'Plan Figures'!$B$1:$AP$1,0))</f>
        <v>-</v>
      </c>
      <c r="S93" s="176" t="str">
        <f>INDEX('Plan Figures'!$B$5:$AP$31,MATCH('Ultimate - MGA and MPM'!S$4,'Plan Figures'!$B$5:$B$31,0),MATCH('Ultimate - MGA and MPM'!$B93,'Plan Figures'!$B$1:$AP$1,0))</f>
        <v>-</v>
      </c>
      <c r="T93" s="176" t="str">
        <f>INDEX('Plan Figures'!$B$5:$AP$31,MATCH('Ultimate - MGA and MPM'!T$4,'Plan Figures'!$B$5:$B$31,0),MATCH('Ultimate - MGA and MPM'!$B93,'Plan Figures'!$B$1:$AP$1,0))</f>
        <v>-</v>
      </c>
      <c r="U93" s="176" t="str">
        <f>INDEX('Plan Figures'!$B$5:$AP$31,MATCH('Ultimate - MGA and MPM'!U$4,'Plan Figures'!$B$5:$B$31,0),MATCH('Ultimate - MGA and MPM'!$B93,'Plan Figures'!$B$1:$AP$1,0))</f>
        <v>-</v>
      </c>
      <c r="V93" s="176" t="str">
        <f>INDEX('Plan Figures'!$B$5:$AP$31,MATCH('Ultimate - MGA and MPM'!V$4,'Plan Figures'!$B$5:$B$31,0),MATCH('Ultimate - MGA and MPM'!$B93,'Plan Figures'!$B$1:$AP$1,0))</f>
        <v>-</v>
      </c>
      <c r="W93" s="176" t="str">
        <f>INDEX('Plan Figures'!$B$5:$AP$31,MATCH('Ultimate - MGA and MPM'!W$4,'Plan Figures'!$B$5:$B$31,0),MATCH('Ultimate - MGA and MPM'!$B93,'Plan Figures'!$B$1:$AP$1,0))</f>
        <v>-</v>
      </c>
      <c r="X93" s="176" t="str">
        <f>INDEX('Plan Figures'!$B$5:$AP$31,MATCH('Ultimate - MGA and MPM'!X$4,'Plan Figures'!$B$5:$B$31,0),MATCH('Ultimate - MGA and MPM'!$B93,'Plan Figures'!$B$1:$AP$1,0))</f>
        <v>-</v>
      </c>
      <c r="Y93" s="176" t="str">
        <f>INDEX('Plan Figures'!$B$5:$AP$31,MATCH('Ultimate - MGA and MPM'!Y$4,'Plan Figures'!$B$5:$B$31,0),MATCH('Ultimate - MGA and MPM'!$B93,'Plan Figures'!$B$1:$AP$1,0))</f>
        <v>-</v>
      </c>
      <c r="Z93" s="176" t="str">
        <f>INDEX('Plan Figures'!$B$5:$AP$31,MATCH('Ultimate - MGA and MPM'!Z$4,'Plan Figures'!$B$5:$B$31,0),MATCH('Ultimate - MGA and MPM'!$B93,'Plan Figures'!$B$1:$AP$1,0))</f>
        <v>-</v>
      </c>
      <c r="AA93" s="176">
        <f>INDEX('Plan Figures'!$B$5:$AP$31,MATCH('Ultimate - MGA and MPM'!AA$4,'Plan Figures'!$B$5:$B$31,0),MATCH('Ultimate - MGA and MPM'!$B93,'Plan Figures'!$B$1:$AP$1,0))</f>
        <v>615.93307879093663</v>
      </c>
      <c r="AB93" s="176">
        <f>INDEX('Plan Figures'!$B$5:$AP$31,MATCH('Ultimate - MGA and MPM'!AB$4,'Plan Figures'!$B$5:$B$31,0),MATCH('Ultimate - MGA and MPM'!$B93,'Plan Figures'!$B$1:$AP$1,0))</f>
        <v>763.72800510730349</v>
      </c>
      <c r="AC93" s="177">
        <f>INDEX('Plan Figures'!$B$5:$AP$31,MATCH('Ultimate - MGA and MPM'!AC$4,'Plan Figures'!$B$5:$B$31,0),MATCH('Ultimate - MGA and MPM'!$B93,'Plan Figures'!$B$1:$AP$1,0))</f>
        <v>833.27735263273371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8">
        <f t="shared" si="101"/>
        <v>737.64614551032457</v>
      </c>
      <c r="AP93" s="176">
        <f t="shared" ref="AP93:AP97" si="102">AVERAGE(R93:AC93)</f>
        <v>737.64614551032457</v>
      </c>
    </row>
    <row r="94" spans="1:45" ht="15.75" hidden="1" outlineLevel="1" x14ac:dyDescent="0.25">
      <c r="B94" t="str">
        <f t="shared" ref="B94:B103" si="103">$D$2</f>
        <v>PC Annual Direct</v>
      </c>
      <c r="C94" t="str">
        <f t="shared" ref="C94:C102" si="104">$C93</f>
        <v>Boom Subscription</v>
      </c>
      <c r="D94" s="179" t="s">
        <v>0</v>
      </c>
      <c r="E94" s="180" t="e">
        <f t="shared" ref="E94:AC94" si="105">E92-E93</f>
        <v>#N/A</v>
      </c>
      <c r="F94" s="180"/>
      <c r="G94" s="180"/>
      <c r="H94" s="180"/>
      <c r="I94" s="180"/>
      <c r="J94" s="180"/>
      <c r="K94" s="180"/>
      <c r="L94" s="180"/>
      <c r="M94" s="180"/>
      <c r="N94" s="180"/>
      <c r="O94" s="180"/>
      <c r="P94" s="180"/>
      <c r="Q94" s="180"/>
      <c r="R94" s="180" t="e">
        <f t="shared" si="105"/>
        <v>#VALUE!</v>
      </c>
      <c r="S94" s="180" t="e">
        <f t="shared" si="105"/>
        <v>#VALUE!</v>
      </c>
      <c r="T94" s="180" t="e">
        <f t="shared" si="105"/>
        <v>#VALUE!</v>
      </c>
      <c r="U94" s="180" t="e">
        <f t="shared" si="105"/>
        <v>#VALUE!</v>
      </c>
      <c r="V94" s="180" t="e">
        <f t="shared" si="105"/>
        <v>#VALUE!</v>
      </c>
      <c r="W94" s="180" t="e">
        <f t="shared" si="105"/>
        <v>#VALUE!</v>
      </c>
      <c r="X94" s="180" t="e">
        <f t="shared" si="105"/>
        <v>#VALUE!</v>
      </c>
      <c r="Y94" s="180" t="e">
        <f t="shared" si="105"/>
        <v>#VALUE!</v>
      </c>
      <c r="Z94" s="180" t="e">
        <f t="shared" si="105"/>
        <v>#VALUE!</v>
      </c>
      <c r="AA94" s="180">
        <f t="shared" si="105"/>
        <v>3271.0669212090634</v>
      </c>
      <c r="AB94" s="180">
        <f t="shared" si="105"/>
        <v>2603.2719948926965</v>
      </c>
      <c r="AC94" s="181">
        <f t="shared" si="105"/>
        <v>1958.7226473672663</v>
      </c>
      <c r="AD94" s="180"/>
      <c r="AE94" s="180"/>
      <c r="AF94" s="180"/>
      <c r="AG94" s="180"/>
      <c r="AH94" s="180"/>
      <c r="AI94" s="180"/>
      <c r="AJ94" s="180"/>
      <c r="AK94" s="180"/>
      <c r="AL94" s="180"/>
      <c r="AM94" s="180"/>
      <c r="AN94" s="180"/>
      <c r="AO94" s="182" t="e">
        <f t="shared" si="101"/>
        <v>#VALUE!</v>
      </c>
      <c r="AP94" s="180" t="e">
        <f t="shared" si="102"/>
        <v>#VALUE!</v>
      </c>
    </row>
    <row r="95" spans="1:45" ht="15.75" hidden="1" outlineLevel="1" x14ac:dyDescent="0.25">
      <c r="B95" t="str">
        <f t="shared" si="103"/>
        <v>PC Annual Direct</v>
      </c>
      <c r="C95" t="str">
        <f t="shared" si="104"/>
        <v>Boom Subscription</v>
      </c>
      <c r="D95" s="9" t="s">
        <v>309</v>
      </c>
      <c r="E95" s="15">
        <v>0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>
        <v>5065071.1928567188</v>
      </c>
      <c r="S95" s="15">
        <v>2602918.5557175679</v>
      </c>
      <c r="T95" s="15">
        <v>3058793.5714276335</v>
      </c>
      <c r="U95" s="15">
        <v>3629516.5942827086</v>
      </c>
      <c r="V95" s="15">
        <v>2884434.6771383779</v>
      </c>
      <c r="W95" s="15">
        <v>2912157.9642843842</v>
      </c>
      <c r="X95" s="15">
        <v>3523662.750002387</v>
      </c>
      <c r="Y95" s="15">
        <v>4105968.3728598249</v>
      </c>
      <c r="Z95" s="15">
        <v>5391594.0471423389</v>
      </c>
      <c r="AA95" s="15">
        <v>7273466.7214334616</v>
      </c>
      <c r="AB95" s="15">
        <v>5434775.6699983915</v>
      </c>
      <c r="AC95" s="16">
        <v>639832.0371454074</v>
      </c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8">
        <f t="shared" si="101"/>
        <v>4684917.1189298993</v>
      </c>
      <c r="AP95" s="6">
        <f t="shared" si="102"/>
        <v>3876849.3461907669</v>
      </c>
    </row>
    <row r="96" spans="1:45" ht="15.75" hidden="1" outlineLevel="1" x14ac:dyDescent="0.25">
      <c r="B96" t="str">
        <f>$D$89&amp;"_NWP"</f>
        <v>PC Annual Direct - Subscription_NWP</v>
      </c>
      <c r="C96" t="str">
        <f t="shared" si="104"/>
        <v>Boom Subscription</v>
      </c>
      <c r="D96" s="175" t="s">
        <v>6</v>
      </c>
      <c r="E96" s="176" t="e">
        <f>INDEX('Plan Figures'!$B$5:$AP$31,MATCH('Ultimate - MGA and MPM'!E$4,'Plan Figures'!$B$5:$B$31,0),MATCH('Ultimate - MGA and MPM'!$B96,'Plan Figures'!$B$1:$AP$1,0))</f>
        <v>#N/A</v>
      </c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 t="str">
        <f>INDEX('Plan Figures'!$B$5:$AP$31,MATCH('Ultimate - MGA and MPM'!R$4,'Plan Figures'!$B$5:$B$31,0),MATCH('Ultimate - MGA and MPM'!$B96,'Plan Figures'!$B$1:$AP$1,0))</f>
        <v>-</v>
      </c>
      <c r="S96" s="176" t="str">
        <f>INDEX('Plan Figures'!$B$5:$AP$31,MATCH('Ultimate - MGA and MPM'!S$4,'Plan Figures'!$B$5:$B$31,0),MATCH('Ultimate - MGA and MPM'!$B96,'Plan Figures'!$B$1:$AP$1,0))</f>
        <v>-</v>
      </c>
      <c r="T96" s="176" t="str">
        <f>INDEX('Plan Figures'!$B$5:$AP$31,MATCH('Ultimate - MGA and MPM'!T$4,'Plan Figures'!$B$5:$B$31,0),MATCH('Ultimate - MGA and MPM'!$B96,'Plan Figures'!$B$1:$AP$1,0))</f>
        <v>-</v>
      </c>
      <c r="U96" s="176" t="str">
        <f>INDEX('Plan Figures'!$B$5:$AP$31,MATCH('Ultimate - MGA and MPM'!U$4,'Plan Figures'!$B$5:$B$31,0),MATCH('Ultimate - MGA and MPM'!$B96,'Plan Figures'!$B$1:$AP$1,0))</f>
        <v>-</v>
      </c>
      <c r="V96" s="176" t="str">
        <f>INDEX('Plan Figures'!$B$5:$AP$31,MATCH('Ultimate - MGA and MPM'!V$4,'Plan Figures'!$B$5:$B$31,0),MATCH('Ultimate - MGA and MPM'!$B96,'Plan Figures'!$B$1:$AP$1,0))</f>
        <v>-</v>
      </c>
      <c r="W96" s="176" t="str">
        <f>INDEX('Plan Figures'!$B$5:$AP$31,MATCH('Ultimate - MGA and MPM'!W$4,'Plan Figures'!$B$5:$B$31,0),MATCH('Ultimate - MGA and MPM'!$B96,'Plan Figures'!$B$1:$AP$1,0))</f>
        <v>-</v>
      </c>
      <c r="X96" s="176" t="str">
        <f>INDEX('Plan Figures'!$B$5:$AP$31,MATCH('Ultimate - MGA and MPM'!X$4,'Plan Figures'!$B$5:$B$31,0),MATCH('Ultimate - MGA and MPM'!$B96,'Plan Figures'!$B$1:$AP$1,0))</f>
        <v>-</v>
      </c>
      <c r="Y96" s="176" t="str">
        <f>INDEX('Plan Figures'!$B$5:$AP$31,MATCH('Ultimate - MGA and MPM'!Y$4,'Plan Figures'!$B$5:$B$31,0),MATCH('Ultimate - MGA and MPM'!$B96,'Plan Figures'!$B$1:$AP$1,0))</f>
        <v>-</v>
      </c>
      <c r="Z96" s="176" t="str">
        <f>INDEX('Plan Figures'!$B$5:$AP$31,MATCH('Ultimate - MGA and MPM'!Z$4,'Plan Figures'!$B$5:$B$31,0),MATCH('Ultimate - MGA and MPM'!$B96,'Plan Figures'!$B$1:$AP$1,0))</f>
        <v>-</v>
      </c>
      <c r="AA96" s="176">
        <f>INDEX('Plan Figures'!$B$5:$AP$31,MATCH('Ultimate - MGA and MPM'!AA$4,'Plan Figures'!$B$5:$B$31,0),MATCH('Ultimate - MGA and MPM'!$B96,'Plan Figures'!$B$1:$AP$1,0))</f>
        <v>1811220.2312349698</v>
      </c>
      <c r="AB96" s="176">
        <f>INDEX('Plan Figures'!$B$5:$AP$31,MATCH('Ultimate - MGA and MPM'!AB$4,'Plan Figures'!$B$5:$B$31,0),MATCH('Ultimate - MGA and MPM'!$B96,'Plan Figures'!$B$1:$AP$1,0))</f>
        <v>1916096.3475731572</v>
      </c>
      <c r="AC96" s="177">
        <f>INDEX('Plan Figures'!$B$5:$AP$31,MATCH('Ultimate - MGA and MPM'!AC$4,'Plan Figures'!$B$5:$B$31,0),MATCH('Ultimate - MGA and MPM'!$B96,'Plan Figures'!$B$1:$AP$1,0))</f>
        <v>2026245.4879278806</v>
      </c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8">
        <f t="shared" si="101"/>
        <v>1917854.0222453356</v>
      </c>
      <c r="AP96" s="176">
        <f t="shared" si="102"/>
        <v>1917854.0222453356</v>
      </c>
    </row>
    <row r="97" spans="2:43" ht="15.75" hidden="1" outlineLevel="1" x14ac:dyDescent="0.25">
      <c r="B97" t="str">
        <f t="shared" si="103"/>
        <v>PC Annual Direct</v>
      </c>
      <c r="C97" t="str">
        <f t="shared" si="104"/>
        <v>Boom Subscription</v>
      </c>
      <c r="D97" s="179" t="s">
        <v>0</v>
      </c>
      <c r="E97" s="180" t="e">
        <f t="shared" ref="E97:AC97" si="106">E95-E96</f>
        <v>#N/A</v>
      </c>
      <c r="F97" s="180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 t="e">
        <f t="shared" si="106"/>
        <v>#VALUE!</v>
      </c>
      <c r="S97" s="180" t="e">
        <f t="shared" si="106"/>
        <v>#VALUE!</v>
      </c>
      <c r="T97" s="180" t="e">
        <f t="shared" si="106"/>
        <v>#VALUE!</v>
      </c>
      <c r="U97" s="180" t="e">
        <f t="shared" si="106"/>
        <v>#VALUE!</v>
      </c>
      <c r="V97" s="180" t="e">
        <f t="shared" si="106"/>
        <v>#VALUE!</v>
      </c>
      <c r="W97" s="180" t="e">
        <f t="shared" si="106"/>
        <v>#VALUE!</v>
      </c>
      <c r="X97" s="180" t="e">
        <f t="shared" si="106"/>
        <v>#VALUE!</v>
      </c>
      <c r="Y97" s="180" t="e">
        <f t="shared" si="106"/>
        <v>#VALUE!</v>
      </c>
      <c r="Z97" s="180" t="e">
        <f t="shared" si="106"/>
        <v>#VALUE!</v>
      </c>
      <c r="AA97" s="180">
        <f t="shared" si="106"/>
        <v>5462246.4901984921</v>
      </c>
      <c r="AB97" s="180">
        <f t="shared" si="106"/>
        <v>3518679.3224252341</v>
      </c>
      <c r="AC97" s="181">
        <f t="shared" si="106"/>
        <v>-1386413.4507824732</v>
      </c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2" t="e">
        <f t="shared" si="101"/>
        <v>#VALUE!</v>
      </c>
      <c r="AP97" s="180" t="e">
        <f t="shared" si="102"/>
        <v>#VALUE!</v>
      </c>
    </row>
    <row r="98" spans="2:43" ht="15.75" hidden="1" outlineLevel="1" x14ac:dyDescent="0.25">
      <c r="B98" t="str">
        <f t="shared" si="103"/>
        <v>PC Annual Direct</v>
      </c>
      <c r="C98" t="str">
        <f t="shared" si="104"/>
        <v>Boom Subscription</v>
      </c>
      <c r="D98" s="9" t="s">
        <v>310</v>
      </c>
      <c r="E98" s="15">
        <f>IFERROR(E95/E92,0)</f>
        <v>0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>
        <f t="shared" ref="R98:AP99" si="107">IFERROR(R95/R92,0)</f>
        <v>2259.1753759396606</v>
      </c>
      <c r="S98" s="15">
        <f t="shared" si="107"/>
        <v>1050.4110394340469</v>
      </c>
      <c r="T98" s="15">
        <f t="shared" si="107"/>
        <v>1401.1880766961217</v>
      </c>
      <c r="U98" s="15">
        <f t="shared" si="107"/>
        <v>1263.7592598477397</v>
      </c>
      <c r="V98" s="15">
        <f t="shared" si="107"/>
        <v>1571.0428524718834</v>
      </c>
      <c r="W98" s="15">
        <f t="shared" si="107"/>
        <v>1625.9955132799464</v>
      </c>
      <c r="X98" s="15">
        <f t="shared" si="107"/>
        <v>1762.7127313668768</v>
      </c>
      <c r="Y98" s="15">
        <f t="shared" si="107"/>
        <v>2026.6378938103776</v>
      </c>
      <c r="Z98" s="15">
        <f t="shared" si="107"/>
        <v>1747.114078788833</v>
      </c>
      <c r="AA98" s="15">
        <f t="shared" si="107"/>
        <v>1871.2288966898539</v>
      </c>
      <c r="AB98" s="15">
        <f t="shared" si="107"/>
        <v>1614.1299881195105</v>
      </c>
      <c r="AC98" s="16">
        <f t="shared" si="107"/>
        <v>229.16620241597687</v>
      </c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8">
        <f t="shared" si="107"/>
        <v>1427.023185784313</v>
      </c>
      <c r="AP98" s="6">
        <f t="shared" si="107"/>
        <v>1522.3728575637031</v>
      </c>
    </row>
    <row r="99" spans="2:43" ht="15.75" hidden="1" outlineLevel="1" x14ac:dyDescent="0.25">
      <c r="B99" t="str">
        <f t="shared" si="103"/>
        <v>PC Annual Direct</v>
      </c>
      <c r="C99" t="str">
        <f t="shared" si="104"/>
        <v>Boom Subscription</v>
      </c>
      <c r="D99" s="175" t="s">
        <v>13</v>
      </c>
      <c r="E99" s="176">
        <f>IFERROR(E96/E93,0)</f>
        <v>0</v>
      </c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>
        <f t="shared" si="107"/>
        <v>0</v>
      </c>
      <c r="S99" s="176">
        <f t="shared" si="107"/>
        <v>0</v>
      </c>
      <c r="T99" s="176">
        <f t="shared" si="107"/>
        <v>0</v>
      </c>
      <c r="U99" s="176">
        <f t="shared" si="107"/>
        <v>0</v>
      </c>
      <c r="V99" s="176">
        <f t="shared" si="107"/>
        <v>0</v>
      </c>
      <c r="W99" s="176">
        <f t="shared" si="107"/>
        <v>0</v>
      </c>
      <c r="X99" s="176">
        <f t="shared" si="107"/>
        <v>0</v>
      </c>
      <c r="Y99" s="176">
        <f t="shared" si="107"/>
        <v>0</v>
      </c>
      <c r="Z99" s="176">
        <f t="shared" si="107"/>
        <v>0</v>
      </c>
      <c r="AA99" s="176">
        <f t="shared" si="107"/>
        <v>2940.6120463449633</v>
      </c>
      <c r="AB99" s="176">
        <f t="shared" si="107"/>
        <v>2508.8727069841393</v>
      </c>
      <c r="AC99" s="177">
        <f t="shared" si="107"/>
        <v>2431.6579366113488</v>
      </c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8">
        <f t="shared" si="107"/>
        <v>2599.9648122861263</v>
      </c>
      <c r="AP99" s="176">
        <f t="shared" si="107"/>
        <v>2599.9648122861263</v>
      </c>
      <c r="AQ99" s="3"/>
    </row>
    <row r="100" spans="2:43" ht="15.75" hidden="1" outlineLevel="1" x14ac:dyDescent="0.25">
      <c r="B100" t="str">
        <f t="shared" si="103"/>
        <v>PC Annual Direct</v>
      </c>
      <c r="C100" t="str">
        <f t="shared" si="104"/>
        <v>Boom Subscription</v>
      </c>
      <c r="D100" s="179" t="s">
        <v>0</v>
      </c>
      <c r="E100" s="180">
        <f t="shared" ref="E100:AP100" si="108">E98-E99</f>
        <v>0</v>
      </c>
      <c r="F100" s="180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>
        <f t="shared" si="108"/>
        <v>2259.1753759396606</v>
      </c>
      <c r="S100" s="180">
        <f t="shared" si="108"/>
        <v>1050.4110394340469</v>
      </c>
      <c r="T100" s="180">
        <f t="shared" si="108"/>
        <v>1401.1880766961217</v>
      </c>
      <c r="U100" s="180">
        <f t="shared" si="108"/>
        <v>1263.7592598477397</v>
      </c>
      <c r="V100" s="180">
        <f t="shared" si="108"/>
        <v>1571.0428524718834</v>
      </c>
      <c r="W100" s="180">
        <f t="shared" si="108"/>
        <v>1625.9955132799464</v>
      </c>
      <c r="X100" s="180">
        <f t="shared" si="108"/>
        <v>1762.7127313668768</v>
      </c>
      <c r="Y100" s="180">
        <f t="shared" si="108"/>
        <v>2026.6378938103776</v>
      </c>
      <c r="Z100" s="180">
        <f t="shared" si="108"/>
        <v>1747.114078788833</v>
      </c>
      <c r="AA100" s="180">
        <f t="shared" si="108"/>
        <v>-1069.3831496551095</v>
      </c>
      <c r="AB100" s="180">
        <f t="shared" si="108"/>
        <v>-894.74271886462884</v>
      </c>
      <c r="AC100" s="181">
        <f t="shared" si="108"/>
        <v>-2202.4917341953719</v>
      </c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2">
        <f t="shared" si="108"/>
        <v>-1172.9416265018133</v>
      </c>
      <c r="AP100" s="180">
        <f t="shared" si="108"/>
        <v>-1077.5919547224232</v>
      </c>
    </row>
    <row r="101" spans="2:43" hidden="1" outlineLevel="1" x14ac:dyDescent="0.25">
      <c r="B101" t="str">
        <f t="shared" si="103"/>
        <v>PC Annual Direct</v>
      </c>
      <c r="C101" t="str">
        <f t="shared" si="104"/>
        <v>Boom Subscription</v>
      </c>
      <c r="D101" s="35" t="s">
        <v>17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7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8"/>
      <c r="AP101" s="39"/>
    </row>
    <row r="102" spans="2:43" ht="15.75" hidden="1" outlineLevel="1" x14ac:dyDescent="0.25">
      <c r="B102" t="str">
        <f t="shared" si="103"/>
        <v>PC Annual Direct</v>
      </c>
      <c r="C102" t="str">
        <f t="shared" si="104"/>
        <v>Boom Subscription</v>
      </c>
      <c r="D102" s="5" t="s">
        <v>311</v>
      </c>
      <c r="E102" s="6">
        <v>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>
        <v>2134583.1964307697</v>
      </c>
      <c r="S102" s="6">
        <v>2096692.0178588463</v>
      </c>
      <c r="T102" s="6">
        <v>1957264.2857113734</v>
      </c>
      <c r="U102" s="6">
        <v>2579980.8392826831</v>
      </c>
      <c r="V102" s="6">
        <v>2283188.6785669695</v>
      </c>
      <c r="W102" s="6">
        <v>2643649.982142264</v>
      </c>
      <c r="X102" s="6">
        <v>3053209.8750027283</v>
      </c>
      <c r="Y102" s="6">
        <v>3182200.4464298943</v>
      </c>
      <c r="Z102" s="6">
        <v>4370840.3035705909</v>
      </c>
      <c r="AA102" s="6">
        <v>5225971.6607123222</v>
      </c>
      <c r="AB102" s="6">
        <v>4614303.3749993565</v>
      </c>
      <c r="AC102" s="6">
        <v>3740102.6785750035</v>
      </c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8">
        <f t="shared" ref="AO102" si="109">AVERAGE(Z102:AC102)</f>
        <v>4487804.504464319</v>
      </c>
      <c r="AP102" s="6">
        <f>AVERAGE(R102:AC102)</f>
        <v>3156832.2782735671</v>
      </c>
    </row>
    <row r="103" spans="2:43" ht="15.75" hidden="1" outlineLevel="1" x14ac:dyDescent="0.25">
      <c r="B103" t="str">
        <f t="shared" si="103"/>
        <v>PC Annual Direct</v>
      </c>
      <c r="C103" t="e">
        <f>#REF!</f>
        <v>#REF!</v>
      </c>
      <c r="D103" s="45" t="s">
        <v>21</v>
      </c>
      <c r="E103" s="41">
        <f>E95/E$8</f>
        <v>0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>
        <f t="shared" ref="R103:AP103" si="110">R95/R$8</f>
        <v>2.2947650382520375</v>
      </c>
      <c r="S103" s="41">
        <f t="shared" si="110"/>
        <v>1.1007514217603616</v>
      </c>
      <c r="T103" s="41">
        <f t="shared" si="110"/>
        <v>1.4466866360317452</v>
      </c>
      <c r="U103" s="41">
        <f t="shared" si="110"/>
        <v>1.4892586416779281</v>
      </c>
      <c r="V103" s="41">
        <f t="shared" si="110"/>
        <v>1.2773161645034745</v>
      </c>
      <c r="W103" s="41">
        <f t="shared" si="110"/>
        <v>1.2257200525276182</v>
      </c>
      <c r="X103" s="41">
        <f t="shared" si="110"/>
        <v>1.3182264887487911</v>
      </c>
      <c r="Y103" s="41">
        <f t="shared" si="110"/>
        <v>1.5002766452220808</v>
      </c>
      <c r="Z103" s="41">
        <f t="shared" si="110"/>
        <v>1.6950404975511819</v>
      </c>
      <c r="AA103" s="41">
        <f t="shared" si="110"/>
        <v>1.9085946429559417</v>
      </c>
      <c r="AB103" s="41">
        <f t="shared" si="110"/>
        <v>1.456193377814297</v>
      </c>
      <c r="AC103" s="41">
        <f t="shared" si="110"/>
        <v>0.1673066530227689</v>
      </c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4">
        <f t="shared" si="110"/>
        <v>1.288109578887211</v>
      </c>
      <c r="AP103" s="41">
        <f t="shared" si="110"/>
        <v>1.3798463878598481</v>
      </c>
    </row>
    <row r="104" spans="2:43" hidden="1" outlineLevel="1" x14ac:dyDescent="0.25"/>
  </sheetData>
  <mergeCells count="9">
    <mergeCell ref="E90:AC90"/>
    <mergeCell ref="AO90:AP90"/>
    <mergeCell ref="AO39:AQ39"/>
    <mergeCell ref="AO56:AQ56"/>
    <mergeCell ref="AO3:AQ3"/>
    <mergeCell ref="AO22:AQ22"/>
    <mergeCell ref="AO73:AQ73"/>
    <mergeCell ref="T88:AC88"/>
    <mergeCell ref="T89:AC89"/>
  </mergeCells>
  <conditionalFormatting sqref="E16:AN16">
    <cfRule type="cellIs" dxfId="185" priority="29" operator="lessThan">
      <formula>0</formula>
    </cfRule>
  </conditionalFormatting>
  <conditionalFormatting sqref="E18:AN18">
    <cfRule type="cellIs" dxfId="184" priority="28" operator="lessThan">
      <formula>0</formula>
    </cfRule>
  </conditionalFormatting>
  <conditionalFormatting sqref="E32:AN32">
    <cfRule type="cellIs" dxfId="183" priority="27" operator="lessThan">
      <formula>0</formula>
    </cfRule>
  </conditionalFormatting>
  <conditionalFormatting sqref="E49:AN49">
    <cfRule type="cellIs" dxfId="182" priority="8" operator="lessThan">
      <formula>0</formula>
    </cfRule>
  </conditionalFormatting>
  <conditionalFormatting sqref="E66:AN66">
    <cfRule type="cellIs" dxfId="181" priority="4" operator="lessThan">
      <formula>0</formula>
    </cfRule>
  </conditionalFormatting>
  <conditionalFormatting sqref="E83:AN83">
    <cfRule type="cellIs" dxfId="180" priority="20" operator="lessThan">
      <formula>0</formula>
    </cfRule>
  </conditionalFormatting>
  <conditionalFormatting sqref="E94:AN95 E97:AN100">
    <cfRule type="cellIs" dxfId="179" priority="33" operator="lessThan">
      <formula>0</formula>
    </cfRule>
  </conditionalFormatting>
  <conditionalFormatting sqref="E102:AN102">
    <cfRule type="cellIs" dxfId="178" priority="31" operator="lessThan">
      <formula>0</formula>
    </cfRule>
  </conditionalFormatting>
  <conditionalFormatting sqref="E7:AQ7">
    <cfRule type="cellIs" dxfId="177" priority="26" operator="lessThan">
      <formula>0</formula>
    </cfRule>
  </conditionalFormatting>
  <conditionalFormatting sqref="E10:AQ10 E13:AQ13">
    <cfRule type="cellIs" dxfId="176" priority="25" operator="lessThan">
      <formula>0</formula>
    </cfRule>
  </conditionalFormatting>
  <conditionalFormatting sqref="E26:AQ26">
    <cfRule type="cellIs" dxfId="175" priority="23" operator="lessThan">
      <formula>0</formula>
    </cfRule>
  </conditionalFormatting>
  <conditionalFormatting sqref="E29:AQ29">
    <cfRule type="cellIs" dxfId="174" priority="22" operator="lessThan">
      <formula>0</formula>
    </cfRule>
  </conditionalFormatting>
  <conditionalFormatting sqref="E43:AQ43">
    <cfRule type="cellIs" dxfId="173" priority="7" operator="lessThan">
      <formula>0</formula>
    </cfRule>
  </conditionalFormatting>
  <conditionalFormatting sqref="E46:AQ46">
    <cfRule type="cellIs" dxfId="172" priority="6" operator="lessThan">
      <formula>0</formula>
    </cfRule>
  </conditionalFormatting>
  <conditionalFormatting sqref="E60:AQ60">
    <cfRule type="cellIs" dxfId="171" priority="3" operator="lessThan">
      <formula>0</formula>
    </cfRule>
  </conditionalFormatting>
  <conditionalFormatting sqref="E63:AQ63">
    <cfRule type="cellIs" dxfId="170" priority="2" operator="lessThan">
      <formula>0</formula>
    </cfRule>
  </conditionalFormatting>
  <conditionalFormatting sqref="E77:AQ77">
    <cfRule type="cellIs" dxfId="169" priority="19" operator="lessThan">
      <formula>0</formula>
    </cfRule>
  </conditionalFormatting>
  <conditionalFormatting sqref="E80:AQ80">
    <cfRule type="cellIs" dxfId="168" priority="18" operator="lessThan">
      <formula>0</formula>
    </cfRule>
  </conditionalFormatting>
  <conditionalFormatting sqref="AO94:AP94 AO97:AP97 AO100:AP101">
    <cfRule type="cellIs" dxfId="167" priority="32" operator="lessThan">
      <formula>0</formula>
    </cfRule>
  </conditionalFormatting>
  <conditionalFormatting sqref="AO16:AQ17">
    <cfRule type="cellIs" dxfId="166" priority="24" operator="lessThan">
      <formula>0</formula>
    </cfRule>
  </conditionalFormatting>
  <conditionalFormatting sqref="AO32:AQ33">
    <cfRule type="cellIs" dxfId="165" priority="21" operator="lessThan">
      <formula>0</formula>
    </cfRule>
  </conditionalFormatting>
  <conditionalFormatting sqref="AO49:AQ50">
    <cfRule type="cellIs" dxfId="164" priority="5" operator="lessThan">
      <formula>0</formula>
    </cfRule>
  </conditionalFormatting>
  <conditionalFormatting sqref="AO66:AQ67">
    <cfRule type="cellIs" dxfId="163" priority="1" operator="lessThan">
      <formula>0</formula>
    </cfRule>
  </conditionalFormatting>
  <conditionalFormatting sqref="AO83:AQ84">
    <cfRule type="cellIs" dxfId="162" priority="17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0ED46-1A1B-42EB-A425-1E38008E4F61}">
  <dimension ref="A1:AS104"/>
  <sheetViews>
    <sheetView showGridLines="0" zoomScale="70" zoomScaleNormal="70" workbookViewId="0">
      <pane xSplit="1" topLeftCell="B1" activePane="topRight" state="frozen"/>
      <selection activeCell="N63" sqref="N63"/>
      <selection pane="topRight" activeCell="N63" sqref="N63"/>
    </sheetView>
  </sheetViews>
  <sheetFormatPr defaultRowHeight="15" outlineLevelRow="1" x14ac:dyDescent="0.25"/>
  <cols>
    <col min="1" max="1" width="9.140625" customWidth="1"/>
    <col min="2" max="2" width="36.5703125" customWidth="1"/>
    <col min="3" max="3" width="24.28515625" customWidth="1"/>
    <col min="4" max="4" width="55.28515625" customWidth="1"/>
    <col min="5" max="17" width="16.7109375" customWidth="1"/>
    <col min="18" max="26" width="13.140625" bestFit="1" customWidth="1"/>
    <col min="27" max="27" width="13.28515625" bestFit="1" customWidth="1"/>
    <col min="28" max="28" width="13.140625" bestFit="1" customWidth="1"/>
    <col min="29" max="29" width="13.42578125" bestFit="1" customWidth="1"/>
    <col min="30" max="40" width="13.42578125" customWidth="1"/>
    <col min="41" max="42" width="16" customWidth="1"/>
    <col min="43" max="43" width="15.28515625" customWidth="1"/>
    <col min="45" max="45" width="17.140625" bestFit="1" customWidth="1"/>
  </cols>
  <sheetData>
    <row r="1" spans="2:44" ht="15.75" thickBot="1" x14ac:dyDescent="0.3">
      <c r="D1" s="47" t="s">
        <v>318</v>
      </c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</row>
    <row r="2" spans="2:44" ht="18.75" x14ac:dyDescent="0.25">
      <c r="D2" s="257" t="s">
        <v>1</v>
      </c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63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63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63"/>
      <c r="AO2" s="202"/>
      <c r="AP2" s="202"/>
      <c r="AQ2" s="233"/>
    </row>
    <row r="3" spans="2:44" x14ac:dyDescent="0.25">
      <c r="D3" s="204" t="s">
        <v>205</v>
      </c>
      <c r="E3" s="200" t="s">
        <v>237</v>
      </c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64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64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64"/>
      <c r="AO3" s="510" t="s">
        <v>8</v>
      </c>
      <c r="AP3" s="511"/>
      <c r="AQ3" s="512"/>
    </row>
    <row r="4" spans="2:44" x14ac:dyDescent="0.25">
      <c r="D4" s="256" t="s">
        <v>16</v>
      </c>
      <c r="E4" s="285">
        <f t="shared" ref="E4:AM4" si="0">EDATE(F4,-1)</f>
        <v>44562</v>
      </c>
      <c r="F4" s="285">
        <f t="shared" si="0"/>
        <v>44593</v>
      </c>
      <c r="G4" s="285">
        <f t="shared" si="0"/>
        <v>44621</v>
      </c>
      <c r="H4" s="285">
        <f t="shared" si="0"/>
        <v>44652</v>
      </c>
      <c r="I4" s="285">
        <f t="shared" si="0"/>
        <v>44682</v>
      </c>
      <c r="J4" s="285">
        <f t="shared" si="0"/>
        <v>44713</v>
      </c>
      <c r="K4" s="285">
        <f t="shared" si="0"/>
        <v>44743</v>
      </c>
      <c r="L4" s="285">
        <f t="shared" si="0"/>
        <v>44774</v>
      </c>
      <c r="M4" s="285">
        <f t="shared" si="0"/>
        <v>44805</v>
      </c>
      <c r="N4" s="285">
        <f t="shared" si="0"/>
        <v>44835</v>
      </c>
      <c r="O4" s="285">
        <f t="shared" si="0"/>
        <v>44866</v>
      </c>
      <c r="P4" s="286">
        <f t="shared" si="0"/>
        <v>44896</v>
      </c>
      <c r="Q4" s="285">
        <f t="shared" si="0"/>
        <v>44927</v>
      </c>
      <c r="R4" s="285">
        <f t="shared" si="0"/>
        <v>44958</v>
      </c>
      <c r="S4" s="285">
        <f t="shared" si="0"/>
        <v>44986</v>
      </c>
      <c r="T4" s="285">
        <f t="shared" si="0"/>
        <v>45017</v>
      </c>
      <c r="U4" s="285">
        <f t="shared" si="0"/>
        <v>45047</v>
      </c>
      <c r="V4" s="285">
        <f t="shared" si="0"/>
        <v>45078</v>
      </c>
      <c r="W4" s="285">
        <f t="shared" si="0"/>
        <v>45108</v>
      </c>
      <c r="X4" s="285">
        <f t="shared" si="0"/>
        <v>45139</v>
      </c>
      <c r="Y4" s="285">
        <f t="shared" si="0"/>
        <v>45170</v>
      </c>
      <c r="Z4" s="285">
        <f t="shared" si="0"/>
        <v>45200</v>
      </c>
      <c r="AA4" s="285">
        <f t="shared" si="0"/>
        <v>45231</v>
      </c>
      <c r="AB4" s="286">
        <f t="shared" si="0"/>
        <v>45261</v>
      </c>
      <c r="AC4" s="285">
        <f t="shared" si="0"/>
        <v>45292</v>
      </c>
      <c r="AD4" s="285">
        <f t="shared" si="0"/>
        <v>45323</v>
      </c>
      <c r="AE4" s="285">
        <f t="shared" si="0"/>
        <v>45352</v>
      </c>
      <c r="AF4" s="285">
        <f t="shared" si="0"/>
        <v>45383</v>
      </c>
      <c r="AG4" s="285">
        <f t="shared" si="0"/>
        <v>45413</v>
      </c>
      <c r="AH4" s="285">
        <f t="shared" si="0"/>
        <v>45444</v>
      </c>
      <c r="AI4" s="285">
        <f t="shared" si="0"/>
        <v>45474</v>
      </c>
      <c r="AJ4" s="285">
        <f t="shared" si="0"/>
        <v>45505</v>
      </c>
      <c r="AK4" s="285">
        <f t="shared" si="0"/>
        <v>45536</v>
      </c>
      <c r="AL4" s="285">
        <f t="shared" si="0"/>
        <v>45566</v>
      </c>
      <c r="AM4" s="285">
        <f t="shared" si="0"/>
        <v>45597</v>
      </c>
      <c r="AN4" s="286">
        <v>45627</v>
      </c>
      <c r="AO4" s="271" t="s">
        <v>347</v>
      </c>
      <c r="AP4" s="272" t="s">
        <v>348</v>
      </c>
      <c r="AQ4" s="273" t="s">
        <v>346</v>
      </c>
    </row>
    <row r="5" spans="2:44" ht="15.75" x14ac:dyDescent="0.25">
      <c r="B5" t="str">
        <f>$D$2</f>
        <v>PC Annual Direct</v>
      </c>
      <c r="D5" s="208" t="s">
        <v>316</v>
      </c>
      <c r="E5" s="209" t="str">
        <f>IFERROR('Current - Sales, NWP, GWP'!E5/((VLOOKUP(COUNTA(E$4:$AC$4),'Dev Patterns'!$B$6:$F$22,$A24,0)*('Current - Sales, NWP, GWP'!E25/'Current - Sales, NWP, GWP'!E5))+(VLOOKUP(COUNTA(E$4:$AC$4),'Dev Patterns'!$B$6:$F$22,$A75,0)*(1-'Current - Sales, NWP, GWP'!E25/'Current - Sales, NWP, GWP'!E5))),"-")</f>
        <v>-</v>
      </c>
      <c r="F5" s="209" t="str">
        <f>IFERROR('Current - Sales, NWP, GWP'!F5/((VLOOKUP(COUNTA(F$4:$AC$4),'Dev Patterns'!$B$6:$F$22,$A24,0)*('Current - Sales, NWP, GWP'!F25/'Current - Sales, NWP, GWP'!F5))+(VLOOKUP(COUNTA(F$4:$AC$4),'Dev Patterns'!$B$6:$F$22,$A75,0)*(1-'Current - Sales, NWP, GWP'!F25/'Current - Sales, NWP, GWP'!F5))),"-")</f>
        <v>-</v>
      </c>
      <c r="G5" s="209" t="str">
        <f>IFERROR('Current - Sales, NWP, GWP'!G5/((VLOOKUP(COUNTA(G$4:$AC$4),'Dev Patterns'!$B$6:$F$22,$A24,0)*('Current - Sales, NWP, GWP'!G25/'Current - Sales, NWP, GWP'!G5))+(VLOOKUP(COUNTA(G$4:$AC$4),'Dev Patterns'!$B$6:$F$22,$A75,0)*(1-'Current - Sales, NWP, GWP'!G25/'Current - Sales, NWP, GWP'!G5))),"-")</f>
        <v>-</v>
      </c>
      <c r="H5" s="209" t="str">
        <f>IFERROR('Current - Sales, NWP, GWP'!H5/((VLOOKUP(COUNTA(H$4:$AC$4),'Dev Patterns'!$B$6:$F$22,$A24,0)*('Current - Sales, NWP, GWP'!H25/'Current - Sales, NWP, GWP'!H5))+(VLOOKUP(COUNTA(H$4:$AC$4),'Dev Patterns'!$B$6:$F$22,$A75,0)*(1-'Current - Sales, NWP, GWP'!H25/'Current - Sales, NWP, GWP'!H5))),"-")</f>
        <v>-</v>
      </c>
      <c r="I5" s="209" t="str">
        <f>IFERROR('Current - Sales, NWP, GWP'!I5/((VLOOKUP(COUNTA(I$4:$AC$4),'Dev Patterns'!$B$6:$F$22,$A24,0)*('Current - Sales, NWP, GWP'!I25/'Current - Sales, NWP, GWP'!I5))+(VLOOKUP(COUNTA(I$4:$AC$4),'Dev Patterns'!$B$6:$F$22,$A75,0)*(1-'Current - Sales, NWP, GWP'!I25/'Current - Sales, NWP, GWP'!I5))),"-")</f>
        <v>-</v>
      </c>
      <c r="J5" s="209" t="str">
        <f>IFERROR('Current - Sales, NWP, GWP'!J5/((VLOOKUP(COUNTA(J$4:$AC$4),'Dev Patterns'!$B$6:$F$22,$A24,0)*('Current - Sales, NWP, GWP'!J25/'Current - Sales, NWP, GWP'!J5))+(VLOOKUP(COUNTA(J$4:$AC$4),'Dev Patterns'!$B$6:$F$22,$A75,0)*(1-'Current - Sales, NWP, GWP'!J25/'Current - Sales, NWP, GWP'!J5))),"-")</f>
        <v>-</v>
      </c>
      <c r="K5" s="209" t="str">
        <f>IFERROR('Current - Sales, NWP, GWP'!K5/((VLOOKUP(COUNTA(K$4:$AC$4),'Dev Patterns'!$B$6:$F$22,$A24,0)*('Current - Sales, NWP, GWP'!K25/'Current - Sales, NWP, GWP'!K5))+(VLOOKUP(COUNTA(K$4:$AC$4),'Dev Patterns'!$B$6:$F$22,$A75,0)*(1-'Current - Sales, NWP, GWP'!K25/'Current - Sales, NWP, GWP'!K5))),"-")</f>
        <v>-</v>
      </c>
      <c r="L5" s="209" t="str">
        <f>IFERROR('Current - Sales, NWP, GWP'!L5/((VLOOKUP(COUNTA(L$4:$AC$4),'Dev Patterns'!$B$6:$F$22,$A24,0)*('Current - Sales, NWP, GWP'!L25/'Current - Sales, NWP, GWP'!L5))+(VLOOKUP(COUNTA(L$4:$AC$4),'Dev Patterns'!$B$6:$F$22,$A75,0)*(1-'Current - Sales, NWP, GWP'!L25/'Current - Sales, NWP, GWP'!L5))),"-")</f>
        <v>-</v>
      </c>
      <c r="M5" s="209" t="str">
        <f>IFERROR('Current - Sales, NWP, GWP'!M5/((VLOOKUP(COUNTA(M$4:$AC$4),'Dev Patterns'!$B$6:$F$22,$A24,0)*('Current - Sales, NWP, GWP'!M25/'Current - Sales, NWP, GWP'!M5))+(VLOOKUP(COUNTA(M$4:$AC$4),'Dev Patterns'!$B$6:$F$22,$A75,0)*(1-'Current - Sales, NWP, GWP'!M25/'Current - Sales, NWP, GWP'!M5))),"-")</f>
        <v>-</v>
      </c>
      <c r="N5" s="209">
        <f>IFERROR('Current - Sales, NWP, GWP'!N5/((VLOOKUP(COUNTA(N$4:$AC$4),'Dev Patterns'!$B$6:$F$22,$A24,0)*('Current - Sales, NWP, GWP'!N25/'Current - Sales, NWP, GWP'!N5))+(VLOOKUP(COUNTA(N$4:$AC$4),'Dev Patterns'!$B$6:$F$22,$A75,0)*(1-'Current - Sales, NWP, GWP'!N25/'Current - Sales, NWP, GWP'!N5))),"-")</f>
        <v>2519.644808569898</v>
      </c>
      <c r="O5" s="209">
        <f>IFERROR('Current - Sales, NWP, GWP'!O5/((VLOOKUP(COUNTA(O$4:$AC$4),'Dev Patterns'!$B$6:$F$22,$A24,0)*('Current - Sales, NWP, GWP'!O25/'Current - Sales, NWP, GWP'!O5))+(VLOOKUP(COUNTA(O$4:$AC$4),'Dev Patterns'!$B$6:$F$22,$A75,0)*(1-'Current - Sales, NWP, GWP'!O25/'Current - Sales, NWP, GWP'!O5))),"-")</f>
        <v>3230.5928964846048</v>
      </c>
      <c r="P5" s="265">
        <f>IFERROR('Current - Sales, NWP, GWP'!P5/((VLOOKUP(COUNTA(P$4:$AC$4),'Dev Patterns'!$B$6:$F$22,$A24,0)*('Current - Sales, NWP, GWP'!P25/'Current - Sales, NWP, GWP'!P5))+(VLOOKUP(COUNTA(P$4:$AC$4),'Dev Patterns'!$B$6:$F$22,$A75,0)*(1-'Current - Sales, NWP, GWP'!P25/'Current - Sales, NWP, GWP'!P5))),"-")</f>
        <v>3230.0081965512977</v>
      </c>
      <c r="Q5" s="209">
        <f>IFERROR('Current - Sales, NWP, GWP'!Q5/((VLOOKUP(COUNTA(Q$4:$AC$4),'Dev Patterns'!$B$6:$F$22,$A24,0)*('Current - Sales, NWP, GWP'!Q25/'Current - Sales, NWP, GWP'!Q5))+(VLOOKUP(COUNTA(Q$4:$AC$4),'Dev Patterns'!$B$6:$F$22,$A75,0)*(1-'Current - Sales, NWP, GWP'!Q25/'Current - Sales, NWP, GWP'!Q5))),"-")</f>
        <v>3523.3825135082916</v>
      </c>
      <c r="R5" s="209">
        <f>IFERROR('Current - Sales, NWP, GWP'!R5/((VLOOKUP(COUNTA(R$4:$AC$4),'Dev Patterns'!$B$6:$F$22,$A24,0)*('Current - Sales, NWP, GWP'!R25/'Current - Sales, NWP, GWP'!R5))+(VLOOKUP(COUNTA(R$4:$AC$4),'Dev Patterns'!$B$6:$F$22,$A75,0)*(1-'Current - Sales, NWP, GWP'!R25/'Current - Sales, NWP, GWP'!R5))),"-")</f>
        <v>4237.2157162691637</v>
      </c>
      <c r="S5" s="209">
        <f>IFERROR('Current - Sales, NWP, GWP'!S5/((VLOOKUP(COUNTA(S$4:$AC$4),'Dev Patterns'!$B$6:$F$22,$A24,0)*('Current - Sales, NWP, GWP'!S25/'Current - Sales, NWP, GWP'!S5))+(VLOOKUP(COUNTA(S$4:$AC$4),'Dev Patterns'!$B$6:$F$22,$A75,0)*(1-'Current - Sales, NWP, GWP'!S25/'Current - Sales, NWP, GWP'!S5))),"-")</f>
        <v>6101.3569486300667</v>
      </c>
      <c r="T5" s="209">
        <f>IFERROR('Current - Sales, NWP, GWP'!T5/((VLOOKUP(COUNTA(T$4:$AC$4),'Dev Patterns'!$B$6:$F$22,$A24,0)*('Current - Sales, NWP, GWP'!T25/'Current - Sales, NWP, GWP'!T5))+(VLOOKUP(COUNTA(T$4:$AC$4),'Dev Patterns'!$B$6:$F$22,$A75,0)*(1-'Current - Sales, NWP, GWP'!T25/'Current - Sales, NWP, GWP'!T5))),"-")</f>
        <v>5911.4262170106103</v>
      </c>
      <c r="U5" s="209">
        <f>IFERROR('Current - Sales, NWP, GWP'!U5/((VLOOKUP(COUNTA(U$4:$AC$4),'Dev Patterns'!$B$6:$F$22,$A24,0)*('Current - Sales, NWP, GWP'!U25/'Current - Sales, NWP, GWP'!U5))+(VLOOKUP(COUNTA(U$4:$AC$4),'Dev Patterns'!$B$6:$F$22,$A75,0)*(1-'Current - Sales, NWP, GWP'!U25/'Current - Sales, NWP, GWP'!U5))),"-")</f>
        <v>5839.4676898496091</v>
      </c>
      <c r="V5" s="209">
        <f>IFERROR('Current - Sales, NWP, GWP'!V5/((VLOOKUP(COUNTA(V$4:$AC$4),'Dev Patterns'!$B$6:$F$22,$A24,0)*('Current - Sales, NWP, GWP'!V25/'Current - Sales, NWP, GWP'!V5))+(VLOOKUP(COUNTA(V$4:$AC$4),'Dev Patterns'!$B$6:$F$22,$A75,0)*(1-'Current - Sales, NWP, GWP'!V25/'Current - Sales, NWP, GWP'!V5))),"-")</f>
        <v>4911.5897632900223</v>
      </c>
      <c r="W5" s="209">
        <f>IFERROR('Current - Sales, NWP, GWP'!W5/((VLOOKUP(COUNTA(W$4:$AC$4),'Dev Patterns'!$B$6:$F$22,$A24,0)*('Current - Sales, NWP, GWP'!W25/'Current - Sales, NWP, GWP'!W5))+(VLOOKUP(COUNTA(W$4:$AC$4),'Dev Patterns'!$B$6:$F$22,$A75,0)*(1-'Current - Sales, NWP, GWP'!W25/'Current - Sales, NWP, GWP'!W5))),"-")</f>
        <v>4188.7325943822134</v>
      </c>
      <c r="X5" s="209">
        <f>IFERROR('Current - Sales, NWP, GWP'!X5/((VLOOKUP(COUNTA(X$4:$AC$4),'Dev Patterns'!$B$6:$F$22,$A24,0)*('Current - Sales, NWP, GWP'!X25/'Current - Sales, NWP, GWP'!X5))+(VLOOKUP(COUNTA(X$4:$AC$4),'Dev Patterns'!$B$6:$F$22,$A75,0)*(1-'Current - Sales, NWP, GWP'!X25/'Current - Sales, NWP, GWP'!X5))),"-")</f>
        <v>3622.0570786442713</v>
      </c>
      <c r="Y5" s="209">
        <f>IFERROR('Current - Sales, NWP, GWP'!Y5/((VLOOKUP(COUNTA(Y$4:$AC$4),'Dev Patterns'!$B$6:$F$22,$A24,0)*('Current - Sales, NWP, GWP'!Y25/'Current - Sales, NWP, GWP'!Y5))+(VLOOKUP(COUNTA(Y$4:$AC$4),'Dev Patterns'!$B$6:$F$22,$A75,0)*(1-'Current - Sales, NWP, GWP'!Y25/'Current - Sales, NWP, GWP'!Y5))),"-")</f>
        <v>3276.2444462366971</v>
      </c>
      <c r="Z5" s="209">
        <f>IFERROR('Current - Sales, NWP, GWP'!Z5/((VLOOKUP(COUNTA(Z$4:$AC$4),'Dev Patterns'!$B$6:$F$22,$A24,0)*('Current - Sales, NWP, GWP'!Z25/'Current - Sales, NWP, GWP'!Z5))+(VLOOKUP(COUNTA(Z$4:$AC$4),'Dev Patterns'!$B$6:$F$22,$A75,0)*(1-'Current - Sales, NWP, GWP'!Z25/'Current - Sales, NWP, GWP'!Z5))),"-")</f>
        <v>3160.4202325656211</v>
      </c>
      <c r="AA5" s="209">
        <f>IFERROR('Current - Sales, NWP, GWP'!AA5/((VLOOKUP(COUNTA(AA$4:$AC$4),'Dev Patterns'!$B$6:$F$22,$A24,0)*('Current - Sales, NWP, GWP'!AA25/'Current - Sales, NWP, GWP'!AA5))+(VLOOKUP(COUNTA(AA$4:$AC$4),'Dev Patterns'!$B$6:$F$22,$A75,0)*(1-'Current - Sales, NWP, GWP'!AA25/'Current - Sales, NWP, GWP'!AA5))),"-")</f>
        <v>3207.9335433305228</v>
      </c>
      <c r="AB5" s="265">
        <f>IFERROR('Current - Sales, NWP, GWP'!AB5/((VLOOKUP(COUNTA(AB$4:$AC$4),'Dev Patterns'!$B$6:$F$22,$A24,0)*('Current - Sales, NWP, GWP'!AB25/'Current - Sales, NWP, GWP'!AB5))+(VLOOKUP(COUNTA(AB$4:$AC$4),'Dev Patterns'!$B$6:$F$22,$A75,0)*(1-'Current - Sales, NWP, GWP'!AB25/'Current - Sales, NWP, GWP'!AB5))),"-")</f>
        <v>3171.682416574628</v>
      </c>
      <c r="AC5" s="209">
        <f t="shared" ref="AC5:AN5" si="1">SUM(AC24,AC75)</f>
        <v>3238.4858987805637</v>
      </c>
      <c r="AD5" s="209">
        <f t="shared" si="1"/>
        <v>2696.5156165180279</v>
      </c>
      <c r="AE5" s="209">
        <f t="shared" si="1"/>
        <v>3457.7320258545496</v>
      </c>
      <c r="AF5" s="209">
        <f t="shared" si="1"/>
        <v>3535.0185602772344</v>
      </c>
      <c r="AG5" s="209">
        <f t="shared" si="1"/>
        <v>3612.0403078181857</v>
      </c>
      <c r="AH5" s="209">
        <f t="shared" si="1"/>
        <v>3305.444238129995</v>
      </c>
      <c r="AI5" s="209">
        <f t="shared" si="1"/>
        <v>3248.9059966048685</v>
      </c>
      <c r="AJ5" s="209">
        <f t="shared" si="1"/>
        <v>1497.775779747225</v>
      </c>
      <c r="AK5" s="209">
        <f t="shared" si="1"/>
        <v>0</v>
      </c>
      <c r="AL5" s="209">
        <f t="shared" si="1"/>
        <v>0</v>
      </c>
      <c r="AM5" s="209">
        <f t="shared" si="1"/>
        <v>0</v>
      </c>
      <c r="AN5" s="265">
        <f t="shared" si="1"/>
        <v>0</v>
      </c>
      <c r="AO5" s="237">
        <f t="shared" ref="AO5:AO10" si="2">AVERAGE(Z5:AC5)</f>
        <v>3194.630522812834</v>
      </c>
      <c r="AP5" s="209">
        <f>AVERAGE(R5:AC5)</f>
        <v>4238.884378797</v>
      </c>
      <c r="AQ5" s="238">
        <f>SUMIFS(AC5:AN5,AC$4:AN$4,"&lt;"&amp;'Title Sheet'!$C$13)</f>
        <v>24591.918423730654</v>
      </c>
      <c r="AR5" s="3" t="s">
        <v>313</v>
      </c>
    </row>
    <row r="6" spans="2:44" ht="15.75" hidden="1" x14ac:dyDescent="0.25">
      <c r="B6" t="str">
        <f>$D$2&amp;"_W VYRs"</f>
        <v>PC Annual Direct_W VYRs</v>
      </c>
      <c r="D6" s="211" t="s">
        <v>317</v>
      </c>
      <c r="E6" s="31" t="e">
        <f>INDEX('Plan Figures'!$B$5:$AP$31,MATCH('Ultimate - MGA only'!E$4,'Plan Figures'!$B$5:$B$31,0),MATCH('Ultimate - MGA only'!$B6,'Plan Figures'!$B$1:$AP$1,0))</f>
        <v>#N/A</v>
      </c>
      <c r="F6" s="31"/>
      <c r="G6" s="31"/>
      <c r="H6" s="31"/>
      <c r="I6" s="31"/>
      <c r="J6" s="31"/>
      <c r="K6" s="31"/>
      <c r="L6" s="31"/>
      <c r="M6" s="31"/>
      <c r="N6" s="31"/>
      <c r="O6" s="31"/>
      <c r="P6" s="266"/>
      <c r="Q6" s="31"/>
      <c r="R6" s="31" t="str">
        <f>INDEX('Plan Figures'!$B$5:$AP$31,MATCH('Ultimate - MGA only'!R$4,'Plan Figures'!$B$5:$B$31,0),MATCH('Ultimate - MGA only'!$B6,'Plan Figures'!$B$1:$AP$1,0))</f>
        <v>-</v>
      </c>
      <c r="S6" s="31" t="str">
        <f>INDEX('Plan Figures'!$B$5:$AP$31,MATCH('Ultimate - MGA only'!S$4,'Plan Figures'!$B$5:$B$31,0),MATCH('Ultimate - MGA only'!$B6,'Plan Figures'!$B$1:$AP$1,0))</f>
        <v>-</v>
      </c>
      <c r="T6" s="31" t="str">
        <f>INDEX('Plan Figures'!$B$5:$AP$31,MATCH('Ultimate - MGA only'!T$4,'Plan Figures'!$B$5:$B$31,0),MATCH('Ultimate - MGA only'!$B6,'Plan Figures'!$B$1:$AP$1,0))</f>
        <v>-</v>
      </c>
      <c r="U6" s="31" t="str">
        <f>INDEX('Plan Figures'!$B$5:$AP$31,MATCH('Ultimate - MGA only'!U$4,'Plan Figures'!$B$5:$B$31,0),MATCH('Ultimate - MGA only'!$B6,'Plan Figures'!$B$1:$AP$1,0))</f>
        <v>-</v>
      </c>
      <c r="V6" s="31" t="str">
        <f>INDEX('Plan Figures'!$B$5:$AP$31,MATCH('Ultimate - MGA only'!V$4,'Plan Figures'!$B$5:$B$31,0),MATCH('Ultimate - MGA only'!$B6,'Plan Figures'!$B$1:$AP$1,0))</f>
        <v>-</v>
      </c>
      <c r="W6" s="31" t="str">
        <f>INDEX('Plan Figures'!$B$5:$AP$31,MATCH('Ultimate - MGA only'!W$4,'Plan Figures'!$B$5:$B$31,0),MATCH('Ultimate - MGA only'!$B6,'Plan Figures'!$B$1:$AP$1,0))</f>
        <v>-</v>
      </c>
      <c r="X6" s="31" t="str">
        <f>INDEX('Plan Figures'!$B$5:$AP$31,MATCH('Ultimate - MGA only'!X$4,'Plan Figures'!$B$5:$B$31,0),MATCH('Ultimate - MGA only'!$B6,'Plan Figures'!$B$1:$AP$1,0))</f>
        <v>-</v>
      </c>
      <c r="Y6" s="31" t="str">
        <f>INDEX('Plan Figures'!$B$5:$AP$31,MATCH('Ultimate - MGA only'!Y$4,'Plan Figures'!$B$5:$B$31,0),MATCH('Ultimate - MGA only'!$B6,'Plan Figures'!$B$1:$AP$1,0))</f>
        <v>-</v>
      </c>
      <c r="Z6" s="31" t="str">
        <f>INDEX('Plan Figures'!$B$5:$AP$31,MATCH('Ultimate - MGA only'!Z$4,'Plan Figures'!$B$5:$B$31,0),MATCH('Ultimate - MGA only'!$B6,'Plan Figures'!$B$1:$AP$1,0))</f>
        <v>-</v>
      </c>
      <c r="AA6" s="31">
        <f>INDEX('Plan Figures'!$B$5:$AP$31,MATCH('Ultimate - MGA only'!AA$4,'Plan Figures'!$B$5:$B$31,0),MATCH('Ultimate - MGA only'!$B6,'Plan Figures'!$B$1:$AP$1,0))</f>
        <v>1729.3531485183221</v>
      </c>
      <c r="AB6" s="266">
        <f>INDEX('Plan Figures'!$B$5:$AP$31,MATCH('Ultimate - MGA only'!AB$4,'Plan Figures'!$B$5:$B$31,0),MATCH('Ultimate - MGA only'!$B6,'Plan Figures'!$B$1:$AP$1,0))</f>
        <v>1753.4023172900183</v>
      </c>
      <c r="AC6" s="31">
        <f>INDEX('Plan Figures'!$B$5:$AP$31,MATCH('Ultimate - MGA only'!AC$4,'Plan Figures'!$B$5:$B$31,0),MATCH('Ultimate - MGA only'!$B6,'Plan Figures'!$B$1:$AP$1,0))</f>
        <v>4273.8740763903043</v>
      </c>
      <c r="AD6" s="31">
        <f>INDEX('Plan Figures'!$B$5:$AP$42,MATCH('Ultimate - MGA only'!AD$4,'Plan Figures'!$B$5:$B$42,0),MATCH('Ultimate - MGA only'!$B6,'Plan Figures'!$B$1:$AP$1,0))</f>
        <v>4267.0066178598499</v>
      </c>
      <c r="AE6" s="31">
        <f>INDEX('Plan Figures'!$B$5:$AP$42,MATCH('Ultimate - MGA only'!AE$4,'Plan Figures'!$B$5:$B$42,0),MATCH('Ultimate - MGA only'!$B6,'Plan Figures'!$B$1:$AP$1,0))</f>
        <v>4260.1528668314522</v>
      </c>
      <c r="AF6" s="31">
        <f>INDEX('Plan Figures'!$B$5:$AP$42,MATCH('Ultimate - MGA only'!AF$4,'Plan Figures'!$B$5:$B$42,0),MATCH('Ultimate - MGA only'!$B6,'Plan Figures'!$B$1:$AP$1,0))</f>
        <v>4253.3127959448284</v>
      </c>
      <c r="AG6" s="31">
        <f>INDEX('Plan Figures'!$B$5:$AP$42,MATCH('Ultimate - MGA only'!AG$4,'Plan Figures'!$B$5:$B$42,0),MATCH('Ultimate - MGA only'!$B6,'Plan Figures'!$B$1:$AP$1,0))</f>
        <v>4246.8636837603826</v>
      </c>
      <c r="AH6" s="31">
        <f>INDEX('Plan Figures'!$B$5:$AP$42,MATCH('Ultimate - MGA only'!AH$4,'Plan Figures'!$B$5:$B$42,0),MATCH('Ultimate - MGA only'!$B6,'Plan Figures'!$B$1:$AP$1,0))</f>
        <v>4318.1657423106572</v>
      </c>
      <c r="AI6" s="31">
        <f>INDEX('Plan Figures'!$B$5:$AP$42,MATCH('Ultimate - MGA only'!AI$4,'Plan Figures'!$B$5:$B$42,0),MATCH('Ultimate - MGA only'!$B6,'Plan Figures'!$B$1:$AP$1,0))</f>
        <v>4195.7154005708353</v>
      </c>
      <c r="AJ6" s="31">
        <f>INDEX('Plan Figures'!$B$5:$AP$42,MATCH('Ultimate - MGA only'!AJ$4,'Plan Figures'!$B$5:$B$42,0),MATCH('Ultimate - MGA only'!$B6,'Plan Figures'!$B$1:$AP$1,0))</f>
        <v>4057.7980519065386</v>
      </c>
      <c r="AK6" s="31">
        <f>INDEX('Plan Figures'!$B$5:$AP$42,MATCH('Ultimate - MGA only'!AK$4,'Plan Figures'!$B$5:$B$42,0),MATCH('Ultimate - MGA only'!$B6,'Plan Figures'!$B$1:$AP$1,0))</f>
        <v>5129.8964943047231</v>
      </c>
      <c r="AL6" s="31">
        <f>INDEX('Plan Figures'!$B$5:$AP$42,MATCH('Ultimate - MGA only'!AL$4,'Plan Figures'!$B$5:$B$42,0),MATCH('Ultimate - MGA only'!$B6,'Plan Figures'!$B$1:$AP$1,0))</f>
        <v>5273.6010221942579</v>
      </c>
      <c r="AM6" s="31">
        <f>INDEX('Plan Figures'!$B$5:$AP$42,MATCH('Ultimate - MGA only'!AM$4,'Plan Figures'!$B$5:$B$42,0),MATCH('Ultimate - MGA only'!$B6,'Plan Figures'!$B$1:$AP$1,0))</f>
        <v>4282.0488949348064</v>
      </c>
      <c r="AN6" s="266">
        <f>INDEX('Plan Figures'!$B$5:$AP$42,MATCH('Ultimate - MGA only'!AN$4,'Plan Figures'!$B$5:$B$42,0),MATCH('Ultimate - MGA only'!$B6,'Plan Figures'!$B$1:$AP$1,0))</f>
        <v>3736.9957476015165</v>
      </c>
      <c r="AO6" s="239">
        <f t="shared" si="2"/>
        <v>2585.5431807328819</v>
      </c>
      <c r="AP6" s="31">
        <f t="shared" ref="AP6:AP10" si="3">AVERAGE(R6:AC6)</f>
        <v>2585.5431807328819</v>
      </c>
      <c r="AQ6" s="240">
        <f>SUMIFS(AC6:AN6,AC$4:AN$4,"&lt;"&amp;'Title Sheet'!$C$13)</f>
        <v>52295.431394610161</v>
      </c>
    </row>
    <row r="7" spans="2:44" ht="15.75" hidden="1" x14ac:dyDescent="0.25">
      <c r="B7" t="str">
        <f t="shared" ref="B7:B17" si="4">$D$2</f>
        <v>PC Annual Direct</v>
      </c>
      <c r="D7" s="213" t="s">
        <v>0</v>
      </c>
      <c r="E7" s="214" t="str">
        <f t="shared" ref="E7:AN7" si="5">IFERROR(IF(E5=0,"-",(E5/E6)-1),"-")</f>
        <v>-</v>
      </c>
      <c r="F7" s="214" t="str">
        <f t="shared" si="5"/>
        <v>-</v>
      </c>
      <c r="G7" s="214" t="str">
        <f t="shared" si="5"/>
        <v>-</v>
      </c>
      <c r="H7" s="214" t="str">
        <f t="shared" si="5"/>
        <v>-</v>
      </c>
      <c r="I7" s="214" t="str">
        <f t="shared" si="5"/>
        <v>-</v>
      </c>
      <c r="J7" s="214" t="str">
        <f t="shared" si="5"/>
        <v>-</v>
      </c>
      <c r="K7" s="214" t="str">
        <f t="shared" si="5"/>
        <v>-</v>
      </c>
      <c r="L7" s="214" t="str">
        <f t="shared" si="5"/>
        <v>-</v>
      </c>
      <c r="M7" s="214" t="str">
        <f t="shared" si="5"/>
        <v>-</v>
      </c>
      <c r="N7" s="214" t="str">
        <f t="shared" si="5"/>
        <v>-</v>
      </c>
      <c r="O7" s="214" t="str">
        <f t="shared" si="5"/>
        <v>-</v>
      </c>
      <c r="P7" s="270" t="str">
        <f t="shared" si="5"/>
        <v>-</v>
      </c>
      <c r="Q7" s="214" t="str">
        <f t="shared" si="5"/>
        <v>-</v>
      </c>
      <c r="R7" s="214" t="str">
        <f t="shared" si="5"/>
        <v>-</v>
      </c>
      <c r="S7" s="214" t="str">
        <f t="shared" si="5"/>
        <v>-</v>
      </c>
      <c r="T7" s="214" t="str">
        <f t="shared" si="5"/>
        <v>-</v>
      </c>
      <c r="U7" s="214" t="str">
        <f t="shared" si="5"/>
        <v>-</v>
      </c>
      <c r="V7" s="214" t="str">
        <f t="shared" si="5"/>
        <v>-</v>
      </c>
      <c r="W7" s="214" t="str">
        <f t="shared" si="5"/>
        <v>-</v>
      </c>
      <c r="X7" s="214" t="str">
        <f t="shared" si="5"/>
        <v>-</v>
      </c>
      <c r="Y7" s="214" t="str">
        <f t="shared" si="5"/>
        <v>-</v>
      </c>
      <c r="Z7" s="214" t="str">
        <f t="shared" si="5"/>
        <v>-</v>
      </c>
      <c r="AA7" s="214">
        <f t="shared" si="5"/>
        <v>0.8549904315836363</v>
      </c>
      <c r="AB7" s="270">
        <f t="shared" si="5"/>
        <v>0.80887317491209942</v>
      </c>
      <c r="AC7" s="214">
        <f t="shared" si="5"/>
        <v>-0.24225986987530179</v>
      </c>
      <c r="AD7" s="214">
        <f t="shared" si="5"/>
        <v>-0.36805450330646872</v>
      </c>
      <c r="AE7" s="214">
        <f t="shared" si="5"/>
        <v>-0.18835494078730419</v>
      </c>
      <c r="AF7" s="214">
        <f t="shared" si="5"/>
        <v>-0.16887877053209588</v>
      </c>
      <c r="AG7" s="214">
        <f t="shared" si="5"/>
        <v>-0.14948051626184833</v>
      </c>
      <c r="AH7" s="214">
        <f t="shared" si="5"/>
        <v>-0.23452585301618212</v>
      </c>
      <c r="AI7" s="214">
        <f t="shared" si="5"/>
        <v>-0.22566101691195539</v>
      </c>
      <c r="AJ7" s="214">
        <f t="shared" si="5"/>
        <v>-0.63088952170907042</v>
      </c>
      <c r="AK7" s="214" t="str">
        <f t="shared" si="5"/>
        <v>-</v>
      </c>
      <c r="AL7" s="214" t="str">
        <f t="shared" si="5"/>
        <v>-</v>
      </c>
      <c r="AM7" s="214" t="str">
        <f t="shared" si="5"/>
        <v>-</v>
      </c>
      <c r="AN7" s="270" t="str">
        <f t="shared" si="5"/>
        <v>-</v>
      </c>
      <c r="AO7" s="241">
        <f t="shared" si="2"/>
        <v>0.47386791220681129</v>
      </c>
      <c r="AP7" s="242">
        <f t="shared" si="3"/>
        <v>0.47386791220681129</v>
      </c>
      <c r="AQ7" s="243">
        <f t="shared" ref="AQ7" si="6">IFERROR(IF(AQ5=0,"-",(AQ5/AQ6)-1),"-")</f>
        <v>-0.52975015660229885</v>
      </c>
    </row>
    <row r="8" spans="2:44" ht="15.75" x14ac:dyDescent="0.25">
      <c r="B8" t="str">
        <f t="shared" si="4"/>
        <v>PC Annual Direct</v>
      </c>
      <c r="D8" s="208" t="s">
        <v>5</v>
      </c>
      <c r="E8" s="209">
        <f>SUM(E27,E78)</f>
        <v>54404.443214097795</v>
      </c>
      <c r="F8" s="209">
        <f t="shared" ref="F8:AN8" si="7">SUM(F27,F78)</f>
        <v>154577.88964227081</v>
      </c>
      <c r="G8" s="209">
        <f t="shared" si="7"/>
        <v>1330455.7271475936</v>
      </c>
      <c r="H8" s="209">
        <f t="shared" si="7"/>
        <v>1713812.9246342052</v>
      </c>
      <c r="I8" s="209">
        <f t="shared" si="7"/>
        <v>2279345.2964331149</v>
      </c>
      <c r="J8" s="209">
        <f t="shared" si="7"/>
        <v>3041000.1807196802</v>
      </c>
      <c r="K8" s="209">
        <f t="shared" si="7"/>
        <v>3927830.2535809847</v>
      </c>
      <c r="L8" s="209">
        <f t="shared" si="7"/>
        <v>2914993.5578613752</v>
      </c>
      <c r="M8" s="209">
        <f t="shared" si="7"/>
        <v>2774467.8075009137</v>
      </c>
      <c r="N8" s="209">
        <f t="shared" si="7"/>
        <v>3582418.985711955</v>
      </c>
      <c r="O8" s="209">
        <f t="shared" si="7"/>
        <v>3167251.6742823166</v>
      </c>
      <c r="P8" s="265">
        <f t="shared" si="7"/>
        <v>2630569.9350004205</v>
      </c>
      <c r="Q8" s="209">
        <f t="shared" si="7"/>
        <v>2156372.3196456134</v>
      </c>
      <c r="R8" s="209">
        <f t="shared" si="7"/>
        <v>2207310.4784496515</v>
      </c>
      <c r="S8" s="209">
        <f t="shared" si="7"/>
        <v>2365373.8251251392</v>
      </c>
      <c r="T8" s="209">
        <f t="shared" si="7"/>
        <v>2115686.5966449534</v>
      </c>
      <c r="U8" s="209">
        <f t="shared" si="7"/>
        <v>2390913.5113230627</v>
      </c>
      <c r="V8" s="209">
        <f t="shared" si="7"/>
        <v>1077613.6799534939</v>
      </c>
      <c r="W8" s="209">
        <f t="shared" si="7"/>
        <v>1075674.1453860134</v>
      </c>
      <c r="X8" s="209">
        <f t="shared" si="7"/>
        <v>992103.80897160678</v>
      </c>
      <c r="Y8" s="209">
        <f t="shared" si="7"/>
        <v>820285.51734236279</v>
      </c>
      <c r="Z8" s="209">
        <f t="shared" si="7"/>
        <v>707652.52868133865</v>
      </c>
      <c r="AA8" s="209">
        <f t="shared" si="7"/>
        <v>527785.07154161739</v>
      </c>
      <c r="AB8" s="265">
        <f t="shared" si="7"/>
        <v>439777.96904251562</v>
      </c>
      <c r="AC8" s="209">
        <f t="shared" si="7"/>
        <v>341889.44878219115</v>
      </c>
      <c r="AD8" s="209">
        <f t="shared" si="7"/>
        <v>229093.66572580446</v>
      </c>
      <c r="AE8" s="209">
        <f t="shared" si="7"/>
        <v>175927.96515181192</v>
      </c>
      <c r="AF8" s="209">
        <f t="shared" si="7"/>
        <v>86825.243191891394</v>
      </c>
      <c r="AG8" s="209">
        <f t="shared" si="7"/>
        <v>0</v>
      </c>
      <c r="AH8" s="209">
        <f t="shared" si="7"/>
        <v>0</v>
      </c>
      <c r="AI8" s="209">
        <f t="shared" si="7"/>
        <v>0</v>
      </c>
      <c r="AJ8" s="209">
        <f t="shared" si="7"/>
        <v>0</v>
      </c>
      <c r="AK8" s="209">
        <f t="shared" si="7"/>
        <v>0</v>
      </c>
      <c r="AL8" s="209">
        <f t="shared" si="7"/>
        <v>0</v>
      </c>
      <c r="AM8" s="209">
        <f t="shared" si="7"/>
        <v>0</v>
      </c>
      <c r="AN8" s="265">
        <f t="shared" si="7"/>
        <v>0</v>
      </c>
      <c r="AO8" s="237">
        <f t="shared" si="2"/>
        <v>504276.25451191567</v>
      </c>
      <c r="AP8" s="209">
        <f t="shared" si="3"/>
        <v>1255172.2151036619</v>
      </c>
      <c r="AQ8" s="238">
        <f>SUMIFS(AC8:AN8,AC$4:AN$4,"&lt;"&amp;'Title Sheet'!$C$13)</f>
        <v>833736.32285169885</v>
      </c>
    </row>
    <row r="9" spans="2:44" ht="15.75" x14ac:dyDescent="0.25">
      <c r="B9" t="str">
        <f>$D$2&amp;"_NWP"</f>
        <v>PC Annual Direct_NWP</v>
      </c>
      <c r="D9" s="211" t="s">
        <v>6</v>
      </c>
      <c r="E9" s="31" t="e">
        <f>INDEX('Plan Figures'!$B$5:$AP$31,MATCH('Ultimate - MGA only'!E$4,'Plan Figures'!$B$5:$B$31,0),MATCH('Ultimate - MGA only'!$B9,'Plan Figures'!$B$1:$AP$1,0))</f>
        <v>#N/A</v>
      </c>
      <c r="F9" s="31"/>
      <c r="G9" s="31"/>
      <c r="H9" s="31"/>
      <c r="I9" s="31"/>
      <c r="J9" s="31"/>
      <c r="K9" s="31"/>
      <c r="L9" s="31"/>
      <c r="M9" s="31"/>
      <c r="N9" s="31"/>
      <c r="O9" s="31"/>
      <c r="P9" s="266"/>
      <c r="Q9" s="31"/>
      <c r="R9" s="31" t="str">
        <f>INDEX('Plan Figures'!$B$5:$AP$31,MATCH('Ultimate - MGA only'!R$4,'Plan Figures'!$B$5:$B$31,0),MATCH('Ultimate - MGA only'!$B9,'Plan Figures'!$B$1:$AP$1,0))</f>
        <v>-</v>
      </c>
      <c r="S9" s="31" t="str">
        <f>INDEX('Plan Figures'!$B$5:$AP$31,MATCH('Ultimate - MGA only'!S$4,'Plan Figures'!$B$5:$B$31,0),MATCH('Ultimate - MGA only'!$B9,'Plan Figures'!$B$1:$AP$1,0))</f>
        <v>-</v>
      </c>
      <c r="T9" s="31" t="str">
        <f>INDEX('Plan Figures'!$B$5:$AP$31,MATCH('Ultimate - MGA only'!T$4,'Plan Figures'!$B$5:$B$31,0),MATCH('Ultimate - MGA only'!$B9,'Plan Figures'!$B$1:$AP$1,0))</f>
        <v>-</v>
      </c>
      <c r="U9" s="31" t="str">
        <f>INDEX('Plan Figures'!$B$5:$AP$31,MATCH('Ultimate - MGA only'!U$4,'Plan Figures'!$B$5:$B$31,0),MATCH('Ultimate - MGA only'!$B9,'Plan Figures'!$B$1:$AP$1,0))</f>
        <v>-</v>
      </c>
      <c r="V9" s="31" t="str">
        <f>INDEX('Plan Figures'!$B$5:$AP$31,MATCH('Ultimate - MGA only'!V$4,'Plan Figures'!$B$5:$B$31,0),MATCH('Ultimate - MGA only'!$B9,'Plan Figures'!$B$1:$AP$1,0))</f>
        <v>-</v>
      </c>
      <c r="W9" s="31" t="str">
        <f>INDEX('Plan Figures'!$B$5:$AP$31,MATCH('Ultimate - MGA only'!W$4,'Plan Figures'!$B$5:$B$31,0),MATCH('Ultimate - MGA only'!$B9,'Plan Figures'!$B$1:$AP$1,0))</f>
        <v>-</v>
      </c>
      <c r="X9" s="31" t="str">
        <f>INDEX('Plan Figures'!$B$5:$AP$31,MATCH('Ultimate - MGA only'!X$4,'Plan Figures'!$B$5:$B$31,0),MATCH('Ultimate - MGA only'!$B9,'Plan Figures'!$B$1:$AP$1,0))</f>
        <v>-</v>
      </c>
      <c r="Y9" s="31" t="str">
        <f>INDEX('Plan Figures'!$B$5:$AP$31,MATCH('Ultimate - MGA only'!Y$4,'Plan Figures'!$B$5:$B$31,0),MATCH('Ultimate - MGA only'!$B9,'Plan Figures'!$B$1:$AP$1,0))</f>
        <v>-</v>
      </c>
      <c r="Z9" s="31" t="str">
        <f>INDEX('Plan Figures'!$B$5:$AP$31,MATCH('Ultimate - MGA only'!Z$4,'Plan Figures'!$B$5:$B$31,0),MATCH('Ultimate - MGA only'!$B9,'Plan Figures'!$B$1:$AP$1,0))</f>
        <v>-</v>
      </c>
      <c r="AA9" s="31">
        <f>INDEX('Plan Figures'!$B$5:$AP$31,MATCH('Ultimate - MGA only'!AA$4,'Plan Figures'!$B$5:$B$31,0),MATCH('Ultimate - MGA only'!$B9,'Plan Figures'!$B$1:$AP$1,0))</f>
        <v>3013169.0914932396</v>
      </c>
      <c r="AB9" s="266">
        <f>INDEX('Plan Figures'!$B$5:$AP$31,MATCH('Ultimate - MGA only'!AB$4,'Plan Figures'!$B$5:$B$31,0),MATCH('Ultimate - MGA only'!$B9,'Plan Figures'!$B$1:$AP$1,0))</f>
        <v>3046278.3015965438</v>
      </c>
      <c r="AC9" s="31">
        <f>INDEX('Plan Figures'!$B$5:$AP$31,MATCH('Ultimate - MGA only'!AC$4,'Plan Figures'!$B$5:$B$31,0),MATCH('Ultimate - MGA only'!$B9,'Plan Figures'!$B$1:$AP$1,0))</f>
        <v>3262205.5406420417</v>
      </c>
      <c r="AD9" s="31">
        <f>INDEX('Plan Figures'!$B$5:$AP$42,MATCH('Ultimate - MGA only'!AD$4,'Plan Figures'!$B$5:$B$42,0),MATCH('Ultimate - MGA only'!$B9,'Plan Figures'!$B$1:$AP$1,0))</f>
        <v>5283002.670942123</v>
      </c>
      <c r="AE9" s="31">
        <f>INDEX('Plan Figures'!$B$5:$AP$42,MATCH('Ultimate - MGA only'!AE$4,'Plan Figures'!$B$5:$B$42,0),MATCH('Ultimate - MGA only'!$B9,'Plan Figures'!$B$1:$AP$1,0))</f>
        <v>7028722.699423207</v>
      </c>
      <c r="AF9" s="31">
        <f>INDEX('Plan Figures'!$B$5:$AP$42,MATCH('Ultimate - MGA only'!AF$4,'Plan Figures'!$B$5:$B$42,0),MATCH('Ultimate - MGA only'!$B9,'Plan Figures'!$B$1:$AP$1,0))</f>
        <v>7008322.6050258419</v>
      </c>
      <c r="AG9" s="31">
        <f>INDEX('Plan Figures'!$B$5:$AP$42,MATCH('Ultimate - MGA only'!AG$4,'Plan Figures'!$B$5:$B$42,0),MATCH('Ultimate - MGA only'!$B9,'Plan Figures'!$B$1:$AP$1,0))</f>
        <v>6910081.5132966693</v>
      </c>
      <c r="AH9" s="31">
        <f>INDEX('Plan Figures'!$B$5:$AP$42,MATCH('Ultimate - MGA only'!AH$4,'Plan Figures'!$B$5:$B$42,0),MATCH('Ultimate - MGA only'!$B9,'Plan Figures'!$B$1:$AP$1,0))</f>
        <v>6846559.6197968433</v>
      </c>
      <c r="AI9" s="31">
        <f>INDEX('Plan Figures'!$B$5:$AP$42,MATCH('Ultimate - MGA only'!AI$4,'Plan Figures'!$B$5:$B$42,0),MATCH('Ultimate - MGA only'!$B9,'Plan Figures'!$B$1:$AP$1,0))</f>
        <v>4986954.5511762854</v>
      </c>
      <c r="AJ9" s="31">
        <f>INDEX('Plan Figures'!$B$5:$AP$42,MATCH('Ultimate - MGA only'!AJ$4,'Plan Figures'!$B$5:$B$42,0),MATCH('Ultimate - MGA only'!$B9,'Plan Figures'!$B$1:$AP$1,0))</f>
        <v>4772961.4367652033</v>
      </c>
      <c r="AK9" s="31">
        <f>INDEX('Plan Figures'!$B$5:$AP$42,MATCH('Ultimate - MGA only'!AK$4,'Plan Figures'!$B$5:$B$42,0),MATCH('Ultimate - MGA only'!$B9,'Plan Figures'!$B$1:$AP$1,0))</f>
        <v>5928873.8683875808</v>
      </c>
      <c r="AL9" s="31">
        <f>INDEX('Plan Figures'!$B$5:$AP$42,MATCH('Ultimate - MGA only'!AL$4,'Plan Figures'!$B$5:$B$42,0),MATCH('Ultimate - MGA only'!$B9,'Plan Figures'!$B$1:$AP$1,0))</f>
        <v>6128497.9239271581</v>
      </c>
      <c r="AM9" s="31">
        <f>INDEX('Plan Figures'!$B$5:$AP$42,MATCH('Ultimate - MGA only'!AM$4,'Plan Figures'!$B$5:$B$42,0),MATCH('Ultimate - MGA only'!$B9,'Plan Figures'!$B$1:$AP$1,0))</f>
        <v>5090049.9398270845</v>
      </c>
      <c r="AN9" s="266">
        <f>INDEX('Plan Figures'!$B$5:$AP$42,MATCH('Ultimate - MGA only'!AN$4,'Plan Figures'!$B$5:$B$42,0),MATCH('Ultimate - MGA only'!$B9,'Plan Figures'!$B$1:$AP$1,0))</f>
        <v>4415738.4758491814</v>
      </c>
      <c r="AO9" s="239">
        <f t="shared" si="2"/>
        <v>3107217.6445772746</v>
      </c>
      <c r="AP9" s="31">
        <f t="shared" si="3"/>
        <v>3107217.6445772746</v>
      </c>
      <c r="AQ9" s="240">
        <f>SUMIFS(AC9:AN9,AC$4:AN$4,"&lt;"&amp;'Title Sheet'!$C$13)</f>
        <v>67661970.845059216</v>
      </c>
    </row>
    <row r="10" spans="2:44" ht="15.75" x14ac:dyDescent="0.25">
      <c r="B10" t="str">
        <f t="shared" si="4"/>
        <v>PC Annual Direct</v>
      </c>
      <c r="D10" s="213" t="s">
        <v>0</v>
      </c>
      <c r="E10" s="214" t="str">
        <f t="shared" ref="E10:AN10" si="8">IFERROR(IF(E8=0,"-",(E8/E9)-1),"-")</f>
        <v>-</v>
      </c>
      <c r="F10" s="214" t="str">
        <f t="shared" si="8"/>
        <v>-</v>
      </c>
      <c r="G10" s="214" t="str">
        <f t="shared" si="8"/>
        <v>-</v>
      </c>
      <c r="H10" s="214" t="str">
        <f t="shared" si="8"/>
        <v>-</v>
      </c>
      <c r="I10" s="214" t="str">
        <f t="shared" si="8"/>
        <v>-</v>
      </c>
      <c r="J10" s="214" t="str">
        <f t="shared" si="8"/>
        <v>-</v>
      </c>
      <c r="K10" s="214" t="str">
        <f t="shared" si="8"/>
        <v>-</v>
      </c>
      <c r="L10" s="214" t="str">
        <f t="shared" si="8"/>
        <v>-</v>
      </c>
      <c r="M10" s="214" t="str">
        <f t="shared" si="8"/>
        <v>-</v>
      </c>
      <c r="N10" s="214" t="str">
        <f t="shared" si="8"/>
        <v>-</v>
      </c>
      <c r="O10" s="214" t="str">
        <f t="shared" si="8"/>
        <v>-</v>
      </c>
      <c r="P10" s="270" t="str">
        <f t="shared" si="8"/>
        <v>-</v>
      </c>
      <c r="Q10" s="214" t="str">
        <f t="shared" si="8"/>
        <v>-</v>
      </c>
      <c r="R10" s="214" t="str">
        <f t="shared" si="8"/>
        <v>-</v>
      </c>
      <c r="S10" s="214" t="str">
        <f t="shared" si="8"/>
        <v>-</v>
      </c>
      <c r="T10" s="214" t="str">
        <f t="shared" si="8"/>
        <v>-</v>
      </c>
      <c r="U10" s="214" t="str">
        <f t="shared" si="8"/>
        <v>-</v>
      </c>
      <c r="V10" s="214" t="str">
        <f t="shared" si="8"/>
        <v>-</v>
      </c>
      <c r="W10" s="214" t="str">
        <f t="shared" si="8"/>
        <v>-</v>
      </c>
      <c r="X10" s="214" t="str">
        <f t="shared" si="8"/>
        <v>-</v>
      </c>
      <c r="Y10" s="214" t="str">
        <f t="shared" si="8"/>
        <v>-</v>
      </c>
      <c r="Z10" s="214" t="str">
        <f t="shared" si="8"/>
        <v>-</v>
      </c>
      <c r="AA10" s="214">
        <f t="shared" si="8"/>
        <v>-0.82484053980519811</v>
      </c>
      <c r="AB10" s="270">
        <f t="shared" si="8"/>
        <v>-0.85563434279394968</v>
      </c>
      <c r="AC10" s="214">
        <f t="shared" si="8"/>
        <v>-0.89519684013690226</v>
      </c>
      <c r="AD10" s="214">
        <f t="shared" si="8"/>
        <v>-0.95663570889602634</v>
      </c>
      <c r="AE10" s="214">
        <f t="shared" si="8"/>
        <v>-0.97497013715361835</v>
      </c>
      <c r="AF10" s="214">
        <f t="shared" si="8"/>
        <v>-0.9876111235048417</v>
      </c>
      <c r="AG10" s="214" t="str">
        <f t="shared" si="8"/>
        <v>-</v>
      </c>
      <c r="AH10" s="214" t="str">
        <f t="shared" si="8"/>
        <v>-</v>
      </c>
      <c r="AI10" s="214" t="str">
        <f t="shared" si="8"/>
        <v>-</v>
      </c>
      <c r="AJ10" s="214" t="str">
        <f t="shared" si="8"/>
        <v>-</v>
      </c>
      <c r="AK10" s="214" t="str">
        <f t="shared" si="8"/>
        <v>-</v>
      </c>
      <c r="AL10" s="214" t="str">
        <f t="shared" si="8"/>
        <v>-</v>
      </c>
      <c r="AM10" s="214" t="str">
        <f t="shared" si="8"/>
        <v>-</v>
      </c>
      <c r="AN10" s="270" t="str">
        <f t="shared" si="8"/>
        <v>-</v>
      </c>
      <c r="AO10" s="241">
        <f t="shared" si="2"/>
        <v>-0.85855724091201668</v>
      </c>
      <c r="AP10" s="242">
        <f t="shared" si="3"/>
        <v>-0.85855724091201668</v>
      </c>
      <c r="AQ10" s="243">
        <f t="shared" ref="AQ10" si="9">IFERROR(IF(AQ8=0,"-",(AQ8/AQ9)-1),"-")</f>
        <v>-0.9876779184460811</v>
      </c>
    </row>
    <row r="11" spans="2:44" ht="15.75" x14ac:dyDescent="0.25">
      <c r="B11" t="str">
        <f t="shared" si="4"/>
        <v>PC Annual Direct</v>
      </c>
      <c r="D11" s="208" t="s">
        <v>12</v>
      </c>
      <c r="E11" s="209">
        <f>IFERROR(E8/E5,0)</f>
        <v>0</v>
      </c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65"/>
      <c r="Q11" s="209"/>
      <c r="R11" s="209">
        <f t="shared" ref="R11:AP12" si="10">IFERROR(R8/R5,0)</f>
        <v>520.93417617953412</v>
      </c>
      <c r="S11" s="209">
        <f t="shared" si="10"/>
        <v>387.67996120211177</v>
      </c>
      <c r="T11" s="209">
        <f t="shared" si="10"/>
        <v>357.89782684877179</v>
      </c>
      <c r="U11" s="209">
        <f t="shared" si="10"/>
        <v>409.44031858914843</v>
      </c>
      <c r="V11" s="209">
        <f t="shared" si="10"/>
        <v>219.40221636744673</v>
      </c>
      <c r="W11" s="209">
        <f t="shared" si="10"/>
        <v>256.80181800783157</v>
      </c>
      <c r="X11" s="209">
        <f t="shared" si="10"/>
        <v>273.90617746503023</v>
      </c>
      <c r="Y11" s="209">
        <f t="shared" si="10"/>
        <v>250.37372235291997</v>
      </c>
      <c r="Z11" s="209">
        <f t="shared" si="10"/>
        <v>223.91089684515407</v>
      </c>
      <c r="AA11" s="209">
        <f t="shared" si="10"/>
        <v>164.52493931456678</v>
      </c>
      <c r="AB11" s="265">
        <f t="shared" si="10"/>
        <v>138.65763064558953</v>
      </c>
      <c r="AC11" s="209">
        <f t="shared" si="10"/>
        <v>105.57076963371308</v>
      </c>
      <c r="AD11" s="209">
        <f t="shared" si="10"/>
        <v>84.959146656687949</v>
      </c>
      <c r="AE11" s="209">
        <f t="shared" si="10"/>
        <v>50.879583448440542</v>
      </c>
      <c r="AF11" s="209">
        <f t="shared" si="10"/>
        <v>24.561467418457376</v>
      </c>
      <c r="AG11" s="209">
        <f t="shared" si="10"/>
        <v>0</v>
      </c>
      <c r="AH11" s="209">
        <f t="shared" si="10"/>
        <v>0</v>
      </c>
      <c r="AI11" s="209">
        <f t="shared" si="10"/>
        <v>0</v>
      </c>
      <c r="AJ11" s="209">
        <f t="shared" si="10"/>
        <v>0</v>
      </c>
      <c r="AK11" s="209">
        <f t="shared" si="10"/>
        <v>0</v>
      </c>
      <c r="AL11" s="209">
        <f t="shared" si="10"/>
        <v>0</v>
      </c>
      <c r="AM11" s="209">
        <f t="shared" si="10"/>
        <v>0</v>
      </c>
      <c r="AN11" s="265">
        <f t="shared" si="10"/>
        <v>0</v>
      </c>
      <c r="AO11" s="237">
        <f t="shared" si="10"/>
        <v>157.85119778668692</v>
      </c>
      <c r="AP11" s="209">
        <f t="shared" si="10"/>
        <v>296.10909450186068</v>
      </c>
      <c r="AQ11" s="238">
        <f>SUMIFS(AC11:AN11,AC$4:AN$4,"&lt;"&amp;'Title Sheet'!$C$13)</f>
        <v>265.97096715729896</v>
      </c>
    </row>
    <row r="12" spans="2:44" ht="15.75" hidden="1" x14ac:dyDescent="0.25">
      <c r="B12" t="str">
        <f t="shared" si="4"/>
        <v>PC Annual Direct</v>
      </c>
      <c r="D12" s="211" t="s">
        <v>13</v>
      </c>
      <c r="E12" s="31">
        <f>IFERROR(E9/E6,0)</f>
        <v>0</v>
      </c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266"/>
      <c r="Q12" s="31"/>
      <c r="R12" s="31">
        <f t="shared" si="10"/>
        <v>0</v>
      </c>
      <c r="S12" s="31">
        <f t="shared" si="10"/>
        <v>0</v>
      </c>
      <c r="T12" s="31">
        <f t="shared" si="10"/>
        <v>0</v>
      </c>
      <c r="U12" s="31">
        <f t="shared" si="10"/>
        <v>0</v>
      </c>
      <c r="V12" s="31">
        <f t="shared" si="10"/>
        <v>0</v>
      </c>
      <c r="W12" s="31">
        <f t="shared" si="10"/>
        <v>0</v>
      </c>
      <c r="X12" s="31">
        <f t="shared" si="10"/>
        <v>0</v>
      </c>
      <c r="Y12" s="31">
        <f t="shared" si="10"/>
        <v>0</v>
      </c>
      <c r="Z12" s="31">
        <f t="shared" si="10"/>
        <v>0</v>
      </c>
      <c r="AA12" s="31">
        <f t="shared" si="10"/>
        <v>1742.3677136592185</v>
      </c>
      <c r="AB12" s="266">
        <f t="shared" si="10"/>
        <v>1737.3527293523473</v>
      </c>
      <c r="AC12" s="31">
        <f t="shared" si="10"/>
        <v>763.2900460645501</v>
      </c>
      <c r="AD12" s="31">
        <f t="shared" si="10"/>
        <v>1238.1051036644171</v>
      </c>
      <c r="AE12" s="31">
        <f t="shared" si="10"/>
        <v>1649.875701444234</v>
      </c>
      <c r="AF12" s="31">
        <f t="shared" si="10"/>
        <v>1647.7327065405773</v>
      </c>
      <c r="AG12" s="31">
        <f t="shared" si="10"/>
        <v>1627.1022636587531</v>
      </c>
      <c r="AH12" s="31">
        <f t="shared" si="10"/>
        <v>1585.5249724928897</v>
      </c>
      <c r="AI12" s="31">
        <f t="shared" si="10"/>
        <v>1188.5826551767072</v>
      </c>
      <c r="AJ12" s="31">
        <f t="shared" si="10"/>
        <v>1176.2442033118548</v>
      </c>
      <c r="AK12" s="31">
        <f t="shared" si="10"/>
        <v>1155.7492193009923</v>
      </c>
      <c r="AL12" s="31">
        <f t="shared" si="10"/>
        <v>1162.1087560729409</v>
      </c>
      <c r="AM12" s="31">
        <f t="shared" si="10"/>
        <v>1188.6949599870413</v>
      </c>
      <c r="AN12" s="266">
        <f t="shared" si="10"/>
        <v>1181.6279102493752</v>
      </c>
      <c r="AO12" s="239">
        <f t="shared" si="10"/>
        <v>1201.7659065730716</v>
      </c>
      <c r="AP12" s="31">
        <f t="shared" si="10"/>
        <v>1201.7659065730716</v>
      </c>
      <c r="AQ12" s="240">
        <f>SUMIFS(AC12:AN12,AC$4:AN$4,"&lt;"&amp;'Title Sheet'!$C$13)</f>
        <v>15564.638497964334</v>
      </c>
    </row>
    <row r="13" spans="2:44" ht="15.75" hidden="1" x14ac:dyDescent="0.25">
      <c r="B13" t="str">
        <f t="shared" si="4"/>
        <v>PC Annual Direct</v>
      </c>
      <c r="D13" s="213" t="s">
        <v>0</v>
      </c>
      <c r="E13" s="214" t="str">
        <f t="shared" ref="E13:AN13" si="11">IFERROR(IF(E11=0,"-",(E11/E12)-1),"-")</f>
        <v>-</v>
      </c>
      <c r="F13" s="214" t="str">
        <f t="shared" si="11"/>
        <v>-</v>
      </c>
      <c r="G13" s="214" t="str">
        <f t="shared" si="11"/>
        <v>-</v>
      </c>
      <c r="H13" s="214" t="str">
        <f t="shared" si="11"/>
        <v>-</v>
      </c>
      <c r="I13" s="214" t="str">
        <f t="shared" si="11"/>
        <v>-</v>
      </c>
      <c r="J13" s="214" t="str">
        <f t="shared" si="11"/>
        <v>-</v>
      </c>
      <c r="K13" s="214" t="str">
        <f t="shared" si="11"/>
        <v>-</v>
      </c>
      <c r="L13" s="214" t="str">
        <f t="shared" si="11"/>
        <v>-</v>
      </c>
      <c r="M13" s="214" t="str">
        <f t="shared" si="11"/>
        <v>-</v>
      </c>
      <c r="N13" s="214" t="str">
        <f t="shared" si="11"/>
        <v>-</v>
      </c>
      <c r="O13" s="214" t="str">
        <f t="shared" si="11"/>
        <v>-</v>
      </c>
      <c r="P13" s="270" t="str">
        <f t="shared" si="11"/>
        <v>-</v>
      </c>
      <c r="Q13" s="214" t="str">
        <f t="shared" si="11"/>
        <v>-</v>
      </c>
      <c r="R13" s="214" t="str">
        <f t="shared" si="11"/>
        <v>-</v>
      </c>
      <c r="S13" s="214" t="str">
        <f t="shared" si="11"/>
        <v>-</v>
      </c>
      <c r="T13" s="214" t="str">
        <f t="shared" si="11"/>
        <v>-</v>
      </c>
      <c r="U13" s="214" t="str">
        <f t="shared" si="11"/>
        <v>-</v>
      </c>
      <c r="V13" s="214" t="str">
        <f t="shared" si="11"/>
        <v>-</v>
      </c>
      <c r="W13" s="214" t="str">
        <f t="shared" si="11"/>
        <v>-</v>
      </c>
      <c r="X13" s="214" t="str">
        <f t="shared" si="11"/>
        <v>-</v>
      </c>
      <c r="Y13" s="214" t="str">
        <f t="shared" si="11"/>
        <v>-</v>
      </c>
      <c r="Z13" s="214" t="str">
        <f t="shared" si="11"/>
        <v>-</v>
      </c>
      <c r="AA13" s="214">
        <f t="shared" si="11"/>
        <v>-0.90557392792303226</v>
      </c>
      <c r="AB13" s="270">
        <f t="shared" si="11"/>
        <v>-0.92019028243200873</v>
      </c>
      <c r="AC13" s="214">
        <f t="shared" si="11"/>
        <v>-0.86168983838053992</v>
      </c>
      <c r="AD13" s="214">
        <f t="shared" si="11"/>
        <v>-0.93137969756748884</v>
      </c>
      <c r="AE13" s="214">
        <f t="shared" si="11"/>
        <v>-0.96916156568406786</v>
      </c>
      <c r="AF13" s="214">
        <f t="shared" si="11"/>
        <v>-0.98509377927563002</v>
      </c>
      <c r="AG13" s="214" t="str">
        <f t="shared" si="11"/>
        <v>-</v>
      </c>
      <c r="AH13" s="214" t="str">
        <f t="shared" si="11"/>
        <v>-</v>
      </c>
      <c r="AI13" s="214" t="str">
        <f t="shared" si="11"/>
        <v>-</v>
      </c>
      <c r="AJ13" s="214" t="str">
        <f t="shared" si="11"/>
        <v>-</v>
      </c>
      <c r="AK13" s="214" t="str">
        <f t="shared" si="11"/>
        <v>-</v>
      </c>
      <c r="AL13" s="214" t="str">
        <f t="shared" si="11"/>
        <v>-</v>
      </c>
      <c r="AM13" s="214" t="str">
        <f t="shared" si="11"/>
        <v>-</v>
      </c>
      <c r="AN13" s="270" t="str">
        <f t="shared" si="11"/>
        <v>-</v>
      </c>
      <c r="AO13" s="241">
        <f t="shared" ref="AO13:AP13" si="12">AO11-AO12</f>
        <v>-1043.9147087863846</v>
      </c>
      <c r="AP13" s="242">
        <f t="shared" si="12"/>
        <v>-905.65681207121088</v>
      </c>
      <c r="AQ13" s="243">
        <f t="shared" ref="AQ13" si="13">IFERROR(IF(AQ11=0,"-",(AQ11/AQ12)-1),"-")</f>
        <v>-0.98291184422997779</v>
      </c>
    </row>
    <row r="14" spans="2:44" ht="15.75" x14ac:dyDescent="0.25">
      <c r="B14" t="str">
        <f t="shared" si="4"/>
        <v>PC Annual Direct</v>
      </c>
      <c r="D14" s="208" t="s">
        <v>7</v>
      </c>
      <c r="E14" s="209">
        <v>63882.723213917787</v>
      </c>
      <c r="F14" s="209"/>
      <c r="G14" s="209"/>
      <c r="H14" s="209"/>
      <c r="I14" s="209"/>
      <c r="J14" s="209"/>
      <c r="K14" s="209"/>
      <c r="L14" s="209"/>
      <c r="M14" s="209"/>
      <c r="N14" s="209"/>
      <c r="O14" s="209"/>
      <c r="P14" s="265"/>
      <c r="Q14" s="209"/>
      <c r="R14" s="209">
        <f t="shared" ref="R14:AN14" si="14">SUM(R34,R85)</f>
        <v>6020261.4066121634</v>
      </c>
      <c r="S14" s="209">
        <f t="shared" si="14"/>
        <v>8375571.4987623682</v>
      </c>
      <c r="T14" s="209">
        <f t="shared" si="14"/>
        <v>7391641.5865257829</v>
      </c>
      <c r="U14" s="209">
        <f t="shared" si="14"/>
        <v>7010982.1113823764</v>
      </c>
      <c r="V14" s="209">
        <f t="shared" si="14"/>
        <v>5872809.0517976107</v>
      </c>
      <c r="W14" s="209">
        <f t="shared" si="14"/>
        <v>4999578.2891884819</v>
      </c>
      <c r="X14" s="209">
        <f t="shared" si="14"/>
        <v>4336480.4582210528</v>
      </c>
      <c r="Y14" s="209">
        <f t="shared" si="14"/>
        <v>3957009.8766119601</v>
      </c>
      <c r="Z14" s="209">
        <f t="shared" si="14"/>
        <v>3732614.5019087535</v>
      </c>
      <c r="AA14" s="209">
        <f t="shared" si="14"/>
        <v>3883759.7143237591</v>
      </c>
      <c r="AB14" s="265">
        <f t="shared" si="14"/>
        <v>3807501.348997497</v>
      </c>
      <c r="AC14" s="209">
        <f t="shared" si="14"/>
        <v>3732874.8366595353</v>
      </c>
      <c r="AD14" s="209">
        <f t="shared" si="14"/>
        <v>3068873.0073799109</v>
      </c>
      <c r="AE14" s="209">
        <f t="shared" si="14"/>
        <v>3907814.5093155364</v>
      </c>
      <c r="AF14" s="209">
        <f t="shared" si="14"/>
        <v>3802373.739826418</v>
      </c>
      <c r="AG14" s="209">
        <f t="shared" si="14"/>
        <v>3940669.324243865</v>
      </c>
      <c r="AH14" s="209">
        <f t="shared" si="14"/>
        <v>3590660.8282440053</v>
      </c>
      <c r="AI14" s="209">
        <f t="shared" si="14"/>
        <v>3634569.8719625878</v>
      </c>
      <c r="AJ14" s="209">
        <f t="shared" si="14"/>
        <v>1767853.3504476703</v>
      </c>
      <c r="AK14" s="209">
        <f t="shared" si="14"/>
        <v>0</v>
      </c>
      <c r="AL14" s="209">
        <f t="shared" si="14"/>
        <v>0</v>
      </c>
      <c r="AM14" s="209">
        <f t="shared" si="14"/>
        <v>0</v>
      </c>
      <c r="AN14" s="265">
        <f t="shared" si="14"/>
        <v>0</v>
      </c>
      <c r="AO14" s="237">
        <f t="shared" ref="AO14:AO16" si="15">AVERAGE(Z14:AC14)</f>
        <v>3789187.600472386</v>
      </c>
      <c r="AP14" s="209">
        <f>AVERAGE(R14:AC14)</f>
        <v>5260090.3900826126</v>
      </c>
      <c r="AQ14" s="238">
        <f>SUMIFS(AC14:AN14,AC$4:AN$4,"&lt;"&amp;'Title Sheet'!$C$13)</f>
        <v>27445689.46807953</v>
      </c>
    </row>
    <row r="15" spans="2:44" ht="15.75" hidden="1" x14ac:dyDescent="0.25">
      <c r="B15" t="str">
        <f>$D$2&amp;"_GWP"</f>
        <v>PC Annual Direct_GWP</v>
      </c>
      <c r="D15" s="211" t="s">
        <v>23</v>
      </c>
      <c r="E15" s="31" t="e">
        <f>INDEX('Plan Figures'!$B$5:$AP$31,MATCH('Ultimate - MGA only'!E$4,'Plan Figures'!$B$5:$B$31,0),MATCH('Ultimate - MGA only'!$B15,'Plan Figures'!$B$1:$AP$1,0))</f>
        <v>#N/A</v>
      </c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266"/>
      <c r="Q15" s="31"/>
      <c r="R15" s="31" t="str">
        <f>INDEX('Plan Figures'!$B$5:$AP$31,MATCH('Ultimate - MGA only'!R$4,'Plan Figures'!$B$5:$B$31,0),MATCH('Ultimate - MGA only'!$B15,'Plan Figures'!$B$1:$AP$1,0))</f>
        <v>-</v>
      </c>
      <c r="S15" s="31" t="str">
        <f>INDEX('Plan Figures'!$B$5:$AP$31,MATCH('Ultimate - MGA only'!S$4,'Plan Figures'!$B$5:$B$31,0),MATCH('Ultimate - MGA only'!$B15,'Plan Figures'!$B$1:$AP$1,0))</f>
        <v>-</v>
      </c>
      <c r="T15" s="31" t="str">
        <f>INDEX('Plan Figures'!$B$5:$AP$31,MATCH('Ultimate - MGA only'!T$4,'Plan Figures'!$B$5:$B$31,0),MATCH('Ultimate - MGA only'!$B15,'Plan Figures'!$B$1:$AP$1,0))</f>
        <v>-</v>
      </c>
      <c r="U15" s="31" t="str">
        <f>INDEX('Plan Figures'!$B$5:$AP$31,MATCH('Ultimate - MGA only'!U$4,'Plan Figures'!$B$5:$B$31,0),MATCH('Ultimate - MGA only'!$B15,'Plan Figures'!$B$1:$AP$1,0))</f>
        <v>-</v>
      </c>
      <c r="V15" s="31" t="str">
        <f>INDEX('Plan Figures'!$B$5:$AP$31,MATCH('Ultimate - MGA only'!V$4,'Plan Figures'!$B$5:$B$31,0),MATCH('Ultimate - MGA only'!$B15,'Plan Figures'!$B$1:$AP$1,0))</f>
        <v>-</v>
      </c>
      <c r="W15" s="31" t="str">
        <f>INDEX('Plan Figures'!$B$5:$AP$31,MATCH('Ultimate - MGA only'!W$4,'Plan Figures'!$B$5:$B$31,0),MATCH('Ultimate - MGA only'!$B15,'Plan Figures'!$B$1:$AP$1,0))</f>
        <v>-</v>
      </c>
      <c r="X15" s="31" t="str">
        <f>INDEX('Plan Figures'!$B$5:$AP$31,MATCH('Ultimate - MGA only'!X$4,'Plan Figures'!$B$5:$B$31,0),MATCH('Ultimate - MGA only'!$B15,'Plan Figures'!$B$1:$AP$1,0))</f>
        <v>-</v>
      </c>
      <c r="Y15" s="31" t="str">
        <f>INDEX('Plan Figures'!$B$5:$AP$31,MATCH('Ultimate - MGA only'!Y$4,'Plan Figures'!$B$5:$B$31,0),MATCH('Ultimate - MGA only'!$B15,'Plan Figures'!$B$1:$AP$1,0))</f>
        <v>-</v>
      </c>
      <c r="Z15" s="31" t="str">
        <f>INDEX('Plan Figures'!$B$5:$AP$31,MATCH('Ultimate - MGA only'!Z$4,'Plan Figures'!$B$5:$B$31,0),MATCH('Ultimate - MGA only'!$B15,'Plan Figures'!$B$1:$AP$1,0))</f>
        <v>-</v>
      </c>
      <c r="AA15" s="31">
        <f>INDEX('Plan Figures'!$B$5:$AP$31,MATCH('Ultimate - MGA only'!AA$4,'Plan Figures'!$B$5:$B$31,0),MATCH('Ultimate - MGA only'!$B15,'Plan Figures'!$B$1:$AP$1,0))</f>
        <v>2730383.5064988472</v>
      </c>
      <c r="AB15" s="266">
        <f>INDEX('Plan Figures'!$B$5:$AP$31,MATCH('Ultimate - MGA only'!AB$4,'Plan Figures'!$B$5:$B$31,0),MATCH('Ultimate - MGA only'!$B15,'Plan Figures'!$B$1:$AP$1,0))</f>
        <v>2820707.4327293462</v>
      </c>
      <c r="AC15" s="31">
        <f>INDEX('Plan Figures'!$B$5:$AP$31,MATCH('Ultimate - MGA only'!AC$4,'Plan Figures'!$B$5:$B$31,0),MATCH('Ultimate - MGA only'!$B15,'Plan Figures'!$B$1:$AP$1,0))</f>
        <v>7198457.7531405166</v>
      </c>
      <c r="AD15" s="31">
        <f>INDEX('Plan Figures'!$B$5:$AP$42,MATCH('Ultimate - MGA only'!AD$4,'Plan Figures'!$B$5:$B$42,0),MATCH('Ultimate - MGA only'!$B15,'Plan Figures'!$B$1:$AP$1,0))</f>
        <v>7198457.7531405166</v>
      </c>
      <c r="AE15" s="31">
        <f>INDEX('Plan Figures'!$B$5:$AP$42,MATCH('Ultimate - MGA only'!AE$4,'Plan Figures'!$B$5:$B$42,0),MATCH('Ultimate - MGA only'!$B15,'Plan Figures'!$B$1:$AP$1,0))</f>
        <v>7198457.7531405166</v>
      </c>
      <c r="AF15" s="31">
        <f>INDEX('Plan Figures'!$B$5:$AP$42,MATCH('Ultimate - MGA only'!AF$4,'Plan Figures'!$B$5:$B$42,0),MATCH('Ultimate - MGA only'!$B15,'Plan Figures'!$B$1:$AP$1,0))</f>
        <v>7198457.7531405166</v>
      </c>
      <c r="AG15" s="31">
        <f>INDEX('Plan Figures'!$B$5:$AP$42,MATCH('Ultimate - MGA only'!AG$4,'Plan Figures'!$B$5:$B$42,0),MATCH('Ultimate - MGA only'!$B15,'Plan Figures'!$B$1:$AP$1,0))</f>
        <v>7199202.3378039943</v>
      </c>
      <c r="AH15" s="31">
        <f>INDEX('Plan Figures'!$B$5:$AP$42,MATCH('Ultimate - MGA only'!AH$4,'Plan Figures'!$B$5:$B$42,0),MATCH('Ultimate - MGA only'!$B15,'Plan Figures'!$B$1:$AP$1,0))</f>
        <v>7318060.3548614709</v>
      </c>
      <c r="AI15" s="31">
        <f>INDEX('Plan Figures'!$B$5:$AP$42,MATCH('Ultimate - MGA only'!AI$4,'Plan Figures'!$B$5:$B$42,0),MATCH('Ultimate - MGA only'!$B15,'Plan Figures'!$B$1:$AP$1,0))</f>
        <v>5702770.0132108573</v>
      </c>
      <c r="AJ15" s="31">
        <f>INDEX('Plan Figures'!$B$5:$AP$42,MATCH('Ultimate - MGA only'!AJ$4,'Plan Figures'!$B$5:$B$42,0),MATCH('Ultimate - MGA only'!$B15,'Plan Figures'!$B$1:$AP$1,0))</f>
        <v>5426956.6830632938</v>
      </c>
      <c r="AK15" s="31">
        <f>INDEX('Plan Figures'!$B$5:$AP$42,MATCH('Ultimate - MGA only'!AK$4,'Plan Figures'!$B$5:$B$42,0),MATCH('Ultimate - MGA only'!$B15,'Plan Figures'!$B$1:$AP$1,0))</f>
        <v>6638651.4077064805</v>
      </c>
      <c r="AL15" s="31">
        <f>INDEX('Plan Figures'!$B$5:$AP$42,MATCH('Ultimate - MGA only'!AL$4,'Plan Figures'!$B$5:$B$42,0),MATCH('Ultimate - MGA only'!$B15,'Plan Figures'!$B$1:$AP$1,0))</f>
        <v>6810173.3330016024</v>
      </c>
      <c r="AM15" s="31">
        <f>INDEX('Plan Figures'!$B$5:$AP$42,MATCH('Ultimate - MGA only'!AM$4,'Plan Figures'!$B$5:$B$42,0),MATCH('Ultimate - MGA only'!$B15,'Plan Figures'!$B$1:$AP$1,0))</f>
        <v>5567465.9289929308</v>
      </c>
      <c r="AN15" s="266">
        <f>INDEX('Plan Figures'!$B$5:$AP$42,MATCH('Ultimate - MGA only'!AN$4,'Plan Figures'!$B$5:$B$42,0),MATCH('Ultimate - MGA only'!$B15,'Plan Figures'!$B$1:$AP$1,0))</f>
        <v>4824288.6394563289</v>
      </c>
      <c r="AO15" s="239">
        <f t="shared" si="15"/>
        <v>4249849.5641229032</v>
      </c>
      <c r="AP15" s="31">
        <f t="shared" ref="AP15:AP16" si="16">AVERAGE(R15:AC15)</f>
        <v>4249849.5641229032</v>
      </c>
      <c r="AQ15" s="240">
        <f>SUMIFS(AC15:AN15,AC$4:AN$4,"&lt;"&amp;'Title Sheet'!$C$13)</f>
        <v>78281399.710659012</v>
      </c>
    </row>
    <row r="16" spans="2:44" ht="15.75" hidden="1" x14ac:dyDescent="0.25">
      <c r="B16" t="str">
        <f t="shared" si="4"/>
        <v>PC Annual Direct</v>
      </c>
      <c r="D16" s="213" t="s">
        <v>0</v>
      </c>
      <c r="E16" s="214" t="str">
        <f t="shared" ref="E16:AN16" si="17">IFERROR(IF(E14=0,"-",(E14/E15)-1),"-")</f>
        <v>-</v>
      </c>
      <c r="F16" s="214" t="str">
        <f t="shared" si="17"/>
        <v>-</v>
      </c>
      <c r="G16" s="214" t="str">
        <f t="shared" si="17"/>
        <v>-</v>
      </c>
      <c r="H16" s="214" t="str">
        <f t="shared" si="17"/>
        <v>-</v>
      </c>
      <c r="I16" s="214" t="str">
        <f t="shared" si="17"/>
        <v>-</v>
      </c>
      <c r="J16" s="214" t="str">
        <f t="shared" si="17"/>
        <v>-</v>
      </c>
      <c r="K16" s="214" t="str">
        <f t="shared" si="17"/>
        <v>-</v>
      </c>
      <c r="L16" s="214" t="str">
        <f t="shared" si="17"/>
        <v>-</v>
      </c>
      <c r="M16" s="214" t="str">
        <f t="shared" si="17"/>
        <v>-</v>
      </c>
      <c r="N16" s="214" t="str">
        <f t="shared" si="17"/>
        <v>-</v>
      </c>
      <c r="O16" s="214" t="str">
        <f t="shared" si="17"/>
        <v>-</v>
      </c>
      <c r="P16" s="270" t="str">
        <f t="shared" si="17"/>
        <v>-</v>
      </c>
      <c r="Q16" s="214" t="str">
        <f t="shared" si="17"/>
        <v>-</v>
      </c>
      <c r="R16" s="214" t="str">
        <f t="shared" si="17"/>
        <v>-</v>
      </c>
      <c r="S16" s="214" t="str">
        <f t="shared" si="17"/>
        <v>-</v>
      </c>
      <c r="T16" s="214" t="str">
        <f t="shared" si="17"/>
        <v>-</v>
      </c>
      <c r="U16" s="214" t="str">
        <f t="shared" si="17"/>
        <v>-</v>
      </c>
      <c r="V16" s="214" t="str">
        <f t="shared" si="17"/>
        <v>-</v>
      </c>
      <c r="W16" s="214" t="str">
        <f t="shared" si="17"/>
        <v>-</v>
      </c>
      <c r="X16" s="214" t="str">
        <f t="shared" si="17"/>
        <v>-</v>
      </c>
      <c r="Y16" s="214" t="str">
        <f t="shared" si="17"/>
        <v>-</v>
      </c>
      <c r="Z16" s="214" t="str">
        <f t="shared" si="17"/>
        <v>-</v>
      </c>
      <c r="AA16" s="214">
        <f t="shared" si="17"/>
        <v>0.4224227860590466</v>
      </c>
      <c r="AB16" s="270">
        <f t="shared" si="17"/>
        <v>0.34983915907695495</v>
      </c>
      <c r="AC16" s="214">
        <f t="shared" si="17"/>
        <v>-0.48143408426187251</v>
      </c>
      <c r="AD16" s="214">
        <f t="shared" si="17"/>
        <v>-0.57367631892525384</v>
      </c>
      <c r="AE16" s="214">
        <f t="shared" si="17"/>
        <v>-0.45713170191064201</v>
      </c>
      <c r="AF16" s="214">
        <f t="shared" si="17"/>
        <v>-0.47177939077748532</v>
      </c>
      <c r="AG16" s="214">
        <f t="shared" si="17"/>
        <v>-0.45262417427124224</v>
      </c>
      <c r="AH16" s="214">
        <f t="shared" si="17"/>
        <v>-0.50934255060376921</v>
      </c>
      <c r="AI16" s="214">
        <f t="shared" si="17"/>
        <v>-0.36266588630738084</v>
      </c>
      <c r="AJ16" s="214">
        <f t="shared" si="17"/>
        <v>-0.67424590729370082</v>
      </c>
      <c r="AK16" s="214" t="str">
        <f t="shared" si="17"/>
        <v>-</v>
      </c>
      <c r="AL16" s="214" t="str">
        <f t="shared" si="17"/>
        <v>-</v>
      </c>
      <c r="AM16" s="214" t="str">
        <f t="shared" si="17"/>
        <v>-</v>
      </c>
      <c r="AN16" s="270" t="str">
        <f t="shared" si="17"/>
        <v>-</v>
      </c>
      <c r="AO16" s="274">
        <f t="shared" si="15"/>
        <v>9.6942620291376347E-2</v>
      </c>
      <c r="AP16" s="275">
        <f t="shared" si="16"/>
        <v>9.6942620291376347E-2</v>
      </c>
      <c r="AQ16" s="276">
        <f t="shared" ref="AQ16" si="18">IFERROR(IF(AQ14=0,"-",(AQ14/AQ15)-1),"-")</f>
        <v>-0.64939705256263514</v>
      </c>
    </row>
    <row r="17" spans="1:43" x14ac:dyDescent="0.25">
      <c r="B17" t="str">
        <f t="shared" si="4"/>
        <v>PC Annual Direct</v>
      </c>
      <c r="D17" s="258" t="s">
        <v>17</v>
      </c>
      <c r="E17" s="259"/>
      <c r="F17" s="259"/>
      <c r="G17" s="259"/>
      <c r="H17" s="259"/>
      <c r="I17" s="259"/>
      <c r="J17" s="259"/>
      <c r="K17" s="259"/>
      <c r="L17" s="259"/>
      <c r="M17" s="259"/>
      <c r="N17" s="259"/>
      <c r="O17" s="259"/>
      <c r="P17" s="267"/>
      <c r="Q17" s="259"/>
      <c r="R17" s="259"/>
      <c r="S17" s="259"/>
      <c r="T17" s="259"/>
      <c r="U17" s="259"/>
      <c r="V17" s="259"/>
      <c r="W17" s="259"/>
      <c r="X17" s="259"/>
      <c r="Y17" s="259"/>
      <c r="Z17" s="259"/>
      <c r="AA17" s="259"/>
      <c r="AB17" s="267"/>
      <c r="AC17" s="259"/>
      <c r="AD17" s="259"/>
      <c r="AE17" s="259"/>
      <c r="AF17" s="259"/>
      <c r="AG17" s="259"/>
      <c r="AH17" s="259"/>
      <c r="AI17" s="259"/>
      <c r="AJ17" s="259"/>
      <c r="AK17" s="259"/>
      <c r="AL17" s="259"/>
      <c r="AM17" s="259"/>
      <c r="AN17" s="267"/>
      <c r="AO17" s="277"/>
      <c r="AP17" s="277"/>
      <c r="AQ17" s="278"/>
    </row>
    <row r="18" spans="1:43" ht="16.5" thickBot="1" x14ac:dyDescent="0.3">
      <c r="D18" s="260" t="s">
        <v>198</v>
      </c>
      <c r="E18" s="261"/>
      <c r="F18" s="261"/>
      <c r="G18" s="261"/>
      <c r="H18" s="261"/>
      <c r="I18" s="261"/>
      <c r="J18" s="261"/>
      <c r="K18" s="261"/>
      <c r="L18" s="261"/>
      <c r="M18" s="261"/>
      <c r="N18" s="261"/>
      <c r="O18" s="261"/>
      <c r="P18" s="268"/>
      <c r="Q18" s="261"/>
      <c r="R18" s="261"/>
      <c r="S18" s="261"/>
      <c r="T18" s="261"/>
      <c r="U18" s="261"/>
      <c r="V18" s="261"/>
      <c r="W18" s="261"/>
      <c r="X18" s="261"/>
      <c r="Y18" s="261"/>
      <c r="Z18" s="261"/>
      <c r="AA18" s="261"/>
      <c r="AB18" s="268"/>
      <c r="AC18" s="261"/>
      <c r="AD18" s="261"/>
      <c r="AE18" s="261"/>
      <c r="AF18" s="261"/>
      <c r="AG18" s="261"/>
      <c r="AH18" s="261"/>
      <c r="AI18" s="261"/>
      <c r="AJ18" s="261"/>
      <c r="AK18" s="261"/>
      <c r="AL18" s="261"/>
      <c r="AM18" s="261"/>
      <c r="AN18" s="268"/>
      <c r="AO18" s="261"/>
      <c r="AP18" s="261"/>
      <c r="AQ18" s="262"/>
    </row>
    <row r="20" spans="1:43" ht="15.75" thickBot="1" x14ac:dyDescent="0.3"/>
    <row r="21" spans="1:43" ht="18.75" outlineLevel="1" x14ac:dyDescent="0.25">
      <c r="D21" s="255" t="s">
        <v>183</v>
      </c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63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63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63"/>
      <c r="AO21" s="202"/>
      <c r="AP21" s="202"/>
      <c r="AQ21" s="233"/>
    </row>
    <row r="22" spans="1:43" outlineLevel="1" x14ac:dyDescent="0.25">
      <c r="D22" s="204"/>
      <c r="E22" s="200" t="s">
        <v>237</v>
      </c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64"/>
      <c r="Q22" s="200"/>
      <c r="R22" s="200"/>
      <c r="S22" s="200"/>
      <c r="T22" s="200"/>
      <c r="U22" s="200"/>
      <c r="V22" s="200"/>
      <c r="W22" s="200"/>
      <c r="X22" s="200"/>
      <c r="Y22" s="200"/>
      <c r="Z22" s="200"/>
      <c r="AA22" s="200"/>
      <c r="AB22" s="264"/>
      <c r="AC22" s="200"/>
      <c r="AD22" s="200"/>
      <c r="AE22" s="200"/>
      <c r="AF22" s="200"/>
      <c r="AG22" s="200"/>
      <c r="AH22" s="200"/>
      <c r="AI22" s="200"/>
      <c r="AJ22" s="200"/>
      <c r="AK22" s="200"/>
      <c r="AL22" s="200"/>
      <c r="AM22" s="200"/>
      <c r="AN22" s="264"/>
      <c r="AO22" s="510" t="s">
        <v>8</v>
      </c>
      <c r="AP22" s="511"/>
      <c r="AQ22" s="512"/>
    </row>
    <row r="23" spans="1:43" outlineLevel="1" x14ac:dyDescent="0.25">
      <c r="D23" s="256" t="s">
        <v>16</v>
      </c>
      <c r="E23" s="285">
        <f t="shared" ref="E23:AN23" si="19">E$4</f>
        <v>44562</v>
      </c>
      <c r="F23" s="285">
        <f t="shared" si="19"/>
        <v>44593</v>
      </c>
      <c r="G23" s="285">
        <f t="shared" si="19"/>
        <v>44621</v>
      </c>
      <c r="H23" s="285">
        <f t="shared" si="19"/>
        <v>44652</v>
      </c>
      <c r="I23" s="285">
        <f t="shared" si="19"/>
        <v>44682</v>
      </c>
      <c r="J23" s="285">
        <f t="shared" si="19"/>
        <v>44713</v>
      </c>
      <c r="K23" s="285">
        <f t="shared" si="19"/>
        <v>44743</v>
      </c>
      <c r="L23" s="285">
        <f t="shared" si="19"/>
        <v>44774</v>
      </c>
      <c r="M23" s="285">
        <f t="shared" si="19"/>
        <v>44805</v>
      </c>
      <c r="N23" s="285">
        <f t="shared" si="19"/>
        <v>44835</v>
      </c>
      <c r="O23" s="285">
        <f t="shared" si="19"/>
        <v>44866</v>
      </c>
      <c r="P23" s="286">
        <f t="shared" si="19"/>
        <v>44896</v>
      </c>
      <c r="Q23" s="285">
        <f t="shared" si="19"/>
        <v>44927</v>
      </c>
      <c r="R23" s="285">
        <f t="shared" si="19"/>
        <v>44958</v>
      </c>
      <c r="S23" s="285">
        <f t="shared" si="19"/>
        <v>44986</v>
      </c>
      <c r="T23" s="285">
        <f t="shared" si="19"/>
        <v>45017</v>
      </c>
      <c r="U23" s="285">
        <f t="shared" si="19"/>
        <v>45047</v>
      </c>
      <c r="V23" s="285">
        <f t="shared" si="19"/>
        <v>45078</v>
      </c>
      <c r="W23" s="285">
        <f t="shared" si="19"/>
        <v>45108</v>
      </c>
      <c r="X23" s="285">
        <f t="shared" si="19"/>
        <v>45139</v>
      </c>
      <c r="Y23" s="285">
        <f t="shared" si="19"/>
        <v>45170</v>
      </c>
      <c r="Z23" s="285">
        <f t="shared" si="19"/>
        <v>45200</v>
      </c>
      <c r="AA23" s="285">
        <f t="shared" si="19"/>
        <v>45231</v>
      </c>
      <c r="AB23" s="286">
        <f t="shared" si="19"/>
        <v>45261</v>
      </c>
      <c r="AC23" s="285">
        <f t="shared" si="19"/>
        <v>45292</v>
      </c>
      <c r="AD23" s="285">
        <f t="shared" si="19"/>
        <v>45323</v>
      </c>
      <c r="AE23" s="285">
        <f t="shared" si="19"/>
        <v>45352</v>
      </c>
      <c r="AF23" s="285">
        <f t="shared" si="19"/>
        <v>45383</v>
      </c>
      <c r="AG23" s="285">
        <f t="shared" si="19"/>
        <v>45413</v>
      </c>
      <c r="AH23" s="285">
        <f t="shared" si="19"/>
        <v>45444</v>
      </c>
      <c r="AI23" s="285">
        <f t="shared" si="19"/>
        <v>45474</v>
      </c>
      <c r="AJ23" s="285">
        <f t="shared" si="19"/>
        <v>45505</v>
      </c>
      <c r="AK23" s="285">
        <f t="shared" si="19"/>
        <v>45536</v>
      </c>
      <c r="AL23" s="285">
        <f t="shared" si="19"/>
        <v>45566</v>
      </c>
      <c r="AM23" s="285">
        <f t="shared" si="19"/>
        <v>45597</v>
      </c>
      <c r="AN23" s="286">
        <f t="shared" si="19"/>
        <v>45627</v>
      </c>
      <c r="AO23" s="271" t="str">
        <f>AO4</f>
        <v>Last 3 Months</v>
      </c>
      <c r="AP23" s="272" t="str">
        <f>AP4</f>
        <v>Last Year</v>
      </c>
      <c r="AQ23" s="273" t="s">
        <v>346</v>
      </c>
    </row>
    <row r="24" spans="1:43" ht="15.75" outlineLevel="1" x14ac:dyDescent="0.25">
      <c r="A24">
        <v>5</v>
      </c>
      <c r="B24" t="str">
        <f>$D$2</f>
        <v>PC Annual Direct</v>
      </c>
      <c r="C24" t="s">
        <v>72</v>
      </c>
      <c r="D24" s="208" t="s">
        <v>316</v>
      </c>
      <c r="E24" s="209" t="e">
        <f>'Current - Sales, NWP, GWP'!E25/VLOOKUP(COUNTA(E$4:$AC$4),'Dev Patterns'!$B$6:$F$22,$A24,0)</f>
        <v>#N/A</v>
      </c>
      <c r="F24" s="209"/>
      <c r="G24" s="209"/>
      <c r="H24" s="209"/>
      <c r="I24" s="209"/>
      <c r="J24" s="209"/>
      <c r="K24" s="209"/>
      <c r="L24" s="209"/>
      <c r="M24" s="209"/>
      <c r="N24" s="209"/>
      <c r="O24" s="209"/>
      <c r="P24" s="265"/>
      <c r="Q24" s="209"/>
      <c r="R24" s="209">
        <f>'Current - Sales, NWP, GWP'!R25/VLOOKUP(COUNTA(R$4:$AC$4),'Dev Patterns'!$B$6:$F$22,$A24,0)</f>
        <v>2938.5353979168267</v>
      </c>
      <c r="S24" s="209">
        <f>'Current - Sales, NWP, GWP'!S25/VLOOKUP(COUNTA(S$4:$AC$4),'Dev Patterns'!$B$6:$F$22,$A24,0)</f>
        <v>4715.7378493460346</v>
      </c>
      <c r="T24" s="209">
        <f>'Current - Sales, NWP, GWP'!T25/VLOOKUP(COUNTA(T$4:$AC$4),'Dev Patterns'!$B$6:$F$22,$A24,0)</f>
        <v>4802.9919740674686</v>
      </c>
      <c r="U24" s="209">
        <f>'Current - Sales, NWP, GWP'!U25/VLOOKUP(COUNTA(U$4:$AC$4),'Dev Patterns'!$B$6:$F$22,$A24,0)</f>
        <v>4799.7063501888488</v>
      </c>
      <c r="V24" s="209">
        <f>'Current - Sales, NWP, GWP'!V25/VLOOKUP(COUNTA(V$4:$AC$4),'Dev Patterns'!$B$6:$F$22,$A24,0)</f>
        <v>4057.4519800839817</v>
      </c>
      <c r="W24" s="209">
        <f>'Current - Sales, NWP, GWP'!W25/VLOOKUP(COUNTA(W$4:$AC$4),'Dev Patterns'!$B$6:$F$22,$A24,0)</f>
        <v>3369.487882670539</v>
      </c>
      <c r="X24" s="209">
        <f>'Current - Sales, NWP, GWP'!X25/VLOOKUP(COUNTA(X$4:$AC$4),'Dev Patterns'!$B$6:$F$22,$A24,0)</f>
        <v>2929.1183773998309</v>
      </c>
      <c r="Y24" s="209">
        <f>'Current - Sales, NWP, GWP'!Y25/VLOOKUP(COUNTA(Y$4:$AC$4),'Dev Patterns'!$B$6:$F$22,$A24,0)</f>
        <v>2720.1389136650396</v>
      </c>
      <c r="Z24" s="209">
        <f>'Current - Sales, NWP, GWP'!Z25/VLOOKUP(COUNTA(Z$4:$AC$4),'Dev Patterns'!$B$6:$F$22,$A24,0)</f>
        <v>2696.9641022523706</v>
      </c>
      <c r="AA24" s="209">
        <f>'Current - Sales, NWP, GWP'!AA25/VLOOKUP(COUNTA(AA$4:$AC$4),'Dev Patterns'!$B$6:$F$22,$A24,0)</f>
        <v>2938.2063195241076</v>
      </c>
      <c r="AB24" s="265">
        <f>'Current - Sales, NWP, GWP'!AB25/VLOOKUP(COUNTA(AB$4:$AC$4),'Dev Patterns'!$B$6:$F$22,$A24,0)</f>
        <v>3019.9866459152445</v>
      </c>
      <c r="AC24" s="209">
        <f>'Current - Sales, NWP, GWP'!AC25/VLOOKUP(COUNTA(AC$4:$AC$4),'Dev Patterns'!$B$6:$F$22,$A24,0)</f>
        <v>3212.5373991154825</v>
      </c>
      <c r="AD24" s="209">
        <f>'Current - Sales, NWP, GWP'!AD25/VLOOKUP(COUNTA($AC$4:AD$4),'Dev Patterns'!$B$6:$F$22,$A24,0)</f>
        <v>2696.5156165180279</v>
      </c>
      <c r="AE24" s="209">
        <f>'Current - Sales, NWP, GWP'!AE25/VLOOKUP(COUNTA($AC$4:AE$4),'Dev Patterns'!$B$6:$F$22,$A24,0)</f>
        <v>3457.7320258545496</v>
      </c>
      <c r="AF24" s="209">
        <f>'Current - Sales, NWP, GWP'!AF25/VLOOKUP(COUNTA($AC$4:AF$4),'Dev Patterns'!$B$6:$F$22,$A24,0)</f>
        <v>3535.0185602772344</v>
      </c>
      <c r="AG24" s="209">
        <f>'Current - Sales, NWP, GWP'!AG25/VLOOKUP(COUNTA($AC$4:AG$4),'Dev Patterns'!$B$6:$F$22,$A24,0)</f>
        <v>3612.0403078181857</v>
      </c>
      <c r="AH24" s="209">
        <f>'Current - Sales, NWP, GWP'!AH25/VLOOKUP(COUNTA($AC$4:AH$4),'Dev Patterns'!$B$6:$F$22,$A24,0)</f>
        <v>3305.444238129995</v>
      </c>
      <c r="AI24" s="209">
        <f>'Current - Sales, NWP, GWP'!AI25/VLOOKUP(COUNTA($AC$4:AI$4),'Dev Patterns'!$B$6:$F$22,$A24,0)</f>
        <v>3248.9059966048685</v>
      </c>
      <c r="AJ24" s="209">
        <f>'Current - Sales, NWP, GWP'!AJ25/VLOOKUP(COUNTA($AC$4:AJ$4),'Dev Patterns'!$B$6:$F$22,$A24,0)</f>
        <v>1497.775779747225</v>
      </c>
      <c r="AK24" s="209">
        <f>'Current - Sales, NWP, GWP'!AK25/VLOOKUP(COUNTA($AC$4:AK$4),'Dev Patterns'!$B$6:$F$22,$A24,0)</f>
        <v>0</v>
      </c>
      <c r="AL24" s="209">
        <f>'Current - Sales, NWP, GWP'!AL25/VLOOKUP(COUNTA($AC$4:AL$4),'Dev Patterns'!$B$6:$F$22,$A24,0)</f>
        <v>0</v>
      </c>
      <c r="AM24" s="209">
        <f>'Current - Sales, NWP, GWP'!AM25/VLOOKUP(COUNTA($AC$4:AM$4),'Dev Patterns'!$B$6:$F$22,$A24,0)</f>
        <v>0</v>
      </c>
      <c r="AN24" s="265">
        <f>'Current - Sales, NWP, GWP'!AN25/VLOOKUP(COUNTA($AC$4:AN$4),'Dev Patterns'!$B$6:$F$22,$A24,0)</f>
        <v>0</v>
      </c>
      <c r="AO24" s="237">
        <f t="shared" ref="AO24:AO29" si="20">AVERAGE(Z24:AC24)</f>
        <v>2966.9236167018012</v>
      </c>
      <c r="AP24" s="209">
        <f>AVERAGE(R24:AC24)</f>
        <v>3516.7385993454814</v>
      </c>
      <c r="AQ24" s="238">
        <f>SUMIFS(AC24:AN24,AC$4:AN$4,"&lt;"&amp;'Title Sheet'!$C$13)</f>
        <v>24565.969924065572</v>
      </c>
    </row>
    <row r="25" spans="1:43" ht="15.75" hidden="1" outlineLevel="1" x14ac:dyDescent="0.25">
      <c r="B25" t="str">
        <f>$D$21&amp;"_W VYRs"</f>
        <v>PC Annual Direct - Annual_W VYRs</v>
      </c>
      <c r="C25" t="str">
        <f>$C24</f>
        <v>Boom Annual</v>
      </c>
      <c r="D25" s="211" t="s">
        <v>317</v>
      </c>
      <c r="E25" s="31" t="e">
        <f>INDEX('Plan Figures'!$B$5:$AP$31,MATCH('Ultimate - MGA only'!E$4,'Plan Figures'!$B$5:$B$31,0),MATCH('Ultimate - MGA only'!$B25,'Plan Figures'!$B$1:$AP$1,0))</f>
        <v>#N/A</v>
      </c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266"/>
      <c r="Q25" s="31"/>
      <c r="R25" s="31" t="str">
        <f>INDEX('Plan Figures'!$B$5:$AP$31,MATCH('Ultimate - MGA only'!R$4,'Plan Figures'!$B$5:$B$31,0),MATCH('Ultimate - MGA only'!$B25,'Plan Figures'!$B$1:$AP$1,0))</f>
        <v>-</v>
      </c>
      <c r="S25" s="31" t="str">
        <f>INDEX('Plan Figures'!$B$5:$AP$31,MATCH('Ultimate - MGA only'!S$4,'Plan Figures'!$B$5:$B$31,0),MATCH('Ultimate - MGA only'!$B25,'Plan Figures'!$B$1:$AP$1,0))</f>
        <v>-</v>
      </c>
      <c r="T25" s="31" t="str">
        <f>INDEX('Plan Figures'!$B$5:$AP$31,MATCH('Ultimate - MGA only'!T$4,'Plan Figures'!$B$5:$B$31,0),MATCH('Ultimate - MGA only'!$B25,'Plan Figures'!$B$1:$AP$1,0))</f>
        <v>-</v>
      </c>
      <c r="U25" s="31" t="str">
        <f>INDEX('Plan Figures'!$B$5:$AP$31,MATCH('Ultimate - MGA only'!U$4,'Plan Figures'!$B$5:$B$31,0),MATCH('Ultimate - MGA only'!$B25,'Plan Figures'!$B$1:$AP$1,0))</f>
        <v>-</v>
      </c>
      <c r="V25" s="31" t="str">
        <f>INDEX('Plan Figures'!$B$5:$AP$31,MATCH('Ultimate - MGA only'!V$4,'Plan Figures'!$B$5:$B$31,0),MATCH('Ultimate - MGA only'!$B25,'Plan Figures'!$B$1:$AP$1,0))</f>
        <v>-</v>
      </c>
      <c r="W25" s="31" t="str">
        <f>INDEX('Plan Figures'!$B$5:$AP$31,MATCH('Ultimate - MGA only'!W$4,'Plan Figures'!$B$5:$B$31,0),MATCH('Ultimate - MGA only'!$B25,'Plan Figures'!$B$1:$AP$1,0))</f>
        <v>-</v>
      </c>
      <c r="X25" s="31" t="str">
        <f>INDEX('Plan Figures'!$B$5:$AP$31,MATCH('Ultimate - MGA only'!X$4,'Plan Figures'!$B$5:$B$31,0),MATCH('Ultimate - MGA only'!$B25,'Plan Figures'!$B$1:$AP$1,0))</f>
        <v>-</v>
      </c>
      <c r="Y25" s="31" t="str">
        <f>INDEX('Plan Figures'!$B$5:$AP$31,MATCH('Ultimate - MGA only'!Y$4,'Plan Figures'!$B$5:$B$31,0),MATCH('Ultimate - MGA only'!$B25,'Plan Figures'!$B$1:$AP$1,0))</f>
        <v>-</v>
      </c>
      <c r="Z25" s="31" t="str">
        <f>INDEX('Plan Figures'!$B$5:$AP$31,MATCH('Ultimate - MGA only'!Z$4,'Plan Figures'!$B$5:$B$31,0),MATCH('Ultimate - MGA only'!$B25,'Plan Figures'!$B$1:$AP$1,0))</f>
        <v>-</v>
      </c>
      <c r="AA25" s="31">
        <f>INDEX('Plan Figures'!$B$5:$AP$31,MATCH('Ultimate - MGA only'!AA$4,'Plan Figures'!$B$5:$B$31,0),MATCH('Ultimate - MGA only'!$B25,'Plan Figures'!$B$1:$AP$1,0))</f>
        <v>1113.4200697273855</v>
      </c>
      <c r="AB25" s="266">
        <f>INDEX('Plan Figures'!$B$5:$AP$31,MATCH('Ultimate - MGA only'!AB$4,'Plan Figures'!$B$5:$B$31,0),MATCH('Ultimate - MGA only'!$B25,'Plan Figures'!$B$1:$AP$1,0))</f>
        <v>989.67431218271486</v>
      </c>
      <c r="AC25" s="31">
        <f>INDEX('Plan Figures'!$B$5:$AP$31,MATCH('Ultimate - MGA only'!AC$4,'Plan Figures'!$B$5:$B$31,0),MATCH('Ultimate - MGA only'!$B25,'Plan Figures'!$B$1:$AP$1,0))</f>
        <v>1210.5482166933789</v>
      </c>
      <c r="AD25" s="31">
        <f>INDEX('Plan Figures'!$B$5:$AP$42,MATCH('Ultimate - MGA only'!AD$4,'Plan Figures'!$B$5:$B$42,0),MATCH('Ultimate - MGA only'!$B25,'Plan Figures'!$B$1:$AP$1,0))</f>
        <v>1208.1319527878034</v>
      </c>
      <c r="AE25" s="31">
        <f>INDEX('Plan Figures'!$B$5:$AP$42,MATCH('Ultimate - MGA only'!AE$4,'Plan Figures'!$B$5:$B$42,0),MATCH('Ultimate - MGA only'!$B25,'Plan Figures'!$B$1:$AP$1,0))</f>
        <v>1205.7205117642748</v>
      </c>
      <c r="AF25" s="31">
        <f>INDEX('Plan Figures'!$B$5:$AP$42,MATCH('Ultimate - MGA only'!AF$4,'Plan Figures'!$B$5:$B$42,0),MATCH('Ultimate - MGA only'!$B25,'Plan Figures'!$B$1:$AP$1,0))</f>
        <v>1203.3138839962821</v>
      </c>
      <c r="AG25" s="31">
        <f>INDEX('Plan Figures'!$B$5:$AP$42,MATCH('Ultimate - MGA only'!AG$4,'Plan Figures'!$B$5:$B$42,0),MATCH('Ultimate - MGA only'!$B25,'Plan Figures'!$B$1:$AP$1,0))</f>
        <v>1201.0207575202833</v>
      </c>
      <c r="AH25" s="31">
        <f>INDEX('Plan Figures'!$B$5:$AP$42,MATCH('Ultimate - MGA only'!AH$4,'Plan Figures'!$B$5:$B$42,0),MATCH('Ultimate - MGA only'!$B25,'Plan Figures'!$B$1:$AP$1,0))</f>
        <v>1228.875833502128</v>
      </c>
      <c r="AI25" s="31">
        <f>INDEX('Plan Figures'!$B$5:$AP$42,MATCH('Ultimate - MGA only'!AI$4,'Plan Figures'!$B$5:$B$42,0),MATCH('Ultimate - MGA only'!$B25,'Plan Figures'!$B$1:$AP$1,0))</f>
        <v>1163.6668411466933</v>
      </c>
      <c r="AJ25" s="31">
        <f>INDEX('Plan Figures'!$B$5:$AP$42,MATCH('Ultimate - MGA only'!AJ$4,'Plan Figures'!$B$5:$B$42,0),MATCH('Ultimate - MGA only'!$B25,'Plan Figures'!$B$1:$AP$1,0))</f>
        <v>1142.8043600541273</v>
      </c>
      <c r="AK25" s="31">
        <f>INDEX('Plan Figures'!$B$5:$AP$42,MATCH('Ultimate - MGA only'!AK$4,'Plan Figures'!$B$5:$B$42,0),MATCH('Ultimate - MGA only'!$B25,'Plan Figures'!$B$1:$AP$1,0))</f>
        <v>1583.4171745261115</v>
      </c>
      <c r="AL25" s="31">
        <f>INDEX('Plan Figures'!$B$5:$AP$42,MATCH('Ultimate - MGA only'!AL$4,'Plan Figures'!$B$5:$B$42,0),MATCH('Ultimate - MGA only'!$B25,'Plan Figures'!$B$1:$AP$1,0))</f>
        <v>1633.4199796082153</v>
      </c>
      <c r="AM25" s="31">
        <f>INDEX('Plan Figures'!$B$5:$AP$42,MATCH('Ultimate - MGA only'!AM$4,'Plan Figures'!$B$5:$B$42,0),MATCH('Ultimate - MGA only'!$B25,'Plan Figures'!$B$1:$AP$1,0))</f>
        <v>1421.9431064527189</v>
      </c>
      <c r="AN25" s="266">
        <f>INDEX('Plan Figures'!$B$5:$AP$42,MATCH('Ultimate - MGA only'!AN$4,'Plan Figures'!$B$5:$B$42,0),MATCH('Ultimate - MGA only'!$B25,'Plan Figures'!$B$1:$AP$1,0))</f>
        <v>1292.0881451523526</v>
      </c>
      <c r="AO25" s="239">
        <f t="shared" si="20"/>
        <v>1104.5475328678265</v>
      </c>
      <c r="AP25" s="31">
        <f t="shared" ref="AP25:AP29" si="21">AVERAGE(R25:AC25)</f>
        <v>1104.5475328678265</v>
      </c>
      <c r="AQ25" s="240">
        <f>SUMIFS(AC25:AN25,AC$4:AN$4,"&lt;"&amp;'Title Sheet'!$C$13)</f>
        <v>15494.950763204368</v>
      </c>
    </row>
    <row r="26" spans="1:43" ht="15.75" hidden="1" outlineLevel="1" x14ac:dyDescent="0.25">
      <c r="B26" t="str">
        <f t="shared" ref="B26:B35" si="22">$D$2</f>
        <v>PC Annual Direct</v>
      </c>
      <c r="C26" t="str">
        <f t="shared" ref="C26:C35" si="23">$C25</f>
        <v>Boom Annual</v>
      </c>
      <c r="D26" s="213" t="s">
        <v>0</v>
      </c>
      <c r="E26" s="214" t="str">
        <f t="shared" ref="E26:AN26" si="24">IFERROR(IF(E24=0,"-",(E24/E25)-1),"-")</f>
        <v>-</v>
      </c>
      <c r="F26" s="214" t="str">
        <f t="shared" si="24"/>
        <v>-</v>
      </c>
      <c r="G26" s="214" t="str">
        <f t="shared" si="24"/>
        <v>-</v>
      </c>
      <c r="H26" s="214" t="str">
        <f t="shared" si="24"/>
        <v>-</v>
      </c>
      <c r="I26" s="214" t="str">
        <f t="shared" si="24"/>
        <v>-</v>
      </c>
      <c r="J26" s="214" t="str">
        <f t="shared" si="24"/>
        <v>-</v>
      </c>
      <c r="K26" s="214" t="str">
        <f t="shared" si="24"/>
        <v>-</v>
      </c>
      <c r="L26" s="214" t="str">
        <f t="shared" si="24"/>
        <v>-</v>
      </c>
      <c r="M26" s="214" t="str">
        <f t="shared" si="24"/>
        <v>-</v>
      </c>
      <c r="N26" s="214" t="str">
        <f t="shared" si="24"/>
        <v>-</v>
      </c>
      <c r="O26" s="214" t="str">
        <f t="shared" si="24"/>
        <v>-</v>
      </c>
      <c r="P26" s="270" t="str">
        <f t="shared" si="24"/>
        <v>-</v>
      </c>
      <c r="Q26" s="214" t="str">
        <f t="shared" si="24"/>
        <v>-</v>
      </c>
      <c r="R26" s="214" t="str">
        <f t="shared" si="24"/>
        <v>-</v>
      </c>
      <c r="S26" s="214" t="str">
        <f t="shared" si="24"/>
        <v>-</v>
      </c>
      <c r="T26" s="214" t="str">
        <f t="shared" si="24"/>
        <v>-</v>
      </c>
      <c r="U26" s="214" t="str">
        <f t="shared" si="24"/>
        <v>-</v>
      </c>
      <c r="V26" s="214" t="str">
        <f t="shared" si="24"/>
        <v>-</v>
      </c>
      <c r="W26" s="214" t="str">
        <f t="shared" si="24"/>
        <v>-</v>
      </c>
      <c r="X26" s="214" t="str">
        <f t="shared" si="24"/>
        <v>-</v>
      </c>
      <c r="Y26" s="214" t="str">
        <f t="shared" si="24"/>
        <v>-</v>
      </c>
      <c r="Z26" s="214" t="str">
        <f t="shared" si="24"/>
        <v>-</v>
      </c>
      <c r="AA26" s="214">
        <f t="shared" si="24"/>
        <v>1.6389018838536931</v>
      </c>
      <c r="AB26" s="270">
        <f t="shared" si="24"/>
        <v>2.0514954351545209</v>
      </c>
      <c r="AC26" s="214">
        <f t="shared" si="24"/>
        <v>1.6537872302935206</v>
      </c>
      <c r="AD26" s="214">
        <f t="shared" si="24"/>
        <v>1.2319711106851625</v>
      </c>
      <c r="AE26" s="214">
        <f t="shared" si="24"/>
        <v>1.8677724166730907</v>
      </c>
      <c r="AF26" s="214">
        <f t="shared" si="24"/>
        <v>1.9377360365337202</v>
      </c>
      <c r="AG26" s="214">
        <f t="shared" si="24"/>
        <v>2.0074753372921488</v>
      </c>
      <c r="AH26" s="214">
        <f t="shared" si="24"/>
        <v>1.6898114097580805</v>
      </c>
      <c r="AI26" s="214">
        <f t="shared" si="24"/>
        <v>1.7919554650224043</v>
      </c>
      <c r="AJ26" s="214">
        <f t="shared" si="24"/>
        <v>0.31061433793994708</v>
      </c>
      <c r="AK26" s="214" t="str">
        <f t="shared" si="24"/>
        <v>-</v>
      </c>
      <c r="AL26" s="214" t="str">
        <f t="shared" si="24"/>
        <v>-</v>
      </c>
      <c r="AM26" s="214" t="str">
        <f t="shared" si="24"/>
        <v>-</v>
      </c>
      <c r="AN26" s="270" t="str">
        <f t="shared" si="24"/>
        <v>-</v>
      </c>
      <c r="AO26" s="274">
        <f t="shared" si="20"/>
        <v>1.7813948497672449</v>
      </c>
      <c r="AP26" s="275">
        <f t="shared" si="21"/>
        <v>1.7813948497672449</v>
      </c>
      <c r="AQ26" s="276">
        <f t="shared" ref="AQ26" si="25">IFERROR(IF(AQ24=0,"-",(AQ24/AQ25)-1),"-")</f>
        <v>0.58541774668958735</v>
      </c>
    </row>
    <row r="27" spans="1:43" ht="15.75" outlineLevel="1" x14ac:dyDescent="0.25">
      <c r="A27">
        <v>4</v>
      </c>
      <c r="B27" t="str">
        <f t="shared" si="22"/>
        <v>PC Annual Direct</v>
      </c>
      <c r="C27" t="str">
        <f t="shared" si="23"/>
        <v>Boom Annual</v>
      </c>
      <c r="D27" s="208" t="s">
        <v>5</v>
      </c>
      <c r="E27" s="209">
        <f>'Current - MGA only'!E27/VLOOKUP(COUNTA(E$4:$AE$4),'Dev Patterns'!$B$6:$F$34,$A27,0)</f>
        <v>54404.443214097795</v>
      </c>
      <c r="F27" s="209">
        <f>'Current - MGA only'!F27/VLOOKUP(COUNTA(F$4:$AE$4),'Dev Patterns'!$B$6:$F$34,$A27,0)</f>
        <v>154577.88964227081</v>
      </c>
      <c r="G27" s="209">
        <f>'Current - MGA only'!G27/VLOOKUP(COUNTA(G$4:$AE$4),'Dev Patterns'!$B$6:$F$34,$A27,0)</f>
        <v>483467.82464259694</v>
      </c>
      <c r="H27" s="209">
        <f>'Current - MGA only'!H27/VLOOKUP(COUNTA(H$4:$AE$4),'Dev Patterns'!$B$6:$F$34,$A27,0)</f>
        <v>538846.57178365299</v>
      </c>
      <c r="I27" s="209">
        <f>'Current - MGA only'!I27/VLOOKUP(COUNTA(I$4:$AE$4),'Dev Patterns'!$B$6:$F$34,$A27,0)</f>
        <v>694728.56106937001</v>
      </c>
      <c r="J27" s="209">
        <f>'Current - MGA only'!J27/VLOOKUP(COUNTA(J$4:$AE$4),'Dev Patterns'!$B$6:$F$34,$A27,0)</f>
        <v>973925.98714369722</v>
      </c>
      <c r="K27" s="209">
        <f>'Current - MGA only'!K27/VLOOKUP(COUNTA(K$4:$AE$4),'Dev Patterns'!$B$6:$F$34,$A27,0)</f>
        <v>1780448.7428612791</v>
      </c>
      <c r="L27" s="209">
        <f>'Current - MGA only'!L27/VLOOKUP(COUNTA(L$4:$AE$4),'Dev Patterns'!$B$6:$F$34,$A27,0)</f>
        <v>1529874.777141179</v>
      </c>
      <c r="M27" s="209">
        <f>'Current - MGA only'!M27/VLOOKUP(COUNTA(M$4:$AE$4),'Dev Patterns'!$B$6:$F$34,$A27,0)</f>
        <v>2131022.4157159706</v>
      </c>
      <c r="N27" s="209">
        <f>'Current - MGA only'!N27/VLOOKUP(COUNTA(N$4:$AE$4),'Dev Patterns'!$B$6:$F$34,$A27,0)</f>
        <v>2601431.4985689996</v>
      </c>
      <c r="O27" s="209">
        <f>'Current - MGA only'!O27/VLOOKUP(COUNTA(O$4:$AE$4),'Dev Patterns'!$B$6:$F$34,$A27,0)</f>
        <v>2062684.991425006</v>
      </c>
      <c r="P27" s="265">
        <f>'Current - MGA only'!P27/VLOOKUP(COUNTA(P$4:$AE$4),'Dev Patterns'!$B$6:$F$34,$A27,0)</f>
        <v>1540263.1332138125</v>
      </c>
      <c r="Q27" s="209">
        <f>'Current - MGA only'!Q27/VLOOKUP(COUNTA(Q$4:$AE$4),'Dev Patterns'!$B$6:$F$34,$A27,0)</f>
        <v>1086160.0635735809</v>
      </c>
      <c r="R27" s="209">
        <f>'Current - MGA only'!R27/VLOOKUP(COUNTA(R$4:$AE$4),'Dev Patterns'!$B$6:$F$34,$A27,0)</f>
        <v>1100142.4223781892</v>
      </c>
      <c r="S27" s="209">
        <f>'Current - MGA only'!S27/VLOOKUP(COUNTA(S$4:$AE$4),'Dev Patterns'!$B$6:$F$34,$A27,0)</f>
        <v>1168567.520839582</v>
      </c>
      <c r="T27" s="209">
        <f>'Current - MGA only'!T27/VLOOKUP(COUNTA(T$4:$AE$4),'Dev Patterns'!$B$6:$F$34,$A27,0)</f>
        <v>918843.48878777411</v>
      </c>
      <c r="U27" s="209">
        <f>'Current - MGA only'!U27/VLOOKUP(COUNTA(U$4:$AE$4),'Dev Patterns'!$B$6:$F$34,$A27,0)</f>
        <v>1027944.6628017214</v>
      </c>
      <c r="V27" s="209">
        <f>'Current - MGA only'!V27/VLOOKUP(COUNTA(V$4:$AE$4),'Dev Patterns'!$B$6:$F$34,$A27,0)</f>
        <v>0</v>
      </c>
      <c r="W27" s="209">
        <f>'Current - MGA only'!W27/VLOOKUP(COUNTA(W$4:$AE$4),'Dev Patterns'!$B$6:$F$34,$A27,0)</f>
        <v>0</v>
      </c>
      <c r="X27" s="209">
        <f>'Current - MGA only'!X27/VLOOKUP(COUNTA(X$4:$AE$4),'Dev Patterns'!$B$6:$F$34,$A27,0)</f>
        <v>0</v>
      </c>
      <c r="Y27" s="209">
        <f>'Current - MGA only'!Y27/VLOOKUP(COUNTA(Y$4:$AE$4),'Dev Patterns'!$B$6:$F$34,$A27,0)</f>
        <v>0</v>
      </c>
      <c r="Z27" s="209">
        <f>'Current - MGA only'!Z27/VLOOKUP(COUNTA(Z$4:$AE$4),'Dev Patterns'!$B$6:$F$34,$A27,0)</f>
        <v>0</v>
      </c>
      <c r="AA27" s="209">
        <f>'Current - MGA only'!AA27/VLOOKUP(COUNTA(AA$4:$AE$4),'Dev Patterns'!$B$6:$F$34,$A27,0)</f>
        <v>0</v>
      </c>
      <c r="AB27" s="265">
        <f>'Current - MGA only'!AB27/VLOOKUP(COUNTA(AB$4:$AE$4),'Dev Patterns'!$B$6:$F$34,$A27,0)</f>
        <v>0</v>
      </c>
      <c r="AC27" s="209">
        <f>'Current - MGA only'!AC27/VLOOKUP(COUNTA(AC$4:$AE$4),'Dev Patterns'!$B$6:$F$34,$A27,0)</f>
        <v>0</v>
      </c>
      <c r="AD27" s="209">
        <f>'Current - MGA only'!AD27/VLOOKUP(COUNTA(AD$4:$AE$4),'Dev Patterns'!$B$6:$F$34,$A27,0)</f>
        <v>0</v>
      </c>
      <c r="AE27" s="209">
        <f>'Current - MGA only'!AE27/VLOOKUP(COUNTA(AE$4:$AE$4),'Dev Patterns'!$B$6:$F$34,$A27,0)</f>
        <v>0</v>
      </c>
      <c r="AF27" s="209">
        <f>'Current - MGA only'!AF27/VLOOKUP(COUNTA($AE$4:AF$4),'Dev Patterns'!$B$6:$F$34,$A27,0)</f>
        <v>0</v>
      </c>
      <c r="AG27" s="209">
        <f>'Current - MGA only'!AG27/VLOOKUP(COUNTA($AE$4:AG$4),'Dev Patterns'!$B$6:$F$34,$A27,0)</f>
        <v>0</v>
      </c>
      <c r="AH27" s="209">
        <f>'Current - MGA only'!AH27/VLOOKUP(COUNTA($AE$4:AH$4),'Dev Patterns'!$B$6:$F$34,$A27,0)</f>
        <v>0</v>
      </c>
      <c r="AI27" s="209">
        <f>'Current - MGA only'!AI27/VLOOKUP(COUNTA($AE$4:AI$4),'Dev Patterns'!$B$6:$F$34,$A27,0)</f>
        <v>0</v>
      </c>
      <c r="AJ27" s="209">
        <f>'Current - MGA only'!AJ27/VLOOKUP(COUNTA($AE$4:AJ$4),'Dev Patterns'!$B$6:$F$34,$A27,0)</f>
        <v>0</v>
      </c>
      <c r="AK27" s="209">
        <f>'Current - MGA only'!AK27/VLOOKUP(COUNTA($AE$4:AK$4),'Dev Patterns'!$B$6:$F$34,$A27,0)</f>
        <v>0</v>
      </c>
      <c r="AL27" s="209">
        <f>'Current - MGA only'!AL27/VLOOKUP(COUNTA($AE$4:AL$4),'Dev Patterns'!$B$6:$F$34,$A27,0)</f>
        <v>0</v>
      </c>
      <c r="AM27" s="209">
        <f>'Current - MGA only'!AM27/VLOOKUP(COUNTA($AE$4:AM$4),'Dev Patterns'!$B$6:$F$34,$A27,0)</f>
        <v>0</v>
      </c>
      <c r="AN27" s="265">
        <f>'Current - MGA only'!AN27/VLOOKUP(COUNTA($AE$4:AN$4),'Dev Patterns'!$B$6:$F$34,$A27,0)</f>
        <v>0</v>
      </c>
      <c r="AO27" s="237">
        <f t="shared" si="20"/>
        <v>0</v>
      </c>
      <c r="AP27" s="209">
        <f t="shared" si="21"/>
        <v>351291.5079006055</v>
      </c>
      <c r="AQ27" s="238">
        <f>SUMIFS(AC27:AN27,AC$4:AN$4,"&lt;"&amp;'Title Sheet'!$C$13)</f>
        <v>0</v>
      </c>
    </row>
    <row r="28" spans="1:43" ht="15.75" outlineLevel="1" x14ac:dyDescent="0.25">
      <c r="B28" t="str">
        <f>$D$21&amp;"_NWP"</f>
        <v>PC Annual Direct - Annual_NWP</v>
      </c>
      <c r="C28" t="str">
        <f t="shared" si="23"/>
        <v>Boom Annual</v>
      </c>
      <c r="D28" s="211" t="s">
        <v>6</v>
      </c>
      <c r="E28" s="31" t="e">
        <f>INDEX('Plan Figures'!$B$5:$AP$31,MATCH('Ultimate - MGA only'!E$4,'Plan Figures'!$B$5:$B$31,0),MATCH('Ultimate - MGA only'!$B28,'Plan Figures'!$B$1:$AP$1,0))</f>
        <v>#N/A</v>
      </c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6"/>
      <c r="Q28" s="31"/>
      <c r="R28" s="31" t="str">
        <f>INDEX('Plan Figures'!$B$5:$AP$31,MATCH('Ultimate - MGA only'!R$4,'Plan Figures'!$B$5:$B$31,0),MATCH('Ultimate - MGA only'!$B28,'Plan Figures'!$B$1:$AP$1,0))</f>
        <v>-</v>
      </c>
      <c r="S28" s="31" t="str">
        <f>INDEX('Plan Figures'!$B$5:$AP$31,MATCH('Ultimate - MGA only'!S$4,'Plan Figures'!$B$5:$B$31,0),MATCH('Ultimate - MGA only'!$B28,'Plan Figures'!$B$1:$AP$1,0))</f>
        <v>-</v>
      </c>
      <c r="T28" s="31" t="str">
        <f>INDEX('Plan Figures'!$B$5:$AP$31,MATCH('Ultimate - MGA only'!T$4,'Plan Figures'!$B$5:$B$31,0),MATCH('Ultimate - MGA only'!$B28,'Plan Figures'!$B$1:$AP$1,0))</f>
        <v>-</v>
      </c>
      <c r="U28" s="31" t="str">
        <f>INDEX('Plan Figures'!$B$5:$AP$31,MATCH('Ultimate - MGA only'!U$4,'Plan Figures'!$B$5:$B$31,0),MATCH('Ultimate - MGA only'!$B28,'Plan Figures'!$B$1:$AP$1,0))</f>
        <v>-</v>
      </c>
      <c r="V28" s="31" t="str">
        <f>INDEX('Plan Figures'!$B$5:$AP$31,MATCH('Ultimate - MGA only'!V$4,'Plan Figures'!$B$5:$B$31,0),MATCH('Ultimate - MGA only'!$B28,'Plan Figures'!$B$1:$AP$1,0))</f>
        <v>-</v>
      </c>
      <c r="W28" s="31" t="str">
        <f>INDEX('Plan Figures'!$B$5:$AP$31,MATCH('Ultimate - MGA only'!W$4,'Plan Figures'!$B$5:$B$31,0),MATCH('Ultimate - MGA only'!$B28,'Plan Figures'!$B$1:$AP$1,0))</f>
        <v>-</v>
      </c>
      <c r="X28" s="31" t="str">
        <f>INDEX('Plan Figures'!$B$5:$AP$31,MATCH('Ultimate - MGA only'!X$4,'Plan Figures'!$B$5:$B$31,0),MATCH('Ultimate - MGA only'!$B28,'Plan Figures'!$B$1:$AP$1,0))</f>
        <v>-</v>
      </c>
      <c r="Y28" s="31" t="str">
        <f>INDEX('Plan Figures'!$B$5:$AP$31,MATCH('Ultimate - MGA only'!Y$4,'Plan Figures'!$B$5:$B$31,0),MATCH('Ultimate - MGA only'!$B28,'Plan Figures'!$B$1:$AP$1,0))</f>
        <v>-</v>
      </c>
      <c r="Z28" s="31" t="str">
        <f>INDEX('Plan Figures'!$B$5:$AP$31,MATCH('Ultimate - MGA only'!Z$4,'Plan Figures'!$B$5:$B$31,0),MATCH('Ultimate - MGA only'!$B28,'Plan Figures'!$B$1:$AP$1,0))</f>
        <v>-</v>
      </c>
      <c r="AA28" s="31">
        <f>INDEX('Plan Figures'!$B$5:$AP$31,MATCH('Ultimate - MGA only'!AA$4,'Plan Figures'!$B$5:$B$31,0),MATCH('Ultimate - MGA only'!$B28,'Plan Figures'!$B$1:$AP$1,0))</f>
        <v>1201948.8602582696</v>
      </c>
      <c r="AB28" s="266">
        <f>INDEX('Plan Figures'!$B$5:$AP$31,MATCH('Ultimate - MGA only'!AB$4,'Plan Figures'!$B$5:$B$31,0),MATCH('Ultimate - MGA only'!$B28,'Plan Figures'!$B$1:$AP$1,0))</f>
        <v>1130181.9540233866</v>
      </c>
      <c r="AC28" s="31">
        <f>INDEX('Plan Figures'!$B$5:$AP$31,MATCH('Ultimate - MGA only'!AC$4,'Plan Figures'!$B$5:$B$31,0),MATCH('Ultimate - MGA only'!$B28,'Plan Figures'!$B$1:$AP$1,0))</f>
        <v>1235960.0527141613</v>
      </c>
      <c r="AD28" s="31">
        <f>INDEX('Plan Figures'!$B$5:$AP$42,MATCH('Ultimate - MGA only'!AD$4,'Plan Figures'!$B$5:$B$42,0),MATCH('Ultimate - MGA only'!$B28,'Plan Figures'!$B$1:$AP$1,0))</f>
        <v>1333459.558352059</v>
      </c>
      <c r="AE28" s="31">
        <f>INDEX('Plan Figures'!$B$5:$AP$42,MATCH('Ultimate - MGA only'!AE$4,'Plan Figures'!$B$5:$B$42,0),MATCH('Ultimate - MGA only'!$B28,'Plan Figures'!$B$1:$AP$1,0))</f>
        <v>1387558.0023525297</v>
      </c>
      <c r="AF28" s="31">
        <f>INDEX('Plan Figures'!$B$5:$AP$42,MATCH('Ultimate - MGA only'!AF$4,'Plan Figures'!$B$5:$B$42,0),MATCH('Ultimate - MGA only'!$B28,'Plan Figures'!$B$1:$AP$1,0))</f>
        <v>1433144.0223048357</v>
      </c>
      <c r="AG28" s="31">
        <f>INDEX('Plan Figures'!$B$5:$AP$42,MATCH('Ultimate - MGA only'!AG$4,'Plan Figures'!$B$5:$B$42,0),MATCH('Ultimate - MGA only'!$B28,'Plan Figures'!$B$1:$AP$1,0))</f>
        <v>1450615.9831731343</v>
      </c>
      <c r="AH28" s="31">
        <f>INDEX('Plan Figures'!$B$5:$AP$42,MATCH('Ultimate - MGA only'!AH$4,'Plan Figures'!$B$5:$B$42,0),MATCH('Ultimate - MGA only'!$B28,'Plan Figures'!$B$1:$AP$1,0))</f>
        <v>1477938.9090293914</v>
      </c>
      <c r="AI28" s="31">
        <f>INDEX('Plan Figures'!$B$5:$AP$42,MATCH('Ultimate - MGA only'!AI$4,'Plan Figures'!$B$5:$B$42,0),MATCH('Ultimate - MGA only'!$B28,'Plan Figures'!$B$1:$AP$1,0))</f>
        <v>1091240.230856986</v>
      </c>
      <c r="AJ28" s="31">
        <f>INDEX('Plan Figures'!$B$5:$AP$42,MATCH('Ultimate - MGA only'!AJ$4,'Plan Figures'!$B$5:$B$42,0),MATCH('Ultimate - MGA only'!$B28,'Plan Figures'!$B$1:$AP$1,0))</f>
        <v>1077448.4163922931</v>
      </c>
      <c r="AK28" s="31">
        <f>INDEX('Plan Figures'!$B$5:$AP$42,MATCH('Ultimate - MGA only'!AK$4,'Plan Figures'!$B$5:$B$42,0),MATCH('Ultimate - MGA only'!$B28,'Plan Figures'!$B$1:$AP$1,0))</f>
        <v>1476073.2552601595</v>
      </c>
      <c r="AL28" s="31">
        <f>INDEX('Plan Figures'!$B$5:$AP$42,MATCH('Ultimate - MGA only'!AL$4,'Plan Figures'!$B$5:$B$42,0),MATCH('Ultimate - MGA only'!$B28,'Plan Figures'!$B$1:$AP$1,0))</f>
        <v>1607394.6364770622</v>
      </c>
      <c r="AM28" s="31">
        <f>INDEX('Plan Figures'!$B$5:$AP$42,MATCH('Ultimate - MGA only'!AM$4,'Plan Figures'!$B$5:$B$42,0),MATCH('Ultimate - MGA only'!$B28,'Plan Figures'!$B$1:$AP$1,0))</f>
        <v>1381402.3361292861</v>
      </c>
      <c r="AN28" s="266">
        <f>INDEX('Plan Figures'!$B$5:$AP$42,MATCH('Ultimate - MGA only'!AN$4,'Plan Figures'!$B$5:$B$42,0),MATCH('Ultimate - MGA only'!$B28,'Plan Figures'!$B$1:$AP$1,0))</f>
        <v>1254506.4774169179</v>
      </c>
      <c r="AO28" s="239">
        <f t="shared" si="20"/>
        <v>1189363.6223319394</v>
      </c>
      <c r="AP28" s="31">
        <f t="shared" si="21"/>
        <v>1189363.6223319394</v>
      </c>
      <c r="AQ28" s="240">
        <f>SUMIFS(AC28:AN28,AC$4:AN$4,"&lt;"&amp;'Title Sheet'!$C$13)</f>
        <v>16206741.880458815</v>
      </c>
    </row>
    <row r="29" spans="1:43" ht="15.75" outlineLevel="1" x14ac:dyDescent="0.25">
      <c r="B29" t="str">
        <f t="shared" si="22"/>
        <v>PC Annual Direct</v>
      </c>
      <c r="C29" t="str">
        <f t="shared" si="23"/>
        <v>Boom Annual</v>
      </c>
      <c r="D29" s="213" t="s">
        <v>0</v>
      </c>
      <c r="E29" s="214" t="str">
        <f t="shared" ref="E29:AN29" si="26">IFERROR(IF(E27=0,"-",(E27/E28)-1),"-")</f>
        <v>-</v>
      </c>
      <c r="F29" s="214" t="str">
        <f t="shared" si="26"/>
        <v>-</v>
      </c>
      <c r="G29" s="214" t="str">
        <f t="shared" si="26"/>
        <v>-</v>
      </c>
      <c r="H29" s="214" t="str">
        <f t="shared" si="26"/>
        <v>-</v>
      </c>
      <c r="I29" s="214" t="str">
        <f t="shared" si="26"/>
        <v>-</v>
      </c>
      <c r="J29" s="214" t="str">
        <f t="shared" si="26"/>
        <v>-</v>
      </c>
      <c r="K29" s="214" t="str">
        <f t="shared" si="26"/>
        <v>-</v>
      </c>
      <c r="L29" s="214" t="str">
        <f t="shared" si="26"/>
        <v>-</v>
      </c>
      <c r="M29" s="214" t="str">
        <f t="shared" si="26"/>
        <v>-</v>
      </c>
      <c r="N29" s="214" t="str">
        <f t="shared" si="26"/>
        <v>-</v>
      </c>
      <c r="O29" s="214" t="str">
        <f t="shared" si="26"/>
        <v>-</v>
      </c>
      <c r="P29" s="270" t="str">
        <f t="shared" si="26"/>
        <v>-</v>
      </c>
      <c r="Q29" s="214" t="str">
        <f t="shared" si="26"/>
        <v>-</v>
      </c>
      <c r="R29" s="214" t="str">
        <f t="shared" si="26"/>
        <v>-</v>
      </c>
      <c r="S29" s="214" t="str">
        <f t="shared" si="26"/>
        <v>-</v>
      </c>
      <c r="T29" s="214" t="str">
        <f t="shared" si="26"/>
        <v>-</v>
      </c>
      <c r="U29" s="214" t="str">
        <f t="shared" si="26"/>
        <v>-</v>
      </c>
      <c r="V29" s="214" t="str">
        <f t="shared" si="26"/>
        <v>-</v>
      </c>
      <c r="W29" s="214" t="str">
        <f t="shared" si="26"/>
        <v>-</v>
      </c>
      <c r="X29" s="214" t="str">
        <f t="shared" si="26"/>
        <v>-</v>
      </c>
      <c r="Y29" s="214" t="str">
        <f t="shared" si="26"/>
        <v>-</v>
      </c>
      <c r="Z29" s="214" t="str">
        <f t="shared" si="26"/>
        <v>-</v>
      </c>
      <c r="AA29" s="214" t="str">
        <f t="shared" si="26"/>
        <v>-</v>
      </c>
      <c r="AB29" s="270" t="str">
        <f t="shared" si="26"/>
        <v>-</v>
      </c>
      <c r="AC29" s="214" t="str">
        <f t="shared" si="26"/>
        <v>-</v>
      </c>
      <c r="AD29" s="214" t="str">
        <f t="shared" si="26"/>
        <v>-</v>
      </c>
      <c r="AE29" s="214" t="str">
        <f t="shared" si="26"/>
        <v>-</v>
      </c>
      <c r="AF29" s="214" t="str">
        <f t="shared" si="26"/>
        <v>-</v>
      </c>
      <c r="AG29" s="214" t="str">
        <f t="shared" si="26"/>
        <v>-</v>
      </c>
      <c r="AH29" s="214" t="str">
        <f t="shared" si="26"/>
        <v>-</v>
      </c>
      <c r="AI29" s="214" t="str">
        <f t="shared" si="26"/>
        <v>-</v>
      </c>
      <c r="AJ29" s="214" t="str">
        <f t="shared" si="26"/>
        <v>-</v>
      </c>
      <c r="AK29" s="214" t="str">
        <f t="shared" si="26"/>
        <v>-</v>
      </c>
      <c r="AL29" s="214" t="str">
        <f t="shared" si="26"/>
        <v>-</v>
      </c>
      <c r="AM29" s="214" t="str">
        <f t="shared" si="26"/>
        <v>-</v>
      </c>
      <c r="AN29" s="270" t="str">
        <f t="shared" si="26"/>
        <v>-</v>
      </c>
      <c r="AO29" s="274" t="e">
        <f t="shared" si="20"/>
        <v>#DIV/0!</v>
      </c>
      <c r="AP29" s="275" t="e">
        <f t="shared" si="21"/>
        <v>#DIV/0!</v>
      </c>
      <c r="AQ29" s="276" t="str">
        <f t="shared" ref="AQ29" si="27">IFERROR(IF(AQ27=0,"-",(AQ27/AQ28)-1),"-")</f>
        <v>-</v>
      </c>
    </row>
    <row r="30" spans="1:43" ht="15.75" outlineLevel="1" x14ac:dyDescent="0.25">
      <c r="B30" t="str">
        <f t="shared" si="22"/>
        <v>PC Annual Direct</v>
      </c>
      <c r="C30" t="str">
        <f t="shared" si="23"/>
        <v>Boom Annual</v>
      </c>
      <c r="D30" s="208" t="s">
        <v>12</v>
      </c>
      <c r="E30" s="209">
        <f>IFERROR(E27/E24,0)</f>
        <v>0</v>
      </c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65"/>
      <c r="Q30" s="209"/>
      <c r="R30" s="209">
        <f t="shared" ref="R30:AP31" si="28">IFERROR(R27/R24,0)</f>
        <v>374.38460777368795</v>
      </c>
      <c r="S30" s="209">
        <f t="shared" si="28"/>
        <v>247.80162896494249</v>
      </c>
      <c r="T30" s="209">
        <f t="shared" si="28"/>
        <v>191.30648015837534</v>
      </c>
      <c r="U30" s="209">
        <f t="shared" si="28"/>
        <v>214.16824026354777</v>
      </c>
      <c r="V30" s="209">
        <f t="shared" si="28"/>
        <v>0</v>
      </c>
      <c r="W30" s="209">
        <f t="shared" si="28"/>
        <v>0</v>
      </c>
      <c r="X30" s="209">
        <f t="shared" si="28"/>
        <v>0</v>
      </c>
      <c r="Y30" s="209">
        <f t="shared" si="28"/>
        <v>0</v>
      </c>
      <c r="Z30" s="209">
        <f t="shared" si="28"/>
        <v>0</v>
      </c>
      <c r="AA30" s="209">
        <f t="shared" si="28"/>
        <v>0</v>
      </c>
      <c r="AB30" s="265">
        <f t="shared" si="28"/>
        <v>0</v>
      </c>
      <c r="AC30" s="209">
        <f t="shared" si="28"/>
        <v>0</v>
      </c>
      <c r="AD30" s="209">
        <f t="shared" si="28"/>
        <v>0</v>
      </c>
      <c r="AE30" s="209">
        <f t="shared" si="28"/>
        <v>0</v>
      </c>
      <c r="AF30" s="209">
        <f t="shared" si="28"/>
        <v>0</v>
      </c>
      <c r="AG30" s="209">
        <f t="shared" si="28"/>
        <v>0</v>
      </c>
      <c r="AH30" s="209">
        <f t="shared" si="28"/>
        <v>0</v>
      </c>
      <c r="AI30" s="209">
        <f t="shared" si="28"/>
        <v>0</v>
      </c>
      <c r="AJ30" s="209">
        <f t="shared" si="28"/>
        <v>0</v>
      </c>
      <c r="AK30" s="209">
        <f t="shared" si="28"/>
        <v>0</v>
      </c>
      <c r="AL30" s="209">
        <f t="shared" si="28"/>
        <v>0</v>
      </c>
      <c r="AM30" s="209">
        <f t="shared" si="28"/>
        <v>0</v>
      </c>
      <c r="AN30" s="265">
        <f t="shared" si="28"/>
        <v>0</v>
      </c>
      <c r="AO30" s="237">
        <f t="shared" si="28"/>
        <v>0</v>
      </c>
      <c r="AP30" s="209">
        <f t="shared" si="28"/>
        <v>99.8912765270601</v>
      </c>
      <c r="AQ30" s="238">
        <f>SUMIFS(AC30:AN30,AC$4:AN$4,"&lt;"&amp;'Title Sheet'!$C$13)</f>
        <v>0</v>
      </c>
    </row>
    <row r="31" spans="1:43" ht="15.75" hidden="1" outlineLevel="1" x14ac:dyDescent="0.25">
      <c r="B31" t="str">
        <f t="shared" si="22"/>
        <v>PC Annual Direct</v>
      </c>
      <c r="C31" t="str">
        <f t="shared" si="23"/>
        <v>Boom Annual</v>
      </c>
      <c r="D31" s="211" t="s">
        <v>13</v>
      </c>
      <c r="E31" s="31">
        <f>IFERROR(E28/E25,0)</f>
        <v>0</v>
      </c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266"/>
      <c r="Q31" s="31"/>
      <c r="R31" s="31">
        <f t="shared" si="28"/>
        <v>0</v>
      </c>
      <c r="S31" s="31">
        <f t="shared" si="28"/>
        <v>0</v>
      </c>
      <c r="T31" s="31">
        <f t="shared" si="28"/>
        <v>0</v>
      </c>
      <c r="U31" s="31">
        <f t="shared" si="28"/>
        <v>0</v>
      </c>
      <c r="V31" s="31">
        <f t="shared" si="28"/>
        <v>0</v>
      </c>
      <c r="W31" s="31">
        <f t="shared" si="28"/>
        <v>0</v>
      </c>
      <c r="X31" s="31">
        <f t="shared" si="28"/>
        <v>0</v>
      </c>
      <c r="Y31" s="31">
        <f t="shared" si="28"/>
        <v>0</v>
      </c>
      <c r="Z31" s="31">
        <f t="shared" si="28"/>
        <v>0</v>
      </c>
      <c r="AA31" s="31">
        <f t="shared" si="28"/>
        <v>1079.510683288258</v>
      </c>
      <c r="AB31" s="266">
        <f t="shared" si="28"/>
        <v>1141.9736170890237</v>
      </c>
      <c r="AC31" s="31">
        <f t="shared" si="28"/>
        <v>1020.9920064895846</v>
      </c>
      <c r="AD31" s="31">
        <f t="shared" si="28"/>
        <v>1103.7366864398034</v>
      </c>
      <c r="AE31" s="31">
        <f t="shared" si="28"/>
        <v>1150.8123058487083</v>
      </c>
      <c r="AF31" s="31">
        <f t="shared" si="28"/>
        <v>1190.9976618446992</v>
      </c>
      <c r="AG31" s="31">
        <f t="shared" si="28"/>
        <v>1207.8192438307094</v>
      </c>
      <c r="AH31" s="31">
        <f t="shared" si="28"/>
        <v>1202.675541936135</v>
      </c>
      <c r="AI31" s="31">
        <f t="shared" si="28"/>
        <v>937.7600119478036</v>
      </c>
      <c r="AJ31" s="31">
        <f t="shared" si="28"/>
        <v>942.81090802039057</v>
      </c>
      <c r="AK31" s="31">
        <f t="shared" si="28"/>
        <v>932.20743023828948</v>
      </c>
      <c r="AL31" s="31">
        <f t="shared" si="28"/>
        <v>984.06696167791745</v>
      </c>
      <c r="AM31" s="31">
        <f t="shared" si="28"/>
        <v>971.48917552364753</v>
      </c>
      <c r="AN31" s="266">
        <f t="shared" si="28"/>
        <v>970.91400623368202</v>
      </c>
      <c r="AO31" s="239">
        <f t="shared" si="28"/>
        <v>1076.7880846593339</v>
      </c>
      <c r="AP31" s="31">
        <f t="shared" si="28"/>
        <v>1076.7880846593339</v>
      </c>
      <c r="AQ31" s="240">
        <f>SUMIFS(AC31:AN31,AC$4:AN$4,"&lt;"&amp;'Title Sheet'!$C$13)</f>
        <v>12616.281940031373</v>
      </c>
    </row>
    <row r="32" spans="1:43" ht="15.75" hidden="1" outlineLevel="1" x14ac:dyDescent="0.25">
      <c r="B32" t="str">
        <f t="shared" si="22"/>
        <v>PC Annual Direct</v>
      </c>
      <c r="C32" t="str">
        <f t="shared" si="23"/>
        <v>Boom Annual</v>
      </c>
      <c r="D32" s="213" t="s">
        <v>0</v>
      </c>
      <c r="E32" s="214" t="str">
        <f t="shared" ref="E32:AN32" si="29">IFERROR(IF(E30=0,"-",(E30/E31)-1),"-")</f>
        <v>-</v>
      </c>
      <c r="F32" s="214" t="str">
        <f t="shared" si="29"/>
        <v>-</v>
      </c>
      <c r="G32" s="214" t="str">
        <f t="shared" si="29"/>
        <v>-</v>
      </c>
      <c r="H32" s="214" t="str">
        <f t="shared" si="29"/>
        <v>-</v>
      </c>
      <c r="I32" s="214" t="str">
        <f t="shared" si="29"/>
        <v>-</v>
      </c>
      <c r="J32" s="214" t="str">
        <f t="shared" si="29"/>
        <v>-</v>
      </c>
      <c r="K32" s="214" t="str">
        <f t="shared" si="29"/>
        <v>-</v>
      </c>
      <c r="L32" s="214" t="str">
        <f t="shared" si="29"/>
        <v>-</v>
      </c>
      <c r="M32" s="214" t="str">
        <f t="shared" si="29"/>
        <v>-</v>
      </c>
      <c r="N32" s="214" t="str">
        <f t="shared" si="29"/>
        <v>-</v>
      </c>
      <c r="O32" s="214" t="str">
        <f t="shared" si="29"/>
        <v>-</v>
      </c>
      <c r="P32" s="270" t="str">
        <f t="shared" si="29"/>
        <v>-</v>
      </c>
      <c r="Q32" s="214" t="str">
        <f t="shared" si="29"/>
        <v>-</v>
      </c>
      <c r="R32" s="214" t="str">
        <f t="shared" si="29"/>
        <v>-</v>
      </c>
      <c r="S32" s="214" t="str">
        <f t="shared" si="29"/>
        <v>-</v>
      </c>
      <c r="T32" s="214" t="str">
        <f t="shared" si="29"/>
        <v>-</v>
      </c>
      <c r="U32" s="214" t="str">
        <f t="shared" si="29"/>
        <v>-</v>
      </c>
      <c r="V32" s="214" t="str">
        <f t="shared" si="29"/>
        <v>-</v>
      </c>
      <c r="W32" s="214" t="str">
        <f t="shared" si="29"/>
        <v>-</v>
      </c>
      <c r="X32" s="214" t="str">
        <f t="shared" si="29"/>
        <v>-</v>
      </c>
      <c r="Y32" s="214" t="str">
        <f t="shared" si="29"/>
        <v>-</v>
      </c>
      <c r="Z32" s="214" t="str">
        <f t="shared" si="29"/>
        <v>-</v>
      </c>
      <c r="AA32" s="214" t="str">
        <f t="shared" si="29"/>
        <v>-</v>
      </c>
      <c r="AB32" s="270" t="str">
        <f t="shared" si="29"/>
        <v>-</v>
      </c>
      <c r="AC32" s="214" t="str">
        <f t="shared" si="29"/>
        <v>-</v>
      </c>
      <c r="AD32" s="214" t="str">
        <f t="shared" si="29"/>
        <v>-</v>
      </c>
      <c r="AE32" s="214" t="str">
        <f t="shared" si="29"/>
        <v>-</v>
      </c>
      <c r="AF32" s="214" t="str">
        <f t="shared" si="29"/>
        <v>-</v>
      </c>
      <c r="AG32" s="214" t="str">
        <f t="shared" si="29"/>
        <v>-</v>
      </c>
      <c r="AH32" s="214" t="str">
        <f t="shared" si="29"/>
        <v>-</v>
      </c>
      <c r="AI32" s="214" t="str">
        <f t="shared" si="29"/>
        <v>-</v>
      </c>
      <c r="AJ32" s="214" t="str">
        <f t="shared" si="29"/>
        <v>-</v>
      </c>
      <c r="AK32" s="214" t="str">
        <f t="shared" si="29"/>
        <v>-</v>
      </c>
      <c r="AL32" s="214" t="str">
        <f t="shared" si="29"/>
        <v>-</v>
      </c>
      <c r="AM32" s="214" t="str">
        <f t="shared" si="29"/>
        <v>-</v>
      </c>
      <c r="AN32" s="270" t="str">
        <f t="shared" si="29"/>
        <v>-</v>
      </c>
      <c r="AO32" s="274">
        <f t="shared" ref="AO32:AP32" si="30">AO30-AO31</f>
        <v>-1076.7880846593339</v>
      </c>
      <c r="AP32" s="275">
        <f t="shared" si="30"/>
        <v>-976.8968081322738</v>
      </c>
      <c r="AQ32" s="276" t="str">
        <f t="shared" ref="AQ32" si="31">IFERROR(IF(AQ30=0,"-",(AQ30/AQ31)-1),"-")</f>
        <v>-</v>
      </c>
    </row>
    <row r="33" spans="1:43" outlineLevel="1" x14ac:dyDescent="0.25">
      <c r="B33" t="str">
        <f t="shared" si="22"/>
        <v>PC Annual Direct</v>
      </c>
      <c r="C33" t="str">
        <f t="shared" si="23"/>
        <v>Boom Annual</v>
      </c>
      <c r="D33" s="258" t="s">
        <v>17</v>
      </c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67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267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67"/>
      <c r="AO33" s="277"/>
      <c r="AP33" s="277"/>
      <c r="AQ33" s="278">
        <f>SUMIFS(AC33:AN33,AC$4:AN$4,"&lt;"&amp;'Title Sheet'!$C$13)</f>
        <v>0</v>
      </c>
    </row>
    <row r="34" spans="1:43" ht="15.75" outlineLevel="1" x14ac:dyDescent="0.25">
      <c r="A34">
        <v>4</v>
      </c>
      <c r="B34" t="str">
        <f t="shared" si="22"/>
        <v>PC Annual Direct</v>
      </c>
      <c r="C34" t="str">
        <f t="shared" si="23"/>
        <v>Boom Annual</v>
      </c>
      <c r="D34" s="208" t="s">
        <v>7</v>
      </c>
      <c r="E34" s="282" t="e">
        <f>'Current - Sales, NWP, GWP'!E35/VLOOKUP(COUNTA(E$4:$AC$4),'Dev Patterns'!$B$6:$F$22,$A34,0)</f>
        <v>#N/A</v>
      </c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4"/>
      <c r="Q34" s="282"/>
      <c r="R34" s="283">
        <f>'Current - Sales, NWP, GWP'!R35/VLOOKUP(COUNTA(R$4:$AC$4),'Dev Patterns'!$B$6:$F$22,$A34,0)</f>
        <v>4077818.2905400903</v>
      </c>
      <c r="S34" s="283">
        <f>'Current - Sales, NWP, GWP'!S35/VLOOKUP(COUNTA(S$4:$AC$4),'Dev Patterns'!$B$6:$F$22,$A34,0)</f>
        <v>6455397.6520378767</v>
      </c>
      <c r="T34" s="283">
        <f>'Current - Sales, NWP, GWP'!T35/VLOOKUP(COUNTA(T$4:$AC$4),'Dev Patterns'!$B$6:$F$22,$A34,0)</f>
        <v>5777451.5893045105</v>
      </c>
      <c r="U34" s="283">
        <f>'Current - Sales, NWP, GWP'!U35/VLOOKUP(COUNTA(U$4:$AC$4),'Dev Patterns'!$B$6:$F$22,$A34,0)</f>
        <v>5497589.9125103271</v>
      </c>
      <c r="V34" s="283">
        <f>'Current - Sales, NWP, GWP'!V35/VLOOKUP(COUNTA(V$4:$AC$4),'Dev Patterns'!$B$6:$F$22,$A34,0)</f>
        <v>4572161.06070418</v>
      </c>
      <c r="W34" s="283">
        <f>'Current - Sales, NWP, GWP'!W35/VLOOKUP(COUNTA(W$4:$AC$4),'Dev Patterns'!$B$6:$F$22,$A34,0)</f>
        <v>3805953.9333692277</v>
      </c>
      <c r="X34" s="283">
        <f>'Current - Sales, NWP, GWP'!X35/VLOOKUP(COUNTA(X$4:$AC$4),'Dev Patterns'!$B$6:$F$22,$A34,0)</f>
        <v>3318140.8844342213</v>
      </c>
      <c r="Y34" s="283">
        <f>'Current - Sales, NWP, GWP'!Y35/VLOOKUP(COUNTA(Y$4:$AC$4),'Dev Patterns'!$B$6:$F$22,$A34,0)</f>
        <v>3141375.2241607821</v>
      </c>
      <c r="Z34" s="283">
        <f>'Current - Sales, NWP, GWP'!Z35/VLOOKUP(COUNTA(Z$4:$AC$4),'Dev Patterns'!$B$6:$F$22,$A34,0)</f>
        <v>3083948.2678962112</v>
      </c>
      <c r="AA34" s="283">
        <f>'Current - Sales, NWP, GWP'!AA35/VLOOKUP(COUNTA(AA$4:$AC$4),'Dev Patterns'!$B$6:$F$22,$A34,0)</f>
        <v>3494388.3346317201</v>
      </c>
      <c r="AB34" s="284">
        <f>'Current - Sales, NWP, GWP'!AB35/VLOOKUP(COUNTA(AB$4:$AC$4),'Dev Patterns'!$B$6:$F$22,$A34,0)</f>
        <v>3601768.2462423509</v>
      </c>
      <c r="AC34" s="282">
        <f>'Current - Sales, NWP, GWP'!AC35/VLOOKUP(COUNTA(AC$4:$AC$4),'Dev Patterns'!$B$6:$F$22,$A34,0)</f>
        <v>3702259.6980774659</v>
      </c>
      <c r="AD34" s="283">
        <f>'Current - Sales, NWP, GWP'!AD35/VLOOKUP(COUNTA($AC$4:AD$4),'Dev Patterns'!$B$6:$F$22,$A34,0)</f>
        <v>3068873.0073799109</v>
      </c>
      <c r="AE34" s="283">
        <f>'Current - Sales, NWP, GWP'!AE35/VLOOKUP(COUNTA($AC$4:AE$4),'Dev Patterns'!$B$6:$F$22,$A34,0)</f>
        <v>3907814.5093155364</v>
      </c>
      <c r="AF34" s="283">
        <f>'Current - Sales, NWP, GWP'!AF35/VLOOKUP(COUNTA($AC$4:AF$4),'Dev Patterns'!$B$6:$F$22,$A34,0)</f>
        <v>3802373.739826418</v>
      </c>
      <c r="AG34" s="283">
        <f>'Current - Sales, NWP, GWP'!AG35/VLOOKUP(COUNTA($AC$4:AG$4),'Dev Patterns'!$B$6:$F$22,$A34,0)</f>
        <v>3940669.324243865</v>
      </c>
      <c r="AH34" s="283">
        <f>'Current - Sales, NWP, GWP'!AH35/VLOOKUP(COUNTA($AC$4:AH$4),'Dev Patterns'!$B$6:$F$22,$A34,0)</f>
        <v>3590660.8282440053</v>
      </c>
      <c r="AI34" s="283">
        <f>'Current - Sales, NWP, GWP'!AI35/VLOOKUP(COUNTA($AC$4:AI$4),'Dev Patterns'!$B$6:$F$22,$A34,0)</f>
        <v>3634569.8719625878</v>
      </c>
      <c r="AJ34" s="283">
        <f>'Current - Sales, NWP, GWP'!AJ35/VLOOKUP(COUNTA($AC$4:AJ$4),'Dev Patterns'!$B$6:$F$22,$A34,0)</f>
        <v>1767853.3504476703</v>
      </c>
      <c r="AK34" s="283">
        <f>'Current - Sales, NWP, GWP'!AK35/VLOOKUP(COUNTA($AC$4:AK$4),'Dev Patterns'!$B$6:$F$22,$A34,0)</f>
        <v>0</v>
      </c>
      <c r="AL34" s="283">
        <f>'Current - Sales, NWP, GWP'!AL35/VLOOKUP(COUNTA($AC$4:AL$4),'Dev Patterns'!$B$6:$F$22,$A34,0)</f>
        <v>0</v>
      </c>
      <c r="AM34" s="283">
        <f>'Current - Sales, NWP, GWP'!AM35/VLOOKUP(COUNTA($AC$4:AM$4),'Dev Patterns'!$B$6:$F$22,$A34,0)</f>
        <v>0</v>
      </c>
      <c r="AN34" s="284">
        <f>'Current - Sales, NWP, GWP'!AN35/VLOOKUP(COUNTA($AC$4:AN$4),'Dev Patterns'!$B$6:$F$22,$A34,0)</f>
        <v>0</v>
      </c>
      <c r="AO34" s="237">
        <f t="shared" ref="AO34" si="32">AVERAGE(Z34:AC34)</f>
        <v>3470591.1367119374</v>
      </c>
      <c r="AP34" s="209">
        <f>AVERAGE(R34:AC34)</f>
        <v>4210687.7578257462</v>
      </c>
      <c r="AQ34" s="238">
        <f>SUMIFS(AC34:AN34,AC$4:AN$4,"&lt;"&amp;'Title Sheet'!$C$13)</f>
        <v>27415074.32949746</v>
      </c>
    </row>
    <row r="35" spans="1:43" ht="16.5" outlineLevel="1" thickBot="1" x14ac:dyDescent="0.3">
      <c r="B35" t="str">
        <f t="shared" si="22"/>
        <v>PC Annual Direct</v>
      </c>
      <c r="C35" t="str">
        <f t="shared" si="23"/>
        <v>Boom Annual</v>
      </c>
      <c r="D35" s="226" t="s">
        <v>21</v>
      </c>
      <c r="E35" s="269">
        <f t="shared" ref="E35:AP35" si="33">E27/E$8</f>
        <v>1</v>
      </c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81"/>
      <c r="Q35" s="269"/>
      <c r="R35" s="269">
        <f t="shared" si="33"/>
        <v>0.49840855335897111</v>
      </c>
      <c r="S35" s="269">
        <f t="shared" si="33"/>
        <v>0.49403079903353514</v>
      </c>
      <c r="T35" s="269">
        <f t="shared" si="33"/>
        <v>0.43430037806396854</v>
      </c>
      <c r="U35" s="269">
        <f t="shared" si="33"/>
        <v>0.42993803746288017</v>
      </c>
      <c r="V35" s="269">
        <f t="shared" si="33"/>
        <v>0</v>
      </c>
      <c r="W35" s="269">
        <f t="shared" si="33"/>
        <v>0</v>
      </c>
      <c r="X35" s="269">
        <f t="shared" si="33"/>
        <v>0</v>
      </c>
      <c r="Y35" s="269">
        <f t="shared" si="33"/>
        <v>0</v>
      </c>
      <c r="Z35" s="269">
        <f t="shared" si="33"/>
        <v>0</v>
      </c>
      <c r="AA35" s="269">
        <f t="shared" si="33"/>
        <v>0</v>
      </c>
      <c r="AB35" s="281">
        <f t="shared" si="33"/>
        <v>0</v>
      </c>
      <c r="AC35" s="269">
        <f t="shared" si="33"/>
        <v>0</v>
      </c>
      <c r="AD35" s="269">
        <f t="shared" si="33"/>
        <v>0</v>
      </c>
      <c r="AE35" s="269">
        <f t="shared" si="33"/>
        <v>0</v>
      </c>
      <c r="AF35" s="269">
        <f t="shared" si="33"/>
        <v>0</v>
      </c>
      <c r="AG35" s="269" t="e">
        <f t="shared" si="33"/>
        <v>#DIV/0!</v>
      </c>
      <c r="AH35" s="269" t="e">
        <f t="shared" si="33"/>
        <v>#DIV/0!</v>
      </c>
      <c r="AI35" s="269" t="e">
        <f t="shared" si="33"/>
        <v>#DIV/0!</v>
      </c>
      <c r="AJ35" s="269" t="e">
        <f t="shared" si="33"/>
        <v>#DIV/0!</v>
      </c>
      <c r="AK35" s="269" t="e">
        <f t="shared" si="33"/>
        <v>#DIV/0!</v>
      </c>
      <c r="AL35" s="269" t="e">
        <f t="shared" si="33"/>
        <v>#DIV/0!</v>
      </c>
      <c r="AM35" s="269" t="e">
        <f t="shared" si="33"/>
        <v>#DIV/0!</v>
      </c>
      <c r="AN35" s="281" t="e">
        <f t="shared" si="33"/>
        <v>#DIV/0!</v>
      </c>
      <c r="AO35" s="279">
        <f t="shared" si="33"/>
        <v>0</v>
      </c>
      <c r="AP35" s="269">
        <f t="shared" si="33"/>
        <v>0.27987514675155006</v>
      </c>
      <c r="AQ35" s="280" t="str">
        <f t="shared" ref="AQ35" si="34">IFERROR(IF(AQ33=0,"-",(AQ33/AQ34)-1),"-")</f>
        <v>-</v>
      </c>
    </row>
    <row r="36" spans="1:43" ht="15.75" outlineLevel="1" x14ac:dyDescent="0.25">
      <c r="D36" s="46"/>
      <c r="E36" s="325"/>
      <c r="F36" s="325"/>
      <c r="G36" s="325"/>
      <c r="H36" s="325"/>
      <c r="I36" s="325"/>
      <c r="J36" s="325"/>
      <c r="K36" s="325"/>
      <c r="L36" s="325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5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</row>
    <row r="37" spans="1:43" ht="16.5" outlineLevel="1" thickBot="1" x14ac:dyDescent="0.3">
      <c r="D37" s="46"/>
      <c r="E37" s="325"/>
      <c r="F37" s="325"/>
      <c r="G37" s="325"/>
      <c r="H37" s="325"/>
      <c r="I37" s="325"/>
      <c r="J37" s="325"/>
      <c r="K37" s="325"/>
      <c r="L37" s="325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</row>
    <row r="38" spans="1:43" ht="18.75" outlineLevel="1" x14ac:dyDescent="0.25">
      <c r="D38" s="309" t="s">
        <v>350</v>
      </c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63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63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63"/>
      <c r="AO38" s="202"/>
      <c r="AP38" s="202"/>
      <c r="AQ38" s="233"/>
    </row>
    <row r="39" spans="1:43" outlineLevel="1" x14ac:dyDescent="0.25">
      <c r="D39" s="204"/>
      <c r="E39" s="200" t="s">
        <v>237</v>
      </c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64"/>
      <c r="Q39" s="200"/>
      <c r="R39" s="200"/>
      <c r="S39" s="200"/>
      <c r="T39" s="200"/>
      <c r="U39" s="200"/>
      <c r="V39" s="200"/>
      <c r="W39" s="200"/>
      <c r="X39" s="200"/>
      <c r="Y39" s="200"/>
      <c r="Z39" s="200"/>
      <c r="AA39" s="200"/>
      <c r="AB39" s="264"/>
      <c r="AC39" s="200"/>
      <c r="AD39" s="200"/>
      <c r="AE39" s="200"/>
      <c r="AF39" s="200"/>
      <c r="AG39" s="200"/>
      <c r="AH39" s="200"/>
      <c r="AI39" s="200"/>
      <c r="AJ39" s="200"/>
      <c r="AK39" s="200"/>
      <c r="AL39" s="200"/>
      <c r="AM39" s="200"/>
      <c r="AN39" s="264"/>
      <c r="AO39" s="510" t="s">
        <v>8</v>
      </c>
      <c r="AP39" s="511"/>
      <c r="AQ39" s="512"/>
    </row>
    <row r="40" spans="1:43" outlineLevel="1" x14ac:dyDescent="0.25">
      <c r="D40" s="256" t="s">
        <v>16</v>
      </c>
      <c r="E40" s="285">
        <f t="shared" ref="E40:AN40" si="35">E$4</f>
        <v>44562</v>
      </c>
      <c r="F40" s="285">
        <f t="shared" si="35"/>
        <v>44593</v>
      </c>
      <c r="G40" s="285">
        <f t="shared" si="35"/>
        <v>44621</v>
      </c>
      <c r="H40" s="285">
        <f t="shared" si="35"/>
        <v>44652</v>
      </c>
      <c r="I40" s="285">
        <f t="shared" si="35"/>
        <v>44682</v>
      </c>
      <c r="J40" s="285">
        <f t="shared" si="35"/>
        <v>44713</v>
      </c>
      <c r="K40" s="285">
        <f t="shared" si="35"/>
        <v>44743</v>
      </c>
      <c r="L40" s="285">
        <f t="shared" si="35"/>
        <v>44774</v>
      </c>
      <c r="M40" s="285">
        <f t="shared" si="35"/>
        <v>44805</v>
      </c>
      <c r="N40" s="285">
        <f t="shared" si="35"/>
        <v>44835</v>
      </c>
      <c r="O40" s="285">
        <f t="shared" si="35"/>
        <v>44866</v>
      </c>
      <c r="P40" s="286">
        <f t="shared" si="35"/>
        <v>44896</v>
      </c>
      <c r="Q40" s="285">
        <f t="shared" si="35"/>
        <v>44927</v>
      </c>
      <c r="R40" s="285">
        <f t="shared" si="35"/>
        <v>44958</v>
      </c>
      <c r="S40" s="285">
        <f t="shared" si="35"/>
        <v>44986</v>
      </c>
      <c r="T40" s="285">
        <f t="shared" si="35"/>
        <v>45017</v>
      </c>
      <c r="U40" s="285">
        <f t="shared" si="35"/>
        <v>45047</v>
      </c>
      <c r="V40" s="285">
        <f t="shared" si="35"/>
        <v>45078</v>
      </c>
      <c r="W40" s="285">
        <f t="shared" si="35"/>
        <v>45108</v>
      </c>
      <c r="X40" s="285">
        <f t="shared" si="35"/>
        <v>45139</v>
      </c>
      <c r="Y40" s="285">
        <f t="shared" si="35"/>
        <v>45170</v>
      </c>
      <c r="Z40" s="285">
        <f t="shared" si="35"/>
        <v>45200</v>
      </c>
      <c r="AA40" s="285">
        <f t="shared" si="35"/>
        <v>45231</v>
      </c>
      <c r="AB40" s="286">
        <f t="shared" si="35"/>
        <v>45261</v>
      </c>
      <c r="AC40" s="285">
        <f t="shared" si="35"/>
        <v>45292</v>
      </c>
      <c r="AD40" s="285">
        <f t="shared" si="35"/>
        <v>45323</v>
      </c>
      <c r="AE40" s="285">
        <f t="shared" si="35"/>
        <v>45352</v>
      </c>
      <c r="AF40" s="285">
        <f t="shared" si="35"/>
        <v>45383</v>
      </c>
      <c r="AG40" s="285">
        <f t="shared" si="35"/>
        <v>45413</v>
      </c>
      <c r="AH40" s="285">
        <f t="shared" si="35"/>
        <v>45444</v>
      </c>
      <c r="AI40" s="285">
        <f t="shared" si="35"/>
        <v>45474</v>
      </c>
      <c r="AJ40" s="285">
        <f t="shared" si="35"/>
        <v>45505</v>
      </c>
      <c r="AK40" s="285">
        <f t="shared" si="35"/>
        <v>45536</v>
      </c>
      <c r="AL40" s="285">
        <f t="shared" si="35"/>
        <v>45566</v>
      </c>
      <c r="AM40" s="285">
        <f t="shared" si="35"/>
        <v>45597</v>
      </c>
      <c r="AN40" s="286">
        <f t="shared" si="35"/>
        <v>45627</v>
      </c>
      <c r="AO40" s="271">
        <f>AO21</f>
        <v>0</v>
      </c>
      <c r="AP40" s="272">
        <f>AP21</f>
        <v>0</v>
      </c>
      <c r="AQ40" s="273" t="s">
        <v>346</v>
      </c>
    </row>
    <row r="41" spans="1:43" ht="15.75" outlineLevel="1" x14ac:dyDescent="0.25">
      <c r="A41">
        <v>5</v>
      </c>
      <c r="B41" t="str">
        <f>$D$2</f>
        <v>PC Annual Direct</v>
      </c>
      <c r="C41" t="s">
        <v>72</v>
      </c>
      <c r="D41" s="208" t="s">
        <v>316</v>
      </c>
      <c r="E41" s="209" t="e">
        <f>'Current - Sales, NWP, GWP'!E42/VLOOKUP(COUNTA(E$4:$AC$4),'Dev Patterns'!$B$6:$F$22,$A41,0)</f>
        <v>#N/A</v>
      </c>
      <c r="F41" s="209"/>
      <c r="G41" s="209"/>
      <c r="H41" s="209"/>
      <c r="I41" s="209"/>
      <c r="J41" s="209"/>
      <c r="K41" s="209"/>
      <c r="L41" s="209"/>
      <c r="M41" s="209"/>
      <c r="N41" s="209"/>
      <c r="O41" s="209"/>
      <c r="P41" s="265"/>
      <c r="Q41" s="209"/>
      <c r="R41" s="209">
        <f>'Current - Sales, NWP, GWP'!R42/VLOOKUP(COUNTA(R$4:$AC$4),'Dev Patterns'!$B$6:$F$22,$A41,0)</f>
        <v>1488.7917120180659</v>
      </c>
      <c r="S41" s="209">
        <f>'Current - Sales, NWP, GWP'!S42/VLOOKUP(COUNTA(S$4:$AC$4),'Dev Patterns'!$B$6:$F$22,$A41,0)</f>
        <v>1841.350159635369</v>
      </c>
      <c r="T41" s="209">
        <f>'Current - Sales, NWP, GWP'!T42/VLOOKUP(COUNTA(T$4:$AC$4),'Dev Patterns'!$B$6:$F$22,$A41,0)</f>
        <v>1753.6202608394594</v>
      </c>
      <c r="U41" s="209">
        <f>'Current - Sales, NWP, GWP'!U42/VLOOKUP(COUNTA(U$4:$AC$4),'Dev Patterns'!$B$6:$F$22,$A41,0)</f>
        <v>1859.2349928338151</v>
      </c>
      <c r="V41" s="209">
        <f>'Current - Sales, NWP, GWP'!V42/VLOOKUP(COUNTA(V$4:$AC$4),'Dev Patterns'!$B$6:$F$22,$A41,0)</f>
        <v>1518.3628858822276</v>
      </c>
      <c r="W41" s="209">
        <f>'Current - Sales, NWP, GWP'!W42/VLOOKUP(COUNTA(W$4:$AC$4),'Dev Patterns'!$B$6:$F$22,$A41,0)</f>
        <v>1227.8293887119908</v>
      </c>
      <c r="X41" s="209">
        <f>'Current - Sales, NWP, GWP'!X42/VLOOKUP(COUNTA(X$4:$AC$4),'Dev Patterns'!$B$6:$F$22,$A41,0)</f>
        <v>1053.2516215373466</v>
      </c>
      <c r="Y41" s="209">
        <f>'Current - Sales, NWP, GWP'!Y42/VLOOKUP(COUNTA(Y$4:$AC$4),'Dev Patterns'!$B$6:$F$22,$A41,0)</f>
        <v>966.27754935873747</v>
      </c>
      <c r="Z41" s="209">
        <f>'Current - Sales, NWP, GWP'!Z42/VLOOKUP(COUNTA(Z$4:$AC$4),'Dev Patterns'!$B$6:$F$22,$A41,0)</f>
        <v>968.47479262573722</v>
      </c>
      <c r="AA41" s="209">
        <f>'Current - Sales, NWP, GWP'!AA42/VLOOKUP(COUNTA(AA$4:$AC$4),'Dev Patterns'!$B$6:$F$22,$A41,0)</f>
        <v>1058.0360744857287</v>
      </c>
      <c r="AB41" s="265">
        <f>'Current - Sales, NWP, GWP'!AB42/VLOOKUP(COUNTA(AB$4:$AC$4),'Dev Patterns'!$B$6:$F$22,$A41,0)</f>
        <v>975.47655195901484</v>
      </c>
      <c r="AC41" s="209">
        <f>'Current - Sales, NWP, GWP'!AC42/VLOOKUP(COUNTA(AC$4:$AC$4),'Dev Patterns'!$B$6:$F$22,$A41,0)</f>
        <v>880.95241759729788</v>
      </c>
      <c r="AD41" s="209">
        <f>'Current - Sales, NWP, GWP'!AD42/VLOOKUP(COUNTA($AC$4:AD$4),'Dev Patterns'!$B$6:$F$22,$A41,0)</f>
        <v>683.36465160980094</v>
      </c>
      <c r="AE41" s="209">
        <f>'Current - Sales, NWP, GWP'!AE42/VLOOKUP(COUNTA($AC$4:AE$4),'Dev Patterns'!$B$6:$F$22,$A41,0)</f>
        <v>765.52191954049647</v>
      </c>
      <c r="AF41" s="209">
        <f>'Current - Sales, NWP, GWP'!AF42/VLOOKUP(COUNTA($AC$4:AF$4),'Dev Patterns'!$B$6:$F$22,$A41,0)</f>
        <v>758.81524955580028</v>
      </c>
      <c r="AG41" s="209">
        <f>'Current - Sales, NWP, GWP'!AG42/VLOOKUP(COUNTA($AC$4:AG$4),'Dev Patterns'!$B$6:$F$22,$A41,0)</f>
        <v>839.59015603398223</v>
      </c>
      <c r="AH41" s="209">
        <f>'Current - Sales, NWP, GWP'!AH42/VLOOKUP(COUNTA($AC$4:AH$4),'Dev Patterns'!$B$6:$F$22,$A41,0)</f>
        <v>697.16869487910515</v>
      </c>
      <c r="AI41" s="209">
        <f>'Current - Sales, NWP, GWP'!AI42/VLOOKUP(COUNTA($AC$4:AI$4),'Dev Patterns'!$B$6:$F$22,$A41,0)</f>
        <v>698.49754705585326</v>
      </c>
      <c r="AJ41" s="209">
        <f>'Current - Sales, NWP, GWP'!AJ42/VLOOKUP(COUNTA($AC$4:AJ$4),'Dev Patterns'!$B$6:$F$22,$A41,0)</f>
        <v>324.28900812283695</v>
      </c>
      <c r="AK41" s="209">
        <f>'Current - Sales, NWP, GWP'!AK42/VLOOKUP(COUNTA($AC$4:AK$4),'Dev Patterns'!$B$6:$F$22,$A41,0)</f>
        <v>0</v>
      </c>
      <c r="AL41" s="209">
        <f>'Current - Sales, NWP, GWP'!AL42/VLOOKUP(COUNTA($AC$4:AL$4),'Dev Patterns'!$B$6:$F$22,$A41,0)</f>
        <v>0</v>
      </c>
      <c r="AM41" s="209">
        <f>'Current - Sales, NWP, GWP'!AM42/VLOOKUP(COUNTA($AC$4:AM$4),'Dev Patterns'!$B$6:$F$22,$A41,0)</f>
        <v>0</v>
      </c>
      <c r="AN41" s="265">
        <f>'Current - Sales, NWP, GWP'!AN42/VLOOKUP(COUNTA($AC$4:AN$4),'Dev Patterns'!$B$6:$F$22,$A41,0)</f>
        <v>0</v>
      </c>
      <c r="AO41" s="237">
        <f t="shared" ref="AO41:AO46" si="36">AVERAGE(Z41:AC41)</f>
        <v>970.73495916694458</v>
      </c>
      <c r="AP41" s="209">
        <f>AVERAGE(R41:AC41)</f>
        <v>1299.3048672903992</v>
      </c>
      <c r="AQ41" s="238">
        <f>SUMIFS(AC41:AN41,AC$4:AN$4,"&lt;"&amp;'Title Sheet'!$C$13)</f>
        <v>5648.199644395173</v>
      </c>
    </row>
    <row r="42" spans="1:43" ht="15.75" hidden="1" outlineLevel="1" x14ac:dyDescent="0.25">
      <c r="B42" t="str">
        <f>$D$21&amp;"_W VYRs"</f>
        <v>PC Annual Direct - Annual_W VYRs</v>
      </c>
      <c r="C42" t="str">
        <f>$C41</f>
        <v>Boom Annual</v>
      </c>
      <c r="D42" s="211" t="s">
        <v>317</v>
      </c>
      <c r="E42" s="31" t="e">
        <f>INDEX('Plan Figures'!$B$5:$AP$31,MATCH('Ultimate - MGA only'!E$4,'Plan Figures'!$B$5:$B$31,0),MATCH('Ultimate - MGA only'!$B42,'Plan Figures'!$B$1:$AP$1,0))</f>
        <v>#N/A</v>
      </c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6"/>
      <c r="Q42" s="31"/>
      <c r="R42" s="31" t="str">
        <f>INDEX('Plan Figures'!$B$5:$AP$31,MATCH('Ultimate - MGA only'!R$4,'Plan Figures'!$B$5:$B$31,0),MATCH('Ultimate - MGA only'!$B42,'Plan Figures'!$B$1:$AP$1,0))</f>
        <v>-</v>
      </c>
      <c r="S42" s="31" t="str">
        <f>INDEX('Plan Figures'!$B$5:$AP$31,MATCH('Ultimate - MGA only'!S$4,'Plan Figures'!$B$5:$B$31,0),MATCH('Ultimate - MGA only'!$B42,'Plan Figures'!$B$1:$AP$1,0))</f>
        <v>-</v>
      </c>
      <c r="T42" s="31" t="str">
        <f>INDEX('Plan Figures'!$B$5:$AP$31,MATCH('Ultimate - MGA only'!T$4,'Plan Figures'!$B$5:$B$31,0),MATCH('Ultimate - MGA only'!$B42,'Plan Figures'!$B$1:$AP$1,0))</f>
        <v>-</v>
      </c>
      <c r="U42" s="31" t="str">
        <f>INDEX('Plan Figures'!$B$5:$AP$31,MATCH('Ultimate - MGA only'!U$4,'Plan Figures'!$B$5:$B$31,0),MATCH('Ultimate - MGA only'!$B42,'Plan Figures'!$B$1:$AP$1,0))</f>
        <v>-</v>
      </c>
      <c r="V42" s="31" t="str">
        <f>INDEX('Plan Figures'!$B$5:$AP$31,MATCH('Ultimate - MGA only'!V$4,'Plan Figures'!$B$5:$B$31,0),MATCH('Ultimate - MGA only'!$B42,'Plan Figures'!$B$1:$AP$1,0))</f>
        <v>-</v>
      </c>
      <c r="W42" s="31" t="str">
        <f>INDEX('Plan Figures'!$B$5:$AP$31,MATCH('Ultimate - MGA only'!W$4,'Plan Figures'!$B$5:$B$31,0),MATCH('Ultimate - MGA only'!$B42,'Plan Figures'!$B$1:$AP$1,0))</f>
        <v>-</v>
      </c>
      <c r="X42" s="31" t="str">
        <f>INDEX('Plan Figures'!$B$5:$AP$31,MATCH('Ultimate - MGA only'!X$4,'Plan Figures'!$B$5:$B$31,0),MATCH('Ultimate - MGA only'!$B42,'Plan Figures'!$B$1:$AP$1,0))</f>
        <v>-</v>
      </c>
      <c r="Y42" s="31" t="str">
        <f>INDEX('Plan Figures'!$B$5:$AP$31,MATCH('Ultimate - MGA only'!Y$4,'Plan Figures'!$B$5:$B$31,0),MATCH('Ultimate - MGA only'!$B42,'Plan Figures'!$B$1:$AP$1,0))</f>
        <v>-</v>
      </c>
      <c r="Z42" s="31" t="str">
        <f>INDEX('Plan Figures'!$B$5:$AP$31,MATCH('Ultimate - MGA only'!Z$4,'Plan Figures'!$B$5:$B$31,0),MATCH('Ultimate - MGA only'!$B42,'Plan Figures'!$B$1:$AP$1,0))</f>
        <v>-</v>
      </c>
      <c r="AA42" s="31">
        <f>INDEX('Plan Figures'!$B$5:$AP$31,MATCH('Ultimate - MGA only'!AA$4,'Plan Figures'!$B$5:$B$31,0),MATCH('Ultimate - MGA only'!$B42,'Plan Figures'!$B$1:$AP$1,0))</f>
        <v>1113.4200697273855</v>
      </c>
      <c r="AB42" s="266">
        <f>INDEX('Plan Figures'!$B$5:$AP$31,MATCH('Ultimate - MGA only'!AB$4,'Plan Figures'!$B$5:$B$31,0),MATCH('Ultimate - MGA only'!$B42,'Plan Figures'!$B$1:$AP$1,0))</f>
        <v>989.67431218271486</v>
      </c>
      <c r="AC42" s="31">
        <f>INDEX('Plan Figures'!$B$5:$AP$31,MATCH('Ultimate - MGA only'!AC$4,'Plan Figures'!$B$5:$B$31,0),MATCH('Ultimate - MGA only'!$B42,'Plan Figures'!$B$1:$AP$1,0))</f>
        <v>1210.5482166933789</v>
      </c>
      <c r="AD42" s="31">
        <f>INDEX('Plan Figures'!$B$5:$AP$42,MATCH('Ultimate - MGA only'!AD$4,'Plan Figures'!$B$5:$B$42,0),MATCH('Ultimate - MGA only'!$B42,'Plan Figures'!$B$1:$AP$1,0))</f>
        <v>1208.1319527878034</v>
      </c>
      <c r="AE42" s="31">
        <f>INDEX('Plan Figures'!$B$5:$AP$42,MATCH('Ultimate - MGA only'!AE$4,'Plan Figures'!$B$5:$B$42,0),MATCH('Ultimate - MGA only'!$B42,'Plan Figures'!$B$1:$AP$1,0))</f>
        <v>1205.7205117642748</v>
      </c>
      <c r="AF42" s="31">
        <f>INDEX('Plan Figures'!$B$5:$AP$42,MATCH('Ultimate - MGA only'!AF$4,'Plan Figures'!$B$5:$B$42,0),MATCH('Ultimate - MGA only'!$B42,'Plan Figures'!$B$1:$AP$1,0))</f>
        <v>1203.3138839962821</v>
      </c>
      <c r="AG42" s="31">
        <f>INDEX('Plan Figures'!$B$5:$AP$42,MATCH('Ultimate - MGA only'!AG$4,'Plan Figures'!$B$5:$B$42,0),MATCH('Ultimate - MGA only'!$B42,'Plan Figures'!$B$1:$AP$1,0))</f>
        <v>1201.0207575202833</v>
      </c>
      <c r="AH42" s="31">
        <f>INDEX('Plan Figures'!$B$5:$AP$42,MATCH('Ultimate - MGA only'!AH$4,'Plan Figures'!$B$5:$B$42,0),MATCH('Ultimate - MGA only'!$B42,'Plan Figures'!$B$1:$AP$1,0))</f>
        <v>1228.875833502128</v>
      </c>
      <c r="AI42" s="31">
        <f>INDEX('Plan Figures'!$B$5:$AP$42,MATCH('Ultimate - MGA only'!AI$4,'Plan Figures'!$B$5:$B$42,0),MATCH('Ultimate - MGA only'!$B42,'Plan Figures'!$B$1:$AP$1,0))</f>
        <v>1163.6668411466933</v>
      </c>
      <c r="AJ42" s="31">
        <f>INDEX('Plan Figures'!$B$5:$AP$42,MATCH('Ultimate - MGA only'!AJ$4,'Plan Figures'!$B$5:$B$42,0),MATCH('Ultimate - MGA only'!$B42,'Plan Figures'!$B$1:$AP$1,0))</f>
        <v>1142.8043600541273</v>
      </c>
      <c r="AK42" s="31">
        <f>INDEX('Plan Figures'!$B$5:$AP$42,MATCH('Ultimate - MGA only'!AK$4,'Plan Figures'!$B$5:$B$42,0),MATCH('Ultimate - MGA only'!$B42,'Plan Figures'!$B$1:$AP$1,0))</f>
        <v>1583.4171745261115</v>
      </c>
      <c r="AL42" s="31">
        <f>INDEX('Plan Figures'!$B$5:$AP$42,MATCH('Ultimate - MGA only'!AL$4,'Plan Figures'!$B$5:$B$42,0),MATCH('Ultimate - MGA only'!$B42,'Plan Figures'!$B$1:$AP$1,0))</f>
        <v>1633.4199796082153</v>
      </c>
      <c r="AM42" s="31">
        <f>INDEX('Plan Figures'!$B$5:$AP$42,MATCH('Ultimate - MGA only'!AM$4,'Plan Figures'!$B$5:$B$42,0),MATCH('Ultimate - MGA only'!$B42,'Plan Figures'!$B$1:$AP$1,0))</f>
        <v>1421.9431064527189</v>
      </c>
      <c r="AN42" s="266">
        <f>INDEX('Plan Figures'!$B$5:$AP$42,MATCH('Ultimate - MGA only'!AN$4,'Plan Figures'!$B$5:$B$42,0),MATCH('Ultimate - MGA only'!$B42,'Plan Figures'!$B$1:$AP$1,0))</f>
        <v>1292.0881451523526</v>
      </c>
      <c r="AO42" s="239">
        <f t="shared" si="36"/>
        <v>1104.5475328678265</v>
      </c>
      <c r="AP42" s="31">
        <f t="shared" ref="AP42:AP46" si="37">AVERAGE(R42:AC42)</f>
        <v>1104.5475328678265</v>
      </c>
      <c r="AQ42" s="240">
        <f>SUMIFS(AC42:AN42,AC$4:AN$4,"&lt;"&amp;'Title Sheet'!$C$13)</f>
        <v>15494.950763204368</v>
      </c>
    </row>
    <row r="43" spans="1:43" ht="15.75" hidden="1" outlineLevel="1" x14ac:dyDescent="0.25">
      <c r="B43" t="str">
        <f t="shared" ref="B43:B52" si="38">$D$2</f>
        <v>PC Annual Direct</v>
      </c>
      <c r="C43" t="str">
        <f t="shared" ref="C43:C52" si="39">$C42</f>
        <v>Boom Annual</v>
      </c>
      <c r="D43" s="213" t="s">
        <v>0</v>
      </c>
      <c r="E43" s="214" t="str">
        <f t="shared" ref="E43:AN43" si="40">IFERROR(IF(E41=0,"-",(E41/E42)-1),"-")</f>
        <v>-</v>
      </c>
      <c r="F43" s="214" t="str">
        <f t="shared" si="40"/>
        <v>-</v>
      </c>
      <c r="G43" s="214" t="str">
        <f t="shared" si="40"/>
        <v>-</v>
      </c>
      <c r="H43" s="214" t="str">
        <f t="shared" si="40"/>
        <v>-</v>
      </c>
      <c r="I43" s="214" t="str">
        <f t="shared" si="40"/>
        <v>-</v>
      </c>
      <c r="J43" s="214" t="str">
        <f t="shared" si="40"/>
        <v>-</v>
      </c>
      <c r="K43" s="214" t="str">
        <f t="shared" si="40"/>
        <v>-</v>
      </c>
      <c r="L43" s="214" t="str">
        <f t="shared" si="40"/>
        <v>-</v>
      </c>
      <c r="M43" s="214" t="str">
        <f t="shared" si="40"/>
        <v>-</v>
      </c>
      <c r="N43" s="214" t="str">
        <f t="shared" si="40"/>
        <v>-</v>
      </c>
      <c r="O43" s="214" t="str">
        <f t="shared" si="40"/>
        <v>-</v>
      </c>
      <c r="P43" s="270" t="str">
        <f t="shared" si="40"/>
        <v>-</v>
      </c>
      <c r="Q43" s="214" t="str">
        <f t="shared" si="40"/>
        <v>-</v>
      </c>
      <c r="R43" s="214" t="str">
        <f t="shared" si="40"/>
        <v>-</v>
      </c>
      <c r="S43" s="214" t="str">
        <f t="shared" si="40"/>
        <v>-</v>
      </c>
      <c r="T43" s="214" t="str">
        <f t="shared" si="40"/>
        <v>-</v>
      </c>
      <c r="U43" s="214" t="str">
        <f t="shared" si="40"/>
        <v>-</v>
      </c>
      <c r="V43" s="214" t="str">
        <f t="shared" si="40"/>
        <v>-</v>
      </c>
      <c r="W43" s="214" t="str">
        <f t="shared" si="40"/>
        <v>-</v>
      </c>
      <c r="X43" s="214" t="str">
        <f t="shared" si="40"/>
        <v>-</v>
      </c>
      <c r="Y43" s="214" t="str">
        <f t="shared" si="40"/>
        <v>-</v>
      </c>
      <c r="Z43" s="214" t="str">
        <f t="shared" si="40"/>
        <v>-</v>
      </c>
      <c r="AA43" s="214">
        <f t="shared" si="40"/>
        <v>-4.9742228245640674E-2</v>
      </c>
      <c r="AB43" s="270">
        <f t="shared" si="40"/>
        <v>-1.434589141996323E-2</v>
      </c>
      <c r="AC43" s="214">
        <f t="shared" si="40"/>
        <v>-0.27226986463734115</v>
      </c>
      <c r="AD43" s="214">
        <f t="shared" si="40"/>
        <v>-0.43436257104787679</v>
      </c>
      <c r="AE43" s="214">
        <f t="shared" si="40"/>
        <v>-0.36509173388752936</v>
      </c>
      <c r="AF43" s="214">
        <f t="shared" si="40"/>
        <v>-0.36939541739872028</v>
      </c>
      <c r="AG43" s="214">
        <f t="shared" si="40"/>
        <v>-0.30093618217934681</v>
      </c>
      <c r="AH43" s="214">
        <f t="shared" si="40"/>
        <v>-0.43267767509735322</v>
      </c>
      <c r="AI43" s="214">
        <f t="shared" si="40"/>
        <v>-0.39974439215992075</v>
      </c>
      <c r="AJ43" s="214">
        <f t="shared" si="40"/>
        <v>-0.71623401217380955</v>
      </c>
      <c r="AK43" s="214" t="str">
        <f t="shared" si="40"/>
        <v>-</v>
      </c>
      <c r="AL43" s="214" t="str">
        <f t="shared" si="40"/>
        <v>-</v>
      </c>
      <c r="AM43" s="214" t="str">
        <f t="shared" si="40"/>
        <v>-</v>
      </c>
      <c r="AN43" s="270" t="str">
        <f t="shared" si="40"/>
        <v>-</v>
      </c>
      <c r="AO43" s="274">
        <f t="shared" si="36"/>
        <v>-0.11211932810098169</v>
      </c>
      <c r="AP43" s="275">
        <f t="shared" si="37"/>
        <v>-0.11211932810098169</v>
      </c>
      <c r="AQ43" s="276">
        <f t="shared" ref="AQ43" si="41">IFERROR(IF(AQ41=0,"-",(AQ41/AQ42)-1),"-")</f>
        <v>-0.6354812783395305</v>
      </c>
    </row>
    <row r="44" spans="1:43" ht="15.75" outlineLevel="1" x14ac:dyDescent="0.25">
      <c r="A44">
        <v>4</v>
      </c>
      <c r="B44" t="str">
        <f t="shared" si="38"/>
        <v>PC Annual Direct</v>
      </c>
      <c r="C44" t="str">
        <f t="shared" si="39"/>
        <v>Boom Annual</v>
      </c>
      <c r="D44" s="208" t="s">
        <v>5</v>
      </c>
      <c r="E44" s="209">
        <f>'Current - MGA only'!E44/VLOOKUP(COUNTA(E$4:$AE$4),'Dev Patterns'!$B$6:$F$34,$A44,0)</f>
        <v>54404.443214097795</v>
      </c>
      <c r="F44" s="209">
        <f>'Current - MGA only'!F44/VLOOKUP(COUNTA(F$4:$AE$4),'Dev Patterns'!$B$6:$F$34,$A44,0)</f>
        <v>154577.88964227081</v>
      </c>
      <c r="G44" s="209">
        <f>'Current - MGA only'!G44/VLOOKUP(COUNTA(G$4:$AE$4),'Dev Patterns'!$B$6:$F$34,$A44,0)</f>
        <v>483467.82464259694</v>
      </c>
      <c r="H44" s="209">
        <f>'Current - MGA only'!H44/VLOOKUP(COUNTA(H$4:$AE$4),'Dev Patterns'!$B$6:$F$34,$A44,0)</f>
        <v>538846.57178365299</v>
      </c>
      <c r="I44" s="209">
        <f>'Current - MGA only'!I44/VLOOKUP(COUNTA(I$4:$AE$4),'Dev Patterns'!$B$6:$F$34,$A44,0)</f>
        <v>694728.56106937001</v>
      </c>
      <c r="J44" s="209">
        <f>'Current - MGA only'!J44/VLOOKUP(COUNTA(J$4:$AE$4),'Dev Patterns'!$B$6:$F$34,$A44,0)</f>
        <v>973925.98714369722</v>
      </c>
      <c r="K44" s="209">
        <f>'Current - MGA only'!K44/VLOOKUP(COUNTA(K$4:$AE$4),'Dev Patterns'!$B$6:$F$34,$A44,0)</f>
        <v>1780448.7428612791</v>
      </c>
      <c r="L44" s="209">
        <f>'Current - MGA only'!L44/VLOOKUP(COUNTA(L$4:$AE$4),'Dev Patterns'!$B$6:$F$34,$A44,0)</f>
        <v>1529874.777141179</v>
      </c>
      <c r="M44" s="209">
        <f>'Current - MGA only'!M44/VLOOKUP(COUNTA(M$4:$AE$4),'Dev Patterns'!$B$6:$F$34,$A44,0)</f>
        <v>2131022.4157159706</v>
      </c>
      <c r="N44" s="209">
        <f>'Current - MGA only'!N44/VLOOKUP(COUNTA(N$4:$AE$4),'Dev Patterns'!$B$6:$F$34,$A44,0)</f>
        <v>2601431.4985689996</v>
      </c>
      <c r="O44" s="209">
        <f>'Current - MGA only'!O44/VLOOKUP(COUNTA(O$4:$AE$4),'Dev Patterns'!$B$6:$F$34,$A44,0)</f>
        <v>2062684.991425006</v>
      </c>
      <c r="P44" s="265">
        <f>'Current - MGA only'!P44/VLOOKUP(COUNTA(P$4:$AE$4),'Dev Patterns'!$B$6:$F$34,$A44,0)</f>
        <v>1540263.1332138125</v>
      </c>
      <c r="Q44" s="209">
        <f>'Current - MGA only'!Q44/VLOOKUP(COUNTA(Q$4:$AE$4),'Dev Patterns'!$B$6:$F$34,$A44,0)</f>
        <v>1086160.0635735809</v>
      </c>
      <c r="R44" s="209">
        <f>'Current - MGA only'!R44/VLOOKUP(COUNTA(R$4:$AE$4),'Dev Patterns'!$B$6:$F$34,$A44,0)</f>
        <v>1100142.4223781892</v>
      </c>
      <c r="S44" s="209">
        <f>'Current - MGA only'!S44/VLOOKUP(COUNTA(S$4:$AE$4),'Dev Patterns'!$B$6:$F$34,$A44,0)</f>
        <v>1168567.520839582</v>
      </c>
      <c r="T44" s="209">
        <f>'Current - MGA only'!T44/VLOOKUP(COUNTA(T$4:$AE$4),'Dev Patterns'!$B$6:$F$34,$A44,0)</f>
        <v>918843.48878777411</v>
      </c>
      <c r="U44" s="209">
        <f>'Current - MGA only'!U44/VLOOKUP(COUNTA(U$4:$AE$4),'Dev Patterns'!$B$6:$F$34,$A44,0)</f>
        <v>1027944.6628017214</v>
      </c>
      <c r="V44" s="209">
        <f>'Current - MGA only'!V44/VLOOKUP(COUNTA(V$4:$AE$4),'Dev Patterns'!$B$6:$F$34,$A44,0)</f>
        <v>0</v>
      </c>
      <c r="W44" s="209">
        <f>'Current - MGA only'!W44/VLOOKUP(COUNTA(W$4:$AE$4),'Dev Patterns'!$B$6:$F$34,$A44,0)</f>
        <v>0</v>
      </c>
      <c r="X44" s="209">
        <f>'Current - MGA only'!X44/VLOOKUP(COUNTA(X$4:$AE$4),'Dev Patterns'!$B$6:$F$34,$A44,0)</f>
        <v>0</v>
      </c>
      <c r="Y44" s="209">
        <f>'Current - MGA only'!Y44/VLOOKUP(COUNTA(Y$4:$AE$4),'Dev Patterns'!$B$6:$F$34,$A44,0)</f>
        <v>0</v>
      </c>
      <c r="Z44" s="209">
        <f>'Current - MGA only'!Z44/VLOOKUP(COUNTA(Z$4:$AE$4),'Dev Patterns'!$B$6:$F$34,$A44,0)</f>
        <v>0</v>
      </c>
      <c r="AA44" s="209">
        <f>'Current - MGA only'!AA44/VLOOKUP(COUNTA(AA$4:$AE$4),'Dev Patterns'!$B$6:$F$34,$A44,0)</f>
        <v>0</v>
      </c>
      <c r="AB44" s="265">
        <f>'Current - MGA only'!AB44/VLOOKUP(COUNTA(AB$4:$AE$4),'Dev Patterns'!$B$6:$F$34,$A44,0)</f>
        <v>0</v>
      </c>
      <c r="AC44" s="209">
        <f>'Current - MGA only'!AC44/VLOOKUP(COUNTA(AC$4:$AE$4),'Dev Patterns'!$B$6:$F$34,$A44,0)</f>
        <v>0</v>
      </c>
      <c r="AD44" s="209">
        <f>'Current - MGA only'!AD44/VLOOKUP(COUNTA(AD$4:$AE$4),'Dev Patterns'!$B$6:$F$34,$A44,0)</f>
        <v>0</v>
      </c>
      <c r="AE44" s="209">
        <f>'Current - MGA only'!AE44/VLOOKUP(COUNTA(AE$4:$AE$4),'Dev Patterns'!$B$6:$F$34,$A44,0)</f>
        <v>0</v>
      </c>
      <c r="AF44" s="209">
        <f>'Current - MGA only'!AF44/VLOOKUP(COUNTA($AE$4:AF$4),'Dev Patterns'!$B$6:$F$34,$A44,0)</f>
        <v>0</v>
      </c>
      <c r="AG44" s="209">
        <f>'Current - MGA only'!AG44/VLOOKUP(COUNTA($AE$4:AG$4),'Dev Patterns'!$B$6:$F$34,$A44,0)</f>
        <v>0</v>
      </c>
      <c r="AH44" s="209">
        <f>'Current - MGA only'!AH44/VLOOKUP(COUNTA($AE$4:AH$4),'Dev Patterns'!$B$6:$F$34,$A44,0)</f>
        <v>0</v>
      </c>
      <c r="AI44" s="209">
        <f>'Current - MGA only'!AI44/VLOOKUP(COUNTA($AE$4:AI$4),'Dev Patterns'!$B$6:$F$34,$A44,0)</f>
        <v>0</v>
      </c>
      <c r="AJ44" s="209">
        <f>'Current - MGA only'!AJ44/VLOOKUP(COUNTA($AE$4:AJ$4),'Dev Patterns'!$B$6:$F$34,$A44,0)</f>
        <v>0</v>
      </c>
      <c r="AK44" s="209">
        <f>'Current - MGA only'!AK44/VLOOKUP(COUNTA($AE$4:AK$4),'Dev Patterns'!$B$6:$F$34,$A44,0)</f>
        <v>0</v>
      </c>
      <c r="AL44" s="209">
        <f>'Current - MGA only'!AL44/VLOOKUP(COUNTA($AE$4:AL$4),'Dev Patterns'!$B$6:$F$34,$A44,0)</f>
        <v>0</v>
      </c>
      <c r="AM44" s="209">
        <f>'Current - MGA only'!AM44/VLOOKUP(COUNTA($AE$4:AM$4),'Dev Patterns'!$B$6:$F$34,$A44,0)</f>
        <v>0</v>
      </c>
      <c r="AN44" s="265">
        <f>'Current - MGA only'!AN44/VLOOKUP(COUNTA($AE$4:AN$4),'Dev Patterns'!$B$6:$F$34,$A44,0)</f>
        <v>0</v>
      </c>
      <c r="AO44" s="237">
        <f t="shared" si="36"/>
        <v>0</v>
      </c>
      <c r="AP44" s="209">
        <f t="shared" si="37"/>
        <v>351291.5079006055</v>
      </c>
      <c r="AQ44" s="238">
        <f>SUMIFS(AC44:AN44,AC$4:AN$4,"&lt;"&amp;'Title Sheet'!$C$13)</f>
        <v>0</v>
      </c>
    </row>
    <row r="45" spans="1:43" ht="15.75" outlineLevel="1" x14ac:dyDescent="0.25">
      <c r="B45" t="str">
        <f>$D$21&amp;"_NWP"</f>
        <v>PC Annual Direct - Annual_NWP</v>
      </c>
      <c r="C45" t="str">
        <f t="shared" si="39"/>
        <v>Boom Annual</v>
      </c>
      <c r="D45" s="211" t="s">
        <v>6</v>
      </c>
      <c r="E45" s="31" t="e">
        <f>INDEX('Plan Figures'!$B$5:$AP$31,MATCH('Ultimate - MGA only'!E$4,'Plan Figures'!$B$5:$B$31,0),MATCH('Ultimate - MGA only'!$B45,'Plan Figures'!$B$1:$AP$1,0))</f>
        <v>#N/A</v>
      </c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266"/>
      <c r="Q45" s="31"/>
      <c r="R45" s="31" t="str">
        <f>INDEX('Plan Figures'!$B$5:$AP$31,MATCH('Ultimate - MGA only'!R$4,'Plan Figures'!$B$5:$B$31,0),MATCH('Ultimate - MGA only'!$B45,'Plan Figures'!$B$1:$AP$1,0))</f>
        <v>-</v>
      </c>
      <c r="S45" s="31" t="str">
        <f>INDEX('Plan Figures'!$B$5:$AP$31,MATCH('Ultimate - MGA only'!S$4,'Plan Figures'!$B$5:$B$31,0),MATCH('Ultimate - MGA only'!$B45,'Plan Figures'!$B$1:$AP$1,0))</f>
        <v>-</v>
      </c>
      <c r="T45" s="31" t="str">
        <f>INDEX('Plan Figures'!$B$5:$AP$31,MATCH('Ultimate - MGA only'!T$4,'Plan Figures'!$B$5:$B$31,0),MATCH('Ultimate - MGA only'!$B45,'Plan Figures'!$B$1:$AP$1,0))</f>
        <v>-</v>
      </c>
      <c r="U45" s="31" t="str">
        <f>INDEX('Plan Figures'!$B$5:$AP$31,MATCH('Ultimate - MGA only'!U$4,'Plan Figures'!$B$5:$B$31,0),MATCH('Ultimate - MGA only'!$B45,'Plan Figures'!$B$1:$AP$1,0))</f>
        <v>-</v>
      </c>
      <c r="V45" s="31" t="str">
        <f>INDEX('Plan Figures'!$B$5:$AP$31,MATCH('Ultimate - MGA only'!V$4,'Plan Figures'!$B$5:$B$31,0),MATCH('Ultimate - MGA only'!$B45,'Plan Figures'!$B$1:$AP$1,0))</f>
        <v>-</v>
      </c>
      <c r="W45" s="31" t="str">
        <f>INDEX('Plan Figures'!$B$5:$AP$31,MATCH('Ultimate - MGA only'!W$4,'Plan Figures'!$B$5:$B$31,0),MATCH('Ultimate - MGA only'!$B45,'Plan Figures'!$B$1:$AP$1,0))</f>
        <v>-</v>
      </c>
      <c r="X45" s="31" t="str">
        <f>INDEX('Plan Figures'!$B$5:$AP$31,MATCH('Ultimate - MGA only'!X$4,'Plan Figures'!$B$5:$B$31,0),MATCH('Ultimate - MGA only'!$B45,'Plan Figures'!$B$1:$AP$1,0))</f>
        <v>-</v>
      </c>
      <c r="Y45" s="31" t="str">
        <f>INDEX('Plan Figures'!$B$5:$AP$31,MATCH('Ultimate - MGA only'!Y$4,'Plan Figures'!$B$5:$B$31,0),MATCH('Ultimate - MGA only'!$B45,'Plan Figures'!$B$1:$AP$1,0))</f>
        <v>-</v>
      </c>
      <c r="Z45" s="31" t="str">
        <f>INDEX('Plan Figures'!$B$5:$AP$31,MATCH('Ultimate - MGA only'!Z$4,'Plan Figures'!$B$5:$B$31,0),MATCH('Ultimate - MGA only'!$B45,'Plan Figures'!$B$1:$AP$1,0))</f>
        <v>-</v>
      </c>
      <c r="AA45" s="31">
        <f>INDEX('Plan Figures'!$B$5:$AP$31,MATCH('Ultimate - MGA only'!AA$4,'Plan Figures'!$B$5:$B$31,0),MATCH('Ultimate - MGA only'!$B45,'Plan Figures'!$B$1:$AP$1,0))</f>
        <v>1201948.8602582696</v>
      </c>
      <c r="AB45" s="266">
        <f>INDEX('Plan Figures'!$B$5:$AP$31,MATCH('Ultimate - MGA only'!AB$4,'Plan Figures'!$B$5:$B$31,0),MATCH('Ultimate - MGA only'!$B45,'Plan Figures'!$B$1:$AP$1,0))</f>
        <v>1130181.9540233866</v>
      </c>
      <c r="AC45" s="31">
        <f>INDEX('Plan Figures'!$B$5:$AP$31,MATCH('Ultimate - MGA only'!AC$4,'Plan Figures'!$B$5:$B$31,0),MATCH('Ultimate - MGA only'!$B45,'Plan Figures'!$B$1:$AP$1,0))</f>
        <v>1235960.0527141613</v>
      </c>
      <c r="AD45" s="31">
        <f>INDEX('Plan Figures'!$B$5:$AP$42,MATCH('Ultimate - MGA only'!AD$4,'Plan Figures'!$B$5:$B$42,0),MATCH('Ultimate - MGA only'!$B45,'Plan Figures'!$B$1:$AP$1,0))</f>
        <v>1333459.558352059</v>
      </c>
      <c r="AE45" s="31">
        <f>INDEX('Plan Figures'!$B$5:$AP$42,MATCH('Ultimate - MGA only'!AE$4,'Plan Figures'!$B$5:$B$42,0),MATCH('Ultimate - MGA only'!$B45,'Plan Figures'!$B$1:$AP$1,0))</f>
        <v>1387558.0023525297</v>
      </c>
      <c r="AF45" s="31">
        <f>INDEX('Plan Figures'!$B$5:$AP$42,MATCH('Ultimate - MGA only'!AF$4,'Plan Figures'!$B$5:$B$42,0),MATCH('Ultimate - MGA only'!$B45,'Plan Figures'!$B$1:$AP$1,0))</f>
        <v>1433144.0223048357</v>
      </c>
      <c r="AG45" s="31">
        <f>INDEX('Plan Figures'!$B$5:$AP$42,MATCH('Ultimate - MGA only'!AG$4,'Plan Figures'!$B$5:$B$42,0),MATCH('Ultimate - MGA only'!$B45,'Plan Figures'!$B$1:$AP$1,0))</f>
        <v>1450615.9831731343</v>
      </c>
      <c r="AH45" s="31">
        <f>INDEX('Plan Figures'!$B$5:$AP$42,MATCH('Ultimate - MGA only'!AH$4,'Plan Figures'!$B$5:$B$42,0),MATCH('Ultimate - MGA only'!$B45,'Plan Figures'!$B$1:$AP$1,0))</f>
        <v>1477938.9090293914</v>
      </c>
      <c r="AI45" s="31">
        <f>INDEX('Plan Figures'!$B$5:$AP$42,MATCH('Ultimate - MGA only'!AI$4,'Plan Figures'!$B$5:$B$42,0),MATCH('Ultimate - MGA only'!$B45,'Plan Figures'!$B$1:$AP$1,0))</f>
        <v>1091240.230856986</v>
      </c>
      <c r="AJ45" s="31">
        <f>INDEX('Plan Figures'!$B$5:$AP$42,MATCH('Ultimate - MGA only'!AJ$4,'Plan Figures'!$B$5:$B$42,0),MATCH('Ultimate - MGA only'!$B45,'Plan Figures'!$B$1:$AP$1,0))</f>
        <v>1077448.4163922931</v>
      </c>
      <c r="AK45" s="31">
        <f>INDEX('Plan Figures'!$B$5:$AP$42,MATCH('Ultimate - MGA only'!AK$4,'Plan Figures'!$B$5:$B$42,0),MATCH('Ultimate - MGA only'!$B45,'Plan Figures'!$B$1:$AP$1,0))</f>
        <v>1476073.2552601595</v>
      </c>
      <c r="AL45" s="31">
        <f>INDEX('Plan Figures'!$B$5:$AP$42,MATCH('Ultimate - MGA only'!AL$4,'Plan Figures'!$B$5:$B$42,0),MATCH('Ultimate - MGA only'!$B45,'Plan Figures'!$B$1:$AP$1,0))</f>
        <v>1607394.6364770622</v>
      </c>
      <c r="AM45" s="31">
        <f>INDEX('Plan Figures'!$B$5:$AP$42,MATCH('Ultimate - MGA only'!AM$4,'Plan Figures'!$B$5:$B$42,0),MATCH('Ultimate - MGA only'!$B45,'Plan Figures'!$B$1:$AP$1,0))</f>
        <v>1381402.3361292861</v>
      </c>
      <c r="AN45" s="266">
        <f>INDEX('Plan Figures'!$B$5:$AP$42,MATCH('Ultimate - MGA only'!AN$4,'Plan Figures'!$B$5:$B$42,0),MATCH('Ultimate - MGA only'!$B45,'Plan Figures'!$B$1:$AP$1,0))</f>
        <v>1254506.4774169179</v>
      </c>
      <c r="AO45" s="239">
        <f t="shared" si="36"/>
        <v>1189363.6223319394</v>
      </c>
      <c r="AP45" s="31">
        <f t="shared" si="37"/>
        <v>1189363.6223319394</v>
      </c>
      <c r="AQ45" s="240">
        <f>SUMIFS(AC45:AN45,AC$4:AN$4,"&lt;"&amp;'Title Sheet'!$C$13)</f>
        <v>16206741.880458815</v>
      </c>
    </row>
    <row r="46" spans="1:43" ht="15.75" outlineLevel="1" x14ac:dyDescent="0.25">
      <c r="B46" t="str">
        <f t="shared" si="38"/>
        <v>PC Annual Direct</v>
      </c>
      <c r="C46" t="str">
        <f t="shared" si="39"/>
        <v>Boom Annual</v>
      </c>
      <c r="D46" s="213" t="s">
        <v>0</v>
      </c>
      <c r="E46" s="214" t="str">
        <f t="shared" ref="E46:AN46" si="42">IFERROR(IF(E44=0,"-",(E44/E45)-1),"-")</f>
        <v>-</v>
      </c>
      <c r="F46" s="214" t="str">
        <f t="shared" si="42"/>
        <v>-</v>
      </c>
      <c r="G46" s="214" t="str">
        <f t="shared" si="42"/>
        <v>-</v>
      </c>
      <c r="H46" s="214" t="str">
        <f t="shared" si="42"/>
        <v>-</v>
      </c>
      <c r="I46" s="214" t="str">
        <f t="shared" si="42"/>
        <v>-</v>
      </c>
      <c r="J46" s="214" t="str">
        <f t="shared" si="42"/>
        <v>-</v>
      </c>
      <c r="K46" s="214" t="str">
        <f t="shared" si="42"/>
        <v>-</v>
      </c>
      <c r="L46" s="214" t="str">
        <f t="shared" si="42"/>
        <v>-</v>
      </c>
      <c r="M46" s="214" t="str">
        <f t="shared" si="42"/>
        <v>-</v>
      </c>
      <c r="N46" s="214" t="str">
        <f t="shared" si="42"/>
        <v>-</v>
      </c>
      <c r="O46" s="214" t="str">
        <f t="shared" si="42"/>
        <v>-</v>
      </c>
      <c r="P46" s="270" t="str">
        <f t="shared" si="42"/>
        <v>-</v>
      </c>
      <c r="Q46" s="214" t="str">
        <f t="shared" si="42"/>
        <v>-</v>
      </c>
      <c r="R46" s="214" t="str">
        <f t="shared" si="42"/>
        <v>-</v>
      </c>
      <c r="S46" s="214" t="str">
        <f t="shared" si="42"/>
        <v>-</v>
      </c>
      <c r="T46" s="214" t="str">
        <f t="shared" si="42"/>
        <v>-</v>
      </c>
      <c r="U46" s="214" t="str">
        <f t="shared" si="42"/>
        <v>-</v>
      </c>
      <c r="V46" s="214" t="str">
        <f t="shared" si="42"/>
        <v>-</v>
      </c>
      <c r="W46" s="214" t="str">
        <f t="shared" si="42"/>
        <v>-</v>
      </c>
      <c r="X46" s="214" t="str">
        <f t="shared" si="42"/>
        <v>-</v>
      </c>
      <c r="Y46" s="214" t="str">
        <f t="shared" si="42"/>
        <v>-</v>
      </c>
      <c r="Z46" s="214" t="str">
        <f t="shared" si="42"/>
        <v>-</v>
      </c>
      <c r="AA46" s="214" t="str">
        <f t="shared" si="42"/>
        <v>-</v>
      </c>
      <c r="AB46" s="270" t="str">
        <f t="shared" si="42"/>
        <v>-</v>
      </c>
      <c r="AC46" s="214" t="str">
        <f t="shared" si="42"/>
        <v>-</v>
      </c>
      <c r="AD46" s="214" t="str">
        <f t="shared" si="42"/>
        <v>-</v>
      </c>
      <c r="AE46" s="214" t="str">
        <f t="shared" si="42"/>
        <v>-</v>
      </c>
      <c r="AF46" s="214" t="str">
        <f t="shared" si="42"/>
        <v>-</v>
      </c>
      <c r="AG46" s="214" t="str">
        <f t="shared" si="42"/>
        <v>-</v>
      </c>
      <c r="AH46" s="214" t="str">
        <f t="shared" si="42"/>
        <v>-</v>
      </c>
      <c r="AI46" s="214" t="str">
        <f t="shared" si="42"/>
        <v>-</v>
      </c>
      <c r="AJ46" s="214" t="str">
        <f t="shared" si="42"/>
        <v>-</v>
      </c>
      <c r="AK46" s="214" t="str">
        <f t="shared" si="42"/>
        <v>-</v>
      </c>
      <c r="AL46" s="214" t="str">
        <f t="shared" si="42"/>
        <v>-</v>
      </c>
      <c r="AM46" s="214" t="str">
        <f t="shared" si="42"/>
        <v>-</v>
      </c>
      <c r="AN46" s="270" t="str">
        <f t="shared" si="42"/>
        <v>-</v>
      </c>
      <c r="AO46" s="274" t="e">
        <f t="shared" si="36"/>
        <v>#DIV/0!</v>
      </c>
      <c r="AP46" s="275" t="e">
        <f t="shared" si="37"/>
        <v>#DIV/0!</v>
      </c>
      <c r="AQ46" s="276" t="str">
        <f t="shared" ref="AQ46" si="43">IFERROR(IF(AQ44=0,"-",(AQ44/AQ45)-1),"-")</f>
        <v>-</v>
      </c>
    </row>
    <row r="47" spans="1:43" ht="15.75" outlineLevel="1" x14ac:dyDescent="0.25">
      <c r="B47" t="str">
        <f t="shared" si="38"/>
        <v>PC Annual Direct</v>
      </c>
      <c r="C47" t="str">
        <f t="shared" si="39"/>
        <v>Boom Annual</v>
      </c>
      <c r="D47" s="208" t="s">
        <v>12</v>
      </c>
      <c r="E47" s="209">
        <f>IFERROR(E44/E41,0)</f>
        <v>0</v>
      </c>
      <c r="F47" s="209"/>
      <c r="G47" s="209"/>
      <c r="H47" s="209"/>
      <c r="I47" s="209"/>
      <c r="J47" s="209"/>
      <c r="K47" s="209"/>
      <c r="L47" s="209"/>
      <c r="M47" s="209"/>
      <c r="N47" s="209"/>
      <c r="O47" s="209"/>
      <c r="P47" s="265"/>
      <c r="Q47" s="209"/>
      <c r="R47" s="209">
        <f t="shared" ref="R47:AP48" si="44">IFERROR(R44/R41,0)</f>
        <v>738.94985678482828</v>
      </c>
      <c r="S47" s="209">
        <f t="shared" si="44"/>
        <v>634.6253670029746</v>
      </c>
      <c r="T47" s="209">
        <f t="shared" si="44"/>
        <v>523.96947577916501</v>
      </c>
      <c r="U47" s="209">
        <f t="shared" si="44"/>
        <v>552.88581957837675</v>
      </c>
      <c r="V47" s="209">
        <f t="shared" si="44"/>
        <v>0</v>
      </c>
      <c r="W47" s="209">
        <f t="shared" si="44"/>
        <v>0</v>
      </c>
      <c r="X47" s="209">
        <f t="shared" si="44"/>
        <v>0</v>
      </c>
      <c r="Y47" s="209">
        <f t="shared" si="44"/>
        <v>0</v>
      </c>
      <c r="Z47" s="209">
        <f t="shared" si="44"/>
        <v>0</v>
      </c>
      <c r="AA47" s="209">
        <f t="shared" si="44"/>
        <v>0</v>
      </c>
      <c r="AB47" s="265">
        <f t="shared" si="44"/>
        <v>0</v>
      </c>
      <c r="AC47" s="209">
        <f t="shared" si="44"/>
        <v>0</v>
      </c>
      <c r="AD47" s="209">
        <f t="shared" si="44"/>
        <v>0</v>
      </c>
      <c r="AE47" s="209">
        <f t="shared" si="44"/>
        <v>0</v>
      </c>
      <c r="AF47" s="209">
        <f t="shared" si="44"/>
        <v>0</v>
      </c>
      <c r="AG47" s="209">
        <f t="shared" si="44"/>
        <v>0</v>
      </c>
      <c r="AH47" s="209">
        <f t="shared" si="44"/>
        <v>0</v>
      </c>
      <c r="AI47" s="209">
        <f t="shared" si="44"/>
        <v>0</v>
      </c>
      <c r="AJ47" s="209">
        <f t="shared" si="44"/>
        <v>0</v>
      </c>
      <c r="AK47" s="209">
        <f t="shared" si="44"/>
        <v>0</v>
      </c>
      <c r="AL47" s="209">
        <f t="shared" si="44"/>
        <v>0</v>
      </c>
      <c r="AM47" s="209">
        <f t="shared" si="44"/>
        <v>0</v>
      </c>
      <c r="AN47" s="265">
        <f t="shared" si="44"/>
        <v>0</v>
      </c>
      <c r="AO47" s="237">
        <f t="shared" si="44"/>
        <v>0</v>
      </c>
      <c r="AP47" s="209">
        <f t="shared" si="44"/>
        <v>270.36880777118694</v>
      </c>
      <c r="AQ47" s="238">
        <f>SUMIFS(AC47:AN47,AC$4:AN$4,"&lt;"&amp;'Title Sheet'!$C$13)</f>
        <v>0</v>
      </c>
    </row>
    <row r="48" spans="1:43" ht="15.75" hidden="1" outlineLevel="1" x14ac:dyDescent="0.25">
      <c r="B48" t="str">
        <f t="shared" si="38"/>
        <v>PC Annual Direct</v>
      </c>
      <c r="C48" t="str">
        <f t="shared" si="39"/>
        <v>Boom Annual</v>
      </c>
      <c r="D48" s="211" t="s">
        <v>13</v>
      </c>
      <c r="E48" s="31">
        <f>IFERROR(E45/E42,0)</f>
        <v>0</v>
      </c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6"/>
      <c r="Q48" s="31"/>
      <c r="R48" s="31">
        <f t="shared" si="44"/>
        <v>0</v>
      </c>
      <c r="S48" s="31">
        <f t="shared" si="44"/>
        <v>0</v>
      </c>
      <c r="T48" s="31">
        <f t="shared" si="44"/>
        <v>0</v>
      </c>
      <c r="U48" s="31">
        <f t="shared" si="44"/>
        <v>0</v>
      </c>
      <c r="V48" s="31">
        <f t="shared" si="44"/>
        <v>0</v>
      </c>
      <c r="W48" s="31">
        <f t="shared" si="44"/>
        <v>0</v>
      </c>
      <c r="X48" s="31">
        <f t="shared" si="44"/>
        <v>0</v>
      </c>
      <c r="Y48" s="31">
        <f t="shared" si="44"/>
        <v>0</v>
      </c>
      <c r="Z48" s="31">
        <f t="shared" si="44"/>
        <v>0</v>
      </c>
      <c r="AA48" s="31">
        <f t="shared" si="44"/>
        <v>1079.510683288258</v>
      </c>
      <c r="AB48" s="266">
        <f t="shared" si="44"/>
        <v>1141.9736170890237</v>
      </c>
      <c r="AC48" s="31">
        <f t="shared" si="44"/>
        <v>1020.9920064895846</v>
      </c>
      <c r="AD48" s="31">
        <f t="shared" si="44"/>
        <v>1103.7366864398034</v>
      </c>
      <c r="AE48" s="31">
        <f t="shared" si="44"/>
        <v>1150.8123058487083</v>
      </c>
      <c r="AF48" s="31">
        <f t="shared" si="44"/>
        <v>1190.9976618446992</v>
      </c>
      <c r="AG48" s="31">
        <f t="shared" si="44"/>
        <v>1207.8192438307094</v>
      </c>
      <c r="AH48" s="31">
        <f t="shared" si="44"/>
        <v>1202.675541936135</v>
      </c>
      <c r="AI48" s="31">
        <f t="shared" si="44"/>
        <v>937.7600119478036</v>
      </c>
      <c r="AJ48" s="31">
        <f t="shared" si="44"/>
        <v>942.81090802039057</v>
      </c>
      <c r="AK48" s="31">
        <f t="shared" si="44"/>
        <v>932.20743023828948</v>
      </c>
      <c r="AL48" s="31">
        <f t="shared" si="44"/>
        <v>984.06696167791745</v>
      </c>
      <c r="AM48" s="31">
        <f t="shared" si="44"/>
        <v>971.48917552364753</v>
      </c>
      <c r="AN48" s="266">
        <f t="shared" si="44"/>
        <v>970.91400623368202</v>
      </c>
      <c r="AO48" s="239">
        <f t="shared" si="44"/>
        <v>1076.7880846593339</v>
      </c>
      <c r="AP48" s="31">
        <f t="shared" si="44"/>
        <v>1076.7880846593339</v>
      </c>
      <c r="AQ48" s="240">
        <f>SUMIFS(AC48:AN48,AC$4:AN$4,"&lt;"&amp;'Title Sheet'!$C$13)</f>
        <v>12616.281940031373</v>
      </c>
    </row>
    <row r="49" spans="1:43" ht="15.75" hidden="1" outlineLevel="1" x14ac:dyDescent="0.25">
      <c r="B49" t="str">
        <f t="shared" si="38"/>
        <v>PC Annual Direct</v>
      </c>
      <c r="C49" t="str">
        <f t="shared" si="39"/>
        <v>Boom Annual</v>
      </c>
      <c r="D49" s="213" t="s">
        <v>0</v>
      </c>
      <c r="E49" s="214" t="str">
        <f t="shared" ref="E49:AN49" si="45">IFERROR(IF(E47=0,"-",(E47/E48)-1),"-")</f>
        <v>-</v>
      </c>
      <c r="F49" s="214" t="str">
        <f t="shared" si="45"/>
        <v>-</v>
      </c>
      <c r="G49" s="214" t="str">
        <f t="shared" si="45"/>
        <v>-</v>
      </c>
      <c r="H49" s="214" t="str">
        <f t="shared" si="45"/>
        <v>-</v>
      </c>
      <c r="I49" s="214" t="str">
        <f t="shared" si="45"/>
        <v>-</v>
      </c>
      <c r="J49" s="214" t="str">
        <f t="shared" si="45"/>
        <v>-</v>
      </c>
      <c r="K49" s="214" t="str">
        <f t="shared" si="45"/>
        <v>-</v>
      </c>
      <c r="L49" s="214" t="str">
        <f t="shared" si="45"/>
        <v>-</v>
      </c>
      <c r="M49" s="214" t="str">
        <f t="shared" si="45"/>
        <v>-</v>
      </c>
      <c r="N49" s="214" t="str">
        <f t="shared" si="45"/>
        <v>-</v>
      </c>
      <c r="O49" s="214" t="str">
        <f t="shared" si="45"/>
        <v>-</v>
      </c>
      <c r="P49" s="270" t="str">
        <f t="shared" si="45"/>
        <v>-</v>
      </c>
      <c r="Q49" s="214" t="str">
        <f t="shared" si="45"/>
        <v>-</v>
      </c>
      <c r="R49" s="214" t="str">
        <f t="shared" si="45"/>
        <v>-</v>
      </c>
      <c r="S49" s="214" t="str">
        <f t="shared" si="45"/>
        <v>-</v>
      </c>
      <c r="T49" s="214" t="str">
        <f t="shared" si="45"/>
        <v>-</v>
      </c>
      <c r="U49" s="214" t="str">
        <f t="shared" si="45"/>
        <v>-</v>
      </c>
      <c r="V49" s="214" t="str">
        <f t="shared" si="45"/>
        <v>-</v>
      </c>
      <c r="W49" s="214" t="str">
        <f t="shared" si="45"/>
        <v>-</v>
      </c>
      <c r="X49" s="214" t="str">
        <f t="shared" si="45"/>
        <v>-</v>
      </c>
      <c r="Y49" s="214" t="str">
        <f t="shared" si="45"/>
        <v>-</v>
      </c>
      <c r="Z49" s="214" t="str">
        <f t="shared" si="45"/>
        <v>-</v>
      </c>
      <c r="AA49" s="214" t="str">
        <f t="shared" si="45"/>
        <v>-</v>
      </c>
      <c r="AB49" s="270" t="str">
        <f t="shared" si="45"/>
        <v>-</v>
      </c>
      <c r="AC49" s="214" t="str">
        <f t="shared" si="45"/>
        <v>-</v>
      </c>
      <c r="AD49" s="214" t="str">
        <f t="shared" si="45"/>
        <v>-</v>
      </c>
      <c r="AE49" s="214" t="str">
        <f t="shared" si="45"/>
        <v>-</v>
      </c>
      <c r="AF49" s="214" t="str">
        <f t="shared" si="45"/>
        <v>-</v>
      </c>
      <c r="AG49" s="214" t="str">
        <f t="shared" si="45"/>
        <v>-</v>
      </c>
      <c r="AH49" s="214" t="str">
        <f t="shared" si="45"/>
        <v>-</v>
      </c>
      <c r="AI49" s="214" t="str">
        <f t="shared" si="45"/>
        <v>-</v>
      </c>
      <c r="AJ49" s="214" t="str">
        <f t="shared" si="45"/>
        <v>-</v>
      </c>
      <c r="AK49" s="214" t="str">
        <f t="shared" si="45"/>
        <v>-</v>
      </c>
      <c r="AL49" s="214" t="str">
        <f t="shared" si="45"/>
        <v>-</v>
      </c>
      <c r="AM49" s="214" t="str">
        <f t="shared" si="45"/>
        <v>-</v>
      </c>
      <c r="AN49" s="270" t="str">
        <f t="shared" si="45"/>
        <v>-</v>
      </c>
      <c r="AO49" s="274">
        <f t="shared" ref="AO49:AP49" si="46">AO47-AO48</f>
        <v>-1076.7880846593339</v>
      </c>
      <c r="AP49" s="275">
        <f t="shared" si="46"/>
        <v>-806.4192768881469</v>
      </c>
      <c r="AQ49" s="276" t="str">
        <f t="shared" ref="AQ49" si="47">IFERROR(IF(AQ47=0,"-",(AQ47/AQ48)-1),"-")</f>
        <v>-</v>
      </c>
    </row>
    <row r="50" spans="1:43" outlineLevel="1" x14ac:dyDescent="0.25">
      <c r="B50" t="str">
        <f t="shared" si="38"/>
        <v>PC Annual Direct</v>
      </c>
      <c r="C50" t="str">
        <f t="shared" si="39"/>
        <v>Boom Annual</v>
      </c>
      <c r="D50" s="258" t="s">
        <v>17</v>
      </c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67"/>
      <c r="Q50" s="259"/>
      <c r="R50" s="259"/>
      <c r="S50" s="259"/>
      <c r="T50" s="259"/>
      <c r="U50" s="259"/>
      <c r="V50" s="259"/>
      <c r="W50" s="259"/>
      <c r="X50" s="259"/>
      <c r="Y50" s="259"/>
      <c r="Z50" s="259"/>
      <c r="AA50" s="259"/>
      <c r="AB50" s="267"/>
      <c r="AC50" s="259"/>
      <c r="AD50" s="259"/>
      <c r="AE50" s="259"/>
      <c r="AF50" s="259"/>
      <c r="AG50" s="259"/>
      <c r="AH50" s="259"/>
      <c r="AI50" s="259"/>
      <c r="AJ50" s="259"/>
      <c r="AK50" s="259"/>
      <c r="AL50" s="259"/>
      <c r="AM50" s="259"/>
      <c r="AN50" s="267"/>
      <c r="AO50" s="277"/>
      <c r="AP50" s="277"/>
      <c r="AQ50" s="278">
        <f>SUMIFS(AC50:AN50,AC$4:AN$4,"&lt;"&amp;'Title Sheet'!$C$13)</f>
        <v>0</v>
      </c>
    </row>
    <row r="51" spans="1:43" ht="15.75" outlineLevel="1" x14ac:dyDescent="0.25">
      <c r="A51">
        <v>4</v>
      </c>
      <c r="B51" t="str">
        <f t="shared" si="38"/>
        <v>PC Annual Direct</v>
      </c>
      <c r="C51" t="str">
        <f t="shared" si="39"/>
        <v>Boom Annual</v>
      </c>
      <c r="D51" s="208" t="s">
        <v>7</v>
      </c>
      <c r="E51" s="282" t="e">
        <f>'Current - Sales, NWP, GWP'!E52/VLOOKUP(COUNTA(E$4:$AC$4),'Dev Patterns'!$B$6:$F$22,$A51,0)</f>
        <v>#N/A</v>
      </c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4"/>
      <c r="Q51" s="282"/>
      <c r="R51" s="283">
        <f>'Current - Sales, NWP, GWP'!R52/VLOOKUP(COUNTA(R$4:$AC$4),'Dev Patterns'!$B$6:$F$22,$A51,0)</f>
        <v>1732534.6217633793</v>
      </c>
      <c r="S51" s="283">
        <f>'Current - Sales, NWP, GWP'!S52/VLOOKUP(COUNTA(S$4:$AC$4),'Dev Patterns'!$B$6:$F$22,$A51,0)</f>
        <v>2204635.5277814767</v>
      </c>
      <c r="T51" s="283">
        <f>'Current - Sales, NWP, GWP'!T52/VLOOKUP(COUNTA(T$4:$AC$4),'Dev Patterns'!$B$6:$F$22,$A51,0)</f>
        <v>1847800.7603024098</v>
      </c>
      <c r="U51" s="283">
        <f>'Current - Sales, NWP, GWP'!U52/VLOOKUP(COUNTA(U$4:$AC$4),'Dev Patterns'!$B$6:$F$22,$A51,0)</f>
        <v>1832466.3039251945</v>
      </c>
      <c r="V51" s="283">
        <f>'Current - Sales, NWP, GWP'!V52/VLOOKUP(COUNTA(V$4:$AC$4),'Dev Patterns'!$B$6:$F$22,$A51,0)</f>
        <v>1513736.407594407</v>
      </c>
      <c r="W51" s="283">
        <f>'Current - Sales, NWP, GWP'!W52/VLOOKUP(COUNTA(W$4:$AC$4),'Dev Patterns'!$B$6:$F$22,$A51,0)</f>
        <v>1232515.4905949472</v>
      </c>
      <c r="X51" s="283">
        <f>'Current - Sales, NWP, GWP'!X52/VLOOKUP(COUNTA(X$4:$AC$4),'Dev Patterns'!$B$6:$F$22,$A51,0)</f>
        <v>1058885.1570445432</v>
      </c>
      <c r="Y51" s="283">
        <f>'Current - Sales, NWP, GWP'!Y52/VLOOKUP(COUNTA(Y$4:$AC$4),'Dev Patterns'!$B$6:$F$22,$A51,0)</f>
        <v>1012210.2132932072</v>
      </c>
      <c r="Z51" s="283">
        <f>'Current - Sales, NWP, GWP'!Z52/VLOOKUP(COUNTA(Z$4:$AC$4),'Dev Patterns'!$B$6:$F$22,$A51,0)</f>
        <v>981114.19294443948</v>
      </c>
      <c r="AA51" s="283">
        <f>'Current - Sales, NWP, GWP'!AA52/VLOOKUP(COUNTA(AA$4:$AC$4),'Dev Patterns'!$B$6:$F$22,$A51,0)</f>
        <v>1104315.3880800544</v>
      </c>
      <c r="AB51" s="284">
        <f>'Current - Sales, NWP, GWP'!AB52/VLOOKUP(COUNTA(AB$4:$AC$4),'Dev Patterns'!$B$6:$F$22,$A51,0)</f>
        <v>1021158.6356167542</v>
      </c>
      <c r="AC51" s="282">
        <f>'Current - Sales, NWP, GWP'!AC52/VLOOKUP(COUNTA(AC$4:$AC$4),'Dev Patterns'!$B$6:$F$22,$A51,0)</f>
        <v>902387.96875295264</v>
      </c>
      <c r="AD51" s="283">
        <f>'Current - Sales, NWP, GWP'!AD52/VLOOKUP(COUNTA($AC$4:AD$4),'Dev Patterns'!$B$6:$F$22,$A51,0)</f>
        <v>687048.2902513711</v>
      </c>
      <c r="AE51" s="283">
        <f>'Current - Sales, NWP, GWP'!AE52/VLOOKUP(COUNTA($AC$4:AE$4),'Dev Patterns'!$B$6:$F$22,$A51,0)</f>
        <v>786157.84197758266</v>
      </c>
      <c r="AF51" s="283">
        <f>'Current - Sales, NWP, GWP'!AF52/VLOOKUP(COUNTA($AC$4:AF$4),'Dev Patterns'!$B$6:$F$22,$A51,0)</f>
        <v>738667.57022752124</v>
      </c>
      <c r="AG51" s="283">
        <f>'Current - Sales, NWP, GWP'!AG52/VLOOKUP(COUNTA($AC$4:AG$4),'Dev Patterns'!$B$6:$F$22,$A51,0)</f>
        <v>798384.72615536361</v>
      </c>
      <c r="AH51" s="283">
        <f>'Current - Sales, NWP, GWP'!AH52/VLOOKUP(COUNTA($AC$4:AH$4),'Dev Patterns'!$B$6:$F$22,$A51,0)</f>
        <v>691419.54190475075</v>
      </c>
      <c r="AI51" s="283">
        <f>'Current - Sales, NWP, GWP'!AI52/VLOOKUP(COUNTA($AC$4:AI$4),'Dev Patterns'!$B$6:$F$22,$A51,0)</f>
        <v>709052.88941970596</v>
      </c>
      <c r="AJ51" s="283">
        <f>'Current - Sales, NWP, GWP'!AJ52/VLOOKUP(COUNTA($AC$4:AJ$4),'Dev Patterns'!$B$6:$F$22,$A51,0)</f>
        <v>321643.20328316023</v>
      </c>
      <c r="AK51" s="283">
        <f>'Current - Sales, NWP, GWP'!AK52/VLOOKUP(COUNTA($AC$4:AK$4),'Dev Patterns'!$B$6:$F$22,$A51,0)</f>
        <v>0</v>
      </c>
      <c r="AL51" s="283">
        <f>'Current - Sales, NWP, GWP'!AL52/VLOOKUP(COUNTA($AC$4:AL$4),'Dev Patterns'!$B$6:$F$22,$A51,0)</f>
        <v>0</v>
      </c>
      <c r="AM51" s="283">
        <f>'Current - Sales, NWP, GWP'!AM52/VLOOKUP(COUNTA($AC$4:AM$4),'Dev Patterns'!$B$6:$F$22,$A51,0)</f>
        <v>0</v>
      </c>
      <c r="AN51" s="284">
        <f>'Current - Sales, NWP, GWP'!AN52/VLOOKUP(COUNTA($AC$4:AN$4),'Dev Patterns'!$B$6:$F$22,$A51,0)</f>
        <v>0</v>
      </c>
      <c r="AO51" s="237">
        <f t="shared" ref="AO51" si="48">AVERAGE(Z51:AC51)</f>
        <v>1002244.0463485502</v>
      </c>
      <c r="AP51" s="209">
        <f>AVERAGE(R51:AC51)</f>
        <v>1370313.3889744806</v>
      </c>
      <c r="AQ51" s="238">
        <f>SUMIFS(AC51:AN51,AC$4:AN$4,"&lt;"&amp;'Title Sheet'!$C$13)</f>
        <v>5634762.0319724074</v>
      </c>
    </row>
    <row r="52" spans="1:43" ht="16.5" outlineLevel="1" thickBot="1" x14ac:dyDescent="0.3">
      <c r="B52" t="str">
        <f t="shared" si="38"/>
        <v>PC Annual Direct</v>
      </c>
      <c r="C52" t="str">
        <f t="shared" si="39"/>
        <v>Boom Annual</v>
      </c>
      <c r="D52" s="226" t="s">
        <v>21</v>
      </c>
      <c r="E52" s="269">
        <f t="shared" ref="E52" si="49">E44/E$8</f>
        <v>1</v>
      </c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81"/>
      <c r="Q52" s="269"/>
      <c r="R52" s="269">
        <f t="shared" ref="R52:AP52" si="50">R44/R$8</f>
        <v>0.49840855335897111</v>
      </c>
      <c r="S52" s="269">
        <f t="shared" si="50"/>
        <v>0.49403079903353514</v>
      </c>
      <c r="T52" s="269">
        <f t="shared" si="50"/>
        <v>0.43430037806396854</v>
      </c>
      <c r="U52" s="269">
        <f t="shared" si="50"/>
        <v>0.42993803746288017</v>
      </c>
      <c r="V52" s="269">
        <f t="shared" si="50"/>
        <v>0</v>
      </c>
      <c r="W52" s="269">
        <f t="shared" si="50"/>
        <v>0</v>
      </c>
      <c r="X52" s="269">
        <f t="shared" si="50"/>
        <v>0</v>
      </c>
      <c r="Y52" s="269">
        <f t="shared" si="50"/>
        <v>0</v>
      </c>
      <c r="Z52" s="269">
        <f t="shared" si="50"/>
        <v>0</v>
      </c>
      <c r="AA52" s="269">
        <f t="shared" si="50"/>
        <v>0</v>
      </c>
      <c r="AB52" s="281">
        <f t="shared" si="50"/>
        <v>0</v>
      </c>
      <c r="AC52" s="269">
        <f t="shared" si="50"/>
        <v>0</v>
      </c>
      <c r="AD52" s="269">
        <f t="shared" si="50"/>
        <v>0</v>
      </c>
      <c r="AE52" s="269">
        <f t="shared" si="50"/>
        <v>0</v>
      </c>
      <c r="AF52" s="269">
        <f t="shared" si="50"/>
        <v>0</v>
      </c>
      <c r="AG52" s="269" t="e">
        <f t="shared" si="50"/>
        <v>#DIV/0!</v>
      </c>
      <c r="AH52" s="269" t="e">
        <f t="shared" si="50"/>
        <v>#DIV/0!</v>
      </c>
      <c r="AI52" s="269" t="e">
        <f t="shared" si="50"/>
        <v>#DIV/0!</v>
      </c>
      <c r="AJ52" s="269" t="e">
        <f t="shared" si="50"/>
        <v>#DIV/0!</v>
      </c>
      <c r="AK52" s="269" t="e">
        <f t="shared" si="50"/>
        <v>#DIV/0!</v>
      </c>
      <c r="AL52" s="269" t="e">
        <f t="shared" si="50"/>
        <v>#DIV/0!</v>
      </c>
      <c r="AM52" s="269" t="e">
        <f t="shared" si="50"/>
        <v>#DIV/0!</v>
      </c>
      <c r="AN52" s="281" t="e">
        <f t="shared" si="50"/>
        <v>#DIV/0!</v>
      </c>
      <c r="AO52" s="279">
        <f t="shared" si="50"/>
        <v>0</v>
      </c>
      <c r="AP52" s="269">
        <f t="shared" si="50"/>
        <v>0.27987514675155006</v>
      </c>
      <c r="AQ52" s="280" t="str">
        <f t="shared" ref="AQ52" si="51">IFERROR(IF(AQ50=0,"-",(AQ50/AQ51)-1),"-")</f>
        <v>-</v>
      </c>
    </row>
    <row r="53" spans="1:43" ht="15.75" outlineLevel="1" x14ac:dyDescent="0.25">
      <c r="D53" s="46"/>
      <c r="E53" s="325"/>
      <c r="F53" s="325"/>
      <c r="G53" s="325"/>
      <c r="H53" s="325"/>
      <c r="I53" s="325"/>
      <c r="J53" s="325"/>
      <c r="K53" s="325"/>
      <c r="L53" s="325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5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</row>
    <row r="54" spans="1:43" ht="16.5" outlineLevel="1" thickBot="1" x14ac:dyDescent="0.3">
      <c r="D54" s="46"/>
      <c r="E54" s="325"/>
      <c r="F54" s="325"/>
      <c r="G54" s="325"/>
      <c r="H54" s="325"/>
      <c r="I54" s="325"/>
      <c r="J54" s="325"/>
      <c r="K54" s="325"/>
      <c r="L54" s="325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</row>
    <row r="55" spans="1:43" ht="18.75" outlineLevel="1" x14ac:dyDescent="0.25">
      <c r="D55" s="309" t="s">
        <v>351</v>
      </c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63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63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63"/>
      <c r="AO55" s="202"/>
      <c r="AP55" s="202"/>
      <c r="AQ55" s="233"/>
    </row>
    <row r="56" spans="1:43" outlineLevel="1" x14ac:dyDescent="0.25">
      <c r="D56" s="204"/>
      <c r="E56" s="200" t="s">
        <v>237</v>
      </c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64"/>
      <c r="Q56" s="200"/>
      <c r="R56" s="200"/>
      <c r="S56" s="200"/>
      <c r="T56" s="200"/>
      <c r="U56" s="200"/>
      <c r="V56" s="200"/>
      <c r="W56" s="200"/>
      <c r="X56" s="200"/>
      <c r="Y56" s="200"/>
      <c r="Z56" s="200"/>
      <c r="AA56" s="200"/>
      <c r="AB56" s="264"/>
      <c r="AC56" s="200"/>
      <c r="AD56" s="200"/>
      <c r="AE56" s="200"/>
      <c r="AF56" s="200"/>
      <c r="AG56" s="200"/>
      <c r="AH56" s="200"/>
      <c r="AI56" s="200"/>
      <c r="AJ56" s="200"/>
      <c r="AK56" s="200"/>
      <c r="AL56" s="200"/>
      <c r="AM56" s="200"/>
      <c r="AN56" s="264"/>
      <c r="AO56" s="510" t="s">
        <v>8</v>
      </c>
      <c r="AP56" s="511"/>
      <c r="AQ56" s="512"/>
    </row>
    <row r="57" spans="1:43" outlineLevel="1" x14ac:dyDescent="0.25">
      <c r="D57" s="256" t="s">
        <v>16</v>
      </c>
      <c r="E57" s="285">
        <f t="shared" ref="E57:AN57" si="52">E$4</f>
        <v>44562</v>
      </c>
      <c r="F57" s="285">
        <f t="shared" si="52"/>
        <v>44593</v>
      </c>
      <c r="G57" s="285">
        <f t="shared" si="52"/>
        <v>44621</v>
      </c>
      <c r="H57" s="285">
        <f t="shared" si="52"/>
        <v>44652</v>
      </c>
      <c r="I57" s="285">
        <f t="shared" si="52"/>
        <v>44682</v>
      </c>
      <c r="J57" s="285">
        <f t="shared" si="52"/>
        <v>44713</v>
      </c>
      <c r="K57" s="285">
        <f t="shared" si="52"/>
        <v>44743</v>
      </c>
      <c r="L57" s="285">
        <f t="shared" si="52"/>
        <v>44774</v>
      </c>
      <c r="M57" s="285">
        <f t="shared" si="52"/>
        <v>44805</v>
      </c>
      <c r="N57" s="285">
        <f t="shared" si="52"/>
        <v>44835</v>
      </c>
      <c r="O57" s="285">
        <f t="shared" si="52"/>
        <v>44866</v>
      </c>
      <c r="P57" s="286">
        <f t="shared" si="52"/>
        <v>44896</v>
      </c>
      <c r="Q57" s="285">
        <f t="shared" si="52"/>
        <v>44927</v>
      </c>
      <c r="R57" s="285">
        <f t="shared" si="52"/>
        <v>44958</v>
      </c>
      <c r="S57" s="285">
        <f t="shared" si="52"/>
        <v>44986</v>
      </c>
      <c r="T57" s="285">
        <f t="shared" si="52"/>
        <v>45017</v>
      </c>
      <c r="U57" s="285">
        <f t="shared" si="52"/>
        <v>45047</v>
      </c>
      <c r="V57" s="285">
        <f t="shared" si="52"/>
        <v>45078</v>
      </c>
      <c r="W57" s="285">
        <f t="shared" si="52"/>
        <v>45108</v>
      </c>
      <c r="X57" s="285">
        <f t="shared" si="52"/>
        <v>45139</v>
      </c>
      <c r="Y57" s="285">
        <f t="shared" si="52"/>
        <v>45170</v>
      </c>
      <c r="Z57" s="285">
        <f t="shared" si="52"/>
        <v>45200</v>
      </c>
      <c r="AA57" s="285">
        <f t="shared" si="52"/>
        <v>45231</v>
      </c>
      <c r="AB57" s="286">
        <f t="shared" si="52"/>
        <v>45261</v>
      </c>
      <c r="AC57" s="285">
        <f t="shared" si="52"/>
        <v>45292</v>
      </c>
      <c r="AD57" s="285">
        <f t="shared" si="52"/>
        <v>45323</v>
      </c>
      <c r="AE57" s="285">
        <f t="shared" si="52"/>
        <v>45352</v>
      </c>
      <c r="AF57" s="285">
        <f t="shared" si="52"/>
        <v>45383</v>
      </c>
      <c r="AG57" s="285">
        <f t="shared" si="52"/>
        <v>45413</v>
      </c>
      <c r="AH57" s="285">
        <f t="shared" si="52"/>
        <v>45444</v>
      </c>
      <c r="AI57" s="285">
        <f t="shared" si="52"/>
        <v>45474</v>
      </c>
      <c r="AJ57" s="285">
        <f t="shared" si="52"/>
        <v>45505</v>
      </c>
      <c r="AK57" s="285">
        <f t="shared" si="52"/>
        <v>45536</v>
      </c>
      <c r="AL57" s="285">
        <f t="shared" si="52"/>
        <v>45566</v>
      </c>
      <c r="AM57" s="285">
        <f t="shared" si="52"/>
        <v>45597</v>
      </c>
      <c r="AN57" s="286">
        <f t="shared" si="52"/>
        <v>45627</v>
      </c>
      <c r="AO57" s="271">
        <f>AO38</f>
        <v>0</v>
      </c>
      <c r="AP57" s="272">
        <f>AP38</f>
        <v>0</v>
      </c>
      <c r="AQ57" s="273" t="s">
        <v>346</v>
      </c>
    </row>
    <row r="58" spans="1:43" ht="15.75" outlineLevel="1" x14ac:dyDescent="0.25">
      <c r="A58">
        <v>5</v>
      </c>
      <c r="B58" t="str">
        <f>$D$2</f>
        <v>PC Annual Direct</v>
      </c>
      <c r="C58" t="s">
        <v>353</v>
      </c>
      <c r="D58" s="208" t="s">
        <v>316</v>
      </c>
      <c r="E58" s="209" t="e">
        <f>'Current - Sales, NWP, GWP'!E60/VLOOKUP(COUNTA(E$4:$AC$4),'Dev Patterns'!$B$6:$F$22,$A58,0)</f>
        <v>#N/A</v>
      </c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65"/>
      <c r="Q58" s="209"/>
      <c r="R58" s="209">
        <f>'Current - Sales, NWP, GWP'!R60/VLOOKUP(COUNTA(R$4:$AC$4),'Dev Patterns'!$B$6:$F$22,$A58,0)</f>
        <v>1449.743685898761</v>
      </c>
      <c r="S58" s="209">
        <f>'Current - Sales, NWP, GWP'!S60/VLOOKUP(COUNTA(S$4:$AC$4),'Dev Patterns'!$B$6:$F$22,$A58,0)</f>
        <v>2874.3876897106657</v>
      </c>
      <c r="T58" s="209">
        <f>'Current - Sales, NWP, GWP'!T60/VLOOKUP(COUNTA(T$4:$AC$4),'Dev Patterns'!$B$6:$F$22,$A58,0)</f>
        <v>3049.371713228009</v>
      </c>
      <c r="U58" s="209">
        <f>'Current - Sales, NWP, GWP'!U60/VLOOKUP(COUNTA(U$4:$AC$4),'Dev Patterns'!$B$6:$F$22,$A58,0)</f>
        <v>2940.4713573550334</v>
      </c>
      <c r="V58" s="209">
        <f>'Current - Sales, NWP, GWP'!V60/VLOOKUP(COUNTA(V$4:$AC$4),'Dev Patterns'!$B$6:$F$22,$A58,0)</f>
        <v>2539.0890942017536</v>
      </c>
      <c r="W58" s="209">
        <f>'Current - Sales, NWP, GWP'!W60/VLOOKUP(COUNTA(W$4:$AC$4),'Dev Patterns'!$B$6:$F$22,$A58,0)</f>
        <v>2141.6584939585482</v>
      </c>
      <c r="X58" s="209">
        <f>'Current - Sales, NWP, GWP'!X60/VLOOKUP(COUNTA(X$4:$AC$4),'Dev Patterns'!$B$6:$F$22,$A58,0)</f>
        <v>1875.8667558624843</v>
      </c>
      <c r="Y58" s="209">
        <f>'Current - Sales, NWP, GWP'!Y60/VLOOKUP(COUNTA(Y$4:$AC$4),'Dev Patterns'!$B$6:$F$22,$A58,0)</f>
        <v>1753.8613643063022</v>
      </c>
      <c r="Z58" s="209">
        <f>'Current - Sales, NWP, GWP'!Z60/VLOOKUP(COUNTA(Z$4:$AC$4),'Dev Patterns'!$B$6:$F$22,$A58,0)</f>
        <v>1728.4893096266337</v>
      </c>
      <c r="AA58" s="209">
        <f>'Current - Sales, NWP, GWP'!AA60/VLOOKUP(COUNTA(AA$4:$AC$4),'Dev Patterns'!$B$6:$F$22,$A58,0)</f>
        <v>1880.1702450383784</v>
      </c>
      <c r="AB58" s="265">
        <f>'Current - Sales, NWP, GWP'!AB60/VLOOKUP(COUNTA(AB$4:$AC$4),'Dev Patterns'!$B$6:$F$22,$A58,0)</f>
        <v>2044.5100939562296</v>
      </c>
      <c r="AC58" s="209">
        <f>'Current - Sales, NWP, GWP'!AC60/VLOOKUP(COUNTA(AC$4:$AC$4),'Dev Patterns'!$B$6:$F$22,$A58,0)</f>
        <v>2331.5849815181846</v>
      </c>
      <c r="AD58" s="209">
        <f>'Current - Sales, NWP, GWP'!AD60/VLOOKUP(COUNTA($AC$4:AD$4),'Dev Patterns'!$B$6:$F$22,$A58,0)</f>
        <v>2013.1509649082268</v>
      </c>
      <c r="AE58" s="209">
        <f>'Current - Sales, NWP, GWP'!AE60/VLOOKUP(COUNTA($AC$4:AE$4),'Dev Patterns'!$B$6:$F$22,$A58,0)</f>
        <v>2692.2101063140535</v>
      </c>
      <c r="AF58" s="209">
        <f>'Current - Sales, NWP, GWP'!AF60/VLOOKUP(COUNTA($AC$4:AF$4),'Dev Patterns'!$B$6:$F$22,$A58,0)</f>
        <v>2776.2033107214343</v>
      </c>
      <c r="AG58" s="209">
        <f>'Current - Sales, NWP, GWP'!AG60/VLOOKUP(COUNTA($AC$4:AG$4),'Dev Patterns'!$B$6:$F$22,$A58,0)</f>
        <v>2772.4501517842036</v>
      </c>
      <c r="AH58" s="209">
        <f>'Current - Sales, NWP, GWP'!AH60/VLOOKUP(COUNTA($AC$4:AH$4),'Dev Patterns'!$B$6:$F$22,$A58,0)</f>
        <v>2608.2755432508898</v>
      </c>
      <c r="AI58" s="209">
        <f>'Current - Sales, NWP, GWP'!AI60/VLOOKUP(COUNTA($AC$4:AI$4),'Dev Patterns'!$B$6:$F$22,$A58,0)</f>
        <v>2550.4084495490156</v>
      </c>
      <c r="AJ58" s="209">
        <f>'Current - Sales, NWP, GWP'!AJ60/VLOOKUP(COUNTA($AC$4:AJ$4),'Dev Patterns'!$B$6:$F$22,$A58,0)</f>
        <v>1173.486771624388</v>
      </c>
      <c r="AK58" s="209">
        <f>'Current - Sales, NWP, GWP'!AK60/VLOOKUP(COUNTA($AC$4:AK$4),'Dev Patterns'!$B$6:$F$22,$A58,0)</f>
        <v>0</v>
      </c>
      <c r="AL58" s="209">
        <f>'Current - Sales, NWP, GWP'!AL60/VLOOKUP(COUNTA($AC$4:AL$4),'Dev Patterns'!$B$6:$F$22,$A58,0)</f>
        <v>0</v>
      </c>
      <c r="AM58" s="209">
        <f>'Current - Sales, NWP, GWP'!AM60/VLOOKUP(COUNTA($AC$4:AM$4),'Dev Patterns'!$B$6:$F$22,$A58,0)</f>
        <v>0</v>
      </c>
      <c r="AN58" s="265">
        <f>'Current - Sales, NWP, GWP'!AN60/VLOOKUP(COUNTA($AC$4:AN$4),'Dev Patterns'!$B$6:$F$22,$A58,0)</f>
        <v>0</v>
      </c>
      <c r="AO58" s="237">
        <f t="shared" ref="AO58:AO63" si="53">AVERAGE(Z58:AC58)</f>
        <v>1996.1886575348567</v>
      </c>
      <c r="AP58" s="209">
        <f>AVERAGE(R58:AC58)</f>
        <v>2217.4337320550821</v>
      </c>
      <c r="AQ58" s="238">
        <f>SUMIFS(AC58:AN58,AC$4:AN$4,"&lt;"&amp;'Title Sheet'!$C$13)</f>
        <v>18917.770279670396</v>
      </c>
    </row>
    <row r="59" spans="1:43" ht="15.75" hidden="1" outlineLevel="1" x14ac:dyDescent="0.25">
      <c r="B59" t="str">
        <f>$D$21&amp;"_W VYRs"</f>
        <v>PC Annual Direct - Annual_W VYRs</v>
      </c>
      <c r="C59" t="str">
        <f>$C58</f>
        <v>Boom Premium Finance</v>
      </c>
      <c r="D59" s="211" t="s">
        <v>317</v>
      </c>
      <c r="E59" s="31" t="e">
        <f>INDEX('Plan Figures'!$B$5:$AP$31,MATCH('Ultimate - MGA only'!E$4,'Plan Figures'!$B$5:$B$31,0),MATCH('Ultimate - MGA only'!$B59,'Plan Figures'!$B$1:$AP$1,0))</f>
        <v>#N/A</v>
      </c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266"/>
      <c r="Q59" s="31"/>
      <c r="R59" s="31" t="str">
        <f>INDEX('Plan Figures'!$B$5:$AP$31,MATCH('Ultimate - MGA only'!R$4,'Plan Figures'!$B$5:$B$31,0),MATCH('Ultimate - MGA only'!$B59,'Plan Figures'!$B$1:$AP$1,0))</f>
        <v>-</v>
      </c>
      <c r="S59" s="31" t="str">
        <f>INDEX('Plan Figures'!$B$5:$AP$31,MATCH('Ultimate - MGA only'!S$4,'Plan Figures'!$B$5:$B$31,0),MATCH('Ultimate - MGA only'!$B59,'Plan Figures'!$B$1:$AP$1,0))</f>
        <v>-</v>
      </c>
      <c r="T59" s="31" t="str">
        <f>INDEX('Plan Figures'!$B$5:$AP$31,MATCH('Ultimate - MGA only'!T$4,'Plan Figures'!$B$5:$B$31,0),MATCH('Ultimate - MGA only'!$B59,'Plan Figures'!$B$1:$AP$1,0))</f>
        <v>-</v>
      </c>
      <c r="U59" s="31" t="str">
        <f>INDEX('Plan Figures'!$B$5:$AP$31,MATCH('Ultimate - MGA only'!U$4,'Plan Figures'!$B$5:$B$31,0),MATCH('Ultimate - MGA only'!$B59,'Plan Figures'!$B$1:$AP$1,0))</f>
        <v>-</v>
      </c>
      <c r="V59" s="31" t="str">
        <f>INDEX('Plan Figures'!$B$5:$AP$31,MATCH('Ultimate - MGA only'!V$4,'Plan Figures'!$B$5:$B$31,0),MATCH('Ultimate - MGA only'!$B59,'Plan Figures'!$B$1:$AP$1,0))</f>
        <v>-</v>
      </c>
      <c r="W59" s="31" t="str">
        <f>INDEX('Plan Figures'!$B$5:$AP$31,MATCH('Ultimate - MGA only'!W$4,'Plan Figures'!$B$5:$B$31,0),MATCH('Ultimate - MGA only'!$B59,'Plan Figures'!$B$1:$AP$1,0))</f>
        <v>-</v>
      </c>
      <c r="X59" s="31" t="str">
        <f>INDEX('Plan Figures'!$B$5:$AP$31,MATCH('Ultimate - MGA only'!X$4,'Plan Figures'!$B$5:$B$31,0),MATCH('Ultimate - MGA only'!$B59,'Plan Figures'!$B$1:$AP$1,0))</f>
        <v>-</v>
      </c>
      <c r="Y59" s="31" t="str">
        <f>INDEX('Plan Figures'!$B$5:$AP$31,MATCH('Ultimate - MGA only'!Y$4,'Plan Figures'!$B$5:$B$31,0),MATCH('Ultimate - MGA only'!$B59,'Plan Figures'!$B$1:$AP$1,0))</f>
        <v>-</v>
      </c>
      <c r="Z59" s="31" t="str">
        <f>INDEX('Plan Figures'!$B$5:$AP$31,MATCH('Ultimate - MGA only'!Z$4,'Plan Figures'!$B$5:$B$31,0),MATCH('Ultimate - MGA only'!$B59,'Plan Figures'!$B$1:$AP$1,0))</f>
        <v>-</v>
      </c>
      <c r="AA59" s="31">
        <f>INDEX('Plan Figures'!$B$5:$AP$31,MATCH('Ultimate - MGA only'!AA$4,'Plan Figures'!$B$5:$B$31,0),MATCH('Ultimate - MGA only'!$B59,'Plan Figures'!$B$1:$AP$1,0))</f>
        <v>1113.4200697273855</v>
      </c>
      <c r="AB59" s="266">
        <f>INDEX('Plan Figures'!$B$5:$AP$31,MATCH('Ultimate - MGA only'!AB$4,'Plan Figures'!$B$5:$B$31,0),MATCH('Ultimate - MGA only'!$B59,'Plan Figures'!$B$1:$AP$1,0))</f>
        <v>989.67431218271486</v>
      </c>
      <c r="AC59" s="31">
        <f>INDEX('Plan Figures'!$B$5:$AP$31,MATCH('Ultimate - MGA only'!AC$4,'Plan Figures'!$B$5:$B$31,0),MATCH('Ultimate - MGA only'!$B59,'Plan Figures'!$B$1:$AP$1,0))</f>
        <v>1210.5482166933789</v>
      </c>
      <c r="AD59" s="31">
        <f>INDEX('Plan Figures'!$B$5:$AP$42,MATCH('Ultimate - MGA only'!AD$4,'Plan Figures'!$B$5:$B$42,0),MATCH('Ultimate - MGA only'!$B59,'Plan Figures'!$B$1:$AP$1,0))</f>
        <v>1208.1319527878034</v>
      </c>
      <c r="AE59" s="31">
        <f>INDEX('Plan Figures'!$B$5:$AP$42,MATCH('Ultimate - MGA only'!AE$4,'Plan Figures'!$B$5:$B$42,0),MATCH('Ultimate - MGA only'!$B59,'Plan Figures'!$B$1:$AP$1,0))</f>
        <v>1205.7205117642748</v>
      </c>
      <c r="AF59" s="31">
        <f>INDEX('Plan Figures'!$B$5:$AP$42,MATCH('Ultimate - MGA only'!AF$4,'Plan Figures'!$B$5:$B$42,0),MATCH('Ultimate - MGA only'!$B59,'Plan Figures'!$B$1:$AP$1,0))</f>
        <v>1203.3138839962821</v>
      </c>
      <c r="AG59" s="31">
        <f>INDEX('Plan Figures'!$B$5:$AP$42,MATCH('Ultimate - MGA only'!AG$4,'Plan Figures'!$B$5:$B$42,0),MATCH('Ultimate - MGA only'!$B59,'Plan Figures'!$B$1:$AP$1,0))</f>
        <v>1201.0207575202833</v>
      </c>
      <c r="AH59" s="31">
        <f>INDEX('Plan Figures'!$B$5:$AP$42,MATCH('Ultimate - MGA only'!AH$4,'Plan Figures'!$B$5:$B$42,0),MATCH('Ultimate - MGA only'!$B59,'Plan Figures'!$B$1:$AP$1,0))</f>
        <v>1228.875833502128</v>
      </c>
      <c r="AI59" s="31">
        <f>INDEX('Plan Figures'!$B$5:$AP$42,MATCH('Ultimate - MGA only'!AI$4,'Plan Figures'!$B$5:$B$42,0),MATCH('Ultimate - MGA only'!$B59,'Plan Figures'!$B$1:$AP$1,0))</f>
        <v>1163.6668411466933</v>
      </c>
      <c r="AJ59" s="31">
        <f>INDEX('Plan Figures'!$B$5:$AP$42,MATCH('Ultimate - MGA only'!AJ$4,'Plan Figures'!$B$5:$B$42,0),MATCH('Ultimate - MGA only'!$B59,'Plan Figures'!$B$1:$AP$1,0))</f>
        <v>1142.8043600541273</v>
      </c>
      <c r="AK59" s="31">
        <f>INDEX('Plan Figures'!$B$5:$AP$42,MATCH('Ultimate - MGA only'!AK$4,'Plan Figures'!$B$5:$B$42,0),MATCH('Ultimate - MGA only'!$B59,'Plan Figures'!$B$1:$AP$1,0))</f>
        <v>1583.4171745261115</v>
      </c>
      <c r="AL59" s="31">
        <f>INDEX('Plan Figures'!$B$5:$AP$42,MATCH('Ultimate - MGA only'!AL$4,'Plan Figures'!$B$5:$B$42,0),MATCH('Ultimate - MGA only'!$B59,'Plan Figures'!$B$1:$AP$1,0))</f>
        <v>1633.4199796082153</v>
      </c>
      <c r="AM59" s="31">
        <f>INDEX('Plan Figures'!$B$5:$AP$42,MATCH('Ultimate - MGA only'!AM$4,'Plan Figures'!$B$5:$B$42,0),MATCH('Ultimate - MGA only'!$B59,'Plan Figures'!$B$1:$AP$1,0))</f>
        <v>1421.9431064527189</v>
      </c>
      <c r="AN59" s="266">
        <f>INDEX('Plan Figures'!$B$5:$AP$42,MATCH('Ultimate - MGA only'!AN$4,'Plan Figures'!$B$5:$B$42,0),MATCH('Ultimate - MGA only'!$B59,'Plan Figures'!$B$1:$AP$1,0))</f>
        <v>1292.0881451523526</v>
      </c>
      <c r="AO59" s="239">
        <f t="shared" si="53"/>
        <v>1104.5475328678265</v>
      </c>
      <c r="AP59" s="31">
        <f t="shared" ref="AP59:AP63" si="54">AVERAGE(R59:AC59)</f>
        <v>1104.5475328678265</v>
      </c>
      <c r="AQ59" s="240">
        <f>SUMIFS(AC59:AN59,AC$4:AN$4,"&lt;"&amp;'Title Sheet'!$C$13)</f>
        <v>15494.950763204368</v>
      </c>
    </row>
    <row r="60" spans="1:43" ht="15.75" hidden="1" outlineLevel="1" x14ac:dyDescent="0.25">
      <c r="B60" t="str">
        <f t="shared" ref="B60:B69" si="55">$D$2</f>
        <v>PC Annual Direct</v>
      </c>
      <c r="C60" t="str">
        <f t="shared" ref="C60:C69" si="56">$C59</f>
        <v>Boom Premium Finance</v>
      </c>
      <c r="D60" s="213" t="s">
        <v>0</v>
      </c>
      <c r="E60" s="214" t="str">
        <f t="shared" ref="E60:AN60" si="57">IFERROR(IF(E58=0,"-",(E58/E59)-1),"-")</f>
        <v>-</v>
      </c>
      <c r="F60" s="214" t="str">
        <f t="shared" si="57"/>
        <v>-</v>
      </c>
      <c r="G60" s="214" t="str">
        <f t="shared" si="57"/>
        <v>-</v>
      </c>
      <c r="H60" s="214" t="str">
        <f t="shared" si="57"/>
        <v>-</v>
      </c>
      <c r="I60" s="214" t="str">
        <f t="shared" si="57"/>
        <v>-</v>
      </c>
      <c r="J60" s="214" t="str">
        <f t="shared" si="57"/>
        <v>-</v>
      </c>
      <c r="K60" s="214" t="str">
        <f t="shared" si="57"/>
        <v>-</v>
      </c>
      <c r="L60" s="214" t="str">
        <f t="shared" si="57"/>
        <v>-</v>
      </c>
      <c r="M60" s="214" t="str">
        <f t="shared" si="57"/>
        <v>-</v>
      </c>
      <c r="N60" s="214" t="str">
        <f t="shared" si="57"/>
        <v>-</v>
      </c>
      <c r="O60" s="214" t="str">
        <f t="shared" si="57"/>
        <v>-</v>
      </c>
      <c r="P60" s="270" t="str">
        <f t="shared" si="57"/>
        <v>-</v>
      </c>
      <c r="Q60" s="214" t="str">
        <f t="shared" si="57"/>
        <v>-</v>
      </c>
      <c r="R60" s="214" t="str">
        <f t="shared" si="57"/>
        <v>-</v>
      </c>
      <c r="S60" s="214" t="str">
        <f t="shared" si="57"/>
        <v>-</v>
      </c>
      <c r="T60" s="214" t="str">
        <f t="shared" si="57"/>
        <v>-</v>
      </c>
      <c r="U60" s="214" t="str">
        <f t="shared" si="57"/>
        <v>-</v>
      </c>
      <c r="V60" s="214" t="str">
        <f t="shared" si="57"/>
        <v>-</v>
      </c>
      <c r="W60" s="214" t="str">
        <f t="shared" si="57"/>
        <v>-</v>
      </c>
      <c r="X60" s="214" t="str">
        <f t="shared" si="57"/>
        <v>-</v>
      </c>
      <c r="Y60" s="214" t="str">
        <f t="shared" si="57"/>
        <v>-</v>
      </c>
      <c r="Z60" s="214" t="str">
        <f t="shared" si="57"/>
        <v>-</v>
      </c>
      <c r="AA60" s="214">
        <f t="shared" si="57"/>
        <v>0.68864411209933318</v>
      </c>
      <c r="AB60" s="270">
        <f t="shared" si="57"/>
        <v>1.0658413265744842</v>
      </c>
      <c r="AC60" s="214">
        <f t="shared" si="57"/>
        <v>0.92605709493086175</v>
      </c>
      <c r="AD60" s="214">
        <f t="shared" si="57"/>
        <v>0.66633368173303942</v>
      </c>
      <c r="AE60" s="214">
        <f t="shared" si="57"/>
        <v>1.2328641505606202</v>
      </c>
      <c r="AF60" s="214">
        <f t="shared" si="57"/>
        <v>1.3071314539324406</v>
      </c>
      <c r="AG60" s="214">
        <f t="shared" si="57"/>
        <v>1.3084115194714956</v>
      </c>
      <c r="AH60" s="214">
        <f t="shared" si="57"/>
        <v>1.1224890848554336</v>
      </c>
      <c r="AI60" s="214">
        <f t="shared" si="57"/>
        <v>1.1916998571823254</v>
      </c>
      <c r="AJ60" s="214">
        <f t="shared" si="57"/>
        <v>2.6848350113756636E-2</v>
      </c>
      <c r="AK60" s="214" t="str">
        <f t="shared" si="57"/>
        <v>-</v>
      </c>
      <c r="AL60" s="214" t="str">
        <f t="shared" si="57"/>
        <v>-</v>
      </c>
      <c r="AM60" s="214" t="str">
        <f t="shared" si="57"/>
        <v>-</v>
      </c>
      <c r="AN60" s="270" t="str">
        <f t="shared" si="57"/>
        <v>-</v>
      </c>
      <c r="AO60" s="274">
        <f t="shared" si="53"/>
        <v>0.8935141778682264</v>
      </c>
      <c r="AP60" s="275">
        <f t="shared" si="54"/>
        <v>0.8935141778682264</v>
      </c>
      <c r="AQ60" s="276">
        <f t="shared" ref="AQ60" si="58">IFERROR(IF(AQ58=0,"-",(AQ58/AQ59)-1),"-")</f>
        <v>0.22089902502911762</v>
      </c>
    </row>
    <row r="61" spans="1:43" ht="15.75" outlineLevel="1" x14ac:dyDescent="0.25">
      <c r="A61">
        <v>4</v>
      </c>
      <c r="B61" t="str">
        <f t="shared" si="55"/>
        <v>PC Annual Direct</v>
      </c>
      <c r="C61" t="str">
        <f t="shared" si="56"/>
        <v>Boom Premium Finance</v>
      </c>
      <c r="D61" s="208" t="s">
        <v>5</v>
      </c>
      <c r="E61" s="209">
        <f>'Current - MGA only'!E61/VLOOKUP(COUNTA(E$4:$AE$4),'Dev Patterns'!$B$6:$F$34,$A61,0)</f>
        <v>0</v>
      </c>
      <c r="F61" s="209">
        <f>'Current - MGA only'!F61/VLOOKUP(COUNTA(F$4:$AE$4),'Dev Patterns'!$B$6:$F$34,$A61,0)</f>
        <v>0</v>
      </c>
      <c r="G61" s="209">
        <f>'Current - MGA only'!G61/VLOOKUP(COUNTA(G$4:$AE$4),'Dev Patterns'!$B$6:$F$34,$A61,0)</f>
        <v>0</v>
      </c>
      <c r="H61" s="209">
        <f>'Current - MGA only'!H61/VLOOKUP(COUNTA(H$4:$AE$4),'Dev Patterns'!$B$6:$F$34,$A61,0)</f>
        <v>0</v>
      </c>
      <c r="I61" s="209">
        <f>'Current - MGA only'!I61/VLOOKUP(COUNTA(I$4:$AE$4),'Dev Patterns'!$B$6:$F$34,$A61,0)</f>
        <v>0</v>
      </c>
      <c r="J61" s="209">
        <f>'Current - MGA only'!J61/VLOOKUP(COUNTA(J$4:$AE$4),'Dev Patterns'!$B$6:$F$34,$A61,0)</f>
        <v>0</v>
      </c>
      <c r="K61" s="209">
        <f>'Current - MGA only'!K61/VLOOKUP(COUNTA(K$4:$AE$4),'Dev Patterns'!$B$6:$F$34,$A61,0)</f>
        <v>0</v>
      </c>
      <c r="L61" s="209">
        <f>'Current - MGA only'!L61/VLOOKUP(COUNTA(L$4:$AE$4),'Dev Patterns'!$B$6:$F$34,$A61,0)</f>
        <v>0</v>
      </c>
      <c r="M61" s="209">
        <f>'Current - MGA only'!M61/VLOOKUP(COUNTA(M$4:$AE$4),'Dev Patterns'!$B$6:$F$34,$A61,0)</f>
        <v>0</v>
      </c>
      <c r="N61" s="209">
        <f>'Current - MGA only'!N61/VLOOKUP(COUNTA(N$4:$AE$4),'Dev Patterns'!$B$6:$F$34,$A61,0)</f>
        <v>0</v>
      </c>
      <c r="O61" s="209">
        <f>'Current - MGA only'!O61/VLOOKUP(COUNTA(O$4:$AE$4),'Dev Patterns'!$B$6:$F$34,$A61,0)</f>
        <v>0</v>
      </c>
      <c r="P61" s="265">
        <f>'Current - MGA only'!P61/VLOOKUP(COUNTA(P$4:$AE$4),'Dev Patterns'!$B$6:$F$34,$A61,0)</f>
        <v>0</v>
      </c>
      <c r="Q61" s="209">
        <f>'Current - MGA only'!Q61/VLOOKUP(COUNTA(Q$4:$AE$4),'Dev Patterns'!$B$6:$F$34,$A61,0)</f>
        <v>0</v>
      </c>
      <c r="R61" s="209">
        <f>'Current - MGA only'!R61/VLOOKUP(COUNTA(R$4:$AE$4),'Dev Patterns'!$B$6:$F$34,$A61,0)</f>
        <v>0</v>
      </c>
      <c r="S61" s="209">
        <f>'Current - MGA only'!S61/VLOOKUP(COUNTA(S$4:$AE$4),'Dev Patterns'!$B$6:$F$34,$A61,0)</f>
        <v>0</v>
      </c>
      <c r="T61" s="209">
        <f>'Current - MGA only'!T61/VLOOKUP(COUNTA(T$4:$AE$4),'Dev Patterns'!$B$6:$F$34,$A61,0)</f>
        <v>0</v>
      </c>
      <c r="U61" s="209">
        <f>'Current - MGA only'!U61/VLOOKUP(COUNTA(U$4:$AE$4),'Dev Patterns'!$B$6:$F$34,$A61,0)</f>
        <v>0</v>
      </c>
      <c r="V61" s="209">
        <f>'Current - MGA only'!V61/VLOOKUP(COUNTA(V$4:$AE$4),'Dev Patterns'!$B$6:$F$34,$A61,0)</f>
        <v>0</v>
      </c>
      <c r="W61" s="209">
        <f>'Current - MGA only'!W61/VLOOKUP(COUNTA(W$4:$AE$4),'Dev Patterns'!$B$6:$F$34,$A61,0)</f>
        <v>0</v>
      </c>
      <c r="X61" s="209">
        <f>'Current - MGA only'!X61/VLOOKUP(COUNTA(X$4:$AE$4),'Dev Patterns'!$B$6:$F$34,$A61,0)</f>
        <v>0</v>
      </c>
      <c r="Y61" s="209">
        <f>'Current - MGA only'!Y61/VLOOKUP(COUNTA(Y$4:$AE$4),'Dev Patterns'!$B$6:$F$34,$A61,0)</f>
        <v>0</v>
      </c>
      <c r="Z61" s="209">
        <f>'Current - MGA only'!Z61/VLOOKUP(COUNTA(Z$4:$AE$4),'Dev Patterns'!$B$6:$F$34,$A61,0)</f>
        <v>0</v>
      </c>
      <c r="AA61" s="209">
        <f>'Current - MGA only'!AA61/VLOOKUP(COUNTA(AA$4:$AE$4),'Dev Patterns'!$B$6:$F$34,$A61,0)</f>
        <v>0</v>
      </c>
      <c r="AB61" s="265">
        <f>'Current - MGA only'!AB61/VLOOKUP(COUNTA(AB$4:$AE$4),'Dev Patterns'!$B$6:$F$34,$A61,0)</f>
        <v>0</v>
      </c>
      <c r="AC61" s="209">
        <f>'Current - MGA only'!AC61/VLOOKUP(COUNTA(AC$4:$AE$4),'Dev Patterns'!$B$6:$F$34,$A61,0)</f>
        <v>0</v>
      </c>
      <c r="AD61" s="209">
        <f>'Current - MGA only'!AD61/VLOOKUP(COUNTA(AD$4:$AE$4),'Dev Patterns'!$B$6:$F$34,$A61,0)</f>
        <v>0</v>
      </c>
      <c r="AE61" s="209">
        <f>'Current - MGA only'!AE61/VLOOKUP(COUNTA(AE$4:$AE$4),'Dev Patterns'!$B$6:$F$34,$A61,0)</f>
        <v>0</v>
      </c>
      <c r="AF61" s="209">
        <f>'Current - MGA only'!AF61/VLOOKUP(COUNTA($AE$4:AF$4),'Dev Patterns'!$B$6:$F$34,$A61,0)</f>
        <v>0</v>
      </c>
      <c r="AG61" s="209">
        <f>'Current - MGA only'!AG61/VLOOKUP(COUNTA($AE$4:AG$4),'Dev Patterns'!$B$6:$F$34,$A61,0)</f>
        <v>0</v>
      </c>
      <c r="AH61" s="209">
        <f>'Current - MGA only'!AH61/VLOOKUP(COUNTA($AE$4:AH$4),'Dev Patterns'!$B$6:$F$34,$A61,0)</f>
        <v>0</v>
      </c>
      <c r="AI61" s="209">
        <f>'Current - MGA only'!AI61/VLOOKUP(COUNTA($AE$4:AI$4),'Dev Patterns'!$B$6:$F$34,$A61,0)</f>
        <v>0</v>
      </c>
      <c r="AJ61" s="209">
        <f>'Current - MGA only'!AJ61/VLOOKUP(COUNTA($AE$4:AJ$4),'Dev Patterns'!$B$6:$F$34,$A61,0)</f>
        <v>0</v>
      </c>
      <c r="AK61" s="209">
        <f>'Current - MGA only'!AK61/VLOOKUP(COUNTA($AE$4:AK$4),'Dev Patterns'!$B$6:$F$34,$A61,0)</f>
        <v>0</v>
      </c>
      <c r="AL61" s="209">
        <f>'Current - MGA only'!AL61/VLOOKUP(COUNTA($AE$4:AL$4),'Dev Patterns'!$B$6:$F$34,$A61,0)</f>
        <v>0</v>
      </c>
      <c r="AM61" s="209">
        <f>'Current - MGA only'!AM61/VLOOKUP(COUNTA($AE$4:AM$4),'Dev Patterns'!$B$6:$F$34,$A61,0)</f>
        <v>0</v>
      </c>
      <c r="AN61" s="265">
        <f>'Current - MGA only'!AN61/VLOOKUP(COUNTA($AE$4:AN$4),'Dev Patterns'!$B$6:$F$34,$A61,0)</f>
        <v>0</v>
      </c>
      <c r="AO61" s="237">
        <f t="shared" si="53"/>
        <v>0</v>
      </c>
      <c r="AP61" s="209">
        <f t="shared" si="54"/>
        <v>0</v>
      </c>
      <c r="AQ61" s="238">
        <f>SUMIFS(AC61:AN61,AC$4:AN$4,"&lt;"&amp;'Title Sheet'!$C$13)</f>
        <v>0</v>
      </c>
    </row>
    <row r="62" spans="1:43" ht="15.75" outlineLevel="1" x14ac:dyDescent="0.25">
      <c r="B62" t="str">
        <f>$D$21&amp;"_NWP"</f>
        <v>PC Annual Direct - Annual_NWP</v>
      </c>
      <c r="C62" t="str">
        <f t="shared" si="56"/>
        <v>Boom Premium Finance</v>
      </c>
      <c r="D62" s="211" t="s">
        <v>6</v>
      </c>
      <c r="E62" s="31" t="e">
        <f>INDEX('Plan Figures'!$B$5:$AP$31,MATCH('Ultimate - MGA only'!E$4,'Plan Figures'!$B$5:$B$31,0),MATCH('Ultimate - MGA only'!$B62,'Plan Figures'!$B$1:$AP$1,0))</f>
        <v>#N/A</v>
      </c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6"/>
      <c r="Q62" s="31"/>
      <c r="R62" s="31" t="str">
        <f>INDEX('Plan Figures'!$B$5:$AP$31,MATCH('Ultimate - MGA only'!R$4,'Plan Figures'!$B$5:$B$31,0),MATCH('Ultimate - MGA only'!$B62,'Plan Figures'!$B$1:$AP$1,0))</f>
        <v>-</v>
      </c>
      <c r="S62" s="31" t="str">
        <f>INDEX('Plan Figures'!$B$5:$AP$31,MATCH('Ultimate - MGA only'!S$4,'Plan Figures'!$B$5:$B$31,0),MATCH('Ultimate - MGA only'!$B62,'Plan Figures'!$B$1:$AP$1,0))</f>
        <v>-</v>
      </c>
      <c r="T62" s="31" t="str">
        <f>INDEX('Plan Figures'!$B$5:$AP$31,MATCH('Ultimate - MGA only'!T$4,'Plan Figures'!$B$5:$B$31,0),MATCH('Ultimate - MGA only'!$B62,'Plan Figures'!$B$1:$AP$1,0))</f>
        <v>-</v>
      </c>
      <c r="U62" s="31" t="str">
        <f>INDEX('Plan Figures'!$B$5:$AP$31,MATCH('Ultimate - MGA only'!U$4,'Plan Figures'!$B$5:$B$31,0),MATCH('Ultimate - MGA only'!$B62,'Plan Figures'!$B$1:$AP$1,0))</f>
        <v>-</v>
      </c>
      <c r="V62" s="31" t="str">
        <f>INDEX('Plan Figures'!$B$5:$AP$31,MATCH('Ultimate - MGA only'!V$4,'Plan Figures'!$B$5:$B$31,0),MATCH('Ultimate - MGA only'!$B62,'Plan Figures'!$B$1:$AP$1,0))</f>
        <v>-</v>
      </c>
      <c r="W62" s="31" t="str">
        <f>INDEX('Plan Figures'!$B$5:$AP$31,MATCH('Ultimate - MGA only'!W$4,'Plan Figures'!$B$5:$B$31,0),MATCH('Ultimate - MGA only'!$B62,'Plan Figures'!$B$1:$AP$1,0))</f>
        <v>-</v>
      </c>
      <c r="X62" s="31" t="str">
        <f>INDEX('Plan Figures'!$B$5:$AP$31,MATCH('Ultimate - MGA only'!X$4,'Plan Figures'!$B$5:$B$31,0),MATCH('Ultimate - MGA only'!$B62,'Plan Figures'!$B$1:$AP$1,0))</f>
        <v>-</v>
      </c>
      <c r="Y62" s="31" t="str">
        <f>INDEX('Plan Figures'!$B$5:$AP$31,MATCH('Ultimate - MGA only'!Y$4,'Plan Figures'!$B$5:$B$31,0),MATCH('Ultimate - MGA only'!$B62,'Plan Figures'!$B$1:$AP$1,0))</f>
        <v>-</v>
      </c>
      <c r="Z62" s="31" t="str">
        <f>INDEX('Plan Figures'!$B$5:$AP$31,MATCH('Ultimate - MGA only'!Z$4,'Plan Figures'!$B$5:$B$31,0),MATCH('Ultimate - MGA only'!$B62,'Plan Figures'!$B$1:$AP$1,0))</f>
        <v>-</v>
      </c>
      <c r="AA62" s="31">
        <f>INDEX('Plan Figures'!$B$5:$AP$31,MATCH('Ultimate - MGA only'!AA$4,'Plan Figures'!$B$5:$B$31,0),MATCH('Ultimate - MGA only'!$B62,'Plan Figures'!$B$1:$AP$1,0))</f>
        <v>1201948.8602582696</v>
      </c>
      <c r="AB62" s="266">
        <f>INDEX('Plan Figures'!$B$5:$AP$31,MATCH('Ultimate - MGA only'!AB$4,'Plan Figures'!$B$5:$B$31,0),MATCH('Ultimate - MGA only'!$B62,'Plan Figures'!$B$1:$AP$1,0))</f>
        <v>1130181.9540233866</v>
      </c>
      <c r="AC62" s="31">
        <f>INDEX('Plan Figures'!$B$5:$AP$31,MATCH('Ultimate - MGA only'!AC$4,'Plan Figures'!$B$5:$B$31,0),MATCH('Ultimate - MGA only'!$B62,'Plan Figures'!$B$1:$AP$1,0))</f>
        <v>1235960.0527141613</v>
      </c>
      <c r="AD62" s="31">
        <f>INDEX('Plan Figures'!$B$5:$AP$42,MATCH('Ultimate - MGA only'!AD$4,'Plan Figures'!$B$5:$B$42,0),MATCH('Ultimate - MGA only'!$B62,'Plan Figures'!$B$1:$AP$1,0))</f>
        <v>1333459.558352059</v>
      </c>
      <c r="AE62" s="31">
        <f>INDEX('Plan Figures'!$B$5:$AP$42,MATCH('Ultimate - MGA only'!AE$4,'Plan Figures'!$B$5:$B$42,0),MATCH('Ultimate - MGA only'!$B62,'Plan Figures'!$B$1:$AP$1,0))</f>
        <v>1387558.0023525297</v>
      </c>
      <c r="AF62" s="31">
        <f>INDEX('Plan Figures'!$B$5:$AP$42,MATCH('Ultimate - MGA only'!AF$4,'Plan Figures'!$B$5:$B$42,0),MATCH('Ultimate - MGA only'!$B62,'Plan Figures'!$B$1:$AP$1,0))</f>
        <v>1433144.0223048357</v>
      </c>
      <c r="AG62" s="31">
        <f>INDEX('Plan Figures'!$B$5:$AP$42,MATCH('Ultimate - MGA only'!AG$4,'Plan Figures'!$B$5:$B$42,0),MATCH('Ultimate - MGA only'!$B62,'Plan Figures'!$B$1:$AP$1,0))</f>
        <v>1450615.9831731343</v>
      </c>
      <c r="AH62" s="31">
        <f>INDEX('Plan Figures'!$B$5:$AP$42,MATCH('Ultimate - MGA only'!AH$4,'Plan Figures'!$B$5:$B$42,0),MATCH('Ultimate - MGA only'!$B62,'Plan Figures'!$B$1:$AP$1,0))</f>
        <v>1477938.9090293914</v>
      </c>
      <c r="AI62" s="31">
        <f>INDEX('Plan Figures'!$B$5:$AP$42,MATCH('Ultimate - MGA only'!AI$4,'Plan Figures'!$B$5:$B$42,0),MATCH('Ultimate - MGA only'!$B62,'Plan Figures'!$B$1:$AP$1,0))</f>
        <v>1091240.230856986</v>
      </c>
      <c r="AJ62" s="31">
        <f>INDEX('Plan Figures'!$B$5:$AP$42,MATCH('Ultimate - MGA only'!AJ$4,'Plan Figures'!$B$5:$B$42,0),MATCH('Ultimate - MGA only'!$B62,'Plan Figures'!$B$1:$AP$1,0))</f>
        <v>1077448.4163922931</v>
      </c>
      <c r="AK62" s="31">
        <f>INDEX('Plan Figures'!$B$5:$AP$42,MATCH('Ultimate - MGA only'!AK$4,'Plan Figures'!$B$5:$B$42,0),MATCH('Ultimate - MGA only'!$B62,'Plan Figures'!$B$1:$AP$1,0))</f>
        <v>1476073.2552601595</v>
      </c>
      <c r="AL62" s="31">
        <f>INDEX('Plan Figures'!$B$5:$AP$42,MATCH('Ultimate - MGA only'!AL$4,'Plan Figures'!$B$5:$B$42,0),MATCH('Ultimate - MGA only'!$B62,'Plan Figures'!$B$1:$AP$1,0))</f>
        <v>1607394.6364770622</v>
      </c>
      <c r="AM62" s="31">
        <f>INDEX('Plan Figures'!$B$5:$AP$42,MATCH('Ultimate - MGA only'!AM$4,'Plan Figures'!$B$5:$B$42,0),MATCH('Ultimate - MGA only'!$B62,'Plan Figures'!$B$1:$AP$1,0))</f>
        <v>1381402.3361292861</v>
      </c>
      <c r="AN62" s="266">
        <f>INDEX('Plan Figures'!$B$5:$AP$42,MATCH('Ultimate - MGA only'!AN$4,'Plan Figures'!$B$5:$B$42,0),MATCH('Ultimate - MGA only'!$B62,'Plan Figures'!$B$1:$AP$1,0))</f>
        <v>1254506.4774169179</v>
      </c>
      <c r="AO62" s="239">
        <f t="shared" si="53"/>
        <v>1189363.6223319394</v>
      </c>
      <c r="AP62" s="31">
        <f t="shared" si="54"/>
        <v>1189363.6223319394</v>
      </c>
      <c r="AQ62" s="240">
        <f>SUMIFS(AC62:AN62,AC$4:AN$4,"&lt;"&amp;'Title Sheet'!$C$13)</f>
        <v>16206741.880458815</v>
      </c>
    </row>
    <row r="63" spans="1:43" ht="15.75" outlineLevel="1" x14ac:dyDescent="0.25">
      <c r="B63" t="str">
        <f t="shared" si="55"/>
        <v>PC Annual Direct</v>
      </c>
      <c r="C63" t="str">
        <f t="shared" si="56"/>
        <v>Boom Premium Finance</v>
      </c>
      <c r="D63" s="213" t="s">
        <v>0</v>
      </c>
      <c r="E63" s="214" t="str">
        <f t="shared" ref="E63:AN63" si="59">IFERROR(IF(E61=0,"-",(E61/E62)-1),"-")</f>
        <v>-</v>
      </c>
      <c r="F63" s="214" t="str">
        <f t="shared" si="59"/>
        <v>-</v>
      </c>
      <c r="G63" s="214" t="str">
        <f t="shared" si="59"/>
        <v>-</v>
      </c>
      <c r="H63" s="214" t="str">
        <f t="shared" si="59"/>
        <v>-</v>
      </c>
      <c r="I63" s="214" t="str">
        <f t="shared" si="59"/>
        <v>-</v>
      </c>
      <c r="J63" s="214" t="str">
        <f t="shared" si="59"/>
        <v>-</v>
      </c>
      <c r="K63" s="214" t="str">
        <f t="shared" si="59"/>
        <v>-</v>
      </c>
      <c r="L63" s="214" t="str">
        <f t="shared" si="59"/>
        <v>-</v>
      </c>
      <c r="M63" s="214" t="str">
        <f t="shared" si="59"/>
        <v>-</v>
      </c>
      <c r="N63" s="214" t="str">
        <f t="shared" si="59"/>
        <v>-</v>
      </c>
      <c r="O63" s="214" t="str">
        <f t="shared" si="59"/>
        <v>-</v>
      </c>
      <c r="P63" s="270" t="str">
        <f t="shared" si="59"/>
        <v>-</v>
      </c>
      <c r="Q63" s="214" t="str">
        <f t="shared" si="59"/>
        <v>-</v>
      </c>
      <c r="R63" s="214" t="str">
        <f t="shared" si="59"/>
        <v>-</v>
      </c>
      <c r="S63" s="214" t="str">
        <f t="shared" si="59"/>
        <v>-</v>
      </c>
      <c r="T63" s="214" t="str">
        <f t="shared" si="59"/>
        <v>-</v>
      </c>
      <c r="U63" s="214" t="str">
        <f t="shared" si="59"/>
        <v>-</v>
      </c>
      <c r="V63" s="214" t="str">
        <f t="shared" si="59"/>
        <v>-</v>
      </c>
      <c r="W63" s="214" t="str">
        <f t="shared" si="59"/>
        <v>-</v>
      </c>
      <c r="X63" s="214" t="str">
        <f t="shared" si="59"/>
        <v>-</v>
      </c>
      <c r="Y63" s="214" t="str">
        <f t="shared" si="59"/>
        <v>-</v>
      </c>
      <c r="Z63" s="214" t="str">
        <f t="shared" si="59"/>
        <v>-</v>
      </c>
      <c r="AA63" s="214" t="str">
        <f t="shared" si="59"/>
        <v>-</v>
      </c>
      <c r="AB63" s="270" t="str">
        <f t="shared" si="59"/>
        <v>-</v>
      </c>
      <c r="AC63" s="214" t="str">
        <f t="shared" si="59"/>
        <v>-</v>
      </c>
      <c r="AD63" s="214" t="str">
        <f t="shared" si="59"/>
        <v>-</v>
      </c>
      <c r="AE63" s="214" t="str">
        <f t="shared" si="59"/>
        <v>-</v>
      </c>
      <c r="AF63" s="214" t="str">
        <f t="shared" si="59"/>
        <v>-</v>
      </c>
      <c r="AG63" s="214" t="str">
        <f t="shared" si="59"/>
        <v>-</v>
      </c>
      <c r="AH63" s="214" t="str">
        <f t="shared" si="59"/>
        <v>-</v>
      </c>
      <c r="AI63" s="214" t="str">
        <f t="shared" si="59"/>
        <v>-</v>
      </c>
      <c r="AJ63" s="214" t="str">
        <f t="shared" si="59"/>
        <v>-</v>
      </c>
      <c r="AK63" s="214" t="str">
        <f t="shared" si="59"/>
        <v>-</v>
      </c>
      <c r="AL63" s="214" t="str">
        <f t="shared" si="59"/>
        <v>-</v>
      </c>
      <c r="AM63" s="214" t="str">
        <f t="shared" si="59"/>
        <v>-</v>
      </c>
      <c r="AN63" s="270" t="str">
        <f t="shared" si="59"/>
        <v>-</v>
      </c>
      <c r="AO63" s="274" t="e">
        <f t="shared" si="53"/>
        <v>#DIV/0!</v>
      </c>
      <c r="AP63" s="275" t="e">
        <f t="shared" si="54"/>
        <v>#DIV/0!</v>
      </c>
      <c r="AQ63" s="276" t="str">
        <f t="shared" ref="AQ63" si="60">IFERROR(IF(AQ61=0,"-",(AQ61/AQ62)-1),"-")</f>
        <v>-</v>
      </c>
    </row>
    <row r="64" spans="1:43" ht="15.75" outlineLevel="1" x14ac:dyDescent="0.25">
      <c r="B64" t="str">
        <f t="shared" si="55"/>
        <v>PC Annual Direct</v>
      </c>
      <c r="C64" t="str">
        <f t="shared" si="56"/>
        <v>Boom Premium Finance</v>
      </c>
      <c r="D64" s="208" t="s">
        <v>12</v>
      </c>
      <c r="E64" s="209">
        <f>IFERROR(E61/E58,0)</f>
        <v>0</v>
      </c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65"/>
      <c r="Q64" s="209"/>
      <c r="R64" s="209">
        <f t="shared" ref="R64:AP65" si="61">IFERROR(R61/R58,0)</f>
        <v>0</v>
      </c>
      <c r="S64" s="209">
        <f t="shared" si="61"/>
        <v>0</v>
      </c>
      <c r="T64" s="209">
        <f t="shared" si="61"/>
        <v>0</v>
      </c>
      <c r="U64" s="209">
        <f t="shared" si="61"/>
        <v>0</v>
      </c>
      <c r="V64" s="209">
        <f t="shared" si="61"/>
        <v>0</v>
      </c>
      <c r="W64" s="209">
        <f t="shared" si="61"/>
        <v>0</v>
      </c>
      <c r="X64" s="209">
        <f t="shared" si="61"/>
        <v>0</v>
      </c>
      <c r="Y64" s="209">
        <f t="shared" si="61"/>
        <v>0</v>
      </c>
      <c r="Z64" s="209">
        <f t="shared" si="61"/>
        <v>0</v>
      </c>
      <c r="AA64" s="209">
        <f t="shared" si="61"/>
        <v>0</v>
      </c>
      <c r="AB64" s="265">
        <f t="shared" si="61"/>
        <v>0</v>
      </c>
      <c r="AC64" s="209">
        <f t="shared" si="61"/>
        <v>0</v>
      </c>
      <c r="AD64" s="209">
        <f t="shared" si="61"/>
        <v>0</v>
      </c>
      <c r="AE64" s="209">
        <f t="shared" si="61"/>
        <v>0</v>
      </c>
      <c r="AF64" s="209">
        <f t="shared" si="61"/>
        <v>0</v>
      </c>
      <c r="AG64" s="209">
        <f t="shared" si="61"/>
        <v>0</v>
      </c>
      <c r="AH64" s="209">
        <f t="shared" si="61"/>
        <v>0</v>
      </c>
      <c r="AI64" s="209">
        <f t="shared" si="61"/>
        <v>0</v>
      </c>
      <c r="AJ64" s="209">
        <f t="shared" si="61"/>
        <v>0</v>
      </c>
      <c r="AK64" s="209">
        <f t="shared" si="61"/>
        <v>0</v>
      </c>
      <c r="AL64" s="209">
        <f t="shared" si="61"/>
        <v>0</v>
      </c>
      <c r="AM64" s="209">
        <f t="shared" si="61"/>
        <v>0</v>
      </c>
      <c r="AN64" s="265">
        <f t="shared" si="61"/>
        <v>0</v>
      </c>
      <c r="AO64" s="237">
        <f t="shared" si="61"/>
        <v>0</v>
      </c>
      <c r="AP64" s="209">
        <f t="shared" si="61"/>
        <v>0</v>
      </c>
      <c r="AQ64" s="238">
        <f>SUMIFS(AC64:AN64,AC$4:AN$4,"&lt;"&amp;'Title Sheet'!$C$13)</f>
        <v>0</v>
      </c>
    </row>
    <row r="65" spans="1:43" ht="15.75" hidden="1" outlineLevel="1" x14ac:dyDescent="0.25">
      <c r="B65" t="str">
        <f t="shared" si="55"/>
        <v>PC Annual Direct</v>
      </c>
      <c r="C65" t="str">
        <f t="shared" si="56"/>
        <v>Boom Premium Finance</v>
      </c>
      <c r="D65" s="211" t="s">
        <v>13</v>
      </c>
      <c r="E65" s="31">
        <f>IFERROR(E62/E59,0)</f>
        <v>0</v>
      </c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266"/>
      <c r="Q65" s="31"/>
      <c r="R65" s="31">
        <f t="shared" si="61"/>
        <v>0</v>
      </c>
      <c r="S65" s="31">
        <f t="shared" si="61"/>
        <v>0</v>
      </c>
      <c r="T65" s="31">
        <f t="shared" si="61"/>
        <v>0</v>
      </c>
      <c r="U65" s="31">
        <f t="shared" si="61"/>
        <v>0</v>
      </c>
      <c r="V65" s="31">
        <f t="shared" si="61"/>
        <v>0</v>
      </c>
      <c r="W65" s="31">
        <f t="shared" si="61"/>
        <v>0</v>
      </c>
      <c r="X65" s="31">
        <f t="shared" si="61"/>
        <v>0</v>
      </c>
      <c r="Y65" s="31">
        <f t="shared" si="61"/>
        <v>0</v>
      </c>
      <c r="Z65" s="31">
        <f t="shared" si="61"/>
        <v>0</v>
      </c>
      <c r="AA65" s="31">
        <f t="shared" si="61"/>
        <v>1079.510683288258</v>
      </c>
      <c r="AB65" s="266">
        <f t="shared" si="61"/>
        <v>1141.9736170890237</v>
      </c>
      <c r="AC65" s="31">
        <f t="shared" si="61"/>
        <v>1020.9920064895846</v>
      </c>
      <c r="AD65" s="31">
        <f t="shared" si="61"/>
        <v>1103.7366864398034</v>
      </c>
      <c r="AE65" s="31">
        <f t="shared" si="61"/>
        <v>1150.8123058487083</v>
      </c>
      <c r="AF65" s="31">
        <f t="shared" si="61"/>
        <v>1190.9976618446992</v>
      </c>
      <c r="AG65" s="31">
        <f t="shared" si="61"/>
        <v>1207.8192438307094</v>
      </c>
      <c r="AH65" s="31">
        <f t="shared" si="61"/>
        <v>1202.675541936135</v>
      </c>
      <c r="AI65" s="31">
        <f t="shared" si="61"/>
        <v>937.7600119478036</v>
      </c>
      <c r="AJ65" s="31">
        <f t="shared" si="61"/>
        <v>942.81090802039057</v>
      </c>
      <c r="AK65" s="31">
        <f t="shared" si="61"/>
        <v>932.20743023828948</v>
      </c>
      <c r="AL65" s="31">
        <f t="shared" si="61"/>
        <v>984.06696167791745</v>
      </c>
      <c r="AM65" s="31">
        <f t="shared" si="61"/>
        <v>971.48917552364753</v>
      </c>
      <c r="AN65" s="266">
        <f t="shared" si="61"/>
        <v>970.91400623368202</v>
      </c>
      <c r="AO65" s="239">
        <f t="shared" si="61"/>
        <v>1076.7880846593339</v>
      </c>
      <c r="AP65" s="31">
        <f t="shared" si="61"/>
        <v>1076.7880846593339</v>
      </c>
      <c r="AQ65" s="240">
        <f>SUMIFS(AC65:AN65,AC$4:AN$4,"&lt;"&amp;'Title Sheet'!$C$13)</f>
        <v>12616.281940031373</v>
      </c>
    </row>
    <row r="66" spans="1:43" ht="15.75" hidden="1" outlineLevel="1" x14ac:dyDescent="0.25">
      <c r="B66" t="str">
        <f t="shared" si="55"/>
        <v>PC Annual Direct</v>
      </c>
      <c r="C66" t="str">
        <f t="shared" si="56"/>
        <v>Boom Premium Finance</v>
      </c>
      <c r="D66" s="213" t="s">
        <v>0</v>
      </c>
      <c r="E66" s="214" t="str">
        <f t="shared" ref="E66:AN66" si="62">IFERROR(IF(E64=0,"-",(E64/E65)-1),"-")</f>
        <v>-</v>
      </c>
      <c r="F66" s="214" t="str">
        <f t="shared" si="62"/>
        <v>-</v>
      </c>
      <c r="G66" s="214" t="str">
        <f t="shared" si="62"/>
        <v>-</v>
      </c>
      <c r="H66" s="214" t="str">
        <f t="shared" si="62"/>
        <v>-</v>
      </c>
      <c r="I66" s="214" t="str">
        <f t="shared" si="62"/>
        <v>-</v>
      </c>
      <c r="J66" s="214" t="str">
        <f t="shared" si="62"/>
        <v>-</v>
      </c>
      <c r="K66" s="214" t="str">
        <f t="shared" si="62"/>
        <v>-</v>
      </c>
      <c r="L66" s="214" t="str">
        <f t="shared" si="62"/>
        <v>-</v>
      </c>
      <c r="M66" s="214" t="str">
        <f t="shared" si="62"/>
        <v>-</v>
      </c>
      <c r="N66" s="214" t="str">
        <f t="shared" si="62"/>
        <v>-</v>
      </c>
      <c r="O66" s="214" t="str">
        <f t="shared" si="62"/>
        <v>-</v>
      </c>
      <c r="P66" s="270" t="str">
        <f t="shared" si="62"/>
        <v>-</v>
      </c>
      <c r="Q66" s="214" t="str">
        <f t="shared" si="62"/>
        <v>-</v>
      </c>
      <c r="R66" s="214" t="str">
        <f t="shared" si="62"/>
        <v>-</v>
      </c>
      <c r="S66" s="214" t="str">
        <f t="shared" si="62"/>
        <v>-</v>
      </c>
      <c r="T66" s="214" t="str">
        <f t="shared" si="62"/>
        <v>-</v>
      </c>
      <c r="U66" s="214" t="str">
        <f t="shared" si="62"/>
        <v>-</v>
      </c>
      <c r="V66" s="214" t="str">
        <f t="shared" si="62"/>
        <v>-</v>
      </c>
      <c r="W66" s="214" t="str">
        <f t="shared" si="62"/>
        <v>-</v>
      </c>
      <c r="X66" s="214" t="str">
        <f t="shared" si="62"/>
        <v>-</v>
      </c>
      <c r="Y66" s="214" t="str">
        <f t="shared" si="62"/>
        <v>-</v>
      </c>
      <c r="Z66" s="214" t="str">
        <f t="shared" si="62"/>
        <v>-</v>
      </c>
      <c r="AA66" s="214" t="str">
        <f t="shared" si="62"/>
        <v>-</v>
      </c>
      <c r="AB66" s="270" t="str">
        <f t="shared" si="62"/>
        <v>-</v>
      </c>
      <c r="AC66" s="214" t="str">
        <f t="shared" si="62"/>
        <v>-</v>
      </c>
      <c r="AD66" s="214" t="str">
        <f t="shared" si="62"/>
        <v>-</v>
      </c>
      <c r="AE66" s="214" t="str">
        <f t="shared" si="62"/>
        <v>-</v>
      </c>
      <c r="AF66" s="214" t="str">
        <f t="shared" si="62"/>
        <v>-</v>
      </c>
      <c r="AG66" s="214" t="str">
        <f t="shared" si="62"/>
        <v>-</v>
      </c>
      <c r="AH66" s="214" t="str">
        <f t="shared" si="62"/>
        <v>-</v>
      </c>
      <c r="AI66" s="214" t="str">
        <f t="shared" si="62"/>
        <v>-</v>
      </c>
      <c r="AJ66" s="214" t="str">
        <f t="shared" si="62"/>
        <v>-</v>
      </c>
      <c r="AK66" s="214" t="str">
        <f t="shared" si="62"/>
        <v>-</v>
      </c>
      <c r="AL66" s="214" t="str">
        <f t="shared" si="62"/>
        <v>-</v>
      </c>
      <c r="AM66" s="214" t="str">
        <f t="shared" si="62"/>
        <v>-</v>
      </c>
      <c r="AN66" s="270" t="str">
        <f t="shared" si="62"/>
        <v>-</v>
      </c>
      <c r="AO66" s="274">
        <f t="shared" ref="AO66:AP66" si="63">AO64-AO65</f>
        <v>-1076.7880846593339</v>
      </c>
      <c r="AP66" s="275">
        <f t="shared" si="63"/>
        <v>-1076.7880846593339</v>
      </c>
      <c r="AQ66" s="276" t="str">
        <f t="shared" ref="AQ66" si="64">IFERROR(IF(AQ64=0,"-",(AQ64/AQ65)-1),"-")</f>
        <v>-</v>
      </c>
    </row>
    <row r="67" spans="1:43" outlineLevel="1" x14ac:dyDescent="0.25">
      <c r="B67" t="str">
        <f t="shared" si="55"/>
        <v>PC Annual Direct</v>
      </c>
      <c r="C67" t="str">
        <f t="shared" si="56"/>
        <v>Boom Premium Finance</v>
      </c>
      <c r="D67" s="258" t="s">
        <v>17</v>
      </c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67"/>
      <c r="Q67" s="259"/>
      <c r="R67" s="259"/>
      <c r="S67" s="259"/>
      <c r="T67" s="259"/>
      <c r="U67" s="259"/>
      <c r="V67" s="259"/>
      <c r="W67" s="259"/>
      <c r="X67" s="259"/>
      <c r="Y67" s="259"/>
      <c r="Z67" s="259"/>
      <c r="AA67" s="259"/>
      <c r="AB67" s="267"/>
      <c r="AC67" s="259"/>
      <c r="AD67" s="259"/>
      <c r="AE67" s="259"/>
      <c r="AF67" s="259"/>
      <c r="AG67" s="259"/>
      <c r="AH67" s="259"/>
      <c r="AI67" s="259"/>
      <c r="AJ67" s="259"/>
      <c r="AK67" s="259"/>
      <c r="AL67" s="259"/>
      <c r="AM67" s="259"/>
      <c r="AN67" s="267"/>
      <c r="AO67" s="277"/>
      <c r="AP67" s="277"/>
      <c r="AQ67" s="278">
        <f>SUMIFS(AC67:AN67,AC$4:AN$4,"&lt;"&amp;'Title Sheet'!$C$13)</f>
        <v>0</v>
      </c>
    </row>
    <row r="68" spans="1:43" ht="15.75" outlineLevel="1" x14ac:dyDescent="0.25">
      <c r="A68">
        <v>4</v>
      </c>
      <c r="B68" t="str">
        <f t="shared" si="55"/>
        <v>PC Annual Direct</v>
      </c>
      <c r="C68" t="str">
        <f t="shared" si="56"/>
        <v>Boom Premium Finance</v>
      </c>
      <c r="D68" s="208" t="s">
        <v>7</v>
      </c>
      <c r="E68" s="282" t="e">
        <f>'Current - Sales, NWP, GWP'!E70/VLOOKUP(COUNTA(E$4:$AC$4),'Dev Patterns'!$B$6:$F$22,$A68,0)</f>
        <v>#N/A</v>
      </c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4"/>
      <c r="Q68" s="282"/>
      <c r="R68" s="283">
        <f>'Current - Sales, NWP, GWP'!R70/VLOOKUP(COUNTA(R$4:$AC$4),'Dev Patterns'!$B$6:$F$22,$A68,0)</f>
        <v>2345283.6687767105</v>
      </c>
      <c r="S68" s="283">
        <f>'Current - Sales, NWP, GWP'!S70/VLOOKUP(COUNTA(S$4:$AC$4),'Dev Patterns'!$B$6:$F$22,$A68,0)</f>
        <v>4250762.1242564004</v>
      </c>
      <c r="T68" s="283">
        <f>'Current - Sales, NWP, GWP'!T70/VLOOKUP(COUNTA(T$4:$AC$4),'Dev Patterns'!$B$6:$F$22,$A68,0)</f>
        <v>3929650.829002101</v>
      </c>
      <c r="U68" s="283">
        <f>'Current - Sales, NWP, GWP'!U70/VLOOKUP(COUNTA(U$4:$AC$4),'Dev Patterns'!$B$6:$F$22,$A68,0)</f>
        <v>3665123.6085851318</v>
      </c>
      <c r="V68" s="283">
        <f>'Current - Sales, NWP, GWP'!V70/VLOOKUP(COUNTA(V$4:$AC$4),'Dev Patterns'!$B$6:$F$22,$A68,0)</f>
        <v>3058424.6531097731</v>
      </c>
      <c r="W68" s="283">
        <f>'Current - Sales, NWP, GWP'!W70/VLOOKUP(COUNTA(W$4:$AC$4),'Dev Patterns'!$B$6:$F$22,$A68,0)</f>
        <v>2573438.4427742809</v>
      </c>
      <c r="X68" s="283">
        <f>'Current - Sales, NWP, GWP'!X70/VLOOKUP(COUNTA(X$4:$AC$4),'Dev Patterns'!$B$6:$F$22,$A68,0)</f>
        <v>2259255.7273896779</v>
      </c>
      <c r="Y68" s="283">
        <f>'Current - Sales, NWP, GWP'!Y70/VLOOKUP(COUNTA(Y$4:$AC$4),'Dev Patterns'!$B$6:$F$22,$A68,0)</f>
        <v>2129165.0108675747</v>
      </c>
      <c r="Z68" s="283">
        <f>'Current - Sales, NWP, GWP'!Z70/VLOOKUP(COUNTA(Z$4:$AC$4),'Dev Patterns'!$B$6:$F$22,$A68,0)</f>
        <v>2102834.0749517716</v>
      </c>
      <c r="AA68" s="283">
        <f>'Current - Sales, NWP, GWP'!AA70/VLOOKUP(COUNTA(AA$4:$AC$4),'Dev Patterns'!$B$6:$F$22,$A68,0)</f>
        <v>2390072.9465516657</v>
      </c>
      <c r="AB68" s="284">
        <f>'Current - Sales, NWP, GWP'!AB70/VLOOKUP(COUNTA(AB$4:$AC$4),'Dev Patterns'!$B$6:$F$22,$A68,0)</f>
        <v>2580609.6106255967</v>
      </c>
      <c r="AC68" s="282">
        <f>'Current - Sales, NWP, GWP'!AC70/VLOOKUP(COUNTA(AC$4:$AC$4),'Dev Patterns'!$B$6:$F$22,$A68,0)</f>
        <v>2799871.7293245126</v>
      </c>
      <c r="AD68" s="283">
        <f>'Current - Sales, NWP, GWP'!AD70/VLOOKUP(COUNTA($AC$4:AD$4),'Dev Patterns'!$B$6:$F$22,$A68,0)</f>
        <v>2381824.7171285395</v>
      </c>
      <c r="AE68" s="283">
        <f>'Current - Sales, NWP, GWP'!AE70/VLOOKUP(COUNTA($AC$4:AE$4),'Dev Patterns'!$B$6:$F$22,$A68,0)</f>
        <v>3121656.6673379536</v>
      </c>
      <c r="AF68" s="283">
        <f>'Current - Sales, NWP, GWP'!AF70/VLOOKUP(COUNTA($AC$4:AF$4),'Dev Patterns'!$B$6:$F$22,$A68,0)</f>
        <v>3063706.169598897</v>
      </c>
      <c r="AG68" s="283">
        <f>'Current - Sales, NWP, GWP'!AG70/VLOOKUP(COUNTA($AC$4:AG$4),'Dev Patterns'!$B$6:$F$22,$A68,0)</f>
        <v>3142284.5980885015</v>
      </c>
      <c r="AH68" s="283">
        <f>'Current - Sales, NWP, GWP'!AH70/VLOOKUP(COUNTA($AC$4:AH$4),'Dev Patterns'!$B$6:$F$22,$A68,0)</f>
        <v>2899241.2863392546</v>
      </c>
      <c r="AI68" s="283">
        <f>'Current - Sales, NWP, GWP'!AI70/VLOOKUP(COUNTA($AC$4:AI$4),'Dev Patterns'!$B$6:$F$22,$A68,0)</f>
        <v>2925516.9825428817</v>
      </c>
      <c r="AJ68" s="283">
        <f>'Current - Sales, NWP, GWP'!AJ70/VLOOKUP(COUNTA($AC$4:AJ$4),'Dev Patterns'!$B$6:$F$22,$A68,0)</f>
        <v>1446210.1471645101</v>
      </c>
      <c r="AK68" s="283">
        <f>'Current - Sales, NWP, GWP'!AK70/VLOOKUP(COUNTA($AC$4:AK$4),'Dev Patterns'!$B$6:$F$22,$A68,0)</f>
        <v>0</v>
      </c>
      <c r="AL68" s="283">
        <f>'Current - Sales, NWP, GWP'!AL70/VLOOKUP(COUNTA($AC$4:AL$4),'Dev Patterns'!$B$6:$F$22,$A68,0)</f>
        <v>0</v>
      </c>
      <c r="AM68" s="283">
        <f>'Current - Sales, NWP, GWP'!AM70/VLOOKUP(COUNTA($AC$4:AM$4),'Dev Patterns'!$B$6:$F$22,$A68,0)</f>
        <v>0</v>
      </c>
      <c r="AN68" s="284">
        <f>'Current - Sales, NWP, GWP'!AN70/VLOOKUP(COUNTA($AC$4:AN$4),'Dev Patterns'!$B$6:$F$22,$A68,0)</f>
        <v>0</v>
      </c>
      <c r="AO68" s="237">
        <f t="shared" ref="AO68" si="65">AVERAGE(Z68:AC68)</f>
        <v>2468347.0903633866</v>
      </c>
      <c r="AP68" s="209">
        <f>AVERAGE(R68:AC68)</f>
        <v>2840374.3688512663</v>
      </c>
      <c r="AQ68" s="238">
        <f>SUMIFS(AC68:AN68,AC$4:AN$4,"&lt;"&amp;'Title Sheet'!$C$13)</f>
        <v>21780312.297525048</v>
      </c>
    </row>
    <row r="69" spans="1:43" ht="16.5" outlineLevel="1" thickBot="1" x14ac:dyDescent="0.3">
      <c r="B69" t="str">
        <f t="shared" si="55"/>
        <v>PC Annual Direct</v>
      </c>
      <c r="C69" t="str">
        <f t="shared" si="56"/>
        <v>Boom Premium Finance</v>
      </c>
      <c r="D69" s="226" t="s">
        <v>21</v>
      </c>
      <c r="E69" s="269">
        <f t="shared" ref="E69" si="66">E61/E$8</f>
        <v>0</v>
      </c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81"/>
      <c r="Q69" s="269"/>
      <c r="R69" s="269">
        <f t="shared" ref="R69:AP69" si="67">R61/R$8</f>
        <v>0</v>
      </c>
      <c r="S69" s="269">
        <f t="shared" si="67"/>
        <v>0</v>
      </c>
      <c r="T69" s="269">
        <f t="shared" si="67"/>
        <v>0</v>
      </c>
      <c r="U69" s="269">
        <f t="shared" si="67"/>
        <v>0</v>
      </c>
      <c r="V69" s="269">
        <f t="shared" si="67"/>
        <v>0</v>
      </c>
      <c r="W69" s="269">
        <f t="shared" si="67"/>
        <v>0</v>
      </c>
      <c r="X69" s="269">
        <f t="shared" si="67"/>
        <v>0</v>
      </c>
      <c r="Y69" s="269">
        <f t="shared" si="67"/>
        <v>0</v>
      </c>
      <c r="Z69" s="269">
        <f t="shared" si="67"/>
        <v>0</v>
      </c>
      <c r="AA69" s="269">
        <f t="shared" si="67"/>
        <v>0</v>
      </c>
      <c r="AB69" s="281">
        <f t="shared" si="67"/>
        <v>0</v>
      </c>
      <c r="AC69" s="269">
        <f t="shared" si="67"/>
        <v>0</v>
      </c>
      <c r="AD69" s="269">
        <f t="shared" si="67"/>
        <v>0</v>
      </c>
      <c r="AE69" s="269">
        <f t="shared" si="67"/>
        <v>0</v>
      </c>
      <c r="AF69" s="269">
        <f t="shared" si="67"/>
        <v>0</v>
      </c>
      <c r="AG69" s="269" t="e">
        <f t="shared" si="67"/>
        <v>#DIV/0!</v>
      </c>
      <c r="AH69" s="269" t="e">
        <f t="shared" si="67"/>
        <v>#DIV/0!</v>
      </c>
      <c r="AI69" s="269" t="e">
        <f t="shared" si="67"/>
        <v>#DIV/0!</v>
      </c>
      <c r="AJ69" s="269" t="e">
        <f t="shared" si="67"/>
        <v>#DIV/0!</v>
      </c>
      <c r="AK69" s="269" t="e">
        <f t="shared" si="67"/>
        <v>#DIV/0!</v>
      </c>
      <c r="AL69" s="269" t="e">
        <f t="shared" si="67"/>
        <v>#DIV/0!</v>
      </c>
      <c r="AM69" s="269" t="e">
        <f t="shared" si="67"/>
        <v>#DIV/0!</v>
      </c>
      <c r="AN69" s="281" t="e">
        <f t="shared" si="67"/>
        <v>#DIV/0!</v>
      </c>
      <c r="AO69" s="279">
        <f t="shared" si="67"/>
        <v>0</v>
      </c>
      <c r="AP69" s="269">
        <f t="shared" si="67"/>
        <v>0</v>
      </c>
      <c r="AQ69" s="280" t="str">
        <f t="shared" ref="AQ69" si="68">IFERROR(IF(AQ67=0,"-",(AQ67/AQ68)-1),"-")</f>
        <v>-</v>
      </c>
    </row>
    <row r="70" spans="1:43" ht="15.75" outlineLevel="1" x14ac:dyDescent="0.25">
      <c r="D70" s="46"/>
      <c r="E70" s="325"/>
      <c r="F70" s="325"/>
      <c r="G70" s="325"/>
      <c r="H70" s="325"/>
      <c r="I70" s="325"/>
      <c r="J70" s="325"/>
      <c r="K70" s="325"/>
      <c r="L70" s="325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5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</row>
    <row r="71" spans="1:43" ht="16.5" outlineLevel="1" thickBot="1" x14ac:dyDescent="0.3">
      <c r="D71" s="46"/>
      <c r="E71" s="325"/>
      <c r="F71" s="325"/>
      <c r="G71" s="325"/>
      <c r="H71" s="325"/>
      <c r="I71" s="325"/>
      <c r="J71" s="325"/>
      <c r="K71" s="325"/>
      <c r="L71" s="325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5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</row>
    <row r="72" spans="1:43" ht="18.75" x14ac:dyDescent="0.25">
      <c r="D72" s="255" t="s">
        <v>204</v>
      </c>
      <c r="E72" s="202" t="s">
        <v>301</v>
      </c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63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63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63"/>
      <c r="AO72" s="202"/>
      <c r="AP72" s="202"/>
      <c r="AQ72" s="233"/>
    </row>
    <row r="73" spans="1:43" x14ac:dyDescent="0.25">
      <c r="D73" s="204"/>
      <c r="E73" s="200" t="s">
        <v>237</v>
      </c>
      <c r="F73" s="200"/>
      <c r="G73" s="200"/>
      <c r="H73" s="200"/>
      <c r="I73" s="200"/>
      <c r="J73" s="200"/>
      <c r="K73" s="200"/>
      <c r="L73" s="200"/>
      <c r="M73" s="200"/>
      <c r="N73" s="200"/>
      <c r="O73" s="200"/>
      <c r="P73" s="264"/>
      <c r="Q73" s="200"/>
      <c r="R73" s="200"/>
      <c r="S73" s="200"/>
      <c r="T73" s="200"/>
      <c r="U73" s="200"/>
      <c r="V73" s="200"/>
      <c r="W73" s="200"/>
      <c r="X73" s="200"/>
      <c r="Y73" s="200"/>
      <c r="Z73" s="200"/>
      <c r="AA73" s="200"/>
      <c r="AB73" s="264"/>
      <c r="AC73" s="200"/>
      <c r="AD73" s="200"/>
      <c r="AE73" s="200"/>
      <c r="AF73" s="200"/>
      <c r="AG73" s="200"/>
      <c r="AH73" s="200"/>
      <c r="AI73" s="200"/>
      <c r="AJ73" s="200"/>
      <c r="AK73" s="200"/>
      <c r="AL73" s="200"/>
      <c r="AM73" s="200"/>
      <c r="AN73" s="264"/>
      <c r="AO73" s="510" t="s">
        <v>8</v>
      </c>
      <c r="AP73" s="511"/>
      <c r="AQ73" s="512"/>
    </row>
    <row r="74" spans="1:43" x14ac:dyDescent="0.25">
      <c r="D74" s="256" t="s">
        <v>16</v>
      </c>
      <c r="E74" s="285">
        <f t="shared" ref="E74:AN74" si="69">E$4</f>
        <v>44562</v>
      </c>
      <c r="F74" s="285">
        <f t="shared" si="69"/>
        <v>44593</v>
      </c>
      <c r="G74" s="285">
        <f t="shared" si="69"/>
        <v>44621</v>
      </c>
      <c r="H74" s="285">
        <f t="shared" si="69"/>
        <v>44652</v>
      </c>
      <c r="I74" s="285">
        <f t="shared" si="69"/>
        <v>44682</v>
      </c>
      <c r="J74" s="285">
        <f t="shared" si="69"/>
        <v>44713</v>
      </c>
      <c r="K74" s="285">
        <f t="shared" si="69"/>
        <v>44743</v>
      </c>
      <c r="L74" s="285">
        <f t="shared" si="69"/>
        <v>44774</v>
      </c>
      <c r="M74" s="285">
        <f t="shared" si="69"/>
        <v>44805</v>
      </c>
      <c r="N74" s="285">
        <f t="shared" si="69"/>
        <v>44835</v>
      </c>
      <c r="O74" s="285">
        <f t="shared" si="69"/>
        <v>44866</v>
      </c>
      <c r="P74" s="286">
        <f t="shared" si="69"/>
        <v>44896</v>
      </c>
      <c r="Q74" s="285">
        <f t="shared" si="69"/>
        <v>44927</v>
      </c>
      <c r="R74" s="285">
        <f t="shared" si="69"/>
        <v>44958</v>
      </c>
      <c r="S74" s="285">
        <f t="shared" si="69"/>
        <v>44986</v>
      </c>
      <c r="T74" s="285">
        <f t="shared" si="69"/>
        <v>45017</v>
      </c>
      <c r="U74" s="285">
        <f t="shared" si="69"/>
        <v>45047</v>
      </c>
      <c r="V74" s="285">
        <f t="shared" si="69"/>
        <v>45078</v>
      </c>
      <c r="W74" s="285">
        <f t="shared" si="69"/>
        <v>45108</v>
      </c>
      <c r="X74" s="285">
        <f t="shared" si="69"/>
        <v>45139</v>
      </c>
      <c r="Y74" s="285">
        <f t="shared" si="69"/>
        <v>45170</v>
      </c>
      <c r="Z74" s="285">
        <f t="shared" si="69"/>
        <v>45200</v>
      </c>
      <c r="AA74" s="285">
        <f t="shared" si="69"/>
        <v>45231</v>
      </c>
      <c r="AB74" s="286">
        <f t="shared" si="69"/>
        <v>45261</v>
      </c>
      <c r="AC74" s="285">
        <f t="shared" si="69"/>
        <v>45292</v>
      </c>
      <c r="AD74" s="285">
        <f t="shared" si="69"/>
        <v>45323</v>
      </c>
      <c r="AE74" s="285">
        <f t="shared" si="69"/>
        <v>45352</v>
      </c>
      <c r="AF74" s="285">
        <f t="shared" si="69"/>
        <v>45383</v>
      </c>
      <c r="AG74" s="285">
        <f t="shared" si="69"/>
        <v>45413</v>
      </c>
      <c r="AH74" s="285">
        <f t="shared" si="69"/>
        <v>45444</v>
      </c>
      <c r="AI74" s="285">
        <f t="shared" si="69"/>
        <v>45474</v>
      </c>
      <c r="AJ74" s="285">
        <f t="shared" si="69"/>
        <v>45505</v>
      </c>
      <c r="AK74" s="285">
        <f t="shared" si="69"/>
        <v>45536</v>
      </c>
      <c r="AL74" s="285">
        <f t="shared" si="69"/>
        <v>45566</v>
      </c>
      <c r="AM74" s="285">
        <f t="shared" si="69"/>
        <v>45597</v>
      </c>
      <c r="AN74" s="286">
        <f t="shared" si="69"/>
        <v>45627</v>
      </c>
      <c r="AO74" s="271" t="str">
        <f>AO23</f>
        <v>Last 3 Months</v>
      </c>
      <c r="AP74" s="272" t="str">
        <f>AP23</f>
        <v>Last Year</v>
      </c>
      <c r="AQ74" s="273" t="s">
        <v>346</v>
      </c>
    </row>
    <row r="75" spans="1:43" ht="15.75" x14ac:dyDescent="0.25">
      <c r="A75">
        <v>3</v>
      </c>
      <c r="B75" t="str">
        <f>$D$2</f>
        <v>PC Annual Direct</v>
      </c>
      <c r="C75" t="s">
        <v>73</v>
      </c>
      <c r="D75" s="208" t="s">
        <v>316</v>
      </c>
      <c r="E75" s="209" t="e">
        <f>'Current - Sales, NWP, GWP'!E78/VLOOKUP(COUNTA(E$4:$AC$4),'Dev Patterns'!$B$6:$F$22,$A75,0)</f>
        <v>#N/A</v>
      </c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65"/>
      <c r="Q75" s="209"/>
      <c r="R75" s="209">
        <f>'Current - Sales, NWP, GWP'!R78/VLOOKUP(COUNTA(R$4:$AC$4),'Dev Patterns'!$B$6:$F$22,$A75,0)</f>
        <v>1298.6803272729899</v>
      </c>
      <c r="S75" s="209">
        <f>'Current - Sales, NWP, GWP'!S78/VLOOKUP(COUNTA(S$4:$AC$4),'Dev Patterns'!$B$6:$F$22,$A75,0)</f>
        <v>1385.6193706027227</v>
      </c>
      <c r="T75" s="209">
        <f>'Current - Sales, NWP, GWP'!T78/VLOOKUP(COUNTA(T$4:$AC$4),'Dev Patterns'!$B$6:$F$22,$A75,0)</f>
        <v>1108.4379767363703</v>
      </c>
      <c r="U75" s="209">
        <f>'Current - Sales, NWP, GWP'!U78/VLOOKUP(COUNTA(U$4:$AC$4),'Dev Patterns'!$B$6:$F$22,$A75,0)</f>
        <v>1039.7766422374566</v>
      </c>
      <c r="V75" s="209">
        <f>'Current - Sales, NWP, GWP'!V78/VLOOKUP(COUNTA(V$4:$AC$4),'Dev Patterns'!$B$6:$F$22,$A75,0)</f>
        <v>854.18741946984505</v>
      </c>
      <c r="W75" s="209">
        <f>'Current - Sales, NWP, GWP'!W78/VLOOKUP(COUNTA(W$4:$AC$4),'Dev Patterns'!$B$6:$F$22,$A75,0)</f>
        <v>819.33693377380177</v>
      </c>
      <c r="X75" s="209">
        <f>'Current - Sales, NWP, GWP'!X78/VLOOKUP(COUNTA(X$4:$AC$4),'Dev Patterns'!$B$6:$F$22,$A75,0)</f>
        <v>693.08276452995528</v>
      </c>
      <c r="Y75" s="209">
        <f>'Current - Sales, NWP, GWP'!Y78/VLOOKUP(COUNTA(Y$4:$AC$4),'Dev Patterns'!$B$6:$F$22,$A75,0)</f>
        <v>556.31961125849762</v>
      </c>
      <c r="Z75" s="209">
        <f>'Current - Sales, NWP, GWP'!Z78/VLOOKUP(COUNTA(Z$4:$AC$4),'Dev Patterns'!$B$6:$F$22,$A75,0)</f>
        <v>463.78693419683691</v>
      </c>
      <c r="AA75" s="209">
        <f>'Current - Sales, NWP, GWP'!AA78/VLOOKUP(COUNTA(AA$4:$AC$4),'Dev Patterns'!$B$6:$F$22,$A75,0)</f>
        <v>270.06308749590426</v>
      </c>
      <c r="AB75" s="265">
        <f>'Current - Sales, NWP, GWP'!AB78/VLOOKUP(COUNTA(AB$4:$AC$4),'Dev Patterns'!$B$6:$F$22,$A75,0)</f>
        <v>151.99781890713558</v>
      </c>
      <c r="AC75" s="209">
        <f>'Current - Sales, NWP, GWP'!AC78/VLOOKUP(COUNTA(AC$4:$AC$4),'Dev Patterns'!$B$6:$F$22,$A75,0)</f>
        <v>25.948499665081496</v>
      </c>
      <c r="AD75" s="209">
        <f>'Current - Sales, NWP, GWP'!AD78/VLOOKUP(COUNTA($AC$4:AD$4),'Dev Patterns'!$B$6:$F$22,$A75,0)</f>
        <v>0</v>
      </c>
      <c r="AE75" s="209">
        <f>'Current - Sales, NWP, GWP'!AE78/VLOOKUP(COUNTA($AC$4:AE$4),'Dev Patterns'!$B$6:$F$22,$A75,0)</f>
        <v>0</v>
      </c>
      <c r="AF75" s="209">
        <f>'Current - Sales, NWP, GWP'!AF78/VLOOKUP(COUNTA($AC$4:AF$4),'Dev Patterns'!$B$6:$F$22,$A75,0)</f>
        <v>0</v>
      </c>
      <c r="AG75" s="209">
        <f>'Current - Sales, NWP, GWP'!AG78/VLOOKUP(COUNTA($AC$4:AG$4),'Dev Patterns'!$B$6:$F$22,$A75,0)</f>
        <v>0</v>
      </c>
      <c r="AH75" s="209">
        <f>'Current - Sales, NWP, GWP'!AH78/VLOOKUP(COUNTA($AC$4:AH$4),'Dev Patterns'!$B$6:$F$22,$A75,0)</f>
        <v>0</v>
      </c>
      <c r="AI75" s="209">
        <f>'Current - Sales, NWP, GWP'!AI78/VLOOKUP(COUNTA($AC$4:AI$4),'Dev Patterns'!$B$6:$F$22,$A75,0)</f>
        <v>0</v>
      </c>
      <c r="AJ75" s="209">
        <f>'Current - Sales, NWP, GWP'!AJ78/VLOOKUP(COUNTA($AC$4:AJ$4),'Dev Patterns'!$B$6:$F$22,$A75,0)</f>
        <v>0</v>
      </c>
      <c r="AK75" s="209">
        <f>'Current - Sales, NWP, GWP'!AK78/VLOOKUP(COUNTA($AC$4:AK$4),'Dev Patterns'!$B$6:$F$22,$A75,0)</f>
        <v>0</v>
      </c>
      <c r="AL75" s="209">
        <f>'Current - Sales, NWP, GWP'!AL78/VLOOKUP(COUNTA($AC$4:AL$4),'Dev Patterns'!$B$6:$F$22,$A75,0)</f>
        <v>0</v>
      </c>
      <c r="AM75" s="209">
        <f>'Current - Sales, NWP, GWP'!AM78/VLOOKUP(COUNTA($AC$4:AM$4),'Dev Patterns'!$B$6:$F$22,$A75,0)</f>
        <v>0</v>
      </c>
      <c r="AN75" s="265">
        <f>'Current - Sales, NWP, GWP'!AN78/VLOOKUP(COUNTA($AC$4:AN$4),'Dev Patterns'!$B$6:$F$22,$A75,0)</f>
        <v>0</v>
      </c>
      <c r="AO75" s="237">
        <f t="shared" ref="AO75:AO80" si="70">AVERAGE(Z75:AC75)</f>
        <v>227.94908506623955</v>
      </c>
      <c r="AP75" s="209">
        <f t="shared" ref="AP75:AP80" si="71">AVERAGE(R75:AC75)</f>
        <v>722.26978217888302</v>
      </c>
      <c r="AQ75" s="238">
        <f>SUMIFS(AC75:AN75,AC$4:AN$4,"&lt;"&amp;'Title Sheet'!$C$13)</f>
        <v>25.948499665081496</v>
      </c>
    </row>
    <row r="76" spans="1:43" ht="15.75" hidden="1" x14ac:dyDescent="0.25">
      <c r="B76" t="str">
        <f>$D$89&amp;"_W VYRs"</f>
        <v>PC Annual Direct - Subscription_W VYRs</v>
      </c>
      <c r="C76" t="str">
        <f t="shared" ref="C76:C86" si="72">$C75</f>
        <v>Boom Subscription</v>
      </c>
      <c r="D76" s="211" t="s">
        <v>317</v>
      </c>
      <c r="E76" s="31" t="e">
        <f>INDEX('Plan Figures'!$B$5:$AP$31,MATCH('Ultimate - MGA only'!E$4,'Plan Figures'!$B$5:$B$31,0),MATCH('Ultimate - MGA only'!$B76,'Plan Figures'!$B$1:$AP$1,0))</f>
        <v>#N/A</v>
      </c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6"/>
      <c r="Q76" s="31"/>
      <c r="R76" s="31" t="str">
        <f>INDEX('Plan Figures'!$B$5:$AP$31,MATCH('Ultimate - MGA only'!R$4,'Plan Figures'!$B$5:$B$31,0),MATCH('Ultimate - MGA only'!$B76,'Plan Figures'!$B$1:$AP$1,0))</f>
        <v>-</v>
      </c>
      <c r="S76" s="31" t="str">
        <f>INDEX('Plan Figures'!$B$5:$AP$31,MATCH('Ultimate - MGA only'!S$4,'Plan Figures'!$B$5:$B$31,0),MATCH('Ultimate - MGA only'!$B76,'Plan Figures'!$B$1:$AP$1,0))</f>
        <v>-</v>
      </c>
      <c r="T76" s="31" t="str">
        <f>INDEX('Plan Figures'!$B$5:$AP$31,MATCH('Ultimate - MGA only'!T$4,'Plan Figures'!$B$5:$B$31,0),MATCH('Ultimate - MGA only'!$B76,'Plan Figures'!$B$1:$AP$1,0))</f>
        <v>-</v>
      </c>
      <c r="U76" s="31" t="str">
        <f>INDEX('Plan Figures'!$B$5:$AP$31,MATCH('Ultimate - MGA only'!U$4,'Plan Figures'!$B$5:$B$31,0),MATCH('Ultimate - MGA only'!$B76,'Plan Figures'!$B$1:$AP$1,0))</f>
        <v>-</v>
      </c>
      <c r="V76" s="31" t="str">
        <f>INDEX('Plan Figures'!$B$5:$AP$31,MATCH('Ultimate - MGA only'!V$4,'Plan Figures'!$B$5:$B$31,0),MATCH('Ultimate - MGA only'!$B76,'Plan Figures'!$B$1:$AP$1,0))</f>
        <v>-</v>
      </c>
      <c r="W76" s="31" t="str">
        <f>INDEX('Plan Figures'!$B$5:$AP$31,MATCH('Ultimate - MGA only'!W$4,'Plan Figures'!$B$5:$B$31,0),MATCH('Ultimate - MGA only'!$B76,'Plan Figures'!$B$1:$AP$1,0))</f>
        <v>-</v>
      </c>
      <c r="X76" s="31" t="str">
        <f>INDEX('Plan Figures'!$B$5:$AP$31,MATCH('Ultimate - MGA only'!X$4,'Plan Figures'!$B$5:$B$31,0),MATCH('Ultimate - MGA only'!$B76,'Plan Figures'!$B$1:$AP$1,0))</f>
        <v>-</v>
      </c>
      <c r="Y76" s="31" t="str">
        <f>INDEX('Plan Figures'!$B$5:$AP$31,MATCH('Ultimate - MGA only'!Y$4,'Plan Figures'!$B$5:$B$31,0),MATCH('Ultimate - MGA only'!$B76,'Plan Figures'!$B$1:$AP$1,0))</f>
        <v>-</v>
      </c>
      <c r="Z76" s="31" t="str">
        <f>INDEX('Plan Figures'!$B$5:$AP$31,MATCH('Ultimate - MGA only'!Z$4,'Plan Figures'!$B$5:$B$31,0),MATCH('Ultimate - MGA only'!$B76,'Plan Figures'!$B$1:$AP$1,0))</f>
        <v>-</v>
      </c>
      <c r="AA76" s="31">
        <f>INDEX('Plan Figures'!$B$5:$AP$31,MATCH('Ultimate - MGA only'!AA$4,'Plan Figures'!$B$5:$B$31,0),MATCH('Ultimate - MGA only'!$B76,'Plan Figures'!$B$1:$AP$1,0))</f>
        <v>615.93307879093663</v>
      </c>
      <c r="AB76" s="266">
        <f>INDEX('Plan Figures'!$B$5:$AP$31,MATCH('Ultimate - MGA only'!AB$4,'Plan Figures'!$B$5:$B$31,0),MATCH('Ultimate - MGA only'!$B76,'Plan Figures'!$B$1:$AP$1,0))</f>
        <v>763.72800510730349</v>
      </c>
      <c r="AC76" s="31">
        <f>INDEX('Plan Figures'!$B$5:$AP$31,MATCH('Ultimate - MGA only'!AC$4,'Plan Figures'!$B$5:$B$31,0),MATCH('Ultimate - MGA only'!$B76,'Plan Figures'!$B$1:$AP$1,0))</f>
        <v>833.27735263273371</v>
      </c>
      <c r="AD76" s="31">
        <f>INDEX('Plan Figures'!$B$5:$AP$42,MATCH('Ultimate - MGA only'!AD$4,'Plan Figures'!$B$5:$B$42,0),MATCH('Ultimate - MGA only'!$B76,'Plan Figures'!$B$1:$AP$1,0))</f>
        <v>833.27735263273371</v>
      </c>
      <c r="AE76" s="31">
        <f>INDEX('Plan Figures'!$B$5:$AP$42,MATCH('Ultimate - MGA only'!AE$4,'Plan Figures'!$B$5:$B$42,0),MATCH('Ultimate - MGA only'!$B76,'Plan Figures'!$B$1:$AP$1,0))</f>
        <v>833.27735263273371</v>
      </c>
      <c r="AF76" s="31">
        <f>INDEX('Plan Figures'!$B$5:$AP$42,MATCH('Ultimate - MGA only'!AF$4,'Plan Figures'!$B$5:$B$42,0),MATCH('Ultimate - MGA only'!$B76,'Plan Figures'!$B$1:$AP$1,0))</f>
        <v>833.27735263273371</v>
      </c>
      <c r="AG76" s="31">
        <f>INDEX('Plan Figures'!$B$5:$AP$42,MATCH('Ultimate - MGA only'!AG$4,'Plan Figures'!$B$5:$B$42,0),MATCH('Ultimate - MGA only'!$B76,'Plan Figures'!$B$1:$AP$1,0))</f>
        <v>832.96485263273371</v>
      </c>
      <c r="AH76" s="31">
        <f>INDEX('Plan Figures'!$B$5:$AP$42,MATCH('Ultimate - MGA only'!AH$4,'Plan Figures'!$B$5:$B$42,0),MATCH('Ultimate - MGA only'!$B76,'Plan Figures'!$B$1:$AP$1,0))</f>
        <v>805.37110263273371</v>
      </c>
      <c r="AI76" s="31">
        <f>INDEX('Plan Figures'!$B$5:$AP$42,MATCH('Ultimate - MGA only'!AI$4,'Plan Figures'!$B$5:$B$42,0),MATCH('Ultimate - MGA only'!$B76,'Plan Figures'!$B$1:$AP$1,0))</f>
        <v>954.34078893945116</v>
      </c>
      <c r="AJ76" s="31">
        <f>INDEX('Plan Figures'!$B$5:$AP$42,MATCH('Ultimate - MGA only'!AJ$4,'Plan Figures'!$B$5:$B$42,0),MATCH('Ultimate - MGA only'!$B76,'Plan Figures'!$B$1:$AP$1,0))</f>
        <v>847.6297730046125</v>
      </c>
      <c r="AK76" s="31">
        <f>INDEX('Plan Figures'!$B$5:$AP$42,MATCH('Ultimate - MGA only'!AK$4,'Plan Figures'!$B$5:$B$42,0),MATCH('Ultimate - MGA only'!$B76,'Plan Figures'!$B$1:$AP$1,0))</f>
        <v>739.0592621321797</v>
      </c>
      <c r="AL76" s="31">
        <f>INDEX('Plan Figures'!$B$5:$AP$42,MATCH('Ultimate - MGA only'!AL$4,'Plan Figures'!$B$5:$B$42,0),MATCH('Ultimate - MGA only'!$B76,'Plan Figures'!$B$1:$AP$1,0))</f>
        <v>573.92411493228599</v>
      </c>
      <c r="AM76" s="31">
        <f>INDEX('Plan Figures'!$B$5:$AP$42,MATCH('Ultimate - MGA only'!AM$4,'Plan Figures'!$B$5:$B$42,0),MATCH('Ultimate - MGA only'!$B76,'Plan Figures'!$B$1:$AP$1,0))</f>
        <v>364.52099147611852</v>
      </c>
      <c r="AN76" s="266">
        <f>INDEX('Plan Figures'!$B$5:$AP$42,MATCH('Ultimate - MGA only'!AN$4,'Plan Figures'!$B$5:$B$42,0),MATCH('Ultimate - MGA only'!$B76,'Plan Figures'!$B$1:$AP$1,0))</f>
        <v>181.09081343860487</v>
      </c>
      <c r="AO76" s="239">
        <f t="shared" si="70"/>
        <v>737.64614551032457</v>
      </c>
      <c r="AP76" s="31">
        <f t="shared" si="71"/>
        <v>737.64614551032457</v>
      </c>
      <c r="AQ76" s="240">
        <f>SUMIFS(AC76:AN76,AC$4:AN$4,"&lt;"&amp;'Title Sheet'!$C$13)</f>
        <v>8632.011109719655</v>
      </c>
    </row>
    <row r="77" spans="1:43" ht="15.75" hidden="1" x14ac:dyDescent="0.25">
      <c r="B77" t="str">
        <f t="shared" ref="B77:B86" si="73">$D$2</f>
        <v>PC Annual Direct</v>
      </c>
      <c r="C77" t="str">
        <f t="shared" si="72"/>
        <v>Boom Subscription</v>
      </c>
      <c r="D77" s="213" t="s">
        <v>0</v>
      </c>
      <c r="E77" s="214" t="str">
        <f t="shared" ref="E77:AN77" si="74">IFERROR(IF(E75=0,"-",(E75/E76)-1),"-")</f>
        <v>-</v>
      </c>
      <c r="F77" s="214" t="str">
        <f t="shared" si="74"/>
        <v>-</v>
      </c>
      <c r="G77" s="214" t="str">
        <f t="shared" si="74"/>
        <v>-</v>
      </c>
      <c r="H77" s="214" t="str">
        <f t="shared" si="74"/>
        <v>-</v>
      </c>
      <c r="I77" s="214" t="str">
        <f t="shared" si="74"/>
        <v>-</v>
      </c>
      <c r="J77" s="214" t="str">
        <f t="shared" si="74"/>
        <v>-</v>
      </c>
      <c r="K77" s="214" t="str">
        <f t="shared" si="74"/>
        <v>-</v>
      </c>
      <c r="L77" s="214" t="str">
        <f t="shared" si="74"/>
        <v>-</v>
      </c>
      <c r="M77" s="214" t="str">
        <f t="shared" si="74"/>
        <v>-</v>
      </c>
      <c r="N77" s="214" t="str">
        <f t="shared" si="74"/>
        <v>-</v>
      </c>
      <c r="O77" s="214" t="str">
        <f t="shared" si="74"/>
        <v>-</v>
      </c>
      <c r="P77" s="270" t="str">
        <f t="shared" si="74"/>
        <v>-</v>
      </c>
      <c r="Q77" s="214" t="str">
        <f t="shared" si="74"/>
        <v>-</v>
      </c>
      <c r="R77" s="214" t="str">
        <f t="shared" si="74"/>
        <v>-</v>
      </c>
      <c r="S77" s="214" t="str">
        <f t="shared" si="74"/>
        <v>-</v>
      </c>
      <c r="T77" s="214" t="str">
        <f t="shared" si="74"/>
        <v>-</v>
      </c>
      <c r="U77" s="214" t="str">
        <f t="shared" si="74"/>
        <v>-</v>
      </c>
      <c r="V77" s="214" t="str">
        <f t="shared" si="74"/>
        <v>-</v>
      </c>
      <c r="W77" s="214" t="str">
        <f t="shared" si="74"/>
        <v>-</v>
      </c>
      <c r="X77" s="214" t="str">
        <f t="shared" si="74"/>
        <v>-</v>
      </c>
      <c r="Y77" s="214" t="str">
        <f t="shared" si="74"/>
        <v>-</v>
      </c>
      <c r="Z77" s="214" t="str">
        <f t="shared" si="74"/>
        <v>-</v>
      </c>
      <c r="AA77" s="214">
        <f t="shared" si="74"/>
        <v>-0.5615382631729533</v>
      </c>
      <c r="AB77" s="270">
        <f t="shared" si="74"/>
        <v>-0.80097912098197843</v>
      </c>
      <c r="AC77" s="214">
        <f t="shared" si="74"/>
        <v>-0.96885970849549985</v>
      </c>
      <c r="AD77" s="214" t="str">
        <f t="shared" si="74"/>
        <v>-</v>
      </c>
      <c r="AE77" s="214" t="str">
        <f t="shared" si="74"/>
        <v>-</v>
      </c>
      <c r="AF77" s="214" t="str">
        <f t="shared" si="74"/>
        <v>-</v>
      </c>
      <c r="AG77" s="214" t="str">
        <f t="shared" si="74"/>
        <v>-</v>
      </c>
      <c r="AH77" s="214" t="str">
        <f t="shared" si="74"/>
        <v>-</v>
      </c>
      <c r="AI77" s="214" t="str">
        <f t="shared" si="74"/>
        <v>-</v>
      </c>
      <c r="AJ77" s="214" t="str">
        <f t="shared" si="74"/>
        <v>-</v>
      </c>
      <c r="AK77" s="214" t="str">
        <f t="shared" si="74"/>
        <v>-</v>
      </c>
      <c r="AL77" s="214" t="str">
        <f t="shared" si="74"/>
        <v>-</v>
      </c>
      <c r="AM77" s="214" t="str">
        <f t="shared" si="74"/>
        <v>-</v>
      </c>
      <c r="AN77" s="270" t="str">
        <f t="shared" si="74"/>
        <v>-</v>
      </c>
      <c r="AO77" s="274">
        <f t="shared" si="70"/>
        <v>-0.77712569755014382</v>
      </c>
      <c r="AP77" s="275">
        <f t="shared" si="71"/>
        <v>-0.77712569755014382</v>
      </c>
      <c r="AQ77" s="276">
        <f t="shared" ref="AQ77" si="75">IFERROR(IF(AQ75=0,"-",(AQ75/AQ76)-1),"-")</f>
        <v>-0.99699392188734981</v>
      </c>
    </row>
    <row r="78" spans="1:43" ht="15.75" x14ac:dyDescent="0.25">
      <c r="A78">
        <v>2</v>
      </c>
      <c r="B78" t="str">
        <f t="shared" si="73"/>
        <v>PC Annual Direct</v>
      </c>
      <c r="C78" t="str">
        <f t="shared" si="72"/>
        <v>Boom Subscription</v>
      </c>
      <c r="D78" s="208" t="s">
        <v>5</v>
      </c>
      <c r="E78" s="209">
        <f>'Current - MGA only'!E78/VLOOKUP(COUNTA(E$4:$AE$4),'Dev Patterns'!$B$6:$F$34,$A78,0)</f>
        <v>0</v>
      </c>
      <c r="F78" s="209">
        <f>'Current - MGA only'!F78/VLOOKUP(COUNTA(F$4:$AE$4),'Dev Patterns'!$B$6:$F$34,$A78,0)</f>
        <v>0</v>
      </c>
      <c r="G78" s="209">
        <f>'Current - MGA only'!G78/VLOOKUP(COUNTA(G$4:$AE$4),'Dev Patterns'!$B$6:$F$34,$A78,0)</f>
        <v>846987.90250499675</v>
      </c>
      <c r="H78" s="209">
        <f>'Current - MGA only'!H78/VLOOKUP(COUNTA(H$4:$AE$4),'Dev Patterns'!$B$6:$F$34,$A78,0)</f>
        <v>1174966.3528505522</v>
      </c>
      <c r="I78" s="209">
        <f>'Current - MGA only'!I78/VLOOKUP(COUNTA(I$4:$AE$4),'Dev Patterns'!$B$6:$F$34,$A78,0)</f>
        <v>1584616.7353637449</v>
      </c>
      <c r="J78" s="209">
        <f>'Current - MGA only'!J78/VLOOKUP(COUNTA(J$4:$AE$4),'Dev Patterns'!$B$6:$F$34,$A78,0)</f>
        <v>2067074.1935759829</v>
      </c>
      <c r="K78" s="209">
        <f>'Current - MGA only'!K78/VLOOKUP(COUNTA(K$4:$AE$4),'Dev Patterns'!$B$6:$F$34,$A78,0)</f>
        <v>2147381.5107197058</v>
      </c>
      <c r="L78" s="209">
        <f>'Current - MGA only'!L78/VLOOKUP(COUNTA(L$4:$AE$4),'Dev Patterns'!$B$6:$F$34,$A78,0)</f>
        <v>1385118.7807201962</v>
      </c>
      <c r="M78" s="209">
        <f>'Current - MGA only'!M78/VLOOKUP(COUNTA(M$4:$AE$4),'Dev Patterns'!$B$6:$F$34,$A78,0)</f>
        <v>643445.39178494341</v>
      </c>
      <c r="N78" s="209">
        <f>'Current - MGA only'!N78/VLOOKUP(COUNTA(N$4:$AE$4),'Dev Patterns'!$B$6:$F$34,$A78,0)</f>
        <v>980987.4871429553</v>
      </c>
      <c r="O78" s="209">
        <f>'Current - MGA only'!O78/VLOOKUP(COUNTA(O$4:$AE$4),'Dev Patterns'!$B$6:$F$34,$A78,0)</f>
        <v>1104566.6828573106</v>
      </c>
      <c r="P78" s="265">
        <f>'Current - MGA only'!P78/VLOOKUP(COUNTA(P$4:$AE$4),'Dev Patterns'!$B$6:$F$34,$A78,0)</f>
        <v>1090306.8017866081</v>
      </c>
      <c r="Q78" s="209">
        <f>'Current - MGA only'!Q78/VLOOKUP(COUNTA(Q$4:$AE$4),'Dev Patterns'!$B$6:$F$34,$A78,0)</f>
        <v>1070212.2560720325</v>
      </c>
      <c r="R78" s="209">
        <f>'Current - MGA only'!R78/VLOOKUP(COUNTA(R$4:$AE$4),'Dev Patterns'!$B$6:$F$34,$A78,0)</f>
        <v>1107168.0560714623</v>
      </c>
      <c r="S78" s="209">
        <f>'Current - MGA only'!S78/VLOOKUP(COUNTA(S$4:$AE$4),'Dev Patterns'!$B$6:$F$34,$A78,0)</f>
        <v>1196806.3042855575</v>
      </c>
      <c r="T78" s="209">
        <f>'Current - MGA only'!T78/VLOOKUP(COUNTA(T$4:$AE$4),'Dev Patterns'!$B$6:$F$34,$A78,0)</f>
        <v>1196843.1078571794</v>
      </c>
      <c r="U78" s="209">
        <f>'Current - MGA only'!U78/VLOOKUP(COUNTA(U$4:$AE$4),'Dev Patterns'!$B$6:$F$34,$A78,0)</f>
        <v>1362968.8485213416</v>
      </c>
      <c r="V78" s="209">
        <f>'Current - MGA only'!V78/VLOOKUP(COUNTA(V$4:$AE$4),'Dev Patterns'!$B$6:$F$34,$A78,0)</f>
        <v>1077613.6799534939</v>
      </c>
      <c r="W78" s="209">
        <f>'Current - MGA only'!W78/VLOOKUP(COUNTA(W$4:$AE$4),'Dev Patterns'!$B$6:$F$34,$A78,0)</f>
        <v>1075674.1453860134</v>
      </c>
      <c r="X78" s="209">
        <f>'Current - MGA only'!X78/VLOOKUP(COUNTA(X$4:$AE$4),'Dev Patterns'!$B$6:$F$34,$A78,0)</f>
        <v>992103.80897160678</v>
      </c>
      <c r="Y78" s="209">
        <f>'Current - MGA only'!Y78/VLOOKUP(COUNTA(Y$4:$AE$4),'Dev Patterns'!$B$6:$F$34,$A78,0)</f>
        <v>820285.51734236279</v>
      </c>
      <c r="Z78" s="209">
        <f>'Current - MGA only'!Z78/VLOOKUP(COUNTA(Z$4:$AE$4),'Dev Patterns'!$B$6:$F$34,$A78,0)</f>
        <v>707652.52868133865</v>
      </c>
      <c r="AA78" s="209">
        <f>'Current - MGA only'!AA78/VLOOKUP(COUNTA(AA$4:$AE$4),'Dev Patterns'!$B$6:$F$34,$A78,0)</f>
        <v>527785.07154161739</v>
      </c>
      <c r="AB78" s="265">
        <f>'Current - MGA only'!AB78/VLOOKUP(COUNTA(AB$4:$AE$4),'Dev Patterns'!$B$6:$F$34,$A78,0)</f>
        <v>439777.96904251562</v>
      </c>
      <c r="AC78" s="209">
        <f>'Current - MGA only'!AC78/VLOOKUP(COUNTA(AC$4:$AE$4),'Dev Patterns'!$B$6:$F$34,$A78,0)</f>
        <v>341889.44878219115</v>
      </c>
      <c r="AD78" s="209">
        <f>'Current - MGA only'!AD78/VLOOKUP(COUNTA(AD$4:$AE$4),'Dev Patterns'!$B$6:$F$34,$A78,0)</f>
        <v>229093.66572580446</v>
      </c>
      <c r="AE78" s="209">
        <f>'Current - MGA only'!AE78/VLOOKUP(COUNTA(AE$4:$AE$4),'Dev Patterns'!$B$6:$F$34,$A78,0)</f>
        <v>175927.96515181192</v>
      </c>
      <c r="AF78" s="209">
        <f>'Current - MGA only'!AF78/VLOOKUP(COUNTA($AE$4:AF$4),'Dev Patterns'!$B$6:$F$34,$A78,0)</f>
        <v>86825.243191891394</v>
      </c>
      <c r="AG78" s="209">
        <f>'Current - MGA only'!AG78/VLOOKUP(COUNTA($AE$4:AG$4),'Dev Patterns'!$B$6:$F$34,$A78,0)</f>
        <v>0</v>
      </c>
      <c r="AH78" s="209">
        <f>'Current - MGA only'!AH78/VLOOKUP(COUNTA($AE$4:AH$4),'Dev Patterns'!$B$6:$F$34,$A78,0)</f>
        <v>0</v>
      </c>
      <c r="AI78" s="209">
        <f>'Current - MGA only'!AI78/VLOOKUP(COUNTA($AE$4:AI$4),'Dev Patterns'!$B$6:$F$34,$A78,0)</f>
        <v>0</v>
      </c>
      <c r="AJ78" s="209">
        <f>'Current - MGA only'!AJ78/VLOOKUP(COUNTA($AE$4:AJ$4),'Dev Patterns'!$B$6:$F$34,$A78,0)</f>
        <v>0</v>
      </c>
      <c r="AK78" s="209">
        <f>'Current - MGA only'!AK78/VLOOKUP(COUNTA($AE$4:AK$4),'Dev Patterns'!$B$6:$F$34,$A78,0)</f>
        <v>0</v>
      </c>
      <c r="AL78" s="209">
        <f>'Current - MGA only'!AL78/VLOOKUP(COUNTA($AE$4:AL$4),'Dev Patterns'!$B$6:$F$34,$A78,0)</f>
        <v>0</v>
      </c>
      <c r="AM78" s="209">
        <f>'Current - MGA only'!AM78/VLOOKUP(COUNTA($AE$4:AM$4),'Dev Patterns'!$B$6:$F$34,$A78,0)</f>
        <v>0</v>
      </c>
      <c r="AN78" s="265">
        <f>'Current - MGA only'!AN78/VLOOKUP(COUNTA($AE$4:AN$4),'Dev Patterns'!$B$6:$F$34,$A78,0)</f>
        <v>0</v>
      </c>
      <c r="AO78" s="237">
        <f t="shared" si="70"/>
        <v>504276.25451191567</v>
      </c>
      <c r="AP78" s="209">
        <f t="shared" si="71"/>
        <v>903880.70720305666</v>
      </c>
      <c r="AQ78" s="238">
        <f>SUMIFS(AC78:AN78,AC$4:AN$4,"&lt;"&amp;'Title Sheet'!$C$13)</f>
        <v>833736.32285169885</v>
      </c>
    </row>
    <row r="79" spans="1:43" ht="15.75" x14ac:dyDescent="0.25">
      <c r="B79" t="str">
        <f>$D$89&amp;"_NWP"</f>
        <v>PC Annual Direct - Subscription_NWP</v>
      </c>
      <c r="C79" t="str">
        <f t="shared" si="72"/>
        <v>Boom Subscription</v>
      </c>
      <c r="D79" s="211" t="s">
        <v>6</v>
      </c>
      <c r="E79" s="31" t="e">
        <f>INDEX('Plan Figures'!$B$5:$AP$31,MATCH('Ultimate - MGA only'!E$4,'Plan Figures'!$B$5:$B$31,0),MATCH('Ultimate - MGA only'!$B79,'Plan Figures'!$B$1:$AP$1,0))</f>
        <v>#N/A</v>
      </c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266"/>
      <c r="Q79" s="31"/>
      <c r="R79" s="31" t="str">
        <f>INDEX('Plan Figures'!$B$5:$AP$31,MATCH('Ultimate - MGA only'!R$4,'Plan Figures'!$B$5:$B$31,0),MATCH('Ultimate - MGA only'!$B79,'Plan Figures'!$B$1:$AP$1,0))</f>
        <v>-</v>
      </c>
      <c r="S79" s="31" t="str">
        <f>INDEX('Plan Figures'!$B$5:$AP$31,MATCH('Ultimate - MGA only'!S$4,'Plan Figures'!$B$5:$B$31,0),MATCH('Ultimate - MGA only'!$B79,'Plan Figures'!$B$1:$AP$1,0))</f>
        <v>-</v>
      </c>
      <c r="T79" s="31" t="str">
        <f>INDEX('Plan Figures'!$B$5:$AP$31,MATCH('Ultimate - MGA only'!T$4,'Plan Figures'!$B$5:$B$31,0),MATCH('Ultimate - MGA only'!$B79,'Plan Figures'!$B$1:$AP$1,0))</f>
        <v>-</v>
      </c>
      <c r="U79" s="31" t="str">
        <f>INDEX('Plan Figures'!$B$5:$AP$31,MATCH('Ultimate - MGA only'!U$4,'Plan Figures'!$B$5:$B$31,0),MATCH('Ultimate - MGA only'!$B79,'Plan Figures'!$B$1:$AP$1,0))</f>
        <v>-</v>
      </c>
      <c r="V79" s="31" t="str">
        <f>INDEX('Plan Figures'!$B$5:$AP$31,MATCH('Ultimate - MGA only'!V$4,'Plan Figures'!$B$5:$B$31,0),MATCH('Ultimate - MGA only'!$B79,'Plan Figures'!$B$1:$AP$1,0))</f>
        <v>-</v>
      </c>
      <c r="W79" s="31" t="str">
        <f>INDEX('Plan Figures'!$B$5:$AP$31,MATCH('Ultimate - MGA only'!W$4,'Plan Figures'!$B$5:$B$31,0),MATCH('Ultimate - MGA only'!$B79,'Plan Figures'!$B$1:$AP$1,0))</f>
        <v>-</v>
      </c>
      <c r="X79" s="31" t="str">
        <f>INDEX('Plan Figures'!$B$5:$AP$31,MATCH('Ultimate - MGA only'!X$4,'Plan Figures'!$B$5:$B$31,0),MATCH('Ultimate - MGA only'!$B79,'Plan Figures'!$B$1:$AP$1,0))</f>
        <v>-</v>
      </c>
      <c r="Y79" s="31" t="str">
        <f>INDEX('Plan Figures'!$B$5:$AP$31,MATCH('Ultimate - MGA only'!Y$4,'Plan Figures'!$B$5:$B$31,0),MATCH('Ultimate - MGA only'!$B79,'Plan Figures'!$B$1:$AP$1,0))</f>
        <v>-</v>
      </c>
      <c r="Z79" s="31" t="str">
        <f>INDEX('Plan Figures'!$B$5:$AP$31,MATCH('Ultimate - MGA only'!Z$4,'Plan Figures'!$B$5:$B$31,0),MATCH('Ultimate - MGA only'!$B79,'Plan Figures'!$B$1:$AP$1,0))</f>
        <v>-</v>
      </c>
      <c r="AA79" s="31">
        <f>INDEX('Plan Figures'!$B$5:$AP$31,MATCH('Ultimate - MGA only'!AA$4,'Plan Figures'!$B$5:$B$31,0),MATCH('Ultimate - MGA only'!$B79,'Plan Figures'!$B$1:$AP$1,0))</f>
        <v>1811220.2312349698</v>
      </c>
      <c r="AB79" s="266">
        <f>INDEX('Plan Figures'!$B$5:$AP$31,MATCH('Ultimate - MGA only'!AB$4,'Plan Figures'!$B$5:$B$31,0),MATCH('Ultimate - MGA only'!$B79,'Plan Figures'!$B$1:$AP$1,0))</f>
        <v>1916096.3475731572</v>
      </c>
      <c r="AC79" s="31">
        <f>INDEX('Plan Figures'!$B$5:$AP$31,MATCH('Ultimate - MGA only'!AC$4,'Plan Figures'!$B$5:$B$31,0),MATCH('Ultimate - MGA only'!$B79,'Plan Figures'!$B$1:$AP$1,0))</f>
        <v>2026245.4879278806</v>
      </c>
      <c r="AD79" s="31">
        <f>INDEX('Plan Figures'!$B$5:$AP$42,MATCH('Ultimate - MGA only'!AD$4,'Plan Figures'!$B$5:$B$42,0),MATCH('Ultimate - MGA only'!$B79,'Plan Figures'!$B$1:$AP$1,0))</f>
        <v>2073314.966746679</v>
      </c>
      <c r="AE79" s="31">
        <f>INDEX('Plan Figures'!$B$5:$AP$42,MATCH('Ultimate - MGA only'!AE$4,'Plan Figures'!$B$5:$B$42,0),MATCH('Ultimate - MGA only'!$B79,'Plan Figures'!$B$1:$AP$1,0))</f>
        <v>1955902.6469528598</v>
      </c>
      <c r="AF79" s="31">
        <f>INDEX('Plan Figures'!$B$5:$AP$42,MATCH('Ultimate - MGA only'!AF$4,'Plan Figures'!$B$5:$B$42,0),MATCH('Ultimate - MGA only'!$B79,'Plan Figures'!$B$1:$AP$1,0))</f>
        <v>1768843.0862598093</v>
      </c>
      <c r="AG79" s="31">
        <f>INDEX('Plan Figures'!$B$5:$AP$42,MATCH('Ultimate - MGA only'!AG$4,'Plan Figures'!$B$5:$B$42,0),MATCH('Ultimate - MGA only'!$B79,'Plan Figures'!$B$1:$AP$1,0))</f>
        <v>1606725.6641009036</v>
      </c>
      <c r="AH79" s="31">
        <f>INDEX('Plan Figures'!$B$5:$AP$42,MATCH('Ultimate - MGA only'!AH$4,'Plan Figures'!$B$5:$B$42,0),MATCH('Ultimate - MGA only'!$B79,'Plan Figures'!$B$1:$AP$1,0))</f>
        <v>1443312.9653584959</v>
      </c>
      <c r="AI79" s="31">
        <f>INDEX('Plan Figures'!$B$5:$AP$42,MATCH('Ultimate - MGA only'!AI$4,'Plan Figures'!$B$5:$B$42,0),MATCH('Ultimate - MGA only'!$B79,'Plan Figures'!$B$1:$AP$1,0))</f>
        <v>1349487.1149863317</v>
      </c>
      <c r="AJ79" s="31">
        <f>INDEX('Plan Figures'!$B$5:$AP$42,MATCH('Ultimate - MGA only'!AJ$4,'Plan Figures'!$B$5:$B$42,0),MATCH('Ultimate - MGA only'!$B79,'Plan Figures'!$B$1:$AP$1,0))</f>
        <v>1181466.7154575591</v>
      </c>
      <c r="AK79" s="31">
        <f>INDEX('Plan Figures'!$B$5:$AP$42,MATCH('Ultimate - MGA only'!AK$4,'Plan Figures'!$B$5:$B$42,0),MATCH('Ultimate - MGA only'!$B79,'Plan Figures'!$B$1:$AP$1,0))</f>
        <v>1008629.6841870487</v>
      </c>
      <c r="AL79" s="31">
        <f>INDEX('Plan Figures'!$B$5:$AP$42,MATCH('Ultimate - MGA only'!AL$4,'Plan Figures'!$B$5:$B$42,0),MATCH('Ultimate - MGA only'!$B79,'Plan Figures'!$B$1:$AP$1,0))</f>
        <v>770515.80233695055</v>
      </c>
      <c r="AM79" s="31">
        <f>INDEX('Plan Figures'!$B$5:$AP$42,MATCH('Ultimate - MGA only'!AM$4,'Plan Figures'!$B$5:$B$42,0),MATCH('Ultimate - MGA only'!$B79,'Plan Figures'!$B$1:$AP$1,0))</f>
        <v>485375.48606279783</v>
      </c>
      <c r="AN79" s="266">
        <f>INDEX('Plan Figures'!$B$5:$AP$42,MATCH('Ultimate - MGA only'!AN$4,'Plan Figures'!$B$5:$B$42,0),MATCH('Ultimate - MGA only'!$B79,'Plan Figures'!$B$1:$AP$1,0))</f>
        <v>234050.2177927887</v>
      </c>
      <c r="AO79" s="239">
        <f t="shared" si="70"/>
        <v>1917854.0222453356</v>
      </c>
      <c r="AP79" s="31">
        <f t="shared" si="71"/>
        <v>1917854.0222453356</v>
      </c>
      <c r="AQ79" s="240">
        <f>SUMIFS(AC79:AN79,AC$4:AN$4,"&lt;"&amp;'Title Sheet'!$C$13)</f>
        <v>15903869.838170106</v>
      </c>
    </row>
    <row r="80" spans="1:43" ht="15.75" x14ac:dyDescent="0.25">
      <c r="B80" t="str">
        <f t="shared" si="73"/>
        <v>PC Annual Direct</v>
      </c>
      <c r="C80" t="str">
        <f t="shared" si="72"/>
        <v>Boom Subscription</v>
      </c>
      <c r="D80" s="213" t="s">
        <v>0</v>
      </c>
      <c r="E80" s="214" t="str">
        <f t="shared" ref="E80:AN80" si="76">IFERROR(IF(E78=0,"-",(E78/E79)-1),"-")</f>
        <v>-</v>
      </c>
      <c r="F80" s="214" t="str">
        <f t="shared" si="76"/>
        <v>-</v>
      </c>
      <c r="G80" s="214" t="str">
        <f t="shared" si="76"/>
        <v>-</v>
      </c>
      <c r="H80" s="214" t="str">
        <f t="shared" si="76"/>
        <v>-</v>
      </c>
      <c r="I80" s="214" t="str">
        <f t="shared" si="76"/>
        <v>-</v>
      </c>
      <c r="J80" s="214" t="str">
        <f t="shared" si="76"/>
        <v>-</v>
      </c>
      <c r="K80" s="214" t="str">
        <f t="shared" si="76"/>
        <v>-</v>
      </c>
      <c r="L80" s="214" t="str">
        <f t="shared" si="76"/>
        <v>-</v>
      </c>
      <c r="M80" s="214" t="str">
        <f t="shared" si="76"/>
        <v>-</v>
      </c>
      <c r="N80" s="214" t="str">
        <f t="shared" si="76"/>
        <v>-</v>
      </c>
      <c r="O80" s="214" t="str">
        <f t="shared" si="76"/>
        <v>-</v>
      </c>
      <c r="P80" s="270" t="str">
        <f t="shared" si="76"/>
        <v>-</v>
      </c>
      <c r="Q80" s="214" t="str">
        <f t="shared" si="76"/>
        <v>-</v>
      </c>
      <c r="R80" s="214" t="str">
        <f t="shared" si="76"/>
        <v>-</v>
      </c>
      <c r="S80" s="214" t="str">
        <f t="shared" si="76"/>
        <v>-</v>
      </c>
      <c r="T80" s="214" t="str">
        <f t="shared" si="76"/>
        <v>-</v>
      </c>
      <c r="U80" s="214" t="str">
        <f t="shared" si="76"/>
        <v>-</v>
      </c>
      <c r="V80" s="214" t="str">
        <f t="shared" si="76"/>
        <v>-</v>
      </c>
      <c r="W80" s="214" t="str">
        <f t="shared" si="76"/>
        <v>-</v>
      </c>
      <c r="X80" s="214" t="str">
        <f t="shared" si="76"/>
        <v>-</v>
      </c>
      <c r="Y80" s="214" t="str">
        <f t="shared" si="76"/>
        <v>-</v>
      </c>
      <c r="Z80" s="214" t="str">
        <f t="shared" si="76"/>
        <v>-</v>
      </c>
      <c r="AA80" s="214">
        <f t="shared" si="76"/>
        <v>-0.70860248663314107</v>
      </c>
      <c r="AB80" s="270">
        <f t="shared" si="76"/>
        <v>-0.77048233007723288</v>
      </c>
      <c r="AC80" s="214">
        <f t="shared" si="76"/>
        <v>-0.83126948298262671</v>
      </c>
      <c r="AD80" s="214">
        <f t="shared" si="76"/>
        <v>-0.88950368400355284</v>
      </c>
      <c r="AE80" s="214">
        <f t="shared" si="76"/>
        <v>-0.91005280072303518</v>
      </c>
      <c r="AF80" s="214">
        <f t="shared" si="76"/>
        <v>-0.95091410658958897</v>
      </c>
      <c r="AG80" s="214" t="str">
        <f t="shared" si="76"/>
        <v>-</v>
      </c>
      <c r="AH80" s="214" t="str">
        <f t="shared" si="76"/>
        <v>-</v>
      </c>
      <c r="AI80" s="214" t="str">
        <f t="shared" si="76"/>
        <v>-</v>
      </c>
      <c r="AJ80" s="214" t="str">
        <f t="shared" si="76"/>
        <v>-</v>
      </c>
      <c r="AK80" s="214" t="str">
        <f t="shared" si="76"/>
        <v>-</v>
      </c>
      <c r="AL80" s="214" t="str">
        <f t="shared" si="76"/>
        <v>-</v>
      </c>
      <c r="AM80" s="214" t="str">
        <f t="shared" si="76"/>
        <v>-</v>
      </c>
      <c r="AN80" s="270" t="str">
        <f t="shared" si="76"/>
        <v>-</v>
      </c>
      <c r="AO80" s="274">
        <f t="shared" si="70"/>
        <v>-0.77011809989766677</v>
      </c>
      <c r="AP80" s="275">
        <f t="shared" si="71"/>
        <v>-0.77011809989766677</v>
      </c>
      <c r="AQ80" s="276">
        <f t="shared" ref="AQ80" si="77">IFERROR(IF(AQ78=0,"-",(AQ78/AQ79)-1),"-")</f>
        <v>-0.94757651242525331</v>
      </c>
    </row>
    <row r="81" spans="1:45" ht="15.75" x14ac:dyDescent="0.25">
      <c r="B81" t="str">
        <f t="shared" si="73"/>
        <v>PC Annual Direct</v>
      </c>
      <c r="C81" t="str">
        <f t="shared" si="72"/>
        <v>Boom Subscription</v>
      </c>
      <c r="D81" s="208" t="s">
        <v>302</v>
      </c>
      <c r="E81" s="209">
        <f t="shared" ref="E81:AP82" si="78">IFERROR(E78/E75,0)</f>
        <v>0</v>
      </c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65"/>
      <c r="Q81" s="209"/>
      <c r="R81" s="209">
        <f t="shared" si="78"/>
        <v>852.53316988048084</v>
      </c>
      <c r="S81" s="209">
        <f t="shared" si="78"/>
        <v>863.73381440601941</v>
      </c>
      <c r="T81" s="209">
        <f t="shared" si="78"/>
        <v>1079.7564978611656</v>
      </c>
      <c r="U81" s="209">
        <f t="shared" si="78"/>
        <v>1310.8284925389551</v>
      </c>
      <c r="V81" s="209">
        <f t="shared" si="78"/>
        <v>1261.5658524007756</v>
      </c>
      <c r="W81" s="209">
        <f t="shared" si="78"/>
        <v>1312.8593391140596</v>
      </c>
      <c r="X81" s="209">
        <f t="shared" si="78"/>
        <v>1431.4362724694877</v>
      </c>
      <c r="Y81" s="209">
        <f t="shared" si="78"/>
        <v>1474.4860701328246</v>
      </c>
      <c r="Z81" s="209">
        <f t="shared" si="78"/>
        <v>1525.8138522311242</v>
      </c>
      <c r="AA81" s="209">
        <f t="shared" si="78"/>
        <v>1954.3028869120135</v>
      </c>
      <c r="AB81" s="265">
        <f t="shared" si="78"/>
        <v>2893.3176291904679</v>
      </c>
      <c r="AC81" s="209">
        <f t="shared" si="78"/>
        <v>13175.692359672979</v>
      </c>
      <c r="AD81" s="209">
        <f t="shared" si="78"/>
        <v>0</v>
      </c>
      <c r="AE81" s="209">
        <f t="shared" si="78"/>
        <v>0</v>
      </c>
      <c r="AF81" s="209">
        <f t="shared" si="78"/>
        <v>0</v>
      </c>
      <c r="AG81" s="209">
        <f t="shared" si="78"/>
        <v>0</v>
      </c>
      <c r="AH81" s="209">
        <f t="shared" si="78"/>
        <v>0</v>
      </c>
      <c r="AI81" s="209">
        <f t="shared" si="78"/>
        <v>0</v>
      </c>
      <c r="AJ81" s="209">
        <f t="shared" si="78"/>
        <v>0</v>
      </c>
      <c r="AK81" s="209">
        <f t="shared" si="78"/>
        <v>0</v>
      </c>
      <c r="AL81" s="209">
        <f t="shared" si="78"/>
        <v>0</v>
      </c>
      <c r="AM81" s="209">
        <f t="shared" si="78"/>
        <v>0</v>
      </c>
      <c r="AN81" s="265">
        <f t="shared" si="78"/>
        <v>0</v>
      </c>
      <c r="AO81" s="237">
        <f t="shared" si="78"/>
        <v>2212.2319743699713</v>
      </c>
      <c r="AP81" s="209">
        <f t="shared" si="78"/>
        <v>1251.4447226025502</v>
      </c>
      <c r="AQ81" s="238">
        <f>SUMIFS(AC81:AN81,AC$4:AN$4,"&lt;"&amp;'Title Sheet'!$C$13)</f>
        <v>13175.692359672979</v>
      </c>
    </row>
    <row r="82" spans="1:45" ht="15.75" hidden="1" x14ac:dyDescent="0.25">
      <c r="B82" t="str">
        <f t="shared" si="73"/>
        <v>PC Annual Direct</v>
      </c>
      <c r="C82" t="str">
        <f t="shared" si="72"/>
        <v>Boom Subscription</v>
      </c>
      <c r="D82" s="211" t="s">
        <v>303</v>
      </c>
      <c r="E82" s="31">
        <f t="shared" si="78"/>
        <v>0</v>
      </c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6"/>
      <c r="Q82" s="31"/>
      <c r="R82" s="31">
        <f t="shared" si="78"/>
        <v>0</v>
      </c>
      <c r="S82" s="31">
        <f t="shared" si="78"/>
        <v>0</v>
      </c>
      <c r="T82" s="31">
        <f t="shared" si="78"/>
        <v>0</v>
      </c>
      <c r="U82" s="31">
        <f t="shared" si="78"/>
        <v>0</v>
      </c>
      <c r="V82" s="31">
        <f t="shared" si="78"/>
        <v>0</v>
      </c>
      <c r="W82" s="31">
        <f t="shared" si="78"/>
        <v>0</v>
      </c>
      <c r="X82" s="31">
        <f t="shared" si="78"/>
        <v>0</v>
      </c>
      <c r="Y82" s="31">
        <f t="shared" si="78"/>
        <v>0</v>
      </c>
      <c r="Z82" s="31">
        <f t="shared" si="78"/>
        <v>0</v>
      </c>
      <c r="AA82" s="31">
        <f t="shared" si="78"/>
        <v>2940.6120463449633</v>
      </c>
      <c r="AB82" s="266">
        <f t="shared" si="78"/>
        <v>2508.8727069841393</v>
      </c>
      <c r="AC82" s="31">
        <f t="shared" si="78"/>
        <v>2431.6579366113488</v>
      </c>
      <c r="AD82" s="31">
        <f t="shared" si="78"/>
        <v>2488.1451058234757</v>
      </c>
      <c r="AE82" s="31">
        <f t="shared" si="78"/>
        <v>2347.2408565685837</v>
      </c>
      <c r="AF82" s="31">
        <f t="shared" si="78"/>
        <v>2122.7543034395003</v>
      </c>
      <c r="AG82" s="31">
        <f t="shared" si="78"/>
        <v>1928.923722318608</v>
      </c>
      <c r="AH82" s="31">
        <f t="shared" si="78"/>
        <v>1792.1092036209764</v>
      </c>
      <c r="AI82" s="31">
        <f t="shared" si="78"/>
        <v>1414.0515952231303</v>
      </c>
      <c r="AJ82" s="31">
        <f t="shared" si="78"/>
        <v>1393.8475889887482</v>
      </c>
      <c r="AK82" s="31">
        <f t="shared" si="78"/>
        <v>1364.7480464248031</v>
      </c>
      <c r="AL82" s="31">
        <f t="shared" si="78"/>
        <v>1342.5395140050166</v>
      </c>
      <c r="AM82" s="31">
        <f t="shared" si="78"/>
        <v>1331.5433059075201</v>
      </c>
      <c r="AN82" s="266">
        <f t="shared" si="78"/>
        <v>1292.44666445843</v>
      </c>
      <c r="AO82" s="239">
        <f t="shared" si="78"/>
        <v>2599.9648122861263</v>
      </c>
      <c r="AP82" s="31">
        <f t="shared" si="78"/>
        <v>2599.9648122861263</v>
      </c>
      <c r="AQ82" s="240">
        <f>SUMIFS(AC82:AN82,AC$4:AN$4,"&lt;"&amp;'Title Sheet'!$C$13)</f>
        <v>21250.007843390136</v>
      </c>
    </row>
    <row r="83" spans="1:45" ht="15.75" hidden="1" x14ac:dyDescent="0.25">
      <c r="B83" t="str">
        <f t="shared" si="73"/>
        <v>PC Annual Direct</v>
      </c>
      <c r="C83" t="str">
        <f t="shared" si="72"/>
        <v>Boom Subscription</v>
      </c>
      <c r="D83" s="213" t="s">
        <v>0</v>
      </c>
      <c r="E83" s="214" t="str">
        <f t="shared" ref="E83:AN83" si="79">IFERROR(IF(E81=0,"-",(E81/E82)-1),"-")</f>
        <v>-</v>
      </c>
      <c r="F83" s="214" t="str">
        <f t="shared" si="79"/>
        <v>-</v>
      </c>
      <c r="G83" s="214" t="str">
        <f t="shared" si="79"/>
        <v>-</v>
      </c>
      <c r="H83" s="214" t="str">
        <f t="shared" si="79"/>
        <v>-</v>
      </c>
      <c r="I83" s="214" t="str">
        <f t="shared" si="79"/>
        <v>-</v>
      </c>
      <c r="J83" s="214" t="str">
        <f t="shared" si="79"/>
        <v>-</v>
      </c>
      <c r="K83" s="214" t="str">
        <f t="shared" si="79"/>
        <v>-</v>
      </c>
      <c r="L83" s="214" t="str">
        <f t="shared" si="79"/>
        <v>-</v>
      </c>
      <c r="M83" s="214" t="str">
        <f t="shared" si="79"/>
        <v>-</v>
      </c>
      <c r="N83" s="214" t="str">
        <f t="shared" si="79"/>
        <v>-</v>
      </c>
      <c r="O83" s="214" t="str">
        <f t="shared" si="79"/>
        <v>-</v>
      </c>
      <c r="P83" s="270" t="str">
        <f t="shared" si="79"/>
        <v>-</v>
      </c>
      <c r="Q83" s="214" t="str">
        <f t="shared" si="79"/>
        <v>-</v>
      </c>
      <c r="R83" s="214" t="str">
        <f t="shared" si="79"/>
        <v>-</v>
      </c>
      <c r="S83" s="214" t="str">
        <f t="shared" si="79"/>
        <v>-</v>
      </c>
      <c r="T83" s="214" t="str">
        <f t="shared" si="79"/>
        <v>-</v>
      </c>
      <c r="U83" s="214" t="str">
        <f t="shared" si="79"/>
        <v>-</v>
      </c>
      <c r="V83" s="214" t="str">
        <f t="shared" si="79"/>
        <v>-</v>
      </c>
      <c r="W83" s="214" t="str">
        <f t="shared" si="79"/>
        <v>-</v>
      </c>
      <c r="X83" s="214" t="str">
        <f t="shared" si="79"/>
        <v>-</v>
      </c>
      <c r="Y83" s="214" t="str">
        <f t="shared" si="79"/>
        <v>-</v>
      </c>
      <c r="Z83" s="214" t="str">
        <f t="shared" si="79"/>
        <v>-</v>
      </c>
      <c r="AA83" s="214">
        <f t="shared" si="79"/>
        <v>-0.33540948070959709</v>
      </c>
      <c r="AB83" s="270">
        <f t="shared" si="79"/>
        <v>0.15323412827447158</v>
      </c>
      <c r="AC83" s="214">
        <f t="shared" si="79"/>
        <v>4.4183987646033973</v>
      </c>
      <c r="AD83" s="214" t="str">
        <f t="shared" si="79"/>
        <v>-</v>
      </c>
      <c r="AE83" s="214" t="str">
        <f t="shared" si="79"/>
        <v>-</v>
      </c>
      <c r="AF83" s="214" t="str">
        <f t="shared" si="79"/>
        <v>-</v>
      </c>
      <c r="AG83" s="214" t="str">
        <f t="shared" si="79"/>
        <v>-</v>
      </c>
      <c r="AH83" s="214" t="str">
        <f t="shared" si="79"/>
        <v>-</v>
      </c>
      <c r="AI83" s="214" t="str">
        <f t="shared" si="79"/>
        <v>-</v>
      </c>
      <c r="AJ83" s="214" t="str">
        <f t="shared" si="79"/>
        <v>-</v>
      </c>
      <c r="AK83" s="214" t="str">
        <f t="shared" si="79"/>
        <v>-</v>
      </c>
      <c r="AL83" s="214" t="str">
        <f t="shared" si="79"/>
        <v>-</v>
      </c>
      <c r="AM83" s="214" t="str">
        <f t="shared" si="79"/>
        <v>-</v>
      </c>
      <c r="AN83" s="270" t="str">
        <f t="shared" si="79"/>
        <v>-</v>
      </c>
      <c r="AO83" s="274">
        <f t="shared" ref="AO83:AP83" si="80">AO81-AO82</f>
        <v>-387.73283791615495</v>
      </c>
      <c r="AP83" s="275">
        <f t="shared" si="80"/>
        <v>-1348.5200896835761</v>
      </c>
      <c r="AQ83" s="276">
        <f t="shared" ref="AQ83" si="81">IFERROR(IF(AQ81=0,"-",(AQ81/AQ82)-1),"-")</f>
        <v>-0.37996764722271348</v>
      </c>
    </row>
    <row r="84" spans="1:45" x14ac:dyDescent="0.25">
      <c r="B84" t="str">
        <f t="shared" si="73"/>
        <v>PC Annual Direct</v>
      </c>
      <c r="C84" t="str">
        <f t="shared" si="72"/>
        <v>Boom Subscription</v>
      </c>
      <c r="D84" s="258" t="s">
        <v>17</v>
      </c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67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67"/>
      <c r="AC84" s="259"/>
      <c r="AD84" s="259"/>
      <c r="AE84" s="259"/>
      <c r="AF84" s="259"/>
      <c r="AG84" s="259"/>
      <c r="AH84" s="259"/>
      <c r="AI84" s="259"/>
      <c r="AJ84" s="259"/>
      <c r="AK84" s="259"/>
      <c r="AL84" s="259"/>
      <c r="AM84" s="259"/>
      <c r="AN84" s="267"/>
      <c r="AO84" s="277"/>
      <c r="AP84" s="277"/>
      <c r="AQ84" s="278">
        <f>SUMIFS(AC84:AN84,AC$4:AN$4,"&lt;"&amp;'Title Sheet'!$C$13)</f>
        <v>0</v>
      </c>
    </row>
    <row r="85" spans="1:45" ht="15.75" x14ac:dyDescent="0.25">
      <c r="A85">
        <v>2</v>
      </c>
      <c r="B85" t="str">
        <f t="shared" si="73"/>
        <v>PC Annual Direct</v>
      </c>
      <c r="C85" t="str">
        <f t="shared" si="72"/>
        <v>Boom Subscription</v>
      </c>
      <c r="D85" s="208" t="s">
        <v>7</v>
      </c>
      <c r="E85" s="282" t="e">
        <f>'Current - Sales, NWP, GWP'!E88/VLOOKUP(COUNTA(E$4:$AC$4),'Dev Patterns'!$B$6:$F$22,$A85,0)</f>
        <v>#N/A</v>
      </c>
      <c r="F85" s="283"/>
      <c r="G85" s="283"/>
      <c r="H85" s="283"/>
      <c r="I85" s="283"/>
      <c r="J85" s="283"/>
      <c r="K85" s="283"/>
      <c r="L85" s="283"/>
      <c r="M85" s="283"/>
      <c r="N85" s="283"/>
      <c r="O85" s="283"/>
      <c r="P85" s="284"/>
      <c r="Q85" s="282"/>
      <c r="R85" s="283">
        <f>'Current - Sales, NWP, GWP'!R88/VLOOKUP(COUNTA(R$4:$AC$4),'Dev Patterns'!$B$6:$F$22,$A85,0)</f>
        <v>1942443.1160720733</v>
      </c>
      <c r="S85" s="283">
        <f>'Current - Sales, NWP, GWP'!S88/VLOOKUP(COUNTA(S$4:$AC$4),'Dev Patterns'!$B$6:$F$22,$A85,0)</f>
        <v>1920173.8467244913</v>
      </c>
      <c r="T85" s="283">
        <f>'Current - Sales, NWP, GWP'!T88/VLOOKUP(COUNTA(T$4:$AC$4),'Dev Patterns'!$B$6:$F$22,$A85,0)</f>
        <v>1614189.997221272</v>
      </c>
      <c r="U85" s="283">
        <f>'Current - Sales, NWP, GWP'!U88/VLOOKUP(COUNTA(U$4:$AC$4),'Dev Patterns'!$B$6:$F$22,$A85,0)</f>
        <v>1513392.1988720493</v>
      </c>
      <c r="V85" s="283">
        <f>'Current - Sales, NWP, GWP'!V88/VLOOKUP(COUNTA(V$4:$AC$4),'Dev Patterns'!$B$6:$F$22,$A85,0)</f>
        <v>1300647.9910934309</v>
      </c>
      <c r="W85" s="283">
        <f>'Current - Sales, NWP, GWP'!W88/VLOOKUP(COUNTA(W$4:$AC$4),'Dev Patterns'!$B$6:$F$22,$A85,0)</f>
        <v>1193624.3558192537</v>
      </c>
      <c r="X85" s="283">
        <f>'Current - Sales, NWP, GWP'!X88/VLOOKUP(COUNTA(X$4:$AC$4),'Dev Patterns'!$B$6:$F$22,$A85,0)</f>
        <v>1018339.5737868317</v>
      </c>
      <c r="Y85" s="283">
        <f>'Current - Sales, NWP, GWP'!Y88/VLOOKUP(COUNTA(Y$4:$AC$4),'Dev Patterns'!$B$6:$F$22,$A85,0)</f>
        <v>815634.65245117783</v>
      </c>
      <c r="Z85" s="283">
        <f>'Current - Sales, NWP, GWP'!Z88/VLOOKUP(COUNTA(Z$4:$AC$4),'Dev Patterns'!$B$6:$F$22,$A85,0)</f>
        <v>648666.23401254229</v>
      </c>
      <c r="AA85" s="283">
        <f>'Current - Sales, NWP, GWP'!AA88/VLOOKUP(COUNTA(AA$4:$AC$4),'Dev Patterns'!$B$6:$F$22,$A85,0)</f>
        <v>389371.37969203893</v>
      </c>
      <c r="AB85" s="284">
        <f>'Current - Sales, NWP, GWP'!AB88/VLOOKUP(COUNTA(AB$4:$AC$4),'Dev Patterns'!$B$6:$F$22,$A85,0)</f>
        <v>205733.10275514604</v>
      </c>
      <c r="AC85" s="282">
        <f>'Current - Sales, NWP, GWP'!AC88/VLOOKUP(COUNTA(AC$4:$AC$4),'Dev Patterns'!$B$6:$F$22,$A85,0)</f>
        <v>30615.138582069223</v>
      </c>
      <c r="AD85" s="283">
        <f>'Current - Sales, NWP, GWP'!AD88/VLOOKUP(COUNTA($AC$4:AD$4),'Dev Patterns'!$B$6:$F$22,$A85,0)</f>
        <v>0</v>
      </c>
      <c r="AE85" s="283">
        <f>'Current - Sales, NWP, GWP'!AE88/VLOOKUP(COUNTA($AC$4:AE$4),'Dev Patterns'!$B$6:$F$22,$A85,0)</f>
        <v>0</v>
      </c>
      <c r="AF85" s="283">
        <f>'Current - Sales, NWP, GWP'!AF88/VLOOKUP(COUNTA($AC$4:AF$4),'Dev Patterns'!$B$6:$F$22,$A85,0)</f>
        <v>0</v>
      </c>
      <c r="AG85" s="283">
        <f>'Current - Sales, NWP, GWP'!AG88/VLOOKUP(COUNTA($AC$4:AG$4),'Dev Patterns'!$B$6:$F$22,$A85,0)</f>
        <v>0</v>
      </c>
      <c r="AH85" s="283">
        <f>'Current - Sales, NWP, GWP'!AH88/VLOOKUP(COUNTA($AC$4:AH$4),'Dev Patterns'!$B$6:$F$22,$A85,0)</f>
        <v>0</v>
      </c>
      <c r="AI85" s="283">
        <f>'Current - Sales, NWP, GWP'!AI88/VLOOKUP(COUNTA($AC$4:AI$4),'Dev Patterns'!$B$6:$F$22,$A85,0)</f>
        <v>0</v>
      </c>
      <c r="AJ85" s="283">
        <f>'Current - Sales, NWP, GWP'!AJ88/VLOOKUP(COUNTA($AC$4:AJ$4),'Dev Patterns'!$B$6:$F$22,$A85,0)</f>
        <v>0</v>
      </c>
      <c r="AK85" s="283">
        <f>'Current - Sales, NWP, GWP'!AK88/VLOOKUP(COUNTA($AC$4:AK$4),'Dev Patterns'!$B$6:$F$22,$A85,0)</f>
        <v>0</v>
      </c>
      <c r="AL85" s="283">
        <f>'Current - Sales, NWP, GWP'!AL88/VLOOKUP(COUNTA($AC$4:AL$4),'Dev Patterns'!$B$6:$F$22,$A85,0)</f>
        <v>0</v>
      </c>
      <c r="AM85" s="283">
        <f>'Current - Sales, NWP, GWP'!AM88/VLOOKUP(COUNTA($AC$4:AM$4),'Dev Patterns'!$B$6:$F$22,$A85,0)</f>
        <v>0</v>
      </c>
      <c r="AN85" s="284">
        <f>'Current - Sales, NWP, GWP'!AN88/VLOOKUP(COUNTA($AC$4:AN$4),'Dev Patterns'!$B$6:$F$22,$A85,0)</f>
        <v>0</v>
      </c>
      <c r="AO85" s="237">
        <f>AVERAGE(Z85:AC85)</f>
        <v>318596.46376044914</v>
      </c>
      <c r="AP85" s="209">
        <f>AVERAGE(R85:AC85)</f>
        <v>1049402.6322568648</v>
      </c>
      <c r="AQ85" s="238">
        <f>SUMIFS(AC85:AN85,AC$4:AN$4,"&lt;"&amp;'Title Sheet'!$C$13)</f>
        <v>30615.138582069223</v>
      </c>
    </row>
    <row r="86" spans="1:45" ht="16.5" thickBot="1" x14ac:dyDescent="0.3">
      <c r="B86" t="str">
        <f t="shared" si="73"/>
        <v>PC Annual Direct</v>
      </c>
      <c r="C86" t="str">
        <f t="shared" si="72"/>
        <v>Boom Subscription</v>
      </c>
      <c r="D86" s="226" t="s">
        <v>21</v>
      </c>
      <c r="E86" s="269">
        <f t="shared" ref="E86:AP86" si="82">E78/E$8</f>
        <v>0</v>
      </c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81"/>
      <c r="Q86" s="269"/>
      <c r="R86" s="269">
        <f t="shared" si="82"/>
        <v>0.50159144664102895</v>
      </c>
      <c r="S86" s="269">
        <f t="shared" si="82"/>
        <v>0.50596920096646492</v>
      </c>
      <c r="T86" s="269">
        <f t="shared" si="82"/>
        <v>0.56569962193603152</v>
      </c>
      <c r="U86" s="269">
        <f t="shared" si="82"/>
        <v>0.57006196253711994</v>
      </c>
      <c r="V86" s="269">
        <f t="shared" si="82"/>
        <v>1</v>
      </c>
      <c r="W86" s="269">
        <f t="shared" si="82"/>
        <v>1</v>
      </c>
      <c r="X86" s="269">
        <f t="shared" si="82"/>
        <v>1</v>
      </c>
      <c r="Y86" s="269">
        <f t="shared" si="82"/>
        <v>1</v>
      </c>
      <c r="Z86" s="269">
        <f t="shared" si="82"/>
        <v>1</v>
      </c>
      <c r="AA86" s="269">
        <f t="shared" si="82"/>
        <v>1</v>
      </c>
      <c r="AB86" s="281">
        <f t="shared" si="82"/>
        <v>1</v>
      </c>
      <c r="AC86" s="269">
        <f t="shared" si="82"/>
        <v>1</v>
      </c>
      <c r="AD86" s="269">
        <f t="shared" si="82"/>
        <v>1</v>
      </c>
      <c r="AE86" s="269">
        <f t="shared" si="82"/>
        <v>1</v>
      </c>
      <c r="AF86" s="269">
        <f t="shared" si="82"/>
        <v>1</v>
      </c>
      <c r="AG86" s="269" t="e">
        <f t="shared" si="82"/>
        <v>#DIV/0!</v>
      </c>
      <c r="AH86" s="269" t="e">
        <f t="shared" si="82"/>
        <v>#DIV/0!</v>
      </c>
      <c r="AI86" s="269" t="e">
        <f t="shared" si="82"/>
        <v>#DIV/0!</v>
      </c>
      <c r="AJ86" s="269" t="e">
        <f t="shared" si="82"/>
        <v>#DIV/0!</v>
      </c>
      <c r="AK86" s="269" t="e">
        <f t="shared" si="82"/>
        <v>#DIV/0!</v>
      </c>
      <c r="AL86" s="269" t="e">
        <f t="shared" si="82"/>
        <v>#DIV/0!</v>
      </c>
      <c r="AM86" s="269" t="e">
        <f t="shared" si="82"/>
        <v>#DIV/0!</v>
      </c>
      <c r="AN86" s="281" t="e">
        <f t="shared" si="82"/>
        <v>#DIV/0!</v>
      </c>
      <c r="AO86" s="279">
        <f t="shared" si="82"/>
        <v>1</v>
      </c>
      <c r="AP86" s="269">
        <f t="shared" si="82"/>
        <v>0.72012485324845021</v>
      </c>
      <c r="AQ86" s="280" t="str">
        <f t="shared" ref="AQ86" si="83">IFERROR(IF(AQ84=0,"-",(AQ84/AQ85)-1),"-")</f>
        <v>-</v>
      </c>
    </row>
    <row r="87" spans="1:45" outlineLevel="1" x14ac:dyDescent="0.25"/>
    <row r="88" spans="1:45" hidden="1" outlineLevel="1" x14ac:dyDescent="0.25">
      <c r="E88" s="188"/>
      <c r="F88" s="188"/>
      <c r="G88" s="188"/>
      <c r="H88" s="188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513" t="s">
        <v>312</v>
      </c>
      <c r="U88" s="513"/>
      <c r="V88" s="513"/>
      <c r="W88" s="513"/>
      <c r="X88" s="513"/>
      <c r="Y88" s="513"/>
      <c r="Z88" s="513"/>
      <c r="AA88" s="513"/>
      <c r="AB88" s="513"/>
      <c r="AC88" s="513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</row>
    <row r="89" spans="1:45" ht="18.75" hidden="1" outlineLevel="1" x14ac:dyDescent="0.3">
      <c r="D89" s="68" t="s">
        <v>204</v>
      </c>
      <c r="E89" s="174" t="s">
        <v>300</v>
      </c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"/>
      <c r="S89" s="1"/>
      <c r="T89" s="505" t="s">
        <v>307</v>
      </c>
      <c r="U89" s="505"/>
      <c r="V89" s="505"/>
      <c r="W89" s="505"/>
      <c r="X89" s="505"/>
      <c r="Y89" s="505"/>
      <c r="Z89" s="505"/>
      <c r="AA89" s="505"/>
      <c r="AB89" s="505"/>
      <c r="AC89" s="506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4"/>
      <c r="AP89" s="1"/>
      <c r="AS89" s="118" t="s">
        <v>184</v>
      </c>
    </row>
    <row r="90" spans="1:45" hidden="1" outlineLevel="1" x14ac:dyDescent="0.25">
      <c r="D90" s="19"/>
      <c r="E90" s="503" t="s">
        <v>237</v>
      </c>
      <c r="F90" s="503"/>
      <c r="G90" s="503"/>
      <c r="H90" s="503"/>
      <c r="I90" s="503"/>
      <c r="J90" s="503"/>
      <c r="K90" s="503"/>
      <c r="L90" s="503"/>
      <c r="M90" s="503"/>
      <c r="N90" s="503"/>
      <c r="O90" s="503"/>
      <c r="P90" s="503"/>
      <c r="Q90" s="503"/>
      <c r="R90" s="503"/>
      <c r="S90" s="503"/>
      <c r="T90" s="503"/>
      <c r="U90" s="503"/>
      <c r="V90" s="503"/>
      <c r="W90" s="503"/>
      <c r="X90" s="503"/>
      <c r="Y90" s="503"/>
      <c r="Z90" s="503"/>
      <c r="AA90" s="503"/>
      <c r="AB90" s="503"/>
      <c r="AC90" s="50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  <c r="AN90" s="194"/>
      <c r="AO90" s="500" t="s">
        <v>8</v>
      </c>
      <c r="AP90" s="501"/>
    </row>
    <row r="91" spans="1:45" hidden="1" outlineLevel="1" x14ac:dyDescent="0.25">
      <c r="D91" s="22" t="s">
        <v>16</v>
      </c>
      <c r="E91" s="23">
        <f>E$4</f>
        <v>44562</v>
      </c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>
        <f t="shared" ref="R91:AC91" si="84">R$4</f>
        <v>44958</v>
      </c>
      <c r="S91" s="23">
        <f t="shared" si="84"/>
        <v>44986</v>
      </c>
      <c r="T91" s="23">
        <f t="shared" si="84"/>
        <v>45017</v>
      </c>
      <c r="U91" s="23">
        <f t="shared" si="84"/>
        <v>45047</v>
      </c>
      <c r="V91" s="23">
        <f t="shared" si="84"/>
        <v>45078</v>
      </c>
      <c r="W91" s="23">
        <f t="shared" si="84"/>
        <v>45108</v>
      </c>
      <c r="X91" s="23">
        <f t="shared" si="84"/>
        <v>45139</v>
      </c>
      <c r="Y91" s="23">
        <f t="shared" si="84"/>
        <v>45170</v>
      </c>
      <c r="Z91" s="23">
        <f t="shared" si="84"/>
        <v>45200</v>
      </c>
      <c r="AA91" s="23">
        <f t="shared" si="84"/>
        <v>45231</v>
      </c>
      <c r="AB91" s="23">
        <f t="shared" si="84"/>
        <v>45261</v>
      </c>
      <c r="AC91" s="24">
        <f t="shared" si="84"/>
        <v>45292</v>
      </c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8" t="s">
        <v>9</v>
      </c>
      <c r="AP91" s="29" t="s">
        <v>10</v>
      </c>
    </row>
    <row r="92" spans="1:45" ht="15.75" hidden="1" outlineLevel="1" x14ac:dyDescent="0.25">
      <c r="B92" t="str">
        <f>$D$2</f>
        <v>PC Annual Direct</v>
      </c>
      <c r="C92" t="s">
        <v>73</v>
      </c>
      <c r="D92" s="5" t="s">
        <v>308</v>
      </c>
      <c r="E92" s="6">
        <v>2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>
        <v>2242</v>
      </c>
      <c r="S92" s="6">
        <v>2478</v>
      </c>
      <c r="T92" s="6">
        <v>2183</v>
      </c>
      <c r="U92" s="6">
        <v>2872</v>
      </c>
      <c r="V92" s="6">
        <v>1836</v>
      </c>
      <c r="W92" s="6">
        <v>1791</v>
      </c>
      <c r="X92" s="6">
        <v>1999</v>
      </c>
      <c r="Y92" s="6">
        <v>2026</v>
      </c>
      <c r="Z92" s="6">
        <v>3086</v>
      </c>
      <c r="AA92" s="6">
        <v>3887</v>
      </c>
      <c r="AB92" s="6">
        <v>3367</v>
      </c>
      <c r="AC92" s="7">
        <v>2792</v>
      </c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8">
        <f t="shared" ref="AO92:AO97" si="85">AVERAGE(Z92:AC92)</f>
        <v>3283</v>
      </c>
      <c r="AP92" s="6">
        <f>AVERAGE(R92:AC92)</f>
        <v>2546.5833333333335</v>
      </c>
    </row>
    <row r="93" spans="1:45" ht="15.75" hidden="1" outlineLevel="1" x14ac:dyDescent="0.25">
      <c r="B93" t="str">
        <f>$D$89&amp;"_W VYRs"</f>
        <v>PC Annual Direct - Subscription_W VYRs</v>
      </c>
      <c r="C93" t="str">
        <f>$C92</f>
        <v>Boom Subscription</v>
      </c>
      <c r="D93" s="175" t="s">
        <v>4</v>
      </c>
      <c r="E93" s="176" t="e">
        <f>INDEX('Plan Figures'!$B$5:$AP$31,MATCH('Ultimate - MGA only'!E$4,'Plan Figures'!$B$5:$B$31,0),MATCH('Ultimate - MGA only'!$B93,'Plan Figures'!$B$1:$AP$1,0))</f>
        <v>#N/A</v>
      </c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 t="str">
        <f>INDEX('Plan Figures'!$B$5:$AP$31,MATCH('Ultimate - MGA only'!R$4,'Plan Figures'!$B$5:$B$31,0),MATCH('Ultimate - MGA only'!$B93,'Plan Figures'!$B$1:$AP$1,0))</f>
        <v>-</v>
      </c>
      <c r="S93" s="176" t="str">
        <f>INDEX('Plan Figures'!$B$5:$AP$31,MATCH('Ultimate - MGA only'!S$4,'Plan Figures'!$B$5:$B$31,0),MATCH('Ultimate - MGA only'!$B93,'Plan Figures'!$B$1:$AP$1,0))</f>
        <v>-</v>
      </c>
      <c r="T93" s="176" t="str">
        <f>INDEX('Plan Figures'!$B$5:$AP$31,MATCH('Ultimate - MGA only'!T$4,'Plan Figures'!$B$5:$B$31,0),MATCH('Ultimate - MGA only'!$B93,'Plan Figures'!$B$1:$AP$1,0))</f>
        <v>-</v>
      </c>
      <c r="U93" s="176" t="str">
        <f>INDEX('Plan Figures'!$B$5:$AP$31,MATCH('Ultimate - MGA only'!U$4,'Plan Figures'!$B$5:$B$31,0),MATCH('Ultimate - MGA only'!$B93,'Plan Figures'!$B$1:$AP$1,0))</f>
        <v>-</v>
      </c>
      <c r="V93" s="176" t="str">
        <f>INDEX('Plan Figures'!$B$5:$AP$31,MATCH('Ultimate - MGA only'!V$4,'Plan Figures'!$B$5:$B$31,0),MATCH('Ultimate - MGA only'!$B93,'Plan Figures'!$B$1:$AP$1,0))</f>
        <v>-</v>
      </c>
      <c r="W93" s="176" t="str">
        <f>INDEX('Plan Figures'!$B$5:$AP$31,MATCH('Ultimate - MGA only'!W$4,'Plan Figures'!$B$5:$B$31,0),MATCH('Ultimate - MGA only'!$B93,'Plan Figures'!$B$1:$AP$1,0))</f>
        <v>-</v>
      </c>
      <c r="X93" s="176" t="str">
        <f>INDEX('Plan Figures'!$B$5:$AP$31,MATCH('Ultimate - MGA only'!X$4,'Plan Figures'!$B$5:$B$31,0),MATCH('Ultimate - MGA only'!$B93,'Plan Figures'!$B$1:$AP$1,0))</f>
        <v>-</v>
      </c>
      <c r="Y93" s="176" t="str">
        <f>INDEX('Plan Figures'!$B$5:$AP$31,MATCH('Ultimate - MGA only'!Y$4,'Plan Figures'!$B$5:$B$31,0),MATCH('Ultimate - MGA only'!$B93,'Plan Figures'!$B$1:$AP$1,0))</f>
        <v>-</v>
      </c>
      <c r="Z93" s="176" t="str">
        <f>INDEX('Plan Figures'!$B$5:$AP$31,MATCH('Ultimate - MGA only'!Z$4,'Plan Figures'!$B$5:$B$31,0),MATCH('Ultimate - MGA only'!$B93,'Plan Figures'!$B$1:$AP$1,0))</f>
        <v>-</v>
      </c>
      <c r="AA93" s="176">
        <f>INDEX('Plan Figures'!$B$5:$AP$31,MATCH('Ultimate - MGA only'!AA$4,'Plan Figures'!$B$5:$B$31,0),MATCH('Ultimate - MGA only'!$B93,'Plan Figures'!$B$1:$AP$1,0))</f>
        <v>615.93307879093663</v>
      </c>
      <c r="AB93" s="176">
        <f>INDEX('Plan Figures'!$B$5:$AP$31,MATCH('Ultimate - MGA only'!AB$4,'Plan Figures'!$B$5:$B$31,0),MATCH('Ultimate - MGA only'!$B93,'Plan Figures'!$B$1:$AP$1,0))</f>
        <v>763.72800510730349</v>
      </c>
      <c r="AC93" s="177">
        <f>INDEX('Plan Figures'!$B$5:$AP$31,MATCH('Ultimate - MGA only'!AC$4,'Plan Figures'!$B$5:$B$31,0),MATCH('Ultimate - MGA only'!$B93,'Plan Figures'!$B$1:$AP$1,0))</f>
        <v>833.27735263273371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8">
        <f t="shared" si="85"/>
        <v>737.64614551032457</v>
      </c>
      <c r="AP93" s="176">
        <f t="shared" ref="AP93:AP97" si="86">AVERAGE(R93:AC93)</f>
        <v>737.64614551032457</v>
      </c>
    </row>
    <row r="94" spans="1:45" ht="15.75" hidden="1" outlineLevel="1" x14ac:dyDescent="0.25">
      <c r="B94" t="str">
        <f t="shared" ref="B94:B103" si="87">$D$2</f>
        <v>PC Annual Direct</v>
      </c>
      <c r="C94" t="str">
        <f t="shared" ref="C94:C102" si="88">$C93</f>
        <v>Boom Subscription</v>
      </c>
      <c r="D94" s="179" t="s">
        <v>0</v>
      </c>
      <c r="E94" s="180" t="e">
        <f t="shared" ref="E94:AC94" si="89">E92-E93</f>
        <v>#N/A</v>
      </c>
      <c r="F94" s="180"/>
      <c r="G94" s="180"/>
      <c r="H94" s="180"/>
      <c r="I94" s="180"/>
      <c r="J94" s="180"/>
      <c r="K94" s="180"/>
      <c r="L94" s="180"/>
      <c r="M94" s="180"/>
      <c r="N94" s="180"/>
      <c r="O94" s="180"/>
      <c r="P94" s="180"/>
      <c r="Q94" s="180"/>
      <c r="R94" s="180" t="e">
        <f t="shared" si="89"/>
        <v>#VALUE!</v>
      </c>
      <c r="S94" s="180" t="e">
        <f t="shared" si="89"/>
        <v>#VALUE!</v>
      </c>
      <c r="T94" s="180" t="e">
        <f t="shared" si="89"/>
        <v>#VALUE!</v>
      </c>
      <c r="U94" s="180" t="e">
        <f t="shared" si="89"/>
        <v>#VALUE!</v>
      </c>
      <c r="V94" s="180" t="e">
        <f t="shared" si="89"/>
        <v>#VALUE!</v>
      </c>
      <c r="W94" s="180" t="e">
        <f t="shared" si="89"/>
        <v>#VALUE!</v>
      </c>
      <c r="X94" s="180" t="e">
        <f t="shared" si="89"/>
        <v>#VALUE!</v>
      </c>
      <c r="Y94" s="180" t="e">
        <f t="shared" si="89"/>
        <v>#VALUE!</v>
      </c>
      <c r="Z94" s="180" t="e">
        <f t="shared" si="89"/>
        <v>#VALUE!</v>
      </c>
      <c r="AA94" s="180">
        <f t="shared" si="89"/>
        <v>3271.0669212090634</v>
      </c>
      <c r="AB94" s="180">
        <f t="shared" si="89"/>
        <v>2603.2719948926965</v>
      </c>
      <c r="AC94" s="181">
        <f t="shared" si="89"/>
        <v>1958.7226473672663</v>
      </c>
      <c r="AD94" s="180"/>
      <c r="AE94" s="180"/>
      <c r="AF94" s="180"/>
      <c r="AG94" s="180"/>
      <c r="AH94" s="180"/>
      <c r="AI94" s="180"/>
      <c r="AJ94" s="180"/>
      <c r="AK94" s="180"/>
      <c r="AL94" s="180"/>
      <c r="AM94" s="180"/>
      <c r="AN94" s="180"/>
      <c r="AO94" s="182" t="e">
        <f t="shared" si="85"/>
        <v>#VALUE!</v>
      </c>
      <c r="AP94" s="180" t="e">
        <f t="shared" si="86"/>
        <v>#VALUE!</v>
      </c>
    </row>
    <row r="95" spans="1:45" ht="15.75" hidden="1" outlineLevel="1" x14ac:dyDescent="0.25">
      <c r="B95" t="str">
        <f t="shared" si="87"/>
        <v>PC Annual Direct</v>
      </c>
      <c r="C95" t="str">
        <f t="shared" si="88"/>
        <v>Boom Subscription</v>
      </c>
      <c r="D95" s="9" t="s">
        <v>309</v>
      </c>
      <c r="E95" s="15">
        <v>0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>
        <v>5065071.1928567188</v>
      </c>
      <c r="S95" s="15">
        <v>2602918.5557175679</v>
      </c>
      <c r="T95" s="15">
        <v>3058793.5714276335</v>
      </c>
      <c r="U95" s="15">
        <v>3629516.5942827086</v>
      </c>
      <c r="V95" s="15">
        <v>2884434.6771383779</v>
      </c>
      <c r="W95" s="15">
        <v>2912157.9642843842</v>
      </c>
      <c r="X95" s="15">
        <v>3523662.750002387</v>
      </c>
      <c r="Y95" s="15">
        <v>4105968.3728598249</v>
      </c>
      <c r="Z95" s="15">
        <v>5391594.0471423389</v>
      </c>
      <c r="AA95" s="15">
        <v>7273466.7214334616</v>
      </c>
      <c r="AB95" s="15">
        <v>5434775.6699983915</v>
      </c>
      <c r="AC95" s="16">
        <v>639832.0371454074</v>
      </c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8">
        <f t="shared" si="85"/>
        <v>4684917.1189298993</v>
      </c>
      <c r="AP95" s="6">
        <f t="shared" si="86"/>
        <v>3876849.3461907669</v>
      </c>
    </row>
    <row r="96" spans="1:45" ht="15.75" hidden="1" outlineLevel="1" x14ac:dyDescent="0.25">
      <c r="B96" t="str">
        <f>$D$89&amp;"_NWP"</f>
        <v>PC Annual Direct - Subscription_NWP</v>
      </c>
      <c r="C96" t="str">
        <f t="shared" si="88"/>
        <v>Boom Subscription</v>
      </c>
      <c r="D96" s="175" t="s">
        <v>6</v>
      </c>
      <c r="E96" s="176" t="e">
        <f>INDEX('Plan Figures'!$B$5:$AP$31,MATCH('Ultimate - MGA only'!E$4,'Plan Figures'!$B$5:$B$31,0),MATCH('Ultimate - MGA only'!$B96,'Plan Figures'!$B$1:$AP$1,0))</f>
        <v>#N/A</v>
      </c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 t="str">
        <f>INDEX('Plan Figures'!$B$5:$AP$31,MATCH('Ultimate - MGA only'!R$4,'Plan Figures'!$B$5:$B$31,0),MATCH('Ultimate - MGA only'!$B96,'Plan Figures'!$B$1:$AP$1,0))</f>
        <v>-</v>
      </c>
      <c r="S96" s="176" t="str">
        <f>INDEX('Plan Figures'!$B$5:$AP$31,MATCH('Ultimate - MGA only'!S$4,'Plan Figures'!$B$5:$B$31,0),MATCH('Ultimate - MGA only'!$B96,'Plan Figures'!$B$1:$AP$1,0))</f>
        <v>-</v>
      </c>
      <c r="T96" s="176" t="str">
        <f>INDEX('Plan Figures'!$B$5:$AP$31,MATCH('Ultimate - MGA only'!T$4,'Plan Figures'!$B$5:$B$31,0),MATCH('Ultimate - MGA only'!$B96,'Plan Figures'!$B$1:$AP$1,0))</f>
        <v>-</v>
      </c>
      <c r="U96" s="176" t="str">
        <f>INDEX('Plan Figures'!$B$5:$AP$31,MATCH('Ultimate - MGA only'!U$4,'Plan Figures'!$B$5:$B$31,0),MATCH('Ultimate - MGA only'!$B96,'Plan Figures'!$B$1:$AP$1,0))</f>
        <v>-</v>
      </c>
      <c r="V96" s="176" t="str">
        <f>INDEX('Plan Figures'!$B$5:$AP$31,MATCH('Ultimate - MGA only'!V$4,'Plan Figures'!$B$5:$B$31,0),MATCH('Ultimate - MGA only'!$B96,'Plan Figures'!$B$1:$AP$1,0))</f>
        <v>-</v>
      </c>
      <c r="W96" s="176" t="str">
        <f>INDEX('Plan Figures'!$B$5:$AP$31,MATCH('Ultimate - MGA only'!W$4,'Plan Figures'!$B$5:$B$31,0),MATCH('Ultimate - MGA only'!$B96,'Plan Figures'!$B$1:$AP$1,0))</f>
        <v>-</v>
      </c>
      <c r="X96" s="176" t="str">
        <f>INDEX('Plan Figures'!$B$5:$AP$31,MATCH('Ultimate - MGA only'!X$4,'Plan Figures'!$B$5:$B$31,0),MATCH('Ultimate - MGA only'!$B96,'Plan Figures'!$B$1:$AP$1,0))</f>
        <v>-</v>
      </c>
      <c r="Y96" s="176" t="str">
        <f>INDEX('Plan Figures'!$B$5:$AP$31,MATCH('Ultimate - MGA only'!Y$4,'Plan Figures'!$B$5:$B$31,0),MATCH('Ultimate - MGA only'!$B96,'Plan Figures'!$B$1:$AP$1,0))</f>
        <v>-</v>
      </c>
      <c r="Z96" s="176" t="str">
        <f>INDEX('Plan Figures'!$B$5:$AP$31,MATCH('Ultimate - MGA only'!Z$4,'Plan Figures'!$B$5:$B$31,0),MATCH('Ultimate - MGA only'!$B96,'Plan Figures'!$B$1:$AP$1,0))</f>
        <v>-</v>
      </c>
      <c r="AA96" s="176">
        <f>INDEX('Plan Figures'!$B$5:$AP$31,MATCH('Ultimate - MGA only'!AA$4,'Plan Figures'!$B$5:$B$31,0),MATCH('Ultimate - MGA only'!$B96,'Plan Figures'!$B$1:$AP$1,0))</f>
        <v>1811220.2312349698</v>
      </c>
      <c r="AB96" s="176">
        <f>INDEX('Plan Figures'!$B$5:$AP$31,MATCH('Ultimate - MGA only'!AB$4,'Plan Figures'!$B$5:$B$31,0),MATCH('Ultimate - MGA only'!$B96,'Plan Figures'!$B$1:$AP$1,0))</f>
        <v>1916096.3475731572</v>
      </c>
      <c r="AC96" s="177">
        <f>INDEX('Plan Figures'!$B$5:$AP$31,MATCH('Ultimate - MGA only'!AC$4,'Plan Figures'!$B$5:$B$31,0),MATCH('Ultimate - MGA only'!$B96,'Plan Figures'!$B$1:$AP$1,0))</f>
        <v>2026245.4879278806</v>
      </c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8">
        <f t="shared" si="85"/>
        <v>1917854.0222453356</v>
      </c>
      <c r="AP96" s="176">
        <f t="shared" si="86"/>
        <v>1917854.0222453356</v>
      </c>
    </row>
    <row r="97" spans="2:43" ht="15.75" hidden="1" outlineLevel="1" x14ac:dyDescent="0.25">
      <c r="B97" t="str">
        <f t="shared" si="87"/>
        <v>PC Annual Direct</v>
      </c>
      <c r="C97" t="str">
        <f t="shared" si="88"/>
        <v>Boom Subscription</v>
      </c>
      <c r="D97" s="179" t="s">
        <v>0</v>
      </c>
      <c r="E97" s="180" t="e">
        <f t="shared" ref="E97:AC97" si="90">E95-E96</f>
        <v>#N/A</v>
      </c>
      <c r="F97" s="180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 t="e">
        <f t="shared" si="90"/>
        <v>#VALUE!</v>
      </c>
      <c r="S97" s="180" t="e">
        <f t="shared" si="90"/>
        <v>#VALUE!</v>
      </c>
      <c r="T97" s="180" t="e">
        <f t="shared" si="90"/>
        <v>#VALUE!</v>
      </c>
      <c r="U97" s="180" t="e">
        <f t="shared" si="90"/>
        <v>#VALUE!</v>
      </c>
      <c r="V97" s="180" t="e">
        <f t="shared" si="90"/>
        <v>#VALUE!</v>
      </c>
      <c r="W97" s="180" t="e">
        <f t="shared" si="90"/>
        <v>#VALUE!</v>
      </c>
      <c r="X97" s="180" t="e">
        <f t="shared" si="90"/>
        <v>#VALUE!</v>
      </c>
      <c r="Y97" s="180" t="e">
        <f t="shared" si="90"/>
        <v>#VALUE!</v>
      </c>
      <c r="Z97" s="180" t="e">
        <f t="shared" si="90"/>
        <v>#VALUE!</v>
      </c>
      <c r="AA97" s="180">
        <f t="shared" si="90"/>
        <v>5462246.4901984921</v>
      </c>
      <c r="AB97" s="180">
        <f t="shared" si="90"/>
        <v>3518679.3224252341</v>
      </c>
      <c r="AC97" s="181">
        <f t="shared" si="90"/>
        <v>-1386413.4507824732</v>
      </c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2" t="e">
        <f t="shared" si="85"/>
        <v>#VALUE!</v>
      </c>
      <c r="AP97" s="180" t="e">
        <f t="shared" si="86"/>
        <v>#VALUE!</v>
      </c>
    </row>
    <row r="98" spans="2:43" ht="15.75" hidden="1" outlineLevel="1" x14ac:dyDescent="0.25">
      <c r="B98" t="str">
        <f t="shared" si="87"/>
        <v>PC Annual Direct</v>
      </c>
      <c r="C98" t="str">
        <f t="shared" si="88"/>
        <v>Boom Subscription</v>
      </c>
      <c r="D98" s="9" t="s">
        <v>310</v>
      </c>
      <c r="E98" s="15">
        <f>IFERROR(E95/E92,0)</f>
        <v>0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>
        <f t="shared" ref="R98:AP99" si="91">IFERROR(R95/R92,0)</f>
        <v>2259.1753759396606</v>
      </c>
      <c r="S98" s="15">
        <f t="shared" si="91"/>
        <v>1050.4110394340469</v>
      </c>
      <c r="T98" s="15">
        <f t="shared" si="91"/>
        <v>1401.1880766961217</v>
      </c>
      <c r="U98" s="15">
        <f t="shared" si="91"/>
        <v>1263.7592598477397</v>
      </c>
      <c r="V98" s="15">
        <f t="shared" si="91"/>
        <v>1571.0428524718834</v>
      </c>
      <c r="W98" s="15">
        <f t="shared" si="91"/>
        <v>1625.9955132799464</v>
      </c>
      <c r="X98" s="15">
        <f t="shared" si="91"/>
        <v>1762.7127313668768</v>
      </c>
      <c r="Y98" s="15">
        <f t="shared" si="91"/>
        <v>2026.6378938103776</v>
      </c>
      <c r="Z98" s="15">
        <f t="shared" si="91"/>
        <v>1747.114078788833</v>
      </c>
      <c r="AA98" s="15">
        <f t="shared" si="91"/>
        <v>1871.2288966898539</v>
      </c>
      <c r="AB98" s="15">
        <f t="shared" si="91"/>
        <v>1614.1299881195105</v>
      </c>
      <c r="AC98" s="16">
        <f t="shared" si="91"/>
        <v>229.16620241597687</v>
      </c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8">
        <f t="shared" si="91"/>
        <v>1427.023185784313</v>
      </c>
      <c r="AP98" s="6">
        <f t="shared" si="91"/>
        <v>1522.3728575637031</v>
      </c>
    </row>
    <row r="99" spans="2:43" ht="15.75" hidden="1" outlineLevel="1" x14ac:dyDescent="0.25">
      <c r="B99" t="str">
        <f t="shared" si="87"/>
        <v>PC Annual Direct</v>
      </c>
      <c r="C99" t="str">
        <f t="shared" si="88"/>
        <v>Boom Subscription</v>
      </c>
      <c r="D99" s="175" t="s">
        <v>13</v>
      </c>
      <c r="E99" s="176">
        <f>IFERROR(E96/E93,0)</f>
        <v>0</v>
      </c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>
        <f t="shared" si="91"/>
        <v>0</v>
      </c>
      <c r="S99" s="176">
        <f t="shared" si="91"/>
        <v>0</v>
      </c>
      <c r="T99" s="176">
        <f t="shared" si="91"/>
        <v>0</v>
      </c>
      <c r="U99" s="176">
        <f t="shared" si="91"/>
        <v>0</v>
      </c>
      <c r="V99" s="176">
        <f t="shared" si="91"/>
        <v>0</v>
      </c>
      <c r="W99" s="176">
        <f t="shared" si="91"/>
        <v>0</v>
      </c>
      <c r="X99" s="176">
        <f t="shared" si="91"/>
        <v>0</v>
      </c>
      <c r="Y99" s="176">
        <f t="shared" si="91"/>
        <v>0</v>
      </c>
      <c r="Z99" s="176">
        <f t="shared" si="91"/>
        <v>0</v>
      </c>
      <c r="AA99" s="176">
        <f t="shared" si="91"/>
        <v>2940.6120463449633</v>
      </c>
      <c r="AB99" s="176">
        <f t="shared" si="91"/>
        <v>2508.8727069841393</v>
      </c>
      <c r="AC99" s="177">
        <f t="shared" si="91"/>
        <v>2431.6579366113488</v>
      </c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8">
        <f t="shared" si="91"/>
        <v>2599.9648122861263</v>
      </c>
      <c r="AP99" s="176">
        <f t="shared" si="91"/>
        <v>2599.9648122861263</v>
      </c>
      <c r="AQ99" s="3"/>
    </row>
    <row r="100" spans="2:43" ht="15.75" hidden="1" outlineLevel="1" x14ac:dyDescent="0.25">
      <c r="B100" t="str">
        <f t="shared" si="87"/>
        <v>PC Annual Direct</v>
      </c>
      <c r="C100" t="str">
        <f t="shared" si="88"/>
        <v>Boom Subscription</v>
      </c>
      <c r="D100" s="179" t="s">
        <v>0</v>
      </c>
      <c r="E100" s="180">
        <f t="shared" ref="E100:AP100" si="92">E98-E99</f>
        <v>0</v>
      </c>
      <c r="F100" s="180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>
        <f t="shared" si="92"/>
        <v>2259.1753759396606</v>
      </c>
      <c r="S100" s="180">
        <f t="shared" si="92"/>
        <v>1050.4110394340469</v>
      </c>
      <c r="T100" s="180">
        <f t="shared" si="92"/>
        <v>1401.1880766961217</v>
      </c>
      <c r="U100" s="180">
        <f t="shared" si="92"/>
        <v>1263.7592598477397</v>
      </c>
      <c r="V100" s="180">
        <f t="shared" si="92"/>
        <v>1571.0428524718834</v>
      </c>
      <c r="W100" s="180">
        <f t="shared" si="92"/>
        <v>1625.9955132799464</v>
      </c>
      <c r="X100" s="180">
        <f t="shared" si="92"/>
        <v>1762.7127313668768</v>
      </c>
      <c r="Y100" s="180">
        <f t="shared" si="92"/>
        <v>2026.6378938103776</v>
      </c>
      <c r="Z100" s="180">
        <f t="shared" si="92"/>
        <v>1747.114078788833</v>
      </c>
      <c r="AA100" s="180">
        <f t="shared" si="92"/>
        <v>-1069.3831496551095</v>
      </c>
      <c r="AB100" s="180">
        <f t="shared" si="92"/>
        <v>-894.74271886462884</v>
      </c>
      <c r="AC100" s="181">
        <f t="shared" si="92"/>
        <v>-2202.4917341953719</v>
      </c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2">
        <f t="shared" si="92"/>
        <v>-1172.9416265018133</v>
      </c>
      <c r="AP100" s="180">
        <f t="shared" si="92"/>
        <v>-1077.5919547224232</v>
      </c>
    </row>
    <row r="101" spans="2:43" hidden="1" outlineLevel="1" x14ac:dyDescent="0.25">
      <c r="B101" t="str">
        <f t="shared" si="87"/>
        <v>PC Annual Direct</v>
      </c>
      <c r="C101" t="str">
        <f t="shared" si="88"/>
        <v>Boom Subscription</v>
      </c>
      <c r="D101" s="35" t="s">
        <v>17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7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8"/>
      <c r="AP101" s="39"/>
    </row>
    <row r="102" spans="2:43" ht="15.75" hidden="1" outlineLevel="1" x14ac:dyDescent="0.25">
      <c r="B102" t="str">
        <f t="shared" si="87"/>
        <v>PC Annual Direct</v>
      </c>
      <c r="C102" t="str">
        <f t="shared" si="88"/>
        <v>Boom Subscription</v>
      </c>
      <c r="D102" s="5" t="s">
        <v>311</v>
      </c>
      <c r="E102" s="6">
        <v>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>
        <v>2134583.1964307697</v>
      </c>
      <c r="S102" s="6">
        <v>2096692.0178588463</v>
      </c>
      <c r="T102" s="6">
        <v>1957264.2857113734</v>
      </c>
      <c r="U102" s="6">
        <v>2579980.8392826831</v>
      </c>
      <c r="V102" s="6">
        <v>2283188.6785669695</v>
      </c>
      <c r="W102" s="6">
        <v>2643649.982142264</v>
      </c>
      <c r="X102" s="6">
        <v>3053209.8750027283</v>
      </c>
      <c r="Y102" s="6">
        <v>3182200.4464298943</v>
      </c>
      <c r="Z102" s="6">
        <v>4370840.3035705909</v>
      </c>
      <c r="AA102" s="6">
        <v>5225971.6607123222</v>
      </c>
      <c r="AB102" s="6">
        <v>4614303.3749993565</v>
      </c>
      <c r="AC102" s="6">
        <v>3740102.6785750035</v>
      </c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8">
        <f t="shared" ref="AO102" si="93">AVERAGE(Z102:AC102)</f>
        <v>4487804.504464319</v>
      </c>
      <c r="AP102" s="6">
        <f>AVERAGE(R102:AC102)</f>
        <v>3156832.2782735671</v>
      </c>
    </row>
    <row r="103" spans="2:43" ht="15.75" hidden="1" outlineLevel="1" x14ac:dyDescent="0.25">
      <c r="B103" t="str">
        <f t="shared" si="87"/>
        <v>PC Annual Direct</v>
      </c>
      <c r="C103" t="e">
        <f>#REF!</f>
        <v>#REF!</v>
      </c>
      <c r="D103" s="45" t="s">
        <v>21</v>
      </c>
      <c r="E103" s="41">
        <f>E95/E$8</f>
        <v>0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>
        <f t="shared" ref="R103:AP103" si="94">R95/R$8</f>
        <v>2.2946799928274126</v>
      </c>
      <c r="S103" s="41">
        <f t="shared" si="94"/>
        <v>1.1004258726756908</v>
      </c>
      <c r="T103" s="41">
        <f t="shared" si="94"/>
        <v>1.4457687524599603</v>
      </c>
      <c r="U103" s="41">
        <f t="shared" si="94"/>
        <v>1.5180459590419222</v>
      </c>
      <c r="V103" s="41">
        <f t="shared" si="94"/>
        <v>2.6766871382542772</v>
      </c>
      <c r="W103" s="41">
        <f t="shared" si="94"/>
        <v>2.7072863810808943</v>
      </c>
      <c r="X103" s="41">
        <f t="shared" si="94"/>
        <v>3.5517077125779197</v>
      </c>
      <c r="Y103" s="41">
        <f t="shared" si="94"/>
        <v>5.0055356166261751</v>
      </c>
      <c r="Z103" s="41">
        <f t="shared" si="94"/>
        <v>7.6189850648724455</v>
      </c>
      <c r="AA103" s="41">
        <f t="shared" si="94"/>
        <v>13.781114915183666</v>
      </c>
      <c r="AB103" s="41">
        <f t="shared" si="94"/>
        <v>12.357998928029485</v>
      </c>
      <c r="AC103" s="41">
        <f t="shared" si="94"/>
        <v>1.8714588573133408</v>
      </c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4">
        <f t="shared" si="94"/>
        <v>9.290378194516391</v>
      </c>
      <c r="AP103" s="41">
        <f t="shared" si="94"/>
        <v>3.0886991438625708</v>
      </c>
    </row>
    <row r="104" spans="2:43" hidden="1" outlineLevel="1" x14ac:dyDescent="0.25"/>
  </sheetData>
  <mergeCells count="9">
    <mergeCell ref="T89:AC89"/>
    <mergeCell ref="E90:AC90"/>
    <mergeCell ref="AO90:AP90"/>
    <mergeCell ref="AO3:AQ3"/>
    <mergeCell ref="AO22:AQ22"/>
    <mergeCell ref="AO39:AQ39"/>
    <mergeCell ref="AO56:AQ56"/>
    <mergeCell ref="AO73:AQ73"/>
    <mergeCell ref="T88:AC88"/>
  </mergeCells>
  <conditionalFormatting sqref="E16:AN16">
    <cfRule type="cellIs" dxfId="161" priority="21" operator="lessThan">
      <formula>0</formula>
    </cfRule>
  </conditionalFormatting>
  <conditionalFormatting sqref="E18:AN18">
    <cfRule type="cellIs" dxfId="160" priority="20" operator="lessThan">
      <formula>0</formula>
    </cfRule>
  </conditionalFormatting>
  <conditionalFormatting sqref="E32:AN32">
    <cfRule type="cellIs" dxfId="159" priority="19" operator="lessThan">
      <formula>0</formula>
    </cfRule>
  </conditionalFormatting>
  <conditionalFormatting sqref="E49:AN49">
    <cfRule type="cellIs" dxfId="158" priority="8" operator="lessThan">
      <formula>0</formula>
    </cfRule>
  </conditionalFormatting>
  <conditionalFormatting sqref="E66:AN66">
    <cfRule type="cellIs" dxfId="157" priority="4" operator="lessThan">
      <formula>0</formula>
    </cfRule>
  </conditionalFormatting>
  <conditionalFormatting sqref="E83:AN83">
    <cfRule type="cellIs" dxfId="156" priority="12" operator="lessThan">
      <formula>0</formula>
    </cfRule>
  </conditionalFormatting>
  <conditionalFormatting sqref="E94:AN95 E97:AN100">
    <cfRule type="cellIs" dxfId="155" priority="24" operator="lessThan">
      <formula>0</formula>
    </cfRule>
  </conditionalFormatting>
  <conditionalFormatting sqref="E102:AN102">
    <cfRule type="cellIs" dxfId="154" priority="22" operator="lessThan">
      <formula>0</formula>
    </cfRule>
  </conditionalFormatting>
  <conditionalFormatting sqref="E7:AQ7">
    <cfRule type="cellIs" dxfId="153" priority="18" operator="lessThan">
      <formula>0</formula>
    </cfRule>
  </conditionalFormatting>
  <conditionalFormatting sqref="E10:AQ10 E13:AQ13">
    <cfRule type="cellIs" dxfId="152" priority="17" operator="lessThan">
      <formula>0</formula>
    </cfRule>
  </conditionalFormatting>
  <conditionalFormatting sqref="E26:AQ26">
    <cfRule type="cellIs" dxfId="151" priority="15" operator="lessThan">
      <formula>0</formula>
    </cfRule>
  </conditionalFormatting>
  <conditionalFormatting sqref="E29:AQ29">
    <cfRule type="cellIs" dxfId="150" priority="14" operator="lessThan">
      <formula>0</formula>
    </cfRule>
  </conditionalFormatting>
  <conditionalFormatting sqref="E43:AQ43">
    <cfRule type="cellIs" dxfId="149" priority="7" operator="lessThan">
      <formula>0</formula>
    </cfRule>
  </conditionalFormatting>
  <conditionalFormatting sqref="E46:AQ46">
    <cfRule type="cellIs" dxfId="148" priority="6" operator="lessThan">
      <formula>0</formula>
    </cfRule>
  </conditionalFormatting>
  <conditionalFormatting sqref="E60:AQ60">
    <cfRule type="cellIs" dxfId="147" priority="3" operator="lessThan">
      <formula>0</formula>
    </cfRule>
  </conditionalFormatting>
  <conditionalFormatting sqref="E63:AQ63">
    <cfRule type="cellIs" dxfId="146" priority="2" operator="lessThan">
      <formula>0</formula>
    </cfRule>
  </conditionalFormatting>
  <conditionalFormatting sqref="E77:AQ77">
    <cfRule type="cellIs" dxfId="145" priority="11" operator="lessThan">
      <formula>0</formula>
    </cfRule>
  </conditionalFormatting>
  <conditionalFormatting sqref="E80:AQ80">
    <cfRule type="cellIs" dxfId="144" priority="10" operator="lessThan">
      <formula>0</formula>
    </cfRule>
  </conditionalFormatting>
  <conditionalFormatting sqref="AO94:AP94 AO97:AP97 AO100:AP101">
    <cfRule type="cellIs" dxfId="143" priority="23" operator="lessThan">
      <formula>0</formula>
    </cfRule>
  </conditionalFormatting>
  <conditionalFormatting sqref="AO16:AQ17">
    <cfRule type="cellIs" dxfId="142" priority="16" operator="lessThan">
      <formula>0</formula>
    </cfRule>
  </conditionalFormatting>
  <conditionalFormatting sqref="AO32:AQ33">
    <cfRule type="cellIs" dxfId="141" priority="13" operator="lessThan">
      <formula>0</formula>
    </cfRule>
  </conditionalFormatting>
  <conditionalFormatting sqref="AO49:AQ50">
    <cfRule type="cellIs" dxfId="140" priority="5" operator="lessThan">
      <formula>0</formula>
    </cfRule>
  </conditionalFormatting>
  <conditionalFormatting sqref="AO66:AQ67">
    <cfRule type="cellIs" dxfId="139" priority="1" operator="lessThan">
      <formula>0</formula>
    </cfRule>
  </conditionalFormatting>
  <conditionalFormatting sqref="AO83:AQ84">
    <cfRule type="cellIs" dxfId="138" priority="9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F77ED-CA28-4180-8D16-4611F19A4DFC}">
  <dimension ref="A1:AS104"/>
  <sheetViews>
    <sheetView showGridLines="0" zoomScale="70" zoomScaleNormal="70" workbookViewId="0">
      <pane xSplit="1" topLeftCell="B1" activePane="topRight" state="frozen"/>
      <selection activeCell="N63" sqref="N63"/>
      <selection pane="topRight" activeCell="N63" sqref="N63"/>
    </sheetView>
  </sheetViews>
  <sheetFormatPr defaultRowHeight="15" outlineLevelRow="1" x14ac:dyDescent="0.25"/>
  <cols>
    <col min="1" max="1" width="9.140625" customWidth="1"/>
    <col min="2" max="2" width="36.5703125" customWidth="1"/>
    <col min="3" max="3" width="24.28515625" customWidth="1"/>
    <col min="4" max="4" width="55.28515625" customWidth="1"/>
    <col min="5" max="17" width="16.7109375" customWidth="1"/>
    <col min="18" max="26" width="13.140625" bestFit="1" customWidth="1"/>
    <col min="27" max="27" width="13.28515625" bestFit="1" customWidth="1"/>
    <col min="28" max="28" width="13.140625" bestFit="1" customWidth="1"/>
    <col min="29" max="29" width="13.42578125" bestFit="1" customWidth="1"/>
    <col min="30" max="40" width="13.42578125" customWidth="1"/>
    <col min="41" max="42" width="16" customWidth="1"/>
    <col min="43" max="43" width="15.28515625" customWidth="1"/>
    <col min="45" max="45" width="17.140625" bestFit="1" customWidth="1"/>
  </cols>
  <sheetData>
    <row r="1" spans="2:44" ht="15.75" thickBot="1" x14ac:dyDescent="0.3">
      <c r="D1" s="47" t="s">
        <v>318</v>
      </c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</row>
    <row r="2" spans="2:44" ht="18.75" x14ac:dyDescent="0.25">
      <c r="D2" s="257" t="s">
        <v>1</v>
      </c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63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63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63"/>
      <c r="AO2" s="202"/>
      <c r="AP2" s="202"/>
      <c r="AQ2" s="233"/>
    </row>
    <row r="3" spans="2:44" x14ac:dyDescent="0.25">
      <c r="D3" s="204" t="s">
        <v>205</v>
      </c>
      <c r="E3" s="200" t="s">
        <v>237</v>
      </c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64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64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64"/>
      <c r="AO3" s="510" t="s">
        <v>8</v>
      </c>
      <c r="AP3" s="511"/>
      <c r="AQ3" s="512"/>
    </row>
    <row r="4" spans="2:44" x14ac:dyDescent="0.25">
      <c r="D4" s="256" t="s">
        <v>16</v>
      </c>
      <c r="E4" s="285">
        <f t="shared" ref="E4:AM4" si="0">EDATE(F4,-1)</f>
        <v>44562</v>
      </c>
      <c r="F4" s="285">
        <f t="shared" si="0"/>
        <v>44593</v>
      </c>
      <c r="G4" s="285">
        <f t="shared" si="0"/>
        <v>44621</v>
      </c>
      <c r="H4" s="285">
        <f t="shared" si="0"/>
        <v>44652</v>
      </c>
      <c r="I4" s="285">
        <f t="shared" si="0"/>
        <v>44682</v>
      </c>
      <c r="J4" s="285">
        <f t="shared" si="0"/>
        <v>44713</v>
      </c>
      <c r="K4" s="285">
        <f t="shared" si="0"/>
        <v>44743</v>
      </c>
      <c r="L4" s="285">
        <f t="shared" si="0"/>
        <v>44774</v>
      </c>
      <c r="M4" s="285">
        <f t="shared" si="0"/>
        <v>44805</v>
      </c>
      <c r="N4" s="285">
        <f t="shared" si="0"/>
        <v>44835</v>
      </c>
      <c r="O4" s="285">
        <f t="shared" si="0"/>
        <v>44866</v>
      </c>
      <c r="P4" s="286">
        <f t="shared" si="0"/>
        <v>44896</v>
      </c>
      <c r="Q4" s="285">
        <f t="shared" si="0"/>
        <v>44927</v>
      </c>
      <c r="R4" s="285">
        <f t="shared" si="0"/>
        <v>44958</v>
      </c>
      <c r="S4" s="285">
        <f t="shared" si="0"/>
        <v>44986</v>
      </c>
      <c r="T4" s="285">
        <f t="shared" si="0"/>
        <v>45017</v>
      </c>
      <c r="U4" s="285">
        <f t="shared" si="0"/>
        <v>45047</v>
      </c>
      <c r="V4" s="285">
        <f t="shared" si="0"/>
        <v>45078</v>
      </c>
      <c r="W4" s="285">
        <f t="shared" si="0"/>
        <v>45108</v>
      </c>
      <c r="X4" s="285">
        <f t="shared" si="0"/>
        <v>45139</v>
      </c>
      <c r="Y4" s="285">
        <f t="shared" si="0"/>
        <v>45170</v>
      </c>
      <c r="Z4" s="285">
        <f t="shared" si="0"/>
        <v>45200</v>
      </c>
      <c r="AA4" s="285">
        <f t="shared" si="0"/>
        <v>45231</v>
      </c>
      <c r="AB4" s="286">
        <f t="shared" si="0"/>
        <v>45261</v>
      </c>
      <c r="AC4" s="285">
        <f t="shared" si="0"/>
        <v>45292</v>
      </c>
      <c r="AD4" s="285">
        <f t="shared" si="0"/>
        <v>45323</v>
      </c>
      <c r="AE4" s="285">
        <f t="shared" si="0"/>
        <v>45352</v>
      </c>
      <c r="AF4" s="285">
        <f t="shared" si="0"/>
        <v>45383</v>
      </c>
      <c r="AG4" s="285">
        <f t="shared" si="0"/>
        <v>45413</v>
      </c>
      <c r="AH4" s="285">
        <f t="shared" si="0"/>
        <v>45444</v>
      </c>
      <c r="AI4" s="285">
        <f t="shared" si="0"/>
        <v>45474</v>
      </c>
      <c r="AJ4" s="285">
        <f t="shared" si="0"/>
        <v>45505</v>
      </c>
      <c r="AK4" s="285">
        <f t="shared" si="0"/>
        <v>45536</v>
      </c>
      <c r="AL4" s="285">
        <f t="shared" si="0"/>
        <v>45566</v>
      </c>
      <c r="AM4" s="285">
        <f t="shared" si="0"/>
        <v>45597</v>
      </c>
      <c r="AN4" s="286">
        <v>45627</v>
      </c>
      <c r="AO4" s="271" t="s">
        <v>347</v>
      </c>
      <c r="AP4" s="272" t="s">
        <v>348</v>
      </c>
      <c r="AQ4" s="273" t="s">
        <v>346</v>
      </c>
    </row>
    <row r="5" spans="2:44" ht="15.75" x14ac:dyDescent="0.25">
      <c r="B5" t="str">
        <f>$D$2</f>
        <v>PC Annual Direct</v>
      </c>
      <c r="D5" s="208" t="s">
        <v>316</v>
      </c>
      <c r="E5" s="209" t="str">
        <f>IFERROR('Current - Sales, NWP, GWP'!E5/((VLOOKUP(COUNTA(E$4:$AC$4),'Dev Patterns'!$B$6:$F$22,$A24,0)*('Current - Sales, NWP, GWP'!E25/'Current - Sales, NWP, GWP'!E5))+(VLOOKUP(COUNTA(E$4:$AC$4),'Dev Patterns'!$B$6:$F$22,$A75,0)*(1-'Current - Sales, NWP, GWP'!E25/'Current - Sales, NWP, GWP'!E5))),"-")</f>
        <v>-</v>
      </c>
      <c r="F5" s="209" t="str">
        <f>IFERROR('Current - Sales, NWP, GWP'!F5/((VLOOKUP(COUNTA(F$4:$AC$4),'Dev Patterns'!$B$6:$F$22,$A24,0)*('Current - Sales, NWP, GWP'!F25/'Current - Sales, NWP, GWP'!F5))+(VLOOKUP(COUNTA(F$4:$AC$4),'Dev Patterns'!$B$6:$F$22,$A75,0)*(1-'Current - Sales, NWP, GWP'!F25/'Current - Sales, NWP, GWP'!F5))),"-")</f>
        <v>-</v>
      </c>
      <c r="G5" s="209" t="str">
        <f>IFERROR('Current - Sales, NWP, GWP'!G5/((VLOOKUP(COUNTA(G$4:$AC$4),'Dev Patterns'!$B$6:$F$22,$A24,0)*('Current - Sales, NWP, GWP'!G25/'Current - Sales, NWP, GWP'!G5))+(VLOOKUP(COUNTA(G$4:$AC$4),'Dev Patterns'!$B$6:$F$22,$A75,0)*(1-'Current - Sales, NWP, GWP'!G25/'Current - Sales, NWP, GWP'!G5))),"-")</f>
        <v>-</v>
      </c>
      <c r="H5" s="209" t="str">
        <f>IFERROR('Current - Sales, NWP, GWP'!H5/((VLOOKUP(COUNTA(H$4:$AC$4),'Dev Patterns'!$B$6:$F$22,$A24,0)*('Current - Sales, NWP, GWP'!H25/'Current - Sales, NWP, GWP'!H5))+(VLOOKUP(COUNTA(H$4:$AC$4),'Dev Patterns'!$B$6:$F$22,$A75,0)*(1-'Current - Sales, NWP, GWP'!H25/'Current - Sales, NWP, GWP'!H5))),"-")</f>
        <v>-</v>
      </c>
      <c r="I5" s="209" t="str">
        <f>IFERROR('Current - Sales, NWP, GWP'!I5/((VLOOKUP(COUNTA(I$4:$AC$4),'Dev Patterns'!$B$6:$F$22,$A24,0)*('Current - Sales, NWP, GWP'!I25/'Current - Sales, NWP, GWP'!I5))+(VLOOKUP(COUNTA(I$4:$AC$4),'Dev Patterns'!$B$6:$F$22,$A75,0)*(1-'Current - Sales, NWP, GWP'!I25/'Current - Sales, NWP, GWP'!I5))),"-")</f>
        <v>-</v>
      </c>
      <c r="J5" s="209" t="str">
        <f>IFERROR('Current - Sales, NWP, GWP'!J5/((VLOOKUP(COUNTA(J$4:$AC$4),'Dev Patterns'!$B$6:$F$22,$A24,0)*('Current - Sales, NWP, GWP'!J25/'Current - Sales, NWP, GWP'!J5))+(VLOOKUP(COUNTA(J$4:$AC$4),'Dev Patterns'!$B$6:$F$22,$A75,0)*(1-'Current - Sales, NWP, GWP'!J25/'Current - Sales, NWP, GWP'!J5))),"-")</f>
        <v>-</v>
      </c>
      <c r="K5" s="209" t="str">
        <f>IFERROR('Current - Sales, NWP, GWP'!K5/((VLOOKUP(COUNTA(K$4:$AC$4),'Dev Patterns'!$B$6:$F$22,$A24,0)*('Current - Sales, NWP, GWP'!K25/'Current - Sales, NWP, GWP'!K5))+(VLOOKUP(COUNTA(K$4:$AC$4),'Dev Patterns'!$B$6:$F$22,$A75,0)*(1-'Current - Sales, NWP, GWP'!K25/'Current - Sales, NWP, GWP'!K5))),"-")</f>
        <v>-</v>
      </c>
      <c r="L5" s="209" t="str">
        <f>IFERROR('Current - Sales, NWP, GWP'!L5/((VLOOKUP(COUNTA(L$4:$AC$4),'Dev Patterns'!$B$6:$F$22,$A24,0)*('Current - Sales, NWP, GWP'!L25/'Current - Sales, NWP, GWP'!L5))+(VLOOKUP(COUNTA(L$4:$AC$4),'Dev Patterns'!$B$6:$F$22,$A75,0)*(1-'Current - Sales, NWP, GWP'!L25/'Current - Sales, NWP, GWP'!L5))),"-")</f>
        <v>-</v>
      </c>
      <c r="M5" s="209" t="str">
        <f>IFERROR('Current - Sales, NWP, GWP'!M5/((VLOOKUP(COUNTA(M$4:$AC$4),'Dev Patterns'!$B$6:$F$22,$A24,0)*('Current - Sales, NWP, GWP'!M25/'Current - Sales, NWP, GWP'!M5))+(VLOOKUP(COUNTA(M$4:$AC$4),'Dev Patterns'!$B$6:$F$22,$A75,0)*(1-'Current - Sales, NWP, GWP'!M25/'Current - Sales, NWP, GWP'!M5))),"-")</f>
        <v>-</v>
      </c>
      <c r="N5" s="209">
        <f>IFERROR('Current - Sales, NWP, GWP'!N5/((VLOOKUP(COUNTA(N$4:$AC$4),'Dev Patterns'!$B$6:$F$22,$A24,0)*('Current - Sales, NWP, GWP'!N25/'Current - Sales, NWP, GWP'!N5))+(VLOOKUP(COUNTA(N$4:$AC$4),'Dev Patterns'!$B$6:$F$22,$A75,0)*(1-'Current - Sales, NWP, GWP'!N25/'Current - Sales, NWP, GWP'!N5))),"-")</f>
        <v>2519.644808569898</v>
      </c>
      <c r="O5" s="209">
        <f>IFERROR('Current - Sales, NWP, GWP'!O5/((VLOOKUP(COUNTA(O$4:$AC$4),'Dev Patterns'!$B$6:$F$22,$A24,0)*('Current - Sales, NWP, GWP'!O25/'Current - Sales, NWP, GWP'!O5))+(VLOOKUP(COUNTA(O$4:$AC$4),'Dev Patterns'!$B$6:$F$22,$A75,0)*(1-'Current - Sales, NWP, GWP'!O25/'Current - Sales, NWP, GWP'!O5))),"-")</f>
        <v>3230.5928964846048</v>
      </c>
      <c r="P5" s="265">
        <f>IFERROR('Current - Sales, NWP, GWP'!P5/((VLOOKUP(COUNTA(P$4:$AC$4),'Dev Patterns'!$B$6:$F$22,$A24,0)*('Current - Sales, NWP, GWP'!P25/'Current - Sales, NWP, GWP'!P5))+(VLOOKUP(COUNTA(P$4:$AC$4),'Dev Patterns'!$B$6:$F$22,$A75,0)*(1-'Current - Sales, NWP, GWP'!P25/'Current - Sales, NWP, GWP'!P5))),"-")</f>
        <v>3230.0081965512977</v>
      </c>
      <c r="Q5" s="209">
        <f>IFERROR('Current - Sales, NWP, GWP'!Q5/((VLOOKUP(COUNTA(Q$4:$AC$4),'Dev Patterns'!$B$6:$F$22,$A24,0)*('Current - Sales, NWP, GWP'!Q25/'Current - Sales, NWP, GWP'!Q5))+(VLOOKUP(COUNTA(Q$4:$AC$4),'Dev Patterns'!$B$6:$F$22,$A75,0)*(1-'Current - Sales, NWP, GWP'!Q25/'Current - Sales, NWP, GWP'!Q5))),"-")</f>
        <v>3523.3825135082916</v>
      </c>
      <c r="R5" s="209">
        <f>IFERROR('Current - Sales, NWP, GWP'!R5/((VLOOKUP(COUNTA(R$4:$AC$4),'Dev Patterns'!$B$6:$F$22,$A24,0)*('Current - Sales, NWP, GWP'!R25/'Current - Sales, NWP, GWP'!R5))+(VLOOKUP(COUNTA(R$4:$AC$4),'Dev Patterns'!$B$6:$F$22,$A75,0)*(1-'Current - Sales, NWP, GWP'!R25/'Current - Sales, NWP, GWP'!R5))),"-")</f>
        <v>4237.2157162691637</v>
      </c>
      <c r="S5" s="209">
        <f>IFERROR('Current - Sales, NWP, GWP'!S5/((VLOOKUP(COUNTA(S$4:$AC$4),'Dev Patterns'!$B$6:$F$22,$A24,0)*('Current - Sales, NWP, GWP'!S25/'Current - Sales, NWP, GWP'!S5))+(VLOOKUP(COUNTA(S$4:$AC$4),'Dev Patterns'!$B$6:$F$22,$A75,0)*(1-'Current - Sales, NWP, GWP'!S25/'Current - Sales, NWP, GWP'!S5))),"-")</f>
        <v>6101.3569486300667</v>
      </c>
      <c r="T5" s="209">
        <f>IFERROR('Current - Sales, NWP, GWP'!T5/((VLOOKUP(COUNTA(T$4:$AC$4),'Dev Patterns'!$B$6:$F$22,$A24,0)*('Current - Sales, NWP, GWP'!T25/'Current - Sales, NWP, GWP'!T5))+(VLOOKUP(COUNTA(T$4:$AC$4),'Dev Patterns'!$B$6:$F$22,$A75,0)*(1-'Current - Sales, NWP, GWP'!T25/'Current - Sales, NWP, GWP'!T5))),"-")</f>
        <v>5911.4262170106103</v>
      </c>
      <c r="U5" s="209">
        <f>IFERROR('Current - Sales, NWP, GWP'!U5/((VLOOKUP(COUNTA(U$4:$AC$4),'Dev Patterns'!$B$6:$F$22,$A24,0)*('Current - Sales, NWP, GWP'!U25/'Current - Sales, NWP, GWP'!U5))+(VLOOKUP(COUNTA(U$4:$AC$4),'Dev Patterns'!$B$6:$F$22,$A75,0)*(1-'Current - Sales, NWP, GWP'!U25/'Current - Sales, NWP, GWP'!U5))),"-")</f>
        <v>5839.4676898496091</v>
      </c>
      <c r="V5" s="209">
        <f>IFERROR('Current - Sales, NWP, GWP'!V5/((VLOOKUP(COUNTA(V$4:$AC$4),'Dev Patterns'!$B$6:$F$22,$A24,0)*('Current - Sales, NWP, GWP'!V25/'Current - Sales, NWP, GWP'!V5))+(VLOOKUP(COUNTA(V$4:$AC$4),'Dev Patterns'!$B$6:$F$22,$A75,0)*(1-'Current - Sales, NWP, GWP'!V25/'Current - Sales, NWP, GWP'!V5))),"-")</f>
        <v>4911.5897632900223</v>
      </c>
      <c r="W5" s="209">
        <f>IFERROR('Current - Sales, NWP, GWP'!W5/((VLOOKUP(COUNTA(W$4:$AC$4),'Dev Patterns'!$B$6:$F$22,$A24,0)*('Current - Sales, NWP, GWP'!W25/'Current - Sales, NWP, GWP'!W5))+(VLOOKUP(COUNTA(W$4:$AC$4),'Dev Patterns'!$B$6:$F$22,$A75,0)*(1-'Current - Sales, NWP, GWP'!W25/'Current - Sales, NWP, GWP'!W5))),"-")</f>
        <v>4188.7325943822134</v>
      </c>
      <c r="X5" s="209">
        <f>IFERROR('Current - Sales, NWP, GWP'!X5/((VLOOKUP(COUNTA(X$4:$AC$4),'Dev Patterns'!$B$6:$F$22,$A24,0)*('Current - Sales, NWP, GWP'!X25/'Current - Sales, NWP, GWP'!X5))+(VLOOKUP(COUNTA(X$4:$AC$4),'Dev Patterns'!$B$6:$F$22,$A75,0)*(1-'Current - Sales, NWP, GWP'!X25/'Current - Sales, NWP, GWP'!X5))),"-")</f>
        <v>3622.0570786442713</v>
      </c>
      <c r="Y5" s="209">
        <f>IFERROR('Current - Sales, NWP, GWP'!Y5/((VLOOKUP(COUNTA(Y$4:$AC$4),'Dev Patterns'!$B$6:$F$22,$A24,0)*('Current - Sales, NWP, GWP'!Y25/'Current - Sales, NWP, GWP'!Y5))+(VLOOKUP(COUNTA(Y$4:$AC$4),'Dev Patterns'!$B$6:$F$22,$A75,0)*(1-'Current - Sales, NWP, GWP'!Y25/'Current - Sales, NWP, GWP'!Y5))),"-")</f>
        <v>3276.2444462366971</v>
      </c>
      <c r="Z5" s="209">
        <f>IFERROR('Current - Sales, NWP, GWP'!Z5/((VLOOKUP(COUNTA(Z$4:$AC$4),'Dev Patterns'!$B$6:$F$22,$A24,0)*('Current - Sales, NWP, GWP'!Z25/'Current - Sales, NWP, GWP'!Z5))+(VLOOKUP(COUNTA(Z$4:$AC$4),'Dev Patterns'!$B$6:$F$22,$A75,0)*(1-'Current - Sales, NWP, GWP'!Z25/'Current - Sales, NWP, GWP'!Z5))),"-")</f>
        <v>3160.4202325656211</v>
      </c>
      <c r="AA5" s="209">
        <f>IFERROR('Current - Sales, NWP, GWP'!AA5/((VLOOKUP(COUNTA(AA$4:$AC$4),'Dev Patterns'!$B$6:$F$22,$A24,0)*('Current - Sales, NWP, GWP'!AA25/'Current - Sales, NWP, GWP'!AA5))+(VLOOKUP(COUNTA(AA$4:$AC$4),'Dev Patterns'!$B$6:$F$22,$A75,0)*(1-'Current - Sales, NWP, GWP'!AA25/'Current - Sales, NWP, GWP'!AA5))),"-")</f>
        <v>3207.9335433305228</v>
      </c>
      <c r="AB5" s="265">
        <f>IFERROR('Current - Sales, NWP, GWP'!AB5/((VLOOKUP(COUNTA(AB$4:$AC$4),'Dev Patterns'!$B$6:$F$22,$A24,0)*('Current - Sales, NWP, GWP'!AB25/'Current - Sales, NWP, GWP'!AB5))+(VLOOKUP(COUNTA(AB$4:$AC$4),'Dev Patterns'!$B$6:$F$22,$A75,0)*(1-'Current - Sales, NWP, GWP'!AB25/'Current - Sales, NWP, GWP'!AB5))),"-")</f>
        <v>3171.682416574628</v>
      </c>
      <c r="AC5" s="209">
        <f t="shared" ref="AC5:AN5" si="1">SUM(AC24,AC75)</f>
        <v>3238.4858987805637</v>
      </c>
      <c r="AD5" s="209">
        <f t="shared" si="1"/>
        <v>2696.5156165180279</v>
      </c>
      <c r="AE5" s="209">
        <f t="shared" si="1"/>
        <v>3457.7320258545496</v>
      </c>
      <c r="AF5" s="209">
        <f t="shared" si="1"/>
        <v>3535.0185602772344</v>
      </c>
      <c r="AG5" s="209">
        <f t="shared" si="1"/>
        <v>3612.0403078181857</v>
      </c>
      <c r="AH5" s="209">
        <f t="shared" si="1"/>
        <v>3305.444238129995</v>
      </c>
      <c r="AI5" s="209">
        <f t="shared" si="1"/>
        <v>3248.9059966048685</v>
      </c>
      <c r="AJ5" s="209">
        <f t="shared" si="1"/>
        <v>1497.775779747225</v>
      </c>
      <c r="AK5" s="209">
        <f t="shared" si="1"/>
        <v>0</v>
      </c>
      <c r="AL5" s="209">
        <f t="shared" si="1"/>
        <v>0</v>
      </c>
      <c r="AM5" s="209">
        <f t="shared" si="1"/>
        <v>0</v>
      </c>
      <c r="AN5" s="265">
        <f t="shared" si="1"/>
        <v>0</v>
      </c>
      <c r="AO5" s="237">
        <f t="shared" ref="AO5:AO10" si="2">AVERAGE(Z5:AC5)</f>
        <v>3194.630522812834</v>
      </c>
      <c r="AP5" s="209">
        <f>AVERAGE(R5:AC5)</f>
        <v>4238.884378797</v>
      </c>
      <c r="AQ5" s="238">
        <f>SUMIFS(AC5:AN5,AC$4:AN$4,"&lt;"&amp;'Title Sheet'!$C$13)</f>
        <v>24591.918423730654</v>
      </c>
      <c r="AR5" s="3" t="s">
        <v>313</v>
      </c>
    </row>
    <row r="6" spans="2:44" ht="15.75" hidden="1" x14ac:dyDescent="0.25">
      <c r="B6" t="str">
        <f>$D$2&amp;"_W VYRs"</f>
        <v>PC Annual Direct_W VYRs</v>
      </c>
      <c r="D6" s="211" t="s">
        <v>317</v>
      </c>
      <c r="E6" s="31" t="e">
        <f>INDEX('Plan Figures'!$B$5:$AP$31,MATCH('Ultimate - MPM only'!E$4,'Plan Figures'!$B$5:$B$31,0),MATCH('Ultimate - MPM only'!$B6,'Plan Figures'!$B$1:$AP$1,0))</f>
        <v>#N/A</v>
      </c>
      <c r="F6" s="31"/>
      <c r="G6" s="31"/>
      <c r="H6" s="31"/>
      <c r="I6" s="31"/>
      <c r="J6" s="31"/>
      <c r="K6" s="31"/>
      <c r="L6" s="31"/>
      <c r="M6" s="31"/>
      <c r="N6" s="31"/>
      <c r="O6" s="31"/>
      <c r="P6" s="266"/>
      <c r="Q6" s="31"/>
      <c r="R6" s="31" t="str">
        <f>INDEX('Plan Figures'!$B$5:$AP$31,MATCH('Ultimate - MPM only'!R$4,'Plan Figures'!$B$5:$B$31,0),MATCH('Ultimate - MPM only'!$B6,'Plan Figures'!$B$1:$AP$1,0))</f>
        <v>-</v>
      </c>
      <c r="S6" s="31" t="str">
        <f>INDEX('Plan Figures'!$B$5:$AP$31,MATCH('Ultimate - MPM only'!S$4,'Plan Figures'!$B$5:$B$31,0),MATCH('Ultimate - MPM only'!$B6,'Plan Figures'!$B$1:$AP$1,0))</f>
        <v>-</v>
      </c>
      <c r="T6" s="31" t="str">
        <f>INDEX('Plan Figures'!$B$5:$AP$31,MATCH('Ultimate - MPM only'!T$4,'Plan Figures'!$B$5:$B$31,0),MATCH('Ultimate - MPM only'!$B6,'Plan Figures'!$B$1:$AP$1,0))</f>
        <v>-</v>
      </c>
      <c r="U6" s="31" t="str">
        <f>INDEX('Plan Figures'!$B$5:$AP$31,MATCH('Ultimate - MPM only'!U$4,'Plan Figures'!$B$5:$B$31,0),MATCH('Ultimate - MPM only'!$B6,'Plan Figures'!$B$1:$AP$1,0))</f>
        <v>-</v>
      </c>
      <c r="V6" s="31" t="str">
        <f>INDEX('Plan Figures'!$B$5:$AP$31,MATCH('Ultimate - MPM only'!V$4,'Plan Figures'!$B$5:$B$31,0),MATCH('Ultimate - MPM only'!$B6,'Plan Figures'!$B$1:$AP$1,0))</f>
        <v>-</v>
      </c>
      <c r="W6" s="31" t="str">
        <f>INDEX('Plan Figures'!$B$5:$AP$31,MATCH('Ultimate - MPM only'!W$4,'Plan Figures'!$B$5:$B$31,0),MATCH('Ultimate - MPM only'!$B6,'Plan Figures'!$B$1:$AP$1,0))</f>
        <v>-</v>
      </c>
      <c r="X6" s="31" t="str">
        <f>INDEX('Plan Figures'!$B$5:$AP$31,MATCH('Ultimate - MPM only'!X$4,'Plan Figures'!$B$5:$B$31,0),MATCH('Ultimate - MPM only'!$B6,'Plan Figures'!$B$1:$AP$1,0))</f>
        <v>-</v>
      </c>
      <c r="Y6" s="31" t="str">
        <f>INDEX('Plan Figures'!$B$5:$AP$31,MATCH('Ultimate - MPM only'!Y$4,'Plan Figures'!$B$5:$B$31,0),MATCH('Ultimate - MPM only'!$B6,'Plan Figures'!$B$1:$AP$1,0))</f>
        <v>-</v>
      </c>
      <c r="Z6" s="31" t="str">
        <f>INDEX('Plan Figures'!$B$5:$AP$31,MATCH('Ultimate - MPM only'!Z$4,'Plan Figures'!$B$5:$B$31,0),MATCH('Ultimate - MPM only'!$B6,'Plan Figures'!$B$1:$AP$1,0))</f>
        <v>-</v>
      </c>
      <c r="AA6" s="31">
        <f>INDEX('Plan Figures'!$B$5:$AP$31,MATCH('Ultimate - MPM only'!AA$4,'Plan Figures'!$B$5:$B$31,0),MATCH('Ultimate - MPM only'!$B6,'Plan Figures'!$B$1:$AP$1,0))</f>
        <v>1729.3531485183221</v>
      </c>
      <c r="AB6" s="266">
        <f>INDEX('Plan Figures'!$B$5:$AP$31,MATCH('Ultimate - MPM only'!AB$4,'Plan Figures'!$B$5:$B$31,0),MATCH('Ultimate - MPM only'!$B6,'Plan Figures'!$B$1:$AP$1,0))</f>
        <v>1753.4023172900183</v>
      </c>
      <c r="AC6" s="31">
        <f>INDEX('Plan Figures'!$B$5:$AP$31,MATCH('Ultimate - MPM only'!AC$4,'Plan Figures'!$B$5:$B$31,0),MATCH('Ultimate - MPM only'!$B6,'Plan Figures'!$B$1:$AP$1,0))</f>
        <v>4273.8740763903043</v>
      </c>
      <c r="AD6" s="31">
        <f>INDEX('Plan Figures'!$B$5:$AP$42,MATCH('Ultimate - MPM only'!AD$4,'Plan Figures'!$B$5:$B$42,0),MATCH('Ultimate - MPM only'!$B6,'Plan Figures'!$B$1:$AP$1,0))</f>
        <v>4267.0066178598499</v>
      </c>
      <c r="AE6" s="31">
        <f>INDEX('Plan Figures'!$B$5:$AP$42,MATCH('Ultimate - MPM only'!AE$4,'Plan Figures'!$B$5:$B$42,0),MATCH('Ultimate - MPM only'!$B6,'Plan Figures'!$B$1:$AP$1,0))</f>
        <v>4260.1528668314522</v>
      </c>
      <c r="AF6" s="31">
        <f>INDEX('Plan Figures'!$B$5:$AP$42,MATCH('Ultimate - MPM only'!AF$4,'Plan Figures'!$B$5:$B$42,0),MATCH('Ultimate - MPM only'!$B6,'Plan Figures'!$B$1:$AP$1,0))</f>
        <v>4253.3127959448284</v>
      </c>
      <c r="AG6" s="31">
        <f>INDEX('Plan Figures'!$B$5:$AP$42,MATCH('Ultimate - MPM only'!AG$4,'Plan Figures'!$B$5:$B$42,0),MATCH('Ultimate - MPM only'!$B6,'Plan Figures'!$B$1:$AP$1,0))</f>
        <v>4246.8636837603826</v>
      </c>
      <c r="AH6" s="31">
        <f>INDEX('Plan Figures'!$B$5:$AP$42,MATCH('Ultimate - MPM only'!AH$4,'Plan Figures'!$B$5:$B$42,0),MATCH('Ultimate - MPM only'!$B6,'Plan Figures'!$B$1:$AP$1,0))</f>
        <v>4318.1657423106572</v>
      </c>
      <c r="AI6" s="31">
        <f>INDEX('Plan Figures'!$B$5:$AP$42,MATCH('Ultimate - MPM only'!AI$4,'Plan Figures'!$B$5:$B$42,0),MATCH('Ultimate - MPM only'!$B6,'Plan Figures'!$B$1:$AP$1,0))</f>
        <v>4195.7154005708353</v>
      </c>
      <c r="AJ6" s="31">
        <f>INDEX('Plan Figures'!$B$5:$AP$42,MATCH('Ultimate - MPM only'!AJ$4,'Plan Figures'!$B$5:$B$42,0),MATCH('Ultimate - MPM only'!$B6,'Plan Figures'!$B$1:$AP$1,0))</f>
        <v>4057.7980519065386</v>
      </c>
      <c r="AK6" s="31">
        <f>INDEX('Plan Figures'!$B$5:$AP$42,MATCH('Ultimate - MPM only'!AK$4,'Plan Figures'!$B$5:$B$42,0),MATCH('Ultimate - MPM only'!$B6,'Plan Figures'!$B$1:$AP$1,0))</f>
        <v>5129.8964943047231</v>
      </c>
      <c r="AL6" s="31">
        <f>INDEX('Plan Figures'!$B$5:$AP$42,MATCH('Ultimate - MPM only'!AL$4,'Plan Figures'!$B$5:$B$42,0),MATCH('Ultimate - MPM only'!$B6,'Plan Figures'!$B$1:$AP$1,0))</f>
        <v>5273.6010221942579</v>
      </c>
      <c r="AM6" s="31">
        <f>INDEX('Plan Figures'!$B$5:$AP$42,MATCH('Ultimate - MPM only'!AM$4,'Plan Figures'!$B$5:$B$42,0),MATCH('Ultimate - MPM only'!$B6,'Plan Figures'!$B$1:$AP$1,0))</f>
        <v>4282.0488949348064</v>
      </c>
      <c r="AN6" s="266">
        <f>INDEX('Plan Figures'!$B$5:$AP$42,MATCH('Ultimate - MPM only'!AN$4,'Plan Figures'!$B$5:$B$42,0),MATCH('Ultimate - MPM only'!$B6,'Plan Figures'!$B$1:$AP$1,0))</f>
        <v>3736.9957476015165</v>
      </c>
      <c r="AO6" s="239">
        <f t="shared" si="2"/>
        <v>2585.5431807328819</v>
      </c>
      <c r="AP6" s="31">
        <f t="shared" ref="AP6:AP10" si="3">AVERAGE(R6:AC6)</f>
        <v>2585.5431807328819</v>
      </c>
      <c r="AQ6" s="240">
        <f>SUMIFS(AC6:AN6,AC$4:AN$4,"&lt;"&amp;'Title Sheet'!$C$13)</f>
        <v>52295.431394610161</v>
      </c>
    </row>
    <row r="7" spans="2:44" ht="15.75" hidden="1" x14ac:dyDescent="0.25">
      <c r="B7" t="str">
        <f t="shared" ref="B7:B17" si="4">$D$2</f>
        <v>PC Annual Direct</v>
      </c>
      <c r="D7" s="213" t="s">
        <v>0</v>
      </c>
      <c r="E7" s="214" t="str">
        <f t="shared" ref="E7:AN7" si="5">IFERROR(IF(E5=0,"-",(E5/E6)-1),"-")</f>
        <v>-</v>
      </c>
      <c r="F7" s="214" t="str">
        <f t="shared" si="5"/>
        <v>-</v>
      </c>
      <c r="G7" s="214" t="str">
        <f t="shared" si="5"/>
        <v>-</v>
      </c>
      <c r="H7" s="214" t="str">
        <f t="shared" si="5"/>
        <v>-</v>
      </c>
      <c r="I7" s="214" t="str">
        <f t="shared" si="5"/>
        <v>-</v>
      </c>
      <c r="J7" s="214" t="str">
        <f t="shared" si="5"/>
        <v>-</v>
      </c>
      <c r="K7" s="214" t="str">
        <f t="shared" si="5"/>
        <v>-</v>
      </c>
      <c r="L7" s="214" t="str">
        <f t="shared" si="5"/>
        <v>-</v>
      </c>
      <c r="M7" s="214" t="str">
        <f t="shared" si="5"/>
        <v>-</v>
      </c>
      <c r="N7" s="214" t="str">
        <f t="shared" si="5"/>
        <v>-</v>
      </c>
      <c r="O7" s="214" t="str">
        <f t="shared" si="5"/>
        <v>-</v>
      </c>
      <c r="P7" s="270" t="str">
        <f t="shared" si="5"/>
        <v>-</v>
      </c>
      <c r="Q7" s="214" t="str">
        <f t="shared" si="5"/>
        <v>-</v>
      </c>
      <c r="R7" s="214" t="str">
        <f t="shared" si="5"/>
        <v>-</v>
      </c>
      <c r="S7" s="214" t="str">
        <f t="shared" si="5"/>
        <v>-</v>
      </c>
      <c r="T7" s="214" t="str">
        <f t="shared" si="5"/>
        <v>-</v>
      </c>
      <c r="U7" s="214" t="str">
        <f t="shared" si="5"/>
        <v>-</v>
      </c>
      <c r="V7" s="214" t="str">
        <f t="shared" si="5"/>
        <v>-</v>
      </c>
      <c r="W7" s="214" t="str">
        <f t="shared" si="5"/>
        <v>-</v>
      </c>
      <c r="X7" s="214" t="str">
        <f t="shared" si="5"/>
        <v>-</v>
      </c>
      <c r="Y7" s="214" t="str">
        <f t="shared" si="5"/>
        <v>-</v>
      </c>
      <c r="Z7" s="214" t="str">
        <f t="shared" si="5"/>
        <v>-</v>
      </c>
      <c r="AA7" s="214">
        <f t="shared" si="5"/>
        <v>0.8549904315836363</v>
      </c>
      <c r="AB7" s="270">
        <f t="shared" si="5"/>
        <v>0.80887317491209942</v>
      </c>
      <c r="AC7" s="214">
        <f t="shared" si="5"/>
        <v>-0.24225986987530179</v>
      </c>
      <c r="AD7" s="214">
        <f t="shared" si="5"/>
        <v>-0.36805450330646872</v>
      </c>
      <c r="AE7" s="214">
        <f t="shared" si="5"/>
        <v>-0.18835494078730419</v>
      </c>
      <c r="AF7" s="214">
        <f t="shared" si="5"/>
        <v>-0.16887877053209588</v>
      </c>
      <c r="AG7" s="214">
        <f t="shared" si="5"/>
        <v>-0.14948051626184833</v>
      </c>
      <c r="AH7" s="214">
        <f t="shared" si="5"/>
        <v>-0.23452585301618212</v>
      </c>
      <c r="AI7" s="214">
        <f t="shared" si="5"/>
        <v>-0.22566101691195539</v>
      </c>
      <c r="AJ7" s="214">
        <f t="shared" si="5"/>
        <v>-0.63088952170907042</v>
      </c>
      <c r="AK7" s="214" t="str">
        <f t="shared" si="5"/>
        <v>-</v>
      </c>
      <c r="AL7" s="214" t="str">
        <f t="shared" si="5"/>
        <v>-</v>
      </c>
      <c r="AM7" s="214" t="str">
        <f t="shared" si="5"/>
        <v>-</v>
      </c>
      <c r="AN7" s="270" t="str">
        <f t="shared" si="5"/>
        <v>-</v>
      </c>
      <c r="AO7" s="241">
        <f t="shared" si="2"/>
        <v>0.47386791220681129</v>
      </c>
      <c r="AP7" s="242">
        <f t="shared" si="3"/>
        <v>0.47386791220681129</v>
      </c>
      <c r="AQ7" s="243">
        <f t="shared" ref="AQ7" si="6">IFERROR(IF(AQ5=0,"-",(AQ5/AQ6)-1),"-")</f>
        <v>-0.52975015660229885</v>
      </c>
    </row>
    <row r="8" spans="2:44" ht="15.75" x14ac:dyDescent="0.25">
      <c r="B8" t="str">
        <f t="shared" si="4"/>
        <v>PC Annual Direct</v>
      </c>
      <c r="D8" s="208" t="s">
        <v>5</v>
      </c>
      <c r="E8" s="209">
        <f>SUM(E27,E78)</f>
        <v>0</v>
      </c>
      <c r="F8" s="209">
        <f t="shared" ref="F8:AN8" si="7">SUM(F27,F78)</f>
        <v>0</v>
      </c>
      <c r="G8" s="209">
        <f t="shared" si="7"/>
        <v>0</v>
      </c>
      <c r="H8" s="209">
        <f t="shared" si="7"/>
        <v>0</v>
      </c>
      <c r="I8" s="209">
        <f t="shared" si="7"/>
        <v>0</v>
      </c>
      <c r="J8" s="209">
        <f t="shared" si="7"/>
        <v>0</v>
      </c>
      <c r="K8" s="209">
        <f t="shared" si="7"/>
        <v>0</v>
      </c>
      <c r="L8" s="209">
        <f t="shared" si="7"/>
        <v>0</v>
      </c>
      <c r="M8" s="209">
        <f t="shared" si="7"/>
        <v>0</v>
      </c>
      <c r="N8" s="209">
        <f t="shared" si="7"/>
        <v>0</v>
      </c>
      <c r="O8" s="209">
        <f t="shared" si="7"/>
        <v>0</v>
      </c>
      <c r="P8" s="265">
        <f t="shared" si="7"/>
        <v>0</v>
      </c>
      <c r="Q8" s="209">
        <f t="shared" si="7"/>
        <v>0</v>
      </c>
      <c r="R8" s="209">
        <f t="shared" si="7"/>
        <v>0</v>
      </c>
      <c r="S8" s="209">
        <f t="shared" si="7"/>
        <v>0</v>
      </c>
      <c r="T8" s="209">
        <f t="shared" si="7"/>
        <v>0</v>
      </c>
      <c r="U8" s="209">
        <f t="shared" si="7"/>
        <v>48713.224849204853</v>
      </c>
      <c r="V8" s="209">
        <f t="shared" si="7"/>
        <v>1184533.0769383823</v>
      </c>
      <c r="W8" s="209">
        <f t="shared" si="7"/>
        <v>1304246.9658959431</v>
      </c>
      <c r="X8" s="209">
        <f t="shared" si="7"/>
        <v>1685637.3248182833</v>
      </c>
      <c r="Y8" s="209">
        <f t="shared" si="7"/>
        <v>1924862.3018006035</v>
      </c>
      <c r="Z8" s="209">
        <f t="shared" si="7"/>
        <v>2488068.0955287307</v>
      </c>
      <c r="AA8" s="209">
        <f t="shared" si="7"/>
        <v>3307755.7884589406</v>
      </c>
      <c r="AB8" s="265">
        <f t="shared" si="7"/>
        <v>3318953.7041729279</v>
      </c>
      <c r="AC8" s="209">
        <f t="shared" si="7"/>
        <v>3523629.8556133942</v>
      </c>
      <c r="AD8" s="209">
        <f t="shared" si="7"/>
        <v>4823785.934405474</v>
      </c>
      <c r="AE8" s="209">
        <f t="shared" si="7"/>
        <v>7106160.0167402178</v>
      </c>
      <c r="AF8" s="209">
        <f t="shared" si="7"/>
        <v>6429959.9189633606</v>
      </c>
      <c r="AG8" s="209">
        <f t="shared" si="7"/>
        <v>6241459.2710557645</v>
      </c>
      <c r="AH8" s="209">
        <f t="shared" si="7"/>
        <v>5263663.8655268345</v>
      </c>
      <c r="AI8" s="209">
        <f t="shared" si="7"/>
        <v>4516069.2962171575</v>
      </c>
      <c r="AJ8" s="209">
        <f t="shared" si="7"/>
        <v>3944922.6985386498</v>
      </c>
      <c r="AK8" s="209">
        <f t="shared" si="7"/>
        <v>3623193.7791764801</v>
      </c>
      <c r="AL8" s="209">
        <f t="shared" si="7"/>
        <v>3451019.5299683488</v>
      </c>
      <c r="AM8" s="209">
        <f t="shared" si="7"/>
        <v>3633134.3782406533</v>
      </c>
      <c r="AN8" s="265">
        <f t="shared" si="7"/>
        <v>3626731.3410885893</v>
      </c>
      <c r="AO8" s="237">
        <f t="shared" si="2"/>
        <v>3159601.8609434981</v>
      </c>
      <c r="AP8" s="209">
        <f t="shared" si="3"/>
        <v>1565533.3615063678</v>
      </c>
      <c r="AQ8" s="238">
        <f>SUMIFS(AC8:AN8,AC$4:AN$4,"&lt;"&amp;'Title Sheet'!$C$13)</f>
        <v>56183729.885534927</v>
      </c>
    </row>
    <row r="9" spans="2:44" ht="15.75" x14ac:dyDescent="0.25">
      <c r="B9" t="str">
        <f>$D$2&amp;"_NWP"</f>
        <v>PC Annual Direct_NWP</v>
      </c>
      <c r="D9" s="211" t="s">
        <v>6</v>
      </c>
      <c r="E9" s="31" t="e">
        <f>INDEX('Plan Figures'!$B$5:$AP$31,MATCH('Ultimate - MPM only'!E$4,'Plan Figures'!$B$5:$B$31,0),MATCH('Ultimate - MPM only'!$B9,'Plan Figures'!$B$1:$AP$1,0))</f>
        <v>#N/A</v>
      </c>
      <c r="F9" s="31"/>
      <c r="G9" s="31"/>
      <c r="H9" s="31"/>
      <c r="I9" s="31"/>
      <c r="J9" s="31"/>
      <c r="K9" s="31"/>
      <c r="L9" s="31"/>
      <c r="M9" s="31"/>
      <c r="N9" s="31"/>
      <c r="O9" s="31"/>
      <c r="P9" s="266"/>
      <c r="Q9" s="31"/>
      <c r="R9" s="31" t="str">
        <f>INDEX('Plan Figures'!$B$5:$AP$31,MATCH('Ultimate - MPM only'!R$4,'Plan Figures'!$B$5:$B$31,0),MATCH('Ultimate - MPM only'!$B9,'Plan Figures'!$B$1:$AP$1,0))</f>
        <v>-</v>
      </c>
      <c r="S9" s="31" t="str">
        <f>INDEX('Plan Figures'!$B$5:$AP$31,MATCH('Ultimate - MPM only'!S$4,'Plan Figures'!$B$5:$B$31,0),MATCH('Ultimate - MPM only'!$B9,'Plan Figures'!$B$1:$AP$1,0))</f>
        <v>-</v>
      </c>
      <c r="T9" s="31" t="str">
        <f>INDEX('Plan Figures'!$B$5:$AP$31,MATCH('Ultimate - MPM only'!T$4,'Plan Figures'!$B$5:$B$31,0),MATCH('Ultimate - MPM only'!$B9,'Plan Figures'!$B$1:$AP$1,0))</f>
        <v>-</v>
      </c>
      <c r="U9" s="31" t="str">
        <f>INDEX('Plan Figures'!$B$5:$AP$31,MATCH('Ultimate - MPM only'!U$4,'Plan Figures'!$B$5:$B$31,0),MATCH('Ultimate - MPM only'!$B9,'Plan Figures'!$B$1:$AP$1,0))</f>
        <v>-</v>
      </c>
      <c r="V9" s="31" t="str">
        <f>INDEX('Plan Figures'!$B$5:$AP$31,MATCH('Ultimate - MPM only'!V$4,'Plan Figures'!$B$5:$B$31,0),MATCH('Ultimate - MPM only'!$B9,'Plan Figures'!$B$1:$AP$1,0))</f>
        <v>-</v>
      </c>
      <c r="W9" s="31" t="str">
        <f>INDEX('Plan Figures'!$B$5:$AP$31,MATCH('Ultimate - MPM only'!W$4,'Plan Figures'!$B$5:$B$31,0),MATCH('Ultimate - MPM only'!$B9,'Plan Figures'!$B$1:$AP$1,0))</f>
        <v>-</v>
      </c>
      <c r="X9" s="31" t="str">
        <f>INDEX('Plan Figures'!$B$5:$AP$31,MATCH('Ultimate - MPM only'!X$4,'Plan Figures'!$B$5:$B$31,0),MATCH('Ultimate - MPM only'!$B9,'Plan Figures'!$B$1:$AP$1,0))</f>
        <v>-</v>
      </c>
      <c r="Y9" s="31" t="str">
        <f>INDEX('Plan Figures'!$B$5:$AP$31,MATCH('Ultimate - MPM only'!Y$4,'Plan Figures'!$B$5:$B$31,0),MATCH('Ultimate - MPM only'!$B9,'Plan Figures'!$B$1:$AP$1,0))</f>
        <v>-</v>
      </c>
      <c r="Z9" s="31" t="str">
        <f>INDEX('Plan Figures'!$B$5:$AP$31,MATCH('Ultimate - MPM only'!Z$4,'Plan Figures'!$B$5:$B$31,0),MATCH('Ultimate - MPM only'!$B9,'Plan Figures'!$B$1:$AP$1,0))</f>
        <v>-</v>
      </c>
      <c r="AA9" s="31">
        <f>INDEX('Plan Figures'!$B$5:$AP$31,MATCH('Ultimate - MPM only'!AA$4,'Plan Figures'!$B$5:$B$31,0),MATCH('Ultimate - MPM only'!$B9,'Plan Figures'!$B$1:$AP$1,0))</f>
        <v>3013169.0914932396</v>
      </c>
      <c r="AB9" s="266">
        <f>INDEX('Plan Figures'!$B$5:$AP$31,MATCH('Ultimate - MPM only'!AB$4,'Plan Figures'!$B$5:$B$31,0),MATCH('Ultimate - MPM only'!$B9,'Plan Figures'!$B$1:$AP$1,0))</f>
        <v>3046278.3015965438</v>
      </c>
      <c r="AC9" s="31">
        <f>INDEX('Plan Figures'!$B$5:$AP$31,MATCH('Ultimate - MPM only'!AC$4,'Plan Figures'!$B$5:$B$31,0),MATCH('Ultimate - MPM only'!$B9,'Plan Figures'!$B$1:$AP$1,0))</f>
        <v>3262205.5406420417</v>
      </c>
      <c r="AD9" s="31">
        <f>INDEX('Plan Figures'!$B$5:$AP$42,MATCH('Ultimate - MPM only'!AD$4,'Plan Figures'!$B$5:$B$42,0),MATCH('Ultimate - MPM only'!$B9,'Plan Figures'!$B$1:$AP$1,0))</f>
        <v>5283002.670942123</v>
      </c>
      <c r="AE9" s="31">
        <f>INDEX('Plan Figures'!$B$5:$AP$42,MATCH('Ultimate - MPM only'!AE$4,'Plan Figures'!$B$5:$B$42,0),MATCH('Ultimate - MPM only'!$B9,'Plan Figures'!$B$1:$AP$1,0))</f>
        <v>7028722.699423207</v>
      </c>
      <c r="AF9" s="31">
        <f>INDEX('Plan Figures'!$B$5:$AP$42,MATCH('Ultimate - MPM only'!AF$4,'Plan Figures'!$B$5:$B$42,0),MATCH('Ultimate - MPM only'!$B9,'Plan Figures'!$B$1:$AP$1,0))</f>
        <v>7008322.6050258419</v>
      </c>
      <c r="AG9" s="31">
        <f>INDEX('Plan Figures'!$B$5:$AP$42,MATCH('Ultimate - MPM only'!AG$4,'Plan Figures'!$B$5:$B$42,0),MATCH('Ultimate - MPM only'!$B9,'Plan Figures'!$B$1:$AP$1,0))</f>
        <v>6910081.5132966693</v>
      </c>
      <c r="AH9" s="31">
        <f>INDEX('Plan Figures'!$B$5:$AP$42,MATCH('Ultimate - MPM only'!AH$4,'Plan Figures'!$B$5:$B$42,0),MATCH('Ultimate - MPM only'!$B9,'Plan Figures'!$B$1:$AP$1,0))</f>
        <v>6846559.6197968433</v>
      </c>
      <c r="AI9" s="31">
        <f>INDEX('Plan Figures'!$B$5:$AP$42,MATCH('Ultimate - MPM only'!AI$4,'Plan Figures'!$B$5:$B$42,0),MATCH('Ultimate - MPM only'!$B9,'Plan Figures'!$B$1:$AP$1,0))</f>
        <v>4986954.5511762854</v>
      </c>
      <c r="AJ9" s="31">
        <f>INDEX('Plan Figures'!$B$5:$AP$42,MATCH('Ultimate - MPM only'!AJ$4,'Plan Figures'!$B$5:$B$42,0),MATCH('Ultimate - MPM only'!$B9,'Plan Figures'!$B$1:$AP$1,0))</f>
        <v>4772961.4367652033</v>
      </c>
      <c r="AK9" s="31">
        <f>INDEX('Plan Figures'!$B$5:$AP$42,MATCH('Ultimate - MPM only'!AK$4,'Plan Figures'!$B$5:$B$42,0),MATCH('Ultimate - MPM only'!$B9,'Plan Figures'!$B$1:$AP$1,0))</f>
        <v>5928873.8683875808</v>
      </c>
      <c r="AL9" s="31">
        <f>INDEX('Plan Figures'!$B$5:$AP$42,MATCH('Ultimate - MPM only'!AL$4,'Plan Figures'!$B$5:$B$42,0),MATCH('Ultimate - MPM only'!$B9,'Plan Figures'!$B$1:$AP$1,0))</f>
        <v>6128497.9239271581</v>
      </c>
      <c r="AM9" s="31">
        <f>INDEX('Plan Figures'!$B$5:$AP$42,MATCH('Ultimate - MPM only'!AM$4,'Plan Figures'!$B$5:$B$42,0),MATCH('Ultimate - MPM only'!$B9,'Plan Figures'!$B$1:$AP$1,0))</f>
        <v>5090049.9398270845</v>
      </c>
      <c r="AN9" s="266">
        <f>INDEX('Plan Figures'!$B$5:$AP$42,MATCH('Ultimate - MPM only'!AN$4,'Plan Figures'!$B$5:$B$42,0),MATCH('Ultimate - MPM only'!$B9,'Plan Figures'!$B$1:$AP$1,0))</f>
        <v>4415738.4758491814</v>
      </c>
      <c r="AO9" s="239">
        <f t="shared" si="2"/>
        <v>3107217.6445772746</v>
      </c>
      <c r="AP9" s="31">
        <f t="shared" si="3"/>
        <v>3107217.6445772746</v>
      </c>
      <c r="AQ9" s="240">
        <f>SUMIFS(AC9:AN9,AC$4:AN$4,"&lt;"&amp;'Title Sheet'!$C$13)</f>
        <v>67661970.845059216</v>
      </c>
    </row>
    <row r="10" spans="2:44" ht="15.75" x14ac:dyDescent="0.25">
      <c r="B10" t="str">
        <f t="shared" si="4"/>
        <v>PC Annual Direct</v>
      </c>
      <c r="D10" s="213" t="s">
        <v>0</v>
      </c>
      <c r="E10" s="214" t="str">
        <f t="shared" ref="E10:AN10" si="8">IFERROR(IF(E8=0,"-",(E8/E9)-1),"-")</f>
        <v>-</v>
      </c>
      <c r="F10" s="214" t="str">
        <f t="shared" si="8"/>
        <v>-</v>
      </c>
      <c r="G10" s="214" t="str">
        <f t="shared" si="8"/>
        <v>-</v>
      </c>
      <c r="H10" s="214" t="str">
        <f t="shared" si="8"/>
        <v>-</v>
      </c>
      <c r="I10" s="214" t="str">
        <f t="shared" si="8"/>
        <v>-</v>
      </c>
      <c r="J10" s="214" t="str">
        <f t="shared" si="8"/>
        <v>-</v>
      </c>
      <c r="K10" s="214" t="str">
        <f t="shared" si="8"/>
        <v>-</v>
      </c>
      <c r="L10" s="214" t="str">
        <f t="shared" si="8"/>
        <v>-</v>
      </c>
      <c r="M10" s="214" t="str">
        <f t="shared" si="8"/>
        <v>-</v>
      </c>
      <c r="N10" s="214" t="str">
        <f t="shared" si="8"/>
        <v>-</v>
      </c>
      <c r="O10" s="214" t="str">
        <f t="shared" si="8"/>
        <v>-</v>
      </c>
      <c r="P10" s="270" t="str">
        <f t="shared" si="8"/>
        <v>-</v>
      </c>
      <c r="Q10" s="214" t="str">
        <f t="shared" si="8"/>
        <v>-</v>
      </c>
      <c r="R10" s="214" t="str">
        <f t="shared" si="8"/>
        <v>-</v>
      </c>
      <c r="S10" s="214" t="str">
        <f t="shared" si="8"/>
        <v>-</v>
      </c>
      <c r="T10" s="214" t="str">
        <f t="shared" si="8"/>
        <v>-</v>
      </c>
      <c r="U10" s="214" t="str">
        <f t="shared" si="8"/>
        <v>-</v>
      </c>
      <c r="V10" s="214" t="str">
        <f t="shared" si="8"/>
        <v>-</v>
      </c>
      <c r="W10" s="214" t="str">
        <f t="shared" si="8"/>
        <v>-</v>
      </c>
      <c r="X10" s="214" t="str">
        <f t="shared" si="8"/>
        <v>-</v>
      </c>
      <c r="Y10" s="214" t="str">
        <f t="shared" si="8"/>
        <v>-</v>
      </c>
      <c r="Z10" s="214" t="str">
        <f t="shared" si="8"/>
        <v>-</v>
      </c>
      <c r="AA10" s="214">
        <f t="shared" si="8"/>
        <v>9.7766400763029226E-2</v>
      </c>
      <c r="AB10" s="270">
        <f t="shared" si="8"/>
        <v>8.951099524737316E-2</v>
      </c>
      <c r="AC10" s="214">
        <f t="shared" si="8"/>
        <v>8.0137291079427575E-2</v>
      </c>
      <c r="AD10" s="214">
        <f t="shared" si="8"/>
        <v>-8.6923434482147677E-2</v>
      </c>
      <c r="AE10" s="214">
        <f t="shared" si="8"/>
        <v>1.1017267379657136E-2</v>
      </c>
      <c r="AF10" s="214">
        <f t="shared" si="8"/>
        <v>-8.2525123151112267E-2</v>
      </c>
      <c r="AG10" s="214">
        <f t="shared" si="8"/>
        <v>-9.6760398694908822E-2</v>
      </c>
      <c r="AH10" s="214">
        <f t="shared" si="8"/>
        <v>-0.23119578915124939</v>
      </c>
      <c r="AI10" s="214">
        <f t="shared" si="8"/>
        <v>-9.4423410144786502E-2</v>
      </c>
      <c r="AJ10" s="214">
        <f t="shared" si="8"/>
        <v>-0.17348531916648868</v>
      </c>
      <c r="AK10" s="214">
        <f t="shared" si="8"/>
        <v>-0.38889005574985436</v>
      </c>
      <c r="AL10" s="214">
        <f t="shared" si="8"/>
        <v>-0.4368898263806662</v>
      </c>
      <c r="AM10" s="214">
        <f t="shared" si="8"/>
        <v>-0.2862281468373814</v>
      </c>
      <c r="AN10" s="270">
        <f t="shared" si="8"/>
        <v>-0.17868067574107405</v>
      </c>
      <c r="AO10" s="241">
        <f t="shared" si="2"/>
        <v>8.9138229029943325E-2</v>
      </c>
      <c r="AP10" s="242">
        <f t="shared" si="3"/>
        <v>8.9138229029943325E-2</v>
      </c>
      <c r="AQ10" s="243">
        <f t="shared" ref="AQ10" si="9">IFERROR(IF(AQ8=0,"-",(AQ8/AQ9)-1),"-")</f>
        <v>-0.16964094920924766</v>
      </c>
    </row>
    <row r="11" spans="2:44" ht="15.75" x14ac:dyDescent="0.25">
      <c r="B11" t="str">
        <f t="shared" si="4"/>
        <v>PC Annual Direct</v>
      </c>
      <c r="D11" s="208" t="s">
        <v>12</v>
      </c>
      <c r="E11" s="209">
        <f>IFERROR(E8/E5,0)</f>
        <v>0</v>
      </c>
      <c r="F11" s="209"/>
      <c r="G11" s="209"/>
      <c r="H11" s="209"/>
      <c r="I11" s="209"/>
      <c r="J11" s="209"/>
      <c r="K11" s="209"/>
      <c r="L11" s="209"/>
      <c r="M11" s="209"/>
      <c r="N11" s="209"/>
      <c r="O11" s="209"/>
      <c r="P11" s="265"/>
      <c r="Q11" s="209"/>
      <c r="R11" s="209">
        <f t="shared" ref="R11:AP12" si="10">IFERROR(R8/R5,0)</f>
        <v>0</v>
      </c>
      <c r="S11" s="209">
        <f t="shared" si="10"/>
        <v>0</v>
      </c>
      <c r="T11" s="209">
        <f t="shared" si="10"/>
        <v>0</v>
      </c>
      <c r="U11" s="209">
        <f t="shared" si="10"/>
        <v>8.3420659958235728</v>
      </c>
      <c r="V11" s="209">
        <f t="shared" si="10"/>
        <v>241.17101265088644</v>
      </c>
      <c r="W11" s="209">
        <f t="shared" si="10"/>
        <v>311.3703098749142</v>
      </c>
      <c r="X11" s="209">
        <f t="shared" si="10"/>
        <v>465.3812152096769</v>
      </c>
      <c r="Y11" s="209">
        <f t="shared" si="10"/>
        <v>587.52096596809895</v>
      </c>
      <c r="Z11" s="209">
        <f t="shared" si="10"/>
        <v>787.25862778979979</v>
      </c>
      <c r="AA11" s="209">
        <f t="shared" si="10"/>
        <v>1031.1173045763226</v>
      </c>
      <c r="AB11" s="265">
        <f t="shared" si="10"/>
        <v>1046.4331759159388</v>
      </c>
      <c r="AC11" s="209">
        <f t="shared" si="10"/>
        <v>1088.0485405047464</v>
      </c>
      <c r="AD11" s="209">
        <f t="shared" si="10"/>
        <v>1788.8959755532067</v>
      </c>
      <c r="AE11" s="209">
        <f t="shared" si="10"/>
        <v>2055.1505910826013</v>
      </c>
      <c r="AF11" s="209">
        <f t="shared" si="10"/>
        <v>1818.9324353813547</v>
      </c>
      <c r="AG11" s="209">
        <f t="shared" si="10"/>
        <v>1727.9594741914304</v>
      </c>
      <c r="AH11" s="209">
        <f t="shared" si="10"/>
        <v>1592.4225266933174</v>
      </c>
      <c r="AI11" s="209">
        <f t="shared" si="10"/>
        <v>1390.0276896088974</v>
      </c>
      <c r="AJ11" s="209">
        <f t="shared" si="10"/>
        <v>2633.8539799357832</v>
      </c>
      <c r="AK11" s="209">
        <f t="shared" si="10"/>
        <v>0</v>
      </c>
      <c r="AL11" s="209">
        <f t="shared" si="10"/>
        <v>0</v>
      </c>
      <c r="AM11" s="209">
        <f t="shared" si="10"/>
        <v>0</v>
      </c>
      <c r="AN11" s="265">
        <f t="shared" si="10"/>
        <v>0</v>
      </c>
      <c r="AO11" s="237">
        <f t="shared" si="10"/>
        <v>989.03514455922323</v>
      </c>
      <c r="AP11" s="209">
        <f t="shared" si="10"/>
        <v>369.32674298388577</v>
      </c>
      <c r="AQ11" s="238">
        <f>SUMIFS(AC11:AN11,AC$4:AN$4,"&lt;"&amp;'Title Sheet'!$C$13)</f>
        <v>14095.291212951339</v>
      </c>
    </row>
    <row r="12" spans="2:44" ht="15.75" hidden="1" x14ac:dyDescent="0.25">
      <c r="B12" t="str">
        <f t="shared" si="4"/>
        <v>PC Annual Direct</v>
      </c>
      <c r="D12" s="211" t="s">
        <v>13</v>
      </c>
      <c r="E12" s="31">
        <f>IFERROR(E9/E6,0)</f>
        <v>0</v>
      </c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266"/>
      <c r="Q12" s="31"/>
      <c r="R12" s="31">
        <f t="shared" si="10"/>
        <v>0</v>
      </c>
      <c r="S12" s="31">
        <f t="shared" si="10"/>
        <v>0</v>
      </c>
      <c r="T12" s="31">
        <f t="shared" si="10"/>
        <v>0</v>
      </c>
      <c r="U12" s="31">
        <f t="shared" si="10"/>
        <v>0</v>
      </c>
      <c r="V12" s="31">
        <f t="shared" si="10"/>
        <v>0</v>
      </c>
      <c r="W12" s="31">
        <f t="shared" si="10"/>
        <v>0</v>
      </c>
      <c r="X12" s="31">
        <f t="shared" si="10"/>
        <v>0</v>
      </c>
      <c r="Y12" s="31">
        <f t="shared" si="10"/>
        <v>0</v>
      </c>
      <c r="Z12" s="31">
        <f t="shared" si="10"/>
        <v>0</v>
      </c>
      <c r="AA12" s="31">
        <f t="shared" si="10"/>
        <v>1742.3677136592185</v>
      </c>
      <c r="AB12" s="266">
        <f t="shared" si="10"/>
        <v>1737.3527293523473</v>
      </c>
      <c r="AC12" s="31">
        <f t="shared" si="10"/>
        <v>763.2900460645501</v>
      </c>
      <c r="AD12" s="31">
        <f t="shared" si="10"/>
        <v>1238.1051036644171</v>
      </c>
      <c r="AE12" s="31">
        <f t="shared" si="10"/>
        <v>1649.875701444234</v>
      </c>
      <c r="AF12" s="31">
        <f t="shared" si="10"/>
        <v>1647.7327065405773</v>
      </c>
      <c r="AG12" s="31">
        <f t="shared" si="10"/>
        <v>1627.1022636587531</v>
      </c>
      <c r="AH12" s="31">
        <f t="shared" si="10"/>
        <v>1585.5249724928897</v>
      </c>
      <c r="AI12" s="31">
        <f t="shared" si="10"/>
        <v>1188.5826551767072</v>
      </c>
      <c r="AJ12" s="31">
        <f t="shared" si="10"/>
        <v>1176.2442033118548</v>
      </c>
      <c r="AK12" s="31">
        <f t="shared" si="10"/>
        <v>1155.7492193009923</v>
      </c>
      <c r="AL12" s="31">
        <f t="shared" si="10"/>
        <v>1162.1087560729409</v>
      </c>
      <c r="AM12" s="31">
        <f t="shared" si="10"/>
        <v>1188.6949599870413</v>
      </c>
      <c r="AN12" s="266">
        <f t="shared" si="10"/>
        <v>1181.6279102493752</v>
      </c>
      <c r="AO12" s="239">
        <f t="shared" si="10"/>
        <v>1201.7659065730716</v>
      </c>
      <c r="AP12" s="31">
        <f t="shared" si="10"/>
        <v>1201.7659065730716</v>
      </c>
      <c r="AQ12" s="240">
        <f>SUMIFS(AC12:AN12,AC$4:AN$4,"&lt;"&amp;'Title Sheet'!$C$13)</f>
        <v>15564.638497964334</v>
      </c>
    </row>
    <row r="13" spans="2:44" ht="15.75" hidden="1" x14ac:dyDescent="0.25">
      <c r="B13" t="str">
        <f t="shared" si="4"/>
        <v>PC Annual Direct</v>
      </c>
      <c r="D13" s="213" t="s">
        <v>0</v>
      </c>
      <c r="E13" s="214" t="str">
        <f t="shared" ref="E13:AN13" si="11">IFERROR(IF(E11=0,"-",(E11/E12)-1),"-")</f>
        <v>-</v>
      </c>
      <c r="F13" s="214" t="str">
        <f t="shared" si="11"/>
        <v>-</v>
      </c>
      <c r="G13" s="214" t="str">
        <f t="shared" si="11"/>
        <v>-</v>
      </c>
      <c r="H13" s="214" t="str">
        <f t="shared" si="11"/>
        <v>-</v>
      </c>
      <c r="I13" s="214" t="str">
        <f t="shared" si="11"/>
        <v>-</v>
      </c>
      <c r="J13" s="214" t="str">
        <f t="shared" si="11"/>
        <v>-</v>
      </c>
      <c r="K13" s="214" t="str">
        <f t="shared" si="11"/>
        <v>-</v>
      </c>
      <c r="L13" s="214" t="str">
        <f t="shared" si="11"/>
        <v>-</v>
      </c>
      <c r="M13" s="214" t="str">
        <f t="shared" si="11"/>
        <v>-</v>
      </c>
      <c r="N13" s="214" t="str">
        <f t="shared" si="11"/>
        <v>-</v>
      </c>
      <c r="O13" s="214" t="str">
        <f t="shared" si="11"/>
        <v>-</v>
      </c>
      <c r="P13" s="270" t="str">
        <f t="shared" si="11"/>
        <v>-</v>
      </c>
      <c r="Q13" s="214" t="str">
        <f t="shared" si="11"/>
        <v>-</v>
      </c>
      <c r="R13" s="214" t="str">
        <f t="shared" si="11"/>
        <v>-</v>
      </c>
      <c r="S13" s="214" t="str">
        <f t="shared" si="11"/>
        <v>-</v>
      </c>
      <c r="T13" s="214" t="str">
        <f t="shared" si="11"/>
        <v>-</v>
      </c>
      <c r="U13" s="214" t="str">
        <f t="shared" si="11"/>
        <v>-</v>
      </c>
      <c r="V13" s="214" t="str">
        <f t="shared" si="11"/>
        <v>-</v>
      </c>
      <c r="W13" s="214" t="str">
        <f t="shared" si="11"/>
        <v>-</v>
      </c>
      <c r="X13" s="214" t="str">
        <f t="shared" si="11"/>
        <v>-</v>
      </c>
      <c r="Y13" s="214" t="str">
        <f t="shared" si="11"/>
        <v>-</v>
      </c>
      <c r="Z13" s="214" t="str">
        <f t="shared" si="11"/>
        <v>-</v>
      </c>
      <c r="AA13" s="214">
        <f t="shared" si="11"/>
        <v>-0.40820913031564932</v>
      </c>
      <c r="AB13" s="270">
        <f t="shared" si="11"/>
        <v>-0.39768524938166727</v>
      </c>
      <c r="AC13" s="214">
        <f t="shared" si="11"/>
        <v>0.42547193706326936</v>
      </c>
      <c r="AD13" s="214">
        <f t="shared" si="11"/>
        <v>0.44486600552619882</v>
      </c>
      <c r="AE13" s="214">
        <f t="shared" si="11"/>
        <v>0.24563964987399123</v>
      </c>
      <c r="AF13" s="214">
        <f t="shared" si="11"/>
        <v>0.10390018245144383</v>
      </c>
      <c r="AG13" s="214">
        <f t="shared" si="11"/>
        <v>6.198578465860316E-2</v>
      </c>
      <c r="AH13" s="214">
        <f t="shared" si="11"/>
        <v>4.3503283266379533E-3</v>
      </c>
      <c r="AI13" s="214">
        <f t="shared" si="11"/>
        <v>0.16948340408201656</v>
      </c>
      <c r="AJ13" s="214">
        <f t="shared" si="11"/>
        <v>1.2392067672000895</v>
      </c>
      <c r="AK13" s="214" t="str">
        <f t="shared" si="11"/>
        <v>-</v>
      </c>
      <c r="AL13" s="214" t="str">
        <f t="shared" si="11"/>
        <v>-</v>
      </c>
      <c r="AM13" s="214" t="str">
        <f t="shared" si="11"/>
        <v>-</v>
      </c>
      <c r="AN13" s="270" t="str">
        <f t="shared" si="11"/>
        <v>-</v>
      </c>
      <c r="AO13" s="241">
        <f t="shared" ref="AO13:AP13" si="12">AO11-AO12</f>
        <v>-212.73076201384833</v>
      </c>
      <c r="AP13" s="242">
        <f t="shared" si="12"/>
        <v>-832.4391635891858</v>
      </c>
      <c r="AQ13" s="243">
        <f t="shared" ref="AQ13" si="13">IFERROR(IF(AQ11=0,"-",(AQ11/AQ12)-1),"-")</f>
        <v>-9.4402917562471322E-2</v>
      </c>
    </row>
    <row r="14" spans="2:44" ht="15.75" x14ac:dyDescent="0.25">
      <c r="B14" t="str">
        <f t="shared" si="4"/>
        <v>PC Annual Direct</v>
      </c>
      <c r="D14" s="208" t="s">
        <v>7</v>
      </c>
      <c r="E14" s="209">
        <v>63882.723213917787</v>
      </c>
      <c r="F14" s="209"/>
      <c r="G14" s="209"/>
      <c r="H14" s="209"/>
      <c r="I14" s="209"/>
      <c r="J14" s="209"/>
      <c r="K14" s="209"/>
      <c r="L14" s="209"/>
      <c r="M14" s="209"/>
      <c r="N14" s="209"/>
      <c r="O14" s="209"/>
      <c r="P14" s="265"/>
      <c r="Q14" s="209"/>
      <c r="R14" s="209">
        <f t="shared" ref="R14:AN14" si="14">SUM(R34,R85)</f>
        <v>6020261.4066121634</v>
      </c>
      <c r="S14" s="209">
        <f t="shared" si="14"/>
        <v>8375571.4987623682</v>
      </c>
      <c r="T14" s="209">
        <f t="shared" si="14"/>
        <v>7391641.5865257829</v>
      </c>
      <c r="U14" s="209">
        <f t="shared" si="14"/>
        <v>7010982.1113823764</v>
      </c>
      <c r="V14" s="209">
        <f t="shared" si="14"/>
        <v>5872809.0517976107</v>
      </c>
      <c r="W14" s="209">
        <f t="shared" si="14"/>
        <v>4999578.2891884819</v>
      </c>
      <c r="X14" s="209">
        <f t="shared" si="14"/>
        <v>4336480.4582210528</v>
      </c>
      <c r="Y14" s="209">
        <f t="shared" si="14"/>
        <v>3957009.8766119601</v>
      </c>
      <c r="Z14" s="209">
        <f t="shared" si="14"/>
        <v>3732614.5019087535</v>
      </c>
      <c r="AA14" s="209">
        <f t="shared" si="14"/>
        <v>3883759.7143237591</v>
      </c>
      <c r="AB14" s="265">
        <f t="shared" si="14"/>
        <v>3807501.348997497</v>
      </c>
      <c r="AC14" s="209">
        <f t="shared" si="14"/>
        <v>3732874.8366595353</v>
      </c>
      <c r="AD14" s="209">
        <f t="shared" si="14"/>
        <v>3068873.0073799109</v>
      </c>
      <c r="AE14" s="209">
        <f t="shared" si="14"/>
        <v>3907814.5093155364</v>
      </c>
      <c r="AF14" s="209">
        <f t="shared" si="14"/>
        <v>3802373.739826418</v>
      </c>
      <c r="AG14" s="209">
        <f t="shared" si="14"/>
        <v>3940669.324243865</v>
      </c>
      <c r="AH14" s="209">
        <f t="shared" si="14"/>
        <v>3590660.8282440053</v>
      </c>
      <c r="AI14" s="209">
        <f t="shared" si="14"/>
        <v>3634569.8719625878</v>
      </c>
      <c r="AJ14" s="209">
        <f t="shared" si="14"/>
        <v>1767853.3504476703</v>
      </c>
      <c r="AK14" s="209">
        <f t="shared" si="14"/>
        <v>0</v>
      </c>
      <c r="AL14" s="209">
        <f t="shared" si="14"/>
        <v>0</v>
      </c>
      <c r="AM14" s="209">
        <f t="shared" si="14"/>
        <v>0</v>
      </c>
      <c r="AN14" s="265">
        <f t="shared" si="14"/>
        <v>0</v>
      </c>
      <c r="AO14" s="237">
        <f t="shared" ref="AO14:AO16" si="15">AVERAGE(Z14:AC14)</f>
        <v>3789187.600472386</v>
      </c>
      <c r="AP14" s="209">
        <f>AVERAGE(R14:AC14)</f>
        <v>5260090.3900826126</v>
      </c>
      <c r="AQ14" s="238">
        <f>SUMIFS(AC14:AN14,AC$4:AN$4,"&lt;"&amp;'Title Sheet'!$C$13)</f>
        <v>27445689.46807953</v>
      </c>
    </row>
    <row r="15" spans="2:44" ht="15.75" hidden="1" x14ac:dyDescent="0.25">
      <c r="B15" t="str">
        <f>$D$2&amp;"_GWP"</f>
        <v>PC Annual Direct_GWP</v>
      </c>
      <c r="D15" s="211" t="s">
        <v>23</v>
      </c>
      <c r="E15" s="31" t="e">
        <f>INDEX('Plan Figures'!$B$5:$AP$31,MATCH('Ultimate - MPM only'!E$4,'Plan Figures'!$B$5:$B$31,0),MATCH('Ultimate - MPM only'!$B15,'Plan Figures'!$B$1:$AP$1,0))</f>
        <v>#N/A</v>
      </c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266"/>
      <c r="Q15" s="31"/>
      <c r="R15" s="31" t="str">
        <f>INDEX('Plan Figures'!$B$5:$AP$31,MATCH('Ultimate - MPM only'!R$4,'Plan Figures'!$B$5:$B$31,0),MATCH('Ultimate - MPM only'!$B15,'Plan Figures'!$B$1:$AP$1,0))</f>
        <v>-</v>
      </c>
      <c r="S15" s="31" t="str">
        <f>INDEX('Plan Figures'!$B$5:$AP$31,MATCH('Ultimate - MPM only'!S$4,'Plan Figures'!$B$5:$B$31,0),MATCH('Ultimate - MPM only'!$B15,'Plan Figures'!$B$1:$AP$1,0))</f>
        <v>-</v>
      </c>
      <c r="T15" s="31" t="str">
        <f>INDEX('Plan Figures'!$B$5:$AP$31,MATCH('Ultimate - MPM only'!T$4,'Plan Figures'!$B$5:$B$31,0),MATCH('Ultimate - MPM only'!$B15,'Plan Figures'!$B$1:$AP$1,0))</f>
        <v>-</v>
      </c>
      <c r="U15" s="31" t="str">
        <f>INDEX('Plan Figures'!$B$5:$AP$31,MATCH('Ultimate - MPM only'!U$4,'Plan Figures'!$B$5:$B$31,0),MATCH('Ultimate - MPM only'!$B15,'Plan Figures'!$B$1:$AP$1,0))</f>
        <v>-</v>
      </c>
      <c r="V15" s="31" t="str">
        <f>INDEX('Plan Figures'!$B$5:$AP$31,MATCH('Ultimate - MPM only'!V$4,'Plan Figures'!$B$5:$B$31,0),MATCH('Ultimate - MPM only'!$B15,'Plan Figures'!$B$1:$AP$1,0))</f>
        <v>-</v>
      </c>
      <c r="W15" s="31" t="str">
        <f>INDEX('Plan Figures'!$B$5:$AP$31,MATCH('Ultimate - MPM only'!W$4,'Plan Figures'!$B$5:$B$31,0),MATCH('Ultimate - MPM only'!$B15,'Plan Figures'!$B$1:$AP$1,0))</f>
        <v>-</v>
      </c>
      <c r="X15" s="31" t="str">
        <f>INDEX('Plan Figures'!$B$5:$AP$31,MATCH('Ultimate - MPM only'!X$4,'Plan Figures'!$B$5:$B$31,0),MATCH('Ultimate - MPM only'!$B15,'Plan Figures'!$B$1:$AP$1,0))</f>
        <v>-</v>
      </c>
      <c r="Y15" s="31" t="str">
        <f>INDEX('Plan Figures'!$B$5:$AP$31,MATCH('Ultimate - MPM only'!Y$4,'Plan Figures'!$B$5:$B$31,0),MATCH('Ultimate - MPM only'!$B15,'Plan Figures'!$B$1:$AP$1,0))</f>
        <v>-</v>
      </c>
      <c r="Z15" s="31" t="str">
        <f>INDEX('Plan Figures'!$B$5:$AP$31,MATCH('Ultimate - MPM only'!Z$4,'Plan Figures'!$B$5:$B$31,0),MATCH('Ultimate - MPM only'!$B15,'Plan Figures'!$B$1:$AP$1,0))</f>
        <v>-</v>
      </c>
      <c r="AA15" s="31">
        <f>INDEX('Plan Figures'!$B$5:$AP$31,MATCH('Ultimate - MPM only'!AA$4,'Plan Figures'!$B$5:$B$31,0),MATCH('Ultimate - MPM only'!$B15,'Plan Figures'!$B$1:$AP$1,0))</f>
        <v>2730383.5064988472</v>
      </c>
      <c r="AB15" s="266">
        <f>INDEX('Plan Figures'!$B$5:$AP$31,MATCH('Ultimate - MPM only'!AB$4,'Plan Figures'!$B$5:$B$31,0),MATCH('Ultimate - MPM only'!$B15,'Plan Figures'!$B$1:$AP$1,0))</f>
        <v>2820707.4327293462</v>
      </c>
      <c r="AC15" s="31">
        <f>INDEX('Plan Figures'!$B$5:$AP$31,MATCH('Ultimate - MPM only'!AC$4,'Plan Figures'!$B$5:$B$31,0),MATCH('Ultimate - MPM only'!$B15,'Plan Figures'!$B$1:$AP$1,0))</f>
        <v>7198457.7531405166</v>
      </c>
      <c r="AD15" s="31">
        <f>INDEX('Plan Figures'!$B$5:$AP$42,MATCH('Ultimate - MPM only'!AD$4,'Plan Figures'!$B$5:$B$42,0),MATCH('Ultimate - MPM only'!$B15,'Plan Figures'!$B$1:$AP$1,0))</f>
        <v>7198457.7531405166</v>
      </c>
      <c r="AE15" s="31">
        <f>INDEX('Plan Figures'!$B$5:$AP$42,MATCH('Ultimate - MPM only'!AE$4,'Plan Figures'!$B$5:$B$42,0),MATCH('Ultimate - MPM only'!$B15,'Plan Figures'!$B$1:$AP$1,0))</f>
        <v>7198457.7531405166</v>
      </c>
      <c r="AF15" s="31">
        <f>INDEX('Plan Figures'!$B$5:$AP$42,MATCH('Ultimate - MPM only'!AF$4,'Plan Figures'!$B$5:$B$42,0),MATCH('Ultimate - MPM only'!$B15,'Plan Figures'!$B$1:$AP$1,0))</f>
        <v>7198457.7531405166</v>
      </c>
      <c r="AG15" s="31">
        <f>INDEX('Plan Figures'!$B$5:$AP$42,MATCH('Ultimate - MPM only'!AG$4,'Plan Figures'!$B$5:$B$42,0),MATCH('Ultimate - MPM only'!$B15,'Plan Figures'!$B$1:$AP$1,0))</f>
        <v>7199202.3378039943</v>
      </c>
      <c r="AH15" s="31">
        <f>INDEX('Plan Figures'!$B$5:$AP$42,MATCH('Ultimate - MPM only'!AH$4,'Plan Figures'!$B$5:$B$42,0),MATCH('Ultimate - MPM only'!$B15,'Plan Figures'!$B$1:$AP$1,0))</f>
        <v>7318060.3548614709</v>
      </c>
      <c r="AI15" s="31">
        <f>INDEX('Plan Figures'!$B$5:$AP$42,MATCH('Ultimate - MPM only'!AI$4,'Plan Figures'!$B$5:$B$42,0),MATCH('Ultimate - MPM only'!$B15,'Plan Figures'!$B$1:$AP$1,0))</f>
        <v>5702770.0132108573</v>
      </c>
      <c r="AJ15" s="31">
        <f>INDEX('Plan Figures'!$B$5:$AP$42,MATCH('Ultimate - MPM only'!AJ$4,'Plan Figures'!$B$5:$B$42,0),MATCH('Ultimate - MPM only'!$B15,'Plan Figures'!$B$1:$AP$1,0))</f>
        <v>5426956.6830632938</v>
      </c>
      <c r="AK15" s="31">
        <f>INDEX('Plan Figures'!$B$5:$AP$42,MATCH('Ultimate - MPM only'!AK$4,'Plan Figures'!$B$5:$B$42,0),MATCH('Ultimate - MPM only'!$B15,'Plan Figures'!$B$1:$AP$1,0))</f>
        <v>6638651.4077064805</v>
      </c>
      <c r="AL15" s="31">
        <f>INDEX('Plan Figures'!$B$5:$AP$42,MATCH('Ultimate - MPM only'!AL$4,'Plan Figures'!$B$5:$B$42,0),MATCH('Ultimate - MPM only'!$B15,'Plan Figures'!$B$1:$AP$1,0))</f>
        <v>6810173.3330016024</v>
      </c>
      <c r="AM15" s="31">
        <f>INDEX('Plan Figures'!$B$5:$AP$42,MATCH('Ultimate - MPM only'!AM$4,'Plan Figures'!$B$5:$B$42,0),MATCH('Ultimate - MPM only'!$B15,'Plan Figures'!$B$1:$AP$1,0))</f>
        <v>5567465.9289929308</v>
      </c>
      <c r="AN15" s="266">
        <f>INDEX('Plan Figures'!$B$5:$AP$42,MATCH('Ultimate - MPM only'!AN$4,'Plan Figures'!$B$5:$B$42,0),MATCH('Ultimate - MPM only'!$B15,'Plan Figures'!$B$1:$AP$1,0))</f>
        <v>4824288.6394563289</v>
      </c>
      <c r="AO15" s="239">
        <f t="shared" si="15"/>
        <v>4249849.5641229032</v>
      </c>
      <c r="AP15" s="31">
        <f t="shared" ref="AP15:AP16" si="16">AVERAGE(R15:AC15)</f>
        <v>4249849.5641229032</v>
      </c>
      <c r="AQ15" s="240">
        <f>SUMIFS(AC15:AN15,AC$4:AN$4,"&lt;"&amp;'Title Sheet'!$C$13)</f>
        <v>78281399.710659012</v>
      </c>
    </row>
    <row r="16" spans="2:44" ht="15.75" hidden="1" x14ac:dyDescent="0.25">
      <c r="B16" t="str">
        <f t="shared" si="4"/>
        <v>PC Annual Direct</v>
      </c>
      <c r="D16" s="213" t="s">
        <v>0</v>
      </c>
      <c r="E16" s="214" t="str">
        <f t="shared" ref="E16:AN16" si="17">IFERROR(IF(E14=0,"-",(E14/E15)-1),"-")</f>
        <v>-</v>
      </c>
      <c r="F16" s="214" t="str">
        <f t="shared" si="17"/>
        <v>-</v>
      </c>
      <c r="G16" s="214" t="str">
        <f t="shared" si="17"/>
        <v>-</v>
      </c>
      <c r="H16" s="214" t="str">
        <f t="shared" si="17"/>
        <v>-</v>
      </c>
      <c r="I16" s="214" t="str">
        <f t="shared" si="17"/>
        <v>-</v>
      </c>
      <c r="J16" s="214" t="str">
        <f t="shared" si="17"/>
        <v>-</v>
      </c>
      <c r="K16" s="214" t="str">
        <f t="shared" si="17"/>
        <v>-</v>
      </c>
      <c r="L16" s="214" t="str">
        <f t="shared" si="17"/>
        <v>-</v>
      </c>
      <c r="M16" s="214" t="str">
        <f t="shared" si="17"/>
        <v>-</v>
      </c>
      <c r="N16" s="214" t="str">
        <f t="shared" si="17"/>
        <v>-</v>
      </c>
      <c r="O16" s="214" t="str">
        <f t="shared" si="17"/>
        <v>-</v>
      </c>
      <c r="P16" s="270" t="str">
        <f t="shared" si="17"/>
        <v>-</v>
      </c>
      <c r="Q16" s="214" t="str">
        <f t="shared" si="17"/>
        <v>-</v>
      </c>
      <c r="R16" s="214" t="str">
        <f t="shared" si="17"/>
        <v>-</v>
      </c>
      <c r="S16" s="214" t="str">
        <f t="shared" si="17"/>
        <v>-</v>
      </c>
      <c r="T16" s="214" t="str">
        <f t="shared" si="17"/>
        <v>-</v>
      </c>
      <c r="U16" s="214" t="str">
        <f t="shared" si="17"/>
        <v>-</v>
      </c>
      <c r="V16" s="214" t="str">
        <f t="shared" si="17"/>
        <v>-</v>
      </c>
      <c r="W16" s="214" t="str">
        <f t="shared" si="17"/>
        <v>-</v>
      </c>
      <c r="X16" s="214" t="str">
        <f t="shared" si="17"/>
        <v>-</v>
      </c>
      <c r="Y16" s="214" t="str">
        <f t="shared" si="17"/>
        <v>-</v>
      </c>
      <c r="Z16" s="214" t="str">
        <f t="shared" si="17"/>
        <v>-</v>
      </c>
      <c r="AA16" s="214">
        <f t="shared" si="17"/>
        <v>0.4224227860590466</v>
      </c>
      <c r="AB16" s="270">
        <f t="shared" si="17"/>
        <v>0.34983915907695495</v>
      </c>
      <c r="AC16" s="214">
        <f t="shared" si="17"/>
        <v>-0.48143408426187251</v>
      </c>
      <c r="AD16" s="214">
        <f t="shared" si="17"/>
        <v>-0.57367631892525384</v>
      </c>
      <c r="AE16" s="214">
        <f t="shared" si="17"/>
        <v>-0.45713170191064201</v>
      </c>
      <c r="AF16" s="214">
        <f t="shared" si="17"/>
        <v>-0.47177939077748532</v>
      </c>
      <c r="AG16" s="214">
        <f t="shared" si="17"/>
        <v>-0.45262417427124224</v>
      </c>
      <c r="AH16" s="214">
        <f t="shared" si="17"/>
        <v>-0.50934255060376921</v>
      </c>
      <c r="AI16" s="214">
        <f t="shared" si="17"/>
        <v>-0.36266588630738084</v>
      </c>
      <c r="AJ16" s="214">
        <f t="shared" si="17"/>
        <v>-0.67424590729370082</v>
      </c>
      <c r="AK16" s="214" t="str">
        <f t="shared" si="17"/>
        <v>-</v>
      </c>
      <c r="AL16" s="214" t="str">
        <f t="shared" si="17"/>
        <v>-</v>
      </c>
      <c r="AM16" s="214" t="str">
        <f t="shared" si="17"/>
        <v>-</v>
      </c>
      <c r="AN16" s="270" t="str">
        <f t="shared" si="17"/>
        <v>-</v>
      </c>
      <c r="AO16" s="274">
        <f t="shared" si="15"/>
        <v>9.6942620291376347E-2</v>
      </c>
      <c r="AP16" s="275">
        <f t="shared" si="16"/>
        <v>9.6942620291376347E-2</v>
      </c>
      <c r="AQ16" s="276">
        <f t="shared" ref="AQ16" si="18">IFERROR(IF(AQ14=0,"-",(AQ14/AQ15)-1),"-")</f>
        <v>-0.64939705256263514</v>
      </c>
    </row>
    <row r="17" spans="1:43" x14ac:dyDescent="0.25">
      <c r="B17" t="str">
        <f t="shared" si="4"/>
        <v>PC Annual Direct</v>
      </c>
      <c r="D17" s="258" t="s">
        <v>17</v>
      </c>
      <c r="E17" s="259"/>
      <c r="F17" s="259"/>
      <c r="G17" s="259"/>
      <c r="H17" s="259"/>
      <c r="I17" s="259"/>
      <c r="J17" s="259"/>
      <c r="K17" s="259"/>
      <c r="L17" s="259"/>
      <c r="M17" s="259"/>
      <c r="N17" s="259"/>
      <c r="O17" s="259"/>
      <c r="P17" s="267"/>
      <c r="Q17" s="259"/>
      <c r="R17" s="259"/>
      <c r="S17" s="259"/>
      <c r="T17" s="259"/>
      <c r="U17" s="259"/>
      <c r="V17" s="259"/>
      <c r="W17" s="259"/>
      <c r="X17" s="259"/>
      <c r="Y17" s="259"/>
      <c r="Z17" s="259"/>
      <c r="AA17" s="259"/>
      <c r="AB17" s="267"/>
      <c r="AC17" s="259"/>
      <c r="AD17" s="259"/>
      <c r="AE17" s="259"/>
      <c r="AF17" s="259"/>
      <c r="AG17" s="259"/>
      <c r="AH17" s="259"/>
      <c r="AI17" s="259"/>
      <c r="AJ17" s="259"/>
      <c r="AK17" s="259"/>
      <c r="AL17" s="259"/>
      <c r="AM17" s="259"/>
      <c r="AN17" s="267"/>
      <c r="AO17" s="277"/>
      <c r="AP17" s="277"/>
      <c r="AQ17" s="278"/>
    </row>
    <row r="18" spans="1:43" ht="16.5" thickBot="1" x14ac:dyDescent="0.3">
      <c r="D18" s="260" t="s">
        <v>198</v>
      </c>
      <c r="E18" s="261"/>
      <c r="F18" s="261"/>
      <c r="G18" s="261"/>
      <c r="H18" s="261"/>
      <c r="I18" s="261"/>
      <c r="J18" s="261"/>
      <c r="K18" s="261"/>
      <c r="L18" s="261"/>
      <c r="M18" s="261"/>
      <c r="N18" s="261"/>
      <c r="O18" s="261"/>
      <c r="P18" s="268"/>
      <c r="Q18" s="261"/>
      <c r="R18" s="261"/>
      <c r="S18" s="261"/>
      <c r="T18" s="261"/>
      <c r="U18" s="261"/>
      <c r="V18" s="261"/>
      <c r="W18" s="261"/>
      <c r="X18" s="261"/>
      <c r="Y18" s="261"/>
      <c r="Z18" s="261"/>
      <c r="AA18" s="261"/>
      <c r="AB18" s="268"/>
      <c r="AC18" s="261"/>
      <c r="AD18" s="261"/>
      <c r="AE18" s="261"/>
      <c r="AF18" s="261"/>
      <c r="AG18" s="261"/>
      <c r="AH18" s="261"/>
      <c r="AI18" s="261"/>
      <c r="AJ18" s="261"/>
      <c r="AK18" s="261"/>
      <c r="AL18" s="261"/>
      <c r="AM18" s="261"/>
      <c r="AN18" s="268"/>
      <c r="AO18" s="261"/>
      <c r="AP18" s="261"/>
      <c r="AQ18" s="262"/>
    </row>
    <row r="20" spans="1:43" ht="15.75" thickBot="1" x14ac:dyDescent="0.3"/>
    <row r="21" spans="1:43" ht="18.75" outlineLevel="1" x14ac:dyDescent="0.25">
      <c r="D21" s="255" t="s">
        <v>183</v>
      </c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63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63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63"/>
      <c r="AO21" s="202"/>
      <c r="AP21" s="202"/>
      <c r="AQ21" s="233"/>
    </row>
    <row r="22" spans="1:43" outlineLevel="1" x14ac:dyDescent="0.25">
      <c r="D22" s="204"/>
      <c r="E22" s="200" t="s">
        <v>237</v>
      </c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64"/>
      <c r="Q22" s="200"/>
      <c r="R22" s="200"/>
      <c r="S22" s="200"/>
      <c r="T22" s="200"/>
      <c r="U22" s="200"/>
      <c r="V22" s="200"/>
      <c r="W22" s="200"/>
      <c r="X22" s="200"/>
      <c r="Y22" s="200"/>
      <c r="Z22" s="200"/>
      <c r="AA22" s="200"/>
      <c r="AB22" s="264"/>
      <c r="AC22" s="200"/>
      <c r="AD22" s="200"/>
      <c r="AE22" s="200"/>
      <c r="AF22" s="200"/>
      <c r="AG22" s="200"/>
      <c r="AH22" s="200"/>
      <c r="AI22" s="200"/>
      <c r="AJ22" s="200"/>
      <c r="AK22" s="200"/>
      <c r="AL22" s="200"/>
      <c r="AM22" s="200"/>
      <c r="AN22" s="264"/>
      <c r="AO22" s="510" t="s">
        <v>8</v>
      </c>
      <c r="AP22" s="511"/>
      <c r="AQ22" s="512"/>
    </row>
    <row r="23" spans="1:43" outlineLevel="1" x14ac:dyDescent="0.25">
      <c r="D23" s="256" t="s">
        <v>16</v>
      </c>
      <c r="E23" s="285">
        <f t="shared" ref="E23:AN23" si="19">E$4</f>
        <v>44562</v>
      </c>
      <c r="F23" s="285">
        <f t="shared" si="19"/>
        <v>44593</v>
      </c>
      <c r="G23" s="285">
        <f t="shared" si="19"/>
        <v>44621</v>
      </c>
      <c r="H23" s="285">
        <f t="shared" si="19"/>
        <v>44652</v>
      </c>
      <c r="I23" s="285">
        <f t="shared" si="19"/>
        <v>44682</v>
      </c>
      <c r="J23" s="285">
        <f t="shared" si="19"/>
        <v>44713</v>
      </c>
      <c r="K23" s="285">
        <f t="shared" si="19"/>
        <v>44743</v>
      </c>
      <c r="L23" s="285">
        <f t="shared" si="19"/>
        <v>44774</v>
      </c>
      <c r="M23" s="285">
        <f t="shared" si="19"/>
        <v>44805</v>
      </c>
      <c r="N23" s="285">
        <f t="shared" si="19"/>
        <v>44835</v>
      </c>
      <c r="O23" s="285">
        <f t="shared" si="19"/>
        <v>44866</v>
      </c>
      <c r="P23" s="286">
        <f t="shared" si="19"/>
        <v>44896</v>
      </c>
      <c r="Q23" s="285">
        <f t="shared" si="19"/>
        <v>44927</v>
      </c>
      <c r="R23" s="285">
        <f t="shared" si="19"/>
        <v>44958</v>
      </c>
      <c r="S23" s="285">
        <f t="shared" si="19"/>
        <v>44986</v>
      </c>
      <c r="T23" s="285">
        <f t="shared" si="19"/>
        <v>45017</v>
      </c>
      <c r="U23" s="285">
        <f t="shared" si="19"/>
        <v>45047</v>
      </c>
      <c r="V23" s="285">
        <f t="shared" si="19"/>
        <v>45078</v>
      </c>
      <c r="W23" s="285">
        <f t="shared" si="19"/>
        <v>45108</v>
      </c>
      <c r="X23" s="285">
        <f t="shared" si="19"/>
        <v>45139</v>
      </c>
      <c r="Y23" s="285">
        <f t="shared" si="19"/>
        <v>45170</v>
      </c>
      <c r="Z23" s="285">
        <f t="shared" si="19"/>
        <v>45200</v>
      </c>
      <c r="AA23" s="285">
        <f t="shared" si="19"/>
        <v>45231</v>
      </c>
      <c r="AB23" s="286">
        <f t="shared" si="19"/>
        <v>45261</v>
      </c>
      <c r="AC23" s="285">
        <f t="shared" si="19"/>
        <v>45292</v>
      </c>
      <c r="AD23" s="285">
        <f t="shared" si="19"/>
        <v>45323</v>
      </c>
      <c r="AE23" s="285">
        <f t="shared" si="19"/>
        <v>45352</v>
      </c>
      <c r="AF23" s="285">
        <f t="shared" si="19"/>
        <v>45383</v>
      </c>
      <c r="AG23" s="285">
        <f t="shared" si="19"/>
        <v>45413</v>
      </c>
      <c r="AH23" s="285">
        <f t="shared" si="19"/>
        <v>45444</v>
      </c>
      <c r="AI23" s="285">
        <f t="shared" si="19"/>
        <v>45474</v>
      </c>
      <c r="AJ23" s="285">
        <f t="shared" si="19"/>
        <v>45505</v>
      </c>
      <c r="AK23" s="285">
        <f t="shared" si="19"/>
        <v>45536</v>
      </c>
      <c r="AL23" s="285">
        <f t="shared" si="19"/>
        <v>45566</v>
      </c>
      <c r="AM23" s="285">
        <f t="shared" si="19"/>
        <v>45597</v>
      </c>
      <c r="AN23" s="286">
        <f t="shared" si="19"/>
        <v>45627</v>
      </c>
      <c r="AO23" s="271" t="str">
        <f>AO4</f>
        <v>Last 3 Months</v>
      </c>
      <c r="AP23" s="272" t="str">
        <f>AP4</f>
        <v>Last Year</v>
      </c>
      <c r="AQ23" s="273" t="s">
        <v>346</v>
      </c>
    </row>
    <row r="24" spans="1:43" ht="15.75" outlineLevel="1" x14ac:dyDescent="0.25">
      <c r="A24">
        <v>5</v>
      </c>
      <c r="B24" t="str">
        <f>$D$2</f>
        <v>PC Annual Direct</v>
      </c>
      <c r="C24" t="s">
        <v>72</v>
      </c>
      <c r="D24" s="208" t="s">
        <v>316</v>
      </c>
      <c r="E24" s="209" t="e">
        <f>'Current - Sales, NWP, GWP'!E25/VLOOKUP(COUNTA(E$4:$AC$4),'Dev Patterns'!$B$6:$F$22,$A24,0)</f>
        <v>#N/A</v>
      </c>
      <c r="F24" s="209"/>
      <c r="G24" s="209"/>
      <c r="H24" s="209"/>
      <c r="I24" s="209"/>
      <c r="J24" s="209"/>
      <c r="K24" s="209"/>
      <c r="L24" s="209"/>
      <c r="M24" s="209"/>
      <c r="N24" s="209"/>
      <c r="O24" s="209"/>
      <c r="P24" s="265"/>
      <c r="Q24" s="209"/>
      <c r="R24" s="209">
        <f>'Current - Sales, NWP, GWP'!R25/VLOOKUP(COUNTA(R$4:$AC$4),'Dev Patterns'!$B$6:$F$22,$A24,0)</f>
        <v>2938.5353979168267</v>
      </c>
      <c r="S24" s="209">
        <f>'Current - Sales, NWP, GWP'!S25/VLOOKUP(COUNTA(S$4:$AC$4),'Dev Patterns'!$B$6:$F$22,$A24,0)</f>
        <v>4715.7378493460346</v>
      </c>
      <c r="T24" s="209">
        <f>'Current - Sales, NWP, GWP'!T25/VLOOKUP(COUNTA(T$4:$AC$4),'Dev Patterns'!$B$6:$F$22,$A24,0)</f>
        <v>4802.9919740674686</v>
      </c>
      <c r="U24" s="209">
        <f>'Current - Sales, NWP, GWP'!U25/VLOOKUP(COUNTA(U$4:$AC$4),'Dev Patterns'!$B$6:$F$22,$A24,0)</f>
        <v>4799.7063501888488</v>
      </c>
      <c r="V24" s="209">
        <f>'Current - Sales, NWP, GWP'!V25/VLOOKUP(COUNTA(V$4:$AC$4),'Dev Patterns'!$B$6:$F$22,$A24,0)</f>
        <v>4057.4519800839817</v>
      </c>
      <c r="W24" s="209">
        <f>'Current - Sales, NWP, GWP'!W25/VLOOKUP(COUNTA(W$4:$AC$4),'Dev Patterns'!$B$6:$F$22,$A24,0)</f>
        <v>3369.487882670539</v>
      </c>
      <c r="X24" s="209">
        <f>'Current - Sales, NWP, GWP'!X25/VLOOKUP(COUNTA(X$4:$AC$4),'Dev Patterns'!$B$6:$F$22,$A24,0)</f>
        <v>2929.1183773998309</v>
      </c>
      <c r="Y24" s="209">
        <f>'Current - Sales, NWP, GWP'!Y25/VLOOKUP(COUNTA(Y$4:$AC$4),'Dev Patterns'!$B$6:$F$22,$A24,0)</f>
        <v>2720.1389136650396</v>
      </c>
      <c r="Z24" s="209">
        <f>'Current - Sales, NWP, GWP'!Z25/VLOOKUP(COUNTA(Z$4:$AC$4),'Dev Patterns'!$B$6:$F$22,$A24,0)</f>
        <v>2696.9641022523706</v>
      </c>
      <c r="AA24" s="209">
        <f>'Current - Sales, NWP, GWP'!AA25/VLOOKUP(COUNTA(AA$4:$AC$4),'Dev Patterns'!$B$6:$F$22,$A24,0)</f>
        <v>2938.2063195241076</v>
      </c>
      <c r="AB24" s="265">
        <f>'Current - Sales, NWP, GWP'!AB25/VLOOKUP(COUNTA(AB$4:$AC$4),'Dev Patterns'!$B$6:$F$22,$A24,0)</f>
        <v>3019.9866459152445</v>
      </c>
      <c r="AC24" s="209">
        <f>'Current - Sales, NWP, GWP'!AC25/VLOOKUP(COUNTA(AC$4:$AC$4),'Dev Patterns'!$B$6:$F$22,$A24,0)</f>
        <v>3212.5373991154825</v>
      </c>
      <c r="AD24" s="209">
        <f>'Current - Sales, NWP, GWP'!AD25/VLOOKUP(COUNTA($AC$4:AD$4),'Dev Patterns'!$B$6:$F$22,$A24,0)</f>
        <v>2696.5156165180279</v>
      </c>
      <c r="AE24" s="209">
        <f>'Current - Sales, NWP, GWP'!AE25/VLOOKUP(COUNTA($AC$4:AE$4),'Dev Patterns'!$B$6:$F$22,$A24,0)</f>
        <v>3457.7320258545496</v>
      </c>
      <c r="AF24" s="209">
        <f>'Current - Sales, NWP, GWP'!AF25/VLOOKUP(COUNTA($AC$4:AF$4),'Dev Patterns'!$B$6:$F$22,$A24,0)</f>
        <v>3535.0185602772344</v>
      </c>
      <c r="AG24" s="209">
        <f>'Current - Sales, NWP, GWP'!AG25/VLOOKUP(COUNTA($AC$4:AG$4),'Dev Patterns'!$B$6:$F$22,$A24,0)</f>
        <v>3612.0403078181857</v>
      </c>
      <c r="AH24" s="209">
        <f>'Current - Sales, NWP, GWP'!AH25/VLOOKUP(COUNTA($AC$4:AH$4),'Dev Patterns'!$B$6:$F$22,$A24,0)</f>
        <v>3305.444238129995</v>
      </c>
      <c r="AI24" s="209">
        <f>'Current - Sales, NWP, GWP'!AI25/VLOOKUP(COUNTA($AC$4:AI$4),'Dev Patterns'!$B$6:$F$22,$A24,0)</f>
        <v>3248.9059966048685</v>
      </c>
      <c r="AJ24" s="209">
        <f>'Current - Sales, NWP, GWP'!AJ25/VLOOKUP(COUNTA($AC$4:AJ$4),'Dev Patterns'!$B$6:$F$22,$A24,0)</f>
        <v>1497.775779747225</v>
      </c>
      <c r="AK24" s="209">
        <f>'Current - Sales, NWP, GWP'!AK25/VLOOKUP(COUNTA($AC$4:AK$4),'Dev Patterns'!$B$6:$F$22,$A24,0)</f>
        <v>0</v>
      </c>
      <c r="AL24" s="209">
        <f>'Current - Sales, NWP, GWP'!AL25/VLOOKUP(COUNTA($AC$4:AL$4),'Dev Patterns'!$B$6:$F$22,$A24,0)</f>
        <v>0</v>
      </c>
      <c r="AM24" s="209">
        <f>'Current - Sales, NWP, GWP'!AM25/VLOOKUP(COUNTA($AC$4:AM$4),'Dev Patterns'!$B$6:$F$22,$A24,0)</f>
        <v>0</v>
      </c>
      <c r="AN24" s="265">
        <f>'Current - Sales, NWP, GWP'!AN25/VLOOKUP(COUNTA($AC$4:AN$4),'Dev Patterns'!$B$6:$F$22,$A24,0)</f>
        <v>0</v>
      </c>
      <c r="AO24" s="237">
        <f t="shared" ref="AO24:AO29" si="20">AVERAGE(Z24:AC24)</f>
        <v>2966.9236167018012</v>
      </c>
      <c r="AP24" s="209">
        <f>AVERAGE(R24:AC24)</f>
        <v>3516.7385993454814</v>
      </c>
      <c r="AQ24" s="238">
        <f>SUMIFS(AC24:AN24,AC$4:AN$4,"&lt;"&amp;'Title Sheet'!$C$13)</f>
        <v>24565.969924065572</v>
      </c>
    </row>
    <row r="25" spans="1:43" ht="15.75" hidden="1" outlineLevel="1" x14ac:dyDescent="0.25">
      <c r="B25" t="str">
        <f>$D$21&amp;"_W VYRs"</f>
        <v>PC Annual Direct - Annual_W VYRs</v>
      </c>
      <c r="C25" t="str">
        <f>$C24</f>
        <v>Boom Annual</v>
      </c>
      <c r="D25" s="211" t="s">
        <v>317</v>
      </c>
      <c r="E25" s="31" t="e">
        <f>INDEX('Plan Figures'!$B$5:$AP$31,MATCH('Ultimate - MPM only'!E$4,'Plan Figures'!$B$5:$B$31,0),MATCH('Ultimate - MPM only'!$B25,'Plan Figures'!$B$1:$AP$1,0))</f>
        <v>#N/A</v>
      </c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266"/>
      <c r="Q25" s="31"/>
      <c r="R25" s="31" t="str">
        <f>INDEX('Plan Figures'!$B$5:$AP$31,MATCH('Ultimate - MPM only'!R$4,'Plan Figures'!$B$5:$B$31,0),MATCH('Ultimate - MPM only'!$B25,'Plan Figures'!$B$1:$AP$1,0))</f>
        <v>-</v>
      </c>
      <c r="S25" s="31" t="str">
        <f>INDEX('Plan Figures'!$B$5:$AP$31,MATCH('Ultimate - MPM only'!S$4,'Plan Figures'!$B$5:$B$31,0),MATCH('Ultimate - MPM only'!$B25,'Plan Figures'!$B$1:$AP$1,0))</f>
        <v>-</v>
      </c>
      <c r="T25" s="31" t="str">
        <f>INDEX('Plan Figures'!$B$5:$AP$31,MATCH('Ultimate - MPM only'!T$4,'Plan Figures'!$B$5:$B$31,0),MATCH('Ultimate - MPM only'!$B25,'Plan Figures'!$B$1:$AP$1,0))</f>
        <v>-</v>
      </c>
      <c r="U25" s="31" t="str">
        <f>INDEX('Plan Figures'!$B$5:$AP$31,MATCH('Ultimate - MPM only'!U$4,'Plan Figures'!$B$5:$B$31,0),MATCH('Ultimate - MPM only'!$B25,'Plan Figures'!$B$1:$AP$1,0))</f>
        <v>-</v>
      </c>
      <c r="V25" s="31" t="str">
        <f>INDEX('Plan Figures'!$B$5:$AP$31,MATCH('Ultimate - MPM only'!V$4,'Plan Figures'!$B$5:$B$31,0),MATCH('Ultimate - MPM only'!$B25,'Plan Figures'!$B$1:$AP$1,0))</f>
        <v>-</v>
      </c>
      <c r="W25" s="31" t="str">
        <f>INDEX('Plan Figures'!$B$5:$AP$31,MATCH('Ultimate - MPM only'!W$4,'Plan Figures'!$B$5:$B$31,0),MATCH('Ultimate - MPM only'!$B25,'Plan Figures'!$B$1:$AP$1,0))</f>
        <v>-</v>
      </c>
      <c r="X25" s="31" t="str">
        <f>INDEX('Plan Figures'!$B$5:$AP$31,MATCH('Ultimate - MPM only'!X$4,'Plan Figures'!$B$5:$B$31,0),MATCH('Ultimate - MPM only'!$B25,'Plan Figures'!$B$1:$AP$1,0))</f>
        <v>-</v>
      </c>
      <c r="Y25" s="31" t="str">
        <f>INDEX('Plan Figures'!$B$5:$AP$31,MATCH('Ultimate - MPM only'!Y$4,'Plan Figures'!$B$5:$B$31,0),MATCH('Ultimate - MPM only'!$B25,'Plan Figures'!$B$1:$AP$1,0))</f>
        <v>-</v>
      </c>
      <c r="Z25" s="31" t="str">
        <f>INDEX('Plan Figures'!$B$5:$AP$31,MATCH('Ultimate - MPM only'!Z$4,'Plan Figures'!$B$5:$B$31,0),MATCH('Ultimate - MPM only'!$B25,'Plan Figures'!$B$1:$AP$1,0))</f>
        <v>-</v>
      </c>
      <c r="AA25" s="31">
        <f>INDEX('Plan Figures'!$B$5:$AP$31,MATCH('Ultimate - MPM only'!AA$4,'Plan Figures'!$B$5:$B$31,0),MATCH('Ultimate - MPM only'!$B25,'Plan Figures'!$B$1:$AP$1,0))</f>
        <v>1113.4200697273855</v>
      </c>
      <c r="AB25" s="266">
        <f>INDEX('Plan Figures'!$B$5:$AP$31,MATCH('Ultimate - MPM only'!AB$4,'Plan Figures'!$B$5:$B$31,0),MATCH('Ultimate - MPM only'!$B25,'Plan Figures'!$B$1:$AP$1,0))</f>
        <v>989.67431218271486</v>
      </c>
      <c r="AC25" s="31">
        <f>INDEX('Plan Figures'!$B$5:$AP$31,MATCH('Ultimate - MPM only'!AC$4,'Plan Figures'!$B$5:$B$31,0),MATCH('Ultimate - MPM only'!$B25,'Plan Figures'!$B$1:$AP$1,0))</f>
        <v>1210.5482166933789</v>
      </c>
      <c r="AD25" s="31">
        <f>INDEX('Plan Figures'!$B$5:$AP$42,MATCH('Ultimate - MPM only'!AD$4,'Plan Figures'!$B$5:$B$42,0),MATCH('Ultimate - MPM only'!$B25,'Plan Figures'!$B$1:$AP$1,0))</f>
        <v>1208.1319527878034</v>
      </c>
      <c r="AE25" s="31">
        <f>INDEX('Plan Figures'!$B$5:$AP$42,MATCH('Ultimate - MPM only'!AE$4,'Plan Figures'!$B$5:$B$42,0),MATCH('Ultimate - MPM only'!$B25,'Plan Figures'!$B$1:$AP$1,0))</f>
        <v>1205.7205117642748</v>
      </c>
      <c r="AF25" s="31">
        <f>INDEX('Plan Figures'!$B$5:$AP$42,MATCH('Ultimate - MPM only'!AF$4,'Plan Figures'!$B$5:$B$42,0),MATCH('Ultimate - MPM only'!$B25,'Plan Figures'!$B$1:$AP$1,0))</f>
        <v>1203.3138839962821</v>
      </c>
      <c r="AG25" s="31">
        <f>INDEX('Plan Figures'!$B$5:$AP$42,MATCH('Ultimate - MPM only'!AG$4,'Plan Figures'!$B$5:$B$42,0),MATCH('Ultimate - MPM only'!$B25,'Plan Figures'!$B$1:$AP$1,0))</f>
        <v>1201.0207575202833</v>
      </c>
      <c r="AH25" s="31">
        <f>INDEX('Plan Figures'!$B$5:$AP$42,MATCH('Ultimate - MPM only'!AH$4,'Plan Figures'!$B$5:$B$42,0),MATCH('Ultimate - MPM only'!$B25,'Plan Figures'!$B$1:$AP$1,0))</f>
        <v>1228.875833502128</v>
      </c>
      <c r="AI25" s="31">
        <f>INDEX('Plan Figures'!$B$5:$AP$42,MATCH('Ultimate - MPM only'!AI$4,'Plan Figures'!$B$5:$B$42,0),MATCH('Ultimate - MPM only'!$B25,'Plan Figures'!$B$1:$AP$1,0))</f>
        <v>1163.6668411466933</v>
      </c>
      <c r="AJ25" s="31">
        <f>INDEX('Plan Figures'!$B$5:$AP$42,MATCH('Ultimate - MPM only'!AJ$4,'Plan Figures'!$B$5:$B$42,0),MATCH('Ultimate - MPM only'!$B25,'Plan Figures'!$B$1:$AP$1,0))</f>
        <v>1142.8043600541273</v>
      </c>
      <c r="AK25" s="31">
        <f>INDEX('Plan Figures'!$B$5:$AP$42,MATCH('Ultimate - MPM only'!AK$4,'Plan Figures'!$B$5:$B$42,0),MATCH('Ultimate - MPM only'!$B25,'Plan Figures'!$B$1:$AP$1,0))</f>
        <v>1583.4171745261115</v>
      </c>
      <c r="AL25" s="31">
        <f>INDEX('Plan Figures'!$B$5:$AP$42,MATCH('Ultimate - MPM only'!AL$4,'Plan Figures'!$B$5:$B$42,0),MATCH('Ultimate - MPM only'!$B25,'Plan Figures'!$B$1:$AP$1,0))</f>
        <v>1633.4199796082153</v>
      </c>
      <c r="AM25" s="31">
        <f>INDEX('Plan Figures'!$B$5:$AP$42,MATCH('Ultimate - MPM only'!AM$4,'Plan Figures'!$B$5:$B$42,0),MATCH('Ultimate - MPM only'!$B25,'Plan Figures'!$B$1:$AP$1,0))</f>
        <v>1421.9431064527189</v>
      </c>
      <c r="AN25" s="266">
        <f>INDEX('Plan Figures'!$B$5:$AP$42,MATCH('Ultimate - MPM only'!AN$4,'Plan Figures'!$B$5:$B$42,0),MATCH('Ultimate - MPM only'!$B25,'Plan Figures'!$B$1:$AP$1,0))</f>
        <v>1292.0881451523526</v>
      </c>
      <c r="AO25" s="239">
        <f t="shared" si="20"/>
        <v>1104.5475328678265</v>
      </c>
      <c r="AP25" s="31">
        <f t="shared" ref="AP25:AP29" si="21">AVERAGE(R25:AC25)</f>
        <v>1104.5475328678265</v>
      </c>
      <c r="AQ25" s="240">
        <f>SUMIFS(AC25:AN25,AC$4:AN$4,"&lt;"&amp;'Title Sheet'!$C$13)</f>
        <v>15494.950763204368</v>
      </c>
    </row>
    <row r="26" spans="1:43" ht="15.75" hidden="1" outlineLevel="1" x14ac:dyDescent="0.25">
      <c r="B26" t="str">
        <f t="shared" ref="B26:B35" si="22">$D$2</f>
        <v>PC Annual Direct</v>
      </c>
      <c r="C26" t="str">
        <f t="shared" ref="C26:C35" si="23">$C25</f>
        <v>Boom Annual</v>
      </c>
      <c r="D26" s="213" t="s">
        <v>0</v>
      </c>
      <c r="E26" s="214" t="str">
        <f t="shared" ref="E26:AN26" si="24">IFERROR(IF(E24=0,"-",(E24/E25)-1),"-")</f>
        <v>-</v>
      </c>
      <c r="F26" s="214" t="str">
        <f t="shared" si="24"/>
        <v>-</v>
      </c>
      <c r="G26" s="214" t="str">
        <f t="shared" si="24"/>
        <v>-</v>
      </c>
      <c r="H26" s="214" t="str">
        <f t="shared" si="24"/>
        <v>-</v>
      </c>
      <c r="I26" s="214" t="str">
        <f t="shared" si="24"/>
        <v>-</v>
      </c>
      <c r="J26" s="214" t="str">
        <f t="shared" si="24"/>
        <v>-</v>
      </c>
      <c r="K26" s="214" t="str">
        <f t="shared" si="24"/>
        <v>-</v>
      </c>
      <c r="L26" s="214" t="str">
        <f t="shared" si="24"/>
        <v>-</v>
      </c>
      <c r="M26" s="214" t="str">
        <f t="shared" si="24"/>
        <v>-</v>
      </c>
      <c r="N26" s="214" t="str">
        <f t="shared" si="24"/>
        <v>-</v>
      </c>
      <c r="O26" s="214" t="str">
        <f t="shared" si="24"/>
        <v>-</v>
      </c>
      <c r="P26" s="270" t="str">
        <f t="shared" si="24"/>
        <v>-</v>
      </c>
      <c r="Q26" s="214" t="str">
        <f t="shared" si="24"/>
        <v>-</v>
      </c>
      <c r="R26" s="214" t="str">
        <f t="shared" si="24"/>
        <v>-</v>
      </c>
      <c r="S26" s="214" t="str">
        <f t="shared" si="24"/>
        <v>-</v>
      </c>
      <c r="T26" s="214" t="str">
        <f t="shared" si="24"/>
        <v>-</v>
      </c>
      <c r="U26" s="214" t="str">
        <f t="shared" si="24"/>
        <v>-</v>
      </c>
      <c r="V26" s="214" t="str">
        <f t="shared" si="24"/>
        <v>-</v>
      </c>
      <c r="W26" s="214" t="str">
        <f t="shared" si="24"/>
        <v>-</v>
      </c>
      <c r="X26" s="214" t="str">
        <f t="shared" si="24"/>
        <v>-</v>
      </c>
      <c r="Y26" s="214" t="str">
        <f t="shared" si="24"/>
        <v>-</v>
      </c>
      <c r="Z26" s="214" t="str">
        <f t="shared" si="24"/>
        <v>-</v>
      </c>
      <c r="AA26" s="214">
        <f t="shared" si="24"/>
        <v>1.6389018838536931</v>
      </c>
      <c r="AB26" s="270">
        <f t="shared" si="24"/>
        <v>2.0514954351545209</v>
      </c>
      <c r="AC26" s="214">
        <f t="shared" si="24"/>
        <v>1.6537872302935206</v>
      </c>
      <c r="AD26" s="214">
        <f t="shared" si="24"/>
        <v>1.2319711106851625</v>
      </c>
      <c r="AE26" s="214">
        <f t="shared" si="24"/>
        <v>1.8677724166730907</v>
      </c>
      <c r="AF26" s="214">
        <f t="shared" si="24"/>
        <v>1.9377360365337202</v>
      </c>
      <c r="AG26" s="214">
        <f t="shared" si="24"/>
        <v>2.0074753372921488</v>
      </c>
      <c r="AH26" s="214">
        <f t="shared" si="24"/>
        <v>1.6898114097580805</v>
      </c>
      <c r="AI26" s="214">
        <f t="shared" si="24"/>
        <v>1.7919554650224043</v>
      </c>
      <c r="AJ26" s="214">
        <f t="shared" si="24"/>
        <v>0.31061433793994708</v>
      </c>
      <c r="AK26" s="214" t="str">
        <f t="shared" si="24"/>
        <v>-</v>
      </c>
      <c r="AL26" s="214" t="str">
        <f t="shared" si="24"/>
        <v>-</v>
      </c>
      <c r="AM26" s="214" t="str">
        <f t="shared" si="24"/>
        <v>-</v>
      </c>
      <c r="AN26" s="270" t="str">
        <f t="shared" si="24"/>
        <v>-</v>
      </c>
      <c r="AO26" s="274">
        <f t="shared" si="20"/>
        <v>1.7813948497672449</v>
      </c>
      <c r="AP26" s="275">
        <f t="shared" si="21"/>
        <v>1.7813948497672449</v>
      </c>
      <c r="AQ26" s="276">
        <f t="shared" ref="AQ26" si="25">IFERROR(IF(AQ24=0,"-",(AQ24/AQ25)-1),"-")</f>
        <v>0.58541774668958735</v>
      </c>
    </row>
    <row r="27" spans="1:43" ht="15.75" outlineLevel="1" x14ac:dyDescent="0.25">
      <c r="A27">
        <v>4</v>
      </c>
      <c r="B27" t="str">
        <f t="shared" si="22"/>
        <v>PC Annual Direct</v>
      </c>
      <c r="C27" t="str">
        <f t="shared" si="23"/>
        <v>Boom Annual</v>
      </c>
      <c r="D27" s="208" t="s">
        <v>5</v>
      </c>
      <c r="E27" s="209">
        <f>'Current - MPM only'!E27/VLOOKUP(COUNTA(E$4:$AE$4),'Dev Patterns'!$B$6:$F$34,$A27,0)</f>
        <v>0</v>
      </c>
      <c r="F27" s="209">
        <f>'Current - MPM only'!F27/VLOOKUP(COUNTA(F$4:$AE$4),'Dev Patterns'!$B$6:$F$34,$A27,0)</f>
        <v>0</v>
      </c>
      <c r="G27" s="209">
        <f>'Current - MPM only'!G27/VLOOKUP(COUNTA(G$4:$AE$4),'Dev Patterns'!$B$6:$F$34,$A27,0)</f>
        <v>0</v>
      </c>
      <c r="H27" s="209">
        <f>'Current - MPM only'!H27/VLOOKUP(COUNTA(H$4:$AE$4),'Dev Patterns'!$B$6:$F$34,$A27,0)</f>
        <v>0</v>
      </c>
      <c r="I27" s="209">
        <f>'Current - MPM only'!I27/VLOOKUP(COUNTA(I$4:$AE$4),'Dev Patterns'!$B$6:$F$34,$A27,0)</f>
        <v>0</v>
      </c>
      <c r="J27" s="209">
        <f>'Current - MPM only'!J27/VLOOKUP(COUNTA(J$4:$AE$4),'Dev Patterns'!$B$6:$F$34,$A27,0)</f>
        <v>0</v>
      </c>
      <c r="K27" s="209">
        <f>'Current - MPM only'!K27/VLOOKUP(COUNTA(K$4:$AE$4),'Dev Patterns'!$B$6:$F$34,$A27,0)</f>
        <v>0</v>
      </c>
      <c r="L27" s="209">
        <f>'Current - MPM only'!L27/VLOOKUP(COUNTA(L$4:$AE$4),'Dev Patterns'!$B$6:$F$34,$A27,0)</f>
        <v>0</v>
      </c>
      <c r="M27" s="209">
        <f>'Current - MPM only'!M27/VLOOKUP(COUNTA(M$4:$AE$4),'Dev Patterns'!$B$6:$F$34,$A27,0)</f>
        <v>0</v>
      </c>
      <c r="N27" s="209">
        <f>'Current - MPM only'!N27/VLOOKUP(COUNTA(N$4:$AE$4),'Dev Patterns'!$B$6:$F$34,$A27,0)</f>
        <v>0</v>
      </c>
      <c r="O27" s="209">
        <f>'Current - MPM only'!O27/VLOOKUP(COUNTA(O$4:$AE$4),'Dev Patterns'!$B$6:$F$34,$A27,0)</f>
        <v>0</v>
      </c>
      <c r="P27" s="265">
        <f>'Current - MPM only'!P27/VLOOKUP(COUNTA(P$4:$AE$4),'Dev Patterns'!$B$6:$F$34,$A27,0)</f>
        <v>0</v>
      </c>
      <c r="Q27" s="209">
        <f>'Current - MPM only'!Q27/VLOOKUP(COUNTA(Q$4:$AE$4),'Dev Patterns'!$B$6:$F$34,$A27,0)</f>
        <v>0</v>
      </c>
      <c r="R27" s="209">
        <f>'Current - MPM only'!R27/VLOOKUP(COUNTA(R$4:$AE$4),'Dev Patterns'!$B$6:$F$34,$A27,0)</f>
        <v>0</v>
      </c>
      <c r="S27" s="209">
        <f>'Current - MPM only'!S27/VLOOKUP(COUNTA(S$4:$AE$4),'Dev Patterns'!$B$6:$F$34,$A27,0)</f>
        <v>0</v>
      </c>
      <c r="T27" s="209">
        <f>'Current - MPM only'!T27/VLOOKUP(COUNTA(T$4:$AE$4),'Dev Patterns'!$B$6:$F$34,$A27,0)</f>
        <v>0</v>
      </c>
      <c r="U27" s="209">
        <f>'Current - MPM only'!U27/VLOOKUP(COUNTA(U$4:$AE$4),'Dev Patterns'!$B$6:$F$34,$A27,0)</f>
        <v>40926.697830014491</v>
      </c>
      <c r="V27" s="209">
        <f>'Current - MPM only'!V27/VLOOKUP(COUNTA(V$4:$AE$4),'Dev Patterns'!$B$6:$F$34,$A27,0)</f>
        <v>944173.54270274728</v>
      </c>
      <c r="W27" s="209">
        <f>'Current - MPM only'!W27/VLOOKUP(COUNTA(W$4:$AE$4),'Dev Patterns'!$B$6:$F$34,$A27,0)</f>
        <v>893841.32841079542</v>
      </c>
      <c r="X27" s="209">
        <f>'Current - MPM only'!X27/VLOOKUP(COUNTA(X$4:$AE$4),'Dev Patterns'!$B$6:$F$34,$A27,0)</f>
        <v>1065535.4608737039</v>
      </c>
      <c r="Y27" s="209">
        <f>'Current - MPM only'!Y27/VLOOKUP(COUNTA(Y$4:$AE$4),'Dev Patterns'!$B$6:$F$34,$A27,0)</f>
        <v>1106835.9360740939</v>
      </c>
      <c r="Z27" s="209">
        <f>'Current - MPM only'!Z27/VLOOKUP(COUNTA(Z$4:$AE$4),'Dev Patterns'!$B$6:$F$34,$A27,0)</f>
        <v>1324138.2795783167</v>
      </c>
      <c r="AA27" s="209">
        <f>'Current - MPM only'!AA27/VLOOKUP(COUNTA(AA$4:$AE$4),'Dev Patterns'!$B$6:$F$34,$A27,0)</f>
        <v>1815546.5961625825</v>
      </c>
      <c r="AB27" s="265">
        <f>'Current - MPM only'!AB27/VLOOKUP(COUNTA(AB$4:$AE$4),'Dev Patterns'!$B$6:$F$34,$A27,0)</f>
        <v>1604794.8062612936</v>
      </c>
      <c r="AC27" s="209">
        <f>'Current - MPM only'!AC27/VLOOKUP(COUNTA(AC$4:$AE$4),'Dev Patterns'!$B$6:$F$34,$A27,0)</f>
        <v>2005334.057642132</v>
      </c>
      <c r="AD27" s="209">
        <f>'Current - MPM only'!AD27/VLOOKUP(COUNTA(AD$4:$AE$4),'Dev Patterns'!$B$6:$F$34,$A27,0)</f>
        <v>3419751.6490699621</v>
      </c>
      <c r="AE27" s="209">
        <f>'Current - MPM only'!AE27/VLOOKUP(COUNTA(AE$4:$AE$4),'Dev Patterns'!$B$6:$F$34,$A27,0)</f>
        <v>5616000.0935569359</v>
      </c>
      <c r="AF27" s="209">
        <f>'Current - MPM only'!AF27/VLOOKUP(COUNTA($AE$4:AF$4),'Dev Patterns'!$B$6:$F$34,$A27,0)</f>
        <v>5113488.4224125771</v>
      </c>
      <c r="AG27" s="209">
        <f>'Current - MPM only'!AG27/VLOOKUP(COUNTA($AE$4:AG$4),'Dev Patterns'!$B$6:$F$34,$A27,0)</f>
        <v>4913178.8142812522</v>
      </c>
      <c r="AH27" s="209">
        <f>'Current - MPM only'!AH27/VLOOKUP(COUNTA($AE$4:AH$4),'Dev Patterns'!$B$6:$F$34,$A27,0)</f>
        <v>4130936.1129801432</v>
      </c>
      <c r="AI27" s="209">
        <f>'Current - MPM only'!AI27/VLOOKUP(COUNTA($AE$4:AI$4),'Dev Patterns'!$B$6:$F$34,$A27,0)</f>
        <v>3466959.6561058317</v>
      </c>
      <c r="AJ27" s="209">
        <f>'Current - MPM only'!AJ27/VLOOKUP(COUNTA($AE$4:AJ$4),'Dev Patterns'!$B$6:$F$34,$A27,0)</f>
        <v>3047941.5024902145</v>
      </c>
      <c r="AK27" s="209">
        <f>'Current - MPM only'!AK27/VLOOKUP(COUNTA($AE$4:AK$4),'Dev Patterns'!$B$6:$F$34,$A27,0)</f>
        <v>2908556.5367971826</v>
      </c>
      <c r="AL27" s="209">
        <f>'Current - MPM only'!AL27/VLOOKUP(COUNTA($AE$4:AL$4),'Dev Patterns'!$B$6:$F$34,$A27,0)</f>
        <v>2873023.7094969335</v>
      </c>
      <c r="AM27" s="209">
        <f>'Current - MPM only'!AM27/VLOOKUP(COUNTA($AE$4:AM$4),'Dev Patterns'!$B$6:$F$34,$A27,0)</f>
        <v>3285294.5144640934</v>
      </c>
      <c r="AN27" s="265">
        <f>'Current - MPM only'!AN27/VLOOKUP(COUNTA($AE$4:AN$4),'Dev Patterns'!$B$6:$F$34,$A27,0)</f>
        <v>3430396.734730944</v>
      </c>
      <c r="AO27" s="237">
        <f t="shared" si="20"/>
        <v>1687453.4349110811</v>
      </c>
      <c r="AP27" s="209">
        <f t="shared" si="21"/>
        <v>900093.89212797338</v>
      </c>
      <c r="AQ27" s="238">
        <f>SUMIFS(AC27:AN27,AC$4:AN$4,"&lt;"&amp;'Title Sheet'!$C$13)</f>
        <v>44210861.804028198</v>
      </c>
    </row>
    <row r="28" spans="1:43" ht="15.75" outlineLevel="1" x14ac:dyDescent="0.25">
      <c r="B28" t="str">
        <f>$D$21&amp;"_NWP"</f>
        <v>PC Annual Direct - Annual_NWP</v>
      </c>
      <c r="C28" t="str">
        <f t="shared" si="23"/>
        <v>Boom Annual</v>
      </c>
      <c r="D28" s="211" t="s">
        <v>6</v>
      </c>
      <c r="E28" s="31" t="e">
        <f>INDEX('Plan Figures'!$B$5:$AP$31,MATCH('Ultimate - MPM only'!E$4,'Plan Figures'!$B$5:$B$31,0),MATCH('Ultimate - MPM only'!$B28,'Plan Figures'!$B$1:$AP$1,0))</f>
        <v>#N/A</v>
      </c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6"/>
      <c r="Q28" s="31"/>
      <c r="R28" s="31" t="str">
        <f>INDEX('Plan Figures'!$B$5:$AP$31,MATCH('Ultimate - MPM only'!R$4,'Plan Figures'!$B$5:$B$31,0),MATCH('Ultimate - MPM only'!$B28,'Plan Figures'!$B$1:$AP$1,0))</f>
        <v>-</v>
      </c>
      <c r="S28" s="31" t="str">
        <f>INDEX('Plan Figures'!$B$5:$AP$31,MATCH('Ultimate - MPM only'!S$4,'Plan Figures'!$B$5:$B$31,0),MATCH('Ultimate - MPM only'!$B28,'Plan Figures'!$B$1:$AP$1,0))</f>
        <v>-</v>
      </c>
      <c r="T28" s="31" t="str">
        <f>INDEX('Plan Figures'!$B$5:$AP$31,MATCH('Ultimate - MPM only'!T$4,'Plan Figures'!$B$5:$B$31,0),MATCH('Ultimate - MPM only'!$B28,'Plan Figures'!$B$1:$AP$1,0))</f>
        <v>-</v>
      </c>
      <c r="U28" s="31" t="str">
        <f>INDEX('Plan Figures'!$B$5:$AP$31,MATCH('Ultimate - MPM only'!U$4,'Plan Figures'!$B$5:$B$31,0),MATCH('Ultimate - MPM only'!$B28,'Plan Figures'!$B$1:$AP$1,0))</f>
        <v>-</v>
      </c>
      <c r="V28" s="31" t="str">
        <f>INDEX('Plan Figures'!$B$5:$AP$31,MATCH('Ultimate - MPM only'!V$4,'Plan Figures'!$B$5:$B$31,0),MATCH('Ultimate - MPM only'!$B28,'Plan Figures'!$B$1:$AP$1,0))</f>
        <v>-</v>
      </c>
      <c r="W28" s="31" t="str">
        <f>INDEX('Plan Figures'!$B$5:$AP$31,MATCH('Ultimate - MPM only'!W$4,'Plan Figures'!$B$5:$B$31,0),MATCH('Ultimate - MPM only'!$B28,'Plan Figures'!$B$1:$AP$1,0))</f>
        <v>-</v>
      </c>
      <c r="X28" s="31" t="str">
        <f>INDEX('Plan Figures'!$B$5:$AP$31,MATCH('Ultimate - MPM only'!X$4,'Plan Figures'!$B$5:$B$31,0),MATCH('Ultimate - MPM only'!$B28,'Plan Figures'!$B$1:$AP$1,0))</f>
        <v>-</v>
      </c>
      <c r="Y28" s="31" t="str">
        <f>INDEX('Plan Figures'!$B$5:$AP$31,MATCH('Ultimate - MPM only'!Y$4,'Plan Figures'!$B$5:$B$31,0),MATCH('Ultimate - MPM only'!$B28,'Plan Figures'!$B$1:$AP$1,0))</f>
        <v>-</v>
      </c>
      <c r="Z28" s="31" t="str">
        <f>INDEX('Plan Figures'!$B$5:$AP$31,MATCH('Ultimate - MPM only'!Z$4,'Plan Figures'!$B$5:$B$31,0),MATCH('Ultimate - MPM only'!$B28,'Plan Figures'!$B$1:$AP$1,0))</f>
        <v>-</v>
      </c>
      <c r="AA28" s="31">
        <f>INDEX('Plan Figures'!$B$5:$AP$31,MATCH('Ultimate - MPM only'!AA$4,'Plan Figures'!$B$5:$B$31,0),MATCH('Ultimate - MPM only'!$B28,'Plan Figures'!$B$1:$AP$1,0))</f>
        <v>1201948.8602582696</v>
      </c>
      <c r="AB28" s="266">
        <f>INDEX('Plan Figures'!$B$5:$AP$31,MATCH('Ultimate - MPM only'!AB$4,'Plan Figures'!$B$5:$B$31,0),MATCH('Ultimate - MPM only'!$B28,'Plan Figures'!$B$1:$AP$1,0))</f>
        <v>1130181.9540233866</v>
      </c>
      <c r="AC28" s="31">
        <f>INDEX('Plan Figures'!$B$5:$AP$31,MATCH('Ultimate - MPM only'!AC$4,'Plan Figures'!$B$5:$B$31,0),MATCH('Ultimate - MPM only'!$B28,'Plan Figures'!$B$1:$AP$1,0))</f>
        <v>1235960.0527141613</v>
      </c>
      <c r="AD28" s="31">
        <f>INDEX('Plan Figures'!$B$5:$AP$42,MATCH('Ultimate - MPM only'!AD$4,'Plan Figures'!$B$5:$B$42,0),MATCH('Ultimate - MPM only'!$B28,'Plan Figures'!$B$1:$AP$1,0))</f>
        <v>1333459.558352059</v>
      </c>
      <c r="AE28" s="31">
        <f>INDEX('Plan Figures'!$B$5:$AP$42,MATCH('Ultimate - MPM only'!AE$4,'Plan Figures'!$B$5:$B$42,0),MATCH('Ultimate - MPM only'!$B28,'Plan Figures'!$B$1:$AP$1,0))</f>
        <v>1387558.0023525297</v>
      </c>
      <c r="AF28" s="31">
        <f>INDEX('Plan Figures'!$B$5:$AP$42,MATCH('Ultimate - MPM only'!AF$4,'Plan Figures'!$B$5:$B$42,0),MATCH('Ultimate - MPM only'!$B28,'Plan Figures'!$B$1:$AP$1,0))</f>
        <v>1433144.0223048357</v>
      </c>
      <c r="AG28" s="31">
        <f>INDEX('Plan Figures'!$B$5:$AP$42,MATCH('Ultimate - MPM only'!AG$4,'Plan Figures'!$B$5:$B$42,0),MATCH('Ultimate - MPM only'!$B28,'Plan Figures'!$B$1:$AP$1,0))</f>
        <v>1450615.9831731343</v>
      </c>
      <c r="AH28" s="31">
        <f>INDEX('Plan Figures'!$B$5:$AP$42,MATCH('Ultimate - MPM only'!AH$4,'Plan Figures'!$B$5:$B$42,0),MATCH('Ultimate - MPM only'!$B28,'Plan Figures'!$B$1:$AP$1,0))</f>
        <v>1477938.9090293914</v>
      </c>
      <c r="AI28" s="31">
        <f>INDEX('Plan Figures'!$B$5:$AP$42,MATCH('Ultimate - MPM only'!AI$4,'Plan Figures'!$B$5:$B$42,0),MATCH('Ultimate - MPM only'!$B28,'Plan Figures'!$B$1:$AP$1,0))</f>
        <v>1091240.230856986</v>
      </c>
      <c r="AJ28" s="31">
        <f>INDEX('Plan Figures'!$B$5:$AP$42,MATCH('Ultimate - MPM only'!AJ$4,'Plan Figures'!$B$5:$B$42,0),MATCH('Ultimate - MPM only'!$B28,'Plan Figures'!$B$1:$AP$1,0))</f>
        <v>1077448.4163922931</v>
      </c>
      <c r="AK28" s="31">
        <f>INDEX('Plan Figures'!$B$5:$AP$42,MATCH('Ultimate - MPM only'!AK$4,'Plan Figures'!$B$5:$B$42,0),MATCH('Ultimate - MPM only'!$B28,'Plan Figures'!$B$1:$AP$1,0))</f>
        <v>1476073.2552601595</v>
      </c>
      <c r="AL28" s="31">
        <f>INDEX('Plan Figures'!$B$5:$AP$42,MATCH('Ultimate - MPM only'!AL$4,'Plan Figures'!$B$5:$B$42,0),MATCH('Ultimate - MPM only'!$B28,'Plan Figures'!$B$1:$AP$1,0))</f>
        <v>1607394.6364770622</v>
      </c>
      <c r="AM28" s="31">
        <f>INDEX('Plan Figures'!$B$5:$AP$42,MATCH('Ultimate - MPM only'!AM$4,'Plan Figures'!$B$5:$B$42,0),MATCH('Ultimate - MPM only'!$B28,'Plan Figures'!$B$1:$AP$1,0))</f>
        <v>1381402.3361292861</v>
      </c>
      <c r="AN28" s="266">
        <f>INDEX('Plan Figures'!$B$5:$AP$42,MATCH('Ultimate - MPM only'!AN$4,'Plan Figures'!$B$5:$B$42,0),MATCH('Ultimate - MPM only'!$B28,'Plan Figures'!$B$1:$AP$1,0))</f>
        <v>1254506.4774169179</v>
      </c>
      <c r="AO28" s="239">
        <f t="shared" si="20"/>
        <v>1189363.6223319394</v>
      </c>
      <c r="AP28" s="31">
        <f t="shared" si="21"/>
        <v>1189363.6223319394</v>
      </c>
      <c r="AQ28" s="240">
        <f>SUMIFS(AC28:AN28,AC$4:AN$4,"&lt;"&amp;'Title Sheet'!$C$13)</f>
        <v>16206741.880458815</v>
      </c>
    </row>
    <row r="29" spans="1:43" ht="15.75" outlineLevel="1" x14ac:dyDescent="0.25">
      <c r="B29" t="str">
        <f t="shared" si="22"/>
        <v>PC Annual Direct</v>
      </c>
      <c r="C29" t="str">
        <f t="shared" si="23"/>
        <v>Boom Annual</v>
      </c>
      <c r="D29" s="213" t="s">
        <v>0</v>
      </c>
      <c r="E29" s="214" t="str">
        <f t="shared" ref="E29:AN29" si="26">IFERROR(IF(E27=0,"-",(E27/E28)-1),"-")</f>
        <v>-</v>
      </c>
      <c r="F29" s="214" t="str">
        <f t="shared" si="26"/>
        <v>-</v>
      </c>
      <c r="G29" s="214" t="str">
        <f t="shared" si="26"/>
        <v>-</v>
      </c>
      <c r="H29" s="214" t="str">
        <f t="shared" si="26"/>
        <v>-</v>
      </c>
      <c r="I29" s="214" t="str">
        <f t="shared" si="26"/>
        <v>-</v>
      </c>
      <c r="J29" s="214" t="str">
        <f t="shared" si="26"/>
        <v>-</v>
      </c>
      <c r="K29" s="214" t="str">
        <f t="shared" si="26"/>
        <v>-</v>
      </c>
      <c r="L29" s="214" t="str">
        <f t="shared" si="26"/>
        <v>-</v>
      </c>
      <c r="M29" s="214" t="str">
        <f t="shared" si="26"/>
        <v>-</v>
      </c>
      <c r="N29" s="214" t="str">
        <f t="shared" si="26"/>
        <v>-</v>
      </c>
      <c r="O29" s="214" t="str">
        <f t="shared" si="26"/>
        <v>-</v>
      </c>
      <c r="P29" s="270" t="str">
        <f t="shared" si="26"/>
        <v>-</v>
      </c>
      <c r="Q29" s="214" t="str">
        <f t="shared" si="26"/>
        <v>-</v>
      </c>
      <c r="R29" s="214" t="str">
        <f t="shared" si="26"/>
        <v>-</v>
      </c>
      <c r="S29" s="214" t="str">
        <f t="shared" si="26"/>
        <v>-</v>
      </c>
      <c r="T29" s="214" t="str">
        <f t="shared" si="26"/>
        <v>-</v>
      </c>
      <c r="U29" s="214" t="str">
        <f t="shared" si="26"/>
        <v>-</v>
      </c>
      <c r="V29" s="214" t="str">
        <f t="shared" si="26"/>
        <v>-</v>
      </c>
      <c r="W29" s="214" t="str">
        <f t="shared" si="26"/>
        <v>-</v>
      </c>
      <c r="X29" s="214" t="str">
        <f t="shared" si="26"/>
        <v>-</v>
      </c>
      <c r="Y29" s="214" t="str">
        <f t="shared" si="26"/>
        <v>-</v>
      </c>
      <c r="Z29" s="214" t="str">
        <f t="shared" si="26"/>
        <v>-</v>
      </c>
      <c r="AA29" s="214">
        <f t="shared" si="26"/>
        <v>0.51050236511099634</v>
      </c>
      <c r="AB29" s="270">
        <f t="shared" si="26"/>
        <v>0.41994375378965398</v>
      </c>
      <c r="AC29" s="214">
        <f t="shared" si="26"/>
        <v>0.62249099656451645</v>
      </c>
      <c r="AD29" s="214">
        <f t="shared" si="26"/>
        <v>1.5645709520401381</v>
      </c>
      <c r="AE29" s="214">
        <f t="shared" si="26"/>
        <v>3.0473984395861731</v>
      </c>
      <c r="AF29" s="214">
        <f t="shared" si="26"/>
        <v>2.5680213173473478</v>
      </c>
      <c r="AG29" s="214">
        <f t="shared" si="26"/>
        <v>2.3869603473787544</v>
      </c>
      <c r="AH29" s="214">
        <f t="shared" si="26"/>
        <v>1.7950655387326244</v>
      </c>
      <c r="AI29" s="214">
        <f t="shared" si="26"/>
        <v>2.1770819642372579</v>
      </c>
      <c r="AJ29" s="214">
        <f t="shared" si="26"/>
        <v>1.828851438378722</v>
      </c>
      <c r="AK29" s="214">
        <f t="shared" si="26"/>
        <v>0.97046896313052322</v>
      </c>
      <c r="AL29" s="214">
        <f t="shared" si="26"/>
        <v>0.78737918137748619</v>
      </c>
      <c r="AM29" s="214">
        <f t="shared" si="26"/>
        <v>1.37823147430715</v>
      </c>
      <c r="AN29" s="270">
        <f t="shared" si="26"/>
        <v>1.7344591650050916</v>
      </c>
      <c r="AO29" s="274">
        <f t="shared" si="20"/>
        <v>0.51764570515505559</v>
      </c>
      <c r="AP29" s="275">
        <f t="shared" si="21"/>
        <v>0.51764570515505559</v>
      </c>
      <c r="AQ29" s="276">
        <f t="shared" ref="AQ29" si="27">IFERROR(IF(AQ27=0,"-",(AQ27/AQ28)-1),"-")</f>
        <v>1.7279302731004305</v>
      </c>
    </row>
    <row r="30" spans="1:43" ht="15.75" outlineLevel="1" x14ac:dyDescent="0.25">
      <c r="B30" t="str">
        <f t="shared" si="22"/>
        <v>PC Annual Direct</v>
      </c>
      <c r="C30" t="str">
        <f t="shared" si="23"/>
        <v>Boom Annual</v>
      </c>
      <c r="D30" s="208" t="s">
        <v>12</v>
      </c>
      <c r="E30" s="209">
        <f>IFERROR(E27/E24,0)</f>
        <v>0</v>
      </c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65"/>
      <c r="Q30" s="209"/>
      <c r="R30" s="209">
        <f t="shared" ref="R30:AP31" si="28">IFERROR(R27/R24,0)</f>
        <v>0</v>
      </c>
      <c r="S30" s="209">
        <f t="shared" si="28"/>
        <v>0</v>
      </c>
      <c r="T30" s="209">
        <f t="shared" si="28"/>
        <v>0</v>
      </c>
      <c r="U30" s="209">
        <f t="shared" si="28"/>
        <v>8.5269170328314345</v>
      </c>
      <c r="V30" s="209">
        <f t="shared" si="28"/>
        <v>232.70110092176733</v>
      </c>
      <c r="W30" s="209">
        <f t="shared" si="28"/>
        <v>265.27512771536306</v>
      </c>
      <c r="X30" s="209">
        <f t="shared" si="28"/>
        <v>363.77343745990095</v>
      </c>
      <c r="Y30" s="209">
        <f t="shared" si="28"/>
        <v>406.90419541212839</v>
      </c>
      <c r="Z30" s="209">
        <f t="shared" si="28"/>
        <v>490.97363901598175</v>
      </c>
      <c r="AA30" s="209">
        <f t="shared" si="28"/>
        <v>617.9098397884602</v>
      </c>
      <c r="AB30" s="265">
        <f t="shared" si="28"/>
        <v>531.39135844587167</v>
      </c>
      <c r="AC30" s="209">
        <f t="shared" si="28"/>
        <v>624.22123340704661</v>
      </c>
      <c r="AD30" s="209">
        <f t="shared" si="28"/>
        <v>1268.2113272853353</v>
      </c>
      <c r="AE30" s="209">
        <f t="shared" si="28"/>
        <v>1624.1860420542532</v>
      </c>
      <c r="AF30" s="209">
        <f t="shared" si="28"/>
        <v>1446.5237834597256</v>
      </c>
      <c r="AG30" s="209">
        <f t="shared" si="28"/>
        <v>1360.2225876734485</v>
      </c>
      <c r="AH30" s="209">
        <f t="shared" si="28"/>
        <v>1249.7370445181546</v>
      </c>
      <c r="AI30" s="209">
        <f t="shared" si="28"/>
        <v>1067.1160260496397</v>
      </c>
      <c r="AJ30" s="209">
        <f t="shared" si="28"/>
        <v>2034.9784952488724</v>
      </c>
      <c r="AK30" s="209">
        <f t="shared" si="28"/>
        <v>0</v>
      </c>
      <c r="AL30" s="209">
        <f t="shared" si="28"/>
        <v>0</v>
      </c>
      <c r="AM30" s="209">
        <f t="shared" si="28"/>
        <v>0</v>
      </c>
      <c r="AN30" s="265">
        <f t="shared" si="28"/>
        <v>0</v>
      </c>
      <c r="AO30" s="237">
        <f t="shared" si="28"/>
        <v>568.75526737926236</v>
      </c>
      <c r="AP30" s="209">
        <f t="shared" si="28"/>
        <v>255.94563448517172</v>
      </c>
      <c r="AQ30" s="238">
        <f>SUMIFS(AC30:AN30,AC$4:AN$4,"&lt;"&amp;'Title Sheet'!$C$13)</f>
        <v>10675.196539696475</v>
      </c>
    </row>
    <row r="31" spans="1:43" ht="15.75" hidden="1" outlineLevel="1" x14ac:dyDescent="0.25">
      <c r="B31" t="str">
        <f t="shared" si="22"/>
        <v>PC Annual Direct</v>
      </c>
      <c r="C31" t="str">
        <f t="shared" si="23"/>
        <v>Boom Annual</v>
      </c>
      <c r="D31" s="211" t="s">
        <v>13</v>
      </c>
      <c r="E31" s="31">
        <f>IFERROR(E28/E25,0)</f>
        <v>0</v>
      </c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266"/>
      <c r="Q31" s="31"/>
      <c r="R31" s="31">
        <f t="shared" si="28"/>
        <v>0</v>
      </c>
      <c r="S31" s="31">
        <f t="shared" si="28"/>
        <v>0</v>
      </c>
      <c r="T31" s="31">
        <f t="shared" si="28"/>
        <v>0</v>
      </c>
      <c r="U31" s="31">
        <f t="shared" si="28"/>
        <v>0</v>
      </c>
      <c r="V31" s="31">
        <f t="shared" si="28"/>
        <v>0</v>
      </c>
      <c r="W31" s="31">
        <f t="shared" si="28"/>
        <v>0</v>
      </c>
      <c r="X31" s="31">
        <f t="shared" si="28"/>
        <v>0</v>
      </c>
      <c r="Y31" s="31">
        <f t="shared" si="28"/>
        <v>0</v>
      </c>
      <c r="Z31" s="31">
        <f t="shared" si="28"/>
        <v>0</v>
      </c>
      <c r="AA31" s="31">
        <f t="shared" si="28"/>
        <v>1079.510683288258</v>
      </c>
      <c r="AB31" s="266">
        <f t="shared" si="28"/>
        <v>1141.9736170890237</v>
      </c>
      <c r="AC31" s="31">
        <f t="shared" si="28"/>
        <v>1020.9920064895846</v>
      </c>
      <c r="AD31" s="31">
        <f t="shared" si="28"/>
        <v>1103.7366864398034</v>
      </c>
      <c r="AE31" s="31">
        <f t="shared" si="28"/>
        <v>1150.8123058487083</v>
      </c>
      <c r="AF31" s="31">
        <f t="shared" si="28"/>
        <v>1190.9976618446992</v>
      </c>
      <c r="AG31" s="31">
        <f t="shared" si="28"/>
        <v>1207.8192438307094</v>
      </c>
      <c r="AH31" s="31">
        <f t="shared" si="28"/>
        <v>1202.675541936135</v>
      </c>
      <c r="AI31" s="31">
        <f t="shared" si="28"/>
        <v>937.7600119478036</v>
      </c>
      <c r="AJ31" s="31">
        <f t="shared" si="28"/>
        <v>942.81090802039057</v>
      </c>
      <c r="AK31" s="31">
        <f t="shared" si="28"/>
        <v>932.20743023828948</v>
      </c>
      <c r="AL31" s="31">
        <f t="shared" si="28"/>
        <v>984.06696167791745</v>
      </c>
      <c r="AM31" s="31">
        <f t="shared" si="28"/>
        <v>971.48917552364753</v>
      </c>
      <c r="AN31" s="266">
        <f t="shared" si="28"/>
        <v>970.91400623368202</v>
      </c>
      <c r="AO31" s="239">
        <f t="shared" si="28"/>
        <v>1076.7880846593339</v>
      </c>
      <c r="AP31" s="31">
        <f t="shared" si="28"/>
        <v>1076.7880846593339</v>
      </c>
      <c r="AQ31" s="240">
        <f>SUMIFS(AC31:AN31,AC$4:AN$4,"&lt;"&amp;'Title Sheet'!$C$13)</f>
        <v>12616.281940031373</v>
      </c>
    </row>
    <row r="32" spans="1:43" ht="15.75" hidden="1" outlineLevel="1" x14ac:dyDescent="0.25">
      <c r="B32" t="str">
        <f t="shared" si="22"/>
        <v>PC Annual Direct</v>
      </c>
      <c r="C32" t="str">
        <f t="shared" si="23"/>
        <v>Boom Annual</v>
      </c>
      <c r="D32" s="213" t="s">
        <v>0</v>
      </c>
      <c r="E32" s="214" t="str">
        <f t="shared" ref="E32:AN32" si="29">IFERROR(IF(E30=0,"-",(E30/E31)-1),"-")</f>
        <v>-</v>
      </c>
      <c r="F32" s="214" t="str">
        <f t="shared" si="29"/>
        <v>-</v>
      </c>
      <c r="G32" s="214" t="str">
        <f t="shared" si="29"/>
        <v>-</v>
      </c>
      <c r="H32" s="214" t="str">
        <f t="shared" si="29"/>
        <v>-</v>
      </c>
      <c r="I32" s="214" t="str">
        <f t="shared" si="29"/>
        <v>-</v>
      </c>
      <c r="J32" s="214" t="str">
        <f t="shared" si="29"/>
        <v>-</v>
      </c>
      <c r="K32" s="214" t="str">
        <f t="shared" si="29"/>
        <v>-</v>
      </c>
      <c r="L32" s="214" t="str">
        <f t="shared" si="29"/>
        <v>-</v>
      </c>
      <c r="M32" s="214" t="str">
        <f t="shared" si="29"/>
        <v>-</v>
      </c>
      <c r="N32" s="214" t="str">
        <f t="shared" si="29"/>
        <v>-</v>
      </c>
      <c r="O32" s="214" t="str">
        <f t="shared" si="29"/>
        <v>-</v>
      </c>
      <c r="P32" s="270" t="str">
        <f t="shared" si="29"/>
        <v>-</v>
      </c>
      <c r="Q32" s="214" t="str">
        <f t="shared" si="29"/>
        <v>-</v>
      </c>
      <c r="R32" s="214" t="str">
        <f t="shared" si="29"/>
        <v>-</v>
      </c>
      <c r="S32" s="214" t="str">
        <f t="shared" si="29"/>
        <v>-</v>
      </c>
      <c r="T32" s="214" t="str">
        <f t="shared" si="29"/>
        <v>-</v>
      </c>
      <c r="U32" s="214" t="str">
        <f t="shared" si="29"/>
        <v>-</v>
      </c>
      <c r="V32" s="214" t="str">
        <f t="shared" si="29"/>
        <v>-</v>
      </c>
      <c r="W32" s="214" t="str">
        <f t="shared" si="29"/>
        <v>-</v>
      </c>
      <c r="X32" s="214" t="str">
        <f t="shared" si="29"/>
        <v>-</v>
      </c>
      <c r="Y32" s="214" t="str">
        <f t="shared" si="29"/>
        <v>-</v>
      </c>
      <c r="Z32" s="214" t="str">
        <f t="shared" si="29"/>
        <v>-</v>
      </c>
      <c r="AA32" s="214">
        <f t="shared" si="29"/>
        <v>-0.42760192246892115</v>
      </c>
      <c r="AB32" s="270">
        <f t="shared" si="29"/>
        <v>-0.5346728238779912</v>
      </c>
      <c r="AC32" s="214">
        <f t="shared" si="29"/>
        <v>-0.38861300633168627</v>
      </c>
      <c r="AD32" s="214">
        <f t="shared" si="29"/>
        <v>0.14901619459262405</v>
      </c>
      <c r="AE32" s="214">
        <f t="shared" si="29"/>
        <v>0.41133878548199765</v>
      </c>
      <c r="AF32" s="214">
        <f t="shared" si="29"/>
        <v>0.21454796243617302</v>
      </c>
      <c r="AG32" s="214">
        <f t="shared" si="29"/>
        <v>0.12618058920751918</v>
      </c>
      <c r="AH32" s="214">
        <f t="shared" si="29"/>
        <v>3.913067235595169E-2</v>
      </c>
      <c r="AI32" s="214">
        <f t="shared" si="29"/>
        <v>0.13794149084386009</v>
      </c>
      <c r="AJ32" s="214">
        <f t="shared" si="29"/>
        <v>1.1584163674152794</v>
      </c>
      <c r="AK32" s="214" t="str">
        <f t="shared" si="29"/>
        <v>-</v>
      </c>
      <c r="AL32" s="214" t="str">
        <f t="shared" si="29"/>
        <v>-</v>
      </c>
      <c r="AM32" s="214" t="str">
        <f t="shared" si="29"/>
        <v>-</v>
      </c>
      <c r="AN32" s="270" t="str">
        <f t="shared" si="29"/>
        <v>-</v>
      </c>
      <c r="AO32" s="274">
        <f t="shared" ref="AO32:AP32" si="30">AO30-AO31</f>
        <v>-508.03281728007153</v>
      </c>
      <c r="AP32" s="275">
        <f t="shared" si="30"/>
        <v>-820.8424501741622</v>
      </c>
      <c r="AQ32" s="276">
        <f t="shared" ref="AQ32" si="31">IFERROR(IF(AQ30=0,"-",(AQ30/AQ31)-1),"-")</f>
        <v>-0.15385558198218818</v>
      </c>
    </row>
    <row r="33" spans="1:43" outlineLevel="1" x14ac:dyDescent="0.25">
      <c r="B33" t="str">
        <f t="shared" si="22"/>
        <v>PC Annual Direct</v>
      </c>
      <c r="C33" t="str">
        <f t="shared" si="23"/>
        <v>Boom Annual</v>
      </c>
      <c r="D33" s="258" t="s">
        <v>17</v>
      </c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67"/>
      <c r="Q33" s="259"/>
      <c r="R33" s="259"/>
      <c r="S33" s="259"/>
      <c r="T33" s="259"/>
      <c r="U33" s="259"/>
      <c r="V33" s="259"/>
      <c r="W33" s="259"/>
      <c r="X33" s="259"/>
      <c r="Y33" s="259"/>
      <c r="Z33" s="259"/>
      <c r="AA33" s="259"/>
      <c r="AB33" s="267"/>
      <c r="AC33" s="259"/>
      <c r="AD33" s="259"/>
      <c r="AE33" s="259"/>
      <c r="AF33" s="259"/>
      <c r="AG33" s="259"/>
      <c r="AH33" s="259"/>
      <c r="AI33" s="259"/>
      <c r="AJ33" s="259"/>
      <c r="AK33" s="259"/>
      <c r="AL33" s="259"/>
      <c r="AM33" s="259"/>
      <c r="AN33" s="267"/>
      <c r="AO33" s="277"/>
      <c r="AP33" s="277"/>
      <c r="AQ33" s="278">
        <f>SUMIFS(AC33:AN33,AC$4:AN$4,"&lt;"&amp;'Title Sheet'!$C$13)</f>
        <v>0</v>
      </c>
    </row>
    <row r="34" spans="1:43" ht="15.75" outlineLevel="1" x14ac:dyDescent="0.25">
      <c r="A34">
        <v>4</v>
      </c>
      <c r="B34" t="str">
        <f t="shared" si="22"/>
        <v>PC Annual Direct</v>
      </c>
      <c r="C34" t="str">
        <f t="shared" si="23"/>
        <v>Boom Annual</v>
      </c>
      <c r="D34" s="208" t="s">
        <v>7</v>
      </c>
      <c r="E34" s="282" t="e">
        <f>'Current - Sales, NWP, GWP'!E35/VLOOKUP(COUNTA(E$4:$AC$4),'Dev Patterns'!$B$6:$F$22,$A34,0)</f>
        <v>#N/A</v>
      </c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4"/>
      <c r="Q34" s="282"/>
      <c r="R34" s="283">
        <f>'Current - Sales, NWP, GWP'!R35/VLOOKUP(COUNTA(R$4:$AC$4),'Dev Patterns'!$B$6:$F$22,$A34,0)</f>
        <v>4077818.2905400903</v>
      </c>
      <c r="S34" s="283">
        <f>'Current - Sales, NWP, GWP'!S35/VLOOKUP(COUNTA(S$4:$AC$4),'Dev Patterns'!$B$6:$F$22,$A34,0)</f>
        <v>6455397.6520378767</v>
      </c>
      <c r="T34" s="283">
        <f>'Current - Sales, NWP, GWP'!T35/VLOOKUP(COUNTA(T$4:$AC$4),'Dev Patterns'!$B$6:$F$22,$A34,0)</f>
        <v>5777451.5893045105</v>
      </c>
      <c r="U34" s="283">
        <f>'Current - Sales, NWP, GWP'!U35/VLOOKUP(COUNTA(U$4:$AC$4),'Dev Patterns'!$B$6:$F$22,$A34,0)</f>
        <v>5497589.9125103271</v>
      </c>
      <c r="V34" s="283">
        <f>'Current - Sales, NWP, GWP'!V35/VLOOKUP(COUNTA(V$4:$AC$4),'Dev Patterns'!$B$6:$F$22,$A34,0)</f>
        <v>4572161.06070418</v>
      </c>
      <c r="W34" s="283">
        <f>'Current - Sales, NWP, GWP'!W35/VLOOKUP(COUNTA(W$4:$AC$4),'Dev Patterns'!$B$6:$F$22,$A34,0)</f>
        <v>3805953.9333692277</v>
      </c>
      <c r="X34" s="283">
        <f>'Current - Sales, NWP, GWP'!X35/VLOOKUP(COUNTA(X$4:$AC$4),'Dev Patterns'!$B$6:$F$22,$A34,0)</f>
        <v>3318140.8844342213</v>
      </c>
      <c r="Y34" s="283">
        <f>'Current - Sales, NWP, GWP'!Y35/VLOOKUP(COUNTA(Y$4:$AC$4),'Dev Patterns'!$B$6:$F$22,$A34,0)</f>
        <v>3141375.2241607821</v>
      </c>
      <c r="Z34" s="283">
        <f>'Current - Sales, NWP, GWP'!Z35/VLOOKUP(COUNTA(Z$4:$AC$4),'Dev Patterns'!$B$6:$F$22,$A34,0)</f>
        <v>3083948.2678962112</v>
      </c>
      <c r="AA34" s="283">
        <f>'Current - Sales, NWP, GWP'!AA35/VLOOKUP(COUNTA(AA$4:$AC$4),'Dev Patterns'!$B$6:$F$22,$A34,0)</f>
        <v>3494388.3346317201</v>
      </c>
      <c r="AB34" s="284">
        <f>'Current - Sales, NWP, GWP'!AB35/VLOOKUP(COUNTA(AB$4:$AC$4),'Dev Patterns'!$B$6:$F$22,$A34,0)</f>
        <v>3601768.2462423509</v>
      </c>
      <c r="AC34" s="282">
        <f>'Current - Sales, NWP, GWP'!AC35/VLOOKUP(COUNTA(AC$4:$AC$4),'Dev Patterns'!$B$6:$F$22,$A34,0)</f>
        <v>3702259.6980774659</v>
      </c>
      <c r="AD34" s="283">
        <f>'Current - Sales, NWP, GWP'!AD35/VLOOKUP(COUNTA($AC$4:AD$4),'Dev Patterns'!$B$6:$F$22,$A34,0)</f>
        <v>3068873.0073799109</v>
      </c>
      <c r="AE34" s="283">
        <f>'Current - Sales, NWP, GWP'!AE35/VLOOKUP(COUNTA($AC$4:AE$4),'Dev Patterns'!$B$6:$F$22,$A34,0)</f>
        <v>3907814.5093155364</v>
      </c>
      <c r="AF34" s="283">
        <f>'Current - Sales, NWP, GWP'!AF35/VLOOKUP(COUNTA($AC$4:AF$4),'Dev Patterns'!$B$6:$F$22,$A34,0)</f>
        <v>3802373.739826418</v>
      </c>
      <c r="AG34" s="283">
        <f>'Current - Sales, NWP, GWP'!AG35/VLOOKUP(COUNTA($AC$4:AG$4),'Dev Patterns'!$B$6:$F$22,$A34,0)</f>
        <v>3940669.324243865</v>
      </c>
      <c r="AH34" s="283">
        <f>'Current - Sales, NWP, GWP'!AH35/VLOOKUP(COUNTA($AC$4:AH$4),'Dev Patterns'!$B$6:$F$22,$A34,0)</f>
        <v>3590660.8282440053</v>
      </c>
      <c r="AI34" s="283">
        <f>'Current - Sales, NWP, GWP'!AI35/VLOOKUP(COUNTA($AC$4:AI$4),'Dev Patterns'!$B$6:$F$22,$A34,0)</f>
        <v>3634569.8719625878</v>
      </c>
      <c r="AJ34" s="283">
        <f>'Current - Sales, NWP, GWP'!AJ35/VLOOKUP(COUNTA($AC$4:AJ$4),'Dev Patterns'!$B$6:$F$22,$A34,0)</f>
        <v>1767853.3504476703</v>
      </c>
      <c r="AK34" s="283">
        <f>'Current - Sales, NWP, GWP'!AK35/VLOOKUP(COUNTA($AC$4:AK$4),'Dev Patterns'!$B$6:$F$22,$A34,0)</f>
        <v>0</v>
      </c>
      <c r="AL34" s="283">
        <f>'Current - Sales, NWP, GWP'!AL35/VLOOKUP(COUNTA($AC$4:AL$4),'Dev Patterns'!$B$6:$F$22,$A34,0)</f>
        <v>0</v>
      </c>
      <c r="AM34" s="283">
        <f>'Current - Sales, NWP, GWP'!AM35/VLOOKUP(COUNTA($AC$4:AM$4),'Dev Patterns'!$B$6:$F$22,$A34,0)</f>
        <v>0</v>
      </c>
      <c r="AN34" s="284">
        <f>'Current - Sales, NWP, GWP'!AN35/VLOOKUP(COUNTA($AC$4:AN$4),'Dev Patterns'!$B$6:$F$22,$A34,0)</f>
        <v>0</v>
      </c>
      <c r="AO34" s="237">
        <f t="shared" ref="AO34" si="32">AVERAGE(Z34:AC34)</f>
        <v>3470591.1367119374</v>
      </c>
      <c r="AP34" s="209">
        <f>AVERAGE(R34:AC34)</f>
        <v>4210687.7578257462</v>
      </c>
      <c r="AQ34" s="238">
        <f>SUMIFS(AC34:AN34,AC$4:AN$4,"&lt;"&amp;'Title Sheet'!$C$13)</f>
        <v>27415074.32949746</v>
      </c>
    </row>
    <row r="35" spans="1:43" ht="16.5" outlineLevel="1" thickBot="1" x14ac:dyDescent="0.3">
      <c r="B35" t="str">
        <f t="shared" si="22"/>
        <v>PC Annual Direct</v>
      </c>
      <c r="C35" t="str">
        <f t="shared" si="23"/>
        <v>Boom Annual</v>
      </c>
      <c r="D35" s="226" t="s">
        <v>21</v>
      </c>
      <c r="E35" s="269" t="e">
        <f t="shared" ref="E35:AP35" si="33">E27/E$8</f>
        <v>#DIV/0!</v>
      </c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81"/>
      <c r="Q35" s="269"/>
      <c r="R35" s="269" t="e">
        <f t="shared" si="33"/>
        <v>#DIV/0!</v>
      </c>
      <c r="S35" s="269" t="e">
        <f t="shared" si="33"/>
        <v>#DIV/0!</v>
      </c>
      <c r="T35" s="269" t="e">
        <f t="shared" si="33"/>
        <v>#DIV/0!</v>
      </c>
      <c r="U35" s="269">
        <f t="shared" si="33"/>
        <v>0.84015578842718597</v>
      </c>
      <c r="V35" s="269">
        <f t="shared" si="33"/>
        <v>0.79708499583913417</v>
      </c>
      <c r="W35" s="269">
        <f t="shared" si="33"/>
        <v>0.68533134581361865</v>
      </c>
      <c r="X35" s="269">
        <f t="shared" si="33"/>
        <v>0.63212616687197043</v>
      </c>
      <c r="Y35" s="269">
        <f t="shared" si="33"/>
        <v>0.57502083917312385</v>
      </c>
      <c r="Z35" s="269">
        <f t="shared" si="33"/>
        <v>0.53219535347842994</v>
      </c>
      <c r="AA35" s="269">
        <f t="shared" si="33"/>
        <v>0.54887564629081409</v>
      </c>
      <c r="AB35" s="281">
        <f t="shared" si="33"/>
        <v>0.48352431196722673</v>
      </c>
      <c r="AC35" s="269">
        <f t="shared" si="33"/>
        <v>0.56911030381000194</v>
      </c>
      <c r="AD35" s="269">
        <f t="shared" si="33"/>
        <v>0.70893520060223036</v>
      </c>
      <c r="AE35" s="269">
        <f t="shared" si="33"/>
        <v>0.79030025785053215</v>
      </c>
      <c r="AF35" s="269">
        <f t="shared" si="33"/>
        <v>0.7952597662905766</v>
      </c>
      <c r="AG35" s="269">
        <f t="shared" si="33"/>
        <v>0.7871843107373464</v>
      </c>
      <c r="AH35" s="269">
        <f t="shared" si="33"/>
        <v>0.78480241491763303</v>
      </c>
      <c r="AI35" s="269">
        <f t="shared" si="33"/>
        <v>0.76769407834594072</v>
      </c>
      <c r="AJ35" s="269">
        <f t="shared" si="33"/>
        <v>0.77262388528406112</v>
      </c>
      <c r="AK35" s="269">
        <f t="shared" si="33"/>
        <v>0.80276041362001671</v>
      </c>
      <c r="AL35" s="269">
        <f t="shared" si="33"/>
        <v>0.83251447421489488</v>
      </c>
      <c r="AM35" s="269">
        <f t="shared" si="33"/>
        <v>0.90425901506428685</v>
      </c>
      <c r="AN35" s="281">
        <f t="shared" si="33"/>
        <v>0.9458645849684818</v>
      </c>
      <c r="AO35" s="279">
        <f t="shared" si="33"/>
        <v>0.53407154102864896</v>
      </c>
      <c r="AP35" s="269">
        <f t="shared" si="33"/>
        <v>0.57494392279312168</v>
      </c>
      <c r="AQ35" s="280" t="str">
        <f t="shared" ref="AQ35" si="34">IFERROR(IF(AQ33=0,"-",(AQ33/AQ34)-1),"-")</f>
        <v>-</v>
      </c>
    </row>
    <row r="36" spans="1:43" ht="15.75" outlineLevel="1" x14ac:dyDescent="0.25">
      <c r="D36" s="46"/>
      <c r="E36" s="325"/>
      <c r="F36" s="325"/>
      <c r="G36" s="325"/>
      <c r="H36" s="325"/>
      <c r="I36" s="325"/>
      <c r="J36" s="325"/>
      <c r="K36" s="325"/>
      <c r="L36" s="325"/>
      <c r="M36" s="325"/>
      <c r="N36" s="325"/>
      <c r="O36" s="325"/>
      <c r="P36" s="325"/>
      <c r="Q36" s="325"/>
      <c r="R36" s="325"/>
      <c r="S36" s="325"/>
      <c r="T36" s="325"/>
      <c r="U36" s="325"/>
      <c r="V36" s="325"/>
      <c r="W36" s="325"/>
      <c r="X36" s="325"/>
      <c r="Y36" s="325"/>
      <c r="Z36" s="325"/>
      <c r="AA36" s="325"/>
      <c r="AB36" s="325"/>
      <c r="AC36" s="325"/>
      <c r="AD36" s="325"/>
      <c r="AE36" s="325"/>
      <c r="AF36" s="325"/>
      <c r="AG36" s="325"/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</row>
    <row r="37" spans="1:43" ht="16.5" outlineLevel="1" thickBot="1" x14ac:dyDescent="0.3">
      <c r="D37" s="46"/>
      <c r="E37" s="325"/>
      <c r="F37" s="325"/>
      <c r="G37" s="325"/>
      <c r="H37" s="325"/>
      <c r="I37" s="325"/>
      <c r="J37" s="325"/>
      <c r="K37" s="325"/>
      <c r="L37" s="325"/>
      <c r="M37" s="325"/>
      <c r="N37" s="325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5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</row>
    <row r="38" spans="1:43" ht="18.75" outlineLevel="1" x14ac:dyDescent="0.25">
      <c r="D38" s="309" t="s">
        <v>350</v>
      </c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63"/>
      <c r="Q38" s="202"/>
      <c r="R38" s="202"/>
      <c r="S38" s="202"/>
      <c r="T38" s="202"/>
      <c r="U38" s="202"/>
      <c r="V38" s="202"/>
      <c r="W38" s="202"/>
      <c r="X38" s="202"/>
      <c r="Y38" s="202"/>
      <c r="Z38" s="202"/>
      <c r="AA38" s="202"/>
      <c r="AB38" s="263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63"/>
      <c r="AO38" s="202"/>
      <c r="AP38" s="202"/>
      <c r="AQ38" s="233"/>
    </row>
    <row r="39" spans="1:43" outlineLevel="1" x14ac:dyDescent="0.25">
      <c r="D39" s="204"/>
      <c r="E39" s="200" t="s">
        <v>237</v>
      </c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64"/>
      <c r="Q39" s="200"/>
      <c r="R39" s="200"/>
      <c r="S39" s="200"/>
      <c r="T39" s="200"/>
      <c r="U39" s="200"/>
      <c r="V39" s="200"/>
      <c r="W39" s="200"/>
      <c r="X39" s="200"/>
      <c r="Y39" s="200"/>
      <c r="Z39" s="200"/>
      <c r="AA39" s="200"/>
      <c r="AB39" s="264"/>
      <c r="AC39" s="200"/>
      <c r="AD39" s="200"/>
      <c r="AE39" s="200"/>
      <c r="AF39" s="200"/>
      <c r="AG39" s="200"/>
      <c r="AH39" s="200"/>
      <c r="AI39" s="200"/>
      <c r="AJ39" s="200"/>
      <c r="AK39" s="200"/>
      <c r="AL39" s="200"/>
      <c r="AM39" s="200"/>
      <c r="AN39" s="264"/>
      <c r="AO39" s="510" t="s">
        <v>8</v>
      </c>
      <c r="AP39" s="511"/>
      <c r="AQ39" s="512"/>
    </row>
    <row r="40" spans="1:43" outlineLevel="1" x14ac:dyDescent="0.25">
      <c r="D40" s="256" t="s">
        <v>16</v>
      </c>
      <c r="E40" s="285">
        <f t="shared" ref="E40:AN40" si="35">E$4</f>
        <v>44562</v>
      </c>
      <c r="F40" s="285">
        <f t="shared" si="35"/>
        <v>44593</v>
      </c>
      <c r="G40" s="285">
        <f t="shared" si="35"/>
        <v>44621</v>
      </c>
      <c r="H40" s="285">
        <f t="shared" si="35"/>
        <v>44652</v>
      </c>
      <c r="I40" s="285">
        <f t="shared" si="35"/>
        <v>44682</v>
      </c>
      <c r="J40" s="285">
        <f t="shared" si="35"/>
        <v>44713</v>
      </c>
      <c r="K40" s="285">
        <f t="shared" si="35"/>
        <v>44743</v>
      </c>
      <c r="L40" s="285">
        <f t="shared" si="35"/>
        <v>44774</v>
      </c>
      <c r="M40" s="285">
        <f t="shared" si="35"/>
        <v>44805</v>
      </c>
      <c r="N40" s="285">
        <f t="shared" si="35"/>
        <v>44835</v>
      </c>
      <c r="O40" s="285">
        <f t="shared" si="35"/>
        <v>44866</v>
      </c>
      <c r="P40" s="286">
        <f t="shared" si="35"/>
        <v>44896</v>
      </c>
      <c r="Q40" s="285">
        <f t="shared" si="35"/>
        <v>44927</v>
      </c>
      <c r="R40" s="285">
        <f t="shared" si="35"/>
        <v>44958</v>
      </c>
      <c r="S40" s="285">
        <f t="shared" si="35"/>
        <v>44986</v>
      </c>
      <c r="T40" s="285">
        <f t="shared" si="35"/>
        <v>45017</v>
      </c>
      <c r="U40" s="285">
        <f t="shared" si="35"/>
        <v>45047</v>
      </c>
      <c r="V40" s="285">
        <f t="shared" si="35"/>
        <v>45078</v>
      </c>
      <c r="W40" s="285">
        <f t="shared" si="35"/>
        <v>45108</v>
      </c>
      <c r="X40" s="285">
        <f t="shared" si="35"/>
        <v>45139</v>
      </c>
      <c r="Y40" s="285">
        <f t="shared" si="35"/>
        <v>45170</v>
      </c>
      <c r="Z40" s="285">
        <f t="shared" si="35"/>
        <v>45200</v>
      </c>
      <c r="AA40" s="285">
        <f t="shared" si="35"/>
        <v>45231</v>
      </c>
      <c r="AB40" s="286">
        <f t="shared" si="35"/>
        <v>45261</v>
      </c>
      <c r="AC40" s="285">
        <f t="shared" si="35"/>
        <v>45292</v>
      </c>
      <c r="AD40" s="285">
        <f t="shared" si="35"/>
        <v>45323</v>
      </c>
      <c r="AE40" s="285">
        <f t="shared" si="35"/>
        <v>45352</v>
      </c>
      <c r="AF40" s="285">
        <f t="shared" si="35"/>
        <v>45383</v>
      </c>
      <c r="AG40" s="285">
        <f t="shared" si="35"/>
        <v>45413</v>
      </c>
      <c r="AH40" s="285">
        <f t="shared" si="35"/>
        <v>45444</v>
      </c>
      <c r="AI40" s="285">
        <f t="shared" si="35"/>
        <v>45474</v>
      </c>
      <c r="AJ40" s="285">
        <f t="shared" si="35"/>
        <v>45505</v>
      </c>
      <c r="AK40" s="285">
        <f t="shared" si="35"/>
        <v>45536</v>
      </c>
      <c r="AL40" s="285">
        <f t="shared" si="35"/>
        <v>45566</v>
      </c>
      <c r="AM40" s="285">
        <f t="shared" si="35"/>
        <v>45597</v>
      </c>
      <c r="AN40" s="286">
        <f t="shared" si="35"/>
        <v>45627</v>
      </c>
      <c r="AO40" s="271">
        <f>AO21</f>
        <v>0</v>
      </c>
      <c r="AP40" s="272">
        <f>AP21</f>
        <v>0</v>
      </c>
      <c r="AQ40" s="273" t="s">
        <v>346</v>
      </c>
    </row>
    <row r="41" spans="1:43" ht="15.75" outlineLevel="1" x14ac:dyDescent="0.25">
      <c r="A41">
        <v>5</v>
      </c>
      <c r="B41" t="str">
        <f>$D$2</f>
        <v>PC Annual Direct</v>
      </c>
      <c r="C41" t="s">
        <v>72</v>
      </c>
      <c r="D41" s="208" t="s">
        <v>316</v>
      </c>
      <c r="E41" s="209" t="e">
        <f>'Current - Sales, NWP, GWP'!E42/VLOOKUP(COUNTA(E$4:$AC$4),'Dev Patterns'!$B$6:$F$22,$A41,0)</f>
        <v>#N/A</v>
      </c>
      <c r="F41" s="209"/>
      <c r="G41" s="209"/>
      <c r="H41" s="209"/>
      <c r="I41" s="209"/>
      <c r="J41" s="209"/>
      <c r="K41" s="209"/>
      <c r="L41" s="209"/>
      <c r="M41" s="209"/>
      <c r="N41" s="209"/>
      <c r="O41" s="209"/>
      <c r="P41" s="265"/>
      <c r="Q41" s="209"/>
      <c r="R41" s="209">
        <f>'Current - Sales, NWP, GWP'!R42/VLOOKUP(COUNTA(R$4:$AC$4),'Dev Patterns'!$B$6:$F$22,$A41,0)</f>
        <v>1488.7917120180659</v>
      </c>
      <c r="S41" s="209">
        <f>'Current - Sales, NWP, GWP'!S42/VLOOKUP(COUNTA(S$4:$AC$4),'Dev Patterns'!$B$6:$F$22,$A41,0)</f>
        <v>1841.350159635369</v>
      </c>
      <c r="T41" s="209">
        <f>'Current - Sales, NWP, GWP'!T42/VLOOKUP(COUNTA(T$4:$AC$4),'Dev Patterns'!$B$6:$F$22,$A41,0)</f>
        <v>1753.6202608394594</v>
      </c>
      <c r="U41" s="209">
        <f>'Current - Sales, NWP, GWP'!U42/VLOOKUP(COUNTA(U$4:$AC$4),'Dev Patterns'!$B$6:$F$22,$A41,0)</f>
        <v>1859.2349928338151</v>
      </c>
      <c r="V41" s="209">
        <f>'Current - Sales, NWP, GWP'!V42/VLOOKUP(COUNTA(V$4:$AC$4),'Dev Patterns'!$B$6:$F$22,$A41,0)</f>
        <v>1518.3628858822276</v>
      </c>
      <c r="W41" s="209">
        <f>'Current - Sales, NWP, GWP'!W42/VLOOKUP(COUNTA(W$4:$AC$4),'Dev Patterns'!$B$6:$F$22,$A41,0)</f>
        <v>1227.8293887119908</v>
      </c>
      <c r="X41" s="209">
        <f>'Current - Sales, NWP, GWP'!X42/VLOOKUP(COUNTA(X$4:$AC$4),'Dev Patterns'!$B$6:$F$22,$A41,0)</f>
        <v>1053.2516215373466</v>
      </c>
      <c r="Y41" s="209">
        <f>'Current - Sales, NWP, GWP'!Y42/VLOOKUP(COUNTA(Y$4:$AC$4),'Dev Patterns'!$B$6:$F$22,$A41,0)</f>
        <v>966.27754935873747</v>
      </c>
      <c r="Z41" s="209">
        <f>'Current - Sales, NWP, GWP'!Z42/VLOOKUP(COUNTA(Z$4:$AC$4),'Dev Patterns'!$B$6:$F$22,$A41,0)</f>
        <v>968.47479262573722</v>
      </c>
      <c r="AA41" s="209">
        <f>'Current - Sales, NWP, GWP'!AA42/VLOOKUP(COUNTA(AA$4:$AC$4),'Dev Patterns'!$B$6:$F$22,$A41,0)</f>
        <v>1058.0360744857287</v>
      </c>
      <c r="AB41" s="265">
        <f>'Current - Sales, NWP, GWP'!AB42/VLOOKUP(COUNTA(AB$4:$AC$4),'Dev Patterns'!$B$6:$F$22,$A41,0)</f>
        <v>975.47655195901484</v>
      </c>
      <c r="AC41" s="209">
        <f>'Current - Sales, NWP, GWP'!AC42/VLOOKUP(COUNTA(AC$4:$AC$4),'Dev Patterns'!$B$6:$F$22,$A41,0)</f>
        <v>880.95241759729788</v>
      </c>
      <c r="AD41" s="209">
        <f>'Current - Sales, NWP, GWP'!AD42/VLOOKUP(COUNTA($AC$4:AD$4),'Dev Patterns'!$B$6:$F$22,$A41,0)</f>
        <v>683.36465160980094</v>
      </c>
      <c r="AE41" s="209">
        <f>'Current - Sales, NWP, GWP'!AE42/VLOOKUP(COUNTA($AC$4:AE$4),'Dev Patterns'!$B$6:$F$22,$A41,0)</f>
        <v>765.52191954049647</v>
      </c>
      <c r="AF41" s="209">
        <f>'Current - Sales, NWP, GWP'!AF42/VLOOKUP(COUNTA($AC$4:AF$4),'Dev Patterns'!$B$6:$F$22,$A41,0)</f>
        <v>758.81524955580028</v>
      </c>
      <c r="AG41" s="209">
        <f>'Current - Sales, NWP, GWP'!AG42/VLOOKUP(COUNTA($AC$4:AG$4),'Dev Patterns'!$B$6:$F$22,$A41,0)</f>
        <v>839.59015603398223</v>
      </c>
      <c r="AH41" s="209">
        <f>'Current - Sales, NWP, GWP'!AH42/VLOOKUP(COUNTA($AC$4:AH$4),'Dev Patterns'!$B$6:$F$22,$A41,0)</f>
        <v>697.16869487910515</v>
      </c>
      <c r="AI41" s="209">
        <f>'Current - Sales, NWP, GWP'!AI42/VLOOKUP(COUNTA($AC$4:AI$4),'Dev Patterns'!$B$6:$F$22,$A41,0)</f>
        <v>698.49754705585326</v>
      </c>
      <c r="AJ41" s="209">
        <f>'Current - Sales, NWP, GWP'!AJ42/VLOOKUP(COUNTA($AC$4:AJ$4),'Dev Patterns'!$B$6:$F$22,$A41,0)</f>
        <v>324.28900812283695</v>
      </c>
      <c r="AK41" s="209">
        <f>'Current - Sales, NWP, GWP'!AK42/VLOOKUP(COUNTA($AC$4:AK$4),'Dev Patterns'!$B$6:$F$22,$A41,0)</f>
        <v>0</v>
      </c>
      <c r="AL41" s="209">
        <f>'Current - Sales, NWP, GWP'!AL42/VLOOKUP(COUNTA($AC$4:AL$4),'Dev Patterns'!$B$6:$F$22,$A41,0)</f>
        <v>0</v>
      </c>
      <c r="AM41" s="209">
        <f>'Current - Sales, NWP, GWP'!AM42/VLOOKUP(COUNTA($AC$4:AM$4),'Dev Patterns'!$B$6:$F$22,$A41,0)</f>
        <v>0</v>
      </c>
      <c r="AN41" s="265">
        <f>'Current - Sales, NWP, GWP'!AN42/VLOOKUP(COUNTA($AC$4:AN$4),'Dev Patterns'!$B$6:$F$22,$A41,0)</f>
        <v>0</v>
      </c>
      <c r="AO41" s="237">
        <f t="shared" ref="AO41:AO46" si="36">AVERAGE(Z41:AC41)</f>
        <v>970.73495916694458</v>
      </c>
      <c r="AP41" s="209">
        <f>AVERAGE(R41:AC41)</f>
        <v>1299.3048672903992</v>
      </c>
      <c r="AQ41" s="238">
        <f>SUMIFS(AC41:AN41,AC$4:AN$4,"&lt;"&amp;'Title Sheet'!$C$13)</f>
        <v>5648.199644395173</v>
      </c>
    </row>
    <row r="42" spans="1:43" ht="15.75" hidden="1" outlineLevel="1" x14ac:dyDescent="0.25">
      <c r="B42" t="str">
        <f>$D$21&amp;"_W VYRs"</f>
        <v>PC Annual Direct - Annual_W VYRs</v>
      </c>
      <c r="C42" t="str">
        <f>$C41</f>
        <v>Boom Annual</v>
      </c>
      <c r="D42" s="211" t="s">
        <v>317</v>
      </c>
      <c r="E42" s="31" t="e">
        <f>INDEX('Plan Figures'!$B$5:$AP$31,MATCH('Ultimate - MPM only'!E$4,'Plan Figures'!$B$5:$B$31,0),MATCH('Ultimate - MPM only'!$B42,'Plan Figures'!$B$1:$AP$1,0))</f>
        <v>#N/A</v>
      </c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6"/>
      <c r="Q42" s="31"/>
      <c r="R42" s="31" t="str">
        <f>INDEX('Plan Figures'!$B$5:$AP$31,MATCH('Ultimate - MPM only'!R$4,'Plan Figures'!$B$5:$B$31,0),MATCH('Ultimate - MPM only'!$B42,'Plan Figures'!$B$1:$AP$1,0))</f>
        <v>-</v>
      </c>
      <c r="S42" s="31" t="str">
        <f>INDEX('Plan Figures'!$B$5:$AP$31,MATCH('Ultimate - MPM only'!S$4,'Plan Figures'!$B$5:$B$31,0),MATCH('Ultimate - MPM only'!$B42,'Plan Figures'!$B$1:$AP$1,0))</f>
        <v>-</v>
      </c>
      <c r="T42" s="31" t="str">
        <f>INDEX('Plan Figures'!$B$5:$AP$31,MATCH('Ultimate - MPM only'!T$4,'Plan Figures'!$B$5:$B$31,0),MATCH('Ultimate - MPM only'!$B42,'Plan Figures'!$B$1:$AP$1,0))</f>
        <v>-</v>
      </c>
      <c r="U42" s="31" t="str">
        <f>INDEX('Plan Figures'!$B$5:$AP$31,MATCH('Ultimate - MPM only'!U$4,'Plan Figures'!$B$5:$B$31,0),MATCH('Ultimate - MPM only'!$B42,'Plan Figures'!$B$1:$AP$1,0))</f>
        <v>-</v>
      </c>
      <c r="V42" s="31" t="str">
        <f>INDEX('Plan Figures'!$B$5:$AP$31,MATCH('Ultimate - MPM only'!V$4,'Plan Figures'!$B$5:$B$31,0),MATCH('Ultimate - MPM only'!$B42,'Plan Figures'!$B$1:$AP$1,0))</f>
        <v>-</v>
      </c>
      <c r="W42" s="31" t="str">
        <f>INDEX('Plan Figures'!$B$5:$AP$31,MATCH('Ultimate - MPM only'!W$4,'Plan Figures'!$B$5:$B$31,0),MATCH('Ultimate - MPM only'!$B42,'Plan Figures'!$B$1:$AP$1,0))</f>
        <v>-</v>
      </c>
      <c r="X42" s="31" t="str">
        <f>INDEX('Plan Figures'!$B$5:$AP$31,MATCH('Ultimate - MPM only'!X$4,'Plan Figures'!$B$5:$B$31,0),MATCH('Ultimate - MPM only'!$B42,'Plan Figures'!$B$1:$AP$1,0))</f>
        <v>-</v>
      </c>
      <c r="Y42" s="31" t="str">
        <f>INDEX('Plan Figures'!$B$5:$AP$31,MATCH('Ultimate - MPM only'!Y$4,'Plan Figures'!$B$5:$B$31,0),MATCH('Ultimate - MPM only'!$B42,'Plan Figures'!$B$1:$AP$1,0))</f>
        <v>-</v>
      </c>
      <c r="Z42" s="31" t="str">
        <f>INDEX('Plan Figures'!$B$5:$AP$31,MATCH('Ultimate - MPM only'!Z$4,'Plan Figures'!$B$5:$B$31,0),MATCH('Ultimate - MPM only'!$B42,'Plan Figures'!$B$1:$AP$1,0))</f>
        <v>-</v>
      </c>
      <c r="AA42" s="31">
        <f>INDEX('Plan Figures'!$B$5:$AP$31,MATCH('Ultimate - MPM only'!AA$4,'Plan Figures'!$B$5:$B$31,0),MATCH('Ultimate - MPM only'!$B42,'Plan Figures'!$B$1:$AP$1,0))</f>
        <v>1113.4200697273855</v>
      </c>
      <c r="AB42" s="266">
        <f>INDEX('Plan Figures'!$B$5:$AP$31,MATCH('Ultimate - MPM only'!AB$4,'Plan Figures'!$B$5:$B$31,0),MATCH('Ultimate - MPM only'!$B42,'Plan Figures'!$B$1:$AP$1,0))</f>
        <v>989.67431218271486</v>
      </c>
      <c r="AC42" s="31">
        <f>INDEX('Plan Figures'!$B$5:$AP$31,MATCH('Ultimate - MPM only'!AC$4,'Plan Figures'!$B$5:$B$31,0),MATCH('Ultimate - MPM only'!$B42,'Plan Figures'!$B$1:$AP$1,0))</f>
        <v>1210.5482166933789</v>
      </c>
      <c r="AD42" s="31">
        <f>INDEX('Plan Figures'!$B$5:$AP$42,MATCH('Ultimate - MPM only'!AD$4,'Plan Figures'!$B$5:$B$42,0),MATCH('Ultimate - MPM only'!$B42,'Plan Figures'!$B$1:$AP$1,0))</f>
        <v>1208.1319527878034</v>
      </c>
      <c r="AE42" s="31">
        <f>INDEX('Plan Figures'!$B$5:$AP$42,MATCH('Ultimate - MPM only'!AE$4,'Plan Figures'!$B$5:$B$42,0),MATCH('Ultimate - MPM only'!$B42,'Plan Figures'!$B$1:$AP$1,0))</f>
        <v>1205.7205117642748</v>
      </c>
      <c r="AF42" s="31">
        <f>INDEX('Plan Figures'!$B$5:$AP$42,MATCH('Ultimate - MPM only'!AF$4,'Plan Figures'!$B$5:$B$42,0),MATCH('Ultimate - MPM only'!$B42,'Plan Figures'!$B$1:$AP$1,0))</f>
        <v>1203.3138839962821</v>
      </c>
      <c r="AG42" s="31">
        <f>INDEX('Plan Figures'!$B$5:$AP$42,MATCH('Ultimate - MPM only'!AG$4,'Plan Figures'!$B$5:$B$42,0),MATCH('Ultimate - MPM only'!$B42,'Plan Figures'!$B$1:$AP$1,0))</f>
        <v>1201.0207575202833</v>
      </c>
      <c r="AH42" s="31">
        <f>INDEX('Plan Figures'!$B$5:$AP$42,MATCH('Ultimate - MPM only'!AH$4,'Plan Figures'!$B$5:$B$42,0),MATCH('Ultimate - MPM only'!$B42,'Plan Figures'!$B$1:$AP$1,0))</f>
        <v>1228.875833502128</v>
      </c>
      <c r="AI42" s="31">
        <f>INDEX('Plan Figures'!$B$5:$AP$42,MATCH('Ultimate - MPM only'!AI$4,'Plan Figures'!$B$5:$B$42,0),MATCH('Ultimate - MPM only'!$B42,'Plan Figures'!$B$1:$AP$1,0))</f>
        <v>1163.6668411466933</v>
      </c>
      <c r="AJ42" s="31">
        <f>INDEX('Plan Figures'!$B$5:$AP$42,MATCH('Ultimate - MPM only'!AJ$4,'Plan Figures'!$B$5:$B$42,0),MATCH('Ultimate - MPM only'!$B42,'Plan Figures'!$B$1:$AP$1,0))</f>
        <v>1142.8043600541273</v>
      </c>
      <c r="AK42" s="31">
        <f>INDEX('Plan Figures'!$B$5:$AP$42,MATCH('Ultimate - MPM only'!AK$4,'Plan Figures'!$B$5:$B$42,0),MATCH('Ultimate - MPM only'!$B42,'Plan Figures'!$B$1:$AP$1,0))</f>
        <v>1583.4171745261115</v>
      </c>
      <c r="AL42" s="31">
        <f>INDEX('Plan Figures'!$B$5:$AP$42,MATCH('Ultimate - MPM only'!AL$4,'Plan Figures'!$B$5:$B$42,0),MATCH('Ultimate - MPM only'!$B42,'Plan Figures'!$B$1:$AP$1,0))</f>
        <v>1633.4199796082153</v>
      </c>
      <c r="AM42" s="31">
        <f>INDEX('Plan Figures'!$B$5:$AP$42,MATCH('Ultimate - MPM only'!AM$4,'Plan Figures'!$B$5:$B$42,0),MATCH('Ultimate - MPM only'!$B42,'Plan Figures'!$B$1:$AP$1,0))</f>
        <v>1421.9431064527189</v>
      </c>
      <c r="AN42" s="266">
        <f>INDEX('Plan Figures'!$B$5:$AP$42,MATCH('Ultimate - MPM only'!AN$4,'Plan Figures'!$B$5:$B$42,0),MATCH('Ultimate - MPM only'!$B42,'Plan Figures'!$B$1:$AP$1,0))</f>
        <v>1292.0881451523526</v>
      </c>
      <c r="AO42" s="239">
        <f t="shared" si="36"/>
        <v>1104.5475328678265</v>
      </c>
      <c r="AP42" s="31">
        <f t="shared" ref="AP42:AP46" si="37">AVERAGE(R42:AC42)</f>
        <v>1104.5475328678265</v>
      </c>
      <c r="AQ42" s="240">
        <f>SUMIFS(AC42:AN42,AC$4:AN$4,"&lt;"&amp;'Title Sheet'!$C$13)</f>
        <v>15494.950763204368</v>
      </c>
    </row>
    <row r="43" spans="1:43" ht="15.75" hidden="1" outlineLevel="1" x14ac:dyDescent="0.25">
      <c r="B43" t="str">
        <f t="shared" ref="B43:B52" si="38">$D$2</f>
        <v>PC Annual Direct</v>
      </c>
      <c r="C43" t="str">
        <f t="shared" ref="C43:C52" si="39">$C42</f>
        <v>Boom Annual</v>
      </c>
      <c r="D43" s="213" t="s">
        <v>0</v>
      </c>
      <c r="E43" s="214" t="str">
        <f t="shared" ref="E43:AN43" si="40">IFERROR(IF(E41=0,"-",(E41/E42)-1),"-")</f>
        <v>-</v>
      </c>
      <c r="F43" s="214" t="str">
        <f t="shared" si="40"/>
        <v>-</v>
      </c>
      <c r="G43" s="214" t="str">
        <f t="shared" si="40"/>
        <v>-</v>
      </c>
      <c r="H43" s="214" t="str">
        <f t="shared" si="40"/>
        <v>-</v>
      </c>
      <c r="I43" s="214" t="str">
        <f t="shared" si="40"/>
        <v>-</v>
      </c>
      <c r="J43" s="214" t="str">
        <f t="shared" si="40"/>
        <v>-</v>
      </c>
      <c r="K43" s="214" t="str">
        <f t="shared" si="40"/>
        <v>-</v>
      </c>
      <c r="L43" s="214" t="str">
        <f t="shared" si="40"/>
        <v>-</v>
      </c>
      <c r="M43" s="214" t="str">
        <f t="shared" si="40"/>
        <v>-</v>
      </c>
      <c r="N43" s="214" t="str">
        <f t="shared" si="40"/>
        <v>-</v>
      </c>
      <c r="O43" s="214" t="str">
        <f t="shared" si="40"/>
        <v>-</v>
      </c>
      <c r="P43" s="270" t="str">
        <f t="shared" si="40"/>
        <v>-</v>
      </c>
      <c r="Q43" s="214" t="str">
        <f t="shared" si="40"/>
        <v>-</v>
      </c>
      <c r="R43" s="214" t="str">
        <f t="shared" si="40"/>
        <v>-</v>
      </c>
      <c r="S43" s="214" t="str">
        <f t="shared" si="40"/>
        <v>-</v>
      </c>
      <c r="T43" s="214" t="str">
        <f t="shared" si="40"/>
        <v>-</v>
      </c>
      <c r="U43" s="214" t="str">
        <f t="shared" si="40"/>
        <v>-</v>
      </c>
      <c r="V43" s="214" t="str">
        <f t="shared" si="40"/>
        <v>-</v>
      </c>
      <c r="W43" s="214" t="str">
        <f t="shared" si="40"/>
        <v>-</v>
      </c>
      <c r="X43" s="214" t="str">
        <f t="shared" si="40"/>
        <v>-</v>
      </c>
      <c r="Y43" s="214" t="str">
        <f t="shared" si="40"/>
        <v>-</v>
      </c>
      <c r="Z43" s="214" t="str">
        <f t="shared" si="40"/>
        <v>-</v>
      </c>
      <c r="AA43" s="214">
        <f t="shared" si="40"/>
        <v>-4.9742228245640674E-2</v>
      </c>
      <c r="AB43" s="270">
        <f t="shared" si="40"/>
        <v>-1.434589141996323E-2</v>
      </c>
      <c r="AC43" s="214">
        <f t="shared" si="40"/>
        <v>-0.27226986463734115</v>
      </c>
      <c r="AD43" s="214">
        <f t="shared" si="40"/>
        <v>-0.43436257104787679</v>
      </c>
      <c r="AE43" s="214">
        <f t="shared" si="40"/>
        <v>-0.36509173388752936</v>
      </c>
      <c r="AF43" s="214">
        <f t="shared" si="40"/>
        <v>-0.36939541739872028</v>
      </c>
      <c r="AG43" s="214">
        <f t="shared" si="40"/>
        <v>-0.30093618217934681</v>
      </c>
      <c r="AH43" s="214">
        <f t="shared" si="40"/>
        <v>-0.43267767509735322</v>
      </c>
      <c r="AI43" s="214">
        <f t="shared" si="40"/>
        <v>-0.39974439215992075</v>
      </c>
      <c r="AJ43" s="214">
        <f t="shared" si="40"/>
        <v>-0.71623401217380955</v>
      </c>
      <c r="AK43" s="214" t="str">
        <f t="shared" si="40"/>
        <v>-</v>
      </c>
      <c r="AL43" s="214" t="str">
        <f t="shared" si="40"/>
        <v>-</v>
      </c>
      <c r="AM43" s="214" t="str">
        <f t="shared" si="40"/>
        <v>-</v>
      </c>
      <c r="AN43" s="270" t="str">
        <f t="shared" si="40"/>
        <v>-</v>
      </c>
      <c r="AO43" s="274">
        <f t="shared" si="36"/>
        <v>-0.11211932810098169</v>
      </c>
      <c r="AP43" s="275">
        <f t="shared" si="37"/>
        <v>-0.11211932810098169</v>
      </c>
      <c r="AQ43" s="276">
        <f t="shared" ref="AQ43" si="41">IFERROR(IF(AQ41=0,"-",(AQ41/AQ42)-1),"-")</f>
        <v>-0.6354812783395305</v>
      </c>
    </row>
    <row r="44" spans="1:43" ht="15.75" outlineLevel="1" x14ac:dyDescent="0.25">
      <c r="A44">
        <v>4</v>
      </c>
      <c r="B44" t="str">
        <f t="shared" si="38"/>
        <v>PC Annual Direct</v>
      </c>
      <c r="C44" t="str">
        <f t="shared" si="39"/>
        <v>Boom Annual</v>
      </c>
      <c r="D44" s="208" t="s">
        <v>5</v>
      </c>
      <c r="E44" s="209">
        <f>'Current - MPM only'!E44/VLOOKUP(COUNTA(E$4:$AE$4),'Dev Patterns'!$B$6:$F$34,$A44,0)</f>
        <v>0</v>
      </c>
      <c r="F44" s="209">
        <f>'Current - MPM only'!F44/VLOOKUP(COUNTA(F$4:$AE$4),'Dev Patterns'!$B$6:$F$34,$A44,0)</f>
        <v>0</v>
      </c>
      <c r="G44" s="209">
        <f>'Current - MPM only'!G44/VLOOKUP(COUNTA(G$4:$AE$4),'Dev Patterns'!$B$6:$F$34,$A44,0)</f>
        <v>0</v>
      </c>
      <c r="H44" s="209">
        <f>'Current - MPM only'!H44/VLOOKUP(COUNTA(H$4:$AE$4),'Dev Patterns'!$B$6:$F$34,$A44,0)</f>
        <v>0</v>
      </c>
      <c r="I44" s="209">
        <f>'Current - MPM only'!I44/VLOOKUP(COUNTA(I$4:$AE$4),'Dev Patterns'!$B$6:$F$34,$A44,0)</f>
        <v>0</v>
      </c>
      <c r="J44" s="209">
        <f>'Current - MPM only'!J44/VLOOKUP(COUNTA(J$4:$AE$4),'Dev Patterns'!$B$6:$F$34,$A44,0)</f>
        <v>0</v>
      </c>
      <c r="K44" s="209">
        <f>'Current - MPM only'!K44/VLOOKUP(COUNTA(K$4:$AE$4),'Dev Patterns'!$B$6:$F$34,$A44,0)</f>
        <v>0</v>
      </c>
      <c r="L44" s="209">
        <f>'Current - MPM only'!L44/VLOOKUP(COUNTA(L$4:$AE$4),'Dev Patterns'!$B$6:$F$34,$A44,0)</f>
        <v>0</v>
      </c>
      <c r="M44" s="209">
        <f>'Current - MPM only'!M44/VLOOKUP(COUNTA(M$4:$AE$4),'Dev Patterns'!$B$6:$F$34,$A44,0)</f>
        <v>0</v>
      </c>
      <c r="N44" s="209">
        <f>'Current - MPM only'!N44/VLOOKUP(COUNTA(N$4:$AE$4),'Dev Patterns'!$B$6:$F$34,$A44,0)</f>
        <v>0</v>
      </c>
      <c r="O44" s="209">
        <f>'Current - MPM only'!O44/VLOOKUP(COUNTA(O$4:$AE$4),'Dev Patterns'!$B$6:$F$34,$A44,0)</f>
        <v>0</v>
      </c>
      <c r="P44" s="265">
        <f>'Current - MPM only'!P44/VLOOKUP(COUNTA(P$4:$AE$4),'Dev Patterns'!$B$6:$F$34,$A44,0)</f>
        <v>0</v>
      </c>
      <c r="Q44" s="209">
        <f>'Current - MPM only'!Q44/VLOOKUP(COUNTA(Q$4:$AE$4),'Dev Patterns'!$B$6:$F$34,$A44,0)</f>
        <v>0</v>
      </c>
      <c r="R44" s="209">
        <f>'Current - MPM only'!R44/VLOOKUP(COUNTA(R$4:$AE$4),'Dev Patterns'!$B$6:$F$34,$A44,0)</f>
        <v>0</v>
      </c>
      <c r="S44" s="209">
        <f>'Current - MPM only'!S44/VLOOKUP(COUNTA(S$4:$AE$4),'Dev Patterns'!$B$6:$F$34,$A44,0)</f>
        <v>0</v>
      </c>
      <c r="T44" s="209">
        <f>'Current - MPM only'!T44/VLOOKUP(COUNTA(T$4:$AE$4),'Dev Patterns'!$B$6:$F$34,$A44,0)</f>
        <v>0</v>
      </c>
      <c r="U44" s="209">
        <f>'Current - MPM only'!U44/VLOOKUP(COUNTA(U$4:$AE$4),'Dev Patterns'!$B$6:$F$34,$A44,0)</f>
        <v>40926.697830014491</v>
      </c>
      <c r="V44" s="209">
        <f>'Current - MPM only'!V44/VLOOKUP(COUNTA(V$4:$AE$4),'Dev Patterns'!$B$6:$F$34,$A44,0)</f>
        <v>944173.54270274728</v>
      </c>
      <c r="W44" s="209">
        <f>'Current - MPM only'!W44/VLOOKUP(COUNTA(W$4:$AE$4),'Dev Patterns'!$B$6:$F$34,$A44,0)</f>
        <v>893841.32841079542</v>
      </c>
      <c r="X44" s="209">
        <f>'Current - MPM only'!X44/VLOOKUP(COUNTA(X$4:$AE$4),'Dev Patterns'!$B$6:$F$34,$A44,0)</f>
        <v>1065535.4608737039</v>
      </c>
      <c r="Y44" s="209">
        <f>'Current - MPM only'!Y44/VLOOKUP(COUNTA(Y$4:$AE$4),'Dev Patterns'!$B$6:$F$34,$A44,0)</f>
        <v>1106835.9360740939</v>
      </c>
      <c r="Z44" s="209">
        <f>'Current - MPM only'!Z44/VLOOKUP(COUNTA(Z$4:$AE$4),'Dev Patterns'!$B$6:$F$34,$A44,0)</f>
        <v>1324138.2795783167</v>
      </c>
      <c r="AA44" s="209">
        <f>'Current - MPM only'!AA44/VLOOKUP(COUNTA(AA$4:$AE$4),'Dev Patterns'!$B$6:$F$34,$A44,0)</f>
        <v>1815546.5961625825</v>
      </c>
      <c r="AB44" s="265">
        <f>'Current - MPM only'!AB44/VLOOKUP(COUNTA(AB$4:$AE$4),'Dev Patterns'!$B$6:$F$34,$A44,0)</f>
        <v>1604794.8062612936</v>
      </c>
      <c r="AC44" s="209">
        <f>'Current - MPM only'!AC44/VLOOKUP(COUNTA(AC$4:$AE$4),'Dev Patterns'!$B$6:$F$34,$A44,0)</f>
        <v>1613431.418178566</v>
      </c>
      <c r="AD44" s="209">
        <f>'Current - MPM only'!AD44/VLOOKUP(COUNTA(AD$4:$AE$4),'Dev Patterns'!$B$6:$F$34,$A44,0)</f>
        <v>1434273.2986867821</v>
      </c>
      <c r="AE44" s="209">
        <f>'Current - MPM only'!AE44/VLOOKUP(COUNTA(AE$4:$AE$4),'Dev Patterns'!$B$6:$F$34,$A44,0)</f>
        <v>1861936.3215512976</v>
      </c>
      <c r="AF44" s="209">
        <f>'Current - MPM only'!AF44/VLOOKUP(COUNTA($AE$4:AF$4),'Dev Patterns'!$B$6:$F$34,$A44,0)</f>
        <v>1582583.9507526932</v>
      </c>
      <c r="AG44" s="209">
        <f>'Current - MPM only'!AG44/VLOOKUP(COUNTA($AE$4:AG$4),'Dev Patterns'!$B$6:$F$34,$A44,0)</f>
        <v>1585022.8591461624</v>
      </c>
      <c r="AH44" s="209">
        <f>'Current - MPM only'!AH44/VLOOKUP(COUNTA($AE$4:AH$4),'Dev Patterns'!$B$6:$F$34,$A44,0)</f>
        <v>1323421.9244925519</v>
      </c>
      <c r="AI44" s="209">
        <f>'Current - MPM only'!AI44/VLOOKUP(COUNTA($AE$4:AI$4),'Dev Patterns'!$B$6:$F$34,$A44,0)</f>
        <v>1085222.6217972687</v>
      </c>
      <c r="AJ44" s="209">
        <f>'Current - MPM only'!AJ44/VLOOKUP(COUNTA($AE$4:AJ$4),'Dev Patterns'!$B$6:$F$34,$A44,0)</f>
        <v>941098.76606741117</v>
      </c>
      <c r="AK44" s="209">
        <f>'Current - MPM only'!AK44/VLOOKUP(COUNTA($AE$4:AK$4),'Dev Patterns'!$B$6:$F$34,$A44,0)</f>
        <v>906335.06364531105</v>
      </c>
      <c r="AL44" s="209">
        <f>'Current - MPM only'!AL44/VLOOKUP(COUNTA($AE$4:AL$4),'Dev Patterns'!$B$6:$F$34,$A44,0)</f>
        <v>884035.4231815167</v>
      </c>
      <c r="AM44" s="209">
        <f>'Current - MPM only'!AM44/VLOOKUP(COUNTA($AE$4:AM$4),'Dev Patterns'!$B$6:$F$34,$A44,0)</f>
        <v>1004504.2586663573</v>
      </c>
      <c r="AN44" s="265">
        <f>'Current - MPM only'!AN44/VLOOKUP(COUNTA($AE$4:AN$4),'Dev Patterns'!$B$6:$F$34,$A44,0)</f>
        <v>939041.01060329506</v>
      </c>
      <c r="AO44" s="237">
        <f t="shared" si="36"/>
        <v>1589477.7750451895</v>
      </c>
      <c r="AP44" s="209">
        <f t="shared" si="37"/>
        <v>867435.33883934282</v>
      </c>
      <c r="AQ44" s="238">
        <f>SUMIFS(AC44:AN44,AC$4:AN$4,"&lt;"&amp;'Title Sheet'!$C$13)</f>
        <v>15160906.916769214</v>
      </c>
    </row>
    <row r="45" spans="1:43" ht="15.75" outlineLevel="1" x14ac:dyDescent="0.25">
      <c r="B45" t="str">
        <f>$D$21&amp;"_NWP"</f>
        <v>PC Annual Direct - Annual_NWP</v>
      </c>
      <c r="C45" t="str">
        <f t="shared" si="39"/>
        <v>Boom Annual</v>
      </c>
      <c r="D45" s="211" t="s">
        <v>6</v>
      </c>
      <c r="E45" s="31" t="e">
        <f>INDEX('Plan Figures'!$B$5:$AP$31,MATCH('Ultimate - MPM only'!E$4,'Plan Figures'!$B$5:$B$31,0),MATCH('Ultimate - MPM only'!$B45,'Plan Figures'!$B$1:$AP$1,0))</f>
        <v>#N/A</v>
      </c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266"/>
      <c r="Q45" s="31"/>
      <c r="R45" s="31" t="str">
        <f>INDEX('Plan Figures'!$B$5:$AP$31,MATCH('Ultimate - MPM only'!R$4,'Plan Figures'!$B$5:$B$31,0),MATCH('Ultimate - MPM only'!$B45,'Plan Figures'!$B$1:$AP$1,0))</f>
        <v>-</v>
      </c>
      <c r="S45" s="31" t="str">
        <f>INDEX('Plan Figures'!$B$5:$AP$31,MATCH('Ultimate - MPM only'!S$4,'Plan Figures'!$B$5:$B$31,0),MATCH('Ultimate - MPM only'!$B45,'Plan Figures'!$B$1:$AP$1,0))</f>
        <v>-</v>
      </c>
      <c r="T45" s="31" t="str">
        <f>INDEX('Plan Figures'!$B$5:$AP$31,MATCH('Ultimate - MPM only'!T$4,'Plan Figures'!$B$5:$B$31,0),MATCH('Ultimate - MPM only'!$B45,'Plan Figures'!$B$1:$AP$1,0))</f>
        <v>-</v>
      </c>
      <c r="U45" s="31" t="str">
        <f>INDEX('Plan Figures'!$B$5:$AP$31,MATCH('Ultimate - MPM only'!U$4,'Plan Figures'!$B$5:$B$31,0),MATCH('Ultimate - MPM only'!$B45,'Plan Figures'!$B$1:$AP$1,0))</f>
        <v>-</v>
      </c>
      <c r="V45" s="31" t="str">
        <f>INDEX('Plan Figures'!$B$5:$AP$31,MATCH('Ultimate - MPM only'!V$4,'Plan Figures'!$B$5:$B$31,0),MATCH('Ultimate - MPM only'!$B45,'Plan Figures'!$B$1:$AP$1,0))</f>
        <v>-</v>
      </c>
      <c r="W45" s="31" t="str">
        <f>INDEX('Plan Figures'!$B$5:$AP$31,MATCH('Ultimate - MPM only'!W$4,'Plan Figures'!$B$5:$B$31,0),MATCH('Ultimate - MPM only'!$B45,'Plan Figures'!$B$1:$AP$1,0))</f>
        <v>-</v>
      </c>
      <c r="X45" s="31" t="str">
        <f>INDEX('Plan Figures'!$B$5:$AP$31,MATCH('Ultimate - MPM only'!X$4,'Plan Figures'!$B$5:$B$31,0),MATCH('Ultimate - MPM only'!$B45,'Plan Figures'!$B$1:$AP$1,0))</f>
        <v>-</v>
      </c>
      <c r="Y45" s="31" t="str">
        <f>INDEX('Plan Figures'!$B$5:$AP$31,MATCH('Ultimate - MPM only'!Y$4,'Plan Figures'!$B$5:$B$31,0),MATCH('Ultimate - MPM only'!$B45,'Plan Figures'!$B$1:$AP$1,0))</f>
        <v>-</v>
      </c>
      <c r="Z45" s="31" t="str">
        <f>INDEX('Plan Figures'!$B$5:$AP$31,MATCH('Ultimate - MPM only'!Z$4,'Plan Figures'!$B$5:$B$31,0),MATCH('Ultimate - MPM only'!$B45,'Plan Figures'!$B$1:$AP$1,0))</f>
        <v>-</v>
      </c>
      <c r="AA45" s="31">
        <f>INDEX('Plan Figures'!$B$5:$AP$31,MATCH('Ultimate - MPM only'!AA$4,'Plan Figures'!$B$5:$B$31,0),MATCH('Ultimate - MPM only'!$B45,'Plan Figures'!$B$1:$AP$1,0))</f>
        <v>1201948.8602582696</v>
      </c>
      <c r="AB45" s="266">
        <f>INDEX('Plan Figures'!$B$5:$AP$31,MATCH('Ultimate - MPM only'!AB$4,'Plan Figures'!$B$5:$B$31,0),MATCH('Ultimate - MPM only'!$B45,'Plan Figures'!$B$1:$AP$1,0))</f>
        <v>1130181.9540233866</v>
      </c>
      <c r="AC45" s="31">
        <f>INDEX('Plan Figures'!$B$5:$AP$31,MATCH('Ultimate - MPM only'!AC$4,'Plan Figures'!$B$5:$B$31,0),MATCH('Ultimate - MPM only'!$B45,'Plan Figures'!$B$1:$AP$1,0))</f>
        <v>1235960.0527141613</v>
      </c>
      <c r="AD45" s="31">
        <f>INDEX('Plan Figures'!$B$5:$AP$42,MATCH('Ultimate - MPM only'!AD$4,'Plan Figures'!$B$5:$B$42,0),MATCH('Ultimate - MPM only'!$B45,'Plan Figures'!$B$1:$AP$1,0))</f>
        <v>1333459.558352059</v>
      </c>
      <c r="AE45" s="31">
        <f>INDEX('Plan Figures'!$B$5:$AP$42,MATCH('Ultimate - MPM only'!AE$4,'Plan Figures'!$B$5:$B$42,0),MATCH('Ultimate - MPM only'!$B45,'Plan Figures'!$B$1:$AP$1,0))</f>
        <v>1387558.0023525297</v>
      </c>
      <c r="AF45" s="31">
        <f>INDEX('Plan Figures'!$B$5:$AP$42,MATCH('Ultimate - MPM only'!AF$4,'Plan Figures'!$B$5:$B$42,0),MATCH('Ultimate - MPM only'!$B45,'Plan Figures'!$B$1:$AP$1,0))</f>
        <v>1433144.0223048357</v>
      </c>
      <c r="AG45" s="31">
        <f>INDEX('Plan Figures'!$B$5:$AP$42,MATCH('Ultimate - MPM only'!AG$4,'Plan Figures'!$B$5:$B$42,0),MATCH('Ultimate - MPM only'!$B45,'Plan Figures'!$B$1:$AP$1,0))</f>
        <v>1450615.9831731343</v>
      </c>
      <c r="AH45" s="31">
        <f>INDEX('Plan Figures'!$B$5:$AP$42,MATCH('Ultimate - MPM only'!AH$4,'Plan Figures'!$B$5:$B$42,0),MATCH('Ultimate - MPM only'!$B45,'Plan Figures'!$B$1:$AP$1,0))</f>
        <v>1477938.9090293914</v>
      </c>
      <c r="AI45" s="31">
        <f>INDEX('Plan Figures'!$B$5:$AP$42,MATCH('Ultimate - MPM only'!AI$4,'Plan Figures'!$B$5:$B$42,0),MATCH('Ultimate - MPM only'!$B45,'Plan Figures'!$B$1:$AP$1,0))</f>
        <v>1091240.230856986</v>
      </c>
      <c r="AJ45" s="31">
        <f>INDEX('Plan Figures'!$B$5:$AP$42,MATCH('Ultimate - MPM only'!AJ$4,'Plan Figures'!$B$5:$B$42,0),MATCH('Ultimate - MPM only'!$B45,'Plan Figures'!$B$1:$AP$1,0))</f>
        <v>1077448.4163922931</v>
      </c>
      <c r="AK45" s="31">
        <f>INDEX('Plan Figures'!$B$5:$AP$42,MATCH('Ultimate - MPM only'!AK$4,'Plan Figures'!$B$5:$B$42,0),MATCH('Ultimate - MPM only'!$B45,'Plan Figures'!$B$1:$AP$1,0))</f>
        <v>1476073.2552601595</v>
      </c>
      <c r="AL45" s="31">
        <f>INDEX('Plan Figures'!$B$5:$AP$42,MATCH('Ultimate - MPM only'!AL$4,'Plan Figures'!$B$5:$B$42,0),MATCH('Ultimate - MPM only'!$B45,'Plan Figures'!$B$1:$AP$1,0))</f>
        <v>1607394.6364770622</v>
      </c>
      <c r="AM45" s="31">
        <f>INDEX('Plan Figures'!$B$5:$AP$42,MATCH('Ultimate - MPM only'!AM$4,'Plan Figures'!$B$5:$B$42,0),MATCH('Ultimate - MPM only'!$B45,'Plan Figures'!$B$1:$AP$1,0))</f>
        <v>1381402.3361292861</v>
      </c>
      <c r="AN45" s="266">
        <f>INDEX('Plan Figures'!$B$5:$AP$42,MATCH('Ultimate - MPM only'!AN$4,'Plan Figures'!$B$5:$B$42,0),MATCH('Ultimate - MPM only'!$B45,'Plan Figures'!$B$1:$AP$1,0))</f>
        <v>1254506.4774169179</v>
      </c>
      <c r="AO45" s="239">
        <f t="shared" si="36"/>
        <v>1189363.6223319394</v>
      </c>
      <c r="AP45" s="31">
        <f t="shared" si="37"/>
        <v>1189363.6223319394</v>
      </c>
      <c r="AQ45" s="240">
        <f>SUMIFS(AC45:AN45,AC$4:AN$4,"&lt;"&amp;'Title Sheet'!$C$13)</f>
        <v>16206741.880458815</v>
      </c>
    </row>
    <row r="46" spans="1:43" ht="15.75" outlineLevel="1" x14ac:dyDescent="0.25">
      <c r="B46" t="str">
        <f t="shared" si="38"/>
        <v>PC Annual Direct</v>
      </c>
      <c r="C46" t="str">
        <f t="shared" si="39"/>
        <v>Boom Annual</v>
      </c>
      <c r="D46" s="213" t="s">
        <v>0</v>
      </c>
      <c r="E46" s="214" t="str">
        <f t="shared" ref="E46:AN46" si="42">IFERROR(IF(E44=0,"-",(E44/E45)-1),"-")</f>
        <v>-</v>
      </c>
      <c r="F46" s="214" t="str">
        <f t="shared" si="42"/>
        <v>-</v>
      </c>
      <c r="G46" s="214" t="str">
        <f t="shared" si="42"/>
        <v>-</v>
      </c>
      <c r="H46" s="214" t="str">
        <f t="shared" si="42"/>
        <v>-</v>
      </c>
      <c r="I46" s="214" t="str">
        <f t="shared" si="42"/>
        <v>-</v>
      </c>
      <c r="J46" s="214" t="str">
        <f t="shared" si="42"/>
        <v>-</v>
      </c>
      <c r="K46" s="214" t="str">
        <f t="shared" si="42"/>
        <v>-</v>
      </c>
      <c r="L46" s="214" t="str">
        <f t="shared" si="42"/>
        <v>-</v>
      </c>
      <c r="M46" s="214" t="str">
        <f t="shared" si="42"/>
        <v>-</v>
      </c>
      <c r="N46" s="214" t="str">
        <f t="shared" si="42"/>
        <v>-</v>
      </c>
      <c r="O46" s="214" t="str">
        <f t="shared" si="42"/>
        <v>-</v>
      </c>
      <c r="P46" s="270" t="str">
        <f t="shared" si="42"/>
        <v>-</v>
      </c>
      <c r="Q46" s="214" t="str">
        <f t="shared" si="42"/>
        <v>-</v>
      </c>
      <c r="R46" s="214" t="str">
        <f t="shared" si="42"/>
        <v>-</v>
      </c>
      <c r="S46" s="214" t="str">
        <f t="shared" si="42"/>
        <v>-</v>
      </c>
      <c r="T46" s="214" t="str">
        <f t="shared" si="42"/>
        <v>-</v>
      </c>
      <c r="U46" s="214" t="str">
        <f t="shared" si="42"/>
        <v>-</v>
      </c>
      <c r="V46" s="214" t="str">
        <f t="shared" si="42"/>
        <v>-</v>
      </c>
      <c r="W46" s="214" t="str">
        <f t="shared" si="42"/>
        <v>-</v>
      </c>
      <c r="X46" s="214" t="str">
        <f t="shared" si="42"/>
        <v>-</v>
      </c>
      <c r="Y46" s="214" t="str">
        <f t="shared" si="42"/>
        <v>-</v>
      </c>
      <c r="Z46" s="214" t="str">
        <f t="shared" si="42"/>
        <v>-</v>
      </c>
      <c r="AA46" s="214">
        <f t="shared" si="42"/>
        <v>0.51050236511099634</v>
      </c>
      <c r="AB46" s="270">
        <f t="shared" si="42"/>
        <v>0.41994375378965398</v>
      </c>
      <c r="AC46" s="214">
        <f t="shared" si="42"/>
        <v>0.3054074155839257</v>
      </c>
      <c r="AD46" s="214">
        <f t="shared" si="42"/>
        <v>7.5603147994463882E-2</v>
      </c>
      <c r="AE46" s="214">
        <f t="shared" si="42"/>
        <v>0.34187999232787747</v>
      </c>
      <c r="AF46" s="214">
        <f t="shared" si="42"/>
        <v>0.10427418746618544</v>
      </c>
      <c r="AG46" s="214">
        <f t="shared" si="42"/>
        <v>9.2655035882771131E-2</v>
      </c>
      <c r="AH46" s="214">
        <f t="shared" si="42"/>
        <v>-0.10454896585564255</v>
      </c>
      <c r="AI46" s="214">
        <f t="shared" si="42"/>
        <v>-5.5144677492245942E-3</v>
      </c>
      <c r="AJ46" s="214">
        <f t="shared" si="42"/>
        <v>-0.12654865722614583</v>
      </c>
      <c r="AK46" s="214">
        <f t="shared" si="42"/>
        <v>-0.38598232817004163</v>
      </c>
      <c r="AL46" s="214">
        <f t="shared" si="42"/>
        <v>-0.45001967586562119</v>
      </c>
      <c r="AM46" s="214">
        <f t="shared" si="42"/>
        <v>-0.2728372955550401</v>
      </c>
      <c r="AN46" s="270">
        <f t="shared" si="42"/>
        <v>-0.25146579351521536</v>
      </c>
      <c r="AO46" s="274">
        <f t="shared" si="36"/>
        <v>0.41195117816152532</v>
      </c>
      <c r="AP46" s="275">
        <f t="shared" si="37"/>
        <v>0.41195117816152532</v>
      </c>
      <c r="AQ46" s="276">
        <f t="shared" ref="AQ46" si="43">IFERROR(IF(AQ44=0,"-",(AQ44/AQ45)-1),"-")</f>
        <v>-6.4530858293646909E-2</v>
      </c>
    </row>
    <row r="47" spans="1:43" ht="15.75" outlineLevel="1" x14ac:dyDescent="0.25">
      <c r="B47" t="str">
        <f t="shared" si="38"/>
        <v>PC Annual Direct</v>
      </c>
      <c r="C47" t="str">
        <f t="shared" si="39"/>
        <v>Boom Annual</v>
      </c>
      <c r="D47" s="208" t="s">
        <v>12</v>
      </c>
      <c r="E47" s="209">
        <f>IFERROR(E44/E41,0)</f>
        <v>0</v>
      </c>
      <c r="F47" s="209"/>
      <c r="G47" s="209"/>
      <c r="H47" s="209"/>
      <c r="I47" s="209"/>
      <c r="J47" s="209"/>
      <c r="K47" s="209"/>
      <c r="L47" s="209"/>
      <c r="M47" s="209"/>
      <c r="N47" s="209"/>
      <c r="O47" s="209"/>
      <c r="P47" s="265"/>
      <c r="Q47" s="209"/>
      <c r="R47" s="209">
        <f t="shared" ref="R47:AP48" si="44">IFERROR(R44/R41,0)</f>
        <v>0</v>
      </c>
      <c r="S47" s="209">
        <f t="shared" si="44"/>
        <v>0</v>
      </c>
      <c r="T47" s="209">
        <f t="shared" si="44"/>
        <v>0</v>
      </c>
      <c r="U47" s="209">
        <f t="shared" si="44"/>
        <v>22.012654660525026</v>
      </c>
      <c r="V47" s="209">
        <f t="shared" si="44"/>
        <v>621.83655269876135</v>
      </c>
      <c r="W47" s="209">
        <f t="shared" si="44"/>
        <v>727.98495998572469</v>
      </c>
      <c r="X47" s="209">
        <f t="shared" si="44"/>
        <v>1011.6627775216975</v>
      </c>
      <c r="Y47" s="209">
        <f t="shared" si="44"/>
        <v>1145.4637819212885</v>
      </c>
      <c r="Z47" s="209">
        <f t="shared" si="44"/>
        <v>1367.2408302835654</v>
      </c>
      <c r="AA47" s="209">
        <f t="shared" si="44"/>
        <v>1715.9590678843829</v>
      </c>
      <c r="AB47" s="265">
        <f t="shared" si="44"/>
        <v>1645.1392942643688</v>
      </c>
      <c r="AC47" s="209">
        <f t="shared" si="44"/>
        <v>1831.462614722172</v>
      </c>
      <c r="AD47" s="209">
        <f t="shared" si="44"/>
        <v>2098.8403414020127</v>
      </c>
      <c r="AE47" s="209">
        <f t="shared" si="44"/>
        <v>2432.244295067243</v>
      </c>
      <c r="AF47" s="209">
        <f t="shared" si="44"/>
        <v>2085.5985059329205</v>
      </c>
      <c r="AG47" s="209">
        <f t="shared" si="44"/>
        <v>1887.8530765932526</v>
      </c>
      <c r="AH47" s="209">
        <f t="shared" si="44"/>
        <v>1898.2807664966142</v>
      </c>
      <c r="AI47" s="209">
        <f t="shared" si="44"/>
        <v>1553.6527313108691</v>
      </c>
      <c r="AJ47" s="209">
        <f t="shared" si="44"/>
        <v>2902.0372029104783</v>
      </c>
      <c r="AK47" s="209">
        <f t="shared" si="44"/>
        <v>0</v>
      </c>
      <c r="AL47" s="209">
        <f t="shared" si="44"/>
        <v>0</v>
      </c>
      <c r="AM47" s="209">
        <f t="shared" si="44"/>
        <v>0</v>
      </c>
      <c r="AN47" s="265">
        <f t="shared" si="44"/>
        <v>0</v>
      </c>
      <c r="AO47" s="237">
        <f t="shared" si="44"/>
        <v>1637.3962429551639</v>
      </c>
      <c r="AP47" s="209">
        <f t="shared" si="44"/>
        <v>667.61493832337658</v>
      </c>
      <c r="AQ47" s="238">
        <f>SUMIFS(AC47:AN47,AC$4:AN$4,"&lt;"&amp;'Title Sheet'!$C$13)</f>
        <v>16689.969534435564</v>
      </c>
    </row>
    <row r="48" spans="1:43" ht="15.75" hidden="1" outlineLevel="1" x14ac:dyDescent="0.25">
      <c r="B48" t="str">
        <f t="shared" si="38"/>
        <v>PC Annual Direct</v>
      </c>
      <c r="C48" t="str">
        <f t="shared" si="39"/>
        <v>Boom Annual</v>
      </c>
      <c r="D48" s="211" t="s">
        <v>13</v>
      </c>
      <c r="E48" s="31">
        <f>IFERROR(E45/E42,0)</f>
        <v>0</v>
      </c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6"/>
      <c r="Q48" s="31"/>
      <c r="R48" s="31">
        <f t="shared" si="44"/>
        <v>0</v>
      </c>
      <c r="S48" s="31">
        <f t="shared" si="44"/>
        <v>0</v>
      </c>
      <c r="T48" s="31">
        <f t="shared" si="44"/>
        <v>0</v>
      </c>
      <c r="U48" s="31">
        <f t="shared" si="44"/>
        <v>0</v>
      </c>
      <c r="V48" s="31">
        <f t="shared" si="44"/>
        <v>0</v>
      </c>
      <c r="W48" s="31">
        <f t="shared" si="44"/>
        <v>0</v>
      </c>
      <c r="X48" s="31">
        <f t="shared" si="44"/>
        <v>0</v>
      </c>
      <c r="Y48" s="31">
        <f t="shared" si="44"/>
        <v>0</v>
      </c>
      <c r="Z48" s="31">
        <f t="shared" si="44"/>
        <v>0</v>
      </c>
      <c r="AA48" s="31">
        <f t="shared" si="44"/>
        <v>1079.510683288258</v>
      </c>
      <c r="AB48" s="266">
        <f t="shared" si="44"/>
        <v>1141.9736170890237</v>
      </c>
      <c r="AC48" s="31">
        <f t="shared" si="44"/>
        <v>1020.9920064895846</v>
      </c>
      <c r="AD48" s="31">
        <f t="shared" si="44"/>
        <v>1103.7366864398034</v>
      </c>
      <c r="AE48" s="31">
        <f t="shared" si="44"/>
        <v>1150.8123058487083</v>
      </c>
      <c r="AF48" s="31">
        <f t="shared" si="44"/>
        <v>1190.9976618446992</v>
      </c>
      <c r="AG48" s="31">
        <f t="shared" si="44"/>
        <v>1207.8192438307094</v>
      </c>
      <c r="AH48" s="31">
        <f t="shared" si="44"/>
        <v>1202.675541936135</v>
      </c>
      <c r="AI48" s="31">
        <f t="shared" si="44"/>
        <v>937.7600119478036</v>
      </c>
      <c r="AJ48" s="31">
        <f t="shared" si="44"/>
        <v>942.81090802039057</v>
      </c>
      <c r="AK48" s="31">
        <f t="shared" si="44"/>
        <v>932.20743023828948</v>
      </c>
      <c r="AL48" s="31">
        <f t="shared" si="44"/>
        <v>984.06696167791745</v>
      </c>
      <c r="AM48" s="31">
        <f t="shared" si="44"/>
        <v>971.48917552364753</v>
      </c>
      <c r="AN48" s="266">
        <f t="shared" si="44"/>
        <v>970.91400623368202</v>
      </c>
      <c r="AO48" s="239">
        <f t="shared" si="44"/>
        <v>1076.7880846593339</v>
      </c>
      <c r="AP48" s="31">
        <f t="shared" si="44"/>
        <v>1076.7880846593339</v>
      </c>
      <c r="AQ48" s="240">
        <f>SUMIFS(AC48:AN48,AC$4:AN$4,"&lt;"&amp;'Title Sheet'!$C$13)</f>
        <v>12616.281940031373</v>
      </c>
    </row>
    <row r="49" spans="1:43" ht="15.75" hidden="1" outlineLevel="1" x14ac:dyDescent="0.25">
      <c r="B49" t="str">
        <f t="shared" si="38"/>
        <v>PC Annual Direct</v>
      </c>
      <c r="C49" t="str">
        <f t="shared" si="39"/>
        <v>Boom Annual</v>
      </c>
      <c r="D49" s="213" t="s">
        <v>0</v>
      </c>
      <c r="E49" s="214" t="str">
        <f t="shared" ref="E49:AN49" si="45">IFERROR(IF(E47=0,"-",(E47/E48)-1),"-")</f>
        <v>-</v>
      </c>
      <c r="F49" s="214" t="str">
        <f t="shared" si="45"/>
        <v>-</v>
      </c>
      <c r="G49" s="214" t="str">
        <f t="shared" si="45"/>
        <v>-</v>
      </c>
      <c r="H49" s="214" t="str">
        <f t="shared" si="45"/>
        <v>-</v>
      </c>
      <c r="I49" s="214" t="str">
        <f t="shared" si="45"/>
        <v>-</v>
      </c>
      <c r="J49" s="214" t="str">
        <f t="shared" si="45"/>
        <v>-</v>
      </c>
      <c r="K49" s="214" t="str">
        <f t="shared" si="45"/>
        <v>-</v>
      </c>
      <c r="L49" s="214" t="str">
        <f t="shared" si="45"/>
        <v>-</v>
      </c>
      <c r="M49" s="214" t="str">
        <f t="shared" si="45"/>
        <v>-</v>
      </c>
      <c r="N49" s="214" t="str">
        <f t="shared" si="45"/>
        <v>-</v>
      </c>
      <c r="O49" s="214" t="str">
        <f t="shared" si="45"/>
        <v>-</v>
      </c>
      <c r="P49" s="270" t="str">
        <f t="shared" si="45"/>
        <v>-</v>
      </c>
      <c r="Q49" s="214" t="str">
        <f t="shared" si="45"/>
        <v>-</v>
      </c>
      <c r="R49" s="214" t="str">
        <f t="shared" si="45"/>
        <v>-</v>
      </c>
      <c r="S49" s="214" t="str">
        <f t="shared" si="45"/>
        <v>-</v>
      </c>
      <c r="T49" s="214" t="str">
        <f t="shared" si="45"/>
        <v>-</v>
      </c>
      <c r="U49" s="214" t="str">
        <f t="shared" si="45"/>
        <v>-</v>
      </c>
      <c r="V49" s="214" t="str">
        <f t="shared" si="45"/>
        <v>-</v>
      </c>
      <c r="W49" s="214" t="str">
        <f t="shared" si="45"/>
        <v>-</v>
      </c>
      <c r="X49" s="214" t="str">
        <f t="shared" si="45"/>
        <v>-</v>
      </c>
      <c r="Y49" s="214" t="str">
        <f t="shared" si="45"/>
        <v>-</v>
      </c>
      <c r="Z49" s="214" t="str">
        <f t="shared" si="45"/>
        <v>-</v>
      </c>
      <c r="AA49" s="214">
        <f t="shared" si="45"/>
        <v>0.58957117743148491</v>
      </c>
      <c r="AB49" s="270">
        <f t="shared" si="45"/>
        <v>0.44061059699255756</v>
      </c>
      <c r="AC49" s="214">
        <f t="shared" si="45"/>
        <v>0.79380700640270407</v>
      </c>
      <c r="AD49" s="214">
        <f t="shared" si="45"/>
        <v>0.90157704023774077</v>
      </c>
      <c r="AE49" s="214">
        <f t="shared" si="45"/>
        <v>1.113502160783288</v>
      </c>
      <c r="AF49" s="214">
        <f t="shared" si="45"/>
        <v>0.75113568460126268</v>
      </c>
      <c r="AG49" s="214">
        <f t="shared" si="45"/>
        <v>0.56302616160159324</v>
      </c>
      <c r="AH49" s="214">
        <f t="shared" si="45"/>
        <v>0.5783814506119036</v>
      </c>
      <c r="AI49" s="214">
        <f t="shared" si="45"/>
        <v>0.65677008138127624</v>
      </c>
      <c r="AJ49" s="214">
        <f t="shared" si="45"/>
        <v>2.0780691846298778</v>
      </c>
      <c r="AK49" s="214" t="str">
        <f t="shared" si="45"/>
        <v>-</v>
      </c>
      <c r="AL49" s="214" t="str">
        <f t="shared" si="45"/>
        <v>-</v>
      </c>
      <c r="AM49" s="214" t="str">
        <f t="shared" si="45"/>
        <v>-</v>
      </c>
      <c r="AN49" s="270" t="str">
        <f t="shared" si="45"/>
        <v>-</v>
      </c>
      <c r="AO49" s="274">
        <f t="shared" ref="AO49:AP49" si="46">AO47-AO48</f>
        <v>560.60815829582998</v>
      </c>
      <c r="AP49" s="275">
        <f t="shared" si="46"/>
        <v>-409.17314633595731</v>
      </c>
      <c r="AQ49" s="276">
        <f t="shared" ref="AQ49" si="47">IFERROR(IF(AQ47=0,"-",(AQ47/AQ48)-1),"-")</f>
        <v>0.3228912934704169</v>
      </c>
    </row>
    <row r="50" spans="1:43" outlineLevel="1" x14ac:dyDescent="0.25">
      <c r="B50" t="str">
        <f t="shared" si="38"/>
        <v>PC Annual Direct</v>
      </c>
      <c r="C50" t="str">
        <f t="shared" si="39"/>
        <v>Boom Annual</v>
      </c>
      <c r="D50" s="258" t="s">
        <v>17</v>
      </c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67"/>
      <c r="Q50" s="259"/>
      <c r="R50" s="259"/>
      <c r="S50" s="259"/>
      <c r="T50" s="259"/>
      <c r="U50" s="259"/>
      <c r="V50" s="259"/>
      <c r="W50" s="259"/>
      <c r="X50" s="259"/>
      <c r="Y50" s="259"/>
      <c r="Z50" s="259"/>
      <c r="AA50" s="259"/>
      <c r="AB50" s="267"/>
      <c r="AC50" s="259"/>
      <c r="AD50" s="259"/>
      <c r="AE50" s="259"/>
      <c r="AF50" s="259"/>
      <c r="AG50" s="259"/>
      <c r="AH50" s="259"/>
      <c r="AI50" s="259"/>
      <c r="AJ50" s="259"/>
      <c r="AK50" s="259"/>
      <c r="AL50" s="259"/>
      <c r="AM50" s="259"/>
      <c r="AN50" s="267"/>
      <c r="AO50" s="277"/>
      <c r="AP50" s="277"/>
      <c r="AQ50" s="278">
        <f>SUMIFS(AC50:AN50,AC$4:AN$4,"&lt;"&amp;'Title Sheet'!$C$13)</f>
        <v>0</v>
      </c>
    </row>
    <row r="51" spans="1:43" ht="15.75" outlineLevel="1" x14ac:dyDescent="0.25">
      <c r="A51">
        <v>4</v>
      </c>
      <c r="B51" t="str">
        <f t="shared" si="38"/>
        <v>PC Annual Direct</v>
      </c>
      <c r="C51" t="str">
        <f t="shared" si="39"/>
        <v>Boom Annual</v>
      </c>
      <c r="D51" s="208" t="s">
        <v>7</v>
      </c>
      <c r="E51" s="282" t="e">
        <f>'Current - Sales, NWP, GWP'!E52/VLOOKUP(COUNTA(E$4:$AC$4),'Dev Patterns'!$B$6:$F$22,$A51,0)</f>
        <v>#N/A</v>
      </c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4"/>
      <c r="Q51" s="282"/>
      <c r="R51" s="283">
        <f>'Current - Sales, NWP, GWP'!R52/VLOOKUP(COUNTA(R$4:$AC$4),'Dev Patterns'!$B$6:$F$22,$A51,0)</f>
        <v>1732534.6217633793</v>
      </c>
      <c r="S51" s="283">
        <f>'Current - Sales, NWP, GWP'!S52/VLOOKUP(COUNTA(S$4:$AC$4),'Dev Patterns'!$B$6:$F$22,$A51,0)</f>
        <v>2204635.5277814767</v>
      </c>
      <c r="T51" s="283">
        <f>'Current - Sales, NWP, GWP'!T52/VLOOKUP(COUNTA(T$4:$AC$4),'Dev Patterns'!$B$6:$F$22,$A51,0)</f>
        <v>1847800.7603024098</v>
      </c>
      <c r="U51" s="283">
        <f>'Current - Sales, NWP, GWP'!U52/VLOOKUP(COUNTA(U$4:$AC$4),'Dev Patterns'!$B$6:$F$22,$A51,0)</f>
        <v>1832466.3039251945</v>
      </c>
      <c r="V51" s="283">
        <f>'Current - Sales, NWP, GWP'!V52/VLOOKUP(COUNTA(V$4:$AC$4),'Dev Patterns'!$B$6:$F$22,$A51,0)</f>
        <v>1513736.407594407</v>
      </c>
      <c r="W51" s="283">
        <f>'Current - Sales, NWP, GWP'!W52/VLOOKUP(COUNTA(W$4:$AC$4),'Dev Patterns'!$B$6:$F$22,$A51,0)</f>
        <v>1232515.4905949472</v>
      </c>
      <c r="X51" s="283">
        <f>'Current - Sales, NWP, GWP'!X52/VLOOKUP(COUNTA(X$4:$AC$4),'Dev Patterns'!$B$6:$F$22,$A51,0)</f>
        <v>1058885.1570445432</v>
      </c>
      <c r="Y51" s="283">
        <f>'Current - Sales, NWP, GWP'!Y52/VLOOKUP(COUNTA(Y$4:$AC$4),'Dev Patterns'!$B$6:$F$22,$A51,0)</f>
        <v>1012210.2132932072</v>
      </c>
      <c r="Z51" s="283">
        <f>'Current - Sales, NWP, GWP'!Z52/VLOOKUP(COUNTA(Z$4:$AC$4),'Dev Patterns'!$B$6:$F$22,$A51,0)</f>
        <v>981114.19294443948</v>
      </c>
      <c r="AA51" s="283">
        <f>'Current - Sales, NWP, GWP'!AA52/VLOOKUP(COUNTA(AA$4:$AC$4),'Dev Patterns'!$B$6:$F$22,$A51,0)</f>
        <v>1104315.3880800544</v>
      </c>
      <c r="AB51" s="284">
        <f>'Current - Sales, NWP, GWP'!AB52/VLOOKUP(COUNTA(AB$4:$AC$4),'Dev Patterns'!$B$6:$F$22,$A51,0)</f>
        <v>1021158.6356167542</v>
      </c>
      <c r="AC51" s="282">
        <f>'Current - Sales, NWP, GWP'!AC52/VLOOKUP(COUNTA(AC$4:$AC$4),'Dev Patterns'!$B$6:$F$22,$A51,0)</f>
        <v>902387.96875295264</v>
      </c>
      <c r="AD51" s="283">
        <f>'Current - Sales, NWP, GWP'!AD52/VLOOKUP(COUNTA($AC$4:AD$4),'Dev Patterns'!$B$6:$F$22,$A51,0)</f>
        <v>687048.2902513711</v>
      </c>
      <c r="AE51" s="283">
        <f>'Current - Sales, NWP, GWP'!AE52/VLOOKUP(COUNTA($AC$4:AE$4),'Dev Patterns'!$B$6:$F$22,$A51,0)</f>
        <v>786157.84197758266</v>
      </c>
      <c r="AF51" s="283">
        <f>'Current - Sales, NWP, GWP'!AF52/VLOOKUP(COUNTA($AC$4:AF$4),'Dev Patterns'!$B$6:$F$22,$A51,0)</f>
        <v>738667.57022752124</v>
      </c>
      <c r="AG51" s="283">
        <f>'Current - Sales, NWP, GWP'!AG52/VLOOKUP(COUNTA($AC$4:AG$4),'Dev Patterns'!$B$6:$F$22,$A51,0)</f>
        <v>798384.72615536361</v>
      </c>
      <c r="AH51" s="283">
        <f>'Current - Sales, NWP, GWP'!AH52/VLOOKUP(COUNTA($AC$4:AH$4),'Dev Patterns'!$B$6:$F$22,$A51,0)</f>
        <v>691419.54190475075</v>
      </c>
      <c r="AI51" s="283">
        <f>'Current - Sales, NWP, GWP'!AI52/VLOOKUP(COUNTA($AC$4:AI$4),'Dev Patterns'!$B$6:$F$22,$A51,0)</f>
        <v>709052.88941970596</v>
      </c>
      <c r="AJ51" s="283">
        <f>'Current - Sales, NWP, GWP'!AJ52/VLOOKUP(COUNTA($AC$4:AJ$4),'Dev Patterns'!$B$6:$F$22,$A51,0)</f>
        <v>321643.20328316023</v>
      </c>
      <c r="AK51" s="283">
        <f>'Current - Sales, NWP, GWP'!AK52/VLOOKUP(COUNTA($AC$4:AK$4),'Dev Patterns'!$B$6:$F$22,$A51,0)</f>
        <v>0</v>
      </c>
      <c r="AL51" s="283">
        <f>'Current - Sales, NWP, GWP'!AL52/VLOOKUP(COUNTA($AC$4:AL$4),'Dev Patterns'!$B$6:$F$22,$A51,0)</f>
        <v>0</v>
      </c>
      <c r="AM51" s="283">
        <f>'Current - Sales, NWP, GWP'!AM52/VLOOKUP(COUNTA($AC$4:AM$4),'Dev Patterns'!$B$6:$F$22,$A51,0)</f>
        <v>0</v>
      </c>
      <c r="AN51" s="284">
        <f>'Current - Sales, NWP, GWP'!AN52/VLOOKUP(COUNTA($AC$4:AN$4),'Dev Patterns'!$B$6:$F$22,$A51,0)</f>
        <v>0</v>
      </c>
      <c r="AO51" s="237">
        <f t="shared" ref="AO51" si="48">AVERAGE(Z51:AC51)</f>
        <v>1002244.0463485502</v>
      </c>
      <c r="AP51" s="209">
        <f>AVERAGE(R51:AC51)</f>
        <v>1370313.3889744806</v>
      </c>
      <c r="AQ51" s="238">
        <f>SUMIFS(AC51:AN51,AC$4:AN$4,"&lt;"&amp;'Title Sheet'!$C$13)</f>
        <v>5634762.0319724074</v>
      </c>
    </row>
    <row r="52" spans="1:43" ht="16.5" outlineLevel="1" thickBot="1" x14ac:dyDescent="0.3">
      <c r="B52" t="str">
        <f t="shared" si="38"/>
        <v>PC Annual Direct</v>
      </c>
      <c r="C52" t="str">
        <f t="shared" si="39"/>
        <v>Boom Annual</v>
      </c>
      <c r="D52" s="226" t="s">
        <v>21</v>
      </c>
      <c r="E52" s="269" t="e">
        <f t="shared" ref="E52" si="49">E44/E$8</f>
        <v>#DIV/0!</v>
      </c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81"/>
      <c r="Q52" s="269"/>
      <c r="R52" s="269" t="e">
        <f t="shared" ref="R52:AP52" si="50">R44/R$8</f>
        <v>#DIV/0!</v>
      </c>
      <c r="S52" s="269" t="e">
        <f t="shared" si="50"/>
        <v>#DIV/0!</v>
      </c>
      <c r="T52" s="269" t="e">
        <f t="shared" si="50"/>
        <v>#DIV/0!</v>
      </c>
      <c r="U52" s="269">
        <f t="shared" si="50"/>
        <v>0.84015578842718597</v>
      </c>
      <c r="V52" s="269">
        <f t="shared" si="50"/>
        <v>0.79708499583913417</v>
      </c>
      <c r="W52" s="269">
        <f t="shared" si="50"/>
        <v>0.68533134581361865</v>
      </c>
      <c r="X52" s="269">
        <f t="shared" si="50"/>
        <v>0.63212616687197043</v>
      </c>
      <c r="Y52" s="269">
        <f t="shared" si="50"/>
        <v>0.57502083917312385</v>
      </c>
      <c r="Z52" s="269">
        <f t="shared" si="50"/>
        <v>0.53219535347842994</v>
      </c>
      <c r="AA52" s="269">
        <f t="shared" si="50"/>
        <v>0.54887564629081409</v>
      </c>
      <c r="AB52" s="281">
        <f t="shared" si="50"/>
        <v>0.48352431196722673</v>
      </c>
      <c r="AC52" s="269">
        <f t="shared" si="50"/>
        <v>0.457889019077374</v>
      </c>
      <c r="AD52" s="269">
        <f t="shared" si="50"/>
        <v>0.2973335297606971</v>
      </c>
      <c r="AE52" s="269">
        <f t="shared" si="50"/>
        <v>0.26201722409361344</v>
      </c>
      <c r="AF52" s="269">
        <f t="shared" si="50"/>
        <v>0.24612656543710426</v>
      </c>
      <c r="AG52" s="269">
        <f t="shared" si="50"/>
        <v>0.25395068529831971</v>
      </c>
      <c r="AH52" s="269">
        <f t="shared" si="50"/>
        <v>0.25142599495381951</v>
      </c>
      <c r="AI52" s="269">
        <f t="shared" si="50"/>
        <v>0.24030247337132207</v>
      </c>
      <c r="AJ52" s="269">
        <f t="shared" si="50"/>
        <v>0.2385594948200202</v>
      </c>
      <c r="AK52" s="269">
        <f t="shared" si="50"/>
        <v>0.25014810658327885</v>
      </c>
      <c r="AL52" s="269">
        <f t="shared" si="50"/>
        <v>0.2561664503792665</v>
      </c>
      <c r="AM52" s="269">
        <f t="shared" si="50"/>
        <v>0.27648420181826272</v>
      </c>
      <c r="AN52" s="281">
        <f t="shared" si="50"/>
        <v>0.2589221318834814</v>
      </c>
      <c r="AO52" s="279">
        <f t="shared" si="50"/>
        <v>0.50306267846371977</v>
      </c>
      <c r="AP52" s="269">
        <f t="shared" si="50"/>
        <v>0.55408294717187634</v>
      </c>
      <c r="AQ52" s="280" t="str">
        <f t="shared" ref="AQ52" si="51">IFERROR(IF(AQ50=0,"-",(AQ50/AQ51)-1),"-")</f>
        <v>-</v>
      </c>
    </row>
    <row r="53" spans="1:43" ht="15.75" outlineLevel="1" x14ac:dyDescent="0.25">
      <c r="D53" s="46"/>
      <c r="E53" s="325"/>
      <c r="F53" s="325"/>
      <c r="G53" s="325"/>
      <c r="H53" s="325"/>
      <c r="I53" s="325"/>
      <c r="J53" s="325"/>
      <c r="K53" s="325"/>
      <c r="L53" s="325"/>
      <c r="M53" s="325"/>
      <c r="N53" s="325"/>
      <c r="O53" s="325"/>
      <c r="P53" s="325"/>
      <c r="Q53" s="325"/>
      <c r="R53" s="325"/>
      <c r="S53" s="325"/>
      <c r="T53" s="325"/>
      <c r="U53" s="325"/>
      <c r="V53" s="325"/>
      <c r="W53" s="325"/>
      <c r="X53" s="325"/>
      <c r="Y53" s="325"/>
      <c r="Z53" s="325"/>
      <c r="AA53" s="325"/>
      <c r="AB53" s="325"/>
      <c r="AC53" s="325"/>
      <c r="AD53" s="325"/>
      <c r="AE53" s="325"/>
      <c r="AF53" s="325"/>
      <c r="AG53" s="325"/>
      <c r="AH53" s="325"/>
      <c r="AI53" s="325"/>
      <c r="AJ53" s="325"/>
      <c r="AK53" s="325"/>
      <c r="AL53" s="325"/>
      <c r="AM53" s="325"/>
      <c r="AN53" s="325"/>
      <c r="AO53" s="325"/>
      <c r="AP53" s="325"/>
      <c r="AQ53" s="325"/>
    </row>
    <row r="54" spans="1:43" ht="16.5" outlineLevel="1" thickBot="1" x14ac:dyDescent="0.3">
      <c r="D54" s="46"/>
      <c r="E54" s="325"/>
      <c r="F54" s="325"/>
      <c r="G54" s="325"/>
      <c r="H54" s="325"/>
      <c r="I54" s="325"/>
      <c r="J54" s="325"/>
      <c r="K54" s="325"/>
      <c r="L54" s="325"/>
      <c r="M54" s="325"/>
      <c r="N54" s="325"/>
      <c r="O54" s="325"/>
      <c r="P54" s="325"/>
      <c r="Q54" s="325"/>
      <c r="R54" s="325"/>
      <c r="S54" s="325"/>
      <c r="T54" s="325"/>
      <c r="U54" s="325"/>
      <c r="V54" s="325"/>
      <c r="W54" s="325"/>
      <c r="X54" s="325"/>
      <c r="Y54" s="325"/>
      <c r="Z54" s="325"/>
      <c r="AA54" s="325"/>
      <c r="AB54" s="325"/>
      <c r="AC54" s="325"/>
      <c r="AD54" s="325"/>
      <c r="AE54" s="325"/>
      <c r="AF54" s="325"/>
      <c r="AG54" s="325"/>
      <c r="AH54" s="325"/>
      <c r="AI54" s="325"/>
      <c r="AJ54" s="325"/>
      <c r="AK54" s="325"/>
      <c r="AL54" s="325"/>
      <c r="AM54" s="325"/>
      <c r="AN54" s="325"/>
      <c r="AO54" s="325"/>
      <c r="AP54" s="325"/>
      <c r="AQ54" s="325"/>
    </row>
    <row r="55" spans="1:43" ht="18.75" outlineLevel="1" x14ac:dyDescent="0.25">
      <c r="D55" s="309" t="s">
        <v>351</v>
      </c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63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63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63"/>
      <c r="AO55" s="202"/>
      <c r="AP55" s="202"/>
      <c r="AQ55" s="233"/>
    </row>
    <row r="56" spans="1:43" outlineLevel="1" x14ac:dyDescent="0.25">
      <c r="D56" s="204"/>
      <c r="E56" s="200" t="s">
        <v>237</v>
      </c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64"/>
      <c r="Q56" s="200"/>
      <c r="R56" s="200"/>
      <c r="S56" s="200"/>
      <c r="T56" s="200"/>
      <c r="U56" s="200"/>
      <c r="V56" s="200"/>
      <c r="W56" s="200"/>
      <c r="X56" s="200"/>
      <c r="Y56" s="200"/>
      <c r="Z56" s="200"/>
      <c r="AA56" s="200"/>
      <c r="AB56" s="264"/>
      <c r="AC56" s="200"/>
      <c r="AD56" s="200"/>
      <c r="AE56" s="200"/>
      <c r="AF56" s="200"/>
      <c r="AG56" s="200"/>
      <c r="AH56" s="200"/>
      <c r="AI56" s="200"/>
      <c r="AJ56" s="200"/>
      <c r="AK56" s="200"/>
      <c r="AL56" s="200"/>
      <c r="AM56" s="200"/>
      <c r="AN56" s="264"/>
      <c r="AO56" s="510" t="s">
        <v>8</v>
      </c>
      <c r="AP56" s="511"/>
      <c r="AQ56" s="512"/>
    </row>
    <row r="57" spans="1:43" outlineLevel="1" x14ac:dyDescent="0.25">
      <c r="D57" s="256" t="s">
        <v>16</v>
      </c>
      <c r="E57" s="285">
        <f t="shared" ref="E57:AN57" si="52">E$4</f>
        <v>44562</v>
      </c>
      <c r="F57" s="285">
        <f t="shared" si="52"/>
        <v>44593</v>
      </c>
      <c r="G57" s="285">
        <f t="shared" si="52"/>
        <v>44621</v>
      </c>
      <c r="H57" s="285">
        <f t="shared" si="52"/>
        <v>44652</v>
      </c>
      <c r="I57" s="285">
        <f t="shared" si="52"/>
        <v>44682</v>
      </c>
      <c r="J57" s="285">
        <f t="shared" si="52"/>
        <v>44713</v>
      </c>
      <c r="K57" s="285">
        <f t="shared" si="52"/>
        <v>44743</v>
      </c>
      <c r="L57" s="285">
        <f t="shared" si="52"/>
        <v>44774</v>
      </c>
      <c r="M57" s="285">
        <f t="shared" si="52"/>
        <v>44805</v>
      </c>
      <c r="N57" s="285">
        <f t="shared" si="52"/>
        <v>44835</v>
      </c>
      <c r="O57" s="285">
        <f t="shared" si="52"/>
        <v>44866</v>
      </c>
      <c r="P57" s="286">
        <f t="shared" si="52"/>
        <v>44896</v>
      </c>
      <c r="Q57" s="285">
        <f t="shared" si="52"/>
        <v>44927</v>
      </c>
      <c r="R57" s="285">
        <f t="shared" si="52"/>
        <v>44958</v>
      </c>
      <c r="S57" s="285">
        <f t="shared" si="52"/>
        <v>44986</v>
      </c>
      <c r="T57" s="285">
        <f t="shared" si="52"/>
        <v>45017</v>
      </c>
      <c r="U57" s="285">
        <f t="shared" si="52"/>
        <v>45047</v>
      </c>
      <c r="V57" s="285">
        <f t="shared" si="52"/>
        <v>45078</v>
      </c>
      <c r="W57" s="285">
        <f t="shared" si="52"/>
        <v>45108</v>
      </c>
      <c r="X57" s="285">
        <f t="shared" si="52"/>
        <v>45139</v>
      </c>
      <c r="Y57" s="285">
        <f t="shared" si="52"/>
        <v>45170</v>
      </c>
      <c r="Z57" s="285">
        <f t="shared" si="52"/>
        <v>45200</v>
      </c>
      <c r="AA57" s="285">
        <f t="shared" si="52"/>
        <v>45231</v>
      </c>
      <c r="AB57" s="286">
        <f t="shared" si="52"/>
        <v>45261</v>
      </c>
      <c r="AC57" s="285">
        <f t="shared" si="52"/>
        <v>45292</v>
      </c>
      <c r="AD57" s="285">
        <f t="shared" si="52"/>
        <v>45323</v>
      </c>
      <c r="AE57" s="285">
        <f t="shared" si="52"/>
        <v>45352</v>
      </c>
      <c r="AF57" s="285">
        <f t="shared" si="52"/>
        <v>45383</v>
      </c>
      <c r="AG57" s="285">
        <f t="shared" si="52"/>
        <v>45413</v>
      </c>
      <c r="AH57" s="285">
        <f t="shared" si="52"/>
        <v>45444</v>
      </c>
      <c r="AI57" s="285">
        <f t="shared" si="52"/>
        <v>45474</v>
      </c>
      <c r="AJ57" s="285">
        <f t="shared" si="52"/>
        <v>45505</v>
      </c>
      <c r="AK57" s="285">
        <f t="shared" si="52"/>
        <v>45536</v>
      </c>
      <c r="AL57" s="285">
        <f t="shared" si="52"/>
        <v>45566</v>
      </c>
      <c r="AM57" s="285">
        <f t="shared" si="52"/>
        <v>45597</v>
      </c>
      <c r="AN57" s="286">
        <f t="shared" si="52"/>
        <v>45627</v>
      </c>
      <c r="AO57" s="271">
        <f>AO38</f>
        <v>0</v>
      </c>
      <c r="AP57" s="272">
        <f>AP38</f>
        <v>0</v>
      </c>
      <c r="AQ57" s="273" t="s">
        <v>346</v>
      </c>
    </row>
    <row r="58" spans="1:43" ht="15.75" outlineLevel="1" x14ac:dyDescent="0.25">
      <c r="A58">
        <v>5</v>
      </c>
      <c r="B58" t="str">
        <f>$D$2</f>
        <v>PC Annual Direct</v>
      </c>
      <c r="C58" t="s">
        <v>353</v>
      </c>
      <c r="D58" s="208" t="s">
        <v>316</v>
      </c>
      <c r="E58" s="209" t="e">
        <f>'Current - Sales, NWP, GWP'!E60/VLOOKUP(COUNTA(E$4:$AC$4),'Dev Patterns'!$B$6:$F$22,$A58,0)</f>
        <v>#N/A</v>
      </c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65"/>
      <c r="Q58" s="209"/>
      <c r="R58" s="209">
        <f>'Current - Sales, NWP, GWP'!R60/VLOOKUP(COUNTA(R$4:$AC$4),'Dev Patterns'!$B$6:$F$22,$A58,0)</f>
        <v>1449.743685898761</v>
      </c>
      <c r="S58" s="209">
        <f>'Current - Sales, NWP, GWP'!S60/VLOOKUP(COUNTA(S$4:$AC$4),'Dev Patterns'!$B$6:$F$22,$A58,0)</f>
        <v>2874.3876897106657</v>
      </c>
      <c r="T58" s="209">
        <f>'Current - Sales, NWP, GWP'!T60/VLOOKUP(COUNTA(T$4:$AC$4),'Dev Patterns'!$B$6:$F$22,$A58,0)</f>
        <v>3049.371713228009</v>
      </c>
      <c r="U58" s="209">
        <f>'Current - Sales, NWP, GWP'!U60/VLOOKUP(COUNTA(U$4:$AC$4),'Dev Patterns'!$B$6:$F$22,$A58,0)</f>
        <v>2940.4713573550334</v>
      </c>
      <c r="V58" s="209">
        <f>'Current - Sales, NWP, GWP'!V60/VLOOKUP(COUNTA(V$4:$AC$4),'Dev Patterns'!$B$6:$F$22,$A58,0)</f>
        <v>2539.0890942017536</v>
      </c>
      <c r="W58" s="209">
        <f>'Current - Sales, NWP, GWP'!W60/VLOOKUP(COUNTA(W$4:$AC$4),'Dev Patterns'!$B$6:$F$22,$A58,0)</f>
        <v>2141.6584939585482</v>
      </c>
      <c r="X58" s="209">
        <f>'Current - Sales, NWP, GWP'!X60/VLOOKUP(COUNTA(X$4:$AC$4),'Dev Patterns'!$B$6:$F$22,$A58,0)</f>
        <v>1875.8667558624843</v>
      </c>
      <c r="Y58" s="209">
        <f>'Current - Sales, NWP, GWP'!Y60/VLOOKUP(COUNTA(Y$4:$AC$4),'Dev Patterns'!$B$6:$F$22,$A58,0)</f>
        <v>1753.8613643063022</v>
      </c>
      <c r="Z58" s="209">
        <f>'Current - Sales, NWP, GWP'!Z60/VLOOKUP(COUNTA(Z$4:$AC$4),'Dev Patterns'!$B$6:$F$22,$A58,0)</f>
        <v>1728.4893096266337</v>
      </c>
      <c r="AA58" s="209">
        <f>'Current - Sales, NWP, GWP'!AA60/VLOOKUP(COUNTA(AA$4:$AC$4),'Dev Patterns'!$B$6:$F$22,$A58,0)</f>
        <v>1880.1702450383784</v>
      </c>
      <c r="AB58" s="265">
        <f>'Current - Sales, NWP, GWP'!AB60/VLOOKUP(COUNTA(AB$4:$AC$4),'Dev Patterns'!$B$6:$F$22,$A58,0)</f>
        <v>2044.5100939562296</v>
      </c>
      <c r="AC58" s="209">
        <f>'Current - Sales, NWP, GWP'!AC60/VLOOKUP(COUNTA(AC$4:$AC$4),'Dev Patterns'!$B$6:$F$22,$A58,0)</f>
        <v>2331.5849815181846</v>
      </c>
      <c r="AD58" s="209">
        <f>'Current - Sales, NWP, GWP'!AD60/VLOOKUP(COUNTA($AC$4:AD$4),'Dev Patterns'!$B$6:$F$22,$A58,0)</f>
        <v>2013.1509649082268</v>
      </c>
      <c r="AE58" s="209">
        <f>'Current - Sales, NWP, GWP'!AE60/VLOOKUP(COUNTA($AC$4:AE$4),'Dev Patterns'!$B$6:$F$22,$A58,0)</f>
        <v>2692.2101063140535</v>
      </c>
      <c r="AF58" s="209">
        <f>'Current - Sales, NWP, GWP'!AF60/VLOOKUP(COUNTA($AC$4:AF$4),'Dev Patterns'!$B$6:$F$22,$A58,0)</f>
        <v>2776.2033107214343</v>
      </c>
      <c r="AG58" s="209">
        <f>'Current - Sales, NWP, GWP'!AG60/VLOOKUP(COUNTA($AC$4:AG$4),'Dev Patterns'!$B$6:$F$22,$A58,0)</f>
        <v>2772.4501517842036</v>
      </c>
      <c r="AH58" s="209">
        <f>'Current - Sales, NWP, GWP'!AH60/VLOOKUP(COUNTA($AC$4:AH$4),'Dev Patterns'!$B$6:$F$22,$A58,0)</f>
        <v>2608.2755432508898</v>
      </c>
      <c r="AI58" s="209">
        <f>'Current - Sales, NWP, GWP'!AI60/VLOOKUP(COUNTA($AC$4:AI$4),'Dev Patterns'!$B$6:$F$22,$A58,0)</f>
        <v>2550.4084495490156</v>
      </c>
      <c r="AJ58" s="209">
        <f>'Current - Sales, NWP, GWP'!AJ60/VLOOKUP(COUNTA($AC$4:AJ$4),'Dev Patterns'!$B$6:$F$22,$A58,0)</f>
        <v>1173.486771624388</v>
      </c>
      <c r="AK58" s="209">
        <f>'Current - Sales, NWP, GWP'!AK60/VLOOKUP(COUNTA($AC$4:AK$4),'Dev Patterns'!$B$6:$F$22,$A58,0)</f>
        <v>0</v>
      </c>
      <c r="AL58" s="209">
        <f>'Current - Sales, NWP, GWP'!AL60/VLOOKUP(COUNTA($AC$4:AL$4),'Dev Patterns'!$B$6:$F$22,$A58,0)</f>
        <v>0</v>
      </c>
      <c r="AM58" s="209">
        <f>'Current - Sales, NWP, GWP'!AM60/VLOOKUP(COUNTA($AC$4:AM$4),'Dev Patterns'!$B$6:$F$22,$A58,0)</f>
        <v>0</v>
      </c>
      <c r="AN58" s="265">
        <f>'Current - Sales, NWP, GWP'!AN60/VLOOKUP(COUNTA($AC$4:AN$4),'Dev Patterns'!$B$6:$F$22,$A58,0)</f>
        <v>0</v>
      </c>
      <c r="AO58" s="237">
        <f t="shared" ref="AO58:AO63" si="53">AVERAGE(Z58:AC58)</f>
        <v>1996.1886575348567</v>
      </c>
      <c r="AP58" s="209">
        <f>AVERAGE(R58:AC58)</f>
        <v>2217.4337320550821</v>
      </c>
      <c r="AQ58" s="238">
        <f>SUMIFS(AC58:AN58,AC$4:AN$4,"&lt;"&amp;'Title Sheet'!$C$13)</f>
        <v>18917.770279670396</v>
      </c>
    </row>
    <row r="59" spans="1:43" ht="15.75" hidden="1" outlineLevel="1" x14ac:dyDescent="0.25">
      <c r="B59" t="str">
        <f>$D$21&amp;"_W VYRs"</f>
        <v>PC Annual Direct - Annual_W VYRs</v>
      </c>
      <c r="C59" t="str">
        <f>$C58</f>
        <v>Boom Premium Finance</v>
      </c>
      <c r="D59" s="211" t="s">
        <v>317</v>
      </c>
      <c r="E59" s="31" t="e">
        <f>INDEX('Plan Figures'!$B$5:$AP$31,MATCH('Ultimate - MPM only'!E$4,'Plan Figures'!$B$5:$B$31,0),MATCH('Ultimate - MPM only'!$B59,'Plan Figures'!$B$1:$AP$1,0))</f>
        <v>#N/A</v>
      </c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266"/>
      <c r="Q59" s="31"/>
      <c r="R59" s="31" t="str">
        <f>INDEX('Plan Figures'!$B$5:$AP$31,MATCH('Ultimate - MPM only'!R$4,'Plan Figures'!$B$5:$B$31,0),MATCH('Ultimate - MPM only'!$B59,'Plan Figures'!$B$1:$AP$1,0))</f>
        <v>-</v>
      </c>
      <c r="S59" s="31" t="str">
        <f>INDEX('Plan Figures'!$B$5:$AP$31,MATCH('Ultimate - MPM only'!S$4,'Plan Figures'!$B$5:$B$31,0),MATCH('Ultimate - MPM only'!$B59,'Plan Figures'!$B$1:$AP$1,0))</f>
        <v>-</v>
      </c>
      <c r="T59" s="31" t="str">
        <f>INDEX('Plan Figures'!$B$5:$AP$31,MATCH('Ultimate - MPM only'!T$4,'Plan Figures'!$B$5:$B$31,0),MATCH('Ultimate - MPM only'!$B59,'Plan Figures'!$B$1:$AP$1,0))</f>
        <v>-</v>
      </c>
      <c r="U59" s="31" t="str">
        <f>INDEX('Plan Figures'!$B$5:$AP$31,MATCH('Ultimate - MPM only'!U$4,'Plan Figures'!$B$5:$B$31,0),MATCH('Ultimate - MPM only'!$B59,'Plan Figures'!$B$1:$AP$1,0))</f>
        <v>-</v>
      </c>
      <c r="V59" s="31" t="str">
        <f>INDEX('Plan Figures'!$B$5:$AP$31,MATCH('Ultimate - MPM only'!V$4,'Plan Figures'!$B$5:$B$31,0),MATCH('Ultimate - MPM only'!$B59,'Plan Figures'!$B$1:$AP$1,0))</f>
        <v>-</v>
      </c>
      <c r="W59" s="31" t="str">
        <f>INDEX('Plan Figures'!$B$5:$AP$31,MATCH('Ultimate - MPM only'!W$4,'Plan Figures'!$B$5:$B$31,0),MATCH('Ultimate - MPM only'!$B59,'Plan Figures'!$B$1:$AP$1,0))</f>
        <v>-</v>
      </c>
      <c r="X59" s="31" t="str">
        <f>INDEX('Plan Figures'!$B$5:$AP$31,MATCH('Ultimate - MPM only'!X$4,'Plan Figures'!$B$5:$B$31,0),MATCH('Ultimate - MPM only'!$B59,'Plan Figures'!$B$1:$AP$1,0))</f>
        <v>-</v>
      </c>
      <c r="Y59" s="31" t="str">
        <f>INDEX('Plan Figures'!$B$5:$AP$31,MATCH('Ultimate - MPM only'!Y$4,'Plan Figures'!$B$5:$B$31,0),MATCH('Ultimate - MPM only'!$B59,'Plan Figures'!$B$1:$AP$1,0))</f>
        <v>-</v>
      </c>
      <c r="Z59" s="31" t="str">
        <f>INDEX('Plan Figures'!$B$5:$AP$31,MATCH('Ultimate - MPM only'!Z$4,'Plan Figures'!$B$5:$B$31,0),MATCH('Ultimate - MPM only'!$B59,'Plan Figures'!$B$1:$AP$1,0))</f>
        <v>-</v>
      </c>
      <c r="AA59" s="31">
        <f>INDEX('Plan Figures'!$B$5:$AP$31,MATCH('Ultimate - MPM only'!AA$4,'Plan Figures'!$B$5:$B$31,0),MATCH('Ultimate - MPM only'!$B59,'Plan Figures'!$B$1:$AP$1,0))</f>
        <v>1113.4200697273855</v>
      </c>
      <c r="AB59" s="266">
        <f>INDEX('Plan Figures'!$B$5:$AP$31,MATCH('Ultimate - MPM only'!AB$4,'Plan Figures'!$B$5:$B$31,0),MATCH('Ultimate - MPM only'!$B59,'Plan Figures'!$B$1:$AP$1,0))</f>
        <v>989.67431218271486</v>
      </c>
      <c r="AC59" s="31">
        <f>INDEX('Plan Figures'!$B$5:$AP$31,MATCH('Ultimate - MPM only'!AC$4,'Plan Figures'!$B$5:$B$31,0),MATCH('Ultimate - MPM only'!$B59,'Plan Figures'!$B$1:$AP$1,0))</f>
        <v>1210.5482166933789</v>
      </c>
      <c r="AD59" s="31">
        <f>INDEX('Plan Figures'!$B$5:$AP$42,MATCH('Ultimate - MPM only'!AD$4,'Plan Figures'!$B$5:$B$42,0),MATCH('Ultimate - MPM only'!$B59,'Plan Figures'!$B$1:$AP$1,0))</f>
        <v>1208.1319527878034</v>
      </c>
      <c r="AE59" s="31">
        <f>INDEX('Plan Figures'!$B$5:$AP$42,MATCH('Ultimate - MPM only'!AE$4,'Plan Figures'!$B$5:$B$42,0),MATCH('Ultimate - MPM only'!$B59,'Plan Figures'!$B$1:$AP$1,0))</f>
        <v>1205.7205117642748</v>
      </c>
      <c r="AF59" s="31">
        <f>INDEX('Plan Figures'!$B$5:$AP$42,MATCH('Ultimate - MPM only'!AF$4,'Plan Figures'!$B$5:$B$42,0),MATCH('Ultimate - MPM only'!$B59,'Plan Figures'!$B$1:$AP$1,0))</f>
        <v>1203.3138839962821</v>
      </c>
      <c r="AG59" s="31">
        <f>INDEX('Plan Figures'!$B$5:$AP$42,MATCH('Ultimate - MPM only'!AG$4,'Plan Figures'!$B$5:$B$42,0),MATCH('Ultimate - MPM only'!$B59,'Plan Figures'!$B$1:$AP$1,0))</f>
        <v>1201.0207575202833</v>
      </c>
      <c r="AH59" s="31">
        <f>INDEX('Plan Figures'!$B$5:$AP$42,MATCH('Ultimate - MPM only'!AH$4,'Plan Figures'!$B$5:$B$42,0),MATCH('Ultimate - MPM only'!$B59,'Plan Figures'!$B$1:$AP$1,0))</f>
        <v>1228.875833502128</v>
      </c>
      <c r="AI59" s="31">
        <f>INDEX('Plan Figures'!$B$5:$AP$42,MATCH('Ultimate - MPM only'!AI$4,'Plan Figures'!$B$5:$B$42,0),MATCH('Ultimate - MPM only'!$B59,'Plan Figures'!$B$1:$AP$1,0))</f>
        <v>1163.6668411466933</v>
      </c>
      <c r="AJ59" s="31">
        <f>INDEX('Plan Figures'!$B$5:$AP$42,MATCH('Ultimate - MPM only'!AJ$4,'Plan Figures'!$B$5:$B$42,0),MATCH('Ultimate - MPM only'!$B59,'Plan Figures'!$B$1:$AP$1,0))</f>
        <v>1142.8043600541273</v>
      </c>
      <c r="AK59" s="31">
        <f>INDEX('Plan Figures'!$B$5:$AP$42,MATCH('Ultimate - MPM only'!AK$4,'Plan Figures'!$B$5:$B$42,0),MATCH('Ultimate - MPM only'!$B59,'Plan Figures'!$B$1:$AP$1,0))</f>
        <v>1583.4171745261115</v>
      </c>
      <c r="AL59" s="31">
        <f>INDEX('Plan Figures'!$B$5:$AP$42,MATCH('Ultimate - MPM only'!AL$4,'Plan Figures'!$B$5:$B$42,0),MATCH('Ultimate - MPM only'!$B59,'Plan Figures'!$B$1:$AP$1,0))</f>
        <v>1633.4199796082153</v>
      </c>
      <c r="AM59" s="31">
        <f>INDEX('Plan Figures'!$B$5:$AP$42,MATCH('Ultimate - MPM only'!AM$4,'Plan Figures'!$B$5:$B$42,0),MATCH('Ultimate - MPM only'!$B59,'Plan Figures'!$B$1:$AP$1,0))</f>
        <v>1421.9431064527189</v>
      </c>
      <c r="AN59" s="266">
        <f>INDEX('Plan Figures'!$B$5:$AP$42,MATCH('Ultimate - MPM only'!AN$4,'Plan Figures'!$B$5:$B$42,0),MATCH('Ultimate - MPM only'!$B59,'Plan Figures'!$B$1:$AP$1,0))</f>
        <v>1292.0881451523526</v>
      </c>
      <c r="AO59" s="239">
        <f t="shared" si="53"/>
        <v>1104.5475328678265</v>
      </c>
      <c r="AP59" s="31">
        <f t="shared" ref="AP59:AP63" si="54">AVERAGE(R59:AC59)</f>
        <v>1104.5475328678265</v>
      </c>
      <c r="AQ59" s="240">
        <f>SUMIFS(AC59:AN59,AC$4:AN$4,"&lt;"&amp;'Title Sheet'!$C$13)</f>
        <v>15494.950763204368</v>
      </c>
    </row>
    <row r="60" spans="1:43" ht="15.75" hidden="1" outlineLevel="1" x14ac:dyDescent="0.25">
      <c r="B60" t="str">
        <f t="shared" ref="B60:B69" si="55">$D$2</f>
        <v>PC Annual Direct</v>
      </c>
      <c r="C60" t="str">
        <f t="shared" ref="C60:C69" si="56">$C59</f>
        <v>Boom Premium Finance</v>
      </c>
      <c r="D60" s="213" t="s">
        <v>0</v>
      </c>
      <c r="E60" s="214" t="str">
        <f t="shared" ref="E60:AN60" si="57">IFERROR(IF(E58=0,"-",(E58/E59)-1),"-")</f>
        <v>-</v>
      </c>
      <c r="F60" s="214" t="str">
        <f t="shared" si="57"/>
        <v>-</v>
      </c>
      <c r="G60" s="214" t="str">
        <f t="shared" si="57"/>
        <v>-</v>
      </c>
      <c r="H60" s="214" t="str">
        <f t="shared" si="57"/>
        <v>-</v>
      </c>
      <c r="I60" s="214" t="str">
        <f t="shared" si="57"/>
        <v>-</v>
      </c>
      <c r="J60" s="214" t="str">
        <f t="shared" si="57"/>
        <v>-</v>
      </c>
      <c r="K60" s="214" t="str">
        <f t="shared" si="57"/>
        <v>-</v>
      </c>
      <c r="L60" s="214" t="str">
        <f t="shared" si="57"/>
        <v>-</v>
      </c>
      <c r="M60" s="214" t="str">
        <f t="shared" si="57"/>
        <v>-</v>
      </c>
      <c r="N60" s="214" t="str">
        <f t="shared" si="57"/>
        <v>-</v>
      </c>
      <c r="O60" s="214" t="str">
        <f t="shared" si="57"/>
        <v>-</v>
      </c>
      <c r="P60" s="270" t="str">
        <f t="shared" si="57"/>
        <v>-</v>
      </c>
      <c r="Q60" s="214" t="str">
        <f t="shared" si="57"/>
        <v>-</v>
      </c>
      <c r="R60" s="214" t="str">
        <f t="shared" si="57"/>
        <v>-</v>
      </c>
      <c r="S60" s="214" t="str">
        <f t="shared" si="57"/>
        <v>-</v>
      </c>
      <c r="T60" s="214" t="str">
        <f t="shared" si="57"/>
        <v>-</v>
      </c>
      <c r="U60" s="214" t="str">
        <f t="shared" si="57"/>
        <v>-</v>
      </c>
      <c r="V60" s="214" t="str">
        <f t="shared" si="57"/>
        <v>-</v>
      </c>
      <c r="W60" s="214" t="str">
        <f t="shared" si="57"/>
        <v>-</v>
      </c>
      <c r="X60" s="214" t="str">
        <f t="shared" si="57"/>
        <v>-</v>
      </c>
      <c r="Y60" s="214" t="str">
        <f t="shared" si="57"/>
        <v>-</v>
      </c>
      <c r="Z60" s="214" t="str">
        <f t="shared" si="57"/>
        <v>-</v>
      </c>
      <c r="AA60" s="214">
        <f t="shared" si="57"/>
        <v>0.68864411209933318</v>
      </c>
      <c r="AB60" s="270">
        <f t="shared" si="57"/>
        <v>1.0658413265744842</v>
      </c>
      <c r="AC60" s="214">
        <f t="shared" si="57"/>
        <v>0.92605709493086175</v>
      </c>
      <c r="AD60" s="214">
        <f t="shared" si="57"/>
        <v>0.66633368173303942</v>
      </c>
      <c r="AE60" s="214">
        <f t="shared" si="57"/>
        <v>1.2328641505606202</v>
      </c>
      <c r="AF60" s="214">
        <f t="shared" si="57"/>
        <v>1.3071314539324406</v>
      </c>
      <c r="AG60" s="214">
        <f t="shared" si="57"/>
        <v>1.3084115194714956</v>
      </c>
      <c r="AH60" s="214">
        <f t="shared" si="57"/>
        <v>1.1224890848554336</v>
      </c>
      <c r="AI60" s="214">
        <f t="shared" si="57"/>
        <v>1.1916998571823254</v>
      </c>
      <c r="AJ60" s="214">
        <f t="shared" si="57"/>
        <v>2.6848350113756636E-2</v>
      </c>
      <c r="AK60" s="214" t="str">
        <f t="shared" si="57"/>
        <v>-</v>
      </c>
      <c r="AL60" s="214" t="str">
        <f t="shared" si="57"/>
        <v>-</v>
      </c>
      <c r="AM60" s="214" t="str">
        <f t="shared" si="57"/>
        <v>-</v>
      </c>
      <c r="AN60" s="270" t="str">
        <f t="shared" si="57"/>
        <v>-</v>
      </c>
      <c r="AO60" s="274">
        <f t="shared" si="53"/>
        <v>0.8935141778682264</v>
      </c>
      <c r="AP60" s="275">
        <f t="shared" si="54"/>
        <v>0.8935141778682264</v>
      </c>
      <c r="AQ60" s="276">
        <f t="shared" ref="AQ60" si="58">IFERROR(IF(AQ58=0,"-",(AQ58/AQ59)-1),"-")</f>
        <v>0.22089902502911762</v>
      </c>
    </row>
    <row r="61" spans="1:43" ht="15.75" outlineLevel="1" x14ac:dyDescent="0.25">
      <c r="A61">
        <v>4</v>
      </c>
      <c r="B61" t="str">
        <f t="shared" si="55"/>
        <v>PC Annual Direct</v>
      </c>
      <c r="C61" t="str">
        <f t="shared" si="56"/>
        <v>Boom Premium Finance</v>
      </c>
      <c r="D61" s="208" t="s">
        <v>5</v>
      </c>
      <c r="E61" s="209">
        <f>'Current - MPM only'!E61/VLOOKUP(COUNTA(E$4:$AE$4),'Dev Patterns'!$B$6:$F$34,$A61,0)</f>
        <v>0</v>
      </c>
      <c r="F61" s="209">
        <f>'Current - MPM only'!F61/VLOOKUP(COUNTA(F$4:$AE$4),'Dev Patterns'!$B$6:$F$34,$A61,0)</f>
        <v>0</v>
      </c>
      <c r="G61" s="209">
        <f>'Current - MPM only'!G61/VLOOKUP(COUNTA(G$4:$AE$4),'Dev Patterns'!$B$6:$F$34,$A61,0)</f>
        <v>0</v>
      </c>
      <c r="H61" s="209">
        <f>'Current - MPM only'!H61/VLOOKUP(COUNTA(H$4:$AE$4),'Dev Patterns'!$B$6:$F$34,$A61,0)</f>
        <v>0</v>
      </c>
      <c r="I61" s="209">
        <f>'Current - MPM only'!I61/VLOOKUP(COUNTA(I$4:$AE$4),'Dev Patterns'!$B$6:$F$34,$A61,0)</f>
        <v>0</v>
      </c>
      <c r="J61" s="209">
        <f>'Current - MPM only'!J61/VLOOKUP(COUNTA(J$4:$AE$4),'Dev Patterns'!$B$6:$F$34,$A61,0)</f>
        <v>0</v>
      </c>
      <c r="K61" s="209">
        <f>'Current - MPM only'!K61/VLOOKUP(COUNTA(K$4:$AE$4),'Dev Patterns'!$B$6:$F$34,$A61,0)</f>
        <v>0</v>
      </c>
      <c r="L61" s="209">
        <f>'Current - MPM only'!L61/VLOOKUP(COUNTA(L$4:$AE$4),'Dev Patterns'!$B$6:$F$34,$A61,0)</f>
        <v>0</v>
      </c>
      <c r="M61" s="209">
        <f>'Current - MPM only'!M61/VLOOKUP(COUNTA(M$4:$AE$4),'Dev Patterns'!$B$6:$F$34,$A61,0)</f>
        <v>0</v>
      </c>
      <c r="N61" s="209">
        <f>'Current - MPM only'!N61/VLOOKUP(COUNTA(N$4:$AE$4),'Dev Patterns'!$B$6:$F$34,$A61,0)</f>
        <v>0</v>
      </c>
      <c r="O61" s="209">
        <f>'Current - MPM only'!O61/VLOOKUP(COUNTA(O$4:$AE$4),'Dev Patterns'!$B$6:$F$34,$A61,0)</f>
        <v>0</v>
      </c>
      <c r="P61" s="265">
        <f>'Current - MPM only'!P61/VLOOKUP(COUNTA(P$4:$AE$4),'Dev Patterns'!$B$6:$F$34,$A61,0)</f>
        <v>0</v>
      </c>
      <c r="Q61" s="209">
        <f>'Current - MPM only'!Q61/VLOOKUP(COUNTA(Q$4:$AE$4),'Dev Patterns'!$B$6:$F$34,$A61,0)</f>
        <v>0</v>
      </c>
      <c r="R61" s="209">
        <f>'Current - MPM only'!R61/VLOOKUP(COUNTA(R$4:$AE$4),'Dev Patterns'!$B$6:$F$34,$A61,0)</f>
        <v>0</v>
      </c>
      <c r="S61" s="209">
        <f>'Current - MPM only'!S61/VLOOKUP(COUNTA(S$4:$AE$4),'Dev Patterns'!$B$6:$F$34,$A61,0)</f>
        <v>0</v>
      </c>
      <c r="T61" s="209">
        <f>'Current - MPM only'!T61/VLOOKUP(COUNTA(T$4:$AE$4),'Dev Patterns'!$B$6:$F$34,$A61,0)</f>
        <v>0</v>
      </c>
      <c r="U61" s="209">
        <f>'Current - MPM only'!U61/VLOOKUP(COUNTA(U$4:$AE$4),'Dev Patterns'!$B$6:$F$34,$A61,0)</f>
        <v>0</v>
      </c>
      <c r="V61" s="209">
        <f>'Current - MPM only'!V61/VLOOKUP(COUNTA(V$4:$AE$4),'Dev Patterns'!$B$6:$F$34,$A61,0)</f>
        <v>0</v>
      </c>
      <c r="W61" s="209">
        <f>'Current - MPM only'!W61/VLOOKUP(COUNTA(W$4:$AE$4),'Dev Patterns'!$B$6:$F$34,$A61,0)</f>
        <v>0</v>
      </c>
      <c r="X61" s="209">
        <f>'Current - MPM only'!X61/VLOOKUP(COUNTA(X$4:$AE$4),'Dev Patterns'!$B$6:$F$34,$A61,0)</f>
        <v>0</v>
      </c>
      <c r="Y61" s="209">
        <f>'Current - MPM only'!Y61/VLOOKUP(COUNTA(Y$4:$AE$4),'Dev Patterns'!$B$6:$F$34,$A61,0)</f>
        <v>0</v>
      </c>
      <c r="Z61" s="209">
        <f>'Current - MPM only'!Z61/VLOOKUP(COUNTA(Z$4:$AE$4),'Dev Patterns'!$B$6:$F$34,$A61,0)</f>
        <v>0</v>
      </c>
      <c r="AA61" s="209">
        <f>'Current - MPM only'!AA61/VLOOKUP(COUNTA(AA$4:$AE$4),'Dev Patterns'!$B$6:$F$34,$A61,0)</f>
        <v>0</v>
      </c>
      <c r="AB61" s="265">
        <f>'Current - MPM only'!AB61/VLOOKUP(COUNTA(AB$4:$AE$4),'Dev Patterns'!$B$6:$F$34,$A61,0)</f>
        <v>0</v>
      </c>
      <c r="AC61" s="209">
        <f>'Current - MPM only'!AC61/VLOOKUP(COUNTA(AC$4:$AE$4),'Dev Patterns'!$B$6:$F$34,$A61,0)</f>
        <v>391902.63946356589</v>
      </c>
      <c r="AD61" s="209">
        <f>'Current - MPM only'!AD61/VLOOKUP(COUNTA(AD$4:$AE$4),'Dev Patterns'!$B$6:$F$34,$A61,0)</f>
        <v>1985478.3503831804</v>
      </c>
      <c r="AE61" s="209">
        <f>'Current - MPM only'!AE61/VLOOKUP(COUNTA(AE$4:$AE$4),'Dev Patterns'!$B$6:$F$34,$A61,0)</f>
        <v>3754063.7720056386</v>
      </c>
      <c r="AF61" s="209">
        <f>'Current - MPM only'!AF61/VLOOKUP(COUNTA($AE$4:AF$4),'Dev Patterns'!$B$6:$F$34,$A61,0)</f>
        <v>3530904.4716598839</v>
      </c>
      <c r="AG61" s="209">
        <f>'Current - MPM only'!AG61/VLOOKUP(COUNTA($AE$4:AG$4),'Dev Patterns'!$B$6:$F$34,$A61,0)</f>
        <v>3328155.9551350893</v>
      </c>
      <c r="AH61" s="209">
        <f>'Current - MPM only'!AH61/VLOOKUP(COUNTA($AE$4:AH$4),'Dev Patterns'!$B$6:$F$34,$A61,0)</f>
        <v>2807514.1884875917</v>
      </c>
      <c r="AI61" s="209">
        <f>'Current - MPM only'!AI61/VLOOKUP(COUNTA($AE$4:AI$4),'Dev Patterns'!$B$6:$F$34,$A61,0)</f>
        <v>2381737.0343085625</v>
      </c>
      <c r="AJ61" s="209">
        <f>'Current - MPM only'!AJ61/VLOOKUP(COUNTA($AE$4:AJ$4),'Dev Patterns'!$B$6:$F$34,$A61,0)</f>
        <v>2106842.7364228033</v>
      </c>
      <c r="AK61" s="209">
        <f>'Current - MPM only'!AK61/VLOOKUP(COUNTA($AE$4:AK$4),'Dev Patterns'!$B$6:$F$34,$A61,0)</f>
        <v>2002221.4731518715</v>
      </c>
      <c r="AL61" s="209">
        <f>'Current - MPM only'!AL61/VLOOKUP(COUNTA($AE$4:AL$4),'Dev Patterns'!$B$6:$F$34,$A61,0)</f>
        <v>1988988.2863154169</v>
      </c>
      <c r="AM61" s="209">
        <f>'Current - MPM only'!AM61/VLOOKUP(COUNTA($AE$4:AM$4),'Dev Patterns'!$B$6:$F$34,$A61,0)</f>
        <v>2280790.2557977359</v>
      </c>
      <c r="AN61" s="265">
        <f>'Current - MPM only'!AN61/VLOOKUP(COUNTA($AE$4:AN$4),'Dev Patterns'!$B$6:$F$34,$A61,0)</f>
        <v>2491355.7241276489</v>
      </c>
      <c r="AO61" s="237">
        <f t="shared" si="53"/>
        <v>97975.659865891474</v>
      </c>
      <c r="AP61" s="209">
        <f t="shared" si="54"/>
        <v>32658.55328863049</v>
      </c>
      <c r="AQ61" s="238">
        <f>SUMIFS(AC61:AN61,AC$4:AN$4,"&lt;"&amp;'Title Sheet'!$C$13)</f>
        <v>29049954.887258992</v>
      </c>
    </row>
    <row r="62" spans="1:43" ht="15.75" outlineLevel="1" x14ac:dyDescent="0.25">
      <c r="B62" t="str">
        <f>$D$21&amp;"_NWP"</f>
        <v>PC Annual Direct - Annual_NWP</v>
      </c>
      <c r="C62" t="str">
        <f t="shared" si="56"/>
        <v>Boom Premium Finance</v>
      </c>
      <c r="D62" s="211" t="s">
        <v>6</v>
      </c>
      <c r="E62" s="31" t="e">
        <f>INDEX('Plan Figures'!$B$5:$AP$31,MATCH('Ultimate - MPM only'!E$4,'Plan Figures'!$B$5:$B$31,0),MATCH('Ultimate - MPM only'!$B62,'Plan Figures'!$B$1:$AP$1,0))</f>
        <v>#N/A</v>
      </c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6"/>
      <c r="Q62" s="31"/>
      <c r="R62" s="31" t="str">
        <f>INDEX('Plan Figures'!$B$5:$AP$31,MATCH('Ultimate - MPM only'!R$4,'Plan Figures'!$B$5:$B$31,0),MATCH('Ultimate - MPM only'!$B62,'Plan Figures'!$B$1:$AP$1,0))</f>
        <v>-</v>
      </c>
      <c r="S62" s="31" t="str">
        <f>INDEX('Plan Figures'!$B$5:$AP$31,MATCH('Ultimate - MPM only'!S$4,'Plan Figures'!$B$5:$B$31,0),MATCH('Ultimate - MPM only'!$B62,'Plan Figures'!$B$1:$AP$1,0))</f>
        <v>-</v>
      </c>
      <c r="T62" s="31" t="str">
        <f>INDEX('Plan Figures'!$B$5:$AP$31,MATCH('Ultimate - MPM only'!T$4,'Plan Figures'!$B$5:$B$31,0),MATCH('Ultimate - MPM only'!$B62,'Plan Figures'!$B$1:$AP$1,0))</f>
        <v>-</v>
      </c>
      <c r="U62" s="31" t="str">
        <f>INDEX('Plan Figures'!$B$5:$AP$31,MATCH('Ultimate - MPM only'!U$4,'Plan Figures'!$B$5:$B$31,0),MATCH('Ultimate - MPM only'!$B62,'Plan Figures'!$B$1:$AP$1,0))</f>
        <v>-</v>
      </c>
      <c r="V62" s="31" t="str">
        <f>INDEX('Plan Figures'!$B$5:$AP$31,MATCH('Ultimate - MPM only'!V$4,'Plan Figures'!$B$5:$B$31,0),MATCH('Ultimate - MPM only'!$B62,'Plan Figures'!$B$1:$AP$1,0))</f>
        <v>-</v>
      </c>
      <c r="W62" s="31" t="str">
        <f>INDEX('Plan Figures'!$B$5:$AP$31,MATCH('Ultimate - MPM only'!W$4,'Plan Figures'!$B$5:$B$31,0),MATCH('Ultimate - MPM only'!$B62,'Plan Figures'!$B$1:$AP$1,0))</f>
        <v>-</v>
      </c>
      <c r="X62" s="31" t="str">
        <f>INDEX('Plan Figures'!$B$5:$AP$31,MATCH('Ultimate - MPM only'!X$4,'Plan Figures'!$B$5:$B$31,0),MATCH('Ultimate - MPM only'!$B62,'Plan Figures'!$B$1:$AP$1,0))</f>
        <v>-</v>
      </c>
      <c r="Y62" s="31" t="str">
        <f>INDEX('Plan Figures'!$B$5:$AP$31,MATCH('Ultimate - MPM only'!Y$4,'Plan Figures'!$B$5:$B$31,0),MATCH('Ultimate - MPM only'!$B62,'Plan Figures'!$B$1:$AP$1,0))</f>
        <v>-</v>
      </c>
      <c r="Z62" s="31" t="str">
        <f>INDEX('Plan Figures'!$B$5:$AP$31,MATCH('Ultimate - MPM only'!Z$4,'Plan Figures'!$B$5:$B$31,0),MATCH('Ultimate - MPM only'!$B62,'Plan Figures'!$B$1:$AP$1,0))</f>
        <v>-</v>
      </c>
      <c r="AA62" s="31">
        <f>INDEX('Plan Figures'!$B$5:$AP$31,MATCH('Ultimate - MPM only'!AA$4,'Plan Figures'!$B$5:$B$31,0),MATCH('Ultimate - MPM only'!$B62,'Plan Figures'!$B$1:$AP$1,0))</f>
        <v>1201948.8602582696</v>
      </c>
      <c r="AB62" s="266">
        <f>INDEX('Plan Figures'!$B$5:$AP$31,MATCH('Ultimate - MPM only'!AB$4,'Plan Figures'!$B$5:$B$31,0),MATCH('Ultimate - MPM only'!$B62,'Plan Figures'!$B$1:$AP$1,0))</f>
        <v>1130181.9540233866</v>
      </c>
      <c r="AC62" s="31">
        <f>INDEX('Plan Figures'!$B$5:$AP$31,MATCH('Ultimate - MPM only'!AC$4,'Plan Figures'!$B$5:$B$31,0),MATCH('Ultimate - MPM only'!$B62,'Plan Figures'!$B$1:$AP$1,0))</f>
        <v>1235960.0527141613</v>
      </c>
      <c r="AD62" s="31">
        <f>INDEX('Plan Figures'!$B$5:$AP$42,MATCH('Ultimate - MPM only'!AD$4,'Plan Figures'!$B$5:$B$42,0),MATCH('Ultimate - MPM only'!$B62,'Plan Figures'!$B$1:$AP$1,0))</f>
        <v>1333459.558352059</v>
      </c>
      <c r="AE62" s="31">
        <f>INDEX('Plan Figures'!$B$5:$AP$42,MATCH('Ultimate - MPM only'!AE$4,'Plan Figures'!$B$5:$B$42,0),MATCH('Ultimate - MPM only'!$B62,'Plan Figures'!$B$1:$AP$1,0))</f>
        <v>1387558.0023525297</v>
      </c>
      <c r="AF62" s="31">
        <f>INDEX('Plan Figures'!$B$5:$AP$42,MATCH('Ultimate - MPM only'!AF$4,'Plan Figures'!$B$5:$B$42,0),MATCH('Ultimate - MPM only'!$B62,'Plan Figures'!$B$1:$AP$1,0))</f>
        <v>1433144.0223048357</v>
      </c>
      <c r="AG62" s="31">
        <f>INDEX('Plan Figures'!$B$5:$AP$42,MATCH('Ultimate - MPM only'!AG$4,'Plan Figures'!$B$5:$B$42,0),MATCH('Ultimate - MPM only'!$B62,'Plan Figures'!$B$1:$AP$1,0))</f>
        <v>1450615.9831731343</v>
      </c>
      <c r="AH62" s="31">
        <f>INDEX('Plan Figures'!$B$5:$AP$42,MATCH('Ultimate - MPM only'!AH$4,'Plan Figures'!$B$5:$B$42,0),MATCH('Ultimate - MPM only'!$B62,'Plan Figures'!$B$1:$AP$1,0))</f>
        <v>1477938.9090293914</v>
      </c>
      <c r="AI62" s="31">
        <f>INDEX('Plan Figures'!$B$5:$AP$42,MATCH('Ultimate - MPM only'!AI$4,'Plan Figures'!$B$5:$B$42,0),MATCH('Ultimate - MPM only'!$B62,'Plan Figures'!$B$1:$AP$1,0))</f>
        <v>1091240.230856986</v>
      </c>
      <c r="AJ62" s="31">
        <f>INDEX('Plan Figures'!$B$5:$AP$42,MATCH('Ultimate - MPM only'!AJ$4,'Plan Figures'!$B$5:$B$42,0),MATCH('Ultimate - MPM only'!$B62,'Plan Figures'!$B$1:$AP$1,0))</f>
        <v>1077448.4163922931</v>
      </c>
      <c r="AK62" s="31">
        <f>INDEX('Plan Figures'!$B$5:$AP$42,MATCH('Ultimate - MPM only'!AK$4,'Plan Figures'!$B$5:$B$42,0),MATCH('Ultimate - MPM only'!$B62,'Plan Figures'!$B$1:$AP$1,0))</f>
        <v>1476073.2552601595</v>
      </c>
      <c r="AL62" s="31">
        <f>INDEX('Plan Figures'!$B$5:$AP$42,MATCH('Ultimate - MPM only'!AL$4,'Plan Figures'!$B$5:$B$42,0),MATCH('Ultimate - MPM only'!$B62,'Plan Figures'!$B$1:$AP$1,0))</f>
        <v>1607394.6364770622</v>
      </c>
      <c r="AM62" s="31">
        <f>INDEX('Plan Figures'!$B$5:$AP$42,MATCH('Ultimate - MPM only'!AM$4,'Plan Figures'!$B$5:$B$42,0),MATCH('Ultimate - MPM only'!$B62,'Plan Figures'!$B$1:$AP$1,0))</f>
        <v>1381402.3361292861</v>
      </c>
      <c r="AN62" s="266">
        <f>INDEX('Plan Figures'!$B$5:$AP$42,MATCH('Ultimate - MPM only'!AN$4,'Plan Figures'!$B$5:$B$42,0),MATCH('Ultimate - MPM only'!$B62,'Plan Figures'!$B$1:$AP$1,0))</f>
        <v>1254506.4774169179</v>
      </c>
      <c r="AO62" s="239">
        <f t="shared" si="53"/>
        <v>1189363.6223319394</v>
      </c>
      <c r="AP62" s="31">
        <f t="shared" si="54"/>
        <v>1189363.6223319394</v>
      </c>
      <c r="AQ62" s="240">
        <f>SUMIFS(AC62:AN62,AC$4:AN$4,"&lt;"&amp;'Title Sheet'!$C$13)</f>
        <v>16206741.880458815</v>
      </c>
    </row>
    <row r="63" spans="1:43" ht="15.75" outlineLevel="1" x14ac:dyDescent="0.25">
      <c r="B63" t="str">
        <f t="shared" si="55"/>
        <v>PC Annual Direct</v>
      </c>
      <c r="C63" t="str">
        <f t="shared" si="56"/>
        <v>Boom Premium Finance</v>
      </c>
      <c r="D63" s="213" t="s">
        <v>0</v>
      </c>
      <c r="E63" s="214" t="str">
        <f t="shared" ref="E63:AN63" si="59">IFERROR(IF(E61=0,"-",(E61/E62)-1),"-")</f>
        <v>-</v>
      </c>
      <c r="F63" s="214" t="str">
        <f t="shared" si="59"/>
        <v>-</v>
      </c>
      <c r="G63" s="214" t="str">
        <f t="shared" si="59"/>
        <v>-</v>
      </c>
      <c r="H63" s="214" t="str">
        <f t="shared" si="59"/>
        <v>-</v>
      </c>
      <c r="I63" s="214" t="str">
        <f t="shared" si="59"/>
        <v>-</v>
      </c>
      <c r="J63" s="214" t="str">
        <f t="shared" si="59"/>
        <v>-</v>
      </c>
      <c r="K63" s="214" t="str">
        <f t="shared" si="59"/>
        <v>-</v>
      </c>
      <c r="L63" s="214" t="str">
        <f t="shared" si="59"/>
        <v>-</v>
      </c>
      <c r="M63" s="214" t="str">
        <f t="shared" si="59"/>
        <v>-</v>
      </c>
      <c r="N63" s="214" t="str">
        <f t="shared" si="59"/>
        <v>-</v>
      </c>
      <c r="O63" s="214" t="str">
        <f t="shared" si="59"/>
        <v>-</v>
      </c>
      <c r="P63" s="270" t="str">
        <f t="shared" si="59"/>
        <v>-</v>
      </c>
      <c r="Q63" s="214" t="str">
        <f t="shared" si="59"/>
        <v>-</v>
      </c>
      <c r="R63" s="214" t="str">
        <f t="shared" si="59"/>
        <v>-</v>
      </c>
      <c r="S63" s="214" t="str">
        <f t="shared" si="59"/>
        <v>-</v>
      </c>
      <c r="T63" s="214" t="str">
        <f t="shared" si="59"/>
        <v>-</v>
      </c>
      <c r="U63" s="214" t="str">
        <f t="shared" si="59"/>
        <v>-</v>
      </c>
      <c r="V63" s="214" t="str">
        <f t="shared" si="59"/>
        <v>-</v>
      </c>
      <c r="W63" s="214" t="str">
        <f t="shared" si="59"/>
        <v>-</v>
      </c>
      <c r="X63" s="214" t="str">
        <f t="shared" si="59"/>
        <v>-</v>
      </c>
      <c r="Y63" s="214" t="str">
        <f t="shared" si="59"/>
        <v>-</v>
      </c>
      <c r="Z63" s="214" t="str">
        <f t="shared" si="59"/>
        <v>-</v>
      </c>
      <c r="AA63" s="214" t="str">
        <f t="shared" si="59"/>
        <v>-</v>
      </c>
      <c r="AB63" s="270" t="str">
        <f t="shared" si="59"/>
        <v>-</v>
      </c>
      <c r="AC63" s="214">
        <f t="shared" si="59"/>
        <v>-0.68291641901940925</v>
      </c>
      <c r="AD63" s="214">
        <f t="shared" si="59"/>
        <v>0.48896780404567464</v>
      </c>
      <c r="AE63" s="214">
        <f t="shared" si="59"/>
        <v>1.7055184472582958</v>
      </c>
      <c r="AF63" s="214">
        <f t="shared" si="59"/>
        <v>1.4637471298811624</v>
      </c>
      <c r="AG63" s="214">
        <f t="shared" si="59"/>
        <v>1.2943053114959828</v>
      </c>
      <c r="AH63" s="214">
        <f t="shared" si="59"/>
        <v>0.89961450458826731</v>
      </c>
      <c r="AI63" s="214">
        <f t="shared" si="59"/>
        <v>1.1825964319864819</v>
      </c>
      <c r="AJ63" s="214">
        <f t="shared" si="59"/>
        <v>0.95540009560486783</v>
      </c>
      <c r="AK63" s="214">
        <f t="shared" si="59"/>
        <v>0.35645129130056485</v>
      </c>
      <c r="AL63" s="214">
        <f t="shared" si="59"/>
        <v>0.23739885724310739</v>
      </c>
      <c r="AM63" s="214">
        <f t="shared" si="59"/>
        <v>0.65106876986218998</v>
      </c>
      <c r="AN63" s="270">
        <f t="shared" si="59"/>
        <v>0.9859249585203067</v>
      </c>
      <c r="AO63" s="274">
        <f t="shared" si="53"/>
        <v>-0.68291641901940925</v>
      </c>
      <c r="AP63" s="275">
        <f t="shared" si="54"/>
        <v>-0.68291641901940925</v>
      </c>
      <c r="AQ63" s="276">
        <f t="shared" ref="AQ63" si="60">IFERROR(IF(AQ61=0,"-",(AQ61/AQ62)-1),"-")</f>
        <v>0.7924611313940777</v>
      </c>
    </row>
    <row r="64" spans="1:43" ht="15.75" outlineLevel="1" x14ac:dyDescent="0.25">
      <c r="B64" t="str">
        <f t="shared" si="55"/>
        <v>PC Annual Direct</v>
      </c>
      <c r="C64" t="str">
        <f t="shared" si="56"/>
        <v>Boom Premium Finance</v>
      </c>
      <c r="D64" s="208" t="s">
        <v>12</v>
      </c>
      <c r="E64" s="209">
        <f>IFERROR(E61/E58,0)</f>
        <v>0</v>
      </c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65"/>
      <c r="Q64" s="209"/>
      <c r="R64" s="209">
        <f t="shared" ref="R64:AP65" si="61">IFERROR(R61/R58,0)</f>
        <v>0</v>
      </c>
      <c r="S64" s="209">
        <f t="shared" si="61"/>
        <v>0</v>
      </c>
      <c r="T64" s="209">
        <f t="shared" si="61"/>
        <v>0</v>
      </c>
      <c r="U64" s="209">
        <f t="shared" si="61"/>
        <v>0</v>
      </c>
      <c r="V64" s="209">
        <f t="shared" si="61"/>
        <v>0</v>
      </c>
      <c r="W64" s="209">
        <f t="shared" si="61"/>
        <v>0</v>
      </c>
      <c r="X64" s="209">
        <f t="shared" si="61"/>
        <v>0</v>
      </c>
      <c r="Y64" s="209">
        <f t="shared" si="61"/>
        <v>0</v>
      </c>
      <c r="Z64" s="209">
        <f t="shared" si="61"/>
        <v>0</v>
      </c>
      <c r="AA64" s="209">
        <f t="shared" si="61"/>
        <v>0</v>
      </c>
      <c r="AB64" s="265">
        <f t="shared" si="61"/>
        <v>0</v>
      </c>
      <c r="AC64" s="209">
        <f t="shared" si="61"/>
        <v>168.08421849088384</v>
      </c>
      <c r="AD64" s="209">
        <f t="shared" si="61"/>
        <v>986.25407880113562</v>
      </c>
      <c r="AE64" s="209">
        <f t="shared" si="61"/>
        <v>1394.4170862449459</v>
      </c>
      <c r="AF64" s="209">
        <f t="shared" si="61"/>
        <v>1271.8465027485074</v>
      </c>
      <c r="AG64" s="209">
        <f t="shared" si="61"/>
        <v>1200.438519333977</v>
      </c>
      <c r="AH64" s="209">
        <f t="shared" si="61"/>
        <v>1076.3871155224558</v>
      </c>
      <c r="AI64" s="209">
        <f t="shared" si="61"/>
        <v>933.86494023328737</v>
      </c>
      <c r="AJ64" s="209">
        <f t="shared" si="61"/>
        <v>1795.369822112631</v>
      </c>
      <c r="AK64" s="209">
        <f t="shared" si="61"/>
        <v>0</v>
      </c>
      <c r="AL64" s="209">
        <f t="shared" si="61"/>
        <v>0</v>
      </c>
      <c r="AM64" s="209">
        <f t="shared" si="61"/>
        <v>0</v>
      </c>
      <c r="AN64" s="265">
        <f t="shared" si="61"/>
        <v>0</v>
      </c>
      <c r="AO64" s="237">
        <f t="shared" si="61"/>
        <v>49.081362874230571</v>
      </c>
      <c r="AP64" s="209">
        <f t="shared" si="61"/>
        <v>14.728085361253644</v>
      </c>
      <c r="AQ64" s="238">
        <f>SUMIFS(AC64:AN64,AC$4:AN$4,"&lt;"&amp;'Title Sheet'!$C$13)</f>
        <v>8826.6622834878235</v>
      </c>
    </row>
    <row r="65" spans="1:43" ht="15.75" hidden="1" outlineLevel="1" x14ac:dyDescent="0.25">
      <c r="B65" t="str">
        <f t="shared" si="55"/>
        <v>PC Annual Direct</v>
      </c>
      <c r="C65" t="str">
        <f t="shared" si="56"/>
        <v>Boom Premium Finance</v>
      </c>
      <c r="D65" s="211" t="s">
        <v>13</v>
      </c>
      <c r="E65" s="31">
        <f>IFERROR(E62/E59,0)</f>
        <v>0</v>
      </c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266"/>
      <c r="Q65" s="31"/>
      <c r="R65" s="31">
        <f t="shared" si="61"/>
        <v>0</v>
      </c>
      <c r="S65" s="31">
        <f t="shared" si="61"/>
        <v>0</v>
      </c>
      <c r="T65" s="31">
        <f t="shared" si="61"/>
        <v>0</v>
      </c>
      <c r="U65" s="31">
        <f t="shared" si="61"/>
        <v>0</v>
      </c>
      <c r="V65" s="31">
        <f t="shared" si="61"/>
        <v>0</v>
      </c>
      <c r="W65" s="31">
        <f t="shared" si="61"/>
        <v>0</v>
      </c>
      <c r="X65" s="31">
        <f t="shared" si="61"/>
        <v>0</v>
      </c>
      <c r="Y65" s="31">
        <f t="shared" si="61"/>
        <v>0</v>
      </c>
      <c r="Z65" s="31">
        <f t="shared" si="61"/>
        <v>0</v>
      </c>
      <c r="AA65" s="31">
        <f t="shared" si="61"/>
        <v>1079.510683288258</v>
      </c>
      <c r="AB65" s="266">
        <f t="shared" si="61"/>
        <v>1141.9736170890237</v>
      </c>
      <c r="AC65" s="31">
        <f t="shared" si="61"/>
        <v>1020.9920064895846</v>
      </c>
      <c r="AD65" s="31">
        <f t="shared" si="61"/>
        <v>1103.7366864398034</v>
      </c>
      <c r="AE65" s="31">
        <f t="shared" si="61"/>
        <v>1150.8123058487083</v>
      </c>
      <c r="AF65" s="31">
        <f t="shared" si="61"/>
        <v>1190.9976618446992</v>
      </c>
      <c r="AG65" s="31">
        <f t="shared" si="61"/>
        <v>1207.8192438307094</v>
      </c>
      <c r="AH65" s="31">
        <f t="shared" si="61"/>
        <v>1202.675541936135</v>
      </c>
      <c r="AI65" s="31">
        <f t="shared" si="61"/>
        <v>937.7600119478036</v>
      </c>
      <c r="AJ65" s="31">
        <f t="shared" si="61"/>
        <v>942.81090802039057</v>
      </c>
      <c r="AK65" s="31">
        <f t="shared" si="61"/>
        <v>932.20743023828948</v>
      </c>
      <c r="AL65" s="31">
        <f t="shared" si="61"/>
        <v>984.06696167791745</v>
      </c>
      <c r="AM65" s="31">
        <f t="shared" si="61"/>
        <v>971.48917552364753</v>
      </c>
      <c r="AN65" s="266">
        <f t="shared" si="61"/>
        <v>970.91400623368202</v>
      </c>
      <c r="AO65" s="239">
        <f t="shared" si="61"/>
        <v>1076.7880846593339</v>
      </c>
      <c r="AP65" s="31">
        <f t="shared" si="61"/>
        <v>1076.7880846593339</v>
      </c>
      <c r="AQ65" s="240">
        <f>SUMIFS(AC65:AN65,AC$4:AN$4,"&lt;"&amp;'Title Sheet'!$C$13)</f>
        <v>12616.281940031373</v>
      </c>
    </row>
    <row r="66" spans="1:43" ht="15.75" hidden="1" outlineLevel="1" x14ac:dyDescent="0.25">
      <c r="B66" t="str">
        <f t="shared" si="55"/>
        <v>PC Annual Direct</v>
      </c>
      <c r="C66" t="str">
        <f t="shared" si="56"/>
        <v>Boom Premium Finance</v>
      </c>
      <c r="D66" s="213" t="s">
        <v>0</v>
      </c>
      <c r="E66" s="214" t="str">
        <f t="shared" ref="E66:AN66" si="62">IFERROR(IF(E64=0,"-",(E64/E65)-1),"-")</f>
        <v>-</v>
      </c>
      <c r="F66" s="214" t="str">
        <f t="shared" si="62"/>
        <v>-</v>
      </c>
      <c r="G66" s="214" t="str">
        <f t="shared" si="62"/>
        <v>-</v>
      </c>
      <c r="H66" s="214" t="str">
        <f t="shared" si="62"/>
        <v>-</v>
      </c>
      <c r="I66" s="214" t="str">
        <f t="shared" si="62"/>
        <v>-</v>
      </c>
      <c r="J66" s="214" t="str">
        <f t="shared" si="62"/>
        <v>-</v>
      </c>
      <c r="K66" s="214" t="str">
        <f t="shared" si="62"/>
        <v>-</v>
      </c>
      <c r="L66" s="214" t="str">
        <f t="shared" si="62"/>
        <v>-</v>
      </c>
      <c r="M66" s="214" t="str">
        <f t="shared" si="62"/>
        <v>-</v>
      </c>
      <c r="N66" s="214" t="str">
        <f t="shared" si="62"/>
        <v>-</v>
      </c>
      <c r="O66" s="214" t="str">
        <f t="shared" si="62"/>
        <v>-</v>
      </c>
      <c r="P66" s="270" t="str">
        <f t="shared" si="62"/>
        <v>-</v>
      </c>
      <c r="Q66" s="214" t="str">
        <f t="shared" si="62"/>
        <v>-</v>
      </c>
      <c r="R66" s="214" t="str">
        <f t="shared" si="62"/>
        <v>-</v>
      </c>
      <c r="S66" s="214" t="str">
        <f t="shared" si="62"/>
        <v>-</v>
      </c>
      <c r="T66" s="214" t="str">
        <f t="shared" si="62"/>
        <v>-</v>
      </c>
      <c r="U66" s="214" t="str">
        <f t="shared" si="62"/>
        <v>-</v>
      </c>
      <c r="V66" s="214" t="str">
        <f t="shared" si="62"/>
        <v>-</v>
      </c>
      <c r="W66" s="214" t="str">
        <f t="shared" si="62"/>
        <v>-</v>
      </c>
      <c r="X66" s="214" t="str">
        <f t="shared" si="62"/>
        <v>-</v>
      </c>
      <c r="Y66" s="214" t="str">
        <f t="shared" si="62"/>
        <v>-</v>
      </c>
      <c r="Z66" s="214" t="str">
        <f t="shared" si="62"/>
        <v>-</v>
      </c>
      <c r="AA66" s="214" t="str">
        <f t="shared" si="62"/>
        <v>-</v>
      </c>
      <c r="AB66" s="270" t="str">
        <f t="shared" si="62"/>
        <v>-</v>
      </c>
      <c r="AC66" s="214">
        <f t="shared" si="62"/>
        <v>-0.83537166067656332</v>
      </c>
      <c r="AD66" s="214">
        <f t="shared" si="62"/>
        <v>-0.10644079252055849</v>
      </c>
      <c r="AE66" s="214">
        <f t="shared" si="62"/>
        <v>0.21168072252806014</v>
      </c>
      <c r="AF66" s="214">
        <f t="shared" si="62"/>
        <v>6.7883291037351023E-2</v>
      </c>
      <c r="AG66" s="214">
        <f t="shared" si="62"/>
        <v>-6.1107856448153752E-3</v>
      </c>
      <c r="AH66" s="214">
        <f t="shared" si="62"/>
        <v>-0.10500623153138455</v>
      </c>
      <c r="AI66" s="214">
        <f t="shared" si="62"/>
        <v>-4.1535911799287506E-3</v>
      </c>
      <c r="AJ66" s="214">
        <f t="shared" si="62"/>
        <v>0.90427349412232494</v>
      </c>
      <c r="AK66" s="214" t="str">
        <f t="shared" si="62"/>
        <v>-</v>
      </c>
      <c r="AL66" s="214" t="str">
        <f t="shared" si="62"/>
        <v>-</v>
      </c>
      <c r="AM66" s="214" t="str">
        <f t="shared" si="62"/>
        <v>-</v>
      </c>
      <c r="AN66" s="270" t="str">
        <f t="shared" si="62"/>
        <v>-</v>
      </c>
      <c r="AO66" s="274">
        <f t="shared" ref="AO66:AP66" si="63">AO64-AO65</f>
        <v>-1027.7067217851034</v>
      </c>
      <c r="AP66" s="275">
        <f t="shared" si="63"/>
        <v>-1062.0599992980804</v>
      </c>
      <c r="AQ66" s="276">
        <f t="shared" ref="AQ66" si="64">IFERROR(IF(AQ64=0,"-",(AQ64/AQ65)-1),"-")</f>
        <v>-0.30037531457814948</v>
      </c>
    </row>
    <row r="67" spans="1:43" outlineLevel="1" x14ac:dyDescent="0.25">
      <c r="B67" t="str">
        <f t="shared" si="55"/>
        <v>PC Annual Direct</v>
      </c>
      <c r="C67" t="str">
        <f t="shared" si="56"/>
        <v>Boom Premium Finance</v>
      </c>
      <c r="D67" s="258" t="s">
        <v>17</v>
      </c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67"/>
      <c r="Q67" s="259"/>
      <c r="R67" s="259"/>
      <c r="S67" s="259"/>
      <c r="T67" s="259"/>
      <c r="U67" s="259"/>
      <c r="V67" s="259"/>
      <c r="W67" s="259"/>
      <c r="X67" s="259"/>
      <c r="Y67" s="259"/>
      <c r="Z67" s="259"/>
      <c r="AA67" s="259"/>
      <c r="AB67" s="267"/>
      <c r="AC67" s="259"/>
      <c r="AD67" s="259"/>
      <c r="AE67" s="259"/>
      <c r="AF67" s="259"/>
      <c r="AG67" s="259"/>
      <c r="AH67" s="259"/>
      <c r="AI67" s="259"/>
      <c r="AJ67" s="259"/>
      <c r="AK67" s="259"/>
      <c r="AL67" s="259"/>
      <c r="AM67" s="259"/>
      <c r="AN67" s="267"/>
      <c r="AO67" s="277"/>
      <c r="AP67" s="277"/>
      <c r="AQ67" s="278">
        <f>SUMIFS(AC67:AN67,AC$4:AN$4,"&lt;"&amp;'Title Sheet'!$C$13)</f>
        <v>0</v>
      </c>
    </row>
    <row r="68" spans="1:43" ht="15.75" outlineLevel="1" x14ac:dyDescent="0.25">
      <c r="A68">
        <v>4</v>
      </c>
      <c r="B68" t="str">
        <f t="shared" si="55"/>
        <v>PC Annual Direct</v>
      </c>
      <c r="C68" t="str">
        <f t="shared" si="56"/>
        <v>Boom Premium Finance</v>
      </c>
      <c r="D68" s="208" t="s">
        <v>7</v>
      </c>
      <c r="E68" s="282" t="e">
        <f>'Current - Sales, NWP, GWP'!E70/VLOOKUP(COUNTA(E$4:$AC$4),'Dev Patterns'!$B$6:$F$22,$A68,0)</f>
        <v>#N/A</v>
      </c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4"/>
      <c r="Q68" s="282"/>
      <c r="R68" s="283">
        <f>'Current - Sales, NWP, GWP'!R70/VLOOKUP(COUNTA(R$4:$AC$4),'Dev Patterns'!$B$6:$F$22,$A68,0)</f>
        <v>2345283.6687767105</v>
      </c>
      <c r="S68" s="283">
        <f>'Current - Sales, NWP, GWP'!S70/VLOOKUP(COUNTA(S$4:$AC$4),'Dev Patterns'!$B$6:$F$22,$A68,0)</f>
        <v>4250762.1242564004</v>
      </c>
      <c r="T68" s="283">
        <f>'Current - Sales, NWP, GWP'!T70/VLOOKUP(COUNTA(T$4:$AC$4),'Dev Patterns'!$B$6:$F$22,$A68,0)</f>
        <v>3929650.829002101</v>
      </c>
      <c r="U68" s="283">
        <f>'Current - Sales, NWP, GWP'!U70/VLOOKUP(COUNTA(U$4:$AC$4),'Dev Patterns'!$B$6:$F$22,$A68,0)</f>
        <v>3665123.6085851318</v>
      </c>
      <c r="V68" s="283">
        <f>'Current - Sales, NWP, GWP'!V70/VLOOKUP(COUNTA(V$4:$AC$4),'Dev Patterns'!$B$6:$F$22,$A68,0)</f>
        <v>3058424.6531097731</v>
      </c>
      <c r="W68" s="283">
        <f>'Current - Sales, NWP, GWP'!W70/VLOOKUP(COUNTA(W$4:$AC$4),'Dev Patterns'!$B$6:$F$22,$A68,0)</f>
        <v>2573438.4427742809</v>
      </c>
      <c r="X68" s="283">
        <f>'Current - Sales, NWP, GWP'!X70/VLOOKUP(COUNTA(X$4:$AC$4),'Dev Patterns'!$B$6:$F$22,$A68,0)</f>
        <v>2259255.7273896779</v>
      </c>
      <c r="Y68" s="283">
        <f>'Current - Sales, NWP, GWP'!Y70/VLOOKUP(COUNTA(Y$4:$AC$4),'Dev Patterns'!$B$6:$F$22,$A68,0)</f>
        <v>2129165.0108675747</v>
      </c>
      <c r="Z68" s="283">
        <f>'Current - Sales, NWP, GWP'!Z70/VLOOKUP(COUNTA(Z$4:$AC$4),'Dev Patterns'!$B$6:$F$22,$A68,0)</f>
        <v>2102834.0749517716</v>
      </c>
      <c r="AA68" s="283">
        <f>'Current - Sales, NWP, GWP'!AA70/VLOOKUP(COUNTA(AA$4:$AC$4),'Dev Patterns'!$B$6:$F$22,$A68,0)</f>
        <v>2390072.9465516657</v>
      </c>
      <c r="AB68" s="284">
        <f>'Current - Sales, NWP, GWP'!AB70/VLOOKUP(COUNTA(AB$4:$AC$4),'Dev Patterns'!$B$6:$F$22,$A68,0)</f>
        <v>2580609.6106255967</v>
      </c>
      <c r="AC68" s="282">
        <f>'Current - Sales, NWP, GWP'!AC70/VLOOKUP(COUNTA(AC$4:$AC$4),'Dev Patterns'!$B$6:$F$22,$A68,0)</f>
        <v>2799871.7293245126</v>
      </c>
      <c r="AD68" s="283">
        <f>'Current - Sales, NWP, GWP'!AD70/VLOOKUP(COUNTA($AC$4:AD$4),'Dev Patterns'!$B$6:$F$22,$A68,0)</f>
        <v>2381824.7171285395</v>
      </c>
      <c r="AE68" s="283">
        <f>'Current - Sales, NWP, GWP'!AE70/VLOOKUP(COUNTA($AC$4:AE$4),'Dev Patterns'!$B$6:$F$22,$A68,0)</f>
        <v>3121656.6673379536</v>
      </c>
      <c r="AF68" s="283">
        <f>'Current - Sales, NWP, GWP'!AF70/VLOOKUP(COUNTA($AC$4:AF$4),'Dev Patterns'!$B$6:$F$22,$A68,0)</f>
        <v>3063706.169598897</v>
      </c>
      <c r="AG68" s="283">
        <f>'Current - Sales, NWP, GWP'!AG70/VLOOKUP(COUNTA($AC$4:AG$4),'Dev Patterns'!$B$6:$F$22,$A68,0)</f>
        <v>3142284.5980885015</v>
      </c>
      <c r="AH68" s="283">
        <f>'Current - Sales, NWP, GWP'!AH70/VLOOKUP(COUNTA($AC$4:AH$4),'Dev Patterns'!$B$6:$F$22,$A68,0)</f>
        <v>2899241.2863392546</v>
      </c>
      <c r="AI68" s="283">
        <f>'Current - Sales, NWP, GWP'!AI70/VLOOKUP(COUNTA($AC$4:AI$4),'Dev Patterns'!$B$6:$F$22,$A68,0)</f>
        <v>2925516.9825428817</v>
      </c>
      <c r="AJ68" s="283">
        <f>'Current - Sales, NWP, GWP'!AJ70/VLOOKUP(COUNTA($AC$4:AJ$4),'Dev Patterns'!$B$6:$F$22,$A68,0)</f>
        <v>1446210.1471645101</v>
      </c>
      <c r="AK68" s="283">
        <f>'Current - Sales, NWP, GWP'!AK70/VLOOKUP(COUNTA($AC$4:AK$4),'Dev Patterns'!$B$6:$F$22,$A68,0)</f>
        <v>0</v>
      </c>
      <c r="AL68" s="283">
        <f>'Current - Sales, NWP, GWP'!AL70/VLOOKUP(COUNTA($AC$4:AL$4),'Dev Patterns'!$B$6:$F$22,$A68,0)</f>
        <v>0</v>
      </c>
      <c r="AM68" s="283">
        <f>'Current - Sales, NWP, GWP'!AM70/VLOOKUP(COUNTA($AC$4:AM$4),'Dev Patterns'!$B$6:$F$22,$A68,0)</f>
        <v>0</v>
      </c>
      <c r="AN68" s="284">
        <f>'Current - Sales, NWP, GWP'!AN70/VLOOKUP(COUNTA($AC$4:AN$4),'Dev Patterns'!$B$6:$F$22,$A68,0)</f>
        <v>0</v>
      </c>
      <c r="AO68" s="237">
        <f t="shared" ref="AO68" si="65">AVERAGE(Z68:AC68)</f>
        <v>2468347.0903633866</v>
      </c>
      <c r="AP68" s="209">
        <f>AVERAGE(R68:AC68)</f>
        <v>2840374.3688512663</v>
      </c>
      <c r="AQ68" s="238">
        <f>SUMIFS(AC68:AN68,AC$4:AN$4,"&lt;"&amp;'Title Sheet'!$C$13)</f>
        <v>21780312.297525048</v>
      </c>
    </row>
    <row r="69" spans="1:43" ht="16.5" outlineLevel="1" thickBot="1" x14ac:dyDescent="0.3">
      <c r="B69" t="str">
        <f t="shared" si="55"/>
        <v>PC Annual Direct</v>
      </c>
      <c r="C69" t="str">
        <f t="shared" si="56"/>
        <v>Boom Premium Finance</v>
      </c>
      <c r="D69" s="226" t="s">
        <v>21</v>
      </c>
      <c r="E69" s="269" t="e">
        <f t="shared" ref="E69" si="66">E61/E$8</f>
        <v>#DIV/0!</v>
      </c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81"/>
      <c r="Q69" s="269"/>
      <c r="R69" s="269" t="e">
        <f t="shared" ref="R69:AP69" si="67">R61/R$8</f>
        <v>#DIV/0!</v>
      </c>
      <c r="S69" s="269" t="e">
        <f t="shared" si="67"/>
        <v>#DIV/0!</v>
      </c>
      <c r="T69" s="269" t="e">
        <f t="shared" si="67"/>
        <v>#DIV/0!</v>
      </c>
      <c r="U69" s="269">
        <f t="shared" si="67"/>
        <v>0</v>
      </c>
      <c r="V69" s="269">
        <f t="shared" si="67"/>
        <v>0</v>
      </c>
      <c r="W69" s="269">
        <f t="shared" si="67"/>
        <v>0</v>
      </c>
      <c r="X69" s="269">
        <f t="shared" si="67"/>
        <v>0</v>
      </c>
      <c r="Y69" s="269">
        <f t="shared" si="67"/>
        <v>0</v>
      </c>
      <c r="Z69" s="269">
        <f t="shared" si="67"/>
        <v>0</v>
      </c>
      <c r="AA69" s="269">
        <f t="shared" si="67"/>
        <v>0</v>
      </c>
      <c r="AB69" s="281">
        <f t="shared" si="67"/>
        <v>0</v>
      </c>
      <c r="AC69" s="269">
        <f t="shared" si="67"/>
        <v>0.11122128473262791</v>
      </c>
      <c r="AD69" s="269">
        <f t="shared" si="67"/>
        <v>0.41160167084153337</v>
      </c>
      <c r="AE69" s="269">
        <f t="shared" si="67"/>
        <v>0.52828303375691876</v>
      </c>
      <c r="AF69" s="269">
        <f t="shared" si="67"/>
        <v>0.54913320085347239</v>
      </c>
      <c r="AG69" s="269">
        <f t="shared" si="67"/>
        <v>0.53323362543902653</v>
      </c>
      <c r="AH69" s="269">
        <f t="shared" si="67"/>
        <v>0.53337641996381369</v>
      </c>
      <c r="AI69" s="269">
        <f t="shared" si="67"/>
        <v>0.52739160497461846</v>
      </c>
      <c r="AJ69" s="269">
        <f t="shared" si="67"/>
        <v>0.53406439046404086</v>
      </c>
      <c r="AK69" s="269">
        <f t="shared" si="67"/>
        <v>0.5526123070367378</v>
      </c>
      <c r="AL69" s="269">
        <f t="shared" si="67"/>
        <v>0.57634802383562833</v>
      </c>
      <c r="AM69" s="269">
        <f t="shared" si="67"/>
        <v>0.62777481324602402</v>
      </c>
      <c r="AN69" s="281">
        <f t="shared" si="67"/>
        <v>0.68694245308500046</v>
      </c>
      <c r="AO69" s="279">
        <f t="shared" si="67"/>
        <v>3.1008862564929199E-2</v>
      </c>
      <c r="AP69" s="269">
        <f t="shared" si="67"/>
        <v>2.0860975621245264E-2</v>
      </c>
      <c r="AQ69" s="280" t="str">
        <f t="shared" ref="AQ69" si="68">IFERROR(IF(AQ67=0,"-",(AQ67/AQ68)-1),"-")</f>
        <v>-</v>
      </c>
    </row>
    <row r="70" spans="1:43" ht="15.75" outlineLevel="1" x14ac:dyDescent="0.25">
      <c r="D70" s="46"/>
      <c r="E70" s="325"/>
      <c r="F70" s="325"/>
      <c r="G70" s="325"/>
      <c r="H70" s="325"/>
      <c r="I70" s="325"/>
      <c r="J70" s="325"/>
      <c r="K70" s="325"/>
      <c r="L70" s="325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5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</row>
    <row r="71" spans="1:43" ht="16.5" outlineLevel="1" thickBot="1" x14ac:dyDescent="0.3">
      <c r="D71" s="46"/>
      <c r="E71" s="325"/>
      <c r="F71" s="325"/>
      <c r="G71" s="325"/>
      <c r="H71" s="325"/>
      <c r="I71" s="325"/>
      <c r="J71" s="325"/>
      <c r="K71" s="325"/>
      <c r="L71" s="325"/>
      <c r="M71" s="325"/>
      <c r="N71" s="325"/>
      <c r="O71" s="325"/>
      <c r="P71" s="325"/>
      <c r="Q71" s="325"/>
      <c r="R71" s="325"/>
      <c r="S71" s="325"/>
      <c r="T71" s="325"/>
      <c r="U71" s="325"/>
      <c r="V71" s="325"/>
      <c r="W71" s="325"/>
      <c r="X71" s="325"/>
      <c r="Y71" s="325"/>
      <c r="Z71" s="325"/>
      <c r="AA71" s="325"/>
      <c r="AB71" s="325"/>
      <c r="AC71" s="325"/>
      <c r="AD71" s="325"/>
      <c r="AE71" s="325"/>
      <c r="AF71" s="325"/>
      <c r="AG71" s="325"/>
      <c r="AH71" s="325"/>
      <c r="AI71" s="325"/>
      <c r="AJ71" s="325"/>
      <c r="AK71" s="325"/>
      <c r="AL71" s="325"/>
      <c r="AM71" s="325"/>
      <c r="AN71" s="325"/>
      <c r="AO71" s="325"/>
      <c r="AP71" s="325"/>
      <c r="AQ71" s="325"/>
    </row>
    <row r="72" spans="1:43" ht="18.75" x14ac:dyDescent="0.25">
      <c r="D72" s="255" t="s">
        <v>204</v>
      </c>
      <c r="E72" s="202" t="s">
        <v>301</v>
      </c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63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  <c r="AB72" s="263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63"/>
      <c r="AO72" s="202"/>
      <c r="AP72" s="202"/>
      <c r="AQ72" s="233"/>
    </row>
    <row r="73" spans="1:43" x14ac:dyDescent="0.25">
      <c r="D73" s="204"/>
      <c r="E73" s="200" t="s">
        <v>237</v>
      </c>
      <c r="F73" s="200"/>
      <c r="G73" s="200"/>
      <c r="H73" s="200"/>
      <c r="I73" s="200"/>
      <c r="J73" s="200"/>
      <c r="K73" s="200"/>
      <c r="L73" s="200"/>
      <c r="M73" s="200"/>
      <c r="N73" s="200"/>
      <c r="O73" s="200"/>
      <c r="P73" s="264"/>
      <c r="Q73" s="200"/>
      <c r="R73" s="200"/>
      <c r="S73" s="200"/>
      <c r="T73" s="200"/>
      <c r="U73" s="200"/>
      <c r="V73" s="200"/>
      <c r="W73" s="200"/>
      <c r="X73" s="200"/>
      <c r="Y73" s="200"/>
      <c r="Z73" s="200"/>
      <c r="AA73" s="200"/>
      <c r="AB73" s="264"/>
      <c r="AC73" s="200"/>
      <c r="AD73" s="200"/>
      <c r="AE73" s="200"/>
      <c r="AF73" s="200"/>
      <c r="AG73" s="200"/>
      <c r="AH73" s="200"/>
      <c r="AI73" s="200"/>
      <c r="AJ73" s="200"/>
      <c r="AK73" s="200"/>
      <c r="AL73" s="200"/>
      <c r="AM73" s="200"/>
      <c r="AN73" s="264"/>
      <c r="AO73" s="510" t="s">
        <v>8</v>
      </c>
      <c r="AP73" s="511"/>
      <c r="AQ73" s="512"/>
    </row>
    <row r="74" spans="1:43" x14ac:dyDescent="0.25">
      <c r="D74" s="256" t="s">
        <v>16</v>
      </c>
      <c r="E74" s="285">
        <f t="shared" ref="E74:AN74" si="69">E$4</f>
        <v>44562</v>
      </c>
      <c r="F74" s="285">
        <f t="shared" si="69"/>
        <v>44593</v>
      </c>
      <c r="G74" s="285">
        <f t="shared" si="69"/>
        <v>44621</v>
      </c>
      <c r="H74" s="285">
        <f t="shared" si="69"/>
        <v>44652</v>
      </c>
      <c r="I74" s="285">
        <f t="shared" si="69"/>
        <v>44682</v>
      </c>
      <c r="J74" s="285">
        <f t="shared" si="69"/>
        <v>44713</v>
      </c>
      <c r="K74" s="285">
        <f t="shared" si="69"/>
        <v>44743</v>
      </c>
      <c r="L74" s="285">
        <f t="shared" si="69"/>
        <v>44774</v>
      </c>
      <c r="M74" s="285">
        <f t="shared" si="69"/>
        <v>44805</v>
      </c>
      <c r="N74" s="285">
        <f t="shared" si="69"/>
        <v>44835</v>
      </c>
      <c r="O74" s="285">
        <f t="shared" si="69"/>
        <v>44866</v>
      </c>
      <c r="P74" s="286">
        <f t="shared" si="69"/>
        <v>44896</v>
      </c>
      <c r="Q74" s="285">
        <f t="shared" si="69"/>
        <v>44927</v>
      </c>
      <c r="R74" s="285">
        <f t="shared" si="69"/>
        <v>44958</v>
      </c>
      <c r="S74" s="285">
        <f t="shared" si="69"/>
        <v>44986</v>
      </c>
      <c r="T74" s="285">
        <f t="shared" si="69"/>
        <v>45017</v>
      </c>
      <c r="U74" s="285">
        <f t="shared" si="69"/>
        <v>45047</v>
      </c>
      <c r="V74" s="285">
        <f t="shared" si="69"/>
        <v>45078</v>
      </c>
      <c r="W74" s="285">
        <f t="shared" si="69"/>
        <v>45108</v>
      </c>
      <c r="X74" s="285">
        <f t="shared" si="69"/>
        <v>45139</v>
      </c>
      <c r="Y74" s="285">
        <f t="shared" si="69"/>
        <v>45170</v>
      </c>
      <c r="Z74" s="285">
        <f t="shared" si="69"/>
        <v>45200</v>
      </c>
      <c r="AA74" s="285">
        <f t="shared" si="69"/>
        <v>45231</v>
      </c>
      <c r="AB74" s="286">
        <f t="shared" si="69"/>
        <v>45261</v>
      </c>
      <c r="AC74" s="285">
        <f t="shared" si="69"/>
        <v>45292</v>
      </c>
      <c r="AD74" s="285">
        <f t="shared" si="69"/>
        <v>45323</v>
      </c>
      <c r="AE74" s="285">
        <f t="shared" si="69"/>
        <v>45352</v>
      </c>
      <c r="AF74" s="285">
        <f t="shared" si="69"/>
        <v>45383</v>
      </c>
      <c r="AG74" s="285">
        <f t="shared" si="69"/>
        <v>45413</v>
      </c>
      <c r="AH74" s="285">
        <f t="shared" si="69"/>
        <v>45444</v>
      </c>
      <c r="AI74" s="285">
        <f t="shared" si="69"/>
        <v>45474</v>
      </c>
      <c r="AJ74" s="285">
        <f t="shared" si="69"/>
        <v>45505</v>
      </c>
      <c r="AK74" s="285">
        <f t="shared" si="69"/>
        <v>45536</v>
      </c>
      <c r="AL74" s="285">
        <f t="shared" si="69"/>
        <v>45566</v>
      </c>
      <c r="AM74" s="285">
        <f t="shared" si="69"/>
        <v>45597</v>
      </c>
      <c r="AN74" s="286">
        <f t="shared" si="69"/>
        <v>45627</v>
      </c>
      <c r="AO74" s="271" t="str">
        <f>AO23</f>
        <v>Last 3 Months</v>
      </c>
      <c r="AP74" s="272" t="str">
        <f>AP23</f>
        <v>Last Year</v>
      </c>
      <c r="AQ74" s="273" t="s">
        <v>346</v>
      </c>
    </row>
    <row r="75" spans="1:43" ht="15.75" x14ac:dyDescent="0.25">
      <c r="A75">
        <v>3</v>
      </c>
      <c r="B75" t="str">
        <f>$D$2</f>
        <v>PC Annual Direct</v>
      </c>
      <c r="C75" t="s">
        <v>73</v>
      </c>
      <c r="D75" s="208" t="s">
        <v>316</v>
      </c>
      <c r="E75" s="209" t="e">
        <f>'Current - Sales, NWP, GWP'!E78/VLOOKUP(COUNTA(E$4:$AC$4),'Dev Patterns'!$B$6:$F$22,$A75,0)</f>
        <v>#N/A</v>
      </c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65"/>
      <c r="Q75" s="209"/>
      <c r="R75" s="209">
        <f>'Current - Sales, NWP, GWP'!R78/VLOOKUP(COUNTA(R$4:$AC$4),'Dev Patterns'!$B$6:$F$22,$A75,0)</f>
        <v>1298.6803272729899</v>
      </c>
      <c r="S75" s="209">
        <f>'Current - Sales, NWP, GWP'!S78/VLOOKUP(COUNTA(S$4:$AC$4),'Dev Patterns'!$B$6:$F$22,$A75,0)</f>
        <v>1385.6193706027227</v>
      </c>
      <c r="T75" s="209">
        <f>'Current - Sales, NWP, GWP'!T78/VLOOKUP(COUNTA(T$4:$AC$4),'Dev Patterns'!$B$6:$F$22,$A75,0)</f>
        <v>1108.4379767363703</v>
      </c>
      <c r="U75" s="209">
        <f>'Current - Sales, NWP, GWP'!U78/VLOOKUP(COUNTA(U$4:$AC$4),'Dev Patterns'!$B$6:$F$22,$A75,0)</f>
        <v>1039.7766422374566</v>
      </c>
      <c r="V75" s="209">
        <f>'Current - Sales, NWP, GWP'!V78/VLOOKUP(COUNTA(V$4:$AC$4),'Dev Patterns'!$B$6:$F$22,$A75,0)</f>
        <v>854.18741946984505</v>
      </c>
      <c r="W75" s="209">
        <f>'Current - Sales, NWP, GWP'!W78/VLOOKUP(COUNTA(W$4:$AC$4),'Dev Patterns'!$B$6:$F$22,$A75,0)</f>
        <v>819.33693377380177</v>
      </c>
      <c r="X75" s="209">
        <f>'Current - Sales, NWP, GWP'!X78/VLOOKUP(COUNTA(X$4:$AC$4),'Dev Patterns'!$B$6:$F$22,$A75,0)</f>
        <v>693.08276452995528</v>
      </c>
      <c r="Y75" s="209">
        <f>'Current - Sales, NWP, GWP'!Y78/VLOOKUP(COUNTA(Y$4:$AC$4),'Dev Patterns'!$B$6:$F$22,$A75,0)</f>
        <v>556.31961125849762</v>
      </c>
      <c r="Z75" s="209">
        <f>'Current - Sales, NWP, GWP'!Z78/VLOOKUP(COUNTA(Z$4:$AC$4),'Dev Patterns'!$B$6:$F$22,$A75,0)</f>
        <v>463.78693419683691</v>
      </c>
      <c r="AA75" s="209">
        <f>'Current - Sales, NWP, GWP'!AA78/VLOOKUP(COUNTA(AA$4:$AC$4),'Dev Patterns'!$B$6:$F$22,$A75,0)</f>
        <v>270.06308749590426</v>
      </c>
      <c r="AB75" s="265">
        <f>'Current - Sales, NWP, GWP'!AB78/VLOOKUP(COUNTA(AB$4:$AC$4),'Dev Patterns'!$B$6:$F$22,$A75,0)</f>
        <v>151.99781890713558</v>
      </c>
      <c r="AC75" s="209">
        <f>'Current - Sales, NWP, GWP'!AC78/VLOOKUP(COUNTA(AC$4:$AC$4),'Dev Patterns'!$B$6:$F$22,$A75,0)</f>
        <v>25.948499665081496</v>
      </c>
      <c r="AD75" s="209">
        <f>'Current - Sales, NWP, GWP'!AD78/VLOOKUP(COUNTA($AC$4:AD$4),'Dev Patterns'!$B$6:$F$22,$A75,0)</f>
        <v>0</v>
      </c>
      <c r="AE75" s="209">
        <f>'Current - Sales, NWP, GWP'!AE78/VLOOKUP(COUNTA($AC$4:AE$4),'Dev Patterns'!$B$6:$F$22,$A75,0)</f>
        <v>0</v>
      </c>
      <c r="AF75" s="209">
        <f>'Current - Sales, NWP, GWP'!AF78/VLOOKUP(COUNTA($AC$4:AF$4),'Dev Patterns'!$B$6:$F$22,$A75,0)</f>
        <v>0</v>
      </c>
      <c r="AG75" s="209">
        <f>'Current - Sales, NWP, GWP'!AG78/VLOOKUP(COUNTA($AC$4:AG$4),'Dev Patterns'!$B$6:$F$22,$A75,0)</f>
        <v>0</v>
      </c>
      <c r="AH75" s="209">
        <f>'Current - Sales, NWP, GWP'!AH78/VLOOKUP(COUNTA($AC$4:AH$4),'Dev Patterns'!$B$6:$F$22,$A75,0)</f>
        <v>0</v>
      </c>
      <c r="AI75" s="209">
        <f>'Current - Sales, NWP, GWP'!AI78/VLOOKUP(COUNTA($AC$4:AI$4),'Dev Patterns'!$B$6:$F$22,$A75,0)</f>
        <v>0</v>
      </c>
      <c r="AJ75" s="209">
        <f>'Current - Sales, NWP, GWP'!AJ78/VLOOKUP(COUNTA($AC$4:AJ$4),'Dev Patterns'!$B$6:$F$22,$A75,0)</f>
        <v>0</v>
      </c>
      <c r="AK75" s="209">
        <f>'Current - Sales, NWP, GWP'!AK78/VLOOKUP(COUNTA($AC$4:AK$4),'Dev Patterns'!$B$6:$F$22,$A75,0)</f>
        <v>0</v>
      </c>
      <c r="AL75" s="209">
        <f>'Current - Sales, NWP, GWP'!AL78/VLOOKUP(COUNTA($AC$4:AL$4),'Dev Patterns'!$B$6:$F$22,$A75,0)</f>
        <v>0</v>
      </c>
      <c r="AM75" s="209">
        <f>'Current - Sales, NWP, GWP'!AM78/VLOOKUP(COUNTA($AC$4:AM$4),'Dev Patterns'!$B$6:$F$22,$A75,0)</f>
        <v>0</v>
      </c>
      <c r="AN75" s="265">
        <f>'Current - Sales, NWP, GWP'!AN78/VLOOKUP(COUNTA($AC$4:AN$4),'Dev Patterns'!$B$6:$F$22,$A75,0)</f>
        <v>0</v>
      </c>
      <c r="AO75" s="237">
        <f t="shared" ref="AO75:AO80" si="70">AVERAGE(Z75:AC75)</f>
        <v>227.94908506623955</v>
      </c>
      <c r="AP75" s="209">
        <f t="shared" ref="AP75:AP80" si="71">AVERAGE(R75:AC75)</f>
        <v>722.26978217888302</v>
      </c>
      <c r="AQ75" s="238">
        <f>SUMIFS(AC75:AN75,AC$4:AN$4,"&lt;"&amp;'Title Sheet'!$C$13)</f>
        <v>25.948499665081496</v>
      </c>
    </row>
    <row r="76" spans="1:43" ht="15.75" hidden="1" x14ac:dyDescent="0.25">
      <c r="B76" t="str">
        <f>$D$89&amp;"_W VYRs"</f>
        <v>PC Annual Direct - Subscription_W VYRs</v>
      </c>
      <c r="C76" t="str">
        <f t="shared" ref="C76:C86" si="72">$C75</f>
        <v>Boom Subscription</v>
      </c>
      <c r="D76" s="211" t="s">
        <v>317</v>
      </c>
      <c r="E76" s="31" t="e">
        <f>INDEX('Plan Figures'!$B$5:$AP$31,MATCH('Ultimate - MPM only'!E$4,'Plan Figures'!$B$5:$B$31,0),MATCH('Ultimate - MPM only'!$B76,'Plan Figures'!$B$1:$AP$1,0))</f>
        <v>#N/A</v>
      </c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6"/>
      <c r="Q76" s="31"/>
      <c r="R76" s="31" t="str">
        <f>INDEX('Plan Figures'!$B$5:$AP$31,MATCH('Ultimate - MPM only'!R$4,'Plan Figures'!$B$5:$B$31,0),MATCH('Ultimate - MPM only'!$B76,'Plan Figures'!$B$1:$AP$1,0))</f>
        <v>-</v>
      </c>
      <c r="S76" s="31" t="str">
        <f>INDEX('Plan Figures'!$B$5:$AP$31,MATCH('Ultimate - MPM only'!S$4,'Plan Figures'!$B$5:$B$31,0),MATCH('Ultimate - MPM only'!$B76,'Plan Figures'!$B$1:$AP$1,0))</f>
        <v>-</v>
      </c>
      <c r="T76" s="31" t="str">
        <f>INDEX('Plan Figures'!$B$5:$AP$31,MATCH('Ultimate - MPM only'!T$4,'Plan Figures'!$B$5:$B$31,0),MATCH('Ultimate - MPM only'!$B76,'Plan Figures'!$B$1:$AP$1,0))</f>
        <v>-</v>
      </c>
      <c r="U76" s="31" t="str">
        <f>INDEX('Plan Figures'!$B$5:$AP$31,MATCH('Ultimate - MPM only'!U$4,'Plan Figures'!$B$5:$B$31,0),MATCH('Ultimate - MPM only'!$B76,'Plan Figures'!$B$1:$AP$1,0))</f>
        <v>-</v>
      </c>
      <c r="V76" s="31" t="str">
        <f>INDEX('Plan Figures'!$B$5:$AP$31,MATCH('Ultimate - MPM only'!V$4,'Plan Figures'!$B$5:$B$31,0),MATCH('Ultimate - MPM only'!$B76,'Plan Figures'!$B$1:$AP$1,0))</f>
        <v>-</v>
      </c>
      <c r="W76" s="31" t="str">
        <f>INDEX('Plan Figures'!$B$5:$AP$31,MATCH('Ultimate - MPM only'!W$4,'Plan Figures'!$B$5:$B$31,0),MATCH('Ultimate - MPM only'!$B76,'Plan Figures'!$B$1:$AP$1,0))</f>
        <v>-</v>
      </c>
      <c r="X76" s="31" t="str">
        <f>INDEX('Plan Figures'!$B$5:$AP$31,MATCH('Ultimate - MPM only'!X$4,'Plan Figures'!$B$5:$B$31,0),MATCH('Ultimate - MPM only'!$B76,'Plan Figures'!$B$1:$AP$1,0))</f>
        <v>-</v>
      </c>
      <c r="Y76" s="31" t="str">
        <f>INDEX('Plan Figures'!$B$5:$AP$31,MATCH('Ultimate - MPM only'!Y$4,'Plan Figures'!$B$5:$B$31,0),MATCH('Ultimate - MPM only'!$B76,'Plan Figures'!$B$1:$AP$1,0))</f>
        <v>-</v>
      </c>
      <c r="Z76" s="31" t="str">
        <f>INDEX('Plan Figures'!$B$5:$AP$31,MATCH('Ultimate - MPM only'!Z$4,'Plan Figures'!$B$5:$B$31,0),MATCH('Ultimate - MPM only'!$B76,'Plan Figures'!$B$1:$AP$1,0))</f>
        <v>-</v>
      </c>
      <c r="AA76" s="31">
        <f>INDEX('Plan Figures'!$B$5:$AP$31,MATCH('Ultimate - MPM only'!AA$4,'Plan Figures'!$B$5:$B$31,0),MATCH('Ultimate - MPM only'!$B76,'Plan Figures'!$B$1:$AP$1,0))</f>
        <v>615.93307879093663</v>
      </c>
      <c r="AB76" s="266">
        <f>INDEX('Plan Figures'!$B$5:$AP$31,MATCH('Ultimate - MPM only'!AB$4,'Plan Figures'!$B$5:$B$31,0),MATCH('Ultimate - MPM only'!$B76,'Plan Figures'!$B$1:$AP$1,0))</f>
        <v>763.72800510730349</v>
      </c>
      <c r="AC76" s="31">
        <f>INDEX('Plan Figures'!$B$5:$AP$31,MATCH('Ultimate - MPM only'!AC$4,'Plan Figures'!$B$5:$B$31,0),MATCH('Ultimate - MPM only'!$B76,'Plan Figures'!$B$1:$AP$1,0))</f>
        <v>833.27735263273371</v>
      </c>
      <c r="AD76" s="31">
        <f>INDEX('Plan Figures'!$B$5:$AP$42,MATCH('Ultimate - MPM only'!AD$4,'Plan Figures'!$B$5:$B$42,0),MATCH('Ultimate - MPM only'!$B76,'Plan Figures'!$B$1:$AP$1,0))</f>
        <v>833.27735263273371</v>
      </c>
      <c r="AE76" s="31">
        <f>INDEX('Plan Figures'!$B$5:$AP$42,MATCH('Ultimate - MPM only'!AE$4,'Plan Figures'!$B$5:$B$42,0),MATCH('Ultimate - MPM only'!$B76,'Plan Figures'!$B$1:$AP$1,0))</f>
        <v>833.27735263273371</v>
      </c>
      <c r="AF76" s="31">
        <f>INDEX('Plan Figures'!$B$5:$AP$42,MATCH('Ultimate - MPM only'!AF$4,'Plan Figures'!$B$5:$B$42,0),MATCH('Ultimate - MPM only'!$B76,'Plan Figures'!$B$1:$AP$1,0))</f>
        <v>833.27735263273371</v>
      </c>
      <c r="AG76" s="31">
        <f>INDEX('Plan Figures'!$B$5:$AP$42,MATCH('Ultimate - MPM only'!AG$4,'Plan Figures'!$B$5:$B$42,0),MATCH('Ultimate - MPM only'!$B76,'Plan Figures'!$B$1:$AP$1,0))</f>
        <v>832.96485263273371</v>
      </c>
      <c r="AH76" s="31">
        <f>INDEX('Plan Figures'!$B$5:$AP$42,MATCH('Ultimate - MPM only'!AH$4,'Plan Figures'!$B$5:$B$42,0),MATCH('Ultimate - MPM only'!$B76,'Plan Figures'!$B$1:$AP$1,0))</f>
        <v>805.37110263273371</v>
      </c>
      <c r="AI76" s="31">
        <f>INDEX('Plan Figures'!$B$5:$AP$42,MATCH('Ultimate - MPM only'!AI$4,'Plan Figures'!$B$5:$B$42,0),MATCH('Ultimate - MPM only'!$B76,'Plan Figures'!$B$1:$AP$1,0))</f>
        <v>954.34078893945116</v>
      </c>
      <c r="AJ76" s="31">
        <f>INDEX('Plan Figures'!$B$5:$AP$42,MATCH('Ultimate - MPM only'!AJ$4,'Plan Figures'!$B$5:$B$42,0),MATCH('Ultimate - MPM only'!$B76,'Plan Figures'!$B$1:$AP$1,0))</f>
        <v>847.6297730046125</v>
      </c>
      <c r="AK76" s="31">
        <f>INDEX('Plan Figures'!$B$5:$AP$42,MATCH('Ultimate - MPM only'!AK$4,'Plan Figures'!$B$5:$B$42,0),MATCH('Ultimate - MPM only'!$B76,'Plan Figures'!$B$1:$AP$1,0))</f>
        <v>739.0592621321797</v>
      </c>
      <c r="AL76" s="31">
        <f>INDEX('Plan Figures'!$B$5:$AP$42,MATCH('Ultimate - MPM only'!AL$4,'Plan Figures'!$B$5:$B$42,0),MATCH('Ultimate - MPM only'!$B76,'Plan Figures'!$B$1:$AP$1,0))</f>
        <v>573.92411493228599</v>
      </c>
      <c r="AM76" s="31">
        <f>INDEX('Plan Figures'!$B$5:$AP$42,MATCH('Ultimate - MPM only'!AM$4,'Plan Figures'!$B$5:$B$42,0),MATCH('Ultimate - MPM only'!$B76,'Plan Figures'!$B$1:$AP$1,0))</f>
        <v>364.52099147611852</v>
      </c>
      <c r="AN76" s="266">
        <f>INDEX('Plan Figures'!$B$5:$AP$42,MATCH('Ultimate - MPM only'!AN$4,'Plan Figures'!$B$5:$B$42,0),MATCH('Ultimate - MPM only'!$B76,'Plan Figures'!$B$1:$AP$1,0))</f>
        <v>181.09081343860487</v>
      </c>
      <c r="AO76" s="239">
        <f t="shared" si="70"/>
        <v>737.64614551032457</v>
      </c>
      <c r="AP76" s="31">
        <f t="shared" si="71"/>
        <v>737.64614551032457</v>
      </c>
      <c r="AQ76" s="240">
        <f>SUMIFS(AC76:AN76,AC$4:AN$4,"&lt;"&amp;'Title Sheet'!$C$13)</f>
        <v>8632.011109719655</v>
      </c>
    </row>
    <row r="77" spans="1:43" ht="15.75" hidden="1" x14ac:dyDescent="0.25">
      <c r="B77" t="str">
        <f t="shared" ref="B77:B86" si="73">$D$2</f>
        <v>PC Annual Direct</v>
      </c>
      <c r="C77" t="str">
        <f t="shared" si="72"/>
        <v>Boom Subscription</v>
      </c>
      <c r="D77" s="213" t="s">
        <v>0</v>
      </c>
      <c r="E77" s="214" t="str">
        <f t="shared" ref="E77:AN77" si="74">IFERROR(IF(E75=0,"-",(E75/E76)-1),"-")</f>
        <v>-</v>
      </c>
      <c r="F77" s="214" t="str">
        <f t="shared" si="74"/>
        <v>-</v>
      </c>
      <c r="G77" s="214" t="str">
        <f t="shared" si="74"/>
        <v>-</v>
      </c>
      <c r="H77" s="214" t="str">
        <f t="shared" si="74"/>
        <v>-</v>
      </c>
      <c r="I77" s="214" t="str">
        <f t="shared" si="74"/>
        <v>-</v>
      </c>
      <c r="J77" s="214" t="str">
        <f t="shared" si="74"/>
        <v>-</v>
      </c>
      <c r="K77" s="214" t="str">
        <f t="shared" si="74"/>
        <v>-</v>
      </c>
      <c r="L77" s="214" t="str">
        <f t="shared" si="74"/>
        <v>-</v>
      </c>
      <c r="M77" s="214" t="str">
        <f t="shared" si="74"/>
        <v>-</v>
      </c>
      <c r="N77" s="214" t="str">
        <f t="shared" si="74"/>
        <v>-</v>
      </c>
      <c r="O77" s="214" t="str">
        <f t="shared" si="74"/>
        <v>-</v>
      </c>
      <c r="P77" s="270" t="str">
        <f t="shared" si="74"/>
        <v>-</v>
      </c>
      <c r="Q77" s="214" t="str">
        <f t="shared" si="74"/>
        <v>-</v>
      </c>
      <c r="R77" s="214" t="str">
        <f t="shared" si="74"/>
        <v>-</v>
      </c>
      <c r="S77" s="214" t="str">
        <f t="shared" si="74"/>
        <v>-</v>
      </c>
      <c r="T77" s="214" t="str">
        <f t="shared" si="74"/>
        <v>-</v>
      </c>
      <c r="U77" s="214" t="str">
        <f t="shared" si="74"/>
        <v>-</v>
      </c>
      <c r="V77" s="214" t="str">
        <f t="shared" si="74"/>
        <v>-</v>
      </c>
      <c r="W77" s="214" t="str">
        <f t="shared" si="74"/>
        <v>-</v>
      </c>
      <c r="X77" s="214" t="str">
        <f t="shared" si="74"/>
        <v>-</v>
      </c>
      <c r="Y77" s="214" t="str">
        <f t="shared" si="74"/>
        <v>-</v>
      </c>
      <c r="Z77" s="214" t="str">
        <f t="shared" si="74"/>
        <v>-</v>
      </c>
      <c r="AA77" s="214">
        <f t="shared" si="74"/>
        <v>-0.5615382631729533</v>
      </c>
      <c r="AB77" s="270">
        <f t="shared" si="74"/>
        <v>-0.80097912098197843</v>
      </c>
      <c r="AC77" s="214">
        <f t="shared" si="74"/>
        <v>-0.96885970849549985</v>
      </c>
      <c r="AD77" s="214" t="str">
        <f t="shared" si="74"/>
        <v>-</v>
      </c>
      <c r="AE77" s="214" t="str">
        <f t="shared" si="74"/>
        <v>-</v>
      </c>
      <c r="AF77" s="214" t="str">
        <f t="shared" si="74"/>
        <v>-</v>
      </c>
      <c r="AG77" s="214" t="str">
        <f t="shared" si="74"/>
        <v>-</v>
      </c>
      <c r="AH77" s="214" t="str">
        <f t="shared" si="74"/>
        <v>-</v>
      </c>
      <c r="AI77" s="214" t="str">
        <f t="shared" si="74"/>
        <v>-</v>
      </c>
      <c r="AJ77" s="214" t="str">
        <f t="shared" si="74"/>
        <v>-</v>
      </c>
      <c r="AK77" s="214" t="str">
        <f t="shared" si="74"/>
        <v>-</v>
      </c>
      <c r="AL77" s="214" t="str">
        <f t="shared" si="74"/>
        <v>-</v>
      </c>
      <c r="AM77" s="214" t="str">
        <f t="shared" si="74"/>
        <v>-</v>
      </c>
      <c r="AN77" s="270" t="str">
        <f t="shared" si="74"/>
        <v>-</v>
      </c>
      <c r="AO77" s="274">
        <f t="shared" si="70"/>
        <v>-0.77712569755014382</v>
      </c>
      <c r="AP77" s="275">
        <f t="shared" si="71"/>
        <v>-0.77712569755014382</v>
      </c>
      <c r="AQ77" s="276">
        <f t="shared" ref="AQ77" si="75">IFERROR(IF(AQ75=0,"-",(AQ75/AQ76)-1),"-")</f>
        <v>-0.99699392188734981</v>
      </c>
    </row>
    <row r="78" spans="1:43" ht="15.75" x14ac:dyDescent="0.25">
      <c r="A78">
        <v>2</v>
      </c>
      <c r="B78" t="str">
        <f t="shared" si="73"/>
        <v>PC Annual Direct</v>
      </c>
      <c r="C78" t="str">
        <f t="shared" si="72"/>
        <v>Boom Subscription</v>
      </c>
      <c r="D78" s="208" t="s">
        <v>5</v>
      </c>
      <c r="E78" s="209">
        <f>'Current - MPM only'!E78/VLOOKUP(COUNTA(E$4:$AE$4),'Dev Patterns'!$B$6:$F$34,$A78,0)</f>
        <v>0</v>
      </c>
      <c r="F78" s="209">
        <f>'Current - MPM only'!F78/VLOOKUP(COUNTA(F$4:$AE$4),'Dev Patterns'!$B$6:$F$34,$A78,0)</f>
        <v>0</v>
      </c>
      <c r="G78" s="209">
        <f>'Current - MPM only'!G78/VLOOKUP(COUNTA(G$4:$AE$4),'Dev Patterns'!$B$6:$F$34,$A78,0)</f>
        <v>0</v>
      </c>
      <c r="H78" s="209">
        <f>'Current - MPM only'!H78/VLOOKUP(COUNTA(H$4:$AE$4),'Dev Patterns'!$B$6:$F$34,$A78,0)</f>
        <v>0</v>
      </c>
      <c r="I78" s="209">
        <f>'Current - MPM only'!I78/VLOOKUP(COUNTA(I$4:$AE$4),'Dev Patterns'!$B$6:$F$34,$A78,0)</f>
        <v>0</v>
      </c>
      <c r="J78" s="209">
        <f>'Current - MPM only'!J78/VLOOKUP(COUNTA(J$4:$AE$4),'Dev Patterns'!$B$6:$F$34,$A78,0)</f>
        <v>0</v>
      </c>
      <c r="K78" s="209">
        <f>'Current - MPM only'!K78/VLOOKUP(COUNTA(K$4:$AE$4),'Dev Patterns'!$B$6:$F$34,$A78,0)</f>
        <v>0</v>
      </c>
      <c r="L78" s="209">
        <f>'Current - MPM only'!L78/VLOOKUP(COUNTA(L$4:$AE$4),'Dev Patterns'!$B$6:$F$34,$A78,0)</f>
        <v>0</v>
      </c>
      <c r="M78" s="209">
        <f>'Current - MPM only'!M78/VLOOKUP(COUNTA(M$4:$AE$4),'Dev Patterns'!$B$6:$F$34,$A78,0)</f>
        <v>0</v>
      </c>
      <c r="N78" s="209">
        <f>'Current - MPM only'!N78/VLOOKUP(COUNTA(N$4:$AE$4),'Dev Patterns'!$B$6:$F$34,$A78,0)</f>
        <v>0</v>
      </c>
      <c r="O78" s="209">
        <f>'Current - MPM only'!O78/VLOOKUP(COUNTA(O$4:$AE$4),'Dev Patterns'!$B$6:$F$34,$A78,0)</f>
        <v>0</v>
      </c>
      <c r="P78" s="265">
        <f>'Current - MPM only'!P78/VLOOKUP(COUNTA(P$4:$AE$4),'Dev Patterns'!$B$6:$F$34,$A78,0)</f>
        <v>0</v>
      </c>
      <c r="Q78" s="209">
        <f>'Current - MPM only'!Q78/VLOOKUP(COUNTA(Q$4:$AE$4),'Dev Patterns'!$B$6:$F$34,$A78,0)</f>
        <v>0</v>
      </c>
      <c r="R78" s="209">
        <f>'Current - MPM only'!R78/VLOOKUP(COUNTA(R$4:$AE$4),'Dev Patterns'!$B$6:$F$34,$A78,0)</f>
        <v>0</v>
      </c>
      <c r="S78" s="209">
        <f>'Current - MPM only'!S78/VLOOKUP(COUNTA(S$4:$AE$4),'Dev Patterns'!$B$6:$F$34,$A78,0)</f>
        <v>0</v>
      </c>
      <c r="T78" s="209">
        <f>'Current - MPM only'!T78/VLOOKUP(COUNTA(T$4:$AE$4),'Dev Patterns'!$B$6:$F$34,$A78,0)</f>
        <v>0</v>
      </c>
      <c r="U78" s="209">
        <f>'Current - MPM only'!U78/VLOOKUP(COUNTA(U$4:$AE$4),'Dev Patterns'!$B$6:$F$34,$A78,0)</f>
        <v>7786.5270191903628</v>
      </c>
      <c r="V78" s="209">
        <f>'Current - MPM only'!V78/VLOOKUP(COUNTA(V$4:$AE$4),'Dev Patterns'!$B$6:$F$34,$A78,0)</f>
        <v>240359.53423563519</v>
      </c>
      <c r="W78" s="209">
        <f>'Current - MPM only'!W78/VLOOKUP(COUNTA(W$4:$AE$4),'Dev Patterns'!$B$6:$F$34,$A78,0)</f>
        <v>410405.63748514774</v>
      </c>
      <c r="X78" s="209">
        <f>'Current - MPM only'!X78/VLOOKUP(COUNTA(X$4:$AE$4),'Dev Patterns'!$B$6:$F$34,$A78,0)</f>
        <v>620101.8639445795</v>
      </c>
      <c r="Y78" s="209">
        <f>'Current - MPM only'!Y78/VLOOKUP(COUNTA(Y$4:$AE$4),'Dev Patterns'!$B$6:$F$34,$A78,0)</f>
        <v>818026.3657265096</v>
      </c>
      <c r="Z78" s="209">
        <f>'Current - MPM only'!Z78/VLOOKUP(COUNTA(Z$4:$AE$4),'Dev Patterns'!$B$6:$F$34,$A78,0)</f>
        <v>1163929.8159504139</v>
      </c>
      <c r="AA78" s="209">
        <f>'Current - MPM only'!AA78/VLOOKUP(COUNTA(AA$4:$AE$4),'Dev Patterns'!$B$6:$F$34,$A78,0)</f>
        <v>1492209.1922963578</v>
      </c>
      <c r="AB78" s="265">
        <f>'Current - MPM only'!AB78/VLOOKUP(COUNTA(AB$4:$AE$4),'Dev Patterns'!$B$6:$F$34,$A78,0)</f>
        <v>1714158.8979116345</v>
      </c>
      <c r="AC78" s="209">
        <f>'Current - MPM only'!AC78/VLOOKUP(COUNTA(AC$4:$AE$4),'Dev Patterns'!$B$6:$F$34,$A78,0)</f>
        <v>1518295.7979712621</v>
      </c>
      <c r="AD78" s="209">
        <f>'Current - MPM only'!AD78/VLOOKUP(COUNTA(AD$4:$AE$4),'Dev Patterns'!$B$6:$F$34,$A78,0)</f>
        <v>1404034.2853355119</v>
      </c>
      <c r="AE78" s="209">
        <f>'Current - MPM only'!AE78/VLOOKUP(COUNTA(AE$4:$AE$4),'Dev Patterns'!$B$6:$F$34,$A78,0)</f>
        <v>1490159.9231832819</v>
      </c>
      <c r="AF78" s="209">
        <f>'Current - MPM only'!AF78/VLOOKUP(COUNTA($AE$4:AF$4),'Dev Patterns'!$B$6:$F$34,$A78,0)</f>
        <v>1316471.4965507833</v>
      </c>
      <c r="AG78" s="209">
        <f>'Current - MPM only'!AG78/VLOOKUP(COUNTA($AE$4:AG$4),'Dev Patterns'!$B$6:$F$34,$A78,0)</f>
        <v>1328280.4567745125</v>
      </c>
      <c r="AH78" s="209">
        <f>'Current - MPM only'!AH78/VLOOKUP(COUNTA($AE$4:AH$4),'Dev Patterns'!$B$6:$F$34,$A78,0)</f>
        <v>1132727.7525466909</v>
      </c>
      <c r="AI78" s="209">
        <f>'Current - MPM only'!AI78/VLOOKUP(COUNTA($AE$4:AI$4),'Dev Patterns'!$B$6:$F$34,$A78,0)</f>
        <v>1049109.6401113255</v>
      </c>
      <c r="AJ78" s="209">
        <f>'Current - MPM only'!AJ78/VLOOKUP(COUNTA($AE$4:AJ$4),'Dev Patterns'!$B$6:$F$34,$A78,0)</f>
        <v>896981.19604843506</v>
      </c>
      <c r="AK78" s="209">
        <f>'Current - MPM only'!AK78/VLOOKUP(COUNTA($AE$4:AK$4),'Dev Patterns'!$B$6:$F$34,$A78,0)</f>
        <v>714637.24237929762</v>
      </c>
      <c r="AL78" s="209">
        <f>'Current - MPM only'!AL78/VLOOKUP(COUNTA($AE$4:AL$4),'Dev Patterns'!$B$6:$F$34,$A78,0)</f>
        <v>577995.82047141518</v>
      </c>
      <c r="AM78" s="209">
        <f>'Current - MPM only'!AM78/VLOOKUP(COUNTA($AE$4:AM$4),'Dev Patterns'!$B$6:$F$34,$A78,0)</f>
        <v>347839.86377655988</v>
      </c>
      <c r="AN78" s="265">
        <f>'Current - MPM only'!AN78/VLOOKUP(COUNTA($AE$4:AN$4),'Dev Patterns'!$B$6:$F$34,$A78,0)</f>
        <v>196334.60635764542</v>
      </c>
      <c r="AO78" s="237">
        <f t="shared" si="70"/>
        <v>1472148.426032417</v>
      </c>
      <c r="AP78" s="209">
        <f t="shared" si="71"/>
        <v>665439.46937839419</v>
      </c>
      <c r="AQ78" s="238">
        <f>SUMIFS(AC78:AN78,AC$4:AN$4,"&lt;"&amp;'Title Sheet'!$C$13)</f>
        <v>11972868.08150672</v>
      </c>
    </row>
    <row r="79" spans="1:43" ht="15.75" x14ac:dyDescent="0.25">
      <c r="B79" t="str">
        <f>$D$89&amp;"_NWP"</f>
        <v>PC Annual Direct - Subscription_NWP</v>
      </c>
      <c r="C79" t="str">
        <f t="shared" si="72"/>
        <v>Boom Subscription</v>
      </c>
      <c r="D79" s="211" t="s">
        <v>6</v>
      </c>
      <c r="E79" s="31" t="e">
        <f>INDEX('Plan Figures'!$B$5:$AP$31,MATCH('Ultimate - MPM only'!E$4,'Plan Figures'!$B$5:$B$31,0),MATCH('Ultimate - MPM only'!$B79,'Plan Figures'!$B$1:$AP$1,0))</f>
        <v>#N/A</v>
      </c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266"/>
      <c r="Q79" s="31"/>
      <c r="R79" s="31" t="str">
        <f>INDEX('Plan Figures'!$B$5:$AP$31,MATCH('Ultimate - MPM only'!R$4,'Plan Figures'!$B$5:$B$31,0),MATCH('Ultimate - MPM only'!$B79,'Plan Figures'!$B$1:$AP$1,0))</f>
        <v>-</v>
      </c>
      <c r="S79" s="31" t="str">
        <f>INDEX('Plan Figures'!$B$5:$AP$31,MATCH('Ultimate - MPM only'!S$4,'Plan Figures'!$B$5:$B$31,0),MATCH('Ultimate - MPM only'!$B79,'Plan Figures'!$B$1:$AP$1,0))</f>
        <v>-</v>
      </c>
      <c r="T79" s="31" t="str">
        <f>INDEX('Plan Figures'!$B$5:$AP$31,MATCH('Ultimate - MPM only'!T$4,'Plan Figures'!$B$5:$B$31,0),MATCH('Ultimate - MPM only'!$B79,'Plan Figures'!$B$1:$AP$1,0))</f>
        <v>-</v>
      </c>
      <c r="U79" s="31" t="str">
        <f>INDEX('Plan Figures'!$B$5:$AP$31,MATCH('Ultimate - MPM only'!U$4,'Plan Figures'!$B$5:$B$31,0),MATCH('Ultimate - MPM only'!$B79,'Plan Figures'!$B$1:$AP$1,0))</f>
        <v>-</v>
      </c>
      <c r="V79" s="31" t="str">
        <f>INDEX('Plan Figures'!$B$5:$AP$31,MATCH('Ultimate - MPM only'!V$4,'Plan Figures'!$B$5:$B$31,0),MATCH('Ultimate - MPM only'!$B79,'Plan Figures'!$B$1:$AP$1,0))</f>
        <v>-</v>
      </c>
      <c r="W79" s="31" t="str">
        <f>INDEX('Plan Figures'!$B$5:$AP$31,MATCH('Ultimate - MPM only'!W$4,'Plan Figures'!$B$5:$B$31,0),MATCH('Ultimate - MPM only'!$B79,'Plan Figures'!$B$1:$AP$1,0))</f>
        <v>-</v>
      </c>
      <c r="X79" s="31" t="str">
        <f>INDEX('Plan Figures'!$B$5:$AP$31,MATCH('Ultimate - MPM only'!X$4,'Plan Figures'!$B$5:$B$31,0),MATCH('Ultimate - MPM only'!$B79,'Plan Figures'!$B$1:$AP$1,0))</f>
        <v>-</v>
      </c>
      <c r="Y79" s="31" t="str">
        <f>INDEX('Plan Figures'!$B$5:$AP$31,MATCH('Ultimate - MPM only'!Y$4,'Plan Figures'!$B$5:$B$31,0),MATCH('Ultimate - MPM only'!$B79,'Plan Figures'!$B$1:$AP$1,0))</f>
        <v>-</v>
      </c>
      <c r="Z79" s="31" t="str">
        <f>INDEX('Plan Figures'!$B$5:$AP$31,MATCH('Ultimate - MPM only'!Z$4,'Plan Figures'!$B$5:$B$31,0),MATCH('Ultimate - MPM only'!$B79,'Plan Figures'!$B$1:$AP$1,0))</f>
        <v>-</v>
      </c>
      <c r="AA79" s="31">
        <f>INDEX('Plan Figures'!$B$5:$AP$31,MATCH('Ultimate - MPM only'!AA$4,'Plan Figures'!$B$5:$B$31,0),MATCH('Ultimate - MPM only'!$B79,'Plan Figures'!$B$1:$AP$1,0))</f>
        <v>1811220.2312349698</v>
      </c>
      <c r="AB79" s="266">
        <f>INDEX('Plan Figures'!$B$5:$AP$31,MATCH('Ultimate - MPM only'!AB$4,'Plan Figures'!$B$5:$B$31,0),MATCH('Ultimate - MPM only'!$B79,'Plan Figures'!$B$1:$AP$1,0))</f>
        <v>1916096.3475731572</v>
      </c>
      <c r="AC79" s="31">
        <f>INDEX('Plan Figures'!$B$5:$AP$31,MATCH('Ultimate - MPM only'!AC$4,'Plan Figures'!$B$5:$B$31,0),MATCH('Ultimate - MPM only'!$B79,'Plan Figures'!$B$1:$AP$1,0))</f>
        <v>2026245.4879278806</v>
      </c>
      <c r="AD79" s="31">
        <f>INDEX('Plan Figures'!$B$5:$AP$42,MATCH('Ultimate - MPM only'!AD$4,'Plan Figures'!$B$5:$B$42,0),MATCH('Ultimate - MPM only'!$B79,'Plan Figures'!$B$1:$AP$1,0))</f>
        <v>2073314.966746679</v>
      </c>
      <c r="AE79" s="31">
        <f>INDEX('Plan Figures'!$B$5:$AP$42,MATCH('Ultimate - MPM only'!AE$4,'Plan Figures'!$B$5:$B$42,0),MATCH('Ultimate - MPM only'!$B79,'Plan Figures'!$B$1:$AP$1,0))</f>
        <v>1955902.6469528598</v>
      </c>
      <c r="AF79" s="31">
        <f>INDEX('Plan Figures'!$B$5:$AP$42,MATCH('Ultimate - MPM only'!AF$4,'Plan Figures'!$B$5:$B$42,0),MATCH('Ultimate - MPM only'!$B79,'Plan Figures'!$B$1:$AP$1,0))</f>
        <v>1768843.0862598093</v>
      </c>
      <c r="AG79" s="31">
        <f>INDEX('Plan Figures'!$B$5:$AP$42,MATCH('Ultimate - MPM only'!AG$4,'Plan Figures'!$B$5:$B$42,0),MATCH('Ultimate - MPM only'!$B79,'Plan Figures'!$B$1:$AP$1,0))</f>
        <v>1606725.6641009036</v>
      </c>
      <c r="AH79" s="31">
        <f>INDEX('Plan Figures'!$B$5:$AP$42,MATCH('Ultimate - MPM only'!AH$4,'Plan Figures'!$B$5:$B$42,0),MATCH('Ultimate - MPM only'!$B79,'Plan Figures'!$B$1:$AP$1,0))</f>
        <v>1443312.9653584959</v>
      </c>
      <c r="AI79" s="31">
        <f>INDEX('Plan Figures'!$B$5:$AP$42,MATCH('Ultimate - MPM only'!AI$4,'Plan Figures'!$B$5:$B$42,0),MATCH('Ultimate - MPM only'!$B79,'Plan Figures'!$B$1:$AP$1,0))</f>
        <v>1349487.1149863317</v>
      </c>
      <c r="AJ79" s="31">
        <f>INDEX('Plan Figures'!$B$5:$AP$42,MATCH('Ultimate - MPM only'!AJ$4,'Plan Figures'!$B$5:$B$42,0),MATCH('Ultimate - MPM only'!$B79,'Plan Figures'!$B$1:$AP$1,0))</f>
        <v>1181466.7154575591</v>
      </c>
      <c r="AK79" s="31">
        <f>INDEX('Plan Figures'!$B$5:$AP$42,MATCH('Ultimate - MPM only'!AK$4,'Plan Figures'!$B$5:$B$42,0),MATCH('Ultimate - MPM only'!$B79,'Plan Figures'!$B$1:$AP$1,0))</f>
        <v>1008629.6841870487</v>
      </c>
      <c r="AL79" s="31">
        <f>INDEX('Plan Figures'!$B$5:$AP$42,MATCH('Ultimate - MPM only'!AL$4,'Plan Figures'!$B$5:$B$42,0),MATCH('Ultimate - MPM only'!$B79,'Plan Figures'!$B$1:$AP$1,0))</f>
        <v>770515.80233695055</v>
      </c>
      <c r="AM79" s="31">
        <f>INDEX('Plan Figures'!$B$5:$AP$42,MATCH('Ultimate - MPM only'!AM$4,'Plan Figures'!$B$5:$B$42,0),MATCH('Ultimate - MPM only'!$B79,'Plan Figures'!$B$1:$AP$1,0))</f>
        <v>485375.48606279783</v>
      </c>
      <c r="AN79" s="266">
        <f>INDEX('Plan Figures'!$B$5:$AP$42,MATCH('Ultimate - MPM only'!AN$4,'Plan Figures'!$B$5:$B$42,0),MATCH('Ultimate - MPM only'!$B79,'Plan Figures'!$B$1:$AP$1,0))</f>
        <v>234050.2177927887</v>
      </c>
      <c r="AO79" s="239">
        <f t="shared" si="70"/>
        <v>1917854.0222453356</v>
      </c>
      <c r="AP79" s="31">
        <f t="shared" si="71"/>
        <v>1917854.0222453356</v>
      </c>
      <c r="AQ79" s="240">
        <f>SUMIFS(AC79:AN79,AC$4:AN$4,"&lt;"&amp;'Title Sheet'!$C$13)</f>
        <v>15903869.838170106</v>
      </c>
    </row>
    <row r="80" spans="1:43" ht="15.75" x14ac:dyDescent="0.25">
      <c r="B80" t="str">
        <f t="shared" si="73"/>
        <v>PC Annual Direct</v>
      </c>
      <c r="C80" t="str">
        <f t="shared" si="72"/>
        <v>Boom Subscription</v>
      </c>
      <c r="D80" s="213" t="s">
        <v>0</v>
      </c>
      <c r="E80" s="214" t="str">
        <f t="shared" ref="E80:AN80" si="76">IFERROR(IF(E78=0,"-",(E78/E79)-1),"-")</f>
        <v>-</v>
      </c>
      <c r="F80" s="214" t="str">
        <f t="shared" si="76"/>
        <v>-</v>
      </c>
      <c r="G80" s="214" t="str">
        <f t="shared" si="76"/>
        <v>-</v>
      </c>
      <c r="H80" s="214" t="str">
        <f t="shared" si="76"/>
        <v>-</v>
      </c>
      <c r="I80" s="214" t="str">
        <f t="shared" si="76"/>
        <v>-</v>
      </c>
      <c r="J80" s="214" t="str">
        <f t="shared" si="76"/>
        <v>-</v>
      </c>
      <c r="K80" s="214" t="str">
        <f t="shared" si="76"/>
        <v>-</v>
      </c>
      <c r="L80" s="214" t="str">
        <f t="shared" si="76"/>
        <v>-</v>
      </c>
      <c r="M80" s="214" t="str">
        <f t="shared" si="76"/>
        <v>-</v>
      </c>
      <c r="N80" s="214" t="str">
        <f t="shared" si="76"/>
        <v>-</v>
      </c>
      <c r="O80" s="214" t="str">
        <f t="shared" si="76"/>
        <v>-</v>
      </c>
      <c r="P80" s="270" t="str">
        <f t="shared" si="76"/>
        <v>-</v>
      </c>
      <c r="Q80" s="214" t="str">
        <f t="shared" si="76"/>
        <v>-</v>
      </c>
      <c r="R80" s="214" t="str">
        <f t="shared" si="76"/>
        <v>-</v>
      </c>
      <c r="S80" s="214" t="str">
        <f t="shared" si="76"/>
        <v>-</v>
      </c>
      <c r="T80" s="214" t="str">
        <f t="shared" si="76"/>
        <v>-</v>
      </c>
      <c r="U80" s="214" t="str">
        <f t="shared" si="76"/>
        <v>-</v>
      </c>
      <c r="V80" s="214" t="str">
        <f t="shared" si="76"/>
        <v>-</v>
      </c>
      <c r="W80" s="214" t="str">
        <f t="shared" si="76"/>
        <v>-</v>
      </c>
      <c r="X80" s="214" t="str">
        <f t="shared" si="76"/>
        <v>-</v>
      </c>
      <c r="Y80" s="214" t="str">
        <f t="shared" si="76"/>
        <v>-</v>
      </c>
      <c r="Z80" s="214" t="str">
        <f t="shared" si="76"/>
        <v>-</v>
      </c>
      <c r="AA80" s="214">
        <f t="shared" si="76"/>
        <v>-0.17613045251879511</v>
      </c>
      <c r="AB80" s="270">
        <f t="shared" si="76"/>
        <v>-0.10539002901252204</v>
      </c>
      <c r="AC80" s="214">
        <f t="shared" si="76"/>
        <v>-0.25068516770693372</v>
      </c>
      <c r="AD80" s="214">
        <f t="shared" si="76"/>
        <v>-0.322807046756317</v>
      </c>
      <c r="AE80" s="214">
        <f t="shared" si="76"/>
        <v>-0.23812162864811692</v>
      </c>
      <c r="AF80" s="214">
        <f t="shared" si="76"/>
        <v>-0.25574432985209483</v>
      </c>
      <c r="AG80" s="214">
        <f t="shared" si="76"/>
        <v>-0.17329978200242679</v>
      </c>
      <c r="AH80" s="214">
        <f t="shared" si="76"/>
        <v>-0.21518909638192063</v>
      </c>
      <c r="AI80" s="214">
        <f t="shared" si="76"/>
        <v>-0.22258639711283834</v>
      </c>
      <c r="AJ80" s="214">
        <f t="shared" si="76"/>
        <v>-0.24079012610943362</v>
      </c>
      <c r="AK80" s="214">
        <f t="shared" si="76"/>
        <v>-0.29147708660260951</v>
      </c>
      <c r="AL80" s="214">
        <f t="shared" si="76"/>
        <v>-0.24985857691903035</v>
      </c>
      <c r="AM80" s="214">
        <f t="shared" si="76"/>
        <v>-0.28335922648644762</v>
      </c>
      <c r="AN80" s="270">
        <f t="shared" si="76"/>
        <v>-0.16114324434653582</v>
      </c>
      <c r="AO80" s="274">
        <f t="shared" si="70"/>
        <v>-0.17740188307941696</v>
      </c>
      <c r="AP80" s="275">
        <f t="shared" si="71"/>
        <v>-0.17740188307941696</v>
      </c>
      <c r="AQ80" s="276">
        <f t="shared" ref="AQ80" si="77">IFERROR(IF(AQ78=0,"-",(AQ78/AQ79)-1),"-")</f>
        <v>-0.24717265650834108</v>
      </c>
    </row>
    <row r="81" spans="1:45" ht="15.75" x14ac:dyDescent="0.25">
      <c r="B81" t="str">
        <f t="shared" si="73"/>
        <v>PC Annual Direct</v>
      </c>
      <c r="C81" t="str">
        <f t="shared" si="72"/>
        <v>Boom Subscription</v>
      </c>
      <c r="D81" s="208" t="s">
        <v>302</v>
      </c>
      <c r="E81" s="209">
        <f t="shared" ref="E81:AP82" si="78">IFERROR(E78/E75,0)</f>
        <v>0</v>
      </c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65"/>
      <c r="Q81" s="209"/>
      <c r="R81" s="209">
        <f t="shared" si="78"/>
        <v>0</v>
      </c>
      <c r="S81" s="209">
        <f t="shared" si="78"/>
        <v>0</v>
      </c>
      <c r="T81" s="209">
        <f t="shared" si="78"/>
        <v>0</v>
      </c>
      <c r="U81" s="209">
        <f t="shared" si="78"/>
        <v>7.4886535270063632</v>
      </c>
      <c r="V81" s="209">
        <f t="shared" si="78"/>
        <v>281.38969125161702</v>
      </c>
      <c r="W81" s="209">
        <f t="shared" si="78"/>
        <v>500.89971606046305</v>
      </c>
      <c r="X81" s="209">
        <f t="shared" si="78"/>
        <v>894.7010309297317</v>
      </c>
      <c r="Y81" s="209">
        <f t="shared" si="78"/>
        <v>1470.4251821645889</v>
      </c>
      <c r="Z81" s="209">
        <f t="shared" si="78"/>
        <v>2509.6218330644642</v>
      </c>
      <c r="AA81" s="209">
        <f t="shared" si="78"/>
        <v>5525.4096593966715</v>
      </c>
      <c r="AB81" s="265">
        <f t="shared" si="78"/>
        <v>11277.522994977417</v>
      </c>
      <c r="AC81" s="209">
        <f t="shared" si="78"/>
        <v>58511.891537775875</v>
      </c>
      <c r="AD81" s="209">
        <f t="shared" si="78"/>
        <v>0</v>
      </c>
      <c r="AE81" s="209">
        <f t="shared" si="78"/>
        <v>0</v>
      </c>
      <c r="AF81" s="209">
        <f t="shared" si="78"/>
        <v>0</v>
      </c>
      <c r="AG81" s="209">
        <f t="shared" si="78"/>
        <v>0</v>
      </c>
      <c r="AH81" s="209">
        <f t="shared" si="78"/>
        <v>0</v>
      </c>
      <c r="AI81" s="209">
        <f t="shared" si="78"/>
        <v>0</v>
      </c>
      <c r="AJ81" s="209">
        <f t="shared" si="78"/>
        <v>0</v>
      </c>
      <c r="AK81" s="209">
        <f t="shared" si="78"/>
        <v>0</v>
      </c>
      <c r="AL81" s="209">
        <f t="shared" si="78"/>
        <v>0</v>
      </c>
      <c r="AM81" s="209">
        <f t="shared" si="78"/>
        <v>0</v>
      </c>
      <c r="AN81" s="265">
        <f t="shared" si="78"/>
        <v>0</v>
      </c>
      <c r="AO81" s="237">
        <f t="shared" si="78"/>
        <v>6458.2335375666307</v>
      </c>
      <c r="AP81" s="209">
        <f t="shared" si="78"/>
        <v>921.31705603265323</v>
      </c>
      <c r="AQ81" s="238">
        <f>SUMIFS(AC81:AN81,AC$4:AN$4,"&lt;"&amp;'Title Sheet'!$C$13)</f>
        <v>58511.891537775875</v>
      </c>
    </row>
    <row r="82" spans="1:45" ht="15.75" hidden="1" x14ac:dyDescent="0.25">
      <c r="B82" t="str">
        <f t="shared" si="73"/>
        <v>PC Annual Direct</v>
      </c>
      <c r="C82" t="str">
        <f t="shared" si="72"/>
        <v>Boom Subscription</v>
      </c>
      <c r="D82" s="211" t="s">
        <v>303</v>
      </c>
      <c r="E82" s="31">
        <f t="shared" si="78"/>
        <v>0</v>
      </c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6"/>
      <c r="Q82" s="31"/>
      <c r="R82" s="31">
        <f t="shared" si="78"/>
        <v>0</v>
      </c>
      <c r="S82" s="31">
        <f t="shared" si="78"/>
        <v>0</v>
      </c>
      <c r="T82" s="31">
        <f t="shared" si="78"/>
        <v>0</v>
      </c>
      <c r="U82" s="31">
        <f t="shared" si="78"/>
        <v>0</v>
      </c>
      <c r="V82" s="31">
        <f t="shared" si="78"/>
        <v>0</v>
      </c>
      <c r="W82" s="31">
        <f t="shared" si="78"/>
        <v>0</v>
      </c>
      <c r="X82" s="31">
        <f t="shared" si="78"/>
        <v>0</v>
      </c>
      <c r="Y82" s="31">
        <f t="shared" si="78"/>
        <v>0</v>
      </c>
      <c r="Z82" s="31">
        <f t="shared" si="78"/>
        <v>0</v>
      </c>
      <c r="AA82" s="31">
        <f t="shared" si="78"/>
        <v>2940.6120463449633</v>
      </c>
      <c r="AB82" s="266">
        <f t="shared" si="78"/>
        <v>2508.8727069841393</v>
      </c>
      <c r="AC82" s="31">
        <f t="shared" si="78"/>
        <v>2431.6579366113488</v>
      </c>
      <c r="AD82" s="31">
        <f t="shared" si="78"/>
        <v>2488.1451058234757</v>
      </c>
      <c r="AE82" s="31">
        <f t="shared" si="78"/>
        <v>2347.2408565685837</v>
      </c>
      <c r="AF82" s="31">
        <f t="shared" si="78"/>
        <v>2122.7543034395003</v>
      </c>
      <c r="AG82" s="31">
        <f t="shared" si="78"/>
        <v>1928.923722318608</v>
      </c>
      <c r="AH82" s="31">
        <f t="shared" si="78"/>
        <v>1792.1092036209764</v>
      </c>
      <c r="AI82" s="31">
        <f t="shared" si="78"/>
        <v>1414.0515952231303</v>
      </c>
      <c r="AJ82" s="31">
        <f t="shared" si="78"/>
        <v>1393.8475889887482</v>
      </c>
      <c r="AK82" s="31">
        <f t="shared" si="78"/>
        <v>1364.7480464248031</v>
      </c>
      <c r="AL82" s="31">
        <f t="shared" si="78"/>
        <v>1342.5395140050166</v>
      </c>
      <c r="AM82" s="31">
        <f t="shared" si="78"/>
        <v>1331.5433059075201</v>
      </c>
      <c r="AN82" s="266">
        <f t="shared" si="78"/>
        <v>1292.44666445843</v>
      </c>
      <c r="AO82" s="239">
        <f t="shared" si="78"/>
        <v>2599.9648122861263</v>
      </c>
      <c r="AP82" s="31">
        <f t="shared" si="78"/>
        <v>2599.9648122861263</v>
      </c>
      <c r="AQ82" s="240">
        <f>SUMIFS(AC82:AN82,AC$4:AN$4,"&lt;"&amp;'Title Sheet'!$C$13)</f>
        <v>21250.007843390136</v>
      </c>
    </row>
    <row r="83" spans="1:45" ht="15.75" hidden="1" x14ac:dyDescent="0.25">
      <c r="B83" t="str">
        <f t="shared" si="73"/>
        <v>PC Annual Direct</v>
      </c>
      <c r="C83" t="str">
        <f t="shared" si="72"/>
        <v>Boom Subscription</v>
      </c>
      <c r="D83" s="213" t="s">
        <v>0</v>
      </c>
      <c r="E83" s="214" t="str">
        <f t="shared" ref="E83:AN83" si="79">IFERROR(IF(E81=0,"-",(E81/E82)-1),"-")</f>
        <v>-</v>
      </c>
      <c r="F83" s="214" t="str">
        <f t="shared" si="79"/>
        <v>-</v>
      </c>
      <c r="G83" s="214" t="str">
        <f t="shared" si="79"/>
        <v>-</v>
      </c>
      <c r="H83" s="214" t="str">
        <f t="shared" si="79"/>
        <v>-</v>
      </c>
      <c r="I83" s="214" t="str">
        <f t="shared" si="79"/>
        <v>-</v>
      </c>
      <c r="J83" s="214" t="str">
        <f t="shared" si="79"/>
        <v>-</v>
      </c>
      <c r="K83" s="214" t="str">
        <f t="shared" si="79"/>
        <v>-</v>
      </c>
      <c r="L83" s="214" t="str">
        <f t="shared" si="79"/>
        <v>-</v>
      </c>
      <c r="M83" s="214" t="str">
        <f t="shared" si="79"/>
        <v>-</v>
      </c>
      <c r="N83" s="214" t="str">
        <f t="shared" si="79"/>
        <v>-</v>
      </c>
      <c r="O83" s="214" t="str">
        <f t="shared" si="79"/>
        <v>-</v>
      </c>
      <c r="P83" s="270" t="str">
        <f t="shared" si="79"/>
        <v>-</v>
      </c>
      <c r="Q83" s="214" t="str">
        <f t="shared" si="79"/>
        <v>-</v>
      </c>
      <c r="R83" s="214" t="str">
        <f t="shared" si="79"/>
        <v>-</v>
      </c>
      <c r="S83" s="214" t="str">
        <f t="shared" si="79"/>
        <v>-</v>
      </c>
      <c r="T83" s="214" t="str">
        <f t="shared" si="79"/>
        <v>-</v>
      </c>
      <c r="U83" s="214" t="str">
        <f t="shared" si="79"/>
        <v>-</v>
      </c>
      <c r="V83" s="214" t="str">
        <f t="shared" si="79"/>
        <v>-</v>
      </c>
      <c r="W83" s="214" t="str">
        <f t="shared" si="79"/>
        <v>-</v>
      </c>
      <c r="X83" s="214" t="str">
        <f t="shared" si="79"/>
        <v>-</v>
      </c>
      <c r="Y83" s="214" t="str">
        <f t="shared" si="79"/>
        <v>-</v>
      </c>
      <c r="Z83" s="214" t="str">
        <f t="shared" si="79"/>
        <v>-</v>
      </c>
      <c r="AA83" s="214">
        <f t="shared" si="79"/>
        <v>0.87899987224240772</v>
      </c>
      <c r="AB83" s="270">
        <f t="shared" si="79"/>
        <v>3.4950558725372236</v>
      </c>
      <c r="AC83" s="214">
        <f t="shared" si="79"/>
        <v>23.062550351681235</v>
      </c>
      <c r="AD83" s="214" t="str">
        <f t="shared" si="79"/>
        <v>-</v>
      </c>
      <c r="AE83" s="214" t="str">
        <f t="shared" si="79"/>
        <v>-</v>
      </c>
      <c r="AF83" s="214" t="str">
        <f t="shared" si="79"/>
        <v>-</v>
      </c>
      <c r="AG83" s="214" t="str">
        <f t="shared" si="79"/>
        <v>-</v>
      </c>
      <c r="AH83" s="214" t="str">
        <f t="shared" si="79"/>
        <v>-</v>
      </c>
      <c r="AI83" s="214" t="str">
        <f t="shared" si="79"/>
        <v>-</v>
      </c>
      <c r="AJ83" s="214" t="str">
        <f t="shared" si="79"/>
        <v>-</v>
      </c>
      <c r="AK83" s="214" t="str">
        <f t="shared" si="79"/>
        <v>-</v>
      </c>
      <c r="AL83" s="214" t="str">
        <f t="shared" si="79"/>
        <v>-</v>
      </c>
      <c r="AM83" s="214" t="str">
        <f t="shared" si="79"/>
        <v>-</v>
      </c>
      <c r="AN83" s="270" t="str">
        <f t="shared" si="79"/>
        <v>-</v>
      </c>
      <c r="AO83" s="274">
        <f t="shared" ref="AO83:AP83" si="80">AO81-AO82</f>
        <v>3858.2687252805044</v>
      </c>
      <c r="AP83" s="275">
        <f t="shared" si="80"/>
        <v>-1678.6477562534731</v>
      </c>
      <c r="AQ83" s="276">
        <f t="shared" ref="AQ83" si="81">IFERROR(IF(AQ81=0,"-",(AQ81/AQ82)-1),"-")</f>
        <v>1.7534997619295529</v>
      </c>
    </row>
    <row r="84" spans="1:45" x14ac:dyDescent="0.25">
      <c r="B84" t="str">
        <f t="shared" si="73"/>
        <v>PC Annual Direct</v>
      </c>
      <c r="C84" t="str">
        <f t="shared" si="72"/>
        <v>Boom Subscription</v>
      </c>
      <c r="D84" s="258" t="s">
        <v>17</v>
      </c>
      <c r="E84" s="259"/>
      <c r="F84" s="259"/>
      <c r="G84" s="259"/>
      <c r="H84" s="259"/>
      <c r="I84" s="259"/>
      <c r="J84" s="259"/>
      <c r="K84" s="259"/>
      <c r="L84" s="259"/>
      <c r="M84" s="259"/>
      <c r="N84" s="259"/>
      <c r="O84" s="259"/>
      <c r="P84" s="267"/>
      <c r="Q84" s="259"/>
      <c r="R84" s="259"/>
      <c r="S84" s="259"/>
      <c r="T84" s="259"/>
      <c r="U84" s="259"/>
      <c r="V84" s="259"/>
      <c r="W84" s="259"/>
      <c r="X84" s="259"/>
      <c r="Y84" s="259"/>
      <c r="Z84" s="259"/>
      <c r="AA84" s="259"/>
      <c r="AB84" s="267"/>
      <c r="AC84" s="259"/>
      <c r="AD84" s="259"/>
      <c r="AE84" s="259"/>
      <c r="AF84" s="259"/>
      <c r="AG84" s="259"/>
      <c r="AH84" s="259"/>
      <c r="AI84" s="259"/>
      <c r="AJ84" s="259"/>
      <c r="AK84" s="259"/>
      <c r="AL84" s="259"/>
      <c r="AM84" s="259"/>
      <c r="AN84" s="267"/>
      <c r="AO84" s="277"/>
      <c r="AP84" s="277"/>
      <c r="AQ84" s="278">
        <f>SUMIFS(AC84:AN84,AC$4:AN$4,"&lt;"&amp;'Title Sheet'!$C$13)</f>
        <v>0</v>
      </c>
    </row>
    <row r="85" spans="1:45" ht="15.75" x14ac:dyDescent="0.25">
      <c r="A85">
        <v>2</v>
      </c>
      <c r="B85" t="str">
        <f t="shared" si="73"/>
        <v>PC Annual Direct</v>
      </c>
      <c r="C85" t="str">
        <f t="shared" si="72"/>
        <v>Boom Subscription</v>
      </c>
      <c r="D85" s="208" t="s">
        <v>7</v>
      </c>
      <c r="E85" s="282" t="e">
        <f>'Current - Sales, NWP, GWP'!E88/VLOOKUP(COUNTA(E$4:$AC$4),'Dev Patterns'!$B$6:$F$22,$A85,0)</f>
        <v>#N/A</v>
      </c>
      <c r="F85" s="283"/>
      <c r="G85" s="283"/>
      <c r="H85" s="283"/>
      <c r="I85" s="283"/>
      <c r="J85" s="283"/>
      <c r="K85" s="283"/>
      <c r="L85" s="283"/>
      <c r="M85" s="283"/>
      <c r="N85" s="283"/>
      <c r="O85" s="283"/>
      <c r="P85" s="284"/>
      <c r="Q85" s="282"/>
      <c r="R85" s="283">
        <f>'Current - Sales, NWP, GWP'!R88/VLOOKUP(COUNTA(R$4:$AC$4),'Dev Patterns'!$B$6:$F$22,$A85,0)</f>
        <v>1942443.1160720733</v>
      </c>
      <c r="S85" s="283">
        <f>'Current - Sales, NWP, GWP'!S88/VLOOKUP(COUNTA(S$4:$AC$4),'Dev Patterns'!$B$6:$F$22,$A85,0)</f>
        <v>1920173.8467244913</v>
      </c>
      <c r="T85" s="283">
        <f>'Current - Sales, NWP, GWP'!T88/VLOOKUP(COUNTA(T$4:$AC$4),'Dev Patterns'!$B$6:$F$22,$A85,0)</f>
        <v>1614189.997221272</v>
      </c>
      <c r="U85" s="283">
        <f>'Current - Sales, NWP, GWP'!U88/VLOOKUP(COUNTA(U$4:$AC$4),'Dev Patterns'!$B$6:$F$22,$A85,0)</f>
        <v>1513392.1988720493</v>
      </c>
      <c r="V85" s="283">
        <f>'Current - Sales, NWP, GWP'!V88/VLOOKUP(COUNTA(V$4:$AC$4),'Dev Patterns'!$B$6:$F$22,$A85,0)</f>
        <v>1300647.9910934309</v>
      </c>
      <c r="W85" s="283">
        <f>'Current - Sales, NWP, GWP'!W88/VLOOKUP(COUNTA(W$4:$AC$4),'Dev Patterns'!$B$6:$F$22,$A85,0)</f>
        <v>1193624.3558192537</v>
      </c>
      <c r="X85" s="283">
        <f>'Current - Sales, NWP, GWP'!X88/VLOOKUP(COUNTA(X$4:$AC$4),'Dev Patterns'!$B$6:$F$22,$A85,0)</f>
        <v>1018339.5737868317</v>
      </c>
      <c r="Y85" s="283">
        <f>'Current - Sales, NWP, GWP'!Y88/VLOOKUP(COUNTA(Y$4:$AC$4),'Dev Patterns'!$B$6:$F$22,$A85,0)</f>
        <v>815634.65245117783</v>
      </c>
      <c r="Z85" s="283">
        <f>'Current - Sales, NWP, GWP'!Z88/VLOOKUP(COUNTA(Z$4:$AC$4),'Dev Patterns'!$B$6:$F$22,$A85,0)</f>
        <v>648666.23401254229</v>
      </c>
      <c r="AA85" s="283">
        <f>'Current - Sales, NWP, GWP'!AA88/VLOOKUP(COUNTA(AA$4:$AC$4),'Dev Patterns'!$B$6:$F$22,$A85,0)</f>
        <v>389371.37969203893</v>
      </c>
      <c r="AB85" s="284">
        <f>'Current - Sales, NWP, GWP'!AB88/VLOOKUP(COUNTA(AB$4:$AC$4),'Dev Patterns'!$B$6:$F$22,$A85,0)</f>
        <v>205733.10275514604</v>
      </c>
      <c r="AC85" s="282">
        <f>'Current - Sales, NWP, GWP'!AC88/VLOOKUP(COUNTA(AC$4:$AC$4),'Dev Patterns'!$B$6:$F$22,$A85,0)</f>
        <v>30615.138582069223</v>
      </c>
      <c r="AD85" s="283">
        <f>'Current - Sales, NWP, GWP'!AD88/VLOOKUP(COUNTA($AC$4:AD$4),'Dev Patterns'!$B$6:$F$22,$A85,0)</f>
        <v>0</v>
      </c>
      <c r="AE85" s="283">
        <f>'Current - Sales, NWP, GWP'!AE88/VLOOKUP(COUNTA($AC$4:AE$4),'Dev Patterns'!$B$6:$F$22,$A85,0)</f>
        <v>0</v>
      </c>
      <c r="AF85" s="283">
        <f>'Current - Sales, NWP, GWP'!AF88/VLOOKUP(COUNTA($AC$4:AF$4),'Dev Patterns'!$B$6:$F$22,$A85,0)</f>
        <v>0</v>
      </c>
      <c r="AG85" s="283">
        <f>'Current - Sales, NWP, GWP'!AG88/VLOOKUP(COUNTA($AC$4:AG$4),'Dev Patterns'!$B$6:$F$22,$A85,0)</f>
        <v>0</v>
      </c>
      <c r="AH85" s="283">
        <f>'Current - Sales, NWP, GWP'!AH88/VLOOKUP(COUNTA($AC$4:AH$4),'Dev Patterns'!$B$6:$F$22,$A85,0)</f>
        <v>0</v>
      </c>
      <c r="AI85" s="283">
        <f>'Current - Sales, NWP, GWP'!AI88/VLOOKUP(COUNTA($AC$4:AI$4),'Dev Patterns'!$B$6:$F$22,$A85,0)</f>
        <v>0</v>
      </c>
      <c r="AJ85" s="283">
        <f>'Current - Sales, NWP, GWP'!AJ88/VLOOKUP(COUNTA($AC$4:AJ$4),'Dev Patterns'!$B$6:$F$22,$A85,0)</f>
        <v>0</v>
      </c>
      <c r="AK85" s="283">
        <f>'Current - Sales, NWP, GWP'!AK88/VLOOKUP(COUNTA($AC$4:AK$4),'Dev Patterns'!$B$6:$F$22,$A85,0)</f>
        <v>0</v>
      </c>
      <c r="AL85" s="283">
        <f>'Current - Sales, NWP, GWP'!AL88/VLOOKUP(COUNTA($AC$4:AL$4),'Dev Patterns'!$B$6:$F$22,$A85,0)</f>
        <v>0</v>
      </c>
      <c r="AM85" s="283">
        <f>'Current - Sales, NWP, GWP'!AM88/VLOOKUP(COUNTA($AC$4:AM$4),'Dev Patterns'!$B$6:$F$22,$A85,0)</f>
        <v>0</v>
      </c>
      <c r="AN85" s="284">
        <f>'Current - Sales, NWP, GWP'!AN88/VLOOKUP(COUNTA($AC$4:AN$4),'Dev Patterns'!$B$6:$F$22,$A85,0)</f>
        <v>0</v>
      </c>
      <c r="AO85" s="237">
        <f>AVERAGE(Z85:AC85)</f>
        <v>318596.46376044914</v>
      </c>
      <c r="AP85" s="209">
        <f>AVERAGE(R85:AC85)</f>
        <v>1049402.6322568648</v>
      </c>
      <c r="AQ85" s="238">
        <f>SUMIFS(AC85:AN85,AC$4:AN$4,"&lt;"&amp;'Title Sheet'!$C$13)</f>
        <v>30615.138582069223</v>
      </c>
    </row>
    <row r="86" spans="1:45" ht="16.5" thickBot="1" x14ac:dyDescent="0.3">
      <c r="B86" t="str">
        <f t="shared" si="73"/>
        <v>PC Annual Direct</v>
      </c>
      <c r="C86" t="str">
        <f t="shared" si="72"/>
        <v>Boom Subscription</v>
      </c>
      <c r="D86" s="226" t="s">
        <v>21</v>
      </c>
      <c r="E86" s="269" t="e">
        <f t="shared" ref="E86:AP86" si="82">E78/E$8</f>
        <v>#DIV/0!</v>
      </c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81"/>
      <c r="Q86" s="269"/>
      <c r="R86" s="269" t="e">
        <f t="shared" si="82"/>
        <v>#DIV/0!</v>
      </c>
      <c r="S86" s="269" t="e">
        <f t="shared" si="82"/>
        <v>#DIV/0!</v>
      </c>
      <c r="T86" s="269" t="e">
        <f t="shared" si="82"/>
        <v>#DIV/0!</v>
      </c>
      <c r="U86" s="269">
        <f t="shared" si="82"/>
        <v>0.15984421157281403</v>
      </c>
      <c r="V86" s="269">
        <f t="shared" si="82"/>
        <v>0.20291500416086594</v>
      </c>
      <c r="W86" s="269">
        <f t="shared" si="82"/>
        <v>0.31466865418638146</v>
      </c>
      <c r="X86" s="269">
        <f t="shared" si="82"/>
        <v>0.36787383312802968</v>
      </c>
      <c r="Y86" s="269">
        <f t="shared" si="82"/>
        <v>0.42497916082687609</v>
      </c>
      <c r="Z86" s="269">
        <f t="shared" si="82"/>
        <v>0.46780464652157011</v>
      </c>
      <c r="AA86" s="269">
        <f t="shared" si="82"/>
        <v>0.4511243537091858</v>
      </c>
      <c r="AB86" s="281">
        <f t="shared" si="82"/>
        <v>0.51647568803277333</v>
      </c>
      <c r="AC86" s="269">
        <f t="shared" si="82"/>
        <v>0.43088969618999806</v>
      </c>
      <c r="AD86" s="269">
        <f t="shared" si="82"/>
        <v>0.29106479939776958</v>
      </c>
      <c r="AE86" s="269">
        <f t="shared" si="82"/>
        <v>0.20969974214946785</v>
      </c>
      <c r="AF86" s="269">
        <f t="shared" si="82"/>
        <v>0.20474023370942335</v>
      </c>
      <c r="AG86" s="269">
        <f t="shared" si="82"/>
        <v>0.21281568926265368</v>
      </c>
      <c r="AH86" s="269">
        <f t="shared" si="82"/>
        <v>0.21519758508236683</v>
      </c>
      <c r="AI86" s="269">
        <f t="shared" si="82"/>
        <v>0.23230592165405925</v>
      </c>
      <c r="AJ86" s="269">
        <f t="shared" si="82"/>
        <v>0.22737611471593883</v>
      </c>
      <c r="AK86" s="269">
        <f t="shared" si="82"/>
        <v>0.19723958637998334</v>
      </c>
      <c r="AL86" s="269">
        <f t="shared" si="82"/>
        <v>0.16748552578510512</v>
      </c>
      <c r="AM86" s="269">
        <f t="shared" si="82"/>
        <v>9.5740984935713133E-2</v>
      </c>
      <c r="AN86" s="281">
        <f t="shared" si="82"/>
        <v>5.4135415031518211E-2</v>
      </c>
      <c r="AO86" s="279">
        <f t="shared" si="82"/>
        <v>0.46592845897135104</v>
      </c>
      <c r="AP86" s="269">
        <f t="shared" si="82"/>
        <v>0.42505607720687816</v>
      </c>
      <c r="AQ86" s="280" t="str">
        <f t="shared" ref="AQ86" si="83">IFERROR(IF(AQ84=0,"-",(AQ84/AQ85)-1),"-")</f>
        <v>-</v>
      </c>
    </row>
    <row r="87" spans="1:45" outlineLevel="1" x14ac:dyDescent="0.25"/>
    <row r="88" spans="1:45" hidden="1" outlineLevel="1" x14ac:dyDescent="0.25">
      <c r="E88" s="188"/>
      <c r="F88" s="188"/>
      <c r="G88" s="188"/>
      <c r="H88" s="188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513" t="s">
        <v>312</v>
      </c>
      <c r="U88" s="513"/>
      <c r="V88" s="513"/>
      <c r="W88" s="513"/>
      <c r="X88" s="513"/>
      <c r="Y88" s="513"/>
      <c r="Z88" s="513"/>
      <c r="AA88" s="513"/>
      <c r="AB88" s="513"/>
      <c r="AC88" s="513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</row>
    <row r="89" spans="1:45" ht="18.75" hidden="1" outlineLevel="1" x14ac:dyDescent="0.3">
      <c r="D89" s="68" t="s">
        <v>204</v>
      </c>
      <c r="E89" s="174" t="s">
        <v>300</v>
      </c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"/>
      <c r="S89" s="1"/>
      <c r="T89" s="505" t="s">
        <v>307</v>
      </c>
      <c r="U89" s="505"/>
      <c r="V89" s="505"/>
      <c r="W89" s="505"/>
      <c r="X89" s="505"/>
      <c r="Y89" s="505"/>
      <c r="Z89" s="505"/>
      <c r="AA89" s="505"/>
      <c r="AB89" s="505"/>
      <c r="AC89" s="506"/>
      <c r="AD89" s="193"/>
      <c r="AE89" s="193"/>
      <c r="AF89" s="193"/>
      <c r="AG89" s="193"/>
      <c r="AH89" s="193"/>
      <c r="AI89" s="193"/>
      <c r="AJ89" s="193"/>
      <c r="AK89" s="193"/>
      <c r="AL89" s="193"/>
      <c r="AM89" s="193"/>
      <c r="AN89" s="193"/>
      <c r="AO89" s="4"/>
      <c r="AP89" s="1"/>
      <c r="AS89" s="118" t="s">
        <v>184</v>
      </c>
    </row>
    <row r="90" spans="1:45" hidden="1" outlineLevel="1" x14ac:dyDescent="0.25">
      <c r="D90" s="19"/>
      <c r="E90" s="503" t="s">
        <v>237</v>
      </c>
      <c r="F90" s="503"/>
      <c r="G90" s="503"/>
      <c r="H90" s="503"/>
      <c r="I90" s="503"/>
      <c r="J90" s="503"/>
      <c r="K90" s="503"/>
      <c r="L90" s="503"/>
      <c r="M90" s="503"/>
      <c r="N90" s="503"/>
      <c r="O90" s="503"/>
      <c r="P90" s="503"/>
      <c r="Q90" s="503"/>
      <c r="R90" s="503"/>
      <c r="S90" s="503"/>
      <c r="T90" s="503"/>
      <c r="U90" s="503"/>
      <c r="V90" s="503"/>
      <c r="W90" s="503"/>
      <c r="X90" s="503"/>
      <c r="Y90" s="503"/>
      <c r="Z90" s="503"/>
      <c r="AA90" s="503"/>
      <c r="AB90" s="503"/>
      <c r="AC90" s="50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  <c r="AN90" s="194"/>
      <c r="AO90" s="500" t="s">
        <v>8</v>
      </c>
      <c r="AP90" s="501"/>
    </row>
    <row r="91" spans="1:45" hidden="1" outlineLevel="1" x14ac:dyDescent="0.25">
      <c r="D91" s="22" t="s">
        <v>16</v>
      </c>
      <c r="E91" s="23">
        <f>E$4</f>
        <v>44562</v>
      </c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>
        <f t="shared" ref="R91:AC91" si="84">R$4</f>
        <v>44958</v>
      </c>
      <c r="S91" s="23">
        <f t="shared" si="84"/>
        <v>44986</v>
      </c>
      <c r="T91" s="23">
        <f t="shared" si="84"/>
        <v>45017</v>
      </c>
      <c r="U91" s="23">
        <f t="shared" si="84"/>
        <v>45047</v>
      </c>
      <c r="V91" s="23">
        <f t="shared" si="84"/>
        <v>45078</v>
      </c>
      <c r="W91" s="23">
        <f t="shared" si="84"/>
        <v>45108</v>
      </c>
      <c r="X91" s="23">
        <f t="shared" si="84"/>
        <v>45139</v>
      </c>
      <c r="Y91" s="23">
        <f t="shared" si="84"/>
        <v>45170</v>
      </c>
      <c r="Z91" s="23">
        <f t="shared" si="84"/>
        <v>45200</v>
      </c>
      <c r="AA91" s="23">
        <f t="shared" si="84"/>
        <v>45231</v>
      </c>
      <c r="AB91" s="23">
        <f t="shared" si="84"/>
        <v>45261</v>
      </c>
      <c r="AC91" s="24">
        <f t="shared" si="84"/>
        <v>45292</v>
      </c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8" t="s">
        <v>9</v>
      </c>
      <c r="AP91" s="29" t="s">
        <v>10</v>
      </c>
    </row>
    <row r="92" spans="1:45" ht="15.75" hidden="1" outlineLevel="1" x14ac:dyDescent="0.25">
      <c r="B92" t="str">
        <f>$D$2</f>
        <v>PC Annual Direct</v>
      </c>
      <c r="C92" t="s">
        <v>73</v>
      </c>
      <c r="D92" s="5" t="s">
        <v>308</v>
      </c>
      <c r="E92" s="6">
        <v>2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>
        <v>2242</v>
      </c>
      <c r="S92" s="6">
        <v>2478</v>
      </c>
      <c r="T92" s="6">
        <v>2183</v>
      </c>
      <c r="U92" s="6">
        <v>2872</v>
      </c>
      <c r="V92" s="6">
        <v>1836</v>
      </c>
      <c r="W92" s="6">
        <v>1791</v>
      </c>
      <c r="X92" s="6">
        <v>1999</v>
      </c>
      <c r="Y92" s="6">
        <v>2026</v>
      </c>
      <c r="Z92" s="6">
        <v>3086</v>
      </c>
      <c r="AA92" s="6">
        <v>3887</v>
      </c>
      <c r="AB92" s="6">
        <v>3367</v>
      </c>
      <c r="AC92" s="7">
        <v>2792</v>
      </c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8">
        <f t="shared" ref="AO92:AO97" si="85">AVERAGE(Z92:AC92)</f>
        <v>3283</v>
      </c>
      <c r="AP92" s="6">
        <f>AVERAGE(R92:AC92)</f>
        <v>2546.5833333333335</v>
      </c>
    </row>
    <row r="93" spans="1:45" ht="15.75" hidden="1" outlineLevel="1" x14ac:dyDescent="0.25">
      <c r="B93" t="str">
        <f>$D$89&amp;"_W VYRs"</f>
        <v>PC Annual Direct - Subscription_W VYRs</v>
      </c>
      <c r="C93" t="str">
        <f>$C92</f>
        <v>Boom Subscription</v>
      </c>
      <c r="D93" s="175" t="s">
        <v>4</v>
      </c>
      <c r="E93" s="176" t="e">
        <f>INDEX('Plan Figures'!$B$5:$AP$31,MATCH('Ultimate - MPM only'!E$4,'Plan Figures'!$B$5:$B$31,0),MATCH('Ultimate - MPM only'!$B93,'Plan Figures'!$B$1:$AP$1,0))</f>
        <v>#N/A</v>
      </c>
      <c r="F93" s="176"/>
      <c r="G93" s="176"/>
      <c r="H93" s="176"/>
      <c r="I93" s="176"/>
      <c r="J93" s="176"/>
      <c r="K93" s="176"/>
      <c r="L93" s="176"/>
      <c r="M93" s="176"/>
      <c r="N93" s="176"/>
      <c r="O93" s="176"/>
      <c r="P93" s="176"/>
      <c r="Q93" s="176"/>
      <c r="R93" s="176" t="str">
        <f>INDEX('Plan Figures'!$B$5:$AP$31,MATCH('Ultimate - MPM only'!R$4,'Plan Figures'!$B$5:$B$31,0),MATCH('Ultimate - MPM only'!$B93,'Plan Figures'!$B$1:$AP$1,0))</f>
        <v>-</v>
      </c>
      <c r="S93" s="176" t="str">
        <f>INDEX('Plan Figures'!$B$5:$AP$31,MATCH('Ultimate - MPM only'!S$4,'Plan Figures'!$B$5:$B$31,0),MATCH('Ultimate - MPM only'!$B93,'Plan Figures'!$B$1:$AP$1,0))</f>
        <v>-</v>
      </c>
      <c r="T93" s="176" t="str">
        <f>INDEX('Plan Figures'!$B$5:$AP$31,MATCH('Ultimate - MPM only'!T$4,'Plan Figures'!$B$5:$B$31,0),MATCH('Ultimate - MPM only'!$B93,'Plan Figures'!$B$1:$AP$1,0))</f>
        <v>-</v>
      </c>
      <c r="U93" s="176" t="str">
        <f>INDEX('Plan Figures'!$B$5:$AP$31,MATCH('Ultimate - MPM only'!U$4,'Plan Figures'!$B$5:$B$31,0),MATCH('Ultimate - MPM only'!$B93,'Plan Figures'!$B$1:$AP$1,0))</f>
        <v>-</v>
      </c>
      <c r="V93" s="176" t="str">
        <f>INDEX('Plan Figures'!$B$5:$AP$31,MATCH('Ultimate - MPM only'!V$4,'Plan Figures'!$B$5:$B$31,0),MATCH('Ultimate - MPM only'!$B93,'Plan Figures'!$B$1:$AP$1,0))</f>
        <v>-</v>
      </c>
      <c r="W93" s="176" t="str">
        <f>INDEX('Plan Figures'!$B$5:$AP$31,MATCH('Ultimate - MPM only'!W$4,'Plan Figures'!$B$5:$B$31,0),MATCH('Ultimate - MPM only'!$B93,'Plan Figures'!$B$1:$AP$1,0))</f>
        <v>-</v>
      </c>
      <c r="X93" s="176" t="str">
        <f>INDEX('Plan Figures'!$B$5:$AP$31,MATCH('Ultimate - MPM only'!X$4,'Plan Figures'!$B$5:$B$31,0),MATCH('Ultimate - MPM only'!$B93,'Plan Figures'!$B$1:$AP$1,0))</f>
        <v>-</v>
      </c>
      <c r="Y93" s="176" t="str">
        <f>INDEX('Plan Figures'!$B$5:$AP$31,MATCH('Ultimate - MPM only'!Y$4,'Plan Figures'!$B$5:$B$31,0),MATCH('Ultimate - MPM only'!$B93,'Plan Figures'!$B$1:$AP$1,0))</f>
        <v>-</v>
      </c>
      <c r="Z93" s="176" t="str">
        <f>INDEX('Plan Figures'!$B$5:$AP$31,MATCH('Ultimate - MPM only'!Z$4,'Plan Figures'!$B$5:$B$31,0),MATCH('Ultimate - MPM only'!$B93,'Plan Figures'!$B$1:$AP$1,0))</f>
        <v>-</v>
      </c>
      <c r="AA93" s="176">
        <f>INDEX('Plan Figures'!$B$5:$AP$31,MATCH('Ultimate - MPM only'!AA$4,'Plan Figures'!$B$5:$B$31,0),MATCH('Ultimate - MPM only'!$B93,'Plan Figures'!$B$1:$AP$1,0))</f>
        <v>615.93307879093663</v>
      </c>
      <c r="AB93" s="176">
        <f>INDEX('Plan Figures'!$B$5:$AP$31,MATCH('Ultimate - MPM only'!AB$4,'Plan Figures'!$B$5:$B$31,0),MATCH('Ultimate - MPM only'!$B93,'Plan Figures'!$B$1:$AP$1,0))</f>
        <v>763.72800510730349</v>
      </c>
      <c r="AC93" s="177">
        <f>INDEX('Plan Figures'!$B$5:$AP$31,MATCH('Ultimate - MPM only'!AC$4,'Plan Figures'!$B$5:$B$31,0),MATCH('Ultimate - MPM only'!$B93,'Plan Figures'!$B$1:$AP$1,0))</f>
        <v>833.27735263273371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8">
        <f t="shared" si="85"/>
        <v>737.64614551032457</v>
      </c>
      <c r="AP93" s="176">
        <f t="shared" ref="AP93:AP97" si="86">AVERAGE(R93:AC93)</f>
        <v>737.64614551032457</v>
      </c>
    </row>
    <row r="94" spans="1:45" ht="15.75" hidden="1" outlineLevel="1" x14ac:dyDescent="0.25">
      <c r="B94" t="str">
        <f t="shared" ref="B94:B103" si="87">$D$2</f>
        <v>PC Annual Direct</v>
      </c>
      <c r="C94" t="str">
        <f t="shared" ref="C94:C102" si="88">$C93</f>
        <v>Boom Subscription</v>
      </c>
      <c r="D94" s="179" t="s">
        <v>0</v>
      </c>
      <c r="E94" s="180" t="e">
        <f t="shared" ref="E94:AC94" si="89">E92-E93</f>
        <v>#N/A</v>
      </c>
      <c r="F94" s="180"/>
      <c r="G94" s="180"/>
      <c r="H94" s="180"/>
      <c r="I94" s="180"/>
      <c r="J94" s="180"/>
      <c r="K94" s="180"/>
      <c r="L94" s="180"/>
      <c r="M94" s="180"/>
      <c r="N94" s="180"/>
      <c r="O94" s="180"/>
      <c r="P94" s="180"/>
      <c r="Q94" s="180"/>
      <c r="R94" s="180" t="e">
        <f t="shared" si="89"/>
        <v>#VALUE!</v>
      </c>
      <c r="S94" s="180" t="e">
        <f t="shared" si="89"/>
        <v>#VALUE!</v>
      </c>
      <c r="T94" s="180" t="e">
        <f t="shared" si="89"/>
        <v>#VALUE!</v>
      </c>
      <c r="U94" s="180" t="e">
        <f t="shared" si="89"/>
        <v>#VALUE!</v>
      </c>
      <c r="V94" s="180" t="e">
        <f t="shared" si="89"/>
        <v>#VALUE!</v>
      </c>
      <c r="W94" s="180" t="e">
        <f t="shared" si="89"/>
        <v>#VALUE!</v>
      </c>
      <c r="X94" s="180" t="e">
        <f t="shared" si="89"/>
        <v>#VALUE!</v>
      </c>
      <c r="Y94" s="180" t="e">
        <f t="shared" si="89"/>
        <v>#VALUE!</v>
      </c>
      <c r="Z94" s="180" t="e">
        <f t="shared" si="89"/>
        <v>#VALUE!</v>
      </c>
      <c r="AA94" s="180">
        <f t="shared" si="89"/>
        <v>3271.0669212090634</v>
      </c>
      <c r="AB94" s="180">
        <f t="shared" si="89"/>
        <v>2603.2719948926965</v>
      </c>
      <c r="AC94" s="181">
        <f t="shared" si="89"/>
        <v>1958.7226473672663</v>
      </c>
      <c r="AD94" s="180"/>
      <c r="AE94" s="180"/>
      <c r="AF94" s="180"/>
      <c r="AG94" s="180"/>
      <c r="AH94" s="180"/>
      <c r="AI94" s="180"/>
      <c r="AJ94" s="180"/>
      <c r="AK94" s="180"/>
      <c r="AL94" s="180"/>
      <c r="AM94" s="180"/>
      <c r="AN94" s="180"/>
      <c r="AO94" s="182" t="e">
        <f t="shared" si="85"/>
        <v>#VALUE!</v>
      </c>
      <c r="AP94" s="180" t="e">
        <f t="shared" si="86"/>
        <v>#VALUE!</v>
      </c>
    </row>
    <row r="95" spans="1:45" ht="15.75" hidden="1" outlineLevel="1" x14ac:dyDescent="0.25">
      <c r="B95" t="str">
        <f t="shared" si="87"/>
        <v>PC Annual Direct</v>
      </c>
      <c r="C95" t="str">
        <f t="shared" si="88"/>
        <v>Boom Subscription</v>
      </c>
      <c r="D95" s="9" t="s">
        <v>309</v>
      </c>
      <c r="E95" s="15">
        <v>0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>
        <v>5065071.1928567188</v>
      </c>
      <c r="S95" s="15">
        <v>2602918.5557175679</v>
      </c>
      <c r="T95" s="15">
        <v>3058793.5714276335</v>
      </c>
      <c r="U95" s="15">
        <v>3629516.5942827086</v>
      </c>
      <c r="V95" s="15">
        <v>2884434.6771383779</v>
      </c>
      <c r="W95" s="15">
        <v>2912157.9642843842</v>
      </c>
      <c r="X95" s="15">
        <v>3523662.750002387</v>
      </c>
      <c r="Y95" s="15">
        <v>4105968.3728598249</v>
      </c>
      <c r="Z95" s="15">
        <v>5391594.0471423389</v>
      </c>
      <c r="AA95" s="15">
        <v>7273466.7214334616</v>
      </c>
      <c r="AB95" s="15">
        <v>5434775.6699983915</v>
      </c>
      <c r="AC95" s="16">
        <v>639832.0371454074</v>
      </c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8">
        <f t="shared" si="85"/>
        <v>4684917.1189298993</v>
      </c>
      <c r="AP95" s="6">
        <f t="shared" si="86"/>
        <v>3876849.3461907669</v>
      </c>
    </row>
    <row r="96" spans="1:45" ht="15.75" hidden="1" outlineLevel="1" x14ac:dyDescent="0.25">
      <c r="B96" t="str">
        <f>$D$89&amp;"_NWP"</f>
        <v>PC Annual Direct - Subscription_NWP</v>
      </c>
      <c r="C96" t="str">
        <f t="shared" si="88"/>
        <v>Boom Subscription</v>
      </c>
      <c r="D96" s="175" t="s">
        <v>6</v>
      </c>
      <c r="E96" s="176" t="e">
        <f>INDEX('Plan Figures'!$B$5:$AP$31,MATCH('Ultimate - MPM only'!E$4,'Plan Figures'!$B$5:$B$31,0),MATCH('Ultimate - MPM only'!$B96,'Plan Figures'!$B$1:$AP$1,0))</f>
        <v>#N/A</v>
      </c>
      <c r="F96" s="176"/>
      <c r="G96" s="176"/>
      <c r="H96" s="176"/>
      <c r="I96" s="176"/>
      <c r="J96" s="176"/>
      <c r="K96" s="176"/>
      <c r="L96" s="176"/>
      <c r="M96" s="176"/>
      <c r="N96" s="176"/>
      <c r="O96" s="176"/>
      <c r="P96" s="176"/>
      <c r="Q96" s="176"/>
      <c r="R96" s="176" t="str">
        <f>INDEX('Plan Figures'!$B$5:$AP$31,MATCH('Ultimate - MPM only'!R$4,'Plan Figures'!$B$5:$B$31,0),MATCH('Ultimate - MPM only'!$B96,'Plan Figures'!$B$1:$AP$1,0))</f>
        <v>-</v>
      </c>
      <c r="S96" s="176" t="str">
        <f>INDEX('Plan Figures'!$B$5:$AP$31,MATCH('Ultimate - MPM only'!S$4,'Plan Figures'!$B$5:$B$31,0),MATCH('Ultimate - MPM only'!$B96,'Plan Figures'!$B$1:$AP$1,0))</f>
        <v>-</v>
      </c>
      <c r="T96" s="176" t="str">
        <f>INDEX('Plan Figures'!$B$5:$AP$31,MATCH('Ultimate - MPM only'!T$4,'Plan Figures'!$B$5:$B$31,0),MATCH('Ultimate - MPM only'!$B96,'Plan Figures'!$B$1:$AP$1,0))</f>
        <v>-</v>
      </c>
      <c r="U96" s="176" t="str">
        <f>INDEX('Plan Figures'!$B$5:$AP$31,MATCH('Ultimate - MPM only'!U$4,'Plan Figures'!$B$5:$B$31,0),MATCH('Ultimate - MPM only'!$B96,'Plan Figures'!$B$1:$AP$1,0))</f>
        <v>-</v>
      </c>
      <c r="V96" s="176" t="str">
        <f>INDEX('Plan Figures'!$B$5:$AP$31,MATCH('Ultimate - MPM only'!V$4,'Plan Figures'!$B$5:$B$31,0),MATCH('Ultimate - MPM only'!$B96,'Plan Figures'!$B$1:$AP$1,0))</f>
        <v>-</v>
      </c>
      <c r="W96" s="176" t="str">
        <f>INDEX('Plan Figures'!$B$5:$AP$31,MATCH('Ultimate - MPM only'!W$4,'Plan Figures'!$B$5:$B$31,0),MATCH('Ultimate - MPM only'!$B96,'Plan Figures'!$B$1:$AP$1,0))</f>
        <v>-</v>
      </c>
      <c r="X96" s="176" t="str">
        <f>INDEX('Plan Figures'!$B$5:$AP$31,MATCH('Ultimate - MPM only'!X$4,'Plan Figures'!$B$5:$B$31,0),MATCH('Ultimate - MPM only'!$B96,'Plan Figures'!$B$1:$AP$1,0))</f>
        <v>-</v>
      </c>
      <c r="Y96" s="176" t="str">
        <f>INDEX('Plan Figures'!$B$5:$AP$31,MATCH('Ultimate - MPM only'!Y$4,'Plan Figures'!$B$5:$B$31,0),MATCH('Ultimate - MPM only'!$B96,'Plan Figures'!$B$1:$AP$1,0))</f>
        <v>-</v>
      </c>
      <c r="Z96" s="176" t="str">
        <f>INDEX('Plan Figures'!$B$5:$AP$31,MATCH('Ultimate - MPM only'!Z$4,'Plan Figures'!$B$5:$B$31,0),MATCH('Ultimate - MPM only'!$B96,'Plan Figures'!$B$1:$AP$1,0))</f>
        <v>-</v>
      </c>
      <c r="AA96" s="176">
        <f>INDEX('Plan Figures'!$B$5:$AP$31,MATCH('Ultimate - MPM only'!AA$4,'Plan Figures'!$B$5:$B$31,0),MATCH('Ultimate - MPM only'!$B96,'Plan Figures'!$B$1:$AP$1,0))</f>
        <v>1811220.2312349698</v>
      </c>
      <c r="AB96" s="176">
        <f>INDEX('Plan Figures'!$B$5:$AP$31,MATCH('Ultimate - MPM only'!AB$4,'Plan Figures'!$B$5:$B$31,0),MATCH('Ultimate - MPM only'!$B96,'Plan Figures'!$B$1:$AP$1,0))</f>
        <v>1916096.3475731572</v>
      </c>
      <c r="AC96" s="177">
        <f>INDEX('Plan Figures'!$B$5:$AP$31,MATCH('Ultimate - MPM only'!AC$4,'Plan Figures'!$B$5:$B$31,0),MATCH('Ultimate - MPM only'!$B96,'Plan Figures'!$B$1:$AP$1,0))</f>
        <v>2026245.4879278806</v>
      </c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8">
        <f t="shared" si="85"/>
        <v>1917854.0222453356</v>
      </c>
      <c r="AP96" s="176">
        <f t="shared" si="86"/>
        <v>1917854.0222453356</v>
      </c>
    </row>
    <row r="97" spans="2:43" ht="15.75" hidden="1" outlineLevel="1" x14ac:dyDescent="0.25">
      <c r="B97" t="str">
        <f t="shared" si="87"/>
        <v>PC Annual Direct</v>
      </c>
      <c r="C97" t="str">
        <f t="shared" si="88"/>
        <v>Boom Subscription</v>
      </c>
      <c r="D97" s="179" t="s">
        <v>0</v>
      </c>
      <c r="E97" s="180" t="e">
        <f t="shared" ref="E97:AC97" si="90">E95-E96</f>
        <v>#N/A</v>
      </c>
      <c r="F97" s="180"/>
      <c r="G97" s="180"/>
      <c r="H97" s="180"/>
      <c r="I97" s="180"/>
      <c r="J97" s="180"/>
      <c r="K97" s="180"/>
      <c r="L97" s="180"/>
      <c r="M97" s="180"/>
      <c r="N97" s="180"/>
      <c r="O97" s="180"/>
      <c r="P97" s="180"/>
      <c r="Q97" s="180"/>
      <c r="R97" s="180" t="e">
        <f t="shared" si="90"/>
        <v>#VALUE!</v>
      </c>
      <c r="S97" s="180" t="e">
        <f t="shared" si="90"/>
        <v>#VALUE!</v>
      </c>
      <c r="T97" s="180" t="e">
        <f t="shared" si="90"/>
        <v>#VALUE!</v>
      </c>
      <c r="U97" s="180" t="e">
        <f t="shared" si="90"/>
        <v>#VALUE!</v>
      </c>
      <c r="V97" s="180" t="e">
        <f t="shared" si="90"/>
        <v>#VALUE!</v>
      </c>
      <c r="W97" s="180" t="e">
        <f t="shared" si="90"/>
        <v>#VALUE!</v>
      </c>
      <c r="X97" s="180" t="e">
        <f t="shared" si="90"/>
        <v>#VALUE!</v>
      </c>
      <c r="Y97" s="180" t="e">
        <f t="shared" si="90"/>
        <v>#VALUE!</v>
      </c>
      <c r="Z97" s="180" t="e">
        <f t="shared" si="90"/>
        <v>#VALUE!</v>
      </c>
      <c r="AA97" s="180">
        <f t="shared" si="90"/>
        <v>5462246.4901984921</v>
      </c>
      <c r="AB97" s="180">
        <f t="shared" si="90"/>
        <v>3518679.3224252341</v>
      </c>
      <c r="AC97" s="181">
        <f t="shared" si="90"/>
        <v>-1386413.4507824732</v>
      </c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2" t="e">
        <f t="shared" si="85"/>
        <v>#VALUE!</v>
      </c>
      <c r="AP97" s="180" t="e">
        <f t="shared" si="86"/>
        <v>#VALUE!</v>
      </c>
    </row>
    <row r="98" spans="2:43" ht="15.75" hidden="1" outlineLevel="1" x14ac:dyDescent="0.25">
      <c r="B98" t="str">
        <f t="shared" si="87"/>
        <v>PC Annual Direct</v>
      </c>
      <c r="C98" t="str">
        <f t="shared" si="88"/>
        <v>Boom Subscription</v>
      </c>
      <c r="D98" s="9" t="s">
        <v>310</v>
      </c>
      <c r="E98" s="15">
        <f>IFERROR(E95/E92,0)</f>
        <v>0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>
        <f t="shared" ref="R98:AP99" si="91">IFERROR(R95/R92,0)</f>
        <v>2259.1753759396606</v>
      </c>
      <c r="S98" s="15">
        <f t="shared" si="91"/>
        <v>1050.4110394340469</v>
      </c>
      <c r="T98" s="15">
        <f t="shared" si="91"/>
        <v>1401.1880766961217</v>
      </c>
      <c r="U98" s="15">
        <f t="shared" si="91"/>
        <v>1263.7592598477397</v>
      </c>
      <c r="V98" s="15">
        <f t="shared" si="91"/>
        <v>1571.0428524718834</v>
      </c>
      <c r="W98" s="15">
        <f t="shared" si="91"/>
        <v>1625.9955132799464</v>
      </c>
      <c r="X98" s="15">
        <f t="shared" si="91"/>
        <v>1762.7127313668768</v>
      </c>
      <c r="Y98" s="15">
        <f t="shared" si="91"/>
        <v>2026.6378938103776</v>
      </c>
      <c r="Z98" s="15">
        <f t="shared" si="91"/>
        <v>1747.114078788833</v>
      </c>
      <c r="AA98" s="15">
        <f t="shared" si="91"/>
        <v>1871.2288966898539</v>
      </c>
      <c r="AB98" s="15">
        <f t="shared" si="91"/>
        <v>1614.1299881195105</v>
      </c>
      <c r="AC98" s="16">
        <f t="shared" si="91"/>
        <v>229.16620241597687</v>
      </c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8">
        <f t="shared" si="91"/>
        <v>1427.023185784313</v>
      </c>
      <c r="AP98" s="6">
        <f t="shared" si="91"/>
        <v>1522.3728575637031</v>
      </c>
    </row>
    <row r="99" spans="2:43" ht="15.75" hidden="1" outlineLevel="1" x14ac:dyDescent="0.25">
      <c r="B99" t="str">
        <f t="shared" si="87"/>
        <v>PC Annual Direct</v>
      </c>
      <c r="C99" t="str">
        <f t="shared" si="88"/>
        <v>Boom Subscription</v>
      </c>
      <c r="D99" s="175" t="s">
        <v>13</v>
      </c>
      <c r="E99" s="176">
        <f>IFERROR(E96/E93,0)</f>
        <v>0</v>
      </c>
      <c r="F99" s="176"/>
      <c r="G99" s="176"/>
      <c r="H99" s="176"/>
      <c r="I99" s="176"/>
      <c r="J99" s="176"/>
      <c r="K99" s="176"/>
      <c r="L99" s="176"/>
      <c r="M99" s="176"/>
      <c r="N99" s="176"/>
      <c r="O99" s="176"/>
      <c r="P99" s="176"/>
      <c r="Q99" s="176"/>
      <c r="R99" s="176">
        <f t="shared" si="91"/>
        <v>0</v>
      </c>
      <c r="S99" s="176">
        <f t="shared" si="91"/>
        <v>0</v>
      </c>
      <c r="T99" s="176">
        <f t="shared" si="91"/>
        <v>0</v>
      </c>
      <c r="U99" s="176">
        <f t="shared" si="91"/>
        <v>0</v>
      </c>
      <c r="V99" s="176">
        <f t="shared" si="91"/>
        <v>0</v>
      </c>
      <c r="W99" s="176">
        <f t="shared" si="91"/>
        <v>0</v>
      </c>
      <c r="X99" s="176">
        <f t="shared" si="91"/>
        <v>0</v>
      </c>
      <c r="Y99" s="176">
        <f t="shared" si="91"/>
        <v>0</v>
      </c>
      <c r="Z99" s="176">
        <f t="shared" si="91"/>
        <v>0</v>
      </c>
      <c r="AA99" s="176">
        <f t="shared" si="91"/>
        <v>2940.6120463449633</v>
      </c>
      <c r="AB99" s="176">
        <f t="shared" si="91"/>
        <v>2508.8727069841393</v>
      </c>
      <c r="AC99" s="177">
        <f t="shared" si="91"/>
        <v>2431.6579366113488</v>
      </c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8">
        <f t="shared" si="91"/>
        <v>2599.9648122861263</v>
      </c>
      <c r="AP99" s="176">
        <f t="shared" si="91"/>
        <v>2599.9648122861263</v>
      </c>
      <c r="AQ99" s="3"/>
    </row>
    <row r="100" spans="2:43" ht="15.75" hidden="1" outlineLevel="1" x14ac:dyDescent="0.25">
      <c r="B100" t="str">
        <f t="shared" si="87"/>
        <v>PC Annual Direct</v>
      </c>
      <c r="C100" t="str">
        <f t="shared" si="88"/>
        <v>Boom Subscription</v>
      </c>
      <c r="D100" s="179" t="s">
        <v>0</v>
      </c>
      <c r="E100" s="180">
        <f t="shared" ref="E100:AP100" si="92">E98-E99</f>
        <v>0</v>
      </c>
      <c r="F100" s="180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>
        <f t="shared" si="92"/>
        <v>2259.1753759396606</v>
      </c>
      <c r="S100" s="180">
        <f t="shared" si="92"/>
        <v>1050.4110394340469</v>
      </c>
      <c r="T100" s="180">
        <f t="shared" si="92"/>
        <v>1401.1880766961217</v>
      </c>
      <c r="U100" s="180">
        <f t="shared" si="92"/>
        <v>1263.7592598477397</v>
      </c>
      <c r="V100" s="180">
        <f t="shared" si="92"/>
        <v>1571.0428524718834</v>
      </c>
      <c r="W100" s="180">
        <f t="shared" si="92"/>
        <v>1625.9955132799464</v>
      </c>
      <c r="X100" s="180">
        <f t="shared" si="92"/>
        <v>1762.7127313668768</v>
      </c>
      <c r="Y100" s="180">
        <f t="shared" si="92"/>
        <v>2026.6378938103776</v>
      </c>
      <c r="Z100" s="180">
        <f t="shared" si="92"/>
        <v>1747.114078788833</v>
      </c>
      <c r="AA100" s="180">
        <f t="shared" si="92"/>
        <v>-1069.3831496551095</v>
      </c>
      <c r="AB100" s="180">
        <f t="shared" si="92"/>
        <v>-894.74271886462884</v>
      </c>
      <c r="AC100" s="181">
        <f t="shared" si="92"/>
        <v>-2202.4917341953719</v>
      </c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2">
        <f t="shared" si="92"/>
        <v>-1172.9416265018133</v>
      </c>
      <c r="AP100" s="180">
        <f t="shared" si="92"/>
        <v>-1077.5919547224232</v>
      </c>
    </row>
    <row r="101" spans="2:43" hidden="1" outlineLevel="1" x14ac:dyDescent="0.25">
      <c r="B101" t="str">
        <f t="shared" si="87"/>
        <v>PC Annual Direct</v>
      </c>
      <c r="C101" t="str">
        <f t="shared" si="88"/>
        <v>Boom Subscription</v>
      </c>
      <c r="D101" s="35" t="s">
        <v>17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7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8"/>
      <c r="AP101" s="39"/>
    </row>
    <row r="102" spans="2:43" ht="15.75" hidden="1" outlineLevel="1" x14ac:dyDescent="0.25">
      <c r="B102" t="str">
        <f t="shared" si="87"/>
        <v>PC Annual Direct</v>
      </c>
      <c r="C102" t="str">
        <f t="shared" si="88"/>
        <v>Boom Subscription</v>
      </c>
      <c r="D102" s="5" t="s">
        <v>311</v>
      </c>
      <c r="E102" s="6">
        <v>0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>
        <v>2134583.1964307697</v>
      </c>
      <c r="S102" s="6">
        <v>2096692.0178588463</v>
      </c>
      <c r="T102" s="6">
        <v>1957264.2857113734</v>
      </c>
      <c r="U102" s="6">
        <v>2579980.8392826831</v>
      </c>
      <c r="V102" s="6">
        <v>2283188.6785669695</v>
      </c>
      <c r="W102" s="6">
        <v>2643649.982142264</v>
      </c>
      <c r="X102" s="6">
        <v>3053209.8750027283</v>
      </c>
      <c r="Y102" s="6">
        <v>3182200.4464298943</v>
      </c>
      <c r="Z102" s="6">
        <v>4370840.3035705909</v>
      </c>
      <c r="AA102" s="6">
        <v>5225971.6607123222</v>
      </c>
      <c r="AB102" s="6">
        <v>4614303.3749993565</v>
      </c>
      <c r="AC102" s="6">
        <v>3740102.6785750035</v>
      </c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8">
        <f t="shared" ref="AO102" si="93">AVERAGE(Z102:AC102)</f>
        <v>4487804.504464319</v>
      </c>
      <c r="AP102" s="6">
        <f>AVERAGE(R102:AC102)</f>
        <v>3156832.2782735671</v>
      </c>
    </row>
    <row r="103" spans="2:43" ht="15.75" hidden="1" outlineLevel="1" x14ac:dyDescent="0.25">
      <c r="B103" t="str">
        <f t="shared" si="87"/>
        <v>PC Annual Direct</v>
      </c>
      <c r="C103" t="e">
        <f>#REF!</f>
        <v>#REF!</v>
      </c>
      <c r="D103" s="45" t="s">
        <v>21</v>
      </c>
      <c r="E103" s="41" t="e">
        <f>E95/E$8</f>
        <v>#DIV/0!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 t="e">
        <f t="shared" ref="R103:AP103" si="94">R95/R$8</f>
        <v>#DIV/0!</v>
      </c>
      <c r="S103" s="41" t="e">
        <f t="shared" si="94"/>
        <v>#DIV/0!</v>
      </c>
      <c r="T103" s="41" t="e">
        <f t="shared" si="94"/>
        <v>#DIV/0!</v>
      </c>
      <c r="U103" s="41">
        <f t="shared" si="94"/>
        <v>74.507828326252834</v>
      </c>
      <c r="V103" s="41">
        <f t="shared" si="94"/>
        <v>2.4350815804938657</v>
      </c>
      <c r="W103" s="41">
        <f t="shared" si="94"/>
        <v>2.2328270951996414</v>
      </c>
      <c r="X103" s="41">
        <f t="shared" si="94"/>
        <v>2.0904038479227722</v>
      </c>
      <c r="Y103" s="41">
        <f t="shared" si="94"/>
        <v>2.133123168872348</v>
      </c>
      <c r="Z103" s="41">
        <f t="shared" si="94"/>
        <v>2.1669800986683163</v>
      </c>
      <c r="AA103" s="41">
        <f t="shared" si="94"/>
        <v>2.1989128540901492</v>
      </c>
      <c r="AB103" s="41">
        <f t="shared" si="94"/>
        <v>1.6374966795003003</v>
      </c>
      <c r="AC103" s="41">
        <f t="shared" si="94"/>
        <v>0.18158321485615445</v>
      </c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4">
        <f t="shared" si="94"/>
        <v>1.4827555258911393</v>
      </c>
      <c r="AP103" s="41">
        <f t="shared" si="94"/>
        <v>2.4763760655093505</v>
      </c>
    </row>
    <row r="104" spans="2:43" hidden="1" outlineLevel="1" x14ac:dyDescent="0.25"/>
  </sheetData>
  <mergeCells count="9">
    <mergeCell ref="T89:AC89"/>
    <mergeCell ref="E90:AC90"/>
    <mergeCell ref="AO90:AP90"/>
    <mergeCell ref="AO3:AQ3"/>
    <mergeCell ref="AO22:AQ22"/>
    <mergeCell ref="AO39:AQ39"/>
    <mergeCell ref="AO56:AQ56"/>
    <mergeCell ref="AO73:AQ73"/>
    <mergeCell ref="T88:AC88"/>
  </mergeCells>
  <conditionalFormatting sqref="E16:AN16">
    <cfRule type="cellIs" dxfId="137" priority="21" operator="lessThan">
      <formula>0</formula>
    </cfRule>
  </conditionalFormatting>
  <conditionalFormatting sqref="E18:AN18">
    <cfRule type="cellIs" dxfId="136" priority="20" operator="lessThan">
      <formula>0</formula>
    </cfRule>
  </conditionalFormatting>
  <conditionalFormatting sqref="E32:AN32">
    <cfRule type="cellIs" dxfId="135" priority="19" operator="lessThan">
      <formula>0</formula>
    </cfRule>
  </conditionalFormatting>
  <conditionalFormatting sqref="E49:AN49">
    <cfRule type="cellIs" dxfId="134" priority="8" operator="lessThan">
      <formula>0</formula>
    </cfRule>
  </conditionalFormatting>
  <conditionalFormatting sqref="E66:AN66">
    <cfRule type="cellIs" dxfId="133" priority="4" operator="lessThan">
      <formula>0</formula>
    </cfRule>
  </conditionalFormatting>
  <conditionalFormatting sqref="E83:AN83">
    <cfRule type="cellIs" dxfId="132" priority="12" operator="lessThan">
      <formula>0</formula>
    </cfRule>
  </conditionalFormatting>
  <conditionalFormatting sqref="E94:AN95 E97:AN100">
    <cfRule type="cellIs" dxfId="131" priority="24" operator="lessThan">
      <formula>0</formula>
    </cfRule>
  </conditionalFormatting>
  <conditionalFormatting sqref="E102:AN102">
    <cfRule type="cellIs" dxfId="130" priority="22" operator="lessThan">
      <formula>0</formula>
    </cfRule>
  </conditionalFormatting>
  <conditionalFormatting sqref="E7:AQ7">
    <cfRule type="cellIs" dxfId="129" priority="18" operator="lessThan">
      <formula>0</formula>
    </cfRule>
  </conditionalFormatting>
  <conditionalFormatting sqref="E10:AQ10 E13:AQ13">
    <cfRule type="cellIs" dxfId="128" priority="17" operator="lessThan">
      <formula>0</formula>
    </cfRule>
  </conditionalFormatting>
  <conditionalFormatting sqref="E26:AQ26">
    <cfRule type="cellIs" dxfId="127" priority="15" operator="lessThan">
      <formula>0</formula>
    </cfRule>
  </conditionalFormatting>
  <conditionalFormatting sqref="E29:AQ29">
    <cfRule type="cellIs" dxfId="126" priority="14" operator="lessThan">
      <formula>0</formula>
    </cfRule>
  </conditionalFormatting>
  <conditionalFormatting sqref="E43:AQ43">
    <cfRule type="cellIs" dxfId="125" priority="7" operator="lessThan">
      <formula>0</formula>
    </cfRule>
  </conditionalFormatting>
  <conditionalFormatting sqref="E46:AQ46">
    <cfRule type="cellIs" dxfId="124" priority="6" operator="lessThan">
      <formula>0</formula>
    </cfRule>
  </conditionalFormatting>
  <conditionalFormatting sqref="E60:AQ60">
    <cfRule type="cellIs" dxfId="123" priority="3" operator="lessThan">
      <formula>0</formula>
    </cfRule>
  </conditionalFormatting>
  <conditionalFormatting sqref="E63:AQ63">
    <cfRule type="cellIs" dxfId="122" priority="2" operator="lessThan">
      <formula>0</formula>
    </cfRule>
  </conditionalFormatting>
  <conditionalFormatting sqref="E77:AQ77">
    <cfRule type="cellIs" dxfId="121" priority="11" operator="lessThan">
      <formula>0</formula>
    </cfRule>
  </conditionalFormatting>
  <conditionalFormatting sqref="E80:AQ80">
    <cfRule type="cellIs" dxfId="120" priority="10" operator="lessThan">
      <formula>0</formula>
    </cfRule>
  </conditionalFormatting>
  <conditionalFormatting sqref="AO94:AP94 AO97:AP97 AO100:AP101">
    <cfRule type="cellIs" dxfId="119" priority="23" operator="lessThan">
      <formula>0</formula>
    </cfRule>
  </conditionalFormatting>
  <conditionalFormatting sqref="AO16:AQ17">
    <cfRule type="cellIs" dxfId="118" priority="16" operator="lessThan">
      <formula>0</formula>
    </cfRule>
  </conditionalFormatting>
  <conditionalFormatting sqref="AO32:AQ33">
    <cfRule type="cellIs" dxfId="117" priority="13" operator="lessThan">
      <formula>0</formula>
    </cfRule>
  </conditionalFormatting>
  <conditionalFormatting sqref="AO49:AQ50">
    <cfRule type="cellIs" dxfId="116" priority="5" operator="lessThan">
      <formula>0</formula>
    </cfRule>
  </conditionalFormatting>
  <conditionalFormatting sqref="AO66:AQ67">
    <cfRule type="cellIs" dxfId="115" priority="1" operator="lessThan">
      <formula>0</formula>
    </cfRule>
  </conditionalFormatting>
  <conditionalFormatting sqref="AO83:AQ84">
    <cfRule type="cellIs" dxfId="114" priority="9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51C74-0453-4E14-9E4B-3EE21403FEFE}">
  <dimension ref="A1:U57"/>
  <sheetViews>
    <sheetView workbookViewId="0">
      <selection activeCell="F11" sqref="F11"/>
    </sheetView>
  </sheetViews>
  <sheetFormatPr defaultRowHeight="15" x14ac:dyDescent="0.25"/>
  <cols>
    <col min="1" max="1" width="16.28515625" customWidth="1"/>
    <col min="3" max="3" width="16.140625" style="101" bestFit="1" customWidth="1"/>
    <col min="4" max="5" width="12.28515625" style="101" customWidth="1"/>
    <col min="6" max="6" width="12.7109375" style="101" customWidth="1"/>
    <col min="7" max="9" width="9.140625" style="101"/>
    <col min="10" max="10" width="11.28515625" style="101" customWidth="1"/>
    <col min="11" max="11" width="11.140625" style="101" customWidth="1"/>
    <col min="12" max="12" width="13.140625" customWidth="1"/>
    <col min="13" max="13" width="12" customWidth="1"/>
    <col min="14" max="14" width="11.5703125" customWidth="1"/>
    <col min="15" max="15" width="12.42578125" customWidth="1"/>
    <col min="16" max="21" width="16.7109375" customWidth="1"/>
  </cols>
  <sheetData>
    <row r="1" spans="2:21" x14ac:dyDescent="0.25">
      <c r="C1" s="514" t="s">
        <v>243</v>
      </c>
      <c r="D1" s="514"/>
      <c r="E1" s="514"/>
      <c r="F1" s="514"/>
      <c r="G1" s="514"/>
      <c r="H1" s="514"/>
      <c r="J1" s="514" t="s">
        <v>244</v>
      </c>
      <c r="K1" s="514"/>
      <c r="L1" s="514"/>
      <c r="M1" s="514"/>
      <c r="N1" s="514"/>
      <c r="O1" s="514"/>
      <c r="P1" s="514"/>
      <c r="Q1" s="514"/>
      <c r="R1" s="514"/>
      <c r="S1" s="514"/>
      <c r="T1" s="514"/>
      <c r="U1" s="514"/>
    </row>
    <row r="3" spans="2:21" x14ac:dyDescent="0.25">
      <c r="C3" s="101" t="s">
        <v>253</v>
      </c>
      <c r="D3" s="101" t="s">
        <v>253</v>
      </c>
      <c r="E3" t="s">
        <v>72</v>
      </c>
      <c r="F3" t="s">
        <v>72</v>
      </c>
      <c r="J3" s="141" t="s">
        <v>253</v>
      </c>
      <c r="K3" s="142" t="s">
        <v>253</v>
      </c>
      <c r="L3" s="142" t="s">
        <v>253</v>
      </c>
      <c r="M3" s="141" t="s">
        <v>253</v>
      </c>
      <c r="N3" s="142" t="s">
        <v>253</v>
      </c>
      <c r="O3" s="143" t="s">
        <v>253</v>
      </c>
      <c r="P3" s="141" t="s">
        <v>72</v>
      </c>
      <c r="Q3" s="142" t="s">
        <v>72</v>
      </c>
      <c r="R3" s="143" t="s">
        <v>72</v>
      </c>
      <c r="S3" s="141" t="s">
        <v>72</v>
      </c>
      <c r="T3" s="142" t="s">
        <v>72</v>
      </c>
      <c r="U3" s="143" t="s">
        <v>72</v>
      </c>
    </row>
    <row r="4" spans="2:21" s="144" customFormat="1" ht="30" x14ac:dyDescent="0.25">
      <c r="C4" s="144" t="s">
        <v>295</v>
      </c>
      <c r="D4" s="144" t="s">
        <v>296</v>
      </c>
      <c r="E4" s="144" t="s">
        <v>297</v>
      </c>
      <c r="F4" s="144" t="s">
        <v>298</v>
      </c>
      <c r="J4" s="145" t="s">
        <v>245</v>
      </c>
      <c r="K4" s="146" t="s">
        <v>245</v>
      </c>
      <c r="L4" s="146" t="s">
        <v>245</v>
      </c>
      <c r="M4" s="145" t="s">
        <v>246</v>
      </c>
      <c r="N4" s="146" t="s">
        <v>246</v>
      </c>
      <c r="O4" s="147" t="s">
        <v>246</v>
      </c>
      <c r="P4" s="145" t="s">
        <v>245</v>
      </c>
      <c r="Q4" s="146" t="s">
        <v>245</v>
      </c>
      <c r="R4" s="147" t="s">
        <v>245</v>
      </c>
      <c r="S4" s="145" t="s">
        <v>246</v>
      </c>
      <c r="T4" s="146" t="s">
        <v>246</v>
      </c>
      <c r="U4" s="147" t="s">
        <v>246</v>
      </c>
    </row>
    <row r="5" spans="2:21" s="146" customFormat="1" ht="34.5" customHeight="1" x14ac:dyDescent="0.25">
      <c r="B5" s="146" t="s">
        <v>247</v>
      </c>
      <c r="C5" s="146" t="s">
        <v>245</v>
      </c>
      <c r="D5" s="146" t="s">
        <v>246</v>
      </c>
      <c r="E5" s="146" t="s">
        <v>245</v>
      </c>
      <c r="F5" s="146" t="s">
        <v>246</v>
      </c>
      <c r="H5" s="148" t="s">
        <v>248</v>
      </c>
      <c r="I5" s="148" t="s">
        <v>249</v>
      </c>
      <c r="J5" s="149" t="s">
        <v>250</v>
      </c>
      <c r="K5" s="148" t="s">
        <v>251</v>
      </c>
      <c r="L5" s="148" t="s">
        <v>252</v>
      </c>
      <c r="M5" s="149" t="s">
        <v>250</v>
      </c>
      <c r="N5" s="148" t="s">
        <v>251</v>
      </c>
      <c r="O5" s="150" t="s">
        <v>252</v>
      </c>
      <c r="P5" s="149" t="s">
        <v>250</v>
      </c>
      <c r="Q5" s="148" t="s">
        <v>251</v>
      </c>
      <c r="R5" s="150" t="s">
        <v>252</v>
      </c>
      <c r="S5" s="149" t="s">
        <v>250</v>
      </c>
      <c r="T5" s="148" t="s">
        <v>251</v>
      </c>
      <c r="U5" s="150" t="s">
        <v>252</v>
      </c>
    </row>
    <row r="6" spans="2:21" x14ac:dyDescent="0.25">
      <c r="B6">
        <v>1</v>
      </c>
      <c r="C6" s="151">
        <v>1.0098648321577892</v>
      </c>
      <c r="D6" s="151">
        <v>1.0049410430650461</v>
      </c>
      <c r="E6" s="151">
        <v>1.0507106627584795</v>
      </c>
      <c r="F6" s="151">
        <v>1.0654813329850839</v>
      </c>
      <c r="H6" s="101">
        <v>0.25</v>
      </c>
      <c r="I6" s="101">
        <v>1</v>
      </c>
      <c r="J6" s="152" cm="1">
        <f t="array" aca="1" ref="J6:K6" ca="1">LINEST(OFFSET($C$7:$C$8,MAX(ROUNDDOWN($H6-1,0),0),0),OFFSET($B$7:$B$8,MAX(ROUNDDOWN($H6-1,0),0),0))</f>
        <v>-9.8005379900945044E-4</v>
      </c>
      <c r="K6" s="151">
        <f ca="1"/>
        <v>1.0040686166144848</v>
      </c>
      <c r="L6" s="151">
        <f t="shared" ref="L6:L37" ca="1" si="0">K6+J6*$H6</f>
        <v>1.0038236031647325</v>
      </c>
      <c r="M6" s="152" cm="1">
        <f t="array" aca="1" ref="M6:N6" ca="1">LINEST(OFFSET($D$6:$D$7,MAX(ROUNDDOWN($H6-1,0),0),0),OFFSET($B$6:$B$7,MAX(ROUNDDOWN($H6-1,0),0),0))</f>
        <v>-5.931172927020614E-6</v>
      </c>
      <c r="N6" s="151">
        <f ca="1"/>
        <v>1.0049469742379731</v>
      </c>
      <c r="O6" s="151">
        <f t="shared" ref="O6:O37" ca="1" si="1">N6+M6*$H6</f>
        <v>1.0049454914447413</v>
      </c>
      <c r="P6" s="152" cm="1">
        <f t="array" aca="1" ref="P6:Q6" ca="1">LINEST(OFFSET($E$6:$E$7,MAX(ROUNDDOWN($H6-1,0),0),0),OFFSET($B$6:$B$7,MAX(ROUNDDOWN($H6-1,0),0),0))</f>
        <v>-1.1807927183487443E-2</v>
      </c>
      <c r="Q6" s="151">
        <f ca="1"/>
        <v>1.0625185899419669</v>
      </c>
      <c r="R6" s="151">
        <f t="shared" ref="R6:R37" ca="1" si="2">Q6+P6*$H6</f>
        <v>1.059566608146095</v>
      </c>
      <c r="S6" s="152" cm="1">
        <f t="array" aca="1" ref="S6:T6" ca="1">LINEST(OFFSET($F$6:$F$7,MAX(ROUNDDOWN($H6-1,0),0),0),OFFSET($B$6:$B$7,MAX(ROUNDDOWN($H6-1,0),0),0))</f>
        <v>-1.254462583176208E-2</v>
      </c>
      <c r="T6" s="151">
        <f ca="1"/>
        <v>1.0780259588168459</v>
      </c>
      <c r="U6" s="151">
        <f t="shared" ref="U6:U37" ca="1" si="3">T6+S6*$H6</f>
        <v>1.0748898023589053</v>
      </c>
    </row>
    <row r="7" spans="2:21" x14ac:dyDescent="0.25">
      <c r="B7">
        <v>2</v>
      </c>
      <c r="C7" s="151">
        <v>1.0021085090164659</v>
      </c>
      <c r="D7" s="151">
        <v>1.004935111892119</v>
      </c>
      <c r="E7" s="151">
        <v>1.038902735574992</v>
      </c>
      <c r="F7" s="151">
        <v>1.0529367071533218</v>
      </c>
      <c r="H7" s="101">
        <f t="shared" ref="H7:H57" si="4">H6+0.25</f>
        <v>0.5</v>
      </c>
      <c r="I7" s="101">
        <f t="shared" ref="I7:I57" si="5">I6+1</f>
        <v>2</v>
      </c>
      <c r="J7" s="152" cm="1">
        <f t="array" aca="1" ref="J7:K7" ca="1">LINEST(OFFSET($C$7:$C$8,MAX(ROUNDDOWN($H7-1,0),0),0),OFFSET($B$7:$B$8,MAX(ROUNDDOWN($H7-1,0),0),0))</f>
        <v>-9.8005379900945044E-4</v>
      </c>
      <c r="K7" s="151">
        <f ca="1"/>
        <v>1.0040686166144848</v>
      </c>
      <c r="L7" s="151">
        <f t="shared" ca="1" si="0"/>
        <v>1.00357858971498</v>
      </c>
      <c r="M7" s="152" cm="1">
        <f t="array" aca="1" ref="M7:N7" ca="1">LINEST(OFFSET($D$6:$D$7,MAX(ROUNDDOWN($H7-1,0),0),0),OFFSET($B$6:$B$7,MAX(ROUNDDOWN($H7-1,0),0),0))</f>
        <v>-5.931172927020614E-6</v>
      </c>
      <c r="N7" s="151">
        <f ca="1"/>
        <v>1.0049469742379731</v>
      </c>
      <c r="O7" s="151">
        <f t="shared" ca="1" si="1"/>
        <v>1.0049440086515096</v>
      </c>
      <c r="P7" s="152" cm="1">
        <f t="array" aca="1" ref="P7:Q7" ca="1">LINEST(OFFSET($E$6:$E$7,MAX(ROUNDDOWN($H7-1,0),0),0),OFFSET($B$6:$B$7,MAX(ROUNDDOWN($H7-1,0),0),0))</f>
        <v>-1.1807927183487443E-2</v>
      </c>
      <c r="Q7" s="151">
        <f ca="1"/>
        <v>1.0625185899419669</v>
      </c>
      <c r="R7" s="151">
        <f t="shared" ca="1" si="2"/>
        <v>1.0566146263502232</v>
      </c>
      <c r="S7" s="152" cm="1">
        <f t="array" aca="1" ref="S7:T7" ca="1">LINEST(OFFSET($F$6:$F$7,MAX(ROUNDDOWN($H7-1,0),0),0),OFFSET($B$6:$B$7,MAX(ROUNDDOWN($H7-1,0),0),0))</f>
        <v>-1.254462583176208E-2</v>
      </c>
      <c r="T7" s="151">
        <f ca="1"/>
        <v>1.0780259588168459</v>
      </c>
      <c r="U7" s="151">
        <f t="shared" ca="1" si="3"/>
        <v>1.0717536459009649</v>
      </c>
    </row>
    <row r="8" spans="2:21" x14ac:dyDescent="0.25">
      <c r="B8">
        <v>3</v>
      </c>
      <c r="C8" s="151">
        <v>1.0011284552174564</v>
      </c>
      <c r="D8" s="151">
        <v>1.0039358947924042</v>
      </c>
      <c r="E8" s="151">
        <v>1.0291172523060228</v>
      </c>
      <c r="F8" s="151">
        <v>1.0422256437097273</v>
      </c>
      <c r="H8" s="101">
        <f t="shared" si="4"/>
        <v>0.75</v>
      </c>
      <c r="I8" s="101">
        <f t="shared" si="5"/>
        <v>3</v>
      </c>
      <c r="J8" s="152" cm="1">
        <f t="array" aca="1" ref="J8:K8" ca="1">LINEST(OFFSET($C$7:$C$8,MAX(ROUNDDOWN($H8-1,0),0),0),OFFSET($B$7:$B$8,MAX(ROUNDDOWN($H8-1,0),0),0))</f>
        <v>-9.8005379900945044E-4</v>
      </c>
      <c r="K8" s="151">
        <f ca="1"/>
        <v>1.0040686166144848</v>
      </c>
      <c r="L8" s="151">
        <f t="shared" ca="1" si="0"/>
        <v>1.0033335762652276</v>
      </c>
      <c r="M8" s="152" cm="1">
        <f t="array" aca="1" ref="M8:N8" ca="1">LINEST(OFFSET($D$6:$D$7,MAX(ROUNDDOWN($H8-1,0),0),0),OFFSET($B$6:$B$7,MAX(ROUNDDOWN($H8-1,0),0),0))</f>
        <v>-5.931172927020614E-6</v>
      </c>
      <c r="N8" s="151">
        <f ca="1"/>
        <v>1.0049469742379731</v>
      </c>
      <c r="O8" s="151">
        <f t="shared" ca="1" si="1"/>
        <v>1.0049425258582778</v>
      </c>
      <c r="P8" s="152" cm="1">
        <f t="array" aca="1" ref="P8:Q8" ca="1">LINEST(OFFSET($E$6:$E$7,MAX(ROUNDDOWN($H8-1,0),0),0),OFFSET($B$6:$B$7,MAX(ROUNDDOWN($H8-1,0),0),0))</f>
        <v>-1.1807927183487443E-2</v>
      </c>
      <c r="Q8" s="151">
        <f ca="1"/>
        <v>1.0625185899419669</v>
      </c>
      <c r="R8" s="151">
        <f t="shared" ca="1" si="2"/>
        <v>1.0536626445543513</v>
      </c>
      <c r="S8" s="152" cm="1">
        <f t="array" aca="1" ref="S8:T8" ca="1">LINEST(OFFSET($F$6:$F$7,MAX(ROUNDDOWN($H8-1,0),0),0),OFFSET($B$6:$B$7,MAX(ROUNDDOWN($H8-1,0),0),0))</f>
        <v>-1.254462583176208E-2</v>
      </c>
      <c r="T8" s="151">
        <f ca="1"/>
        <v>1.0780259588168459</v>
      </c>
      <c r="U8" s="151">
        <f t="shared" ca="1" si="3"/>
        <v>1.0686174894430245</v>
      </c>
    </row>
    <row r="9" spans="2:21" x14ac:dyDescent="0.25">
      <c r="B9">
        <v>4</v>
      </c>
      <c r="C9" s="151">
        <v>1.0003326164485524</v>
      </c>
      <c r="D9" s="151">
        <v>1.0028636730809626</v>
      </c>
      <c r="E9" s="151">
        <v>1.0217138095163034</v>
      </c>
      <c r="F9" s="151">
        <v>1.0325938305597826</v>
      </c>
      <c r="H9" s="101">
        <f t="shared" si="4"/>
        <v>1</v>
      </c>
      <c r="I9" s="101">
        <f t="shared" si="5"/>
        <v>4</v>
      </c>
      <c r="J9" s="152" cm="1">
        <f t="array" aca="1" ref="J9:K9" ca="1">LINEST(OFFSET($C$7:$C$8,MAX(ROUNDDOWN($H9-1,0),0),0),OFFSET($B$7:$B$8,MAX(ROUNDDOWN($H9-1,0),0),0))</f>
        <v>-9.8005379900945044E-4</v>
      </c>
      <c r="K9" s="151">
        <f ca="1"/>
        <v>1.0040686166144848</v>
      </c>
      <c r="L9" s="151">
        <f t="shared" ca="1" si="0"/>
        <v>1.0030885628154753</v>
      </c>
      <c r="M9" s="152" cm="1">
        <f t="array" aca="1" ref="M9:N9" ca="1">LINEST(OFFSET($D$6:$D$7,MAX(ROUNDDOWN($H9-1,0),0),0),OFFSET($B$6:$B$7,MAX(ROUNDDOWN($H9-1,0),0),0))</f>
        <v>-5.931172927020614E-6</v>
      </c>
      <c r="N9" s="151">
        <f ca="1"/>
        <v>1.0049469742379731</v>
      </c>
      <c r="O9" s="151">
        <f t="shared" ca="1" si="1"/>
        <v>1.0049410430650461</v>
      </c>
      <c r="P9" s="152" cm="1">
        <f t="array" aca="1" ref="P9:Q9" ca="1">LINEST(OFFSET($E$6:$E$7,MAX(ROUNDDOWN($H9-1,0),0),0),OFFSET($B$6:$B$7,MAX(ROUNDDOWN($H9-1,0),0),0))</f>
        <v>-1.1807927183487443E-2</v>
      </c>
      <c r="Q9" s="151">
        <f ca="1"/>
        <v>1.0625185899419669</v>
      </c>
      <c r="R9" s="151">
        <f t="shared" ca="1" si="2"/>
        <v>1.0507106627584795</v>
      </c>
      <c r="S9" s="152" cm="1">
        <f t="array" aca="1" ref="S9:T9" ca="1">LINEST(OFFSET($F$6:$F$7,MAX(ROUNDDOWN($H9-1,0),0),0),OFFSET($B$6:$B$7,MAX(ROUNDDOWN($H9-1,0),0),0))</f>
        <v>-1.254462583176208E-2</v>
      </c>
      <c r="T9" s="151">
        <f ca="1"/>
        <v>1.0780259588168459</v>
      </c>
      <c r="U9" s="151">
        <f t="shared" ca="1" si="3"/>
        <v>1.0654813329850839</v>
      </c>
    </row>
    <row r="10" spans="2:21" x14ac:dyDescent="0.25">
      <c r="B10">
        <v>5</v>
      </c>
      <c r="C10" s="151">
        <v>1.0001067850019076</v>
      </c>
      <c r="D10" s="151">
        <v>1.002400029103562</v>
      </c>
      <c r="E10" s="151">
        <v>1.015150933433411</v>
      </c>
      <c r="F10" s="151">
        <v>1.0243745574694303</v>
      </c>
      <c r="H10" s="101">
        <f t="shared" si="4"/>
        <v>1.25</v>
      </c>
      <c r="I10" s="101">
        <f t="shared" si="5"/>
        <v>5</v>
      </c>
      <c r="J10" s="152" cm="1">
        <f t="array" aca="1" ref="J10:K10" ca="1">LINEST(OFFSET($C$7:$C$8,MAX(ROUNDDOWN($H10-1,0),0),0),OFFSET($B$7:$B$8,MAX(ROUNDDOWN($H10-1,0),0),0))</f>
        <v>-9.8005379900945044E-4</v>
      </c>
      <c r="K10" s="151">
        <f ca="1"/>
        <v>1.0040686166144848</v>
      </c>
      <c r="L10" s="151">
        <f t="shared" ca="1" si="0"/>
        <v>1.0028435493657231</v>
      </c>
      <c r="M10" s="152" cm="1">
        <f t="array" aca="1" ref="M10:N10" ca="1">LINEST(OFFSET($D$6:$D$7,MAX(ROUNDDOWN($H10-1,0),0),0),OFFSET($B$6:$B$7,MAX(ROUNDDOWN($H10-1,0),0),0))</f>
        <v>-5.931172927020614E-6</v>
      </c>
      <c r="N10" s="151">
        <f ca="1"/>
        <v>1.0049469742379731</v>
      </c>
      <c r="O10" s="151">
        <f t="shared" ca="1" si="1"/>
        <v>1.0049395602718143</v>
      </c>
      <c r="P10" s="152" cm="1">
        <f t="array" aca="1" ref="P10:Q10" ca="1">LINEST(OFFSET($E$6:$E$7,MAX(ROUNDDOWN($H10-1,0),0),0),OFFSET($B$6:$B$7,MAX(ROUNDDOWN($H10-1,0),0),0))</f>
        <v>-1.1807927183487443E-2</v>
      </c>
      <c r="Q10" s="151">
        <f ca="1"/>
        <v>1.0625185899419669</v>
      </c>
      <c r="R10" s="151">
        <f t="shared" ca="1" si="2"/>
        <v>1.0477586809626076</v>
      </c>
      <c r="S10" s="152" cm="1">
        <f t="array" aca="1" ref="S10:T10" ca="1">LINEST(OFFSET($F$6:$F$7,MAX(ROUNDDOWN($H10-1,0),0),0),OFFSET($B$6:$B$7,MAX(ROUNDDOWN($H10-1,0),0),0))</f>
        <v>-1.254462583176208E-2</v>
      </c>
      <c r="T10" s="151">
        <f ca="1"/>
        <v>1.0780259588168459</v>
      </c>
      <c r="U10" s="151">
        <f t="shared" ca="1" si="3"/>
        <v>1.0623451765271432</v>
      </c>
    </row>
    <row r="11" spans="2:21" x14ac:dyDescent="0.25">
      <c r="B11">
        <v>6</v>
      </c>
      <c r="C11" s="151">
        <v>1.000253482803809</v>
      </c>
      <c r="D11" s="151">
        <v>1.0016396502293845</v>
      </c>
      <c r="E11" s="151">
        <v>1.010205160476136</v>
      </c>
      <c r="F11" s="151">
        <v>1.0179097250817628</v>
      </c>
      <c r="H11" s="101">
        <f t="shared" si="4"/>
        <v>1.5</v>
      </c>
      <c r="I11" s="101">
        <f t="shared" si="5"/>
        <v>6</v>
      </c>
      <c r="J11" s="152" cm="1">
        <f t="array" aca="1" ref="J11:K11" ca="1">LINEST(OFFSET($C$7:$C$8,MAX(ROUNDDOWN($H11-1,0),0),0),OFFSET($B$7:$B$8,MAX(ROUNDDOWN($H11-1,0),0),0))</f>
        <v>-9.8005379900945044E-4</v>
      </c>
      <c r="K11" s="151">
        <f ca="1"/>
        <v>1.0040686166144848</v>
      </c>
      <c r="L11" s="151">
        <f t="shared" ca="1" si="0"/>
        <v>1.0025985359159706</v>
      </c>
      <c r="M11" s="152" cm="1">
        <f t="array" aca="1" ref="M11:N11" ca="1">LINEST(OFFSET($D$6:$D$7,MAX(ROUNDDOWN($H11-1,0),0),0),OFFSET($B$6:$B$7,MAX(ROUNDDOWN($H11-1,0),0),0))</f>
        <v>-5.931172927020614E-6</v>
      </c>
      <c r="N11" s="151">
        <f ca="1"/>
        <v>1.0049469742379731</v>
      </c>
      <c r="O11" s="151">
        <f t="shared" ca="1" si="1"/>
        <v>1.0049380774785825</v>
      </c>
      <c r="P11" s="152" cm="1">
        <f t="array" aca="1" ref="P11:Q11" ca="1">LINEST(OFFSET($E$6:$E$7,MAX(ROUNDDOWN($H11-1,0),0),0),OFFSET($B$6:$B$7,MAX(ROUNDDOWN($H11-1,0),0),0))</f>
        <v>-1.1807927183487443E-2</v>
      </c>
      <c r="Q11" s="151">
        <f ca="1"/>
        <v>1.0625185899419669</v>
      </c>
      <c r="R11" s="151">
        <f t="shared" ca="1" si="2"/>
        <v>1.0448066991667357</v>
      </c>
      <c r="S11" s="152" cm="1">
        <f t="array" aca="1" ref="S11:T11" ca="1">LINEST(OFFSET($F$6:$F$7,MAX(ROUNDDOWN($H11-1,0),0),0),OFFSET($B$6:$B$7,MAX(ROUNDDOWN($H11-1,0),0),0))</f>
        <v>-1.254462583176208E-2</v>
      </c>
      <c r="T11" s="151">
        <f ca="1"/>
        <v>1.0780259588168459</v>
      </c>
      <c r="U11" s="151">
        <f t="shared" ca="1" si="3"/>
        <v>1.0592090200692028</v>
      </c>
    </row>
    <row r="12" spans="2:21" x14ac:dyDescent="0.25">
      <c r="B12">
        <v>7</v>
      </c>
      <c r="C12" s="151">
        <v>1.0001512062539542</v>
      </c>
      <c r="D12" s="151">
        <v>1.0010099013835327</v>
      </c>
      <c r="E12" s="151">
        <v>1.0075014853581219</v>
      </c>
      <c r="F12" s="151">
        <v>1.0129647951640179</v>
      </c>
      <c r="H12" s="101">
        <f t="shared" si="4"/>
        <v>1.75</v>
      </c>
      <c r="I12" s="101">
        <f t="shared" si="5"/>
        <v>7</v>
      </c>
      <c r="J12" s="152" cm="1">
        <f t="array" aca="1" ref="J12:K12" ca="1">LINEST(OFFSET($C$7:$C$8,MAX(ROUNDDOWN($H12-1,0),0),0),OFFSET($B$7:$B$8,MAX(ROUNDDOWN($H12-1,0),0),0))</f>
        <v>-9.8005379900945044E-4</v>
      </c>
      <c r="K12" s="151">
        <f ca="1"/>
        <v>1.0040686166144848</v>
      </c>
      <c r="L12" s="151">
        <f t="shared" ca="1" si="0"/>
        <v>1.0023535224662181</v>
      </c>
      <c r="M12" s="152" cm="1">
        <f t="array" aca="1" ref="M12:N12" ca="1">LINEST(OFFSET($D$6:$D$7,MAX(ROUNDDOWN($H12-1,0),0),0),OFFSET($B$6:$B$7,MAX(ROUNDDOWN($H12-1,0),0),0))</f>
        <v>-5.931172927020614E-6</v>
      </c>
      <c r="N12" s="151">
        <f ca="1"/>
        <v>1.0049469742379731</v>
      </c>
      <c r="O12" s="151">
        <f t="shared" ca="1" si="1"/>
        <v>1.0049365946853508</v>
      </c>
      <c r="P12" s="152" cm="1">
        <f t="array" aca="1" ref="P12:Q12" ca="1">LINEST(OFFSET($E$6:$E$7,MAX(ROUNDDOWN($H12-1,0),0),0),OFFSET($B$6:$B$7,MAX(ROUNDDOWN($H12-1,0),0),0))</f>
        <v>-1.1807927183487443E-2</v>
      </c>
      <c r="Q12" s="151">
        <f ca="1"/>
        <v>1.0625185899419669</v>
      </c>
      <c r="R12" s="151">
        <f t="shared" ca="1" si="2"/>
        <v>1.0418547173708639</v>
      </c>
      <c r="S12" s="152" cm="1">
        <f t="array" aca="1" ref="S12:T12" ca="1">LINEST(OFFSET($F$6:$F$7,MAX(ROUNDDOWN($H12-1,0),0),0),OFFSET($B$6:$B$7,MAX(ROUNDDOWN($H12-1,0),0),0))</f>
        <v>-1.254462583176208E-2</v>
      </c>
      <c r="T12" s="151">
        <f ca="1"/>
        <v>1.0780259588168459</v>
      </c>
      <c r="U12" s="151">
        <f t="shared" ca="1" si="3"/>
        <v>1.0560728636112624</v>
      </c>
    </row>
    <row r="13" spans="2:21" x14ac:dyDescent="0.25">
      <c r="B13">
        <v>8</v>
      </c>
      <c r="C13" s="151">
        <v>1.0001523896836717</v>
      </c>
      <c r="D13" s="151">
        <v>1.0005599870921238</v>
      </c>
      <c r="E13" s="151">
        <v>1.0057413948904927</v>
      </c>
      <c r="F13" s="151">
        <v>1.0090103294159642</v>
      </c>
      <c r="H13" s="101">
        <f t="shared" si="4"/>
        <v>2</v>
      </c>
      <c r="I13" s="101">
        <f t="shared" si="5"/>
        <v>8</v>
      </c>
      <c r="J13" s="152" cm="1">
        <f t="array" aca="1" ref="J13:K13" ca="1">LINEST(OFFSET($C$7:$C$8,MAX(ROUNDDOWN($H13-1,0),0),0),OFFSET($B$7:$B$8,MAX(ROUNDDOWN($H13-1,0),0),0))</f>
        <v>-7.958387689039893E-4</v>
      </c>
      <c r="K13" s="151">
        <f ca="1"/>
        <v>1.0035159715241686</v>
      </c>
      <c r="L13" s="151">
        <f t="shared" ca="1" si="0"/>
        <v>1.0019242939863606</v>
      </c>
      <c r="M13" s="152" cm="1">
        <f t="array" aca="1" ref="M13:N13" ca="1">LINEST(OFFSET($D$6:$D$7,MAX(ROUNDDOWN($H13-1,0),0),0),OFFSET($B$6:$B$7,MAX(ROUNDDOWN($H13-1,0),0),0))</f>
        <v>-9.9921709971484418E-4</v>
      </c>
      <c r="N13" s="151">
        <f ca="1"/>
        <v>1.0069335460915487</v>
      </c>
      <c r="O13" s="151">
        <f t="shared" ca="1" si="1"/>
        <v>1.004935111892119</v>
      </c>
      <c r="P13" s="152" cm="1">
        <f t="array" aca="1" ref="P13:Q13" ca="1">LINEST(OFFSET($E$6:$E$7,MAX(ROUNDDOWN($H13-1,0),0),0),OFFSET($B$6:$B$7,MAX(ROUNDDOWN($H13-1,0),0),0))</f>
        <v>-9.7854832689692195E-3</v>
      </c>
      <c r="Q13" s="151">
        <f ca="1"/>
        <v>1.0584737021129305</v>
      </c>
      <c r="R13" s="151">
        <f t="shared" ca="1" si="2"/>
        <v>1.038902735574992</v>
      </c>
      <c r="S13" s="152" cm="1">
        <f t="array" aca="1" ref="S13:T13" ca="1">LINEST(OFFSET($F$6:$F$7,MAX(ROUNDDOWN($H13-1,0),0),0),OFFSET($B$6:$B$7,MAX(ROUNDDOWN($H13-1,0),0),0))</f>
        <v>-1.0711063443594515E-2</v>
      </c>
      <c r="T13" s="151">
        <f ca="1"/>
        <v>1.0743588340405108</v>
      </c>
      <c r="U13" s="151">
        <f t="shared" ca="1" si="3"/>
        <v>1.0529367071533218</v>
      </c>
    </row>
    <row r="14" spans="2:21" x14ac:dyDescent="0.25">
      <c r="B14">
        <v>9</v>
      </c>
      <c r="C14" s="151">
        <v>1.0001459984491659</v>
      </c>
      <c r="D14" s="151">
        <v>1.0005599870921229</v>
      </c>
      <c r="E14" s="151">
        <v>1.002941181352236</v>
      </c>
      <c r="F14" s="151">
        <v>1.0048086173693187</v>
      </c>
      <c r="H14" s="101">
        <f t="shared" si="4"/>
        <v>2.25</v>
      </c>
      <c r="I14" s="101">
        <f t="shared" si="5"/>
        <v>9</v>
      </c>
      <c r="J14" s="152" cm="1">
        <f t="array" aca="1" ref="J14:K14" ca="1">LINEST(OFFSET($C$7:$C$8,MAX(ROUNDDOWN($H14-1,0),0),0),OFFSET($B$7:$B$8,MAX(ROUNDDOWN($H14-1,0),0),0))</f>
        <v>-7.958387689039893E-4</v>
      </c>
      <c r="K14" s="151">
        <f ca="1"/>
        <v>1.0035159715241686</v>
      </c>
      <c r="L14" s="151">
        <f t="shared" ca="1" si="0"/>
        <v>1.0017253342941346</v>
      </c>
      <c r="M14" s="152" cm="1">
        <f t="array" aca="1" ref="M14:N14" ca="1">LINEST(OFFSET($D$6:$D$7,MAX(ROUNDDOWN($H14-1,0),0),0),OFFSET($B$6:$B$7,MAX(ROUNDDOWN($H14-1,0),0),0))</f>
        <v>-9.9921709971484418E-4</v>
      </c>
      <c r="N14" s="151">
        <f ca="1"/>
        <v>1.0069335460915487</v>
      </c>
      <c r="O14" s="151">
        <f t="shared" ca="1" si="1"/>
        <v>1.0046853076171902</v>
      </c>
      <c r="P14" s="152" cm="1">
        <f t="array" aca="1" ref="P14:Q14" ca="1">LINEST(OFFSET($E$6:$E$7,MAX(ROUNDDOWN($H14-1,0),0),0),OFFSET($B$6:$B$7,MAX(ROUNDDOWN($H14-1,0),0),0))</f>
        <v>-9.7854832689692195E-3</v>
      </c>
      <c r="Q14" s="151">
        <f ca="1"/>
        <v>1.0584737021129305</v>
      </c>
      <c r="R14" s="151">
        <f t="shared" ca="1" si="2"/>
        <v>1.0364563647577496</v>
      </c>
      <c r="S14" s="152" cm="1">
        <f t="array" aca="1" ref="S14:T14" ca="1">LINEST(OFFSET($F$6:$F$7,MAX(ROUNDDOWN($H14-1,0),0),0),OFFSET($B$6:$B$7,MAX(ROUNDDOWN($H14-1,0),0),0))</f>
        <v>-1.0711063443594515E-2</v>
      </c>
      <c r="T14" s="151">
        <f ca="1"/>
        <v>1.0743588340405108</v>
      </c>
      <c r="U14" s="151">
        <f t="shared" ca="1" si="3"/>
        <v>1.050258941292423</v>
      </c>
    </row>
    <row r="15" spans="2:21" x14ac:dyDescent="0.25">
      <c r="B15">
        <v>10</v>
      </c>
      <c r="C15" s="151">
        <v>1.0000416966715913</v>
      </c>
      <c r="D15" s="151">
        <v>1.0002450405595364</v>
      </c>
      <c r="E15" s="151">
        <v>1.0015367054031115</v>
      </c>
      <c r="F15" s="151">
        <v>1.0022850651033326</v>
      </c>
      <c r="H15" s="101">
        <f t="shared" si="4"/>
        <v>2.5</v>
      </c>
      <c r="I15" s="101">
        <f t="shared" si="5"/>
        <v>10</v>
      </c>
      <c r="J15" s="152" cm="1">
        <f t="array" aca="1" ref="J15:K15" ca="1">LINEST(OFFSET($C$7:$C$8,MAX(ROUNDDOWN($H15-1,0),0),0),OFFSET($B$7:$B$8,MAX(ROUNDDOWN($H15-1,0),0),0))</f>
        <v>-7.958387689039893E-4</v>
      </c>
      <c r="K15" s="151">
        <f ca="1"/>
        <v>1.0035159715241686</v>
      </c>
      <c r="L15" s="151">
        <f t="shared" ca="1" si="0"/>
        <v>1.0015263746019085</v>
      </c>
      <c r="M15" s="152" cm="1">
        <f t="array" aca="1" ref="M15:N15" ca="1">LINEST(OFFSET($D$6:$D$7,MAX(ROUNDDOWN($H15-1,0),0),0),OFFSET($B$6:$B$7,MAX(ROUNDDOWN($H15-1,0),0),0))</f>
        <v>-9.9921709971484418E-4</v>
      </c>
      <c r="N15" s="151">
        <f ca="1"/>
        <v>1.0069335460915487</v>
      </c>
      <c r="O15" s="151">
        <f t="shared" ca="1" si="1"/>
        <v>1.0044355033422616</v>
      </c>
      <c r="P15" s="152" cm="1">
        <f t="array" aca="1" ref="P15:Q15" ca="1">LINEST(OFFSET($E$6:$E$7,MAX(ROUNDDOWN($H15-1,0),0),0),OFFSET($B$6:$B$7,MAX(ROUNDDOWN($H15-1,0),0),0))</f>
        <v>-9.7854832689692195E-3</v>
      </c>
      <c r="Q15" s="151">
        <f ca="1"/>
        <v>1.0584737021129305</v>
      </c>
      <c r="R15" s="151">
        <f t="shared" ca="1" si="2"/>
        <v>1.0340099939405074</v>
      </c>
      <c r="S15" s="152" cm="1">
        <f t="array" aca="1" ref="S15:T15" ca="1">LINEST(OFFSET($F$6:$F$7,MAX(ROUNDDOWN($H15-1,0),0),0),OFFSET($B$6:$B$7,MAX(ROUNDDOWN($H15-1,0),0),0))</f>
        <v>-1.0711063443594515E-2</v>
      </c>
      <c r="T15" s="151">
        <f ca="1"/>
        <v>1.0743588340405108</v>
      </c>
      <c r="U15" s="151">
        <f t="shared" ca="1" si="3"/>
        <v>1.0475811754315245</v>
      </c>
    </row>
    <row r="16" spans="2:21" x14ac:dyDescent="0.25">
      <c r="B16">
        <v>11</v>
      </c>
      <c r="C16" s="151">
        <v>1.0000257471419727</v>
      </c>
      <c r="D16" s="151">
        <v>1.000245040559536</v>
      </c>
      <c r="E16" s="151">
        <v>1.0005982479339846</v>
      </c>
      <c r="F16" s="151">
        <v>1.0007486938491403</v>
      </c>
      <c r="H16" s="101">
        <f t="shared" si="4"/>
        <v>2.75</v>
      </c>
      <c r="I16" s="101">
        <f t="shared" si="5"/>
        <v>11</v>
      </c>
      <c r="J16" s="152" cm="1">
        <f t="array" aca="1" ref="J16:K16" ca="1">LINEST(OFFSET($C$7:$C$8,MAX(ROUNDDOWN($H16-1,0),0),0),OFFSET($B$7:$B$8,MAX(ROUNDDOWN($H16-1,0),0),0))</f>
        <v>-7.958387689039893E-4</v>
      </c>
      <c r="K16" s="151">
        <f ca="1"/>
        <v>1.0035159715241686</v>
      </c>
      <c r="L16" s="151">
        <f t="shared" ca="1" si="0"/>
        <v>1.0013274149096827</v>
      </c>
      <c r="M16" s="152" cm="1">
        <f t="array" aca="1" ref="M16:N16" ca="1">LINEST(OFFSET($D$6:$D$7,MAX(ROUNDDOWN($H16-1,0),0),0),OFFSET($B$6:$B$7,MAX(ROUNDDOWN($H16-1,0),0),0))</f>
        <v>-9.9921709971484418E-4</v>
      </c>
      <c r="N16" s="151">
        <f ca="1"/>
        <v>1.0069335460915487</v>
      </c>
      <c r="O16" s="151">
        <f t="shared" ca="1" si="1"/>
        <v>1.004185699067333</v>
      </c>
      <c r="P16" s="152" cm="1">
        <f t="array" aca="1" ref="P16:Q16" ca="1">LINEST(OFFSET($E$6:$E$7,MAX(ROUNDDOWN($H16-1,0),0),0),OFFSET($B$6:$B$7,MAX(ROUNDDOWN($H16-1,0),0),0))</f>
        <v>-9.7854832689692195E-3</v>
      </c>
      <c r="Q16" s="151">
        <f ca="1"/>
        <v>1.0584737021129305</v>
      </c>
      <c r="R16" s="151">
        <f t="shared" ca="1" si="2"/>
        <v>1.0315636231232652</v>
      </c>
      <c r="S16" s="152" cm="1">
        <f t="array" aca="1" ref="S16:T16" ca="1">LINEST(OFFSET($F$6:$F$7,MAX(ROUNDDOWN($H16-1,0),0),0),OFFSET($B$6:$B$7,MAX(ROUNDDOWN($H16-1,0),0),0))</f>
        <v>-1.0711063443594515E-2</v>
      </c>
      <c r="T16" s="151">
        <f ca="1"/>
        <v>1.0743588340405108</v>
      </c>
      <c r="U16" s="151">
        <f t="shared" ca="1" si="3"/>
        <v>1.044903409570626</v>
      </c>
    </row>
    <row r="17" spans="1:21" x14ac:dyDescent="0.25">
      <c r="B17">
        <v>12</v>
      </c>
      <c r="C17" s="151">
        <v>1</v>
      </c>
      <c r="D17" s="151">
        <v>1.0000000000000075</v>
      </c>
      <c r="E17" s="151">
        <v>1.0000735522406672</v>
      </c>
      <c r="F17" s="151">
        <v>1.0000995295199715</v>
      </c>
      <c r="H17" s="101">
        <f t="shared" si="4"/>
        <v>3</v>
      </c>
      <c r="I17" s="101">
        <f t="shared" si="5"/>
        <v>12</v>
      </c>
      <c r="J17" s="152" cm="1">
        <f t="array" aca="1" ref="J17:K17" ca="1">LINEST(OFFSET($C$7:$C$8,MAX(ROUNDDOWN($H17-1,0),0),0),OFFSET($B$7:$B$8,MAX(ROUNDDOWN($H17-1,0),0),0))</f>
        <v>-2.2583144664478646E-4</v>
      </c>
      <c r="K17" s="151">
        <f ca="1"/>
        <v>1.0012359422351316</v>
      </c>
      <c r="L17" s="151">
        <f t="shared" ca="1" si="0"/>
        <v>1.0005584478951972</v>
      </c>
      <c r="M17" s="152" cm="1">
        <f t="array" aca="1" ref="M17:N17" ca="1">LINEST(OFFSET($D$6:$D$7,MAX(ROUNDDOWN($H17-1,0),0),0),OFFSET($B$6:$B$7,MAX(ROUNDDOWN($H17-1,0),0),0))</f>
        <v>-1.0722217114416122E-3</v>
      </c>
      <c r="N17" s="151">
        <f ca="1"/>
        <v>1.007152559926729</v>
      </c>
      <c r="O17" s="151">
        <f t="shared" ca="1" si="1"/>
        <v>1.0039358947924042</v>
      </c>
      <c r="P17" s="152" cm="1">
        <f t="array" aca="1" ref="P17:Q17" ca="1">LINEST(OFFSET($E$6:$E$7,MAX(ROUNDDOWN($H17-1,0),0),0),OFFSET($B$6:$B$7,MAX(ROUNDDOWN($H17-1,0),0),0))</f>
        <v>-7.4034427897193842E-3</v>
      </c>
      <c r="Q17" s="151">
        <f ca="1"/>
        <v>1.0513275806751812</v>
      </c>
      <c r="R17" s="151">
        <f t="shared" ca="1" si="2"/>
        <v>1.029117252306023</v>
      </c>
      <c r="S17" s="152" cm="1">
        <f t="array" aca="1" ref="S17:T17" ca="1">LINEST(OFFSET($F$6:$F$7,MAX(ROUNDDOWN($H17-1,0),0),0),OFFSET($B$6:$B$7,MAX(ROUNDDOWN($H17-1,0),0),0))</f>
        <v>-9.6318131499446586E-3</v>
      </c>
      <c r="T17" s="151">
        <f ca="1"/>
        <v>1.0711210831595612</v>
      </c>
      <c r="U17" s="151">
        <f t="shared" ca="1" si="3"/>
        <v>1.0422256437097273</v>
      </c>
    </row>
    <row r="18" spans="1:21" x14ac:dyDescent="0.25">
      <c r="B18">
        <v>13</v>
      </c>
      <c r="C18" s="151">
        <v>1</v>
      </c>
      <c r="D18" s="151">
        <v>1.0000000000000089</v>
      </c>
      <c r="E18" s="151">
        <v>0.99999923950047587</v>
      </c>
      <c r="F18" s="151">
        <v>0.99999999999999845</v>
      </c>
      <c r="H18" s="101">
        <f t="shared" si="4"/>
        <v>3.25</v>
      </c>
      <c r="I18" s="101">
        <f t="shared" si="5"/>
        <v>13</v>
      </c>
      <c r="J18" s="152" cm="1">
        <f t="array" aca="1" ref="J18:K18" ca="1">LINEST(OFFSET($C$7:$C$8,MAX(ROUNDDOWN($H18-1,0),0),0),OFFSET($B$7:$B$8,MAX(ROUNDDOWN($H18-1,0),0),0))</f>
        <v>-2.2583144664478646E-4</v>
      </c>
      <c r="K18" s="151">
        <f ca="1"/>
        <v>1.0012359422351316</v>
      </c>
      <c r="L18" s="151">
        <f t="shared" ca="1" si="0"/>
        <v>1.0005019900335359</v>
      </c>
      <c r="M18" s="152" cm="1">
        <f t="array" aca="1" ref="M18:N18" ca="1">LINEST(OFFSET($D$6:$D$7,MAX(ROUNDDOWN($H18-1,0),0),0),OFFSET($B$6:$B$7,MAX(ROUNDDOWN($H18-1,0),0),0))</f>
        <v>-1.0722217114416122E-3</v>
      </c>
      <c r="N18" s="151">
        <f ca="1"/>
        <v>1.007152559926729</v>
      </c>
      <c r="O18" s="151">
        <f t="shared" ca="1" si="1"/>
        <v>1.0036678393645437</v>
      </c>
      <c r="P18" s="152" cm="1">
        <f t="array" aca="1" ref="P18:Q18" ca="1">LINEST(OFFSET($E$6:$E$7,MAX(ROUNDDOWN($H18-1,0),0),0),OFFSET($B$6:$B$7,MAX(ROUNDDOWN($H18-1,0),0),0))</f>
        <v>-7.4034427897193842E-3</v>
      </c>
      <c r="Q18" s="151">
        <f ca="1"/>
        <v>1.0513275806751812</v>
      </c>
      <c r="R18" s="151">
        <f t="shared" ca="1" si="2"/>
        <v>1.0272663916085931</v>
      </c>
      <c r="S18" s="152" cm="1">
        <f t="array" aca="1" ref="S18:T18" ca="1">LINEST(OFFSET($F$6:$F$7,MAX(ROUNDDOWN($H18-1,0),0),0),OFFSET($B$6:$B$7,MAX(ROUNDDOWN($H18-1,0),0),0))</f>
        <v>-9.6318131499446586E-3</v>
      </c>
      <c r="T18" s="151">
        <f ca="1"/>
        <v>1.0711210831595612</v>
      </c>
      <c r="U18" s="151">
        <f t="shared" ca="1" si="3"/>
        <v>1.0398176904222411</v>
      </c>
    </row>
    <row r="19" spans="1:21" x14ac:dyDescent="0.25">
      <c r="B19">
        <v>14</v>
      </c>
      <c r="C19" s="151">
        <v>1</v>
      </c>
      <c r="D19" s="151">
        <v>1.0000000000000044</v>
      </c>
      <c r="E19" s="151">
        <v>0.99999918884982009</v>
      </c>
      <c r="F19" s="151">
        <v>0.99999999999999845</v>
      </c>
      <c r="H19" s="101">
        <f t="shared" si="4"/>
        <v>3.5</v>
      </c>
      <c r="I19" s="101">
        <f t="shared" si="5"/>
        <v>14</v>
      </c>
      <c r="J19" s="152" cm="1">
        <f t="array" aca="1" ref="J19:K19" ca="1">LINEST(OFFSET($C$7:$C$8,MAX(ROUNDDOWN($H19-1,0),0),0),OFFSET($B$7:$B$8,MAX(ROUNDDOWN($H19-1,0),0),0))</f>
        <v>-2.2583144664478646E-4</v>
      </c>
      <c r="K19" s="151">
        <f ca="1"/>
        <v>1.0012359422351316</v>
      </c>
      <c r="L19" s="151">
        <f t="shared" ca="1" si="0"/>
        <v>1.0004455321718748</v>
      </c>
      <c r="M19" s="152" cm="1">
        <f t="array" aca="1" ref="M19:N19" ca="1">LINEST(OFFSET($D$6:$D$7,MAX(ROUNDDOWN($H19-1,0),0),0),OFFSET($B$6:$B$7,MAX(ROUNDDOWN($H19-1,0),0),0))</f>
        <v>-1.0722217114416122E-3</v>
      </c>
      <c r="N19" s="151">
        <f ca="1"/>
        <v>1.007152559926729</v>
      </c>
      <c r="O19" s="151">
        <f t="shared" ca="1" si="1"/>
        <v>1.0033997839366835</v>
      </c>
      <c r="P19" s="152" cm="1">
        <f t="array" aca="1" ref="P19:Q19" ca="1">LINEST(OFFSET($E$6:$E$7,MAX(ROUNDDOWN($H19-1,0),0),0),OFFSET($B$6:$B$7,MAX(ROUNDDOWN($H19-1,0),0),0))</f>
        <v>-7.4034427897193842E-3</v>
      </c>
      <c r="Q19" s="151">
        <f ca="1"/>
        <v>1.0513275806751812</v>
      </c>
      <c r="R19" s="151">
        <f t="shared" ca="1" si="2"/>
        <v>1.0254155309111632</v>
      </c>
      <c r="S19" s="152" cm="1">
        <f t="array" aca="1" ref="S19:T19" ca="1">LINEST(OFFSET($F$6:$F$7,MAX(ROUNDDOWN($H19-1,0),0),0),OFFSET($B$6:$B$7,MAX(ROUNDDOWN($H19-1,0),0),0))</f>
        <v>-9.6318131499446586E-3</v>
      </c>
      <c r="T19" s="151">
        <f ca="1"/>
        <v>1.0711210831595612</v>
      </c>
      <c r="U19" s="151">
        <f t="shared" ca="1" si="3"/>
        <v>1.0374097371347548</v>
      </c>
    </row>
    <row r="20" spans="1:21" x14ac:dyDescent="0.25">
      <c r="B20">
        <v>15</v>
      </c>
      <c r="C20" s="151">
        <v>1</v>
      </c>
      <c r="D20" s="151">
        <v>1</v>
      </c>
      <c r="E20" s="151">
        <v>0.99999999999999956</v>
      </c>
      <c r="F20" s="151">
        <v>1.000000000000002</v>
      </c>
      <c r="H20" s="101">
        <f t="shared" si="4"/>
        <v>3.75</v>
      </c>
      <c r="I20" s="101">
        <f t="shared" si="5"/>
        <v>15</v>
      </c>
      <c r="J20" s="152" cm="1">
        <f t="array" aca="1" ref="J20:K20" ca="1">LINEST(OFFSET($C$7:$C$8,MAX(ROUNDDOWN($H20-1,0),0),0),OFFSET($B$7:$B$8,MAX(ROUNDDOWN($H20-1,0),0),0))</f>
        <v>-2.2583144664478646E-4</v>
      </c>
      <c r="K20" s="151">
        <f ca="1"/>
        <v>1.0012359422351316</v>
      </c>
      <c r="L20" s="151">
        <f t="shared" ca="1" si="0"/>
        <v>1.0003890743102135</v>
      </c>
      <c r="M20" s="152" cm="1">
        <f t="array" aca="1" ref="M20:N20" ca="1">LINEST(OFFSET($D$6:$D$7,MAX(ROUNDDOWN($H20-1,0),0),0),OFFSET($B$6:$B$7,MAX(ROUNDDOWN($H20-1,0),0),0))</f>
        <v>-1.0722217114416122E-3</v>
      </c>
      <c r="N20" s="151">
        <f ca="1"/>
        <v>1.007152559926729</v>
      </c>
      <c r="O20" s="151">
        <f t="shared" ca="1" si="1"/>
        <v>1.003131728508823</v>
      </c>
      <c r="P20" s="152" cm="1">
        <f t="array" aca="1" ref="P20:Q20" ca="1">LINEST(OFFSET($E$6:$E$7,MAX(ROUNDDOWN($H20-1,0),0),0),OFFSET($B$6:$B$7,MAX(ROUNDDOWN($H20-1,0),0),0))</f>
        <v>-7.4034427897193842E-3</v>
      </c>
      <c r="Q20" s="151">
        <f ca="1"/>
        <v>1.0513275806751812</v>
      </c>
      <c r="R20" s="151">
        <f t="shared" ca="1" si="2"/>
        <v>1.0235646702137335</v>
      </c>
      <c r="S20" s="152" cm="1">
        <f t="array" aca="1" ref="S20:T20" ca="1">LINEST(OFFSET($F$6:$F$7,MAX(ROUNDDOWN($H20-1,0),0),0),OFFSET($B$6:$B$7,MAX(ROUNDDOWN($H20-1,0),0),0))</f>
        <v>-9.6318131499446586E-3</v>
      </c>
      <c r="T20" s="151">
        <f ca="1"/>
        <v>1.0711210831595612</v>
      </c>
      <c r="U20" s="151">
        <f t="shared" ca="1" si="3"/>
        <v>1.0350017838472687</v>
      </c>
    </row>
    <row r="21" spans="1:21" x14ac:dyDescent="0.25">
      <c r="B21">
        <v>16</v>
      </c>
      <c r="C21" s="151">
        <v>1</v>
      </c>
      <c r="D21" s="151">
        <v>1</v>
      </c>
      <c r="E21" s="151">
        <v>0.99999999999999933</v>
      </c>
      <c r="F21" s="151">
        <v>1</v>
      </c>
      <c r="H21" s="101">
        <f t="shared" si="4"/>
        <v>4</v>
      </c>
      <c r="I21" s="101">
        <f t="shared" si="5"/>
        <v>16</v>
      </c>
      <c r="J21" s="152" cm="1">
        <f t="array" aca="1" ref="J21:K21" ca="1">LINEST(OFFSET($C$7:$C$8,MAX(ROUNDDOWN($H21-1,0),0),0),OFFSET($B$7:$B$8,MAX(ROUNDDOWN($H21-1,0),0),0))</f>
        <v>1.4669780190135207E-4</v>
      </c>
      <c r="K21" s="151">
        <f ca="1"/>
        <v>0.99937329599240099</v>
      </c>
      <c r="L21" s="151">
        <f t="shared" ca="1" si="0"/>
        <v>0.9999600872000064</v>
      </c>
      <c r="M21" s="152" cm="1">
        <f t="array" aca="1" ref="M21:N21" ca="1">LINEST(OFFSET($D$6:$D$7,MAX(ROUNDDOWN($H21-1,0),0),0),OFFSET($B$6:$B$7,MAX(ROUNDDOWN($H21-1,0),0),0))</f>
        <v>-4.6364397740061868E-4</v>
      </c>
      <c r="N21" s="151">
        <f ca="1"/>
        <v>1.0047182489905651</v>
      </c>
      <c r="O21" s="151">
        <f t="shared" ca="1" si="1"/>
        <v>1.0028636730809626</v>
      </c>
      <c r="P21" s="152" cm="1">
        <f t="array" aca="1" ref="P21:Q21" ca="1">LINEST(OFFSET($E$6:$E$7,MAX(ROUNDDOWN($H21-1,0),0),0),OFFSET($B$6:$B$7,MAX(ROUNDDOWN($H21-1,0),0),0))</f>
        <v>-6.5628760828924113E-3</v>
      </c>
      <c r="Q21" s="151">
        <f ca="1"/>
        <v>1.0479653138478733</v>
      </c>
      <c r="R21" s="151">
        <f t="shared" ca="1" si="2"/>
        <v>1.0217138095163036</v>
      </c>
      <c r="S21" s="152" cm="1">
        <f t="array" aca="1" ref="S21:T21" ca="1">LINEST(OFFSET($F$6:$F$7,MAX(ROUNDDOWN($H21-1,0),0),0),OFFSET($B$6:$B$7,MAX(ROUNDDOWN($H21-1,0),0),0))</f>
        <v>-8.2192730903523116E-3</v>
      </c>
      <c r="T21" s="151">
        <f ca="1"/>
        <v>1.0654709229211918</v>
      </c>
      <c r="U21" s="151">
        <f t="shared" ca="1" si="3"/>
        <v>1.0325938305597826</v>
      </c>
    </row>
    <row r="22" spans="1:21" x14ac:dyDescent="0.25">
      <c r="B22">
        <v>17</v>
      </c>
      <c r="C22" s="151">
        <v>1</v>
      </c>
      <c r="D22" s="151">
        <v>1</v>
      </c>
      <c r="E22" s="151">
        <v>1</v>
      </c>
      <c r="F22" s="151">
        <v>1</v>
      </c>
      <c r="H22" s="101">
        <f t="shared" si="4"/>
        <v>4.25</v>
      </c>
      <c r="I22" s="101">
        <f t="shared" si="5"/>
        <v>17</v>
      </c>
      <c r="J22" s="152" cm="1">
        <f t="array" aca="1" ref="J22:K22" ca="1">LINEST(OFFSET($C$7:$C$8,MAX(ROUNDDOWN($H22-1,0),0),0),OFFSET($B$7:$B$8,MAX(ROUNDDOWN($H22-1,0),0),0))</f>
        <v>1.4669780190135207E-4</v>
      </c>
      <c r="K22" s="151">
        <f ca="1"/>
        <v>0.99937329599240099</v>
      </c>
      <c r="L22" s="151">
        <f t="shared" ca="1" si="0"/>
        <v>0.99999676165048168</v>
      </c>
      <c r="M22" s="152" cm="1">
        <f t="array" aca="1" ref="M22:N22" ca="1">LINEST(OFFSET($D$6:$D$7,MAX(ROUNDDOWN($H22-1,0),0),0),OFFSET($B$6:$B$7,MAX(ROUNDDOWN($H22-1,0),0),0))</f>
        <v>-4.6364397740061868E-4</v>
      </c>
      <c r="N22" s="151">
        <f ca="1"/>
        <v>1.0047182489905651</v>
      </c>
      <c r="O22" s="151">
        <f t="shared" ca="1" si="1"/>
        <v>1.0027477620866123</v>
      </c>
      <c r="P22" s="152" cm="1">
        <f t="array" aca="1" ref="P22:Q22" ca="1">LINEST(OFFSET($E$6:$E$7,MAX(ROUNDDOWN($H22-1,0),0),0),OFFSET($B$6:$B$7,MAX(ROUNDDOWN($H22-1,0),0),0))</f>
        <v>-6.5628760828924113E-3</v>
      </c>
      <c r="Q22" s="151">
        <f ca="1"/>
        <v>1.0479653138478733</v>
      </c>
      <c r="R22" s="151">
        <f t="shared" ca="1" si="2"/>
        <v>1.0200730904955806</v>
      </c>
      <c r="S22" s="152" cm="1">
        <f t="array" aca="1" ref="S22:T22" ca="1">LINEST(OFFSET($F$6:$F$7,MAX(ROUNDDOWN($H22-1,0),0),0),OFFSET($B$6:$B$7,MAX(ROUNDDOWN($H22-1,0),0),0))</f>
        <v>-8.2192730903523116E-3</v>
      </c>
      <c r="T22" s="151">
        <f ca="1"/>
        <v>1.0654709229211918</v>
      </c>
      <c r="U22" s="151">
        <f t="shared" ca="1" si="3"/>
        <v>1.0305390122871945</v>
      </c>
    </row>
    <row r="23" spans="1:21" x14ac:dyDescent="0.25">
      <c r="A23" s="1" t="s">
        <v>478</v>
      </c>
      <c r="B23" s="1">
        <v>18</v>
      </c>
      <c r="C23" s="327">
        <v>1</v>
      </c>
      <c r="D23" s="327">
        <v>1</v>
      </c>
      <c r="E23" s="327">
        <v>1</v>
      </c>
      <c r="F23" s="327">
        <v>1</v>
      </c>
      <c r="H23" s="101">
        <f t="shared" si="4"/>
        <v>4.5</v>
      </c>
      <c r="I23" s="101">
        <f t="shared" si="5"/>
        <v>18</v>
      </c>
      <c r="J23" s="152" cm="1">
        <f t="array" aca="1" ref="J23:K23" ca="1">LINEST(OFFSET($C$7:$C$8,MAX(ROUNDDOWN($H23-1,0),0),0),OFFSET($B$7:$B$8,MAX(ROUNDDOWN($H23-1,0),0),0))</f>
        <v>1.4669780190135207E-4</v>
      </c>
      <c r="K23" s="151">
        <f ca="1"/>
        <v>0.99937329599240099</v>
      </c>
      <c r="L23" s="151">
        <f t="shared" ca="1" si="0"/>
        <v>1.0000334361009571</v>
      </c>
      <c r="M23" s="152" cm="1">
        <f t="array" aca="1" ref="M23:N23" ca="1">LINEST(OFFSET($D$6:$D$7,MAX(ROUNDDOWN($H23-1,0),0),0),OFFSET($B$6:$B$7,MAX(ROUNDDOWN($H23-1,0),0),0))</f>
        <v>-4.6364397740061868E-4</v>
      </c>
      <c r="N23" s="151">
        <f ca="1"/>
        <v>1.0047182489905651</v>
      </c>
      <c r="O23" s="151">
        <f t="shared" ca="1" si="1"/>
        <v>1.0026318510922623</v>
      </c>
      <c r="P23" s="152" cm="1">
        <f t="array" aca="1" ref="P23:Q23" ca="1">LINEST(OFFSET($E$6:$E$7,MAX(ROUNDDOWN($H23-1,0),0),0),OFFSET($B$6:$B$7,MAX(ROUNDDOWN($H23-1,0),0),0))</f>
        <v>-6.5628760828924113E-3</v>
      </c>
      <c r="Q23" s="151">
        <f ca="1"/>
        <v>1.0479653138478733</v>
      </c>
      <c r="R23" s="151">
        <f t="shared" ca="1" si="2"/>
        <v>1.0184323714748573</v>
      </c>
      <c r="S23" s="152" cm="1">
        <f t="array" aca="1" ref="S23:T23" ca="1">LINEST(OFFSET($F$6:$F$7,MAX(ROUNDDOWN($H23-1,0),0),0),OFFSET($B$6:$B$7,MAX(ROUNDDOWN($H23-1,0),0),0))</f>
        <v>-8.2192730903523116E-3</v>
      </c>
      <c r="T23" s="151">
        <f ca="1"/>
        <v>1.0654709229211918</v>
      </c>
      <c r="U23" s="151">
        <f t="shared" ca="1" si="3"/>
        <v>1.0284841940146063</v>
      </c>
    </row>
    <row r="24" spans="1:21" x14ac:dyDescent="0.25">
      <c r="B24">
        <v>19</v>
      </c>
      <c r="C24" s="326">
        <v>1</v>
      </c>
      <c r="D24" s="326">
        <v>1</v>
      </c>
      <c r="E24" s="326">
        <v>1</v>
      </c>
      <c r="F24" s="326">
        <v>1</v>
      </c>
      <c r="H24" s="101">
        <f t="shared" si="4"/>
        <v>4.75</v>
      </c>
      <c r="I24" s="101">
        <f t="shared" si="5"/>
        <v>19</v>
      </c>
      <c r="J24" s="152" cm="1">
        <f t="array" aca="1" ref="J24:K24" ca="1">LINEST(OFFSET($C$7:$C$8,MAX(ROUNDDOWN($H24-1,0),0),0),OFFSET($B$7:$B$8,MAX(ROUNDDOWN($H24-1,0),0),0))</f>
        <v>1.4669780190135207E-4</v>
      </c>
      <c r="K24" s="151">
        <f ca="1"/>
        <v>0.99937329599240099</v>
      </c>
      <c r="L24" s="151">
        <f t="shared" ca="1" si="0"/>
        <v>1.0000701105514325</v>
      </c>
      <c r="M24" s="152" cm="1">
        <f t="array" aca="1" ref="M24:N24" ca="1">LINEST(OFFSET($D$6:$D$7,MAX(ROUNDDOWN($H24-1,0),0),0),OFFSET($B$6:$B$7,MAX(ROUNDDOWN($H24-1,0),0),0))</f>
        <v>-4.6364397740061868E-4</v>
      </c>
      <c r="N24" s="151">
        <f ca="1"/>
        <v>1.0047182489905651</v>
      </c>
      <c r="O24" s="151">
        <f t="shared" ca="1" si="1"/>
        <v>1.002515940097912</v>
      </c>
      <c r="P24" s="152" cm="1">
        <f t="array" aca="1" ref="P24:Q24" ca="1">LINEST(OFFSET($E$6:$E$7,MAX(ROUNDDOWN($H24-1,0),0),0),OFFSET($B$6:$B$7,MAX(ROUNDDOWN($H24-1,0),0),0))</f>
        <v>-6.5628760828924113E-3</v>
      </c>
      <c r="Q24" s="151">
        <f ca="1"/>
        <v>1.0479653138478733</v>
      </c>
      <c r="R24" s="151">
        <f t="shared" ca="1" si="2"/>
        <v>1.0167916524541343</v>
      </c>
      <c r="S24" s="152" cm="1">
        <f t="array" aca="1" ref="S24:T24" ca="1">LINEST(OFFSET($F$6:$F$7,MAX(ROUNDDOWN($H24-1,0),0),0),OFFSET($B$6:$B$7,MAX(ROUNDDOWN($H24-1,0),0),0))</f>
        <v>-8.2192730903523116E-3</v>
      </c>
      <c r="T24" s="151">
        <f ca="1"/>
        <v>1.0654709229211918</v>
      </c>
      <c r="U24" s="151">
        <f t="shared" ca="1" si="3"/>
        <v>1.0264293757420184</v>
      </c>
    </row>
    <row r="25" spans="1:21" x14ac:dyDescent="0.25">
      <c r="B25">
        <v>20</v>
      </c>
      <c r="C25" s="326">
        <v>1</v>
      </c>
      <c r="D25" s="326">
        <v>1</v>
      </c>
      <c r="E25" s="326">
        <v>1</v>
      </c>
      <c r="F25" s="326">
        <v>1</v>
      </c>
      <c r="H25" s="101">
        <f t="shared" si="4"/>
        <v>5</v>
      </c>
      <c r="I25" s="101">
        <f t="shared" si="5"/>
        <v>20</v>
      </c>
      <c r="J25" s="152" cm="1">
        <f t="array" aca="1" ref="J25:K25" ca="1">LINEST(OFFSET($C$7:$C$8,MAX(ROUNDDOWN($H25-1,0),0),0),OFFSET($B$7:$B$8,MAX(ROUNDDOWN($H25-1,0),0),0))</f>
        <v>-1.0227654985484058E-4</v>
      </c>
      <c r="K25" s="151">
        <f ca="1"/>
        <v>1.0008671421029383</v>
      </c>
      <c r="L25" s="151">
        <f t="shared" ca="1" si="0"/>
        <v>1.0003557593536641</v>
      </c>
      <c r="M25" s="152" cm="1">
        <f t="array" aca="1" ref="M25:N25" ca="1">LINEST(OFFSET($D$6:$D$7,MAX(ROUNDDOWN($H25-1,0),0),0),OFFSET($B$6:$B$7,MAX(ROUNDDOWN($H25-1,0),0),0))</f>
        <v>-7.6037887417745907E-4</v>
      </c>
      <c r="N25" s="151">
        <f ca="1"/>
        <v>1.0062019234744493</v>
      </c>
      <c r="O25" s="151">
        <f t="shared" ca="1" si="1"/>
        <v>1.002400029103562</v>
      </c>
      <c r="P25" s="152" cm="1">
        <f t="array" aca="1" ref="P25:Q25" ca="1">LINEST(OFFSET($E$6:$E$7,MAX(ROUNDDOWN($H25-1,0),0),0),OFFSET($B$6:$B$7,MAX(ROUNDDOWN($H25-1,0),0),0))</f>
        <v>-4.9457729572750537E-3</v>
      </c>
      <c r="Q25" s="151">
        <f ca="1"/>
        <v>1.0398797982197865</v>
      </c>
      <c r="R25" s="151">
        <f t="shared" ca="1" si="2"/>
        <v>1.0151509334334112</v>
      </c>
      <c r="S25" s="152" cm="1">
        <f t="array" aca="1" ref="S25:T25" ca="1">LINEST(OFFSET($F$6:$F$7,MAX(ROUNDDOWN($H25-1,0),0),0),OFFSET($B$6:$B$7,MAX(ROUNDDOWN($H25-1,0),0),0))</f>
        <v>-6.4648323876674851E-3</v>
      </c>
      <c r="T25" s="151">
        <f ca="1"/>
        <v>1.0566987194077677</v>
      </c>
      <c r="U25" s="151">
        <f t="shared" ca="1" si="3"/>
        <v>1.0243745574694303</v>
      </c>
    </row>
    <row r="26" spans="1:21" x14ac:dyDescent="0.25">
      <c r="B26">
        <v>21</v>
      </c>
      <c r="C26" s="326">
        <v>1</v>
      </c>
      <c r="D26" s="326">
        <v>1</v>
      </c>
      <c r="E26" s="326">
        <v>1</v>
      </c>
      <c r="F26" s="326">
        <v>1</v>
      </c>
      <c r="H26" s="101">
        <f t="shared" si="4"/>
        <v>5.25</v>
      </c>
      <c r="I26" s="101">
        <f t="shared" si="5"/>
        <v>21</v>
      </c>
      <c r="J26" s="152" cm="1">
        <f t="array" aca="1" ref="J26:K26" ca="1">LINEST(OFFSET($C$7:$C$8,MAX(ROUNDDOWN($H26-1,0),0),0),OFFSET($B$7:$B$8,MAX(ROUNDDOWN($H26-1,0),0),0))</f>
        <v>-1.0227654985484058E-4</v>
      </c>
      <c r="K26" s="151">
        <f ca="1"/>
        <v>1.0008671421029383</v>
      </c>
      <c r="L26" s="151">
        <f t="shared" ca="1" si="0"/>
        <v>1.0003301902162003</v>
      </c>
      <c r="M26" s="152" cm="1">
        <f t="array" aca="1" ref="M26:N26" ca="1">LINEST(OFFSET($D$6:$D$7,MAX(ROUNDDOWN($H26-1,0),0),0),OFFSET($B$6:$B$7,MAX(ROUNDDOWN($H26-1,0),0),0))</f>
        <v>-7.6037887417745907E-4</v>
      </c>
      <c r="N26" s="151">
        <f ca="1"/>
        <v>1.0062019234744493</v>
      </c>
      <c r="O26" s="151">
        <f t="shared" ca="1" si="1"/>
        <v>1.0022099343850175</v>
      </c>
      <c r="P26" s="152" cm="1">
        <f t="array" aca="1" ref="P26:Q26" ca="1">LINEST(OFFSET($E$6:$E$7,MAX(ROUNDDOWN($H26-1,0),0),0),OFFSET($B$6:$B$7,MAX(ROUNDDOWN($H26-1,0),0),0))</f>
        <v>-4.9457729572750537E-3</v>
      </c>
      <c r="Q26" s="151">
        <f ca="1"/>
        <v>1.0398797982197865</v>
      </c>
      <c r="R26" s="151">
        <f t="shared" ca="1" si="2"/>
        <v>1.0139144901940924</v>
      </c>
      <c r="S26" s="152" cm="1">
        <f t="array" aca="1" ref="S26:T26" ca="1">LINEST(OFFSET($F$6:$F$7,MAX(ROUNDDOWN($H26-1,0),0),0),OFFSET($B$6:$B$7,MAX(ROUNDDOWN($H26-1,0),0),0))</f>
        <v>-6.4648323876674851E-3</v>
      </c>
      <c r="T26" s="151">
        <f ca="1"/>
        <v>1.0566987194077677</v>
      </c>
      <c r="U26" s="151">
        <f t="shared" ca="1" si="3"/>
        <v>1.0227583493725134</v>
      </c>
    </row>
    <row r="27" spans="1:21" x14ac:dyDescent="0.25">
      <c r="B27">
        <v>22</v>
      </c>
      <c r="C27" s="326">
        <v>1</v>
      </c>
      <c r="D27" s="326">
        <v>1</v>
      </c>
      <c r="E27" s="326">
        <v>1</v>
      </c>
      <c r="F27" s="326">
        <v>1</v>
      </c>
      <c r="H27" s="101">
        <f t="shared" si="4"/>
        <v>5.5</v>
      </c>
      <c r="I27" s="101">
        <f t="shared" si="5"/>
        <v>22</v>
      </c>
      <c r="J27" s="152" cm="1">
        <f t="array" aca="1" ref="J27:K27" ca="1">LINEST(OFFSET($C$7:$C$8,MAX(ROUNDDOWN($H27-1,0),0),0),OFFSET($B$7:$B$8,MAX(ROUNDDOWN($H27-1,0),0),0))</f>
        <v>-1.0227654985484058E-4</v>
      </c>
      <c r="K27" s="151">
        <f ca="1"/>
        <v>1.0008671421029383</v>
      </c>
      <c r="L27" s="151">
        <f t="shared" ca="1" si="0"/>
        <v>1.0003046210787367</v>
      </c>
      <c r="M27" s="152" cm="1">
        <f t="array" aca="1" ref="M27:N27" ca="1">LINEST(OFFSET($D$6:$D$7,MAX(ROUNDDOWN($H27-1,0),0),0),OFFSET($B$6:$B$7,MAX(ROUNDDOWN($H27-1,0),0),0))</f>
        <v>-7.6037887417745907E-4</v>
      </c>
      <c r="N27" s="151">
        <f ca="1"/>
        <v>1.0062019234744493</v>
      </c>
      <c r="O27" s="151">
        <f t="shared" ca="1" si="1"/>
        <v>1.0020198396664732</v>
      </c>
      <c r="P27" s="152" cm="1">
        <f t="array" aca="1" ref="P27:Q27" ca="1">LINEST(OFFSET($E$6:$E$7,MAX(ROUNDDOWN($H27-1,0),0),0),OFFSET($B$6:$B$7,MAX(ROUNDDOWN($H27-1,0),0),0))</f>
        <v>-4.9457729572750537E-3</v>
      </c>
      <c r="Q27" s="151">
        <f ca="1"/>
        <v>1.0398797982197865</v>
      </c>
      <c r="R27" s="151">
        <f t="shared" ca="1" si="2"/>
        <v>1.0126780469547736</v>
      </c>
      <c r="S27" s="152" cm="1">
        <f t="array" aca="1" ref="S27:T27" ca="1">LINEST(OFFSET($F$6:$F$7,MAX(ROUNDDOWN($H27-1,0),0),0),OFFSET($B$6:$B$7,MAX(ROUNDDOWN($H27-1,0),0),0))</f>
        <v>-6.4648323876674851E-3</v>
      </c>
      <c r="T27" s="151">
        <f ca="1"/>
        <v>1.0566987194077677</v>
      </c>
      <c r="U27" s="151">
        <f t="shared" ca="1" si="3"/>
        <v>1.0211421412755965</v>
      </c>
    </row>
    <row r="28" spans="1:21" x14ac:dyDescent="0.25">
      <c r="B28">
        <v>23</v>
      </c>
      <c r="C28" s="326">
        <v>1</v>
      </c>
      <c r="D28" s="326">
        <v>1</v>
      </c>
      <c r="E28" s="326">
        <v>1</v>
      </c>
      <c r="F28" s="326">
        <v>1</v>
      </c>
      <c r="H28" s="101">
        <f t="shared" si="4"/>
        <v>5.75</v>
      </c>
      <c r="I28" s="101">
        <f t="shared" si="5"/>
        <v>23</v>
      </c>
      <c r="J28" s="152" cm="1">
        <f t="array" aca="1" ref="J28:K28" ca="1">LINEST(OFFSET($C$7:$C$8,MAX(ROUNDDOWN($H28-1,0),0),0),OFFSET($B$7:$B$8,MAX(ROUNDDOWN($H28-1,0),0),0))</f>
        <v>-1.0227654985484058E-4</v>
      </c>
      <c r="K28" s="151">
        <f ca="1"/>
        <v>1.0008671421029383</v>
      </c>
      <c r="L28" s="151">
        <f t="shared" ca="1" si="0"/>
        <v>1.000279051941273</v>
      </c>
      <c r="M28" s="152" cm="1">
        <f t="array" aca="1" ref="M28:N28" ca="1">LINEST(OFFSET($D$6:$D$7,MAX(ROUNDDOWN($H28-1,0),0),0),OFFSET($B$6:$B$7,MAX(ROUNDDOWN($H28-1,0),0),0))</f>
        <v>-7.6037887417745907E-4</v>
      </c>
      <c r="N28" s="151">
        <f ca="1"/>
        <v>1.0062019234744493</v>
      </c>
      <c r="O28" s="151">
        <f t="shared" ca="1" si="1"/>
        <v>1.0018297449479288</v>
      </c>
      <c r="P28" s="152" cm="1">
        <f t="array" aca="1" ref="P28:Q28" ca="1">LINEST(OFFSET($E$6:$E$7,MAX(ROUNDDOWN($H28-1,0),0),0),OFFSET($B$6:$B$7,MAX(ROUNDDOWN($H28-1,0),0),0))</f>
        <v>-4.9457729572750537E-3</v>
      </c>
      <c r="Q28" s="151">
        <f ca="1"/>
        <v>1.0398797982197865</v>
      </c>
      <c r="R28" s="151">
        <f t="shared" ca="1" si="2"/>
        <v>1.011441603715455</v>
      </c>
      <c r="S28" s="152" cm="1">
        <f t="array" aca="1" ref="S28:T28" ca="1">LINEST(OFFSET($F$6:$F$7,MAX(ROUNDDOWN($H28-1,0),0),0),OFFSET($B$6:$B$7,MAX(ROUNDDOWN($H28-1,0),0),0))</f>
        <v>-6.4648323876674851E-3</v>
      </c>
      <c r="T28" s="151">
        <f ca="1"/>
        <v>1.0566987194077677</v>
      </c>
      <c r="U28" s="151">
        <f t="shared" ca="1" si="3"/>
        <v>1.0195259331786797</v>
      </c>
    </row>
    <row r="29" spans="1:21" x14ac:dyDescent="0.25">
      <c r="B29">
        <v>24</v>
      </c>
      <c r="C29" s="326">
        <v>1</v>
      </c>
      <c r="D29" s="326">
        <v>1</v>
      </c>
      <c r="E29" s="326">
        <v>1</v>
      </c>
      <c r="F29" s="326">
        <v>1</v>
      </c>
      <c r="H29" s="101">
        <f t="shared" si="4"/>
        <v>6</v>
      </c>
      <c r="I29" s="101">
        <f t="shared" si="5"/>
        <v>24</v>
      </c>
      <c r="J29" s="152" cm="1">
        <f t="array" aca="1" ref="J29:K29" ca="1">LINEST(OFFSET($C$7:$C$8,MAX(ROUNDDOWN($H29-1,0),0),0),OFFSET($B$7:$B$8,MAX(ROUNDDOWN($H29-1,0),0),0))</f>
        <v>1.1834297175550292E-6</v>
      </c>
      <c r="K29" s="151">
        <f ca="1"/>
        <v>1.0001429222459315</v>
      </c>
      <c r="L29" s="151">
        <f t="shared" ca="1" si="0"/>
        <v>1.0001500228242368</v>
      </c>
      <c r="M29" s="152" cm="1">
        <f t="array" aca="1" ref="M29:N29" ca="1">LINEST(OFFSET($D$6:$D$7,MAX(ROUNDDOWN($H29-1,0),0),0),OFFSET($B$6:$B$7,MAX(ROUNDDOWN($H29-1,0),0),0))</f>
        <v>-6.2974884585176305E-4</v>
      </c>
      <c r="N29" s="151">
        <f ca="1"/>
        <v>1.0054181433044951</v>
      </c>
      <c r="O29" s="151">
        <f t="shared" ca="1" si="1"/>
        <v>1.0016396502293845</v>
      </c>
      <c r="P29" s="152" cm="1">
        <f t="array" aca="1" ref="P29:Q29" ca="1">LINEST(OFFSET($E$6:$E$7,MAX(ROUNDDOWN($H29-1,0),0),0),OFFSET($B$6:$B$7,MAX(ROUNDDOWN($H29-1,0),0),0))</f>
        <v>-2.7036751180140595E-3</v>
      </c>
      <c r="Q29" s="151">
        <f ca="1"/>
        <v>1.0264272111842203</v>
      </c>
      <c r="R29" s="151">
        <f t="shared" ca="1" si="2"/>
        <v>1.010205160476136</v>
      </c>
      <c r="S29" s="152" cm="1">
        <f t="array" aca="1" ref="S29:T29" ca="1">LINEST(OFFSET($F$6:$F$7,MAX(ROUNDDOWN($H29-1,0),0),0),OFFSET($B$6:$B$7,MAX(ROUNDDOWN($H29-1,0),0),0))</f>
        <v>-4.9449299177448669E-3</v>
      </c>
      <c r="T29" s="151">
        <f ca="1"/>
        <v>1.0475793045882318</v>
      </c>
      <c r="U29" s="151">
        <f t="shared" ca="1" si="3"/>
        <v>1.0179097250817626</v>
      </c>
    </row>
    <row r="30" spans="1:21" x14ac:dyDescent="0.25">
      <c r="B30">
        <v>25</v>
      </c>
      <c r="C30" s="326">
        <v>1</v>
      </c>
      <c r="D30" s="326">
        <v>1</v>
      </c>
      <c r="E30" s="326">
        <v>1</v>
      </c>
      <c r="F30" s="326">
        <v>1</v>
      </c>
      <c r="H30" s="101">
        <f t="shared" si="4"/>
        <v>6.25</v>
      </c>
      <c r="I30" s="101">
        <f t="shared" si="5"/>
        <v>25</v>
      </c>
      <c r="J30" s="152" cm="1">
        <f t="array" aca="1" ref="J30:K30" ca="1">LINEST(OFFSET($C$7:$C$8,MAX(ROUNDDOWN($H30-1,0),0),0),OFFSET($B$7:$B$8,MAX(ROUNDDOWN($H30-1,0),0),0))</f>
        <v>1.1834297175550292E-6</v>
      </c>
      <c r="K30" s="151">
        <f ca="1"/>
        <v>1.0001429222459315</v>
      </c>
      <c r="L30" s="151">
        <f t="shared" ca="1" si="0"/>
        <v>1.0001503186816663</v>
      </c>
      <c r="M30" s="152" cm="1">
        <f t="array" aca="1" ref="M30:N30" ca="1">LINEST(OFFSET($D$6:$D$7,MAX(ROUNDDOWN($H30-1,0),0),0),OFFSET($B$6:$B$7,MAX(ROUNDDOWN($H30-1,0),0),0))</f>
        <v>-6.2974884585176305E-4</v>
      </c>
      <c r="N30" s="151">
        <f ca="1"/>
        <v>1.0054181433044951</v>
      </c>
      <c r="O30" s="151">
        <f t="shared" ca="1" si="1"/>
        <v>1.0014822130179215</v>
      </c>
      <c r="P30" s="152" cm="1">
        <f t="array" aca="1" ref="P30:Q30" ca="1">LINEST(OFFSET($E$6:$E$7,MAX(ROUNDDOWN($H30-1,0),0),0),OFFSET($B$6:$B$7,MAX(ROUNDDOWN($H30-1,0),0),0))</f>
        <v>-2.7036751180140595E-3</v>
      </c>
      <c r="Q30" s="151">
        <f ca="1"/>
        <v>1.0264272111842203</v>
      </c>
      <c r="R30" s="151">
        <f t="shared" ca="1" si="2"/>
        <v>1.0095292416966324</v>
      </c>
      <c r="S30" s="152" cm="1">
        <f t="array" aca="1" ref="S30:T30" ca="1">LINEST(OFFSET($F$6:$F$7,MAX(ROUNDDOWN($H30-1,0),0),0),OFFSET($B$6:$B$7,MAX(ROUNDDOWN($H30-1,0),0),0))</f>
        <v>-4.9449299177448669E-3</v>
      </c>
      <c r="T30" s="151">
        <f ca="1"/>
        <v>1.0475793045882318</v>
      </c>
      <c r="U30" s="151">
        <f t="shared" ca="1" si="3"/>
        <v>1.0166734926023264</v>
      </c>
    </row>
    <row r="31" spans="1:21" x14ac:dyDescent="0.25">
      <c r="B31">
        <v>26</v>
      </c>
      <c r="C31" s="326">
        <v>1</v>
      </c>
      <c r="D31" s="326">
        <v>1</v>
      </c>
      <c r="E31" s="326">
        <v>1</v>
      </c>
      <c r="F31" s="326">
        <v>1</v>
      </c>
      <c r="H31" s="101">
        <f t="shared" si="4"/>
        <v>6.5</v>
      </c>
      <c r="I31" s="101">
        <f t="shared" si="5"/>
        <v>26</v>
      </c>
      <c r="J31" s="152" cm="1">
        <f t="array" aca="1" ref="J31:K31" ca="1">LINEST(OFFSET($C$7:$C$8,MAX(ROUNDDOWN($H31-1,0),0),0),OFFSET($B$7:$B$8,MAX(ROUNDDOWN($H31-1,0),0),0))</f>
        <v>1.1834297175550292E-6</v>
      </c>
      <c r="K31" s="151">
        <f ca="1"/>
        <v>1.0001429222459315</v>
      </c>
      <c r="L31" s="151">
        <f t="shared" ca="1" si="0"/>
        <v>1.0001506145390957</v>
      </c>
      <c r="M31" s="152" cm="1">
        <f t="array" aca="1" ref="M31:N31" ca="1">LINEST(OFFSET($D$6:$D$7,MAX(ROUNDDOWN($H31-1,0),0),0),OFFSET($B$6:$B$7,MAX(ROUNDDOWN($H31-1,0),0),0))</f>
        <v>-6.2974884585176305E-4</v>
      </c>
      <c r="N31" s="151">
        <f ca="1"/>
        <v>1.0054181433044951</v>
      </c>
      <c r="O31" s="151">
        <f t="shared" ca="1" si="1"/>
        <v>1.0013247758064585</v>
      </c>
      <c r="P31" s="152" cm="1">
        <f t="array" aca="1" ref="P31:Q31" ca="1">LINEST(OFFSET($E$6:$E$7,MAX(ROUNDDOWN($H31-1,0),0),0),OFFSET($B$6:$B$7,MAX(ROUNDDOWN($H31-1,0),0),0))</f>
        <v>-2.7036751180140595E-3</v>
      </c>
      <c r="Q31" s="151">
        <f ca="1"/>
        <v>1.0264272111842203</v>
      </c>
      <c r="R31" s="151">
        <f t="shared" ca="1" si="2"/>
        <v>1.0088533229171288</v>
      </c>
      <c r="S31" s="152" cm="1">
        <f t="array" aca="1" ref="S31:T31" ca="1">LINEST(OFFSET($F$6:$F$7,MAX(ROUNDDOWN($H31-1,0),0),0),OFFSET($B$6:$B$7,MAX(ROUNDDOWN($H31-1,0),0),0))</f>
        <v>-4.9449299177448669E-3</v>
      </c>
      <c r="T31" s="151">
        <f ca="1"/>
        <v>1.0475793045882318</v>
      </c>
      <c r="U31" s="151">
        <f t="shared" ca="1" si="3"/>
        <v>1.0154372601228903</v>
      </c>
    </row>
    <row r="32" spans="1:21" x14ac:dyDescent="0.25">
      <c r="B32">
        <v>27</v>
      </c>
      <c r="C32" s="326">
        <v>1</v>
      </c>
      <c r="D32" s="326">
        <v>1</v>
      </c>
      <c r="E32" s="326">
        <v>1</v>
      </c>
      <c r="F32" s="326">
        <v>1</v>
      </c>
      <c r="H32" s="101">
        <f t="shared" si="4"/>
        <v>6.75</v>
      </c>
      <c r="I32" s="101">
        <f t="shared" si="5"/>
        <v>27</v>
      </c>
      <c r="J32" s="152" cm="1">
        <f t="array" aca="1" ref="J32:K32" ca="1">LINEST(OFFSET($C$7:$C$8,MAX(ROUNDDOWN($H32-1,0),0),0),OFFSET($B$7:$B$8,MAX(ROUNDDOWN($H32-1,0),0),0))</f>
        <v>1.1834297175550292E-6</v>
      </c>
      <c r="K32" s="151">
        <f ca="1"/>
        <v>1.0001429222459315</v>
      </c>
      <c r="L32" s="151">
        <f t="shared" ca="1" si="0"/>
        <v>1.0001509103965249</v>
      </c>
      <c r="M32" s="152" cm="1">
        <f t="array" aca="1" ref="M32:N32" ca="1">LINEST(OFFSET($D$6:$D$7,MAX(ROUNDDOWN($H32-1,0),0),0),OFFSET($B$6:$B$7,MAX(ROUNDDOWN($H32-1,0),0),0))</f>
        <v>-6.2974884585176305E-4</v>
      </c>
      <c r="N32" s="151">
        <f ca="1"/>
        <v>1.0054181433044951</v>
      </c>
      <c r="O32" s="151">
        <f t="shared" ca="1" si="1"/>
        <v>1.0011673385949957</v>
      </c>
      <c r="P32" s="152" cm="1">
        <f t="array" aca="1" ref="P32:Q32" ca="1">LINEST(OFFSET($E$6:$E$7,MAX(ROUNDDOWN($H32-1,0),0),0),OFFSET($B$6:$B$7,MAX(ROUNDDOWN($H32-1,0),0),0))</f>
        <v>-2.7036751180140595E-3</v>
      </c>
      <c r="Q32" s="151">
        <f ca="1"/>
        <v>1.0264272111842203</v>
      </c>
      <c r="R32" s="151">
        <f t="shared" ca="1" si="2"/>
        <v>1.0081774041376255</v>
      </c>
      <c r="S32" s="152" cm="1">
        <f t="array" aca="1" ref="S32:T32" ca="1">LINEST(OFFSET($F$6:$F$7,MAX(ROUNDDOWN($H32-1,0),0),0),OFFSET($B$6:$B$7,MAX(ROUNDDOWN($H32-1,0),0),0))</f>
        <v>-4.9449299177448669E-3</v>
      </c>
      <c r="T32" s="151">
        <f ca="1"/>
        <v>1.0475793045882318</v>
      </c>
      <c r="U32" s="151">
        <f t="shared" ca="1" si="3"/>
        <v>1.0142010276434539</v>
      </c>
    </row>
    <row r="33" spans="2:21" x14ac:dyDescent="0.25">
      <c r="B33">
        <v>28</v>
      </c>
      <c r="C33" s="326">
        <v>1</v>
      </c>
      <c r="D33" s="326">
        <v>1</v>
      </c>
      <c r="E33" s="326">
        <v>1</v>
      </c>
      <c r="F33" s="326">
        <v>1</v>
      </c>
      <c r="H33" s="101">
        <f t="shared" si="4"/>
        <v>7</v>
      </c>
      <c r="I33" s="101">
        <f t="shared" si="5"/>
        <v>28</v>
      </c>
      <c r="J33" s="152" cm="1">
        <f t="array" aca="1" ref="J33:K33" ca="1">LINEST(OFFSET($C$7:$C$8,MAX(ROUNDDOWN($H33-1,0),0),0),OFFSET($B$7:$B$8,MAX(ROUNDDOWN($H33-1,0),0),0))</f>
        <v>-6.3912345058536618E-6</v>
      </c>
      <c r="K33" s="151">
        <f ca="1"/>
        <v>1.0002035195597188</v>
      </c>
      <c r="L33" s="151">
        <f t="shared" ca="1" si="0"/>
        <v>1.0001587809181778</v>
      </c>
      <c r="M33" s="152" cm="1">
        <f t="array" aca="1" ref="M33:N33" ca="1">LINEST(OFFSET($D$6:$D$7,MAX(ROUNDDOWN($H33-1,0),0),0),OFFSET($B$6:$B$7,MAX(ROUNDDOWN($H33-1,0),0),0))</f>
        <v>-4.4991429140894823E-4</v>
      </c>
      <c r="N33" s="151">
        <f ca="1"/>
        <v>1.0041593014233954</v>
      </c>
      <c r="O33" s="151">
        <f t="shared" ca="1" si="1"/>
        <v>1.0010099013835327</v>
      </c>
      <c r="P33" s="152" cm="1">
        <f t="array" aca="1" ref="P33:Q33" ca="1">LINEST(OFFSET($E$6:$E$7,MAX(ROUNDDOWN($H33-1,0),0),0),OFFSET($B$6:$B$7,MAX(ROUNDDOWN($H33-1,0),0),0))</f>
        <v>-1.7600904676291502E-3</v>
      </c>
      <c r="Q33" s="151">
        <f ca="1"/>
        <v>1.0198221186315259</v>
      </c>
      <c r="R33" s="151">
        <f t="shared" ca="1" si="2"/>
        <v>1.0075014853581219</v>
      </c>
      <c r="S33" s="152" cm="1">
        <f t="array" aca="1" ref="S33:T33" ca="1">LINEST(OFFSET($F$6:$F$7,MAX(ROUNDDOWN($H33-1,0),0),0),OFFSET($B$6:$B$7,MAX(ROUNDDOWN($H33-1,0),0),0))</f>
        <v>-3.9544657480536927E-3</v>
      </c>
      <c r="T33" s="151">
        <f ca="1"/>
        <v>1.0406460554003938</v>
      </c>
      <c r="U33" s="151">
        <f t="shared" ca="1" si="3"/>
        <v>1.0129647951640179</v>
      </c>
    </row>
    <row r="34" spans="2:21" x14ac:dyDescent="0.25">
      <c r="B34">
        <v>29</v>
      </c>
      <c r="C34" s="326">
        <v>1</v>
      </c>
      <c r="D34" s="326">
        <v>1</v>
      </c>
      <c r="E34" s="326">
        <v>1</v>
      </c>
      <c r="F34" s="326">
        <v>1</v>
      </c>
      <c r="H34" s="101">
        <f t="shared" si="4"/>
        <v>7.25</v>
      </c>
      <c r="I34" s="101">
        <f t="shared" si="5"/>
        <v>29</v>
      </c>
      <c r="J34" s="152" cm="1">
        <f t="array" aca="1" ref="J34:K34" ca="1">LINEST(OFFSET($C$7:$C$8,MAX(ROUNDDOWN($H34-1,0),0),0),OFFSET($B$7:$B$8,MAX(ROUNDDOWN($H34-1,0),0),0))</f>
        <v>-6.3912345058536618E-6</v>
      </c>
      <c r="K34" s="151">
        <f ca="1"/>
        <v>1.0002035195597188</v>
      </c>
      <c r="L34" s="151">
        <f t="shared" ca="1" si="0"/>
        <v>1.0001571831095513</v>
      </c>
      <c r="M34" s="152" cm="1">
        <f t="array" aca="1" ref="M34:N34" ca="1">LINEST(OFFSET($D$6:$D$7,MAX(ROUNDDOWN($H34-1,0),0),0),OFFSET($B$6:$B$7,MAX(ROUNDDOWN($H34-1,0),0),0))</f>
        <v>-4.4991429140894823E-4</v>
      </c>
      <c r="N34" s="151">
        <f ca="1"/>
        <v>1.0041593014233954</v>
      </c>
      <c r="O34" s="151">
        <f t="shared" ca="1" si="1"/>
        <v>1.0008974228106804</v>
      </c>
      <c r="P34" s="152" cm="1">
        <f t="array" aca="1" ref="P34:Q34" ca="1">LINEST(OFFSET($E$6:$E$7,MAX(ROUNDDOWN($H34-1,0),0),0),OFFSET($B$6:$B$7,MAX(ROUNDDOWN($H34-1,0),0),0))</f>
        <v>-1.7600904676291502E-3</v>
      </c>
      <c r="Q34" s="151">
        <f ca="1"/>
        <v>1.0198221186315259</v>
      </c>
      <c r="R34" s="151">
        <f t="shared" ca="1" si="2"/>
        <v>1.0070614627412147</v>
      </c>
      <c r="S34" s="152" cm="1">
        <f t="array" aca="1" ref="S34:T34" ca="1">LINEST(OFFSET($F$6:$F$7,MAX(ROUNDDOWN($H34-1,0),0),0),OFFSET($B$6:$B$7,MAX(ROUNDDOWN($H34-1,0),0),0))</f>
        <v>-3.9544657480536927E-3</v>
      </c>
      <c r="T34" s="151">
        <f ca="1"/>
        <v>1.0406460554003938</v>
      </c>
      <c r="U34" s="151">
        <f t="shared" ca="1" si="3"/>
        <v>1.0119761787270045</v>
      </c>
    </row>
    <row r="35" spans="2:21" x14ac:dyDescent="0.25">
      <c r="H35" s="101">
        <f t="shared" si="4"/>
        <v>7.5</v>
      </c>
      <c r="I35" s="101">
        <f t="shared" si="5"/>
        <v>30</v>
      </c>
      <c r="J35" s="152" cm="1">
        <f t="array" aca="1" ref="J35:K35" ca="1">LINEST(OFFSET($C$7:$C$8,MAX(ROUNDDOWN($H35-1,0),0),0),OFFSET($B$7:$B$8,MAX(ROUNDDOWN($H35-1,0),0),0))</f>
        <v>-6.3912345058536618E-6</v>
      </c>
      <c r="K35" s="151">
        <f ca="1"/>
        <v>1.0002035195597188</v>
      </c>
      <c r="L35" s="151">
        <f t="shared" ca="1" si="0"/>
        <v>1.000155585300925</v>
      </c>
      <c r="M35" s="152" cm="1">
        <f t="array" aca="1" ref="M35:N35" ca="1">LINEST(OFFSET($D$6:$D$7,MAX(ROUNDDOWN($H35-1,0),0),0),OFFSET($B$6:$B$7,MAX(ROUNDDOWN($H35-1,0),0),0))</f>
        <v>-4.4991429140894823E-4</v>
      </c>
      <c r="N35" s="151">
        <f ca="1"/>
        <v>1.0041593014233954</v>
      </c>
      <c r="O35" s="151">
        <f t="shared" ca="1" si="1"/>
        <v>1.0007849442378283</v>
      </c>
      <c r="P35" s="152" cm="1">
        <f t="array" aca="1" ref="P35:Q35" ca="1">LINEST(OFFSET($E$6:$E$7,MAX(ROUNDDOWN($H35-1,0),0),0),OFFSET($B$6:$B$7,MAX(ROUNDDOWN($H35-1,0),0),0))</f>
        <v>-1.7600904676291502E-3</v>
      </c>
      <c r="Q35" s="151">
        <f ca="1"/>
        <v>1.0198221186315259</v>
      </c>
      <c r="R35" s="151">
        <f t="shared" ca="1" si="2"/>
        <v>1.0066214401243072</v>
      </c>
      <c r="S35" s="152" cm="1">
        <f t="array" aca="1" ref="S35:T35" ca="1">LINEST(OFFSET($F$6:$F$7,MAX(ROUNDDOWN($H35-1,0),0),0),OFFSET($B$6:$B$7,MAX(ROUNDDOWN($H35-1,0),0),0))</f>
        <v>-3.9544657480536927E-3</v>
      </c>
      <c r="T35" s="151">
        <f ca="1"/>
        <v>1.0406460554003938</v>
      </c>
      <c r="U35" s="151">
        <f t="shared" ca="1" si="3"/>
        <v>1.0109875622899911</v>
      </c>
    </row>
    <row r="36" spans="2:21" x14ac:dyDescent="0.25">
      <c r="H36" s="101">
        <f t="shared" si="4"/>
        <v>7.75</v>
      </c>
      <c r="I36" s="101">
        <f t="shared" si="5"/>
        <v>31</v>
      </c>
      <c r="J36" s="152" cm="1">
        <f t="array" aca="1" ref="J36:K36" ca="1">LINEST(OFFSET($C$7:$C$8,MAX(ROUNDDOWN($H36-1,0),0),0),OFFSET($B$7:$B$8,MAX(ROUNDDOWN($H36-1,0),0),0))</f>
        <v>-6.3912345058536618E-6</v>
      </c>
      <c r="K36" s="151">
        <f ca="1"/>
        <v>1.0002035195597188</v>
      </c>
      <c r="L36" s="151">
        <f t="shared" ca="1" si="0"/>
        <v>1.0001539874922984</v>
      </c>
      <c r="M36" s="152" cm="1">
        <f t="array" aca="1" ref="M36:N36" ca="1">LINEST(OFFSET($D$6:$D$7,MAX(ROUNDDOWN($H36-1,0),0),0),OFFSET($B$6:$B$7,MAX(ROUNDDOWN($H36-1,0),0),0))</f>
        <v>-4.4991429140894823E-4</v>
      </c>
      <c r="N36" s="151">
        <f ca="1"/>
        <v>1.0041593014233954</v>
      </c>
      <c r="O36" s="151">
        <f t="shared" ca="1" si="1"/>
        <v>1.0006724656649761</v>
      </c>
      <c r="P36" s="152" cm="1">
        <f t="array" aca="1" ref="P36:Q36" ca="1">LINEST(OFFSET($E$6:$E$7,MAX(ROUNDDOWN($H36-1,0),0),0),OFFSET($B$6:$B$7,MAX(ROUNDDOWN($H36-1,0),0),0))</f>
        <v>-1.7600904676291502E-3</v>
      </c>
      <c r="Q36" s="151">
        <f ca="1"/>
        <v>1.0198221186315259</v>
      </c>
      <c r="R36" s="151">
        <f t="shared" ca="1" si="2"/>
        <v>1.0061814175074</v>
      </c>
      <c r="S36" s="152" cm="1">
        <f t="array" aca="1" ref="S36:T36" ca="1">LINEST(OFFSET($F$6:$F$7,MAX(ROUNDDOWN($H36-1,0),0),0),OFFSET($B$6:$B$7,MAX(ROUNDDOWN($H36-1,0),0),0))</f>
        <v>-3.9544657480536927E-3</v>
      </c>
      <c r="T36" s="151">
        <f ca="1"/>
        <v>1.0406460554003938</v>
      </c>
      <c r="U36" s="151">
        <f t="shared" ca="1" si="3"/>
        <v>1.0099989458529777</v>
      </c>
    </row>
    <row r="37" spans="2:21" x14ac:dyDescent="0.25">
      <c r="H37" s="101">
        <f t="shared" si="4"/>
        <v>8</v>
      </c>
      <c r="I37" s="101">
        <f t="shared" si="5"/>
        <v>32</v>
      </c>
      <c r="J37" s="152" cm="1">
        <f t="array" aca="1" ref="J37:K37" ca="1">LINEST(OFFSET($C$7:$C$8,MAX(ROUNDDOWN($H37-1,0),0),0),OFFSET($B$7:$B$8,MAX(ROUNDDOWN($H37-1,0),0),0))</f>
        <v>-1.0430177757458918E-4</v>
      </c>
      <c r="K37" s="151">
        <f ca="1"/>
        <v>1.0010847144473372</v>
      </c>
      <c r="L37" s="151">
        <f t="shared" ca="1" si="0"/>
        <v>1.0002503002267404</v>
      </c>
      <c r="M37" s="152" cm="1">
        <f t="array" aca="1" ref="M37:N37" ca="1">LINEST(OFFSET($D$6:$D$7,MAX(ROUNDDOWN($H37-1,0),0),0),OFFSET($B$6:$B$7,MAX(ROUNDDOWN($H37-1,0),0),0))</f>
        <v>-8.8817841970012523E-16</v>
      </c>
      <c r="N37" s="151">
        <f ca="1"/>
        <v>1.0005599870921309</v>
      </c>
      <c r="O37" s="151">
        <f t="shared" ca="1" si="1"/>
        <v>1.0005599870921238</v>
      </c>
      <c r="P37" s="152" cm="1">
        <f t="array" aca="1" ref="P37:Q37" ca="1">LINEST(OFFSET($E$6:$E$7,MAX(ROUNDDOWN($H37-1,0),0),0),OFFSET($B$6:$B$7,MAX(ROUNDDOWN($H37-1,0),0),0))</f>
        <v>-2.8002135382567688E-3</v>
      </c>
      <c r="Q37" s="151">
        <f ca="1"/>
        <v>1.0281431031965469</v>
      </c>
      <c r="R37" s="151">
        <f t="shared" ca="1" si="2"/>
        <v>1.0057413948904927</v>
      </c>
      <c r="S37" s="152" cm="1">
        <f t="array" aca="1" ref="S37:T37" ca="1">LINEST(OFFSET($F$6:$F$7,MAX(ROUNDDOWN($H37-1,0),0),0),OFFSET($B$6:$B$7,MAX(ROUNDDOWN($H37-1,0),0),0))</f>
        <v>-4.2017120466455449E-3</v>
      </c>
      <c r="T37" s="151">
        <f ca="1"/>
        <v>1.0426240257891286</v>
      </c>
      <c r="U37" s="151">
        <f t="shared" ca="1" si="3"/>
        <v>1.0090103294159642</v>
      </c>
    </row>
    <row r="38" spans="2:21" x14ac:dyDescent="0.25">
      <c r="H38" s="101">
        <f t="shared" si="4"/>
        <v>8.25</v>
      </c>
      <c r="I38" s="101">
        <f t="shared" si="5"/>
        <v>33</v>
      </c>
      <c r="J38" s="152" cm="1">
        <f t="array" aca="1" ref="J38:K38" ca="1">LINEST(OFFSET($C$7:$C$8,MAX(ROUNDDOWN($H38-1,0),0),0),OFFSET($B$7:$B$8,MAX(ROUNDDOWN($H38-1,0),0),0))</f>
        <v>-1.0430177757458918E-4</v>
      </c>
      <c r="K38" s="151">
        <f ca="1"/>
        <v>1.0010847144473372</v>
      </c>
      <c r="L38" s="151">
        <f t="shared" ref="L38:L57" ca="1" si="6">K38+J38*$H38</f>
        <v>1.0002242247823467</v>
      </c>
      <c r="M38" s="152" cm="1">
        <f t="array" aca="1" ref="M38:N38" ca="1">LINEST(OFFSET($D$6:$D$7,MAX(ROUNDDOWN($H38-1,0),0),0),OFFSET($B$6:$B$7,MAX(ROUNDDOWN($H38-1,0),0),0))</f>
        <v>-8.8817841970012523E-16</v>
      </c>
      <c r="N38" s="151">
        <f ca="1"/>
        <v>1.0005599870921309</v>
      </c>
      <c r="O38" s="151">
        <f t="shared" ref="O38:O57" ca="1" si="7">N38+M38*$H38</f>
        <v>1.0005599870921236</v>
      </c>
      <c r="P38" s="152" cm="1">
        <f t="array" aca="1" ref="P38:Q38" ca="1">LINEST(OFFSET($E$6:$E$7,MAX(ROUNDDOWN($H38-1,0),0),0),OFFSET($B$6:$B$7,MAX(ROUNDDOWN($H38-1,0),0),0))</f>
        <v>-2.8002135382567688E-3</v>
      </c>
      <c r="Q38" s="151">
        <f ca="1"/>
        <v>1.0281431031965469</v>
      </c>
      <c r="R38" s="151">
        <f t="shared" ref="R38:R57" ca="1" si="8">Q38+P38*$H38</f>
        <v>1.0050413415059285</v>
      </c>
      <c r="S38" s="152" cm="1">
        <f t="array" aca="1" ref="S38:T38" ca="1">LINEST(OFFSET($F$6:$F$7,MAX(ROUNDDOWN($H38-1,0),0),0),OFFSET($B$6:$B$7,MAX(ROUNDDOWN($H38-1,0),0),0))</f>
        <v>-4.2017120466455449E-3</v>
      </c>
      <c r="T38" s="151">
        <f ca="1"/>
        <v>1.0426240257891286</v>
      </c>
      <c r="U38" s="151">
        <f t="shared" ref="U38:U57" ca="1" si="9">T38+S38*$H38</f>
        <v>1.0079599014043028</v>
      </c>
    </row>
    <row r="39" spans="2:21" x14ac:dyDescent="0.25">
      <c r="H39" s="101">
        <f t="shared" si="4"/>
        <v>8.5</v>
      </c>
      <c r="I39" s="101">
        <f t="shared" si="5"/>
        <v>34</v>
      </c>
      <c r="J39" s="152" cm="1">
        <f t="array" aca="1" ref="J39:K39" ca="1">LINEST(OFFSET($C$7:$C$8,MAX(ROUNDDOWN($H39-1,0),0),0),OFFSET($B$7:$B$8,MAX(ROUNDDOWN($H39-1,0),0),0))</f>
        <v>-1.0430177757458918E-4</v>
      </c>
      <c r="K39" s="151">
        <f ca="1"/>
        <v>1.0010847144473372</v>
      </c>
      <c r="L39" s="151">
        <f t="shared" ca="1" si="6"/>
        <v>1.000198149337953</v>
      </c>
      <c r="M39" s="152" cm="1">
        <f t="array" aca="1" ref="M39:N39" ca="1">LINEST(OFFSET($D$6:$D$7,MAX(ROUNDDOWN($H39-1,0),0),0),OFFSET($B$6:$B$7,MAX(ROUNDDOWN($H39-1,0),0),0))</f>
        <v>-8.8817841970012523E-16</v>
      </c>
      <c r="N39" s="151">
        <f ca="1"/>
        <v>1.0005599870921309</v>
      </c>
      <c r="O39" s="151">
        <f t="shared" ca="1" si="7"/>
        <v>1.0005599870921233</v>
      </c>
      <c r="P39" s="152" cm="1">
        <f t="array" aca="1" ref="P39:Q39" ca="1">LINEST(OFFSET($E$6:$E$7,MAX(ROUNDDOWN($H39-1,0),0),0),OFFSET($B$6:$B$7,MAX(ROUNDDOWN($H39-1,0),0),0))</f>
        <v>-2.8002135382567688E-3</v>
      </c>
      <c r="Q39" s="151">
        <f ca="1"/>
        <v>1.0281431031965469</v>
      </c>
      <c r="R39" s="151">
        <f t="shared" ca="1" si="8"/>
        <v>1.0043412881213643</v>
      </c>
      <c r="S39" s="152" cm="1">
        <f t="array" aca="1" ref="S39:T39" ca="1">LINEST(OFFSET($F$6:$F$7,MAX(ROUNDDOWN($H39-1,0),0),0),OFFSET($B$6:$B$7,MAX(ROUNDDOWN($H39-1,0),0),0))</f>
        <v>-4.2017120466455449E-3</v>
      </c>
      <c r="T39" s="151">
        <f ca="1"/>
        <v>1.0426240257891286</v>
      </c>
      <c r="U39" s="151">
        <f t="shared" ca="1" si="9"/>
        <v>1.0069094733926414</v>
      </c>
    </row>
    <row r="40" spans="2:21" x14ac:dyDescent="0.25">
      <c r="H40" s="101">
        <f t="shared" si="4"/>
        <v>8.75</v>
      </c>
      <c r="I40" s="101">
        <f t="shared" si="5"/>
        <v>35</v>
      </c>
      <c r="J40" s="152" cm="1">
        <f t="array" aca="1" ref="J40:K40" ca="1">LINEST(OFFSET($C$7:$C$8,MAX(ROUNDDOWN($H40-1,0),0),0),OFFSET($B$7:$B$8,MAX(ROUNDDOWN($H40-1,0),0),0))</f>
        <v>-1.0430177757458918E-4</v>
      </c>
      <c r="K40" s="151">
        <f ca="1"/>
        <v>1.0010847144473372</v>
      </c>
      <c r="L40" s="151">
        <f t="shared" ca="1" si="6"/>
        <v>1.0001720738935596</v>
      </c>
      <c r="M40" s="152" cm="1">
        <f t="array" aca="1" ref="M40:N40" ca="1">LINEST(OFFSET($D$6:$D$7,MAX(ROUNDDOWN($H40-1,0),0),0),OFFSET($B$6:$B$7,MAX(ROUNDDOWN($H40-1,0),0),0))</f>
        <v>-8.8817841970012523E-16</v>
      </c>
      <c r="N40" s="151">
        <f ca="1"/>
        <v>1.0005599870921309</v>
      </c>
      <c r="O40" s="151">
        <f t="shared" ca="1" si="7"/>
        <v>1.0005599870921231</v>
      </c>
      <c r="P40" s="152" cm="1">
        <f t="array" aca="1" ref="P40:Q40" ca="1">LINEST(OFFSET($E$6:$E$7,MAX(ROUNDDOWN($H40-1,0),0),0),OFFSET($B$6:$B$7,MAX(ROUNDDOWN($H40-1,0),0),0))</f>
        <v>-2.8002135382567688E-3</v>
      </c>
      <c r="Q40" s="151">
        <f ca="1"/>
        <v>1.0281431031965469</v>
      </c>
      <c r="R40" s="151">
        <f t="shared" ca="1" si="8"/>
        <v>1.0036412347368002</v>
      </c>
      <c r="S40" s="152" cm="1">
        <f t="array" aca="1" ref="S40:T40" ca="1">LINEST(OFFSET($F$6:$F$7,MAX(ROUNDDOWN($H40-1,0),0),0),OFFSET($B$6:$B$7,MAX(ROUNDDOWN($H40-1,0),0),0))</f>
        <v>-4.2017120466455449E-3</v>
      </c>
      <c r="T40" s="151">
        <f ca="1"/>
        <v>1.0426240257891286</v>
      </c>
      <c r="U40" s="151">
        <f t="shared" ca="1" si="9"/>
        <v>1.0058590453809801</v>
      </c>
    </row>
    <row r="41" spans="2:21" x14ac:dyDescent="0.25">
      <c r="H41" s="101">
        <f t="shared" si="4"/>
        <v>9</v>
      </c>
      <c r="I41" s="101">
        <f t="shared" si="5"/>
        <v>36</v>
      </c>
      <c r="J41" s="152" cm="1">
        <f t="array" aca="1" ref="J41:K41" ca="1">LINEST(OFFSET($C$7:$C$8,MAX(ROUNDDOWN($H41-1,0),0),0),OFFSET($B$7:$B$8,MAX(ROUNDDOWN($H41-1,0),0),0))</f>
        <v>-1.5949529618586311E-5</v>
      </c>
      <c r="K41" s="151">
        <f ca="1"/>
        <v>1.0002011919677773</v>
      </c>
      <c r="L41" s="151">
        <f t="shared" ca="1" si="6"/>
        <v>1.0000576462012101</v>
      </c>
      <c r="M41" s="152" cm="1">
        <f t="array" aca="1" ref="M41:N41" ca="1">LINEST(OFFSET($D$6:$D$7,MAX(ROUNDDOWN($H41-1,0),0),0),OFFSET($B$6:$B$7,MAX(ROUNDDOWN($H41-1,0),0),0))</f>
        <v>-3.1494653258645766E-4</v>
      </c>
      <c r="N41" s="151">
        <f ca="1"/>
        <v>1.003394505885401</v>
      </c>
      <c r="O41" s="151">
        <f t="shared" ca="1" si="7"/>
        <v>1.0005599870921229</v>
      </c>
      <c r="P41" s="152" cm="1">
        <f t="array" aca="1" ref="P41:Q41" ca="1">LINEST(OFFSET($E$6:$E$7,MAX(ROUNDDOWN($H41-1,0),0),0),OFFSET($B$6:$B$7,MAX(ROUNDDOWN($H41-1,0),0),0))</f>
        <v>-1.4044759491245173E-3</v>
      </c>
      <c r="Q41" s="151">
        <f ca="1"/>
        <v>1.0155814648943566</v>
      </c>
      <c r="R41" s="151">
        <f t="shared" ca="1" si="8"/>
        <v>1.002941181352236</v>
      </c>
      <c r="S41" s="152" cm="1">
        <f t="array" aca="1" ref="S41:T41" ca="1">LINEST(OFFSET($F$6:$F$7,MAX(ROUNDDOWN($H41-1,0),0),0),OFFSET($B$6:$B$7,MAX(ROUNDDOWN($H41-1,0),0),0))</f>
        <v>-2.5235522659861065E-3</v>
      </c>
      <c r="T41" s="151">
        <f ca="1"/>
        <v>1.0275205877631937</v>
      </c>
      <c r="U41" s="151">
        <f t="shared" ca="1" si="9"/>
        <v>1.0048086173693187</v>
      </c>
    </row>
    <row r="42" spans="2:21" x14ac:dyDescent="0.25">
      <c r="H42" s="101">
        <f t="shared" si="4"/>
        <v>9.25</v>
      </c>
      <c r="I42" s="101">
        <f t="shared" si="5"/>
        <v>37</v>
      </c>
      <c r="J42" s="152" cm="1">
        <f t="array" aca="1" ref="J42:K42" ca="1">LINEST(OFFSET($C$7:$C$8,MAX(ROUNDDOWN($H42-1,0),0),0),OFFSET($B$7:$B$8,MAX(ROUNDDOWN($H42-1,0),0),0))</f>
        <v>-1.5949529618586311E-5</v>
      </c>
      <c r="K42" s="151">
        <f ca="1"/>
        <v>1.0002011919677773</v>
      </c>
      <c r="L42" s="151">
        <f t="shared" ca="1" si="6"/>
        <v>1.0000536588188054</v>
      </c>
      <c r="M42" s="152" cm="1">
        <f t="array" aca="1" ref="M42:N42" ca="1">LINEST(OFFSET($D$6:$D$7,MAX(ROUNDDOWN($H42-1,0),0),0),OFFSET($B$6:$B$7,MAX(ROUNDDOWN($H42-1,0),0),0))</f>
        <v>-3.1494653258645766E-4</v>
      </c>
      <c r="N42" s="151">
        <f ca="1"/>
        <v>1.003394505885401</v>
      </c>
      <c r="O42" s="151">
        <f t="shared" ca="1" si="7"/>
        <v>1.0004812504589762</v>
      </c>
      <c r="P42" s="152" cm="1">
        <f t="array" aca="1" ref="P42:Q42" ca="1">LINEST(OFFSET($E$6:$E$7,MAX(ROUNDDOWN($H42-1,0),0),0),OFFSET($B$6:$B$7,MAX(ROUNDDOWN($H42-1,0),0),0))</f>
        <v>-1.4044759491245173E-3</v>
      </c>
      <c r="Q42" s="151">
        <f ca="1"/>
        <v>1.0155814648943566</v>
      </c>
      <c r="R42" s="151">
        <f t="shared" ca="1" si="8"/>
        <v>1.0025900623649548</v>
      </c>
      <c r="S42" s="152" cm="1">
        <f t="array" aca="1" ref="S42:T42" ca="1">LINEST(OFFSET($F$6:$F$7,MAX(ROUNDDOWN($H42-1,0),0),0),OFFSET($B$6:$B$7,MAX(ROUNDDOWN($H42-1,0),0),0))</f>
        <v>-2.5235522659861065E-3</v>
      </c>
      <c r="T42" s="151">
        <f ca="1"/>
        <v>1.0275205877631937</v>
      </c>
      <c r="U42" s="151">
        <f t="shared" ca="1" si="9"/>
        <v>1.0041777293028222</v>
      </c>
    </row>
    <row r="43" spans="2:21" x14ac:dyDescent="0.25">
      <c r="H43" s="101">
        <f t="shared" si="4"/>
        <v>9.5</v>
      </c>
      <c r="I43" s="101">
        <f t="shared" si="5"/>
        <v>38</v>
      </c>
      <c r="J43" s="152" cm="1">
        <f t="array" aca="1" ref="J43:K43" ca="1">LINEST(OFFSET($C$7:$C$8,MAX(ROUNDDOWN($H43-1,0),0),0),OFFSET($B$7:$B$8,MAX(ROUNDDOWN($H43-1,0),0),0))</f>
        <v>-1.5949529618586311E-5</v>
      </c>
      <c r="K43" s="151">
        <f ca="1"/>
        <v>1.0002011919677773</v>
      </c>
      <c r="L43" s="151">
        <f t="shared" ca="1" si="6"/>
        <v>1.0000496714364009</v>
      </c>
      <c r="M43" s="152" cm="1">
        <f t="array" aca="1" ref="M43:N43" ca="1">LINEST(OFFSET($D$6:$D$7,MAX(ROUNDDOWN($H43-1,0),0),0),OFFSET($B$6:$B$7,MAX(ROUNDDOWN($H43-1,0),0),0))</f>
        <v>-3.1494653258645766E-4</v>
      </c>
      <c r="N43" s="151">
        <f ca="1"/>
        <v>1.003394505885401</v>
      </c>
      <c r="O43" s="151">
        <f t="shared" ca="1" si="7"/>
        <v>1.0004025138258297</v>
      </c>
      <c r="P43" s="152" cm="1">
        <f t="array" aca="1" ref="P43:Q43" ca="1">LINEST(OFFSET($E$6:$E$7,MAX(ROUNDDOWN($H43-1,0),0),0),OFFSET($B$6:$B$7,MAX(ROUNDDOWN($H43-1,0),0),0))</f>
        <v>-1.4044759491245173E-3</v>
      </c>
      <c r="Q43" s="151">
        <f ca="1"/>
        <v>1.0155814648943566</v>
      </c>
      <c r="R43" s="151">
        <f t="shared" ca="1" si="8"/>
        <v>1.0022389433776737</v>
      </c>
      <c r="S43" s="152" cm="1">
        <f t="array" aca="1" ref="S43:T43" ca="1">LINEST(OFFSET($F$6:$F$7,MAX(ROUNDDOWN($H43-1,0),0),0),OFFSET($B$6:$B$7,MAX(ROUNDDOWN($H43-1,0),0),0))</f>
        <v>-2.5235522659861065E-3</v>
      </c>
      <c r="T43" s="151">
        <f ca="1"/>
        <v>1.0275205877631937</v>
      </c>
      <c r="U43" s="151">
        <f t="shared" ca="1" si="9"/>
        <v>1.0035468412363255</v>
      </c>
    </row>
    <row r="44" spans="2:21" x14ac:dyDescent="0.25">
      <c r="H44" s="101">
        <f t="shared" si="4"/>
        <v>9.75</v>
      </c>
      <c r="I44" s="101">
        <f t="shared" si="5"/>
        <v>39</v>
      </c>
      <c r="J44" s="152" cm="1">
        <f t="array" aca="1" ref="J44:K44" ca="1">LINEST(OFFSET($C$7:$C$8,MAX(ROUNDDOWN($H44-1,0),0),0),OFFSET($B$7:$B$8,MAX(ROUNDDOWN($H44-1,0),0),0))</f>
        <v>-1.5949529618586311E-5</v>
      </c>
      <c r="K44" s="151">
        <f ca="1"/>
        <v>1.0002011919677773</v>
      </c>
      <c r="L44" s="151">
        <f t="shared" ca="1" si="6"/>
        <v>1.0000456840539962</v>
      </c>
      <c r="M44" s="152" cm="1">
        <f t="array" aca="1" ref="M44:N44" ca="1">LINEST(OFFSET($D$6:$D$7,MAX(ROUNDDOWN($H44-1,0),0),0),OFFSET($B$6:$B$7,MAX(ROUNDDOWN($H44-1,0),0),0))</f>
        <v>-3.1494653258645766E-4</v>
      </c>
      <c r="N44" s="151">
        <f ca="1"/>
        <v>1.003394505885401</v>
      </c>
      <c r="O44" s="151">
        <f t="shared" ca="1" si="7"/>
        <v>1.000323777192683</v>
      </c>
      <c r="P44" s="152" cm="1">
        <f t="array" aca="1" ref="P44:Q44" ca="1">LINEST(OFFSET($E$6:$E$7,MAX(ROUNDDOWN($H44-1,0),0),0),OFFSET($B$6:$B$7,MAX(ROUNDDOWN($H44-1,0),0),0))</f>
        <v>-1.4044759491245173E-3</v>
      </c>
      <c r="Q44" s="151">
        <f ca="1"/>
        <v>1.0155814648943566</v>
      </c>
      <c r="R44" s="151">
        <f t="shared" ca="1" si="8"/>
        <v>1.0018878243903926</v>
      </c>
      <c r="S44" s="152" cm="1">
        <f t="array" aca="1" ref="S44:T44" ca="1">LINEST(OFFSET($F$6:$F$7,MAX(ROUNDDOWN($H44-1,0),0),0),OFFSET($B$6:$B$7,MAX(ROUNDDOWN($H44-1,0),0),0))</f>
        <v>-2.5235522659861065E-3</v>
      </c>
      <c r="T44" s="151">
        <f ca="1"/>
        <v>1.0275205877631937</v>
      </c>
      <c r="U44" s="151">
        <f t="shared" ca="1" si="9"/>
        <v>1.0029159531698291</v>
      </c>
    </row>
    <row r="45" spans="2:21" x14ac:dyDescent="0.25">
      <c r="H45" s="101">
        <f t="shared" si="4"/>
        <v>10</v>
      </c>
      <c r="I45" s="101">
        <f t="shared" si="5"/>
        <v>40</v>
      </c>
      <c r="J45" s="152" cm="1">
        <f t="array" aca="1" ref="J45:K45" ca="1">LINEST(OFFSET($C$7:$C$8,MAX(ROUNDDOWN($H45-1,0),0),0),OFFSET($B$7:$B$8,MAX(ROUNDDOWN($H45-1,0),0),0))</f>
        <v>-2.5747141972676256E-5</v>
      </c>
      <c r="K45" s="151">
        <f ca="1"/>
        <v>1.0003089657036721</v>
      </c>
      <c r="L45" s="151">
        <f t="shared" ca="1" si="6"/>
        <v>1.0000514942839454</v>
      </c>
      <c r="M45" s="152" cm="1">
        <f t="array" aca="1" ref="M45:N45" ca="1">LINEST(OFFSET($D$6:$D$7,MAX(ROUNDDOWN($H45-1,0),0),0),OFFSET($B$6:$B$7,MAX(ROUNDDOWN($H45-1,0),0),0))</f>
        <v>-4.4408920985006262E-16</v>
      </c>
      <c r="N45" s="151">
        <f ca="1"/>
        <v>1.0002450405595409</v>
      </c>
      <c r="O45" s="151">
        <f t="shared" ca="1" si="7"/>
        <v>1.0002450405595364</v>
      </c>
      <c r="P45" s="152" cm="1">
        <f t="array" aca="1" ref="P45:Q45" ca="1">LINEST(OFFSET($E$6:$E$7,MAX(ROUNDDOWN($H45-1,0),0),0),OFFSET($B$6:$B$7,MAX(ROUNDDOWN($H45-1,0),0),0))</f>
        <v>-9.3845746912690796E-4</v>
      </c>
      <c r="Q45" s="151">
        <f ca="1"/>
        <v>1.0109212800943808</v>
      </c>
      <c r="R45" s="151">
        <f t="shared" ca="1" si="8"/>
        <v>1.0015367054031117</v>
      </c>
      <c r="S45" s="152" cm="1">
        <f t="array" aca="1" ref="S45:T45" ca="1">LINEST(OFFSET($F$6:$F$7,MAX(ROUNDDOWN($H45-1,0),0),0),OFFSET($B$6:$B$7,MAX(ROUNDDOWN($H45-1,0),0),0))</f>
        <v>-1.5363712541922598E-3</v>
      </c>
      <c r="T45" s="151">
        <f ca="1"/>
        <v>1.0176487776452552</v>
      </c>
      <c r="U45" s="151">
        <f t="shared" ca="1" si="9"/>
        <v>1.0022850651033326</v>
      </c>
    </row>
    <row r="46" spans="2:21" x14ac:dyDescent="0.25">
      <c r="H46" s="101">
        <f t="shared" si="4"/>
        <v>10.25</v>
      </c>
      <c r="I46" s="101">
        <f t="shared" si="5"/>
        <v>41</v>
      </c>
      <c r="J46" s="152" cm="1">
        <f t="array" aca="1" ref="J46:K46" ca="1">LINEST(OFFSET($C$7:$C$8,MAX(ROUNDDOWN($H46-1,0),0),0),OFFSET($B$7:$B$8,MAX(ROUNDDOWN($H46-1,0),0),0))</f>
        <v>-2.5747141972676256E-5</v>
      </c>
      <c r="K46" s="151">
        <f ca="1"/>
        <v>1.0003089657036721</v>
      </c>
      <c r="L46" s="151">
        <f t="shared" ca="1" si="6"/>
        <v>1.0000450574984521</v>
      </c>
      <c r="M46" s="152" cm="1">
        <f t="array" aca="1" ref="M46:N46" ca="1">LINEST(OFFSET($D$6:$D$7,MAX(ROUNDDOWN($H46-1,0),0),0),OFFSET($B$6:$B$7,MAX(ROUNDDOWN($H46-1,0),0),0))</f>
        <v>-4.4408920985006262E-16</v>
      </c>
      <c r="N46" s="151">
        <f ca="1"/>
        <v>1.0002450405595409</v>
      </c>
      <c r="O46" s="151">
        <f t="shared" ca="1" si="7"/>
        <v>1.0002450405595362</v>
      </c>
      <c r="P46" s="152" cm="1">
        <f t="array" aca="1" ref="P46:Q46" ca="1">LINEST(OFFSET($E$6:$E$7,MAX(ROUNDDOWN($H46-1,0),0),0),OFFSET($B$6:$B$7,MAX(ROUNDDOWN($H46-1,0),0),0))</f>
        <v>-9.3845746912690796E-4</v>
      </c>
      <c r="Q46" s="151">
        <f ca="1"/>
        <v>1.0109212800943808</v>
      </c>
      <c r="R46" s="151">
        <f t="shared" ca="1" si="8"/>
        <v>1.0013020910358299</v>
      </c>
      <c r="S46" s="152" cm="1">
        <f t="array" aca="1" ref="S46:T46" ca="1">LINEST(OFFSET($F$6:$F$7,MAX(ROUNDDOWN($H46-1,0),0),0),OFFSET($B$6:$B$7,MAX(ROUNDDOWN($H46-1,0),0),0))</f>
        <v>-1.5363712541922598E-3</v>
      </c>
      <c r="T46" s="151">
        <f ca="1"/>
        <v>1.0176487776452552</v>
      </c>
      <c r="U46" s="151">
        <f t="shared" ca="1" si="9"/>
        <v>1.0019009722897845</v>
      </c>
    </row>
    <row r="47" spans="2:21" x14ac:dyDescent="0.25">
      <c r="H47" s="101">
        <f t="shared" si="4"/>
        <v>10.5</v>
      </c>
      <c r="I47" s="101">
        <f t="shared" si="5"/>
        <v>42</v>
      </c>
      <c r="J47" s="152" cm="1">
        <f t="array" aca="1" ref="J47:K47" ca="1">LINEST(OFFSET($C$7:$C$8,MAX(ROUNDDOWN($H47-1,0),0),0),OFFSET($B$7:$B$8,MAX(ROUNDDOWN($H47-1,0),0),0))</f>
        <v>-2.5747141972676256E-5</v>
      </c>
      <c r="K47" s="151">
        <f ca="1"/>
        <v>1.0003089657036721</v>
      </c>
      <c r="L47" s="151">
        <f t="shared" ca="1" si="6"/>
        <v>1.000038620712959</v>
      </c>
      <c r="M47" s="152" cm="1">
        <f t="array" aca="1" ref="M47:N47" ca="1">LINEST(OFFSET($D$6:$D$7,MAX(ROUNDDOWN($H47-1,0),0),0),OFFSET($B$6:$B$7,MAX(ROUNDDOWN($H47-1,0),0),0))</f>
        <v>-4.4408920985006262E-16</v>
      </c>
      <c r="N47" s="151">
        <f ca="1"/>
        <v>1.0002450405595409</v>
      </c>
      <c r="O47" s="151">
        <f t="shared" ca="1" si="7"/>
        <v>1.0002450405595362</v>
      </c>
      <c r="P47" s="152" cm="1">
        <f t="array" aca="1" ref="P47:Q47" ca="1">LINEST(OFFSET($E$6:$E$7,MAX(ROUNDDOWN($H47-1,0),0),0),OFFSET($B$6:$B$7,MAX(ROUNDDOWN($H47-1,0),0),0))</f>
        <v>-9.3845746912690796E-4</v>
      </c>
      <c r="Q47" s="151">
        <f ca="1"/>
        <v>1.0109212800943808</v>
      </c>
      <c r="R47" s="151">
        <f t="shared" ca="1" si="8"/>
        <v>1.0010674766685481</v>
      </c>
      <c r="S47" s="152" cm="1">
        <f t="array" aca="1" ref="S47:T47" ca="1">LINEST(OFFSET($F$6:$F$7,MAX(ROUNDDOWN($H47-1,0),0),0),OFFSET($B$6:$B$7,MAX(ROUNDDOWN($H47-1,0),0),0))</f>
        <v>-1.5363712541922598E-3</v>
      </c>
      <c r="T47" s="151">
        <f ca="1"/>
        <v>1.0176487776452552</v>
      </c>
      <c r="U47" s="151">
        <f t="shared" ca="1" si="9"/>
        <v>1.0015168794762364</v>
      </c>
    </row>
    <row r="48" spans="2:21" x14ac:dyDescent="0.25">
      <c r="H48" s="101">
        <f t="shared" si="4"/>
        <v>10.75</v>
      </c>
      <c r="I48" s="101">
        <f t="shared" si="5"/>
        <v>43</v>
      </c>
      <c r="J48" s="152" cm="1">
        <f t="array" aca="1" ref="J48:K48" ca="1">LINEST(OFFSET($C$7:$C$8,MAX(ROUNDDOWN($H48-1,0),0),0),OFFSET($B$7:$B$8,MAX(ROUNDDOWN($H48-1,0),0),0))</f>
        <v>-2.5747141972676256E-5</v>
      </c>
      <c r="K48" s="151">
        <f ca="1"/>
        <v>1.0003089657036721</v>
      </c>
      <c r="L48" s="151">
        <f t="shared" ca="1" si="6"/>
        <v>1.0000321839274657</v>
      </c>
      <c r="M48" s="152" cm="1">
        <f t="array" aca="1" ref="M48:N48" ca="1">LINEST(OFFSET($D$6:$D$7,MAX(ROUNDDOWN($H48-1,0),0),0),OFFSET($B$6:$B$7,MAX(ROUNDDOWN($H48-1,0),0),0))</f>
        <v>-4.4408920985006262E-16</v>
      </c>
      <c r="N48" s="151">
        <f ca="1"/>
        <v>1.0002450405595409</v>
      </c>
      <c r="O48" s="151">
        <f t="shared" ca="1" si="7"/>
        <v>1.0002450405595362</v>
      </c>
      <c r="P48" s="152" cm="1">
        <f t="array" aca="1" ref="P48:Q48" ca="1">LINEST(OFFSET($E$6:$E$7,MAX(ROUNDDOWN($H48-1,0),0),0),OFFSET($B$6:$B$7,MAX(ROUNDDOWN($H48-1,0),0),0))</f>
        <v>-9.3845746912690796E-4</v>
      </c>
      <c r="Q48" s="151">
        <f ca="1"/>
        <v>1.0109212800943808</v>
      </c>
      <c r="R48" s="151">
        <f t="shared" ca="1" si="8"/>
        <v>1.0008328623012666</v>
      </c>
      <c r="S48" s="152" cm="1">
        <f t="array" aca="1" ref="S48:T48" ca="1">LINEST(OFFSET($F$6:$F$7,MAX(ROUNDDOWN($H48-1,0),0),0),OFFSET($B$6:$B$7,MAX(ROUNDDOWN($H48-1,0),0),0))</f>
        <v>-1.5363712541922598E-3</v>
      </c>
      <c r="T48" s="151">
        <f ca="1"/>
        <v>1.0176487776452552</v>
      </c>
      <c r="U48" s="151">
        <f t="shared" ca="1" si="9"/>
        <v>1.0011327866626885</v>
      </c>
    </row>
    <row r="49" spans="8:21" x14ac:dyDescent="0.25">
      <c r="H49" s="101">
        <f t="shared" si="4"/>
        <v>11</v>
      </c>
      <c r="I49" s="101">
        <f t="shared" si="5"/>
        <v>44</v>
      </c>
      <c r="J49" s="152" cm="1">
        <f t="array" aca="1" ref="J49:K49" ca="1">LINEST(OFFSET($C$7:$C$8,MAX(ROUNDDOWN($H49-1,0),0),0),OFFSET($B$7:$B$8,MAX(ROUNDDOWN($H49-1,0),0),0))</f>
        <v>0</v>
      </c>
      <c r="K49" s="151">
        <f ca="1"/>
        <v>1</v>
      </c>
      <c r="L49" s="151">
        <f t="shared" ca="1" si="6"/>
        <v>1</v>
      </c>
      <c r="M49" s="152" cm="1">
        <f t="array" aca="1" ref="M49:N49" ca="1">LINEST(OFFSET($D$6:$D$7,MAX(ROUNDDOWN($H49-1,0),0),0),OFFSET($B$6:$B$7,MAX(ROUNDDOWN($H49-1,0),0),0))</f>
        <v>-2.4504055952845338E-4</v>
      </c>
      <c r="N49" s="151">
        <f ca="1"/>
        <v>1.0029404867143492</v>
      </c>
      <c r="O49" s="151">
        <f t="shared" ca="1" si="7"/>
        <v>1.0002450405595362</v>
      </c>
      <c r="P49" s="152" cm="1">
        <f t="array" aca="1" ref="P49:Q49" ca="1">LINEST(OFFSET($E$6:$E$7,MAX(ROUNDDOWN($H49-1,0),0),0),OFFSET($B$6:$B$7,MAX(ROUNDDOWN($H49-1,0),0),0))</f>
        <v>-5.2469569331736765E-4</v>
      </c>
      <c r="Q49" s="151">
        <f ca="1"/>
        <v>1.0063699005604756</v>
      </c>
      <c r="R49" s="151">
        <f t="shared" ca="1" si="8"/>
        <v>1.0005982479339846</v>
      </c>
      <c r="S49" s="152" cm="1">
        <f t="array" aca="1" ref="S49:T49" ca="1">LINEST(OFFSET($F$6:$F$7,MAX(ROUNDDOWN($H49-1,0),0),0),OFFSET($B$6:$B$7,MAX(ROUNDDOWN($H49-1,0),0),0))</f>
        <v>-6.491643291688386E-4</v>
      </c>
      <c r="T49" s="151">
        <f ca="1"/>
        <v>1.0078895014699976</v>
      </c>
      <c r="U49" s="151">
        <f t="shared" ca="1" si="9"/>
        <v>1.0007486938491403</v>
      </c>
    </row>
    <row r="50" spans="8:21" x14ac:dyDescent="0.25">
      <c r="H50" s="101">
        <f t="shared" si="4"/>
        <v>11.25</v>
      </c>
      <c r="I50" s="101">
        <f t="shared" si="5"/>
        <v>45</v>
      </c>
      <c r="J50" s="152" cm="1">
        <f t="array" aca="1" ref="J50:K50" ca="1">LINEST(OFFSET($C$7:$C$8,MAX(ROUNDDOWN($H50-1,0),0),0),OFFSET($B$7:$B$8,MAX(ROUNDDOWN($H50-1,0),0),0))</f>
        <v>0</v>
      </c>
      <c r="K50" s="151">
        <f ca="1"/>
        <v>1</v>
      </c>
      <c r="L50" s="151">
        <f t="shared" ca="1" si="6"/>
        <v>1</v>
      </c>
      <c r="M50" s="152" cm="1">
        <f t="array" aca="1" ref="M50:N50" ca="1">LINEST(OFFSET($D$6:$D$7,MAX(ROUNDDOWN($H50-1,0),0),0),OFFSET($B$6:$B$7,MAX(ROUNDDOWN($H50-1,0),0),0))</f>
        <v>-2.4504055952845338E-4</v>
      </c>
      <c r="N50" s="151">
        <f ca="1"/>
        <v>1.0029404867143492</v>
      </c>
      <c r="O50" s="151">
        <f t="shared" ca="1" si="7"/>
        <v>1.0001837804196541</v>
      </c>
      <c r="P50" s="152" cm="1">
        <f t="array" aca="1" ref="P50:Q50" ca="1">LINEST(OFFSET($E$6:$E$7,MAX(ROUNDDOWN($H50-1,0),0),0),OFFSET($B$6:$B$7,MAX(ROUNDDOWN($H50-1,0),0),0))</f>
        <v>-5.2469569331736765E-4</v>
      </c>
      <c r="Q50" s="151">
        <f ca="1"/>
        <v>1.0063699005604756</v>
      </c>
      <c r="R50" s="151">
        <f t="shared" ca="1" si="8"/>
        <v>1.0004670740106552</v>
      </c>
      <c r="S50" s="152" cm="1">
        <f t="array" aca="1" ref="S50:T50" ca="1">LINEST(OFFSET($F$6:$F$7,MAX(ROUNDDOWN($H50-1,0),0),0),OFFSET($B$6:$B$7,MAX(ROUNDDOWN($H50-1,0),0),0))</f>
        <v>-6.491643291688386E-4</v>
      </c>
      <c r="T50" s="151">
        <f ca="1"/>
        <v>1.0078895014699976</v>
      </c>
      <c r="U50" s="151">
        <f t="shared" ca="1" si="9"/>
        <v>1.0005864027668481</v>
      </c>
    </row>
    <row r="51" spans="8:21" x14ac:dyDescent="0.25">
      <c r="H51" s="101">
        <f t="shared" si="4"/>
        <v>11.5</v>
      </c>
      <c r="I51" s="101">
        <f t="shared" si="5"/>
        <v>46</v>
      </c>
      <c r="J51" s="152" cm="1">
        <f t="array" aca="1" ref="J51:K51" ca="1">LINEST(OFFSET($C$7:$C$8,MAX(ROUNDDOWN($H51-1,0),0),0),OFFSET($B$7:$B$8,MAX(ROUNDDOWN($H51-1,0),0),0))</f>
        <v>0</v>
      </c>
      <c r="K51" s="151">
        <f ca="1"/>
        <v>1</v>
      </c>
      <c r="L51" s="151">
        <f t="shared" ca="1" si="6"/>
        <v>1</v>
      </c>
      <c r="M51" s="152" cm="1">
        <f t="array" aca="1" ref="M51:N51" ca="1">LINEST(OFFSET($D$6:$D$7,MAX(ROUNDDOWN($H51-1,0),0),0),OFFSET($B$6:$B$7,MAX(ROUNDDOWN($H51-1,0),0),0))</f>
        <v>-2.4504055952845338E-4</v>
      </c>
      <c r="N51" s="151">
        <f ca="1"/>
        <v>1.0029404867143492</v>
      </c>
      <c r="O51" s="151">
        <f t="shared" ca="1" si="7"/>
        <v>1.0001225202797719</v>
      </c>
      <c r="P51" s="152" cm="1">
        <f t="array" aca="1" ref="P51:Q51" ca="1">LINEST(OFFSET($E$6:$E$7,MAX(ROUNDDOWN($H51-1,0),0),0),OFFSET($B$6:$B$7,MAX(ROUNDDOWN($H51-1,0),0),0))</f>
        <v>-5.2469569331736765E-4</v>
      </c>
      <c r="Q51" s="151">
        <f ca="1"/>
        <v>1.0063699005604756</v>
      </c>
      <c r="R51" s="151">
        <f t="shared" ca="1" si="8"/>
        <v>1.0003359000873258</v>
      </c>
      <c r="S51" s="152" cm="1">
        <f t="array" aca="1" ref="S51:T51" ca="1">LINEST(OFFSET($F$6:$F$7,MAX(ROUNDDOWN($H51-1,0),0),0),OFFSET($B$6:$B$7,MAX(ROUNDDOWN($H51-1,0),0),0))</f>
        <v>-6.491643291688386E-4</v>
      </c>
      <c r="T51" s="151">
        <f ca="1"/>
        <v>1.0078895014699976</v>
      </c>
      <c r="U51" s="151">
        <f t="shared" ca="1" si="9"/>
        <v>1.000424111684556</v>
      </c>
    </row>
    <row r="52" spans="8:21" x14ac:dyDescent="0.25">
      <c r="H52" s="101">
        <f t="shared" si="4"/>
        <v>11.75</v>
      </c>
      <c r="I52" s="101">
        <f t="shared" si="5"/>
        <v>47</v>
      </c>
      <c r="J52" s="152" cm="1">
        <f t="array" aca="1" ref="J52:K52" ca="1">LINEST(OFFSET($C$7:$C$8,MAX(ROUNDDOWN($H52-1,0),0),0),OFFSET($B$7:$B$8,MAX(ROUNDDOWN($H52-1,0),0),0))</f>
        <v>0</v>
      </c>
      <c r="K52" s="151">
        <f ca="1"/>
        <v>1</v>
      </c>
      <c r="L52" s="151">
        <f t="shared" ca="1" si="6"/>
        <v>1</v>
      </c>
      <c r="M52" s="152" cm="1">
        <f t="array" aca="1" ref="M52:N52" ca="1">LINEST(OFFSET($D$6:$D$7,MAX(ROUNDDOWN($H52-1,0),0),0),OFFSET($B$6:$B$7,MAX(ROUNDDOWN($H52-1,0),0),0))</f>
        <v>-2.4504055952845338E-4</v>
      </c>
      <c r="N52" s="151">
        <f ca="1"/>
        <v>1.0029404867143492</v>
      </c>
      <c r="O52" s="151">
        <f t="shared" ca="1" si="7"/>
        <v>1.0000612601398899</v>
      </c>
      <c r="P52" s="152" cm="1">
        <f t="array" aca="1" ref="P52:Q52" ca="1">LINEST(OFFSET($E$6:$E$7,MAX(ROUNDDOWN($H52-1,0),0),0),OFFSET($B$6:$B$7,MAX(ROUNDDOWN($H52-1,0),0),0))</f>
        <v>-5.2469569331736765E-4</v>
      </c>
      <c r="Q52" s="151">
        <f ca="1"/>
        <v>1.0063699005604756</v>
      </c>
      <c r="R52" s="151">
        <f t="shared" ca="1" si="8"/>
        <v>1.0002047261639966</v>
      </c>
      <c r="S52" s="152" cm="1">
        <f t="array" aca="1" ref="S52:T52" ca="1">LINEST(OFFSET($F$6:$F$7,MAX(ROUNDDOWN($H52-1,0),0),0),OFFSET($B$6:$B$7,MAX(ROUNDDOWN($H52-1,0),0),0))</f>
        <v>-6.491643291688386E-4</v>
      </c>
      <c r="T52" s="151">
        <f ca="1"/>
        <v>1.0078895014699976</v>
      </c>
      <c r="U52" s="151">
        <f t="shared" ca="1" si="9"/>
        <v>1.0002618206022638</v>
      </c>
    </row>
    <row r="53" spans="8:21" x14ac:dyDescent="0.25">
      <c r="H53" s="101">
        <f t="shared" si="4"/>
        <v>12</v>
      </c>
      <c r="I53" s="101">
        <f t="shared" si="5"/>
        <v>48</v>
      </c>
      <c r="J53" s="152" cm="1">
        <f t="array" aca="1" ref="J53:K53" ca="1">LINEST(OFFSET($C$7:$C$8,MAX(ROUNDDOWN($H53-1,0),0),0),OFFSET($B$7:$B$8,MAX(ROUNDDOWN($H53-1,0),0),0))</f>
        <v>0</v>
      </c>
      <c r="K53" s="151">
        <f ca="1"/>
        <v>1</v>
      </c>
      <c r="L53" s="151">
        <f t="shared" ca="1" si="6"/>
        <v>1</v>
      </c>
      <c r="M53" s="152" cm="1">
        <f t="array" aca="1" ref="M53:N53" ca="1">LINEST(OFFSET($D$6:$D$7,MAX(ROUNDDOWN($H53-1,0),0),0),OFFSET($B$6:$B$7,MAX(ROUNDDOWN($H53-1,0),0),0))</f>
        <v>1.3322676295501878E-15</v>
      </c>
      <c r="N53" s="151">
        <f ca="1"/>
        <v>0.99999999999999156</v>
      </c>
      <c r="O53" s="151">
        <f t="shared" ca="1" si="7"/>
        <v>1.0000000000000075</v>
      </c>
      <c r="P53" s="152" cm="1">
        <f t="array" aca="1" ref="P53:Q53" ca="1">LINEST(OFFSET($E$6:$E$7,MAX(ROUNDDOWN($H53-1,0),0),0),OFFSET($B$6:$B$7,MAX(ROUNDDOWN($H53-1,0),0),0))</f>
        <v>-7.4312740191317963E-5</v>
      </c>
      <c r="Q53" s="151">
        <f ca="1"/>
        <v>1.000965305122963</v>
      </c>
      <c r="R53" s="151">
        <f t="shared" ca="1" si="8"/>
        <v>1.0000735522406672</v>
      </c>
      <c r="S53" s="152" cm="1">
        <f t="array" aca="1" ref="S53:T53" ca="1">LINEST(OFFSET($F$6:$F$7,MAX(ROUNDDOWN($H53-1,0),0),0),OFFSET($B$6:$B$7,MAX(ROUNDDOWN($H53-1,0),0),0))</f>
        <v>-9.9529519973051719E-5</v>
      </c>
      <c r="T53" s="151">
        <f ca="1"/>
        <v>1.0012938837596481</v>
      </c>
      <c r="U53" s="151">
        <f t="shared" ca="1" si="9"/>
        <v>1.0000995295199715</v>
      </c>
    </row>
    <row r="54" spans="8:21" x14ac:dyDescent="0.25">
      <c r="H54" s="101">
        <f t="shared" si="4"/>
        <v>12.25</v>
      </c>
      <c r="I54" s="101">
        <f t="shared" si="5"/>
        <v>49</v>
      </c>
      <c r="J54" s="152" cm="1">
        <f t="array" aca="1" ref="J54:K54" ca="1">LINEST(OFFSET($C$7:$C$8,MAX(ROUNDDOWN($H54-1,0),0),0),OFFSET($B$7:$B$8,MAX(ROUNDDOWN($H54-1,0),0),0))</f>
        <v>0</v>
      </c>
      <c r="K54" s="151">
        <f ca="1"/>
        <v>1</v>
      </c>
      <c r="L54" s="151">
        <f t="shared" ca="1" si="6"/>
        <v>1</v>
      </c>
      <c r="M54" s="152" cm="1">
        <f t="array" aca="1" ref="M54:N54" ca="1">LINEST(OFFSET($D$6:$D$7,MAX(ROUNDDOWN($H54-1,0),0),0),OFFSET($B$6:$B$7,MAX(ROUNDDOWN($H54-1,0),0),0))</f>
        <v>1.3322676295501878E-15</v>
      </c>
      <c r="N54" s="151">
        <f ca="1"/>
        <v>0.99999999999999156</v>
      </c>
      <c r="O54" s="151">
        <f t="shared" ca="1" si="7"/>
        <v>1.000000000000008</v>
      </c>
      <c r="P54" s="152" cm="1">
        <f t="array" aca="1" ref="P54:Q54" ca="1">LINEST(OFFSET($E$6:$E$7,MAX(ROUNDDOWN($H54-1,0),0),0),OFFSET($B$6:$B$7,MAX(ROUNDDOWN($H54-1,0),0),0))</f>
        <v>-7.4312740191317963E-5</v>
      </c>
      <c r="Q54" s="151">
        <f ca="1"/>
        <v>1.000965305122963</v>
      </c>
      <c r="R54" s="151">
        <f t="shared" ca="1" si="8"/>
        <v>1.0000549740556193</v>
      </c>
      <c r="S54" s="152" cm="1">
        <f t="array" aca="1" ref="S54:T54" ca="1">LINEST(OFFSET($F$6:$F$7,MAX(ROUNDDOWN($H54-1,0),0),0),OFFSET($B$6:$B$7,MAX(ROUNDDOWN($H54-1,0),0),0))</f>
        <v>-9.9529519973051719E-5</v>
      </c>
      <c r="T54" s="151">
        <f ca="1"/>
        <v>1.0012938837596481</v>
      </c>
      <c r="U54" s="151">
        <f t="shared" ca="1" si="9"/>
        <v>1.0000746471399782</v>
      </c>
    </row>
    <row r="55" spans="8:21" x14ac:dyDescent="0.25">
      <c r="H55" s="101">
        <f t="shared" si="4"/>
        <v>12.5</v>
      </c>
      <c r="I55" s="101">
        <f t="shared" si="5"/>
        <v>50</v>
      </c>
      <c r="J55" s="152" cm="1">
        <f t="array" aca="1" ref="J55:K55" ca="1">LINEST(OFFSET($C$7:$C$8,MAX(ROUNDDOWN($H55-1,0),0),0),OFFSET($B$7:$B$8,MAX(ROUNDDOWN($H55-1,0),0),0))</f>
        <v>0</v>
      </c>
      <c r="K55" s="151">
        <f ca="1"/>
        <v>1</v>
      </c>
      <c r="L55" s="151">
        <f t="shared" ca="1" si="6"/>
        <v>1</v>
      </c>
      <c r="M55" s="152" cm="1">
        <f t="array" aca="1" ref="M55:N55" ca="1">LINEST(OFFSET($D$6:$D$7,MAX(ROUNDDOWN($H55-1,0),0),0),OFFSET($B$6:$B$7,MAX(ROUNDDOWN($H55-1,0),0),0))</f>
        <v>1.3322676295501878E-15</v>
      </c>
      <c r="N55" s="151">
        <f ca="1"/>
        <v>0.99999999999999156</v>
      </c>
      <c r="O55" s="151">
        <f t="shared" ca="1" si="7"/>
        <v>1.0000000000000082</v>
      </c>
      <c r="P55" s="152" cm="1">
        <f t="array" aca="1" ref="P55:Q55" ca="1">LINEST(OFFSET($E$6:$E$7,MAX(ROUNDDOWN($H55-1,0),0),0),OFFSET($B$6:$B$7,MAX(ROUNDDOWN($H55-1,0),0),0))</f>
        <v>-7.4312740191317963E-5</v>
      </c>
      <c r="Q55" s="151">
        <f ca="1"/>
        <v>1.000965305122963</v>
      </c>
      <c r="R55" s="151">
        <f t="shared" ca="1" si="8"/>
        <v>1.0000363958705716</v>
      </c>
      <c r="S55" s="152" cm="1">
        <f t="array" aca="1" ref="S55:T55" ca="1">LINEST(OFFSET($F$6:$F$7,MAX(ROUNDDOWN($H55-1,0),0),0),OFFSET($B$6:$B$7,MAX(ROUNDDOWN($H55-1,0),0),0))</f>
        <v>-9.9529519973051719E-5</v>
      </c>
      <c r="T55" s="151">
        <f ca="1"/>
        <v>1.0012938837596481</v>
      </c>
      <c r="U55" s="151">
        <f t="shared" ca="1" si="9"/>
        <v>1.0000497647599849</v>
      </c>
    </row>
    <row r="56" spans="8:21" x14ac:dyDescent="0.25">
      <c r="H56" s="101">
        <f t="shared" si="4"/>
        <v>12.75</v>
      </c>
      <c r="I56" s="101">
        <f t="shared" si="5"/>
        <v>51</v>
      </c>
      <c r="J56" s="152" cm="1">
        <f t="array" aca="1" ref="J56:K56" ca="1">LINEST(OFFSET($C$7:$C$8,MAX(ROUNDDOWN($H56-1,0),0),0),OFFSET($B$7:$B$8,MAX(ROUNDDOWN($H56-1,0),0),0))</f>
        <v>0</v>
      </c>
      <c r="K56" s="151">
        <f ca="1"/>
        <v>1</v>
      </c>
      <c r="L56" s="151">
        <f t="shared" ca="1" si="6"/>
        <v>1</v>
      </c>
      <c r="M56" s="152" cm="1">
        <f t="array" aca="1" ref="M56:N56" ca="1">LINEST(OFFSET($D$6:$D$7,MAX(ROUNDDOWN($H56-1,0),0),0),OFFSET($B$6:$B$7,MAX(ROUNDDOWN($H56-1,0),0),0))</f>
        <v>1.3322676295501878E-15</v>
      </c>
      <c r="N56" s="151">
        <f ca="1"/>
        <v>0.99999999999999156</v>
      </c>
      <c r="O56" s="151">
        <f t="shared" ca="1" si="7"/>
        <v>1.0000000000000084</v>
      </c>
      <c r="P56" s="152" cm="1">
        <f t="array" aca="1" ref="P56:Q56" ca="1">LINEST(OFFSET($E$6:$E$7,MAX(ROUNDDOWN($H56-1,0),0),0),OFFSET($B$6:$B$7,MAX(ROUNDDOWN($H56-1,0),0),0))</f>
        <v>-7.4312740191317963E-5</v>
      </c>
      <c r="Q56" s="151">
        <f ca="1"/>
        <v>1.000965305122963</v>
      </c>
      <c r="R56" s="151">
        <f t="shared" ca="1" si="8"/>
        <v>1.0000178176855237</v>
      </c>
      <c r="S56" s="152" cm="1">
        <f t="array" aca="1" ref="S56:T56" ca="1">LINEST(OFFSET($F$6:$F$7,MAX(ROUNDDOWN($H56-1,0),0),0),OFFSET($B$6:$B$7,MAX(ROUNDDOWN($H56-1,0),0),0))</f>
        <v>-9.9529519973051719E-5</v>
      </c>
      <c r="T56" s="151">
        <f ca="1"/>
        <v>1.0012938837596481</v>
      </c>
      <c r="U56" s="151">
        <f t="shared" ca="1" si="9"/>
        <v>1.0000248823799918</v>
      </c>
    </row>
    <row r="57" spans="8:21" x14ac:dyDescent="0.25">
      <c r="H57" s="101">
        <f t="shared" si="4"/>
        <v>13</v>
      </c>
      <c r="I57" s="101">
        <f t="shared" si="5"/>
        <v>52</v>
      </c>
      <c r="J57" s="153" cm="1">
        <f t="array" aca="1" ref="J57:K57" ca="1">LINEST(OFFSET($C$7:$C$8,MAX(ROUNDDOWN($H57-1,0),0),0),OFFSET($B$7:$B$8,MAX(ROUNDDOWN($H57-1,0),0),0))</f>
        <v>0</v>
      </c>
      <c r="K57" s="154">
        <f ca="1"/>
        <v>1</v>
      </c>
      <c r="L57" s="154">
        <f t="shared" ca="1" si="6"/>
        <v>1</v>
      </c>
      <c r="M57" s="153" cm="1">
        <f t="array" aca="1" ref="M57:N57" ca="1">LINEST(OFFSET($D$6:$D$7,MAX(ROUNDDOWN($H57-1,0),0),0),OFFSET($B$6:$B$7,MAX(ROUNDDOWN($H57-1,0),0),0))</f>
        <v>-4.440892098500627E-15</v>
      </c>
      <c r="N57" s="154">
        <f ca="1"/>
        <v>1.0000000000000666</v>
      </c>
      <c r="O57" s="154">
        <f t="shared" ca="1" si="7"/>
        <v>1.0000000000000089</v>
      </c>
      <c r="P57" s="153" cm="1">
        <f t="array" aca="1" ref="P57:Q57" ca="1">LINEST(OFFSET($E$6:$E$7,MAX(ROUNDDOWN($H57-1,0),0),0),OFFSET($B$6:$B$7,MAX(ROUNDDOWN($H57-1,0),0),0))</f>
        <v>-5.065065578069295E-8</v>
      </c>
      <c r="Q57" s="154">
        <f ca="1"/>
        <v>0.99999989795900102</v>
      </c>
      <c r="R57" s="154">
        <f t="shared" ca="1" si="8"/>
        <v>0.99999923950047587</v>
      </c>
      <c r="S57" s="153" cm="1">
        <f t="array" aca="1" ref="S57:T57" ca="1">LINEST(OFFSET($F$6:$F$7,MAX(ROUNDDOWN($H57-1,0),0),0),OFFSET($B$6:$B$7,MAX(ROUNDDOWN($H57-1,0),0),0))</f>
        <v>0</v>
      </c>
      <c r="T57" s="154">
        <f ca="1"/>
        <v>0.99999999999999845</v>
      </c>
      <c r="U57" s="154">
        <f t="shared" ca="1" si="9"/>
        <v>0.99999999999999845</v>
      </c>
    </row>
  </sheetData>
  <mergeCells count="2">
    <mergeCell ref="C1:H1"/>
    <mergeCell ref="J1:U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EFDCE-5090-4A02-A969-DC3E1BCF8033}">
  <sheetPr codeName="Sheet5">
    <tabColor rgb="FF0070C0"/>
  </sheetPr>
  <dimension ref="A1"/>
  <sheetViews>
    <sheetView showGridLines="0" workbookViewId="0">
      <selection activeCell="Y14" sqref="Y14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A48B0-96A0-4920-BBA9-5A1A470140B2}">
  <sheetPr codeName="Sheet6"/>
  <dimension ref="B1:AJ59"/>
  <sheetViews>
    <sheetView showGridLines="0" topLeftCell="K1" zoomScale="70" zoomScaleNormal="70" workbookViewId="0">
      <selection activeCell="Y14" sqref="Y14"/>
    </sheetView>
  </sheetViews>
  <sheetFormatPr defaultRowHeight="15" outlineLevelRow="1" x14ac:dyDescent="0.25"/>
  <cols>
    <col min="2" max="2" width="9.140625" customWidth="1"/>
    <col min="3" max="3" width="18.7109375" customWidth="1"/>
    <col min="4" max="4" width="23.28515625" customWidth="1"/>
    <col min="5" max="5" width="55.28515625" customWidth="1"/>
    <col min="6" max="18" width="16.7109375" customWidth="1"/>
    <col min="19" max="27" width="13.140625" bestFit="1" customWidth="1"/>
    <col min="28" max="28" width="13.28515625" bestFit="1" customWidth="1"/>
    <col min="29" max="29" width="13.140625" bestFit="1" customWidth="1"/>
    <col min="30" max="30" width="13.42578125" bestFit="1" customWidth="1"/>
    <col min="31" max="33" width="16" customWidth="1"/>
    <col min="36" max="36" width="17.140625" bestFit="1" customWidth="1"/>
  </cols>
  <sheetData>
    <row r="1" spans="3:36" x14ac:dyDescent="0.25">
      <c r="E1" s="47" t="s">
        <v>320</v>
      </c>
    </row>
    <row r="2" spans="3:36" ht="18.75" x14ac:dyDescent="0.3">
      <c r="E2" s="183" t="s">
        <v>1</v>
      </c>
      <c r="F2" s="189" t="s">
        <v>329</v>
      </c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"/>
      <c r="AA2" s="1"/>
      <c r="AB2" s="1"/>
      <c r="AC2" s="1"/>
      <c r="AD2" s="2"/>
      <c r="AE2" s="4"/>
      <c r="AF2" s="1"/>
      <c r="AG2" s="2"/>
    </row>
    <row r="3" spans="3:36" ht="18.75" x14ac:dyDescent="0.3">
      <c r="E3" s="19"/>
      <c r="F3" s="503" t="s">
        <v>237</v>
      </c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503"/>
      <c r="Z3" s="503"/>
      <c r="AA3" s="503"/>
      <c r="AB3" s="503"/>
      <c r="AC3" s="503"/>
      <c r="AD3" s="504"/>
      <c r="AE3" s="500" t="s">
        <v>8</v>
      </c>
      <c r="AF3" s="501"/>
      <c r="AG3" s="502"/>
      <c r="AJ3" s="66" t="s">
        <v>26</v>
      </c>
    </row>
    <row r="4" spans="3:36" ht="18.75" x14ac:dyDescent="0.3">
      <c r="E4" s="22" t="s">
        <v>187</v>
      </c>
      <c r="F4" s="191">
        <f t="shared" ref="F4:S4" si="0">EDATE(G4,-1)</f>
        <v>45139</v>
      </c>
      <c r="G4" s="191">
        <f t="shared" si="0"/>
        <v>45170</v>
      </c>
      <c r="H4" s="191">
        <f t="shared" si="0"/>
        <v>45200</v>
      </c>
      <c r="I4" s="191">
        <f t="shared" si="0"/>
        <v>45231</v>
      </c>
      <c r="J4" s="191">
        <f t="shared" si="0"/>
        <v>45261</v>
      </c>
      <c r="K4" s="191">
        <f t="shared" si="0"/>
        <v>45292</v>
      </c>
      <c r="L4" s="191">
        <f t="shared" si="0"/>
        <v>45323</v>
      </c>
      <c r="M4" s="191">
        <f t="shared" si="0"/>
        <v>45352</v>
      </c>
      <c r="N4" s="191">
        <f t="shared" si="0"/>
        <v>45383</v>
      </c>
      <c r="O4" s="191">
        <f t="shared" si="0"/>
        <v>45413</v>
      </c>
      <c r="P4" s="191">
        <f t="shared" si="0"/>
        <v>45444</v>
      </c>
      <c r="Q4" s="191">
        <f t="shared" si="0"/>
        <v>45474</v>
      </c>
      <c r="R4" s="191">
        <f t="shared" si="0"/>
        <v>45505</v>
      </c>
      <c r="S4" s="191">
        <f t="shared" si="0"/>
        <v>45536</v>
      </c>
      <c r="T4" s="191">
        <f t="shared" ref="T4:AC4" si="1">EDATE(U4,-1)</f>
        <v>45566</v>
      </c>
      <c r="U4" s="191">
        <f t="shared" si="1"/>
        <v>45597</v>
      </c>
      <c r="V4" s="191">
        <f t="shared" si="1"/>
        <v>45627</v>
      </c>
      <c r="W4" s="191">
        <f t="shared" si="1"/>
        <v>45658</v>
      </c>
      <c r="X4" s="191">
        <f t="shared" si="1"/>
        <v>45689</v>
      </c>
      <c r="Y4" s="191">
        <f t="shared" si="1"/>
        <v>45717</v>
      </c>
      <c r="Z4" s="191">
        <f t="shared" si="1"/>
        <v>45748</v>
      </c>
      <c r="AA4" s="191">
        <f t="shared" si="1"/>
        <v>45778</v>
      </c>
      <c r="AB4" s="191">
        <f t="shared" si="1"/>
        <v>45809</v>
      </c>
      <c r="AC4" s="191">
        <f t="shared" si="1"/>
        <v>45839</v>
      </c>
      <c r="AD4" s="192">
        <v>45870</v>
      </c>
      <c r="AE4" s="28" t="s">
        <v>349</v>
      </c>
      <c r="AF4" s="29" t="s">
        <v>348</v>
      </c>
      <c r="AG4" s="30"/>
      <c r="AJ4" s="64" t="s">
        <v>48</v>
      </c>
    </row>
    <row r="5" spans="3:36" ht="18.75" x14ac:dyDescent="0.3">
      <c r="C5" t="str">
        <f>$E$2</f>
        <v>PC Annual Direct</v>
      </c>
      <c r="E5" s="5" t="s">
        <v>326</v>
      </c>
      <c r="F5" s="6">
        <v>1036.7486338873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>
        <v>3599.1123288659887</v>
      </c>
      <c r="S5" s="6">
        <v>3429.5780822859933</v>
      </c>
      <c r="T5" s="6">
        <v>3360.7671233799888</v>
      </c>
      <c r="U5" s="6">
        <v>3675.9013699639895</v>
      </c>
      <c r="V5" s="6">
        <v>3749.6986302399869</v>
      </c>
      <c r="W5" s="6">
        <v>3982.0602740819813</v>
      </c>
      <c r="X5" s="6">
        <v>3029.6767124119947</v>
      </c>
      <c r="Y5" s="6">
        <v>3509.3589042059934</v>
      </c>
      <c r="Z5" s="6">
        <v>3387.8547946135927</v>
      </c>
      <c r="AA5" s="6">
        <v>3263.035616527995</v>
      </c>
      <c r="AB5" s="6">
        <v>2896.0438356959962</v>
      </c>
      <c r="AC5" s="6">
        <v>2791.3315069259957</v>
      </c>
      <c r="AD5" s="7">
        <v>1264.5260274320008</v>
      </c>
      <c r="AE5" s="8">
        <f>AVERAGE(AA5:AD5)</f>
        <v>2553.734246645497</v>
      </c>
      <c r="AF5" s="6">
        <f>AVERAGE(S5:AD5)</f>
        <v>3194.9860731471258</v>
      </c>
      <c r="AG5" s="7"/>
      <c r="AJ5" s="67" t="s">
        <v>19</v>
      </c>
    </row>
    <row r="6" spans="3:36" ht="18.75" x14ac:dyDescent="0.3">
      <c r="C6" t="str">
        <f t="shared" ref="C6:C18" si="2">$E$2</f>
        <v>PC Annual Direct</v>
      </c>
      <c r="E6" s="18" t="s">
        <v>324</v>
      </c>
      <c r="F6" s="119">
        <v>926.8333333290002</v>
      </c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>
        <v>2816.5945206237925</v>
      </c>
      <c r="S6" s="119">
        <v>2622.9479452527944</v>
      </c>
      <c r="T6" s="119">
        <v>2586.8054795237945</v>
      </c>
      <c r="U6" s="119">
        <v>2733.2767124347961</v>
      </c>
      <c r="V6" s="119">
        <v>2901.3808219887883</v>
      </c>
      <c r="W6" s="119">
        <v>3096.4630138227872</v>
      </c>
      <c r="X6" s="119">
        <v>2356.6958904709982</v>
      </c>
      <c r="Y6" s="119">
        <v>2735.7150685900001</v>
      </c>
      <c r="Z6" s="119">
        <v>2710.5178082915986</v>
      </c>
      <c r="AA6" s="119">
        <v>2712.7780822709974</v>
      </c>
      <c r="AB6" s="119">
        <v>2539.8246576039987</v>
      </c>
      <c r="AC6" s="119">
        <v>2562.9972603529977</v>
      </c>
      <c r="AD6" s="120">
        <v>1221.0191781120002</v>
      </c>
      <c r="AE6" s="33">
        <f t="shared" ref="AE6:AE9" si="3">AVERAGE(AA6:AD6)</f>
        <v>2259.1547945849984</v>
      </c>
      <c r="AF6" s="31">
        <f t="shared" ref="AF6:AF9" si="4">AVERAGE(S6:AD6)</f>
        <v>2565.0351598929628</v>
      </c>
      <c r="AG6" s="32"/>
      <c r="AH6" t="s">
        <v>321</v>
      </c>
      <c r="AJ6" s="68" t="s">
        <v>20</v>
      </c>
    </row>
    <row r="7" spans="3:36" ht="15.75" x14ac:dyDescent="0.25">
      <c r="C7" t="str">
        <f t="shared" si="2"/>
        <v>PC Annual Direct</v>
      </c>
      <c r="E7" s="11" t="s">
        <v>325</v>
      </c>
      <c r="F7" s="12" t="e">
        <f t="shared" ref="F7:AD7" si="5">F26+F46</f>
        <v>#N/A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>
        <f t="shared" ref="R7" si="6">R26+R46</f>
        <v>907.13150687380244</v>
      </c>
      <c r="S7" s="12">
        <f t="shared" si="5"/>
        <v>826.25475749723773</v>
      </c>
      <c r="T7" s="12">
        <f t="shared" si="5"/>
        <v>801.37813671902313</v>
      </c>
      <c r="U7" s="12">
        <f t="shared" si="5"/>
        <v>771.95127164791916</v>
      </c>
      <c r="V7" s="12">
        <f t="shared" si="5"/>
        <v>745.05874251343766</v>
      </c>
      <c r="W7" s="12">
        <f t="shared" si="5"/>
        <v>641.32081253649619</v>
      </c>
      <c r="X7" s="12">
        <f t="shared" si="5"/>
        <v>480.1854528826355</v>
      </c>
      <c r="Y7" s="12">
        <f t="shared" si="5"/>
        <v>506.36672757360515</v>
      </c>
      <c r="Z7" s="12">
        <f t="shared" si="5"/>
        <v>467.00062801030305</v>
      </c>
      <c r="AA7" s="12">
        <f t="shared" si="5"/>
        <v>491.09205879827431</v>
      </c>
      <c r="AB7" s="12">
        <f t="shared" si="5"/>
        <v>423.21968724639174</v>
      </c>
      <c r="AC7" s="12">
        <f t="shared" si="5"/>
        <v>457.51491358905866</v>
      </c>
      <c r="AD7" s="13">
        <f t="shared" si="5"/>
        <v>218.16109597788167</v>
      </c>
      <c r="AE7" s="14"/>
      <c r="AF7" s="12"/>
      <c r="AG7" s="13"/>
    </row>
    <row r="8" spans="3:36" ht="15.75" x14ac:dyDescent="0.25">
      <c r="C8" t="str">
        <f t="shared" si="2"/>
        <v>PC Annual Direct</v>
      </c>
      <c r="E8" s="9" t="s">
        <v>188</v>
      </c>
      <c r="F8" s="15">
        <v>1364153.1821429725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>
        <v>3913268.6067872294</v>
      </c>
      <c r="S8" s="15">
        <v>3671621.8392858598</v>
      </c>
      <c r="T8" s="15">
        <v>3629764.4867854076</v>
      </c>
      <c r="U8" s="15">
        <v>4155461.7767856428</v>
      </c>
      <c r="V8" s="15">
        <v>4249497.7400005637</v>
      </c>
      <c r="W8" s="15">
        <v>4283745.9828576874</v>
      </c>
      <c r="X8" s="15">
        <v>3261456.033570989</v>
      </c>
      <c r="Y8" s="15">
        <v>3941283.2632134901</v>
      </c>
      <c r="Z8" s="15">
        <v>3835388.1178557547</v>
      </c>
      <c r="AA8" s="15">
        <v>3711778.50071431</v>
      </c>
      <c r="AB8" s="15">
        <v>3293465.5503586908</v>
      </c>
      <c r="AC8" s="15">
        <v>3224652.6185710756</v>
      </c>
      <c r="AD8" s="16">
        <v>1535123.74642835</v>
      </c>
      <c r="AE8" s="8">
        <f t="shared" si="3"/>
        <v>2941255.1040181066</v>
      </c>
      <c r="AF8" s="6">
        <f t="shared" si="4"/>
        <v>3566103.3047023178</v>
      </c>
      <c r="AG8" s="7"/>
    </row>
    <row r="9" spans="3:36" ht="15.75" x14ac:dyDescent="0.25">
      <c r="C9" t="str">
        <f t="shared" si="2"/>
        <v>PC Annual Direct</v>
      </c>
      <c r="E9" s="18" t="s">
        <v>189</v>
      </c>
      <c r="F9" s="119">
        <v>1278047.2414341159</v>
      </c>
      <c r="G9" s="119"/>
      <c r="H9" s="119"/>
      <c r="I9" s="119"/>
      <c r="J9" s="119"/>
      <c r="K9" s="119"/>
      <c r="L9" s="119"/>
      <c r="M9" s="119"/>
      <c r="N9" s="119"/>
      <c r="O9" s="119"/>
      <c r="P9" s="119"/>
      <c r="Q9" s="119"/>
      <c r="R9" s="119">
        <v>2854145.2014307268</v>
      </c>
      <c r="S9" s="119">
        <v>2723149.7950005862</v>
      </c>
      <c r="T9" s="119">
        <v>2667343.2842149674</v>
      </c>
      <c r="U9" s="119">
        <v>3026184.6796406973</v>
      </c>
      <c r="V9" s="119">
        <v>3205540.7457156195</v>
      </c>
      <c r="W9" s="119">
        <v>3311265.6317825294</v>
      </c>
      <c r="X9" s="119">
        <v>2509539.2446402721</v>
      </c>
      <c r="Y9" s="119">
        <v>3044408.4885623637</v>
      </c>
      <c r="Z9" s="119">
        <v>2976953.6696361345</v>
      </c>
      <c r="AA9" s="119">
        <v>3031933.324998958</v>
      </c>
      <c r="AB9" s="119">
        <v>2823202.7474958198</v>
      </c>
      <c r="AC9" s="119">
        <v>2932324.8874956788</v>
      </c>
      <c r="AD9" s="120">
        <v>1465797.4874989109</v>
      </c>
      <c r="AE9" s="33">
        <f t="shared" si="3"/>
        <v>2563314.6118723419</v>
      </c>
      <c r="AF9" s="31">
        <f t="shared" si="4"/>
        <v>2809803.6655568779</v>
      </c>
      <c r="AG9" s="32"/>
      <c r="AH9" t="s">
        <v>322</v>
      </c>
    </row>
    <row r="10" spans="3:36" ht="15.75" x14ac:dyDescent="0.25">
      <c r="C10" t="str">
        <f t="shared" si="2"/>
        <v>PC Annual Direct</v>
      </c>
      <c r="E10" s="11" t="s">
        <v>190</v>
      </c>
      <c r="F10" s="12" t="e">
        <f t="shared" ref="F10:AD10" si="7">F29+F49</f>
        <v>#N/A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>
        <f t="shared" ref="R10" si="8">R29+R49</f>
        <v>725802.40984951309</v>
      </c>
      <c r="S10" s="12">
        <f t="shared" si="7"/>
        <v>705853.66699133057</v>
      </c>
      <c r="T10" s="12">
        <f t="shared" si="7"/>
        <v>666512.12437181221</v>
      </c>
      <c r="U10" s="12">
        <f t="shared" si="7"/>
        <v>737534.00018173142</v>
      </c>
      <c r="V10" s="12">
        <f t="shared" si="7"/>
        <v>708272.09802095278</v>
      </c>
      <c r="W10" s="12">
        <f t="shared" si="7"/>
        <v>603087.359448737</v>
      </c>
      <c r="X10" s="12">
        <f t="shared" si="7"/>
        <v>448594.97103560646</v>
      </c>
      <c r="Y10" s="12">
        <f t="shared" si="7"/>
        <v>499865.37117062235</v>
      </c>
      <c r="Z10" s="12">
        <f t="shared" si="7"/>
        <v>465915.00210437842</v>
      </c>
      <c r="AA10" s="12">
        <f t="shared" si="7"/>
        <v>470103.24972072657</v>
      </c>
      <c r="AB10" s="12">
        <f t="shared" si="7"/>
        <v>422827.26401441917</v>
      </c>
      <c r="AC10" s="12">
        <f t="shared" si="7"/>
        <v>471931.7558370037</v>
      </c>
      <c r="AD10" s="13">
        <f t="shared" si="7"/>
        <v>213776.84385020228</v>
      </c>
      <c r="AE10" s="14"/>
      <c r="AF10" s="12"/>
      <c r="AG10" s="13"/>
    </row>
    <row r="11" spans="3:36" ht="15.75" x14ac:dyDescent="0.25">
      <c r="C11" t="str">
        <f t="shared" si="2"/>
        <v>PC Annual Direct</v>
      </c>
      <c r="E11" s="9" t="s">
        <v>191</v>
      </c>
      <c r="F11" s="15">
        <f>IFERROR(F8/F5,0)</f>
        <v>1315.7993534344632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>
        <f t="shared" ref="R11" si="9">IFERROR(R8/R5,0)</f>
        <v>1087.2871556137914</v>
      </c>
      <c r="S11" s="15">
        <f t="shared" ref="S11:AD11" si="10">IFERROR(S8/S5,0)</f>
        <v>1070.5753743441619</v>
      </c>
      <c r="T11" s="15">
        <f t="shared" si="10"/>
        <v>1080.0404650277831</v>
      </c>
      <c r="U11" s="15">
        <f t="shared" si="10"/>
        <v>1130.4606295316219</v>
      </c>
      <c r="V11" s="15">
        <f t="shared" si="10"/>
        <v>1133.290474527706</v>
      </c>
      <c r="W11" s="15">
        <f t="shared" si="10"/>
        <v>1075.7612110342193</v>
      </c>
      <c r="X11" s="15">
        <f t="shared" si="10"/>
        <v>1076.5029879952008</v>
      </c>
      <c r="Y11" s="15">
        <f t="shared" si="10"/>
        <v>1123.0778529063618</v>
      </c>
      <c r="Z11" s="15">
        <f t="shared" si="10"/>
        <v>1132.0993225428972</v>
      </c>
      <c r="AA11" s="15">
        <f t="shared" si="10"/>
        <v>1137.523133953345</v>
      </c>
      <c r="AB11" s="15">
        <f t="shared" si="10"/>
        <v>1137.2291778750591</v>
      </c>
      <c r="AC11" s="15">
        <f t="shared" si="10"/>
        <v>1155.2381401384612</v>
      </c>
      <c r="AD11" s="16">
        <f t="shared" si="10"/>
        <v>1213.9914190187758</v>
      </c>
      <c r="AE11" s="8">
        <f t="shared" ref="AE11:AF12" si="11">IFERROR(AE8/AE5,0)</f>
        <v>1151.7467441577542</v>
      </c>
      <c r="AF11" s="6">
        <f t="shared" si="11"/>
        <v>1116.1561343488531</v>
      </c>
      <c r="AG11" s="7"/>
    </row>
    <row r="12" spans="3:36" ht="15.75" x14ac:dyDescent="0.25">
      <c r="C12" t="str">
        <f t="shared" si="2"/>
        <v>PC Annual Direct</v>
      </c>
      <c r="E12" s="18" t="s">
        <v>192</v>
      </c>
      <c r="F12" s="119">
        <f t="shared" ref="F12:AD12" si="12">IFERROR(F9/F6,0)</f>
        <v>1378.9396598886076</v>
      </c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>
        <f t="shared" ref="R12" si="13">IFERROR(R9/R6,0)</f>
        <v>1013.3319441374962</v>
      </c>
      <c r="S12" s="119">
        <f t="shared" si="12"/>
        <v>1038.2019970808587</v>
      </c>
      <c r="T12" s="119">
        <f t="shared" si="12"/>
        <v>1031.1340784332956</v>
      </c>
      <c r="U12" s="119">
        <f t="shared" si="12"/>
        <v>1107.1636713082662</v>
      </c>
      <c r="V12" s="119">
        <f t="shared" si="12"/>
        <v>1104.8328166442973</v>
      </c>
      <c r="W12" s="119">
        <f t="shared" si="12"/>
        <v>1069.3703160673488</v>
      </c>
      <c r="X12" s="119">
        <f t="shared" si="12"/>
        <v>1064.8549330387839</v>
      </c>
      <c r="Y12" s="119">
        <f t="shared" si="12"/>
        <v>1112.8382935476777</v>
      </c>
      <c r="Z12" s="119">
        <f t="shared" si="12"/>
        <v>1098.2970340683601</v>
      </c>
      <c r="AA12" s="119">
        <f t="shared" si="12"/>
        <v>1117.6488577572038</v>
      </c>
      <c r="AB12" s="119">
        <f t="shared" si="12"/>
        <v>1111.573879339825</v>
      </c>
      <c r="AC12" s="119">
        <f t="shared" si="12"/>
        <v>1144.0998915042985</v>
      </c>
      <c r="AD12" s="120">
        <f t="shared" si="12"/>
        <v>1200.4704870937398</v>
      </c>
      <c r="AE12" s="33">
        <f t="shared" si="11"/>
        <v>1134.6343411334135</v>
      </c>
      <c r="AF12" s="31">
        <f t="shared" si="11"/>
        <v>1095.4250099535202</v>
      </c>
      <c r="AG12" s="32"/>
      <c r="AH12" s="3"/>
    </row>
    <row r="13" spans="3:36" ht="15.75" x14ac:dyDescent="0.25">
      <c r="C13" t="str">
        <f t="shared" si="2"/>
        <v>PC Annual Direct</v>
      </c>
      <c r="E13" s="11" t="s">
        <v>193</v>
      </c>
      <c r="F13" s="12">
        <f t="shared" ref="F13:AD13" si="14">IFERROR(F10/F7,0)</f>
        <v>0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>
        <f t="shared" ref="R13" si="15">IFERROR(R10/R7,0)</f>
        <v>800.10715574283836</v>
      </c>
      <c r="S13" s="12">
        <f t="shared" si="14"/>
        <v>854.28091104660336</v>
      </c>
      <c r="T13" s="12">
        <f t="shared" si="14"/>
        <v>831.70739733507696</v>
      </c>
      <c r="U13" s="12">
        <f t="shared" si="14"/>
        <v>955.41522796806123</v>
      </c>
      <c r="V13" s="12">
        <f t="shared" si="14"/>
        <v>950.6258468045271</v>
      </c>
      <c r="W13" s="12">
        <f t="shared" si="14"/>
        <v>940.38326475552606</v>
      </c>
      <c r="X13" s="12">
        <f t="shared" si="14"/>
        <v>934.21191404823708</v>
      </c>
      <c r="Y13" s="12">
        <f t="shared" si="14"/>
        <v>987.16077489108375</v>
      </c>
      <c r="Z13" s="12">
        <f t="shared" si="14"/>
        <v>997.67532238543231</v>
      </c>
      <c r="AA13" s="12">
        <f t="shared" si="14"/>
        <v>957.26094791899436</v>
      </c>
      <c r="AB13" s="12">
        <f t="shared" si="14"/>
        <v>999.07276706684934</v>
      </c>
      <c r="AC13" s="12">
        <f t="shared" si="14"/>
        <v>1031.5111962905198</v>
      </c>
      <c r="AD13" s="13">
        <f t="shared" si="14"/>
        <v>979.9036023905752</v>
      </c>
      <c r="AE13" s="14"/>
      <c r="AF13" s="12"/>
      <c r="AG13" s="13"/>
    </row>
    <row r="14" spans="3:36" ht="15.75" x14ac:dyDescent="0.25">
      <c r="C14" t="str">
        <f t="shared" si="2"/>
        <v>PC Annual Direct</v>
      </c>
      <c r="E14" s="9" t="s">
        <v>194</v>
      </c>
      <c r="F14" s="15">
        <v>1869124.732143139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>
        <v>4242720.7767872084</v>
      </c>
      <c r="S14" s="15">
        <v>3980424.5892857299</v>
      </c>
      <c r="T14" s="15">
        <v>3939115.7767857704</v>
      </c>
      <c r="U14" s="15">
        <v>4507851.0267856102</v>
      </c>
      <c r="V14" s="15">
        <v>4606967.0000014883</v>
      </c>
      <c r="W14" s="15">
        <v>4629173.6428575898</v>
      </c>
      <c r="X14" s="15">
        <v>3517000.8035719269</v>
      </c>
      <c r="Y14" s="15">
        <v>4112613.4732132386</v>
      </c>
      <c r="Z14" s="15">
        <v>3969414.7678554635</v>
      </c>
      <c r="AA14" s="15">
        <v>3847386.6607139893</v>
      </c>
      <c r="AB14" s="15">
        <v>3413327.5803588084</v>
      </c>
      <c r="AC14" s="15">
        <v>3348380.6785709802</v>
      </c>
      <c r="AD14" s="16">
        <v>1594726.196428301</v>
      </c>
      <c r="AE14" s="8">
        <f t="shared" ref="AE14:AE15" si="16">AVERAGE(AA14:AD14)</f>
        <v>3050955.2790180198</v>
      </c>
      <c r="AF14" s="6">
        <f>AVERAGE(S14:AD14)</f>
        <v>3788865.1830357411</v>
      </c>
      <c r="AG14" s="7"/>
    </row>
    <row r="15" spans="3:36" ht="15.75" x14ac:dyDescent="0.25">
      <c r="C15" t="str">
        <f t="shared" si="2"/>
        <v>PC Annual Direct</v>
      </c>
      <c r="E15" s="18" t="s">
        <v>195</v>
      </c>
      <c r="F15" s="119">
        <v>1661756.8214342389</v>
      </c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>
        <v>3189280.8214283972</v>
      </c>
      <c r="S15" s="119">
        <v>3003522.1250004396</v>
      </c>
      <c r="T15" s="119">
        <v>2948673.024215275</v>
      </c>
      <c r="U15" s="119">
        <v>3305406.919640434</v>
      </c>
      <c r="V15" s="119">
        <v>3481438.2857155744</v>
      </c>
      <c r="W15" s="119">
        <v>3583190.4017841802</v>
      </c>
      <c r="X15" s="119">
        <v>2709715.7946425495</v>
      </c>
      <c r="Y15" s="119">
        <v>3187557.9285633923</v>
      </c>
      <c r="Z15" s="119">
        <v>3088283.4196352367</v>
      </c>
      <c r="AA15" s="119">
        <v>3148048.374999098</v>
      </c>
      <c r="AB15" s="119">
        <v>2928616.4374959101</v>
      </c>
      <c r="AC15" s="119">
        <v>3046050.4374961816</v>
      </c>
      <c r="AD15" s="120">
        <v>1522488.6874985616</v>
      </c>
      <c r="AE15" s="33">
        <f t="shared" si="16"/>
        <v>2661300.9843724379</v>
      </c>
      <c r="AF15" s="31">
        <f t="shared" ref="AF15" si="17">AVERAGE(S15:AD15)</f>
        <v>2996082.6530572362</v>
      </c>
      <c r="AG15" s="32"/>
      <c r="AH15" s="3" t="s">
        <v>323</v>
      </c>
    </row>
    <row r="16" spans="3:36" ht="15.75" x14ac:dyDescent="0.25">
      <c r="C16" t="str">
        <f t="shared" si="2"/>
        <v>PC Annual Direct</v>
      </c>
      <c r="E16" s="11" t="s">
        <v>196</v>
      </c>
      <c r="F16" s="12" t="e">
        <f t="shared" ref="F16:AD16" si="18">F35+F55</f>
        <v>#N/A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>
        <f t="shared" ref="R16" si="19">R35+R55</f>
        <v>906969.71653411631</v>
      </c>
      <c r="S16" s="12">
        <f t="shared" si="18"/>
        <v>842036.34312470036</v>
      </c>
      <c r="T16" s="12">
        <f t="shared" si="18"/>
        <v>799699.99184767855</v>
      </c>
      <c r="U16" s="12">
        <f t="shared" si="18"/>
        <v>844443.95448673982</v>
      </c>
      <c r="V16" s="12">
        <f t="shared" si="18"/>
        <v>798088.57854088792</v>
      </c>
      <c r="W16" s="12">
        <f t="shared" si="18"/>
        <v>679159.40977612569</v>
      </c>
      <c r="X16" s="12">
        <f t="shared" si="18"/>
        <v>503779.32640184532</v>
      </c>
      <c r="Y16" s="12">
        <f t="shared" si="18"/>
        <v>548786.2358961869</v>
      </c>
      <c r="Z16" s="12">
        <f t="shared" si="18"/>
        <v>507663.02065365214</v>
      </c>
      <c r="AA16" s="12">
        <f t="shared" si="18"/>
        <v>512812.12728864222</v>
      </c>
      <c r="AB16" s="12">
        <f t="shared" si="18"/>
        <v>460571.65117013373</v>
      </c>
      <c r="AC16" s="12">
        <f t="shared" si="18"/>
        <v>512401.17473466496</v>
      </c>
      <c r="AD16" s="13">
        <f t="shared" si="18"/>
        <v>232132.49653704776</v>
      </c>
      <c r="AE16" s="14"/>
      <c r="AF16" s="12"/>
      <c r="AG16" s="13"/>
    </row>
    <row r="17" spans="2:34" x14ac:dyDescent="0.25">
      <c r="C17" t="str">
        <f t="shared" si="2"/>
        <v>PC Annual Direct</v>
      </c>
      <c r="E17" s="22" t="s">
        <v>17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4"/>
      <c r="AE17" s="25"/>
      <c r="AF17" s="26"/>
      <c r="AG17" s="27"/>
    </row>
    <row r="18" spans="2:34" ht="15.75" x14ac:dyDescent="0.25">
      <c r="C18" t="str">
        <f t="shared" si="2"/>
        <v>PC Annual Direct</v>
      </c>
      <c r="E18" s="45" t="s">
        <v>328</v>
      </c>
      <c r="F18" s="184">
        <v>0.30857035385687509</v>
      </c>
      <c r="G18" s="184"/>
      <c r="H18" s="184"/>
      <c r="I18" s="184"/>
      <c r="J18" s="184"/>
      <c r="K18" s="184"/>
      <c r="L18" s="184"/>
      <c r="M18" s="184"/>
      <c r="N18" s="184"/>
      <c r="O18" s="184"/>
      <c r="P18" s="184"/>
      <c r="Q18" s="184"/>
      <c r="R18" s="184">
        <v>0.11316211347842019</v>
      </c>
      <c r="S18" s="184">
        <v>0.11065431592034213</v>
      </c>
      <c r="T18" s="184">
        <v>0.10461903720352127</v>
      </c>
      <c r="U18" s="184">
        <v>9.7044262865038242E-2</v>
      </c>
      <c r="V18" s="184">
        <v>8.7452577802478726E-2</v>
      </c>
      <c r="W18" s="184">
        <v>8.3197633036341215E-2</v>
      </c>
      <c r="X18" s="184">
        <v>8.6985555900454758E-2</v>
      </c>
      <c r="Y18" s="184">
        <v>5.9679029307837368E-2</v>
      </c>
      <c r="Z18" s="184">
        <v>4.6494861533306078E-2</v>
      </c>
      <c r="AA18" s="184">
        <v>4.8434692541385452E-2</v>
      </c>
      <c r="AB18" s="184">
        <v>4.6755837593347387E-2</v>
      </c>
      <c r="AC18" s="184">
        <v>4.7362419397205972E-2</v>
      </c>
      <c r="AD18" s="185">
        <v>4.6256787005302391E-2</v>
      </c>
      <c r="AE18" s="190">
        <f>AVERAGE(AA18:AD18)</f>
        <v>4.72024341343103E-2</v>
      </c>
      <c r="AF18" s="186">
        <f>AVERAGE(S18:AD18)</f>
        <v>7.2078084175546744E-2</v>
      </c>
      <c r="AG18" s="187"/>
    </row>
    <row r="21" spans="2:34" ht="18.75" outlineLevel="1" x14ac:dyDescent="0.3">
      <c r="E21" s="68" t="s">
        <v>71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4"/>
      <c r="AF21" s="1"/>
      <c r="AG21" s="2"/>
    </row>
    <row r="22" spans="2:34" outlineLevel="1" x14ac:dyDescent="0.25">
      <c r="E22" s="19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1"/>
      <c r="AE22" s="500" t="s">
        <v>8</v>
      </c>
      <c r="AF22" s="501"/>
      <c r="AG22" s="502"/>
    </row>
    <row r="23" spans="2:34" outlineLevel="1" x14ac:dyDescent="0.25">
      <c r="E23" s="22" t="s">
        <v>187</v>
      </c>
      <c r="F23" s="23">
        <f>F$4</f>
        <v>45139</v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>
        <f t="shared" ref="R23:AD23" si="20">R$4</f>
        <v>45505</v>
      </c>
      <c r="S23" s="23">
        <f t="shared" si="20"/>
        <v>45536</v>
      </c>
      <c r="T23" s="23">
        <f t="shared" si="20"/>
        <v>45566</v>
      </c>
      <c r="U23" s="23">
        <f t="shared" si="20"/>
        <v>45597</v>
      </c>
      <c r="V23" s="23">
        <f t="shared" si="20"/>
        <v>45627</v>
      </c>
      <c r="W23" s="23">
        <f t="shared" si="20"/>
        <v>45658</v>
      </c>
      <c r="X23" s="23">
        <f t="shared" si="20"/>
        <v>45689</v>
      </c>
      <c r="Y23" s="23">
        <f t="shared" si="20"/>
        <v>45717</v>
      </c>
      <c r="Z23" s="23">
        <f t="shared" si="20"/>
        <v>45748</v>
      </c>
      <c r="AA23" s="23">
        <f t="shared" si="20"/>
        <v>45778</v>
      </c>
      <c r="AB23" s="23">
        <f t="shared" si="20"/>
        <v>45809</v>
      </c>
      <c r="AC23" s="23">
        <f t="shared" si="20"/>
        <v>45839</v>
      </c>
      <c r="AD23" s="24">
        <f t="shared" si="20"/>
        <v>45870</v>
      </c>
      <c r="AE23" s="28" t="s">
        <v>9</v>
      </c>
      <c r="AF23" s="29" t="s">
        <v>10</v>
      </c>
      <c r="AG23" s="30" t="s">
        <v>11</v>
      </c>
    </row>
    <row r="24" spans="2:34" ht="15.75" outlineLevel="1" x14ac:dyDescent="0.25">
      <c r="C24" t="str">
        <f>$E$2</f>
        <v>PC Annual Direct</v>
      </c>
      <c r="D24" t="s">
        <v>72</v>
      </c>
      <c r="E24" s="5" t="s">
        <v>326</v>
      </c>
      <c r="F24" s="6">
        <v>896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>
        <v>996</v>
      </c>
      <c r="S24" s="6">
        <v>940</v>
      </c>
      <c r="T24" s="6">
        <v>892</v>
      </c>
      <c r="U24" s="6">
        <v>878</v>
      </c>
      <c r="V24" s="6">
        <v>858</v>
      </c>
      <c r="W24" s="6">
        <v>733</v>
      </c>
      <c r="X24" s="6">
        <v>547</v>
      </c>
      <c r="Y24" s="6">
        <v>568</v>
      </c>
      <c r="Z24" s="6">
        <v>537</v>
      </c>
      <c r="AA24" s="6">
        <v>570</v>
      </c>
      <c r="AB24" s="6">
        <v>479</v>
      </c>
      <c r="AC24" s="6">
        <v>517</v>
      </c>
      <c r="AD24" s="7">
        <v>241</v>
      </c>
      <c r="AE24" s="8">
        <f t="shared" ref="AE24:AE28" si="21">AVERAGE(AA24:AD24)</f>
        <v>451.75</v>
      </c>
      <c r="AF24" s="6">
        <f>AVERAGE(S24:AD24)</f>
        <v>646.66666666666663</v>
      </c>
      <c r="AG24" s="7">
        <v>149.23076923076923</v>
      </c>
    </row>
    <row r="25" spans="2:34" ht="15.75" outlineLevel="1" x14ac:dyDescent="0.25">
      <c r="C25" t="str">
        <f t="shared" ref="C25:C38" si="22">$E$2</f>
        <v>PC Annual Direct</v>
      </c>
      <c r="D25" t="str">
        <f>$D24</f>
        <v>Boom Annual</v>
      </c>
      <c r="E25" s="18" t="s">
        <v>324</v>
      </c>
      <c r="F25" s="119">
        <v>791.34153006920087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>
        <v>907.04931509300104</v>
      </c>
      <c r="S25" s="119">
        <v>826.25753427400082</v>
      </c>
      <c r="T25" s="119">
        <v>801.89589043400065</v>
      </c>
      <c r="U25" s="119">
        <v>773.63561646100061</v>
      </c>
      <c r="V25" s="119">
        <v>748.5589041360015</v>
      </c>
      <c r="W25" s="119">
        <v>647.01643837800054</v>
      </c>
      <c r="X25" s="119">
        <v>486.41095892000004</v>
      </c>
      <c r="Y25" s="119">
        <v>515.43561645500029</v>
      </c>
      <c r="Z25" s="119">
        <v>478.38356165600021</v>
      </c>
      <c r="AA25" s="119">
        <v>507.09863015200006</v>
      </c>
      <c r="AB25" s="119">
        <v>441.0904109710001</v>
      </c>
      <c r="AC25" s="119">
        <v>481.73424658799996</v>
      </c>
      <c r="AD25" s="120">
        <v>232.44657534800018</v>
      </c>
      <c r="AE25" s="121">
        <f t="shared" si="21"/>
        <v>415.59246576475005</v>
      </c>
      <c r="AF25" s="119">
        <f t="shared" ref="AF25:AF28" si="23">AVERAGE(S25:AD25)</f>
        <v>578.33036531441701</v>
      </c>
      <c r="AG25" s="120"/>
    </row>
    <row r="26" spans="2:34" ht="15.75" outlineLevel="1" x14ac:dyDescent="0.25">
      <c r="B26">
        <v>5</v>
      </c>
      <c r="C26" t="str">
        <f t="shared" si="22"/>
        <v>PC Annual Direct</v>
      </c>
      <c r="D26" t="str">
        <f t="shared" ref="D26:D31" si="24">$D25</f>
        <v>Boom Annual</v>
      </c>
      <c r="E26" s="11" t="s">
        <v>325</v>
      </c>
      <c r="F26" s="12" t="e">
        <f>F25/VLOOKUP(COUNTA(F$4:$AD$4),'Dev Patterns'!$B$6:$F$22,$B26,0)</f>
        <v>#N/A</v>
      </c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>
        <f>R25/VLOOKUP(COUNTA(R$4:$AD$4),'Dev Patterns'!$B$6:$F$22,$B26,0)</f>
        <v>907.04931509300241</v>
      </c>
      <c r="S26" s="12">
        <f>S25/VLOOKUP(COUNTA(S$4:$AD$4),'Dev Patterns'!$B$6:$F$22,$B26,0)</f>
        <v>826.17530544243778</v>
      </c>
      <c r="T26" s="12">
        <f>T25/VLOOKUP(COUNTA(T$4:$AD$4),'Dev Patterns'!$B$6:$F$22,$B26,0)</f>
        <v>801.29596507360907</v>
      </c>
      <c r="U26" s="12">
        <f>U25/VLOOKUP(COUNTA(U$4:$AD$4),'Dev Patterns'!$B$6:$F$22,$B26,0)</f>
        <v>771.87183905732559</v>
      </c>
      <c r="V26" s="12">
        <f>V25/VLOOKUP(COUNTA(V$4:$AD$4),'Dev Patterns'!$B$6:$F$22,$B26,0)</f>
        <v>744.97659673321425</v>
      </c>
      <c r="W26" s="12">
        <f>W25/VLOOKUP(COUNTA(W$4:$AD$4),'Dev Patterns'!$B$6:$F$22,$B26,0)</f>
        <v>641.23866675627278</v>
      </c>
      <c r="X26" s="12">
        <f>X25/VLOOKUP(COUNTA(X$4:$AD$4),'Dev Patterns'!$B$6:$F$22,$B26,0)</f>
        <v>480.1854528826355</v>
      </c>
      <c r="Y26" s="12">
        <f>Y25/VLOOKUP(COUNTA(Y$4:$AD$4),'Dev Patterns'!$B$6:$F$22,$B26,0)</f>
        <v>506.36672757360515</v>
      </c>
      <c r="Z26" s="12">
        <f>Z25/VLOOKUP(COUNTA(Z$4:$AD$4),'Dev Patterns'!$B$6:$F$22,$B26,0)</f>
        <v>467.00062801030305</v>
      </c>
      <c r="AA26" s="12">
        <f>AA25/VLOOKUP(COUNTA(AA$4:$AD$4),'Dev Patterns'!$B$6:$F$22,$B26,0)</f>
        <v>491.09205879827431</v>
      </c>
      <c r="AB26" s="12">
        <f>AB25/VLOOKUP(COUNTA(AB$4:$AD$4),'Dev Patterns'!$B$6:$F$22,$B26,0)</f>
        <v>423.21968724639174</v>
      </c>
      <c r="AC26" s="12">
        <f>AC25/VLOOKUP(COUNTA(AC$4:$AD$4),'Dev Patterns'!$B$6:$F$22,$B26,0)</f>
        <v>457.51491358905866</v>
      </c>
      <c r="AD26" s="13">
        <f>AD25/VLOOKUP(COUNTA(AD$4:$AD$4),'Dev Patterns'!$B$6:$F$22,$B26,0)</f>
        <v>218.16109597788167</v>
      </c>
      <c r="AE26" s="14"/>
      <c r="AF26" s="12"/>
      <c r="AG26" s="13"/>
    </row>
    <row r="27" spans="2:34" ht="15.75" outlineLevel="1" x14ac:dyDescent="0.25">
      <c r="C27" t="str">
        <f t="shared" si="22"/>
        <v>PC Annual Direct</v>
      </c>
      <c r="D27" t="str">
        <f t="shared" si="24"/>
        <v>Boom Annual</v>
      </c>
      <c r="E27" s="9" t="s">
        <v>188</v>
      </c>
      <c r="F27" s="6">
        <v>1130117.2639286295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>
        <v>867770.1660714997</v>
      </c>
      <c r="S27" s="15">
        <v>864299.64500043041</v>
      </c>
      <c r="T27" s="15">
        <v>791049.79499986023</v>
      </c>
      <c r="U27" s="15">
        <v>841614.13785727986</v>
      </c>
      <c r="V27" s="15">
        <v>820286.43928648275</v>
      </c>
      <c r="W27" s="15">
        <v>682856.56500044349</v>
      </c>
      <c r="X27" s="15">
        <v>498147.84535724972</v>
      </c>
      <c r="Y27" s="15">
        <v>549399.12249976979</v>
      </c>
      <c r="Z27" s="15">
        <v>534442.97714346007</v>
      </c>
      <c r="AA27" s="15">
        <v>559338.25642838958</v>
      </c>
      <c r="AB27" s="15">
        <v>482787.48035710008</v>
      </c>
      <c r="AC27" s="15">
        <v>517034.34464302973</v>
      </c>
      <c r="AD27" s="16">
        <v>234557.01464261004</v>
      </c>
      <c r="AE27" s="8">
        <f t="shared" si="21"/>
        <v>448429.27401778236</v>
      </c>
      <c r="AF27" s="6">
        <f t="shared" si="23"/>
        <v>614651.1352680088</v>
      </c>
      <c r="AG27" s="7">
        <v>141842.56967723294</v>
      </c>
    </row>
    <row r="28" spans="2:34" ht="15.75" outlineLevel="1" x14ac:dyDescent="0.25">
      <c r="C28" t="str">
        <f t="shared" si="22"/>
        <v>PC Annual Direct</v>
      </c>
      <c r="D28" t="str">
        <f t="shared" si="24"/>
        <v>Boom Annual</v>
      </c>
      <c r="E28" s="18" t="s">
        <v>189</v>
      </c>
      <c r="F28" s="119">
        <v>988141.38786248665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>
        <v>806133.70678474649</v>
      </c>
      <c r="S28" s="119">
        <v>748091.95678414812</v>
      </c>
      <c r="T28" s="119">
        <v>709847.99071525456</v>
      </c>
      <c r="U28" s="119">
        <v>751284.2560742487</v>
      </c>
      <c r="V28" s="119">
        <v>710817.07178563206</v>
      </c>
      <c r="W28" s="119">
        <v>606555.32214118179</v>
      </c>
      <c r="X28" s="119">
        <v>451960.09964255715</v>
      </c>
      <c r="Y28" s="119">
        <v>504966.57749988179</v>
      </c>
      <c r="Z28" s="119">
        <v>472974.04928688944</v>
      </c>
      <c r="AA28" s="119">
        <v>480310.98213815765</v>
      </c>
      <c r="AB28" s="119">
        <v>435138.83214259235</v>
      </c>
      <c r="AC28" s="119">
        <v>490291.19214377238</v>
      </c>
      <c r="AD28" s="120">
        <v>224617.609284262</v>
      </c>
      <c r="AE28" s="121">
        <f t="shared" si="21"/>
        <v>407589.65392719611</v>
      </c>
      <c r="AF28" s="119">
        <f t="shared" si="23"/>
        <v>548904.66163654823</v>
      </c>
      <c r="AG28" s="120"/>
    </row>
    <row r="29" spans="2:34" ht="15.75" outlineLevel="1" x14ac:dyDescent="0.25">
      <c r="B29">
        <v>4</v>
      </c>
      <c r="C29" t="str">
        <f t="shared" si="22"/>
        <v>PC Annual Direct</v>
      </c>
      <c r="D29" t="str">
        <f t="shared" si="24"/>
        <v>Boom Annual</v>
      </c>
      <c r="E29" s="11" t="s">
        <v>190</v>
      </c>
      <c r="F29" s="12" t="e">
        <f>F28/VLOOKUP(COUNTA(F$4:$AD$4),'Dev Patterns'!$B$6:$F$22,$B29,0)</f>
        <v>#N/A</v>
      </c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>
        <f>R28/VLOOKUP(COUNTA(R$4:$AD$4),'Dev Patterns'!$B$6:$F$22,$B29,0)</f>
        <v>806134.31984951312</v>
      </c>
      <c r="S29" s="12">
        <f>S28/VLOOKUP(COUNTA(S$4:$AD$4),'Dev Patterns'!$B$6:$F$22,$B29,0)</f>
        <v>748036.93699133059</v>
      </c>
      <c r="T29" s="12">
        <f>T28/VLOOKUP(COUNTA(T$4:$AD$4),'Dev Patterns'!$B$6:$F$22,$B29,0)</f>
        <v>709423.57952448411</v>
      </c>
      <c r="U29" s="12">
        <f>U28/VLOOKUP(COUNTA(U$4:$AD$4),'Dev Patterns'!$B$6:$F$22,$B29,0)</f>
        <v>750131.52490688011</v>
      </c>
      <c r="V29" s="12">
        <f>V28/VLOOKUP(COUNTA(V$4:$AD$4),'Dev Patterns'!$B$6:$F$22,$B29,0)</f>
        <v>708732.56079410203</v>
      </c>
      <c r="W29" s="12">
        <f>W28/VLOOKUP(COUNTA(W$4:$AD$4),'Dev Patterns'!$B$6:$F$22,$B29,0)</f>
        <v>603092.72863052913</v>
      </c>
      <c r="X29" s="12">
        <f>X28/VLOOKUP(COUNTA(X$4:$AD$4),'Dev Patterns'!$B$6:$F$22,$B29,0)</f>
        <v>448594.97103560646</v>
      </c>
      <c r="Y29" s="12">
        <f>Y28/VLOOKUP(COUNTA(Y$4:$AD$4),'Dev Patterns'!$B$6:$F$22,$B29,0)</f>
        <v>499865.37117062235</v>
      </c>
      <c r="Z29" s="12">
        <f>Z28/VLOOKUP(COUNTA(Z$4:$AD$4),'Dev Patterns'!$B$6:$F$22,$B29,0)</f>
        <v>465915.00210437842</v>
      </c>
      <c r="AA29" s="12">
        <f>AA28/VLOOKUP(COUNTA(AA$4:$AD$4),'Dev Patterns'!$B$6:$F$22,$B29,0)</f>
        <v>470103.24972072657</v>
      </c>
      <c r="AB29" s="12">
        <f>AB28/VLOOKUP(COUNTA(AB$4:$AD$4),'Dev Patterns'!$B$6:$F$22,$B29,0)</f>
        <v>422827.26401441917</v>
      </c>
      <c r="AC29" s="12">
        <f>AC28/VLOOKUP(COUNTA(AC$4:$AD$4),'Dev Patterns'!$B$6:$F$22,$B29,0)</f>
        <v>471931.7558370037</v>
      </c>
      <c r="AD29" s="13">
        <f>AD28/VLOOKUP(COUNTA(AD$4:$AD$4),'Dev Patterns'!$B$6:$F$22,$B29,0)</f>
        <v>213776.84385020228</v>
      </c>
      <c r="AE29" s="14"/>
      <c r="AF29" s="12"/>
      <c r="AG29" s="13"/>
    </row>
    <row r="30" spans="2:34" ht="15.75" outlineLevel="1" x14ac:dyDescent="0.25">
      <c r="C30" t="str">
        <f t="shared" si="22"/>
        <v>PC Annual Direct</v>
      </c>
      <c r="D30" t="str">
        <f t="shared" si="24"/>
        <v>Boom Annual</v>
      </c>
      <c r="E30" s="9" t="s">
        <v>191</v>
      </c>
      <c r="F30" s="15">
        <f>IFERROR(F27/F24,0)</f>
        <v>1261.2915892060596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>
        <f t="shared" ref="R30" si="25">IFERROR(R27/R24,0)</f>
        <v>871.25518681877475</v>
      </c>
      <c r="S30" s="15">
        <f t="shared" ref="S30:AG31" si="26">IFERROR(S27/S24,0)</f>
        <v>919.46770744726643</v>
      </c>
      <c r="T30" s="15">
        <f t="shared" si="26"/>
        <v>886.82712443930518</v>
      </c>
      <c r="U30" s="15">
        <f t="shared" si="26"/>
        <v>958.55824357321171</v>
      </c>
      <c r="V30" s="15">
        <f t="shared" si="26"/>
        <v>956.04480103319668</v>
      </c>
      <c r="W30" s="15">
        <f t="shared" si="26"/>
        <v>931.59149386145089</v>
      </c>
      <c r="X30" s="15">
        <f t="shared" si="26"/>
        <v>910.69075933683678</v>
      </c>
      <c r="Y30" s="15">
        <f t="shared" si="26"/>
        <v>967.25197623198903</v>
      </c>
      <c r="Z30" s="15">
        <f t="shared" si="26"/>
        <v>995.23831870290519</v>
      </c>
      <c r="AA30" s="15">
        <f t="shared" si="26"/>
        <v>981.29518671647293</v>
      </c>
      <c r="AB30" s="15">
        <f t="shared" si="26"/>
        <v>1007.9070571129438</v>
      </c>
      <c r="AC30" s="15">
        <f t="shared" si="26"/>
        <v>1000.0664306441581</v>
      </c>
      <c r="AD30" s="16">
        <f t="shared" si="26"/>
        <v>973.26562092369306</v>
      </c>
      <c r="AE30" s="8">
        <f t="shared" si="26"/>
        <v>992.64919539077448</v>
      </c>
      <c r="AF30" s="6">
        <f t="shared" si="26"/>
        <v>950.49144629073533</v>
      </c>
      <c r="AG30" s="7">
        <f t="shared" si="26"/>
        <v>950.49144629073623</v>
      </c>
    </row>
    <row r="31" spans="2:34" ht="15.75" outlineLevel="1" x14ac:dyDescent="0.25">
      <c r="C31" t="str">
        <f t="shared" si="22"/>
        <v>PC Annual Direct</v>
      </c>
      <c r="D31" t="str">
        <f t="shared" si="24"/>
        <v>Boom Annual</v>
      </c>
      <c r="E31" s="18" t="s">
        <v>192</v>
      </c>
      <c r="F31" s="119">
        <f t="shared" ref="F31:AD31" si="27">IFERROR(F28/F25,0)</f>
        <v>1248.69143134201</v>
      </c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>
        <f t="shared" ref="R31" si="28">IFERROR(R28/R25,0)</f>
        <v>888.74297501905119</v>
      </c>
      <c r="S31" s="119">
        <f t="shared" si="27"/>
        <v>905.39804570915817</v>
      </c>
      <c r="T31" s="119">
        <f t="shared" si="27"/>
        <v>885.21215681885076</v>
      </c>
      <c r="U31" s="119">
        <f t="shared" si="27"/>
        <v>971.10867194946593</v>
      </c>
      <c r="V31" s="119">
        <f t="shared" si="27"/>
        <v>949.58067809782892</v>
      </c>
      <c r="W31" s="119">
        <f t="shared" si="27"/>
        <v>937.46508769042975</v>
      </c>
      <c r="X31" s="119">
        <f t="shared" si="27"/>
        <v>929.17334890246786</v>
      </c>
      <c r="Y31" s="119">
        <f t="shared" si="27"/>
        <v>979.68894926757071</v>
      </c>
      <c r="Z31" s="119">
        <f t="shared" si="27"/>
        <v>988.6921023155877</v>
      </c>
      <c r="AA31" s="119">
        <f t="shared" si="27"/>
        <v>947.17467880792151</v>
      </c>
      <c r="AB31" s="119">
        <f t="shared" si="27"/>
        <v>986.50712262072045</v>
      </c>
      <c r="AC31" s="119">
        <f t="shared" si="27"/>
        <v>1017.7627926940612</v>
      </c>
      <c r="AD31" s="120">
        <f t="shared" si="27"/>
        <v>966.31928841275771</v>
      </c>
      <c r="AE31" s="121">
        <f t="shared" si="26"/>
        <v>980.74360702659123</v>
      </c>
      <c r="AF31" s="119">
        <f t="shared" si="26"/>
        <v>949.11955961041213</v>
      </c>
      <c r="AG31" s="120">
        <f t="shared" si="26"/>
        <v>0</v>
      </c>
      <c r="AH31" s="3"/>
    </row>
    <row r="32" spans="2:34" ht="15.75" outlineLevel="1" x14ac:dyDescent="0.25">
      <c r="C32" t="str">
        <f t="shared" ref="C32:C35" si="29">$E$2</f>
        <v>PC Annual Direct</v>
      </c>
      <c r="D32" t="str">
        <f t="shared" ref="D32:D35" si="30">$D31</f>
        <v>Boom Annual</v>
      </c>
      <c r="E32" s="11" t="s">
        <v>193</v>
      </c>
      <c r="F32" s="12">
        <f t="shared" ref="F32:AD32" si="31">IFERROR(F29/F26,0)</f>
        <v>0</v>
      </c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>
        <f t="shared" ref="R32" si="32">IFERROR(R29/R26,0)</f>
        <v>888.74365090817344</v>
      </c>
      <c r="S32" s="12">
        <f t="shared" si="31"/>
        <v>905.42156375726802</v>
      </c>
      <c r="T32" s="12">
        <f t="shared" si="31"/>
        <v>885.34525374692817</v>
      </c>
      <c r="U32" s="12">
        <f t="shared" si="31"/>
        <v>971.83429547449668</v>
      </c>
      <c r="V32" s="12">
        <f t="shared" si="31"/>
        <v>951.3487590106248</v>
      </c>
      <c r="W32" s="12">
        <f t="shared" si="31"/>
        <v>940.51210554923932</v>
      </c>
      <c r="X32" s="12">
        <f t="shared" si="31"/>
        <v>934.21191404823708</v>
      </c>
      <c r="Y32" s="12">
        <f t="shared" si="31"/>
        <v>987.16077489108375</v>
      </c>
      <c r="Z32" s="12">
        <f t="shared" si="31"/>
        <v>997.67532238543231</v>
      </c>
      <c r="AA32" s="12">
        <f t="shared" si="31"/>
        <v>957.26094791899436</v>
      </c>
      <c r="AB32" s="12">
        <f t="shared" si="31"/>
        <v>999.07276706684934</v>
      </c>
      <c r="AC32" s="12">
        <f t="shared" si="31"/>
        <v>1031.5111962905198</v>
      </c>
      <c r="AD32" s="13">
        <f t="shared" si="31"/>
        <v>979.9036023905752</v>
      </c>
      <c r="AE32" s="14"/>
      <c r="AF32" s="12"/>
      <c r="AG32" s="13"/>
    </row>
    <row r="33" spans="2:33" ht="15.75" outlineLevel="1" x14ac:dyDescent="0.25">
      <c r="C33" t="str">
        <f t="shared" si="29"/>
        <v>PC Annual Direct</v>
      </c>
      <c r="D33" t="str">
        <f t="shared" si="30"/>
        <v>Boom Annual</v>
      </c>
      <c r="E33" s="5" t="s">
        <v>194</v>
      </c>
      <c r="F33" s="6">
        <v>1327128.1339287097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>
        <v>976360.11607128999</v>
      </c>
      <c r="S33" s="6">
        <v>972343.6250004099</v>
      </c>
      <c r="T33" s="6">
        <v>891323.62499994982</v>
      </c>
      <c r="U33" s="6">
        <v>947694.51785708987</v>
      </c>
      <c r="V33" s="6">
        <v>922774.33928660268</v>
      </c>
      <c r="W33" s="6">
        <v>769047.12500036287</v>
      </c>
      <c r="X33" s="6">
        <v>559523.45535738987</v>
      </c>
      <c r="Y33" s="6">
        <v>602595.81249968964</v>
      </c>
      <c r="Z33" s="6">
        <v>582030.35714331991</v>
      </c>
      <c r="AA33" s="6">
        <v>609428.19642837008</v>
      </c>
      <c r="AB33" s="6">
        <v>525902.33035718999</v>
      </c>
      <c r="AC33" s="6">
        <v>561259.54464294028</v>
      </c>
      <c r="AD33" s="6">
        <v>254766.54464256996</v>
      </c>
      <c r="AE33" s="8">
        <f t="shared" ref="AE33:AE34" si="33">AVERAGE(AA33:AD33)</f>
        <v>487839.15401776752</v>
      </c>
      <c r="AF33" s="6">
        <f>AVERAGE(S33:AD33)</f>
        <v>683224.12276799046</v>
      </c>
      <c r="AG33" s="7">
        <v>0</v>
      </c>
    </row>
    <row r="34" spans="2:33" ht="15.75" outlineLevel="1" x14ac:dyDescent="0.25">
      <c r="C34" t="str">
        <f t="shared" si="29"/>
        <v>PC Annual Direct</v>
      </c>
      <c r="D34" t="str">
        <f t="shared" si="30"/>
        <v>Boom Annual</v>
      </c>
      <c r="E34" s="18" t="s">
        <v>195</v>
      </c>
      <c r="F34" s="119">
        <v>1161063.7678623493</v>
      </c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>
        <v>906969.02678407845</v>
      </c>
      <c r="S34" s="119">
        <v>842098.27678446041</v>
      </c>
      <c r="T34" s="119">
        <v>800178.41071560886</v>
      </c>
      <c r="U34" s="119">
        <v>845741.61607422435</v>
      </c>
      <c r="V34" s="119">
        <v>800435.90178552491</v>
      </c>
      <c r="W34" s="119">
        <v>683058.73214124446</v>
      </c>
      <c r="X34" s="119">
        <v>507558.41964257328</v>
      </c>
      <c r="Y34" s="119">
        <v>554386.6875006021</v>
      </c>
      <c r="Z34" s="119">
        <v>515354.58928617998</v>
      </c>
      <c r="AA34" s="119">
        <v>523947.23213823815</v>
      </c>
      <c r="AB34" s="119">
        <v>473982.23214225605</v>
      </c>
      <c r="AC34" s="119">
        <v>532334.98214368289</v>
      </c>
      <c r="AD34" s="120">
        <v>243904.0892842219</v>
      </c>
      <c r="AE34" s="121">
        <f t="shared" si="33"/>
        <v>443542.13392709976</v>
      </c>
      <c r="AF34" s="119">
        <f t="shared" ref="AF34" si="34">AVERAGE(S34:AD34)</f>
        <v>610248.43080323481</v>
      </c>
      <c r="AG34" s="120"/>
    </row>
    <row r="35" spans="2:33" ht="15.75" outlineLevel="1" x14ac:dyDescent="0.25">
      <c r="B35">
        <v>4</v>
      </c>
      <c r="C35" t="str">
        <f t="shared" si="29"/>
        <v>PC Annual Direct</v>
      </c>
      <c r="D35" t="str">
        <f t="shared" si="30"/>
        <v>Boom Annual</v>
      </c>
      <c r="E35" s="9" t="s">
        <v>196</v>
      </c>
      <c r="F35" s="12" t="e">
        <f>F34/VLOOKUP(COUNTA(F$4:$AD$4),'Dev Patterns'!$B$6:$F$22,$B35,0)</f>
        <v>#N/A</v>
      </c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>
        <f>R34/VLOOKUP(COUNTA(R$4:$AD$4),'Dev Patterns'!$B$6:$F$22,$B35,0)</f>
        <v>906969.71653411631</v>
      </c>
      <c r="S35" s="12">
        <f>S34/VLOOKUP(COUNTA(S$4:$AD$4),'Dev Patterns'!$B$6:$F$22,$B35,0)</f>
        <v>842036.34312470036</v>
      </c>
      <c r="T35" s="12">
        <f>T34/VLOOKUP(COUNTA(T$4:$AD$4),'Dev Patterns'!$B$6:$F$22,$B35,0)</f>
        <v>799699.99184767855</v>
      </c>
      <c r="U35" s="12">
        <f>U34/VLOOKUP(COUNTA(U$4:$AD$4),'Dev Patterns'!$B$6:$F$22,$B35,0)</f>
        <v>844443.95448673982</v>
      </c>
      <c r="V35" s="12">
        <f>V34/VLOOKUP(COUNTA(V$4:$AD$4),'Dev Patterns'!$B$6:$F$22,$B35,0)</f>
        <v>798088.57854088792</v>
      </c>
      <c r="W35" s="12">
        <f>W34/VLOOKUP(COUNTA(W$4:$AD$4),'Dev Patterns'!$B$6:$F$22,$B35,0)</f>
        <v>679159.40977612569</v>
      </c>
      <c r="X35" s="12">
        <f>X34/VLOOKUP(COUNTA(X$4:$AD$4),'Dev Patterns'!$B$6:$F$22,$B35,0)</f>
        <v>503779.32640184532</v>
      </c>
      <c r="Y35" s="12">
        <f>Y34/VLOOKUP(COUNTA(Y$4:$AD$4),'Dev Patterns'!$B$6:$F$22,$B35,0)</f>
        <v>548786.2358961869</v>
      </c>
      <c r="Z35" s="12">
        <f>Z34/VLOOKUP(COUNTA(Z$4:$AD$4),'Dev Patterns'!$B$6:$F$22,$B35,0)</f>
        <v>507663.02065365214</v>
      </c>
      <c r="AA35" s="12">
        <f>AA34/VLOOKUP(COUNTA(AA$4:$AD$4),'Dev Patterns'!$B$6:$F$22,$B35,0)</f>
        <v>512812.12728864222</v>
      </c>
      <c r="AB35" s="12">
        <f>AB34/VLOOKUP(COUNTA(AB$4:$AD$4),'Dev Patterns'!$B$6:$F$22,$B35,0)</f>
        <v>460571.65117013373</v>
      </c>
      <c r="AC35" s="12">
        <f>AC34/VLOOKUP(COUNTA(AC$4:$AD$4),'Dev Patterns'!$B$6:$F$22,$B35,0)</f>
        <v>512401.17473466496</v>
      </c>
      <c r="AD35" s="13">
        <f>AD34/VLOOKUP(COUNTA(AD$4:$AD$4),'Dev Patterns'!$B$6:$F$22,$B35,0)</f>
        <v>232132.49653704776</v>
      </c>
      <c r="AE35" s="43"/>
      <c r="AF35" s="15"/>
      <c r="AG35" s="16"/>
    </row>
    <row r="36" spans="2:33" outlineLevel="1" x14ac:dyDescent="0.25">
      <c r="C36" t="str">
        <f t="shared" si="22"/>
        <v>PC Annual Direct</v>
      </c>
      <c r="D36" t="str">
        <f>$D32</f>
        <v>Boom Annual</v>
      </c>
      <c r="E36" s="35" t="s">
        <v>17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7"/>
      <c r="AE36" s="38"/>
      <c r="AF36" s="39"/>
      <c r="AG36" s="40"/>
    </row>
    <row r="37" spans="2:33" ht="15.75" outlineLevel="1" x14ac:dyDescent="0.25">
      <c r="C37" t="str">
        <f t="shared" si="22"/>
        <v>PC Annual Direct</v>
      </c>
      <c r="D37" t="e">
        <f>#REF!</f>
        <v>#REF!</v>
      </c>
      <c r="E37" s="18" t="s">
        <v>328</v>
      </c>
      <c r="F37" s="69">
        <f t="shared" ref="F37:AD37" si="35">F33/F27-1</f>
        <v>0.17432781206722825</v>
      </c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>
        <f t="shared" ref="R37" si="36">R33/R27-1</f>
        <v>0.12513676344900193</v>
      </c>
      <c r="S37" s="69">
        <f t="shared" si="35"/>
        <v>0.12500754874187847</v>
      </c>
      <c r="T37" s="69">
        <f t="shared" si="35"/>
        <v>0.12676045254535118</v>
      </c>
      <c r="U37" s="69">
        <f t="shared" si="35"/>
        <v>0.12604396151172903</v>
      </c>
      <c r="V37" s="69">
        <f t="shared" si="35"/>
        <v>0.12494159977735086</v>
      </c>
      <c r="W37" s="69">
        <f t="shared" si="35"/>
        <v>0.12622059216764425</v>
      </c>
      <c r="X37" s="69">
        <f t="shared" si="35"/>
        <v>0.12320761912786016</v>
      </c>
      <c r="Y37" s="69">
        <f t="shared" si="35"/>
        <v>9.6827038525060916E-2</v>
      </c>
      <c r="Z37" s="69">
        <f t="shared" si="35"/>
        <v>8.9041080218154045E-2</v>
      </c>
      <c r="AA37" s="69">
        <f t="shared" si="35"/>
        <v>8.9552143849100929E-2</v>
      </c>
      <c r="AB37" s="69">
        <f t="shared" si="35"/>
        <v>8.9303993484254107E-2</v>
      </c>
      <c r="AC37" s="69">
        <f t="shared" si="35"/>
        <v>8.5536290689633976E-2</v>
      </c>
      <c r="AD37" s="70">
        <f t="shared" si="35"/>
        <v>8.6160416181766175E-2</v>
      </c>
      <c r="AE37" s="122">
        <f>AVERAGE(AA37:AD37)</f>
        <v>8.7638211051188797E-2</v>
      </c>
      <c r="AF37" s="69">
        <f>AVERAGE(S37:AD37)</f>
        <v>0.10738356140164868</v>
      </c>
      <c r="AG37" s="70">
        <v>0</v>
      </c>
    </row>
    <row r="38" spans="2:33" ht="15.75" outlineLevel="1" x14ac:dyDescent="0.25">
      <c r="C38" t="str">
        <f t="shared" si="22"/>
        <v>PC Annual Direct</v>
      </c>
      <c r="D38" t="e">
        <f>#REF!</f>
        <v>#REF!</v>
      </c>
      <c r="E38" s="45" t="s">
        <v>331</v>
      </c>
      <c r="F38" s="41">
        <f t="shared" ref="F38:AG38" si="37">F27/F$8</f>
        <v>0.82843868175662516</v>
      </c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>
        <f t="shared" ref="R38" si="38">R27/R$8</f>
        <v>0.22175072893448372</v>
      </c>
      <c r="S38" s="41">
        <f t="shared" si="37"/>
        <v>0.23539996296801061</v>
      </c>
      <c r="T38" s="41">
        <f t="shared" si="37"/>
        <v>0.21793419321825747</v>
      </c>
      <c r="U38" s="41">
        <f t="shared" si="37"/>
        <v>0.20253203688671398</v>
      </c>
      <c r="V38" s="41">
        <f t="shared" si="37"/>
        <v>0.19303138617185708</v>
      </c>
      <c r="W38" s="41">
        <f t="shared" si="37"/>
        <v>0.15940640918790189</v>
      </c>
      <c r="X38" s="41">
        <f t="shared" si="37"/>
        <v>0.15273786929202429</v>
      </c>
      <c r="Y38" s="41">
        <f t="shared" si="37"/>
        <v>0.13939600018797485</v>
      </c>
      <c r="Z38" s="41">
        <f t="shared" si="37"/>
        <v>0.13934521376216036</v>
      </c>
      <c r="AA38" s="41">
        <f t="shared" si="37"/>
        <v>0.15069278954031018</v>
      </c>
      <c r="AB38" s="41">
        <f t="shared" si="37"/>
        <v>0.14658950366264489</v>
      </c>
      <c r="AC38" s="41">
        <f t="shared" si="37"/>
        <v>0.16033799785607314</v>
      </c>
      <c r="AD38" s="41">
        <f t="shared" si="37"/>
        <v>0.1527935550396736</v>
      </c>
      <c r="AE38" s="44">
        <f t="shared" si="37"/>
        <v>0.15246187704193842</v>
      </c>
      <c r="AF38" s="41">
        <f t="shared" si="37"/>
        <v>0.17235931849128444</v>
      </c>
      <c r="AG38" s="42" t="e">
        <f t="shared" si="37"/>
        <v>#DIV/0!</v>
      </c>
    </row>
    <row r="39" spans="2:33" outlineLevel="1" x14ac:dyDescent="0.25"/>
    <row r="40" spans="2:33" ht="18.75" outlineLevel="1" x14ac:dyDescent="0.3">
      <c r="E40" s="68" t="s">
        <v>74</v>
      </c>
      <c r="F40" s="174" t="s">
        <v>332</v>
      </c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"/>
      <c r="T40" s="1"/>
      <c r="U40" s="1"/>
      <c r="V40" s="1"/>
      <c r="W40" s="1"/>
      <c r="X40" s="515" t="s">
        <v>333</v>
      </c>
      <c r="Y40" s="515"/>
      <c r="Z40" s="515"/>
      <c r="AA40" s="515"/>
      <c r="AB40" s="515"/>
      <c r="AC40" s="515"/>
      <c r="AD40" s="516"/>
      <c r="AE40" s="4"/>
      <c r="AF40" s="1"/>
      <c r="AG40" s="2"/>
    </row>
    <row r="41" spans="2:33" outlineLevel="1" x14ac:dyDescent="0.25">
      <c r="E41" s="19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1"/>
      <c r="AE41" s="500" t="s">
        <v>8</v>
      </c>
      <c r="AF41" s="501"/>
      <c r="AG41" s="502"/>
    </row>
    <row r="42" spans="2:33" outlineLevel="1" x14ac:dyDescent="0.25">
      <c r="E42" s="22" t="s">
        <v>187</v>
      </c>
      <c r="F42" s="36">
        <f>F$4</f>
        <v>45139</v>
      </c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>
        <f t="shared" ref="R42:AD42" si="39">R$4</f>
        <v>45505</v>
      </c>
      <c r="S42" s="36">
        <f t="shared" si="39"/>
        <v>45536</v>
      </c>
      <c r="T42" s="36">
        <f t="shared" si="39"/>
        <v>45566</v>
      </c>
      <c r="U42" s="36">
        <f t="shared" si="39"/>
        <v>45597</v>
      </c>
      <c r="V42" s="36">
        <f t="shared" si="39"/>
        <v>45627</v>
      </c>
      <c r="W42" s="36">
        <f t="shared" si="39"/>
        <v>45658</v>
      </c>
      <c r="X42" s="36">
        <f t="shared" si="39"/>
        <v>45689</v>
      </c>
      <c r="Y42" s="36">
        <f t="shared" si="39"/>
        <v>45717</v>
      </c>
      <c r="Z42" s="36">
        <f t="shared" si="39"/>
        <v>45748</v>
      </c>
      <c r="AA42" s="36">
        <f t="shared" si="39"/>
        <v>45778</v>
      </c>
      <c r="AB42" s="36">
        <f t="shared" si="39"/>
        <v>45809</v>
      </c>
      <c r="AC42" s="36">
        <f t="shared" si="39"/>
        <v>45839</v>
      </c>
      <c r="AD42" s="37">
        <f t="shared" si="39"/>
        <v>45870</v>
      </c>
      <c r="AE42" s="28" t="s">
        <v>9</v>
      </c>
      <c r="AF42" s="29" t="s">
        <v>10</v>
      </c>
      <c r="AG42" s="30" t="s">
        <v>11</v>
      </c>
    </row>
    <row r="43" spans="2:33" ht="15.75" outlineLevel="1" x14ac:dyDescent="0.25">
      <c r="C43" t="str">
        <f>$E$2</f>
        <v>PC Annual Direct</v>
      </c>
      <c r="D43" t="s">
        <v>73</v>
      </c>
      <c r="E43" s="5" t="s">
        <v>327</v>
      </c>
      <c r="F43" s="6">
        <v>1747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7">
        <v>0</v>
      </c>
      <c r="AE43" s="6">
        <f t="shared" ref="AE43:AE48" si="40">AVERAGE(AA43:AD43)</f>
        <v>0</v>
      </c>
      <c r="AF43" s="6">
        <f>AVERAGE(S43:AD43)</f>
        <v>0</v>
      </c>
      <c r="AG43" s="7">
        <v>0</v>
      </c>
    </row>
    <row r="44" spans="2:33" ht="15.75" outlineLevel="1" x14ac:dyDescent="0.25">
      <c r="C44" t="str">
        <f>C43</f>
        <v>PC Annual Direct</v>
      </c>
      <c r="D44" t="str">
        <f>D43</f>
        <v>Boom Subscription</v>
      </c>
      <c r="E44" s="18" t="s">
        <v>326</v>
      </c>
      <c r="F44" s="119">
        <v>143.19672128570028</v>
      </c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>
        <v>0</v>
      </c>
      <c r="S44" s="119">
        <v>0</v>
      </c>
      <c r="T44" s="119">
        <v>0</v>
      </c>
      <c r="U44" s="119">
        <v>0</v>
      </c>
      <c r="V44" s="119">
        <v>0</v>
      </c>
      <c r="W44" s="119">
        <v>0</v>
      </c>
      <c r="X44" s="119">
        <v>0</v>
      </c>
      <c r="Y44" s="119">
        <v>0</v>
      </c>
      <c r="Z44" s="119">
        <v>0</v>
      </c>
      <c r="AA44" s="119">
        <v>0</v>
      </c>
      <c r="AB44" s="119">
        <v>0</v>
      </c>
      <c r="AC44" s="119">
        <v>0</v>
      </c>
      <c r="AD44" s="120">
        <v>0</v>
      </c>
      <c r="AE44" s="15"/>
      <c r="AF44" s="15"/>
      <c r="AG44" s="16"/>
    </row>
    <row r="45" spans="2:33" ht="15.75" outlineLevel="1" x14ac:dyDescent="0.25">
      <c r="C45" t="str">
        <f t="shared" ref="C45:C58" si="41">$E$2</f>
        <v>PC Annual Direct</v>
      </c>
      <c r="D45" t="str">
        <f>$D43</f>
        <v>Boom Subscription</v>
      </c>
      <c r="E45" s="18" t="s">
        <v>324</v>
      </c>
      <c r="F45" s="15">
        <v>135.49180325980018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>
        <v>8.2191780800000003E-2</v>
      </c>
      <c r="S45" s="15">
        <v>7.9452054800000005E-2</v>
      </c>
      <c r="T45" s="15">
        <v>8.2191780800000003E-2</v>
      </c>
      <c r="U45" s="15">
        <v>7.9452054800000005E-2</v>
      </c>
      <c r="V45" s="15">
        <v>8.2191780800000003E-2</v>
      </c>
      <c r="W45" s="15">
        <v>8.2191780800000003E-2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6">
        <v>0</v>
      </c>
      <c r="AE45" s="119">
        <f t="shared" si="40"/>
        <v>0</v>
      </c>
      <c r="AF45" s="119">
        <f t="shared" ref="AF45:AF48" si="42">AVERAGE(S45:AD45)</f>
        <v>3.3789954333333337E-2</v>
      </c>
      <c r="AG45" s="120"/>
    </row>
    <row r="46" spans="2:33" ht="15.75" outlineLevel="1" x14ac:dyDescent="0.25">
      <c r="B46">
        <v>3</v>
      </c>
      <c r="C46" t="str">
        <f t="shared" si="41"/>
        <v>PC Annual Direct</v>
      </c>
      <c r="D46" t="str">
        <f t="shared" ref="D46:D55" si="43">$D45</f>
        <v>Boom Subscription</v>
      </c>
      <c r="E46" s="11" t="s">
        <v>325</v>
      </c>
      <c r="F46" s="12" t="e">
        <f>F45/VLOOKUP(COUNTA(F$4:$AD$4),'Dev Patterns'!$B$6:$F$22,$B46,0)</f>
        <v>#N/A</v>
      </c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>
        <f>R45/VLOOKUP(COUNTA(R$4:$AD$4),'Dev Patterns'!$B$6:$F$22,$B46,0)</f>
        <v>8.2191780799999267E-2</v>
      </c>
      <c r="S46" s="12">
        <f>S45/VLOOKUP(COUNTA(S$4:$AD$4),'Dev Patterns'!$B$6:$F$22,$B46,0)</f>
        <v>7.9452054799999408E-2</v>
      </c>
      <c r="T46" s="12">
        <f>T45/VLOOKUP(COUNTA(T$4:$AD$4),'Dev Patterns'!$B$6:$F$22,$B46,0)</f>
        <v>8.2171645414029756E-2</v>
      </c>
      <c r="U46" s="12">
        <f>U45/VLOOKUP(COUNTA(U$4:$AD$4),'Dev Patterns'!$B$6:$F$22,$B46,0)</f>
        <v>7.9432590593555535E-2</v>
      </c>
      <c r="V46" s="12">
        <f>V45/VLOOKUP(COUNTA(V$4:$AD$4),'Dev Patterns'!$B$6:$F$22,$B46,0)</f>
        <v>8.2145780223402534E-2</v>
      </c>
      <c r="W46" s="12">
        <f>W45/VLOOKUP(COUNTA(W$4:$AD$4),'Dev Patterns'!$B$6:$F$22,$B46,0)</f>
        <v>8.2145780223402465E-2</v>
      </c>
      <c r="X46" s="12">
        <f>X45/VLOOKUP(COUNTA(X$4:$AD$4),'Dev Patterns'!$B$6:$F$22,$B46,0)</f>
        <v>0</v>
      </c>
      <c r="Y46" s="12">
        <f>Y45/VLOOKUP(COUNTA(Y$4:$AD$4),'Dev Patterns'!$B$6:$F$22,$B46,0)</f>
        <v>0</v>
      </c>
      <c r="Z46" s="12">
        <f>Z45/VLOOKUP(COUNTA(Z$4:$AD$4),'Dev Patterns'!$B$6:$F$22,$B46,0)</f>
        <v>0</v>
      </c>
      <c r="AA46" s="12">
        <f>AA45/VLOOKUP(COUNTA(AA$4:$AD$4),'Dev Patterns'!$B$6:$F$22,$B46,0)</f>
        <v>0</v>
      </c>
      <c r="AB46" s="12">
        <f>AB45/VLOOKUP(COUNTA(AB$4:$AD$4),'Dev Patterns'!$B$6:$F$22,$B46,0)</f>
        <v>0</v>
      </c>
      <c r="AC46" s="12">
        <f>AC45/VLOOKUP(COUNTA(AC$4:$AD$4),'Dev Patterns'!$B$6:$F$22,$B46,0)</f>
        <v>0</v>
      </c>
      <c r="AD46" s="13">
        <f>AD45/VLOOKUP(COUNTA(AD$4:$AD$4),'Dev Patterns'!$B$6:$F$22,$B46,0)</f>
        <v>0</v>
      </c>
      <c r="AE46" s="12"/>
      <c r="AF46" s="12"/>
      <c r="AG46" s="13"/>
    </row>
    <row r="47" spans="2:33" ht="15.75" outlineLevel="1" x14ac:dyDescent="0.25">
      <c r="C47" t="str">
        <f t="shared" si="41"/>
        <v>PC Annual Direct</v>
      </c>
      <c r="D47" t="str">
        <f t="shared" si="43"/>
        <v>Boom Subscription</v>
      </c>
      <c r="E47" s="9" t="s">
        <v>188</v>
      </c>
      <c r="F47" s="15">
        <v>234035.91821434104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6">
        <v>0</v>
      </c>
      <c r="AE47" s="8">
        <f t="shared" si="40"/>
        <v>0</v>
      </c>
      <c r="AF47" s="6">
        <f t="shared" si="42"/>
        <v>0</v>
      </c>
      <c r="AG47" s="7">
        <v>0</v>
      </c>
    </row>
    <row r="48" spans="2:33" ht="15.75" outlineLevel="1" x14ac:dyDescent="0.25">
      <c r="C48" t="str">
        <f t="shared" si="41"/>
        <v>PC Annual Direct</v>
      </c>
      <c r="D48" t="str">
        <f t="shared" si="43"/>
        <v>Boom Subscription</v>
      </c>
      <c r="E48" s="18" t="s">
        <v>189</v>
      </c>
      <c r="F48" s="119">
        <v>289905.85357162793</v>
      </c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>
        <v>-80331.91</v>
      </c>
      <c r="S48" s="119">
        <v>-42183.27</v>
      </c>
      <c r="T48" s="119">
        <v>-42912.56</v>
      </c>
      <c r="U48" s="119">
        <v>-12598.05</v>
      </c>
      <c r="V48" s="119">
        <v>-460.53</v>
      </c>
      <c r="W48" s="119">
        <v>-5.37</v>
      </c>
      <c r="X48" s="119">
        <v>0</v>
      </c>
      <c r="Y48" s="119">
        <v>0</v>
      </c>
      <c r="Z48" s="119">
        <v>0</v>
      </c>
      <c r="AA48" s="119">
        <v>0</v>
      </c>
      <c r="AB48" s="119">
        <v>0</v>
      </c>
      <c r="AC48" s="119">
        <v>0</v>
      </c>
      <c r="AD48" s="120">
        <v>0</v>
      </c>
      <c r="AE48" s="121">
        <f t="shared" si="40"/>
        <v>0</v>
      </c>
      <c r="AF48" s="119">
        <f t="shared" si="42"/>
        <v>-8179.9816666666657</v>
      </c>
      <c r="AG48" s="120"/>
    </row>
    <row r="49" spans="2:34" ht="15.75" outlineLevel="1" x14ac:dyDescent="0.25">
      <c r="B49">
        <v>2</v>
      </c>
      <c r="C49" t="str">
        <f t="shared" si="41"/>
        <v>PC Annual Direct</v>
      </c>
      <c r="D49" t="str">
        <f t="shared" si="43"/>
        <v>Boom Subscription</v>
      </c>
      <c r="E49" s="11" t="s">
        <v>190</v>
      </c>
      <c r="F49" s="12" t="e">
        <f>F48/VLOOKUP(COUNTA(F$4:$AD$4),'Dev Patterns'!$B$6:$F$22,$B49,0)</f>
        <v>#N/A</v>
      </c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>
        <f>R48/VLOOKUP(COUNTA(R$4:$AD$4),'Dev Patterns'!$B$6:$F$22,$B49,0)</f>
        <v>-80331.91</v>
      </c>
      <c r="S49" s="12">
        <f>S48/VLOOKUP(COUNTA(S$4:$AD$4),'Dev Patterns'!$B$6:$F$22,$B49,0)</f>
        <v>-42183.27</v>
      </c>
      <c r="T49" s="12">
        <f>T48/VLOOKUP(COUNTA(T$4:$AD$4),'Dev Patterns'!$B$6:$F$22,$B49,0)</f>
        <v>-42911.45515267193</v>
      </c>
      <c r="U49" s="12">
        <f>U48/VLOOKUP(COUNTA(U$4:$AD$4),'Dev Patterns'!$B$6:$F$22,$B49,0)</f>
        <v>-12597.524725148673</v>
      </c>
      <c r="V49" s="12">
        <f>V48/VLOOKUP(COUNTA(V$4:$AD$4),'Dev Patterns'!$B$6:$F$22,$B49,0)</f>
        <v>-460.46277314922156</v>
      </c>
      <c r="W49" s="12">
        <f>W48/VLOOKUP(COUNTA(W$4:$AD$4),'Dev Patterns'!$B$6:$F$22,$B49,0)</f>
        <v>-5.3691817920851284</v>
      </c>
      <c r="X49" s="12">
        <f>X48/VLOOKUP(COUNTA(X$4:$AD$4),'Dev Patterns'!$B$6:$F$22,$B49,0)</f>
        <v>0</v>
      </c>
      <c r="Y49" s="12">
        <f>Y48/VLOOKUP(COUNTA(Y$4:$AD$4),'Dev Patterns'!$B$6:$F$22,$B49,0)</f>
        <v>0</v>
      </c>
      <c r="Z49" s="12">
        <f>Z48/VLOOKUP(COUNTA(Z$4:$AD$4),'Dev Patterns'!$B$6:$F$22,$B49,0)</f>
        <v>0</v>
      </c>
      <c r="AA49" s="12">
        <f>AA48/VLOOKUP(COUNTA(AA$4:$AD$4),'Dev Patterns'!$B$6:$F$22,$B49,0)</f>
        <v>0</v>
      </c>
      <c r="AB49" s="12">
        <f>AB48/VLOOKUP(COUNTA(AB$4:$AD$4),'Dev Patterns'!$B$6:$F$22,$B49,0)</f>
        <v>0</v>
      </c>
      <c r="AC49" s="12">
        <f>AC48/VLOOKUP(COUNTA(AC$4:$AD$4),'Dev Patterns'!$B$6:$F$22,$B49,0)</f>
        <v>0</v>
      </c>
      <c r="AD49" s="13">
        <f>AD48/VLOOKUP(COUNTA(AD$4:$AD$4),'Dev Patterns'!$B$6:$F$22,$B49,0)</f>
        <v>0</v>
      </c>
      <c r="AE49" s="14"/>
      <c r="AF49" s="12"/>
      <c r="AG49" s="13"/>
    </row>
    <row r="50" spans="2:34" ht="15.75" outlineLevel="1" x14ac:dyDescent="0.25">
      <c r="C50" t="str">
        <f t="shared" si="41"/>
        <v>PC Annual Direct</v>
      </c>
      <c r="D50" t="str">
        <f t="shared" si="43"/>
        <v>Boom Subscription</v>
      </c>
      <c r="E50" s="9" t="s">
        <v>330</v>
      </c>
      <c r="F50" s="15">
        <f t="shared" ref="F50:AD50" si="44">IFERROR(F47/F44,0)</f>
        <v>1634.3664583451048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>
        <f t="shared" ref="R50" si="45">IFERROR(R47/R44,0)</f>
        <v>0</v>
      </c>
      <c r="S50" s="15">
        <f t="shared" si="44"/>
        <v>0</v>
      </c>
      <c r="T50" s="15">
        <f t="shared" si="44"/>
        <v>0</v>
      </c>
      <c r="U50" s="15">
        <f t="shared" si="44"/>
        <v>0</v>
      </c>
      <c r="V50" s="15">
        <f t="shared" si="44"/>
        <v>0</v>
      </c>
      <c r="W50" s="15">
        <f t="shared" si="44"/>
        <v>0</v>
      </c>
      <c r="X50" s="15">
        <f t="shared" si="44"/>
        <v>0</v>
      </c>
      <c r="Y50" s="15">
        <f t="shared" si="44"/>
        <v>0</v>
      </c>
      <c r="Z50" s="15">
        <f t="shared" si="44"/>
        <v>0</v>
      </c>
      <c r="AA50" s="15">
        <f t="shared" si="44"/>
        <v>0</v>
      </c>
      <c r="AB50" s="15">
        <f t="shared" si="44"/>
        <v>0</v>
      </c>
      <c r="AC50" s="15">
        <f t="shared" si="44"/>
        <v>0</v>
      </c>
      <c r="AD50" s="16">
        <f t="shared" si="44"/>
        <v>0</v>
      </c>
      <c r="AE50" s="8">
        <f>IFERROR(AE47/AE43,0)</f>
        <v>0</v>
      </c>
      <c r="AF50" s="6">
        <f>IFERROR(AF47/AF43,0)</f>
        <v>0</v>
      </c>
      <c r="AG50" s="7">
        <f>IFERROR(AG47/AG43,0)</f>
        <v>0</v>
      </c>
    </row>
    <row r="51" spans="2:34" ht="15.75" outlineLevel="1" x14ac:dyDescent="0.25">
      <c r="C51" t="str">
        <f t="shared" si="41"/>
        <v>PC Annual Direct</v>
      </c>
      <c r="D51" t="str">
        <f t="shared" si="43"/>
        <v>Boom Subscription</v>
      </c>
      <c r="E51" s="18" t="s">
        <v>192</v>
      </c>
      <c r="F51" s="119">
        <f t="shared" ref="F51:AD51" si="46">IFERROR(F48/F45,0)</f>
        <v>2139.6560278686743</v>
      </c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>
        <f t="shared" ref="R51" si="47">IFERROR(R48/R45,0)</f>
        <v>-977371.57192729914</v>
      </c>
      <c r="S51" s="119">
        <f t="shared" si="46"/>
        <v>-530927.36375648773</v>
      </c>
      <c r="T51" s="119">
        <f t="shared" si="46"/>
        <v>-522102.81347256072</v>
      </c>
      <c r="U51" s="119">
        <f t="shared" si="46"/>
        <v>-158561.66378216815</v>
      </c>
      <c r="V51" s="119">
        <f t="shared" si="46"/>
        <v>-5603.1150014941632</v>
      </c>
      <c r="W51" s="119">
        <f t="shared" si="46"/>
        <v>-65.335000017422672</v>
      </c>
      <c r="X51" s="119">
        <f t="shared" si="46"/>
        <v>0</v>
      </c>
      <c r="Y51" s="119">
        <f t="shared" si="46"/>
        <v>0</v>
      </c>
      <c r="Z51" s="119">
        <f t="shared" si="46"/>
        <v>0</v>
      </c>
      <c r="AA51" s="119">
        <f t="shared" si="46"/>
        <v>0</v>
      </c>
      <c r="AB51" s="119">
        <f t="shared" si="46"/>
        <v>0</v>
      </c>
      <c r="AC51" s="119">
        <f t="shared" si="46"/>
        <v>0</v>
      </c>
      <c r="AD51" s="120">
        <f t="shared" si="46"/>
        <v>0</v>
      </c>
      <c r="AE51" s="121">
        <f t="shared" ref="AE51:AG51" si="48">IFERROR(AE48/AE45,0)</f>
        <v>0</v>
      </c>
      <c r="AF51" s="119">
        <f t="shared" si="48"/>
        <v>-242083.24124893011</v>
      </c>
      <c r="AG51" s="120">
        <f t="shared" si="48"/>
        <v>0</v>
      </c>
      <c r="AH51" s="3"/>
    </row>
    <row r="52" spans="2:34" ht="15.75" outlineLevel="1" x14ac:dyDescent="0.25">
      <c r="C52" t="str">
        <f t="shared" si="41"/>
        <v>PC Annual Direct</v>
      </c>
      <c r="D52" t="str">
        <f t="shared" si="43"/>
        <v>Boom Subscription</v>
      </c>
      <c r="E52" s="11" t="s">
        <v>193</v>
      </c>
      <c r="F52" s="12">
        <f t="shared" ref="F52:AD52" si="49">IFERROR(F49/F46,0)</f>
        <v>0</v>
      </c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>
        <f t="shared" ref="R52" si="50">IFERROR(R49/R46,0)</f>
        <v>-977371.57192730787</v>
      </c>
      <c r="S52" s="12">
        <f t="shared" si="49"/>
        <v>-530927.36375649169</v>
      </c>
      <c r="T52" s="12">
        <f t="shared" si="49"/>
        <v>-522217.3042350366</v>
      </c>
      <c r="U52" s="12">
        <f t="shared" si="49"/>
        <v>-158593.90498300991</v>
      </c>
      <c r="V52" s="12">
        <f t="shared" si="49"/>
        <v>-5605.4342888576057</v>
      </c>
      <c r="W52" s="12">
        <f t="shared" si="49"/>
        <v>-65.361626336534627</v>
      </c>
      <c r="X52" s="12">
        <f t="shared" si="49"/>
        <v>0</v>
      </c>
      <c r="Y52" s="12">
        <f t="shared" si="49"/>
        <v>0</v>
      </c>
      <c r="Z52" s="12">
        <f t="shared" si="49"/>
        <v>0</v>
      </c>
      <c r="AA52" s="12">
        <f t="shared" si="49"/>
        <v>0</v>
      </c>
      <c r="AB52" s="12">
        <f t="shared" si="49"/>
        <v>0</v>
      </c>
      <c r="AC52" s="12">
        <f t="shared" si="49"/>
        <v>0</v>
      </c>
      <c r="AD52" s="13">
        <f t="shared" si="49"/>
        <v>0</v>
      </c>
      <c r="AE52" s="14"/>
      <c r="AF52" s="12"/>
      <c r="AG52" s="13"/>
    </row>
    <row r="53" spans="2:34" ht="15.75" outlineLevel="1" x14ac:dyDescent="0.25">
      <c r="C53" t="str">
        <f t="shared" si="41"/>
        <v>PC Annual Direct</v>
      </c>
      <c r="D53" t="str">
        <f t="shared" si="43"/>
        <v>Boom Subscription</v>
      </c>
      <c r="E53" s="9" t="s">
        <v>194</v>
      </c>
      <c r="F53" s="15">
        <v>541996.5982144291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6">
        <v>0</v>
      </c>
      <c r="AE53" s="8">
        <f t="shared" ref="AE53:AE54" si="51">AVERAGE(AA53:AD53)</f>
        <v>0</v>
      </c>
      <c r="AF53" s="6">
        <f t="shared" ref="AF53:AF54" si="52">AVERAGE(S53:AD53)</f>
        <v>0</v>
      </c>
      <c r="AG53" s="7">
        <v>0</v>
      </c>
    </row>
    <row r="54" spans="2:34" ht="15.75" outlineLevel="1" x14ac:dyDescent="0.25">
      <c r="C54" t="str">
        <f t="shared" si="41"/>
        <v>PC Annual Direct</v>
      </c>
      <c r="D54" t="str">
        <f t="shared" si="43"/>
        <v>Boom Subscription</v>
      </c>
      <c r="E54" s="18" t="s">
        <v>195</v>
      </c>
      <c r="F54" s="119">
        <v>500693.05357188883</v>
      </c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>
        <v>0</v>
      </c>
      <c r="S54" s="119">
        <v>0</v>
      </c>
      <c r="T54" s="119">
        <v>0</v>
      </c>
      <c r="U54" s="119">
        <v>0</v>
      </c>
      <c r="V54" s="119">
        <v>0</v>
      </c>
      <c r="W54" s="119">
        <v>0</v>
      </c>
      <c r="X54" s="119">
        <v>0</v>
      </c>
      <c r="Y54" s="119">
        <v>0</v>
      </c>
      <c r="Z54" s="119">
        <v>0</v>
      </c>
      <c r="AA54" s="119">
        <v>0</v>
      </c>
      <c r="AB54" s="119">
        <v>0</v>
      </c>
      <c r="AC54" s="119">
        <v>0</v>
      </c>
      <c r="AD54" s="120">
        <v>0</v>
      </c>
      <c r="AE54" s="121">
        <f t="shared" si="51"/>
        <v>0</v>
      </c>
      <c r="AF54" s="119">
        <f t="shared" si="52"/>
        <v>0</v>
      </c>
      <c r="AG54" s="120"/>
    </row>
    <row r="55" spans="2:34" ht="15.75" outlineLevel="1" x14ac:dyDescent="0.25">
      <c r="B55">
        <v>2</v>
      </c>
      <c r="C55" t="str">
        <f t="shared" si="41"/>
        <v>PC Annual Direct</v>
      </c>
      <c r="D55" t="str">
        <f t="shared" si="43"/>
        <v>Boom Subscription</v>
      </c>
      <c r="E55" s="11" t="s">
        <v>196</v>
      </c>
      <c r="F55" s="12" t="e">
        <f>F54/VLOOKUP(COUNTA(F$4:$AD$4),'Dev Patterns'!$B$6:$F$22,$B55,0)</f>
        <v>#N/A</v>
      </c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>
        <f>R54/VLOOKUP(COUNTA(R$4:$AD$4),'Dev Patterns'!$B$6:$F$22,$B55,0)</f>
        <v>0</v>
      </c>
      <c r="S55" s="12">
        <f>S54/VLOOKUP(COUNTA(S$4:$AD$4),'Dev Patterns'!$B$6:$F$22,$B55,0)</f>
        <v>0</v>
      </c>
      <c r="T55" s="12">
        <f>T54/VLOOKUP(COUNTA(T$4:$AD$4),'Dev Patterns'!$B$6:$F$22,$B55,0)</f>
        <v>0</v>
      </c>
      <c r="U55" s="12">
        <f>U54/VLOOKUP(COUNTA(U$4:$AD$4),'Dev Patterns'!$B$6:$F$22,$B55,0)</f>
        <v>0</v>
      </c>
      <c r="V55" s="12">
        <f>V54/VLOOKUP(COUNTA(V$4:$AD$4),'Dev Patterns'!$B$6:$F$22,$B55,0)</f>
        <v>0</v>
      </c>
      <c r="W55" s="12">
        <f>W54/VLOOKUP(COUNTA(W$4:$AD$4),'Dev Patterns'!$B$6:$F$22,$B55,0)</f>
        <v>0</v>
      </c>
      <c r="X55" s="12">
        <f>X54/VLOOKUP(COUNTA(X$4:$AD$4),'Dev Patterns'!$B$6:$F$22,$B55,0)</f>
        <v>0</v>
      </c>
      <c r="Y55" s="12">
        <f>Y54/VLOOKUP(COUNTA(Y$4:$AD$4),'Dev Patterns'!$B$6:$F$22,$B55,0)</f>
        <v>0</v>
      </c>
      <c r="Z55" s="12">
        <f>Z54/VLOOKUP(COUNTA(Z$4:$AD$4),'Dev Patterns'!$B$6:$F$22,$B55,0)</f>
        <v>0</v>
      </c>
      <c r="AA55" s="12">
        <f>AA54/VLOOKUP(COUNTA(AA$4:$AD$4),'Dev Patterns'!$B$6:$F$22,$B55,0)</f>
        <v>0</v>
      </c>
      <c r="AB55" s="12">
        <f>AB54/VLOOKUP(COUNTA(AB$4:$AD$4),'Dev Patterns'!$B$6:$F$22,$B55,0)</f>
        <v>0</v>
      </c>
      <c r="AC55" s="12">
        <f>AC54/VLOOKUP(COUNTA(AC$4:$AD$4),'Dev Patterns'!$B$6:$F$22,$B55,0)</f>
        <v>0</v>
      </c>
      <c r="AD55" s="13">
        <f>AD54/VLOOKUP(COUNTA(AD$4:$AD$4),'Dev Patterns'!$B$6:$F$22,$B55,0)</f>
        <v>0</v>
      </c>
      <c r="AE55" s="14"/>
      <c r="AF55" s="12"/>
      <c r="AG55" s="13"/>
    </row>
    <row r="56" spans="2:34" outlineLevel="1" x14ac:dyDescent="0.25">
      <c r="C56" t="str">
        <f t="shared" si="41"/>
        <v>PC Annual Direct</v>
      </c>
      <c r="D56" t="str">
        <f>$D52</f>
        <v>Boom Subscription</v>
      </c>
      <c r="E56" s="35" t="s">
        <v>17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7"/>
      <c r="AE56" s="38"/>
      <c r="AF56" s="39"/>
      <c r="AG56" s="40"/>
    </row>
    <row r="57" spans="2:34" ht="15.75" outlineLevel="1" x14ac:dyDescent="0.25">
      <c r="C57" t="str">
        <f t="shared" si="41"/>
        <v>PC Annual Direct</v>
      </c>
      <c r="D57" t="e">
        <f>#REF!</f>
        <v>#REF!</v>
      </c>
      <c r="E57" s="18" t="s">
        <v>328</v>
      </c>
      <c r="F57" s="69">
        <v>0</v>
      </c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0</v>
      </c>
      <c r="AA57" s="69">
        <v>0</v>
      </c>
      <c r="AB57" s="69">
        <v>0</v>
      </c>
      <c r="AC57" s="69">
        <v>0</v>
      </c>
      <c r="AD57" s="70">
        <v>0</v>
      </c>
      <c r="AE57" s="122">
        <f>AVERAGE(AA57:AD57)</f>
        <v>0</v>
      </c>
      <c r="AF57" s="69">
        <f>AVERAGE(S57:AD57)</f>
        <v>0</v>
      </c>
      <c r="AG57" s="70">
        <v>0</v>
      </c>
    </row>
    <row r="58" spans="2:34" ht="15.75" outlineLevel="1" x14ac:dyDescent="0.25">
      <c r="C58" t="str">
        <f t="shared" si="41"/>
        <v>PC Annual Direct</v>
      </c>
      <c r="D58" t="e">
        <f>#REF!</f>
        <v>#REF!</v>
      </c>
      <c r="E58" s="45" t="s">
        <v>331</v>
      </c>
      <c r="F58" s="41">
        <f>F47/F$8</f>
        <v>0.17156131824337342</v>
      </c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>
        <f t="shared" ref="R58" si="53">R47/R$8</f>
        <v>0</v>
      </c>
      <c r="S58" s="41">
        <f t="shared" ref="S58:AG58" si="54">S47/S$8</f>
        <v>0</v>
      </c>
      <c r="T58" s="41">
        <f t="shared" si="54"/>
        <v>0</v>
      </c>
      <c r="U58" s="41">
        <f t="shared" si="54"/>
        <v>0</v>
      </c>
      <c r="V58" s="41">
        <f t="shared" si="54"/>
        <v>0</v>
      </c>
      <c r="W58" s="41">
        <f t="shared" si="54"/>
        <v>0</v>
      </c>
      <c r="X58" s="41">
        <f t="shared" si="54"/>
        <v>0</v>
      </c>
      <c r="Y58" s="41">
        <f t="shared" si="54"/>
        <v>0</v>
      </c>
      <c r="Z58" s="41">
        <f t="shared" si="54"/>
        <v>0</v>
      </c>
      <c r="AA58" s="41">
        <f t="shared" si="54"/>
        <v>0</v>
      </c>
      <c r="AB58" s="41">
        <f t="shared" si="54"/>
        <v>0</v>
      </c>
      <c r="AC58" s="41">
        <f t="shared" si="54"/>
        <v>0</v>
      </c>
      <c r="AD58" s="41">
        <f t="shared" si="54"/>
        <v>0</v>
      </c>
      <c r="AE58" s="44">
        <f t="shared" si="54"/>
        <v>0</v>
      </c>
      <c r="AF58" s="41">
        <f t="shared" si="54"/>
        <v>0</v>
      </c>
      <c r="AG58" s="42" t="e">
        <f t="shared" si="54"/>
        <v>#DIV/0!</v>
      </c>
    </row>
    <row r="59" spans="2:34" outlineLevel="1" x14ac:dyDescent="0.25"/>
  </sheetData>
  <mergeCells count="5">
    <mergeCell ref="AE3:AG3"/>
    <mergeCell ref="AE22:AG22"/>
    <mergeCell ref="AE41:AG41"/>
    <mergeCell ref="F3:AD3"/>
    <mergeCell ref="X40:AD40"/>
  </mergeCells>
  <conditionalFormatting sqref="F6:AD16 F37:AD37 F57:AD57">
    <cfRule type="cellIs" dxfId="113" priority="5" operator="lessThan">
      <formula>0</formula>
    </cfRule>
  </conditionalFormatting>
  <conditionalFormatting sqref="F18:AD18">
    <cfRule type="cellIs" dxfId="112" priority="12" operator="lessThan">
      <formula>0</formula>
    </cfRule>
  </conditionalFormatting>
  <conditionalFormatting sqref="F29:AD33">
    <cfRule type="cellIs" dxfId="111" priority="3" operator="lessThan">
      <formula>0</formula>
    </cfRule>
  </conditionalFormatting>
  <conditionalFormatting sqref="F35:AD35">
    <cfRule type="cellIs" dxfId="110" priority="1" operator="lessThan">
      <formula>0</formula>
    </cfRule>
  </conditionalFormatting>
  <conditionalFormatting sqref="F46:AD47">
    <cfRule type="cellIs" dxfId="109" priority="4" operator="lessThan">
      <formula>0</formula>
    </cfRule>
  </conditionalFormatting>
  <conditionalFormatting sqref="F49:AD53 F55:AD55">
    <cfRule type="cellIs" dxfId="108" priority="16" operator="lessThan">
      <formula>0</formula>
    </cfRule>
  </conditionalFormatting>
  <conditionalFormatting sqref="F26:AG26">
    <cfRule type="cellIs" dxfId="107" priority="2" operator="lessThan">
      <formula>0</formula>
    </cfRule>
  </conditionalFormatting>
  <conditionalFormatting sqref="S27:AD27">
    <cfRule type="cellIs" dxfId="106" priority="19" operator="lessThan">
      <formula>0</formula>
    </cfRule>
  </conditionalFormatting>
  <conditionalFormatting sqref="AE7:AG7 AE10:AG10">
    <cfRule type="cellIs" dxfId="105" priority="13" operator="lessThan">
      <formula>0</formula>
    </cfRule>
  </conditionalFormatting>
  <conditionalFormatting sqref="AE13:AG13 AE16:AG17">
    <cfRule type="cellIs" dxfId="104" priority="11" operator="lessThan">
      <formula>0</formula>
    </cfRule>
  </conditionalFormatting>
  <conditionalFormatting sqref="AE29:AG29 AE32:AG33 AE35:AG36">
    <cfRule type="cellIs" dxfId="103" priority="18" operator="lessThan">
      <formula>0</formula>
    </cfRule>
  </conditionalFormatting>
  <conditionalFormatting sqref="AE46:AG46 AE49:AG49 AE52:AG52 AE55:AG56">
    <cfRule type="cellIs" dxfId="102" priority="15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9952E-4A16-4F3E-8225-25B72A98578C}">
  <sheetPr codeName="Sheet7">
    <tabColor rgb="FFFF0000"/>
  </sheetPr>
  <dimension ref="A1"/>
  <sheetViews>
    <sheetView showGridLines="0" workbookViewId="0">
      <selection activeCell="Y14" sqref="Y14"/>
    </sheetView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07C4-8F3B-4722-ADF9-02BD3BAD50C4}">
  <dimension ref="B1:AJ59"/>
  <sheetViews>
    <sheetView showGridLines="0" topLeftCell="M1" zoomScale="70" zoomScaleNormal="70" workbookViewId="0">
      <selection activeCell="Y14" sqref="Y14"/>
    </sheetView>
  </sheetViews>
  <sheetFormatPr defaultRowHeight="15" outlineLevelRow="1" x14ac:dyDescent="0.25"/>
  <cols>
    <col min="2" max="2" width="9.140625" customWidth="1"/>
    <col min="3" max="3" width="18.7109375" customWidth="1"/>
    <col min="4" max="4" width="23.28515625" customWidth="1"/>
    <col min="5" max="5" width="55.28515625" customWidth="1"/>
    <col min="6" max="18" width="16.7109375" customWidth="1"/>
    <col min="19" max="27" width="13.140625" bestFit="1" customWidth="1"/>
    <col min="28" max="28" width="13.28515625" bestFit="1" customWidth="1"/>
    <col min="29" max="29" width="13.140625" bestFit="1" customWidth="1"/>
    <col min="30" max="30" width="13.42578125" bestFit="1" customWidth="1"/>
    <col min="31" max="33" width="16" customWidth="1"/>
    <col min="36" max="36" width="17.140625" bestFit="1" customWidth="1"/>
  </cols>
  <sheetData>
    <row r="1" spans="3:36" x14ac:dyDescent="0.25">
      <c r="E1" s="47" t="s">
        <v>320</v>
      </c>
    </row>
    <row r="2" spans="3:36" ht="18.75" x14ac:dyDescent="0.3">
      <c r="E2" s="183" t="s">
        <v>1</v>
      </c>
      <c r="F2" s="189" t="s">
        <v>334</v>
      </c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1"/>
      <c r="AA2" s="1"/>
      <c r="AB2" s="1"/>
      <c r="AC2" s="1"/>
      <c r="AD2" s="2"/>
      <c r="AE2" s="4"/>
      <c r="AF2" s="1"/>
      <c r="AG2" s="2"/>
    </row>
    <row r="3" spans="3:36" ht="18.75" x14ac:dyDescent="0.3">
      <c r="E3" s="19"/>
      <c r="F3" s="503" t="s">
        <v>237</v>
      </c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503"/>
      <c r="Z3" s="503"/>
      <c r="AA3" s="503"/>
      <c r="AB3" s="503"/>
      <c r="AC3" s="503"/>
      <c r="AD3" s="504"/>
      <c r="AE3" s="500" t="s">
        <v>8</v>
      </c>
      <c r="AF3" s="501"/>
      <c r="AG3" s="502"/>
      <c r="AJ3" s="66" t="s">
        <v>26</v>
      </c>
    </row>
    <row r="4" spans="3:36" ht="18.75" x14ac:dyDescent="0.3">
      <c r="E4" s="22" t="s">
        <v>197</v>
      </c>
      <c r="F4" s="191">
        <f t="shared" ref="F4:S4" si="0">EDATE(G4,-1)</f>
        <v>45139</v>
      </c>
      <c r="G4" s="191">
        <f t="shared" si="0"/>
        <v>45170</v>
      </c>
      <c r="H4" s="191">
        <f t="shared" si="0"/>
        <v>45200</v>
      </c>
      <c r="I4" s="191">
        <f t="shared" si="0"/>
        <v>45231</v>
      </c>
      <c r="J4" s="191">
        <f t="shared" si="0"/>
        <v>45261</v>
      </c>
      <c r="K4" s="191">
        <f t="shared" si="0"/>
        <v>45292</v>
      </c>
      <c r="L4" s="191">
        <f t="shared" si="0"/>
        <v>45323</v>
      </c>
      <c r="M4" s="191">
        <f t="shared" si="0"/>
        <v>45352</v>
      </c>
      <c r="N4" s="191">
        <f t="shared" si="0"/>
        <v>45383</v>
      </c>
      <c r="O4" s="191">
        <f t="shared" si="0"/>
        <v>45413</v>
      </c>
      <c r="P4" s="191">
        <f t="shared" si="0"/>
        <v>45444</v>
      </c>
      <c r="Q4" s="191">
        <f t="shared" si="0"/>
        <v>45474</v>
      </c>
      <c r="R4" s="191">
        <f t="shared" si="0"/>
        <v>45505</v>
      </c>
      <c r="S4" s="191">
        <f t="shared" si="0"/>
        <v>45536</v>
      </c>
      <c r="T4" s="191">
        <f t="shared" ref="T4:AC4" si="1">EDATE(U4,-1)</f>
        <v>45566</v>
      </c>
      <c r="U4" s="191">
        <f t="shared" si="1"/>
        <v>45597</v>
      </c>
      <c r="V4" s="191">
        <f t="shared" si="1"/>
        <v>45627</v>
      </c>
      <c r="W4" s="191">
        <f t="shared" si="1"/>
        <v>45658</v>
      </c>
      <c r="X4" s="191">
        <f t="shared" si="1"/>
        <v>45689</v>
      </c>
      <c r="Y4" s="191">
        <f t="shared" si="1"/>
        <v>45717</v>
      </c>
      <c r="Z4" s="191">
        <f t="shared" si="1"/>
        <v>45748</v>
      </c>
      <c r="AA4" s="191">
        <f t="shared" si="1"/>
        <v>45778</v>
      </c>
      <c r="AB4" s="191">
        <f t="shared" si="1"/>
        <v>45809</v>
      </c>
      <c r="AC4" s="191">
        <f t="shared" si="1"/>
        <v>45839</v>
      </c>
      <c r="AD4" s="192">
        <v>45870</v>
      </c>
      <c r="AE4" s="28" t="s">
        <v>349</v>
      </c>
      <c r="AF4" s="29" t="s">
        <v>348</v>
      </c>
      <c r="AG4" s="30"/>
      <c r="AJ4" s="64" t="s">
        <v>48</v>
      </c>
    </row>
    <row r="5" spans="3:36" ht="18.75" x14ac:dyDescent="0.3">
      <c r="C5" t="str">
        <f>$E$2</f>
        <v>PC Annual Direct</v>
      </c>
      <c r="E5" s="5" t="s">
        <v>326</v>
      </c>
      <c r="F5" s="6">
        <v>127.36338798230011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>
        <v>175.51780822400002</v>
      </c>
      <c r="S5" s="6">
        <v>185.49041096400001</v>
      </c>
      <c r="T5" s="6">
        <v>228.37260274600013</v>
      </c>
      <c r="U5" s="6">
        <v>378.95890412000006</v>
      </c>
      <c r="V5" s="6">
        <v>316.13150685800019</v>
      </c>
      <c r="W5" s="6">
        <v>367.98904110600029</v>
      </c>
      <c r="X5" s="6">
        <v>547.49589042600007</v>
      </c>
      <c r="Y5" s="6">
        <v>951.38630139600036</v>
      </c>
      <c r="Z5" s="6">
        <v>1043.1342466040012</v>
      </c>
      <c r="AA5" s="6">
        <v>1070.0602740020008</v>
      </c>
      <c r="AB5" s="6">
        <v>868.61369865400195</v>
      </c>
      <c r="AC5" s="6">
        <v>758.91506851400118</v>
      </c>
      <c r="AD5" s="7">
        <v>300.17534247400005</v>
      </c>
      <c r="AE5" s="8">
        <f t="shared" ref="AE5:AE9" si="2">AVERAGE(AA5:AD5)</f>
        <v>749.44109591100096</v>
      </c>
      <c r="AF5" s="6">
        <f>AVERAGE(S5:AD5)</f>
        <v>584.72694065533381</v>
      </c>
      <c r="AG5" s="7"/>
      <c r="AJ5" s="67" t="s">
        <v>19</v>
      </c>
    </row>
    <row r="6" spans="3:36" ht="18.75" x14ac:dyDescent="0.3">
      <c r="C6" t="str">
        <f t="shared" ref="C6:C18" si="3">$E$2</f>
        <v>PC Annual Direct</v>
      </c>
      <c r="E6" s="18" t="s">
        <v>324</v>
      </c>
      <c r="F6" s="119">
        <v>69.909836052300008</v>
      </c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>
        <v>165.06575342799999</v>
      </c>
      <c r="S6" s="119">
        <v>163.57260274299998</v>
      </c>
      <c r="T6" s="119">
        <v>198.14520548400009</v>
      </c>
      <c r="U6" s="119">
        <v>329.07671233800011</v>
      </c>
      <c r="V6" s="119">
        <v>278.6027397310001</v>
      </c>
      <c r="W6" s="119">
        <v>326.51780823200028</v>
      </c>
      <c r="X6" s="119">
        <v>482.56438357300033</v>
      </c>
      <c r="Y6" s="119">
        <v>868.02191783199999</v>
      </c>
      <c r="Z6" s="119">
        <v>939.7205479650014</v>
      </c>
      <c r="AA6" s="119">
        <v>987.30410961200073</v>
      </c>
      <c r="AB6" s="119">
        <v>824.81917810400182</v>
      </c>
      <c r="AC6" s="119">
        <v>728.03013700500117</v>
      </c>
      <c r="AD6" s="120">
        <v>290.25205480200003</v>
      </c>
      <c r="AE6" s="33">
        <f t="shared" si="2"/>
        <v>707.60136988075101</v>
      </c>
      <c r="AF6" s="31">
        <f t="shared" ref="AF6:AF9" si="4">AVERAGE(S6:AD6)</f>
        <v>534.71894978508385</v>
      </c>
      <c r="AG6" s="32"/>
      <c r="AH6" t="s">
        <v>342</v>
      </c>
      <c r="AJ6" s="68" t="s">
        <v>20</v>
      </c>
    </row>
    <row r="7" spans="3:36" ht="15.75" x14ac:dyDescent="0.25">
      <c r="C7" t="str">
        <f t="shared" si="3"/>
        <v>PC Annual Direct</v>
      </c>
      <c r="E7" s="11" t="s">
        <v>325</v>
      </c>
      <c r="F7" s="12" t="e">
        <f t="shared" ref="F7:AD7" si="5">F26+F46</f>
        <v>#N/A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>
        <f t="shared" ref="R7" si="6">R26+R46</f>
        <v>165.06575342800025</v>
      </c>
      <c r="S7" s="12">
        <f t="shared" si="5"/>
        <v>163.55632406057794</v>
      </c>
      <c r="T7" s="12">
        <f t="shared" si="5"/>
        <v>197.99696637312809</v>
      </c>
      <c r="U7" s="12">
        <f t="shared" si="5"/>
        <v>328.32646499035013</v>
      </c>
      <c r="V7" s="12">
        <f t="shared" si="5"/>
        <v>277.26965382827564</v>
      </c>
      <c r="W7" s="12">
        <f t="shared" si="5"/>
        <v>289.01777248286152</v>
      </c>
      <c r="X7" s="12">
        <f t="shared" si="5"/>
        <v>230.14498454830539</v>
      </c>
      <c r="Y7" s="12">
        <f t="shared" si="5"/>
        <v>277.44204810433058</v>
      </c>
      <c r="Z7" s="12">
        <f t="shared" si="5"/>
        <v>297.90312668821514</v>
      </c>
      <c r="AA7" s="12">
        <f t="shared" si="5"/>
        <v>341.81510090919107</v>
      </c>
      <c r="AB7" s="12">
        <f t="shared" si="5"/>
        <v>257.68353061537101</v>
      </c>
      <c r="AC7" s="12">
        <f t="shared" si="5"/>
        <v>214.4660515241377</v>
      </c>
      <c r="AD7" s="13">
        <f t="shared" si="5"/>
        <v>88.940444689448739</v>
      </c>
      <c r="AE7" s="14"/>
      <c r="AF7" s="12"/>
      <c r="AG7" s="13"/>
    </row>
    <row r="8" spans="3:36" ht="15.75" x14ac:dyDescent="0.25">
      <c r="C8" t="str">
        <f t="shared" si="3"/>
        <v>PC Annual Direct</v>
      </c>
      <c r="E8" s="9" t="s">
        <v>188</v>
      </c>
      <c r="F8" s="15">
        <v>158929.28464254088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>
        <v>152792.03035704006</v>
      </c>
      <c r="S8" s="15">
        <v>185121.90142871998</v>
      </c>
      <c r="T8" s="15">
        <v>208119.64499996998</v>
      </c>
      <c r="U8" s="15">
        <v>306890.76107113005</v>
      </c>
      <c r="V8" s="15">
        <v>257189.34142810994</v>
      </c>
      <c r="W8" s="15">
        <v>309819.41321436997</v>
      </c>
      <c r="X8" s="15">
        <v>500572.5714281401</v>
      </c>
      <c r="Y8" s="15">
        <v>822756.46571376</v>
      </c>
      <c r="Z8" s="15">
        <v>845316.23321378022</v>
      </c>
      <c r="AA8" s="15">
        <v>863810.50928575115</v>
      </c>
      <c r="AB8" s="15">
        <v>696981.26321521041</v>
      </c>
      <c r="AC8" s="15">
        <v>614047.85535754974</v>
      </c>
      <c r="AD8" s="16">
        <v>255721.79892831002</v>
      </c>
      <c r="AE8" s="8">
        <f t="shared" si="2"/>
        <v>607640.35669670533</v>
      </c>
      <c r="AF8" s="6">
        <f t="shared" si="4"/>
        <v>488862.31327373348</v>
      </c>
      <c r="AG8" s="7"/>
    </row>
    <row r="9" spans="3:36" ht="15.75" x14ac:dyDescent="0.25">
      <c r="C9" t="str">
        <f t="shared" si="3"/>
        <v>PC Annual Direct</v>
      </c>
      <c r="E9" s="18" t="s">
        <v>189</v>
      </c>
      <c r="F9" s="119">
        <v>87244.441790487224</v>
      </c>
      <c r="G9" s="119"/>
      <c r="H9" s="119"/>
      <c r="I9" s="119"/>
      <c r="J9" s="119"/>
      <c r="K9" s="119"/>
      <c r="L9" s="119"/>
      <c r="M9" s="119"/>
      <c r="N9" s="119"/>
      <c r="O9" s="119"/>
      <c r="P9" s="119"/>
      <c r="Q9" s="119"/>
      <c r="R9" s="119">
        <v>144569.12321427593</v>
      </c>
      <c r="S9" s="119">
        <v>165041.9660706509</v>
      </c>
      <c r="T9" s="119">
        <v>179263.02892793107</v>
      </c>
      <c r="U9" s="119">
        <v>256174.43178594045</v>
      </c>
      <c r="V9" s="119">
        <v>229701.11999810988</v>
      </c>
      <c r="W9" s="119">
        <v>272629.35928665876</v>
      </c>
      <c r="X9" s="119">
        <v>434524.88785638392</v>
      </c>
      <c r="Y9" s="119">
        <v>765346.3317849451</v>
      </c>
      <c r="Z9" s="119">
        <v>751955.61928747641</v>
      </c>
      <c r="AA9" s="119">
        <v>804699.61785870185</v>
      </c>
      <c r="AB9" s="119">
        <v>661400.82071557362</v>
      </c>
      <c r="AC9" s="119">
        <v>583162.9771442411</v>
      </c>
      <c r="AD9" s="120">
        <v>241913.07714280009</v>
      </c>
      <c r="AE9" s="33">
        <f t="shared" si="2"/>
        <v>572794.12321532913</v>
      </c>
      <c r="AF9" s="31">
        <f t="shared" si="4"/>
        <v>445484.4364882845</v>
      </c>
      <c r="AG9" s="32"/>
      <c r="AH9" t="s">
        <v>343</v>
      </c>
    </row>
    <row r="10" spans="3:36" ht="15.75" x14ac:dyDescent="0.25">
      <c r="C10" t="str">
        <f t="shared" si="3"/>
        <v>PC Annual Direct</v>
      </c>
      <c r="E10" s="11" t="s">
        <v>190</v>
      </c>
      <c r="F10" s="12" t="e">
        <f t="shared" ref="F10:AD10" si="7">F29+F49</f>
        <v>#N/A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>
        <f t="shared" ref="R10" si="8">R29+R49</f>
        <v>144569.23315910896</v>
      </c>
      <c r="S10" s="12">
        <f t="shared" si="7"/>
        <v>165029.82775704245</v>
      </c>
      <c r="T10" s="12">
        <f t="shared" si="7"/>
        <v>179155.84931121938</v>
      </c>
      <c r="U10" s="12">
        <f t="shared" si="7"/>
        <v>255781.37117084695</v>
      </c>
      <c r="V10" s="12">
        <f t="shared" si="7"/>
        <v>229027.60372743194</v>
      </c>
      <c r="W10" s="12">
        <f t="shared" si="7"/>
        <v>232662.12344527885</v>
      </c>
      <c r="X10" s="12">
        <f t="shared" si="7"/>
        <v>180500.75480207926</v>
      </c>
      <c r="Y10" s="12">
        <f t="shared" si="7"/>
        <v>223140.76341482683</v>
      </c>
      <c r="Z10" s="12">
        <f t="shared" si="7"/>
        <v>213947.06018980913</v>
      </c>
      <c r="AA10" s="12">
        <f t="shared" si="7"/>
        <v>254945.03982556245</v>
      </c>
      <c r="AB10" s="12">
        <f t="shared" si="7"/>
        <v>198347.2988004681</v>
      </c>
      <c r="AC10" s="12">
        <f t="shared" si="7"/>
        <v>159176.73664851184</v>
      </c>
      <c r="AD10" s="13">
        <f t="shared" si="7"/>
        <v>68799.372848266677</v>
      </c>
      <c r="AE10" s="14"/>
      <c r="AF10" s="12"/>
      <c r="AG10" s="13"/>
    </row>
    <row r="11" spans="3:36" ht="15.75" x14ac:dyDescent="0.25">
      <c r="C11" t="str">
        <f t="shared" si="3"/>
        <v>PC Annual Direct</v>
      </c>
      <c r="E11" s="9" t="s">
        <v>191</v>
      </c>
      <c r="F11" s="15">
        <f>IFERROR(F8/F5,0)</f>
        <v>1247.8412137138464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>
        <f t="shared" ref="R11" si="9">IFERROR(R8/R5,0)</f>
        <v>870.52152657947511</v>
      </c>
      <c r="S11" s="15">
        <f t="shared" ref="S11:AF12" si="10">IFERROR(S8/S5,0)</f>
        <v>998.01332298869329</v>
      </c>
      <c r="T11" s="15">
        <f t="shared" si="10"/>
        <v>911.31616707737999</v>
      </c>
      <c r="U11" s="15">
        <f t="shared" si="10"/>
        <v>809.82596723456561</v>
      </c>
      <c r="V11" s="15">
        <f t="shared" si="10"/>
        <v>813.55175251049604</v>
      </c>
      <c r="W11" s="15">
        <f t="shared" si="10"/>
        <v>841.92565159875403</v>
      </c>
      <c r="X11" s="15">
        <f t="shared" si="10"/>
        <v>914.29466445611217</v>
      </c>
      <c r="Y11" s="15">
        <f t="shared" si="10"/>
        <v>864.79746923673633</v>
      </c>
      <c r="Z11" s="15">
        <f t="shared" si="10"/>
        <v>810.36188387618199</v>
      </c>
      <c r="AA11" s="15">
        <f t="shared" si="10"/>
        <v>807.25406808638888</v>
      </c>
      <c r="AB11" s="15">
        <f t="shared" si="10"/>
        <v>802.40648322176821</v>
      </c>
      <c r="AC11" s="15">
        <f t="shared" si="10"/>
        <v>809.11274638397981</v>
      </c>
      <c r="AD11" s="16">
        <f t="shared" si="10"/>
        <v>851.90807752791886</v>
      </c>
      <c r="AE11" s="8">
        <f t="shared" si="10"/>
        <v>810.79134839553149</v>
      </c>
      <c r="AF11" s="6">
        <f t="shared" si="10"/>
        <v>836.05231653229475</v>
      </c>
      <c r="AG11" s="7"/>
    </row>
    <row r="12" spans="3:36" ht="15.75" x14ac:dyDescent="0.25">
      <c r="C12" t="str">
        <f t="shared" si="3"/>
        <v>PC Annual Direct</v>
      </c>
      <c r="E12" s="18" t="s">
        <v>192</v>
      </c>
      <c r="F12" s="119">
        <f t="shared" ref="F12:AD13" si="11">IFERROR(F9/F6,0)</f>
        <v>1247.9566069246548</v>
      </c>
      <c r="G12" s="119"/>
      <c r="H12" s="119"/>
      <c r="I12" s="119"/>
      <c r="J12" s="119"/>
      <c r="K12" s="119"/>
      <c r="L12" s="119"/>
      <c r="M12" s="119"/>
      <c r="N12" s="119"/>
      <c r="O12" s="119"/>
      <c r="P12" s="119"/>
      <c r="Q12" s="119"/>
      <c r="R12" s="119">
        <f t="shared" ref="R12" si="12">IFERROR(R9/R6,0)</f>
        <v>875.82748215144159</v>
      </c>
      <c r="S12" s="119">
        <f t="shared" si="11"/>
        <v>1008.9829427606501</v>
      </c>
      <c r="T12" s="119">
        <f t="shared" si="11"/>
        <v>904.7053573163862</v>
      </c>
      <c r="U12" s="119">
        <f t="shared" si="11"/>
        <v>778.46417622775891</v>
      </c>
      <c r="V12" s="119">
        <f t="shared" si="11"/>
        <v>824.47545282538749</v>
      </c>
      <c r="W12" s="119">
        <f t="shared" si="11"/>
        <v>834.96015351465235</v>
      </c>
      <c r="X12" s="119">
        <f t="shared" si="11"/>
        <v>900.44956206481163</v>
      </c>
      <c r="Y12" s="119">
        <f t="shared" si="11"/>
        <v>881.71314118023565</v>
      </c>
      <c r="Z12" s="119">
        <f t="shared" si="11"/>
        <v>800.19067468074775</v>
      </c>
      <c r="AA12" s="119">
        <f t="shared" si="11"/>
        <v>815.04736992833909</v>
      </c>
      <c r="AB12" s="119">
        <f t="shared" si="11"/>
        <v>801.87371762611622</v>
      </c>
      <c r="AC12" s="119">
        <f t="shared" si="11"/>
        <v>801.01488592667295</v>
      </c>
      <c r="AD12" s="120">
        <f t="shared" si="11"/>
        <v>833.45862032854473</v>
      </c>
      <c r="AE12" s="33">
        <f t="shared" si="10"/>
        <v>809.48701853398006</v>
      </c>
      <c r="AF12" s="31">
        <f t="shared" si="10"/>
        <v>833.11884994413458</v>
      </c>
      <c r="AG12" s="32"/>
      <c r="AH12" s="3"/>
    </row>
    <row r="13" spans="3:36" ht="15.75" x14ac:dyDescent="0.25">
      <c r="C13" t="str">
        <f t="shared" si="3"/>
        <v>PC Annual Direct</v>
      </c>
      <c r="E13" s="11" t="s">
        <v>193</v>
      </c>
      <c r="F13" s="12">
        <f t="shared" si="11"/>
        <v>0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>
        <f t="shared" ref="R13" si="13">IFERROR(R10/R7,0)</f>
        <v>875.82814821833028</v>
      </c>
      <c r="S13" s="12">
        <f t="shared" si="11"/>
        <v>1009.0091514646585</v>
      </c>
      <c r="T13" s="12">
        <f t="shared" si="11"/>
        <v>904.84138516343546</v>
      </c>
      <c r="U13" s="12">
        <f t="shared" si="11"/>
        <v>779.04585357858571</v>
      </c>
      <c r="V13" s="12">
        <f t="shared" si="11"/>
        <v>826.0103497271939</v>
      </c>
      <c r="W13" s="12">
        <f t="shared" si="11"/>
        <v>805.00974540960283</v>
      </c>
      <c r="X13" s="12">
        <f t="shared" si="11"/>
        <v>784.29149849317594</v>
      </c>
      <c r="Y13" s="12">
        <f t="shared" si="11"/>
        <v>804.27882125104531</v>
      </c>
      <c r="Z13" s="12">
        <f t="shared" si="11"/>
        <v>718.17661858153554</v>
      </c>
      <c r="AA13" s="12">
        <f t="shared" si="11"/>
        <v>745.85657318075266</v>
      </c>
      <c r="AB13" s="12">
        <f t="shared" si="11"/>
        <v>769.73215295054842</v>
      </c>
      <c r="AC13" s="12">
        <f t="shared" si="11"/>
        <v>742.20015483707846</v>
      </c>
      <c r="AD13" s="13">
        <f t="shared" si="11"/>
        <v>773.54428672458107</v>
      </c>
      <c r="AE13" s="14"/>
      <c r="AF13" s="12"/>
      <c r="AG13" s="13"/>
    </row>
    <row r="14" spans="3:36" ht="15.75" x14ac:dyDescent="0.25">
      <c r="C14" t="str">
        <f t="shared" si="3"/>
        <v>PC Annual Direct</v>
      </c>
      <c r="E14" s="9" t="s">
        <v>194</v>
      </c>
      <c r="F14" s="15">
        <v>180968.79464249595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>
        <v>172028.83035705998</v>
      </c>
      <c r="S14" s="15">
        <v>208028.82142873996</v>
      </c>
      <c r="T14" s="15">
        <v>234709.12500011004</v>
      </c>
      <c r="U14" s="15">
        <v>347910.49107096996</v>
      </c>
      <c r="V14" s="15">
        <v>291581.32142825995</v>
      </c>
      <c r="W14" s="15">
        <v>348272.47321441985</v>
      </c>
      <c r="X14" s="15">
        <v>550956.07142824994</v>
      </c>
      <c r="Y14" s="15">
        <v>896863.03571370989</v>
      </c>
      <c r="Z14" s="15">
        <v>895846.97321377008</v>
      </c>
      <c r="AA14" s="15">
        <v>914549.33928557928</v>
      </c>
      <c r="AB14" s="15">
        <v>736712.22321523982</v>
      </c>
      <c r="AC14" s="15">
        <v>648907.20535762038</v>
      </c>
      <c r="AD14" s="16">
        <v>269886.2589283199</v>
      </c>
      <c r="AE14" s="8">
        <f t="shared" ref="AE14:AE15" si="14">AVERAGE(AA14:AD14)</f>
        <v>642513.75669668987</v>
      </c>
      <c r="AF14" s="6">
        <f>AVERAGE(S14:AD14)</f>
        <v>528685.27827374917</v>
      </c>
      <c r="AG14" s="7"/>
    </row>
    <row r="15" spans="3:36" ht="15.75" x14ac:dyDescent="0.25">
      <c r="C15" t="str">
        <f t="shared" si="3"/>
        <v>PC Annual Direct</v>
      </c>
      <c r="E15" s="18" t="s">
        <v>195</v>
      </c>
      <c r="F15" s="119">
        <v>101104.40178974124</v>
      </c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>
        <v>162722.22321390299</v>
      </c>
      <c r="S15" s="119">
        <v>185447.86607097083</v>
      </c>
      <c r="T15" s="119">
        <v>202239.50892816801</v>
      </c>
      <c r="U15" s="119">
        <v>290728.40178598091</v>
      </c>
      <c r="V15" s="119">
        <v>260482.74999845715</v>
      </c>
      <c r="W15" s="119">
        <v>306813.33928679855</v>
      </c>
      <c r="X15" s="119">
        <v>478544.76785669406</v>
      </c>
      <c r="Y15" s="119">
        <v>834041.40178502188</v>
      </c>
      <c r="Z15" s="119">
        <v>796654.33928756893</v>
      </c>
      <c r="AA15" s="119">
        <v>852325.76785946742</v>
      </c>
      <c r="AB15" s="119">
        <v>698687.66071570327</v>
      </c>
      <c r="AC15" s="119">
        <v>615784.10714400106</v>
      </c>
      <c r="AD15" s="120">
        <v>255514.60714250995</v>
      </c>
      <c r="AE15" s="33">
        <f t="shared" si="14"/>
        <v>605578.03571542038</v>
      </c>
      <c r="AF15" s="31">
        <f t="shared" ref="AF15" si="15">AVERAGE(S15:AD15)</f>
        <v>481438.70982177841</v>
      </c>
      <c r="AG15" s="32"/>
      <c r="AH15" s="3" t="s">
        <v>344</v>
      </c>
    </row>
    <row r="16" spans="3:36" ht="15.75" x14ac:dyDescent="0.25">
      <c r="C16" t="str">
        <f t="shared" si="3"/>
        <v>PC Annual Direct</v>
      </c>
      <c r="E16" s="11" t="s">
        <v>196</v>
      </c>
      <c r="F16" s="12" t="e">
        <f t="shared" ref="F16:AD16" si="16">F35+F55</f>
        <v>#N/A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>
        <f t="shared" ref="R16" si="17">R35+R55</f>
        <v>162722.34696417043</v>
      </c>
      <c r="S16" s="12">
        <f t="shared" si="16"/>
        <v>185434.22696808094</v>
      </c>
      <c r="T16" s="12">
        <f t="shared" si="16"/>
        <v>202118.59189814507</v>
      </c>
      <c r="U16" s="12">
        <f t="shared" si="16"/>
        <v>290282.32337122859</v>
      </c>
      <c r="V16" s="12">
        <f t="shared" si="16"/>
        <v>259718.96486871576</v>
      </c>
      <c r="W16" s="12">
        <f t="shared" si="16"/>
        <v>263576.63104968675</v>
      </c>
      <c r="X16" s="12">
        <f t="shared" si="16"/>
        <v>204682.50575173672</v>
      </c>
      <c r="Y16" s="12">
        <f t="shared" si="16"/>
        <v>252089.29896395624</v>
      </c>
      <c r="Z16" s="12">
        <f t="shared" si="16"/>
        <v>235779.98105917356</v>
      </c>
      <c r="AA16" s="12">
        <f t="shared" si="16"/>
        <v>280444.25473020447</v>
      </c>
      <c r="AB16" s="12">
        <f t="shared" si="16"/>
        <v>218141.67106899584</v>
      </c>
      <c r="AC16" s="12">
        <f t="shared" si="16"/>
        <v>175220.3078408381</v>
      </c>
      <c r="AD16" s="13">
        <f t="shared" si="16"/>
        <v>75744.729223447415</v>
      </c>
      <c r="AE16" s="14"/>
      <c r="AF16" s="12"/>
      <c r="AG16" s="13"/>
    </row>
    <row r="17" spans="2:34" x14ac:dyDescent="0.25">
      <c r="C17" t="str">
        <f t="shared" si="3"/>
        <v>PC Annual Direct</v>
      </c>
      <c r="E17" s="22" t="s">
        <v>17</v>
      </c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4"/>
      <c r="AE17" s="25"/>
      <c r="AF17" s="26"/>
      <c r="AG17" s="27"/>
    </row>
    <row r="18" spans="2:34" ht="15.75" x14ac:dyDescent="0.25">
      <c r="C18" t="str">
        <f t="shared" si="3"/>
        <v>PC Annual Direct</v>
      </c>
      <c r="E18" s="45" t="s">
        <v>328</v>
      </c>
      <c r="F18" s="184">
        <f t="shared" ref="F18:AD18" si="18">(F14/F8)-1</f>
        <v>0.13867494621602106</v>
      </c>
      <c r="G18" s="184" t="e">
        <f t="shared" si="18"/>
        <v>#DIV/0!</v>
      </c>
      <c r="H18" s="184" t="e">
        <f t="shared" si="18"/>
        <v>#DIV/0!</v>
      </c>
      <c r="I18" s="184" t="e">
        <f t="shared" si="18"/>
        <v>#DIV/0!</v>
      </c>
      <c r="J18" s="184" t="e">
        <f t="shared" si="18"/>
        <v>#DIV/0!</v>
      </c>
      <c r="K18" s="184" t="e">
        <f t="shared" si="18"/>
        <v>#DIV/0!</v>
      </c>
      <c r="L18" s="184" t="e">
        <f t="shared" si="18"/>
        <v>#DIV/0!</v>
      </c>
      <c r="M18" s="184" t="e">
        <f t="shared" si="18"/>
        <v>#DIV/0!</v>
      </c>
      <c r="N18" s="184" t="e">
        <f t="shared" si="18"/>
        <v>#DIV/0!</v>
      </c>
      <c r="O18" s="184" t="e">
        <f t="shared" si="18"/>
        <v>#DIV/0!</v>
      </c>
      <c r="P18" s="184" t="e">
        <f t="shared" si="18"/>
        <v>#DIV/0!</v>
      </c>
      <c r="Q18" s="184" t="e">
        <f t="shared" si="18"/>
        <v>#DIV/0!</v>
      </c>
      <c r="R18" s="184">
        <f t="shared" ref="R18" si="19">(R14/R8)-1</f>
        <v>0.12590185466524617</v>
      </c>
      <c r="S18" s="184">
        <f t="shared" si="18"/>
        <v>0.12373965383474705</v>
      </c>
      <c r="T18" s="184">
        <f t="shared" si="18"/>
        <v>0.12776054850633578</v>
      </c>
      <c r="U18" s="184">
        <f t="shared" si="18"/>
        <v>0.13366231637821291</v>
      </c>
      <c r="V18" s="184">
        <f t="shared" si="18"/>
        <v>0.1337224155914849</v>
      </c>
      <c r="W18" s="184">
        <f t="shared" si="18"/>
        <v>0.12411443040673342</v>
      </c>
      <c r="X18" s="184">
        <f t="shared" si="18"/>
        <v>0.10065173937989669</v>
      </c>
      <c r="Y18" s="184">
        <f t="shared" si="18"/>
        <v>9.007108796849228E-2</v>
      </c>
      <c r="Z18" s="184">
        <f t="shared" si="18"/>
        <v>5.9777321213717594E-2</v>
      </c>
      <c r="AA18" s="184">
        <f t="shared" si="18"/>
        <v>5.873838006645915E-2</v>
      </c>
      <c r="AB18" s="184">
        <f t="shared" si="18"/>
        <v>5.700434444499769E-2</v>
      </c>
      <c r="AC18" s="184">
        <f t="shared" si="18"/>
        <v>5.6769761014428877E-2</v>
      </c>
      <c r="AD18" s="185">
        <f t="shared" si="18"/>
        <v>5.5390115584087463E-2</v>
      </c>
      <c r="AE18" s="190">
        <f>AVERAGE(AA18:AD18)</f>
        <v>5.6975650277493295E-2</v>
      </c>
      <c r="AF18" s="186">
        <f>AVERAGE(S18:AD18)</f>
        <v>9.3450176199132817E-2</v>
      </c>
      <c r="AG18" s="187"/>
    </row>
    <row r="21" spans="2:34" ht="18.75" outlineLevel="1" x14ac:dyDescent="0.3">
      <c r="E21" s="68" t="s">
        <v>71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2"/>
      <c r="AE21" s="4"/>
      <c r="AF21" s="1"/>
      <c r="AG21" s="2"/>
    </row>
    <row r="22" spans="2:34" outlineLevel="1" x14ac:dyDescent="0.25">
      <c r="E22" s="19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1"/>
      <c r="AE22" s="500" t="s">
        <v>8</v>
      </c>
      <c r="AF22" s="501"/>
      <c r="AG22" s="502"/>
    </row>
    <row r="23" spans="2:34" outlineLevel="1" x14ac:dyDescent="0.25">
      <c r="E23" s="22" t="s">
        <v>197</v>
      </c>
      <c r="F23" s="23">
        <f>F$4</f>
        <v>45139</v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>
        <f t="shared" ref="R23:AD23" si="20">R$4</f>
        <v>45505</v>
      </c>
      <c r="S23" s="23">
        <f t="shared" si="20"/>
        <v>45536</v>
      </c>
      <c r="T23" s="23">
        <f t="shared" si="20"/>
        <v>45566</v>
      </c>
      <c r="U23" s="23">
        <f t="shared" si="20"/>
        <v>45597</v>
      </c>
      <c r="V23" s="23">
        <f t="shared" si="20"/>
        <v>45627</v>
      </c>
      <c r="W23" s="23">
        <f t="shared" si="20"/>
        <v>45658</v>
      </c>
      <c r="X23" s="23">
        <f t="shared" si="20"/>
        <v>45689</v>
      </c>
      <c r="Y23" s="23">
        <f t="shared" si="20"/>
        <v>45717</v>
      </c>
      <c r="Z23" s="23">
        <f t="shared" si="20"/>
        <v>45748</v>
      </c>
      <c r="AA23" s="23">
        <f t="shared" si="20"/>
        <v>45778</v>
      </c>
      <c r="AB23" s="23">
        <f t="shared" si="20"/>
        <v>45809</v>
      </c>
      <c r="AC23" s="23">
        <f t="shared" si="20"/>
        <v>45839</v>
      </c>
      <c r="AD23" s="24">
        <f t="shared" si="20"/>
        <v>45870</v>
      </c>
      <c r="AE23" s="28" t="s">
        <v>349</v>
      </c>
      <c r="AF23" s="29" t="s">
        <v>348</v>
      </c>
      <c r="AG23" s="30"/>
    </row>
    <row r="24" spans="2:34" ht="15.75" outlineLevel="1" x14ac:dyDescent="0.25">
      <c r="C24" t="str">
        <f>$E$2</f>
        <v>PC Annual Direct</v>
      </c>
      <c r="D24" t="s">
        <v>72</v>
      </c>
      <c r="E24" s="5" t="s">
        <v>326</v>
      </c>
      <c r="F24" s="6">
        <v>125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>
        <v>176</v>
      </c>
      <c r="S24" s="6">
        <v>186</v>
      </c>
      <c r="T24" s="6">
        <v>229</v>
      </c>
      <c r="U24" s="6">
        <v>380</v>
      </c>
      <c r="V24" s="6">
        <v>316</v>
      </c>
      <c r="W24" s="6">
        <v>324</v>
      </c>
      <c r="X24" s="6">
        <v>257</v>
      </c>
      <c r="Y24" s="6">
        <v>308</v>
      </c>
      <c r="Z24" s="6">
        <v>334</v>
      </c>
      <c r="AA24" s="6">
        <v>375</v>
      </c>
      <c r="AB24" s="6">
        <v>288</v>
      </c>
      <c r="AC24" s="6">
        <v>240</v>
      </c>
      <c r="AD24" s="7">
        <v>97</v>
      </c>
      <c r="AE24" s="8">
        <f t="shared" ref="AE24:AE28" si="21">AVERAGE(AA24:AD24)</f>
        <v>250</v>
      </c>
      <c r="AF24" s="6">
        <f>AVERAGE(S24:AD24)</f>
        <v>277.83333333333331</v>
      </c>
      <c r="AG24" s="7"/>
    </row>
    <row r="25" spans="2:34" ht="15.75" outlineLevel="1" x14ac:dyDescent="0.25">
      <c r="C25" t="str">
        <f t="shared" ref="C25:C38" si="22">$E$2</f>
        <v>PC Annual Direct</v>
      </c>
      <c r="D25" t="str">
        <f>$D24</f>
        <v>Boom Annual</v>
      </c>
      <c r="E25" s="18" t="s">
        <v>324</v>
      </c>
      <c r="F25" s="119">
        <v>67.368852445999977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>
        <v>165.06575342799999</v>
      </c>
      <c r="S25" s="119">
        <v>163.57260274299998</v>
      </c>
      <c r="T25" s="119">
        <v>198.14520548400009</v>
      </c>
      <c r="U25" s="119">
        <v>329.07671233800011</v>
      </c>
      <c r="V25" s="119">
        <v>278.55616438900012</v>
      </c>
      <c r="W25" s="119">
        <v>291.62191782000031</v>
      </c>
      <c r="X25" s="119">
        <v>233.12876713100025</v>
      </c>
      <c r="Y25" s="119">
        <v>282.41095891200035</v>
      </c>
      <c r="Z25" s="119">
        <v>305.16438356999998</v>
      </c>
      <c r="AA25" s="119">
        <v>352.95616439100024</v>
      </c>
      <c r="AB25" s="119">
        <v>268.56438356900026</v>
      </c>
      <c r="AC25" s="119">
        <v>225.8191780880002</v>
      </c>
      <c r="AD25" s="120">
        <v>94.764383563999971</v>
      </c>
      <c r="AE25" s="121">
        <f t="shared" si="21"/>
        <v>235.52602740300017</v>
      </c>
      <c r="AF25" s="119">
        <f t="shared" ref="AF25:AF28" si="23">AVERAGE(S25:AD25)</f>
        <v>251.98173516658349</v>
      </c>
      <c r="AG25" s="120"/>
    </row>
    <row r="26" spans="2:34" ht="15.75" outlineLevel="1" x14ac:dyDescent="0.25">
      <c r="B26">
        <v>5</v>
      </c>
      <c r="C26" t="str">
        <f t="shared" si="22"/>
        <v>PC Annual Direct</v>
      </c>
      <c r="D26" t="str">
        <f t="shared" ref="D26:D35" si="24">$D25</f>
        <v>Boom Annual</v>
      </c>
      <c r="E26" s="11" t="s">
        <v>325</v>
      </c>
      <c r="F26" s="12" t="e">
        <f>F25/VLOOKUP(COUNTA(F$4:$AD$4),'Dev Patterns'!$B$6:$F$22,$B26,0)</f>
        <v>#N/A</v>
      </c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>
        <f>R25/VLOOKUP(COUNTA(R$4:$AD$4),'Dev Patterns'!$B$6:$F$22,$B26,0)</f>
        <v>165.06575342800025</v>
      </c>
      <c r="S26" s="12">
        <f>S25/VLOOKUP(COUNTA(S$4:$AD$4),'Dev Patterns'!$B$6:$F$22,$B26,0)</f>
        <v>163.55632406057794</v>
      </c>
      <c r="T26" s="12">
        <f>T25/VLOOKUP(COUNTA(T$4:$AD$4),'Dev Patterns'!$B$6:$F$22,$B26,0)</f>
        <v>197.99696637312809</v>
      </c>
      <c r="U26" s="12">
        <f>U25/VLOOKUP(COUNTA(U$4:$AD$4),'Dev Patterns'!$B$6:$F$22,$B26,0)</f>
        <v>328.32646499035013</v>
      </c>
      <c r="V26" s="12">
        <f>V25/VLOOKUP(COUNTA(V$4:$AD$4),'Dev Patterns'!$B$6:$F$22,$B26,0)</f>
        <v>277.2231045532688</v>
      </c>
      <c r="W26" s="12">
        <f>W25/VLOOKUP(COUNTA(W$4:$AD$4),'Dev Patterns'!$B$6:$F$22,$B26,0)</f>
        <v>289.01777248286152</v>
      </c>
      <c r="X26" s="12">
        <f>X25/VLOOKUP(COUNTA(X$4:$AD$4),'Dev Patterns'!$B$6:$F$22,$B26,0)</f>
        <v>230.14498454830539</v>
      </c>
      <c r="Y26" s="12">
        <f>Y25/VLOOKUP(COUNTA(Y$4:$AD$4),'Dev Patterns'!$B$6:$F$22,$B26,0)</f>
        <v>277.44204810433058</v>
      </c>
      <c r="Z26" s="12">
        <f>Z25/VLOOKUP(COUNTA(Z$4:$AD$4),'Dev Patterns'!$B$6:$F$22,$B26,0)</f>
        <v>297.90312668821514</v>
      </c>
      <c r="AA26" s="12">
        <f>AA25/VLOOKUP(COUNTA(AA$4:$AD$4),'Dev Patterns'!$B$6:$F$22,$B26,0)</f>
        <v>341.81510090919107</v>
      </c>
      <c r="AB26" s="12">
        <f>AB25/VLOOKUP(COUNTA(AB$4:$AD$4),'Dev Patterns'!$B$6:$F$22,$B26,0)</f>
        <v>257.68353061537101</v>
      </c>
      <c r="AC26" s="12">
        <f>AC25/VLOOKUP(COUNTA(AC$4:$AD$4),'Dev Patterns'!$B$6:$F$22,$B26,0)</f>
        <v>214.4660515241377</v>
      </c>
      <c r="AD26" s="13">
        <f>AD25/VLOOKUP(COUNTA(AD$4:$AD$4),'Dev Patterns'!$B$6:$F$22,$B26,0)</f>
        <v>88.940444689448739</v>
      </c>
      <c r="AE26" s="14"/>
      <c r="AF26" s="12"/>
      <c r="AG26" s="13"/>
    </row>
    <row r="27" spans="2:34" ht="15.75" outlineLevel="1" x14ac:dyDescent="0.25">
      <c r="C27" t="str">
        <f t="shared" si="22"/>
        <v>PC Annual Direct</v>
      </c>
      <c r="D27" t="str">
        <f t="shared" si="24"/>
        <v>Boom Annual</v>
      </c>
      <c r="E27" s="9" t="s">
        <v>188</v>
      </c>
      <c r="F27" s="6">
        <v>155060.55571396995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>
        <v>152792.03035704006</v>
      </c>
      <c r="S27" s="15">
        <v>185121.90142871998</v>
      </c>
      <c r="T27" s="15">
        <v>208119.64499996998</v>
      </c>
      <c r="U27" s="15">
        <v>306890.76107113005</v>
      </c>
      <c r="V27" s="15">
        <v>256456.12714239999</v>
      </c>
      <c r="W27" s="15">
        <v>262493.5514287799</v>
      </c>
      <c r="X27" s="15">
        <v>201559.86964247</v>
      </c>
      <c r="Y27" s="15">
        <v>243786.66142847002</v>
      </c>
      <c r="Z27" s="15">
        <v>245462.86214216994</v>
      </c>
      <c r="AA27" s="15">
        <v>272355.43642857007</v>
      </c>
      <c r="AB27" s="15">
        <v>217432.90071471006</v>
      </c>
      <c r="AC27" s="15">
        <v>183340.20928584007</v>
      </c>
      <c r="AD27" s="16">
        <v>73068.248928570014</v>
      </c>
      <c r="AE27" s="8">
        <f t="shared" si="21"/>
        <v>186549.19883942255</v>
      </c>
      <c r="AF27" s="6">
        <f t="shared" si="23"/>
        <v>221340.68122014997</v>
      </c>
      <c r="AG27" s="7"/>
    </row>
    <row r="28" spans="2:34" ht="15.75" outlineLevel="1" x14ac:dyDescent="0.25">
      <c r="C28" t="str">
        <f t="shared" si="22"/>
        <v>PC Annual Direct</v>
      </c>
      <c r="D28" t="str">
        <f t="shared" si="24"/>
        <v>Boom Annual</v>
      </c>
      <c r="E28" s="18" t="s">
        <v>189</v>
      </c>
      <c r="F28" s="119">
        <v>83511.7328619162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>
        <v>144569.12321427593</v>
      </c>
      <c r="S28" s="119">
        <v>165041.9660706509</v>
      </c>
      <c r="T28" s="119">
        <v>179263.02892793107</v>
      </c>
      <c r="U28" s="119">
        <v>256174.43178594045</v>
      </c>
      <c r="V28" s="119">
        <v>229666.96821239986</v>
      </c>
      <c r="W28" s="119">
        <v>233997.92857203877</v>
      </c>
      <c r="X28" s="119">
        <v>181854.77857135702</v>
      </c>
      <c r="Y28" s="119">
        <v>225417.95071424262</v>
      </c>
      <c r="Z28" s="119">
        <v>217188.5578570189</v>
      </c>
      <c r="AA28" s="119">
        <v>260480.8678574611</v>
      </c>
      <c r="AB28" s="119">
        <v>204122.62714385943</v>
      </c>
      <c r="AC28" s="119">
        <v>165369.14714403905</v>
      </c>
      <c r="AD28" s="120">
        <v>72288.23464277001</v>
      </c>
      <c r="AE28" s="121">
        <f t="shared" si="21"/>
        <v>175565.21919703239</v>
      </c>
      <c r="AF28" s="119">
        <f t="shared" si="23"/>
        <v>199238.87395830915</v>
      </c>
      <c r="AG28" s="120"/>
    </row>
    <row r="29" spans="2:34" ht="15.75" outlineLevel="1" x14ac:dyDescent="0.25">
      <c r="B29">
        <v>4</v>
      </c>
      <c r="C29" t="str">
        <f t="shared" si="22"/>
        <v>PC Annual Direct</v>
      </c>
      <c r="D29" t="str">
        <f t="shared" si="24"/>
        <v>Boom Annual</v>
      </c>
      <c r="E29" s="11" t="s">
        <v>190</v>
      </c>
      <c r="F29" s="12" t="e">
        <f>F28/VLOOKUP(COUNTA(F$4:$AD$4),'Dev Patterns'!$B$6:$F$22,$B29,0)</f>
        <v>#N/A</v>
      </c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>
        <f>R28/VLOOKUP(COUNTA(R$4:$AD$4),'Dev Patterns'!$B$6:$F$22,$B29,0)</f>
        <v>144569.23315910896</v>
      </c>
      <c r="S29" s="12">
        <f>S28/VLOOKUP(COUNTA(S$4:$AD$4),'Dev Patterns'!$B$6:$F$22,$B29,0)</f>
        <v>165029.82775704245</v>
      </c>
      <c r="T29" s="12">
        <f>T28/VLOOKUP(COUNTA(T$4:$AD$4),'Dev Patterns'!$B$6:$F$22,$B29,0)</f>
        <v>179155.84931121938</v>
      </c>
      <c r="U29" s="12">
        <f>U28/VLOOKUP(COUNTA(U$4:$AD$4),'Dev Patterns'!$B$6:$F$22,$B29,0)</f>
        <v>255781.37117084695</v>
      </c>
      <c r="V29" s="12">
        <f>V28/VLOOKUP(COUNTA(V$4:$AD$4),'Dev Patterns'!$B$6:$F$22,$B29,0)</f>
        <v>228993.45692710183</v>
      </c>
      <c r="W29" s="12">
        <f>W28/VLOOKUP(COUNTA(W$4:$AD$4),'Dev Patterns'!$B$6:$F$22,$B29,0)</f>
        <v>232662.12344527885</v>
      </c>
      <c r="X29" s="12">
        <f>X28/VLOOKUP(COUNTA(X$4:$AD$4),'Dev Patterns'!$B$6:$F$22,$B29,0)</f>
        <v>180500.75480207926</v>
      </c>
      <c r="Y29" s="12">
        <f>Y28/VLOOKUP(COUNTA(Y$4:$AD$4),'Dev Patterns'!$B$6:$F$22,$B29,0)</f>
        <v>223140.76341482683</v>
      </c>
      <c r="Z29" s="12">
        <f>Z28/VLOOKUP(COUNTA(Z$4:$AD$4),'Dev Patterns'!$B$6:$F$22,$B29,0)</f>
        <v>213947.06018980913</v>
      </c>
      <c r="AA29" s="12">
        <f>AA28/VLOOKUP(COUNTA(AA$4:$AD$4),'Dev Patterns'!$B$6:$F$22,$B29,0)</f>
        <v>254945.03982556245</v>
      </c>
      <c r="AB29" s="12">
        <f>AB28/VLOOKUP(COUNTA(AB$4:$AD$4),'Dev Patterns'!$B$6:$F$22,$B29,0)</f>
        <v>198347.2988004681</v>
      </c>
      <c r="AC29" s="12">
        <f>AC28/VLOOKUP(COUNTA(AC$4:$AD$4),'Dev Patterns'!$B$6:$F$22,$B29,0)</f>
        <v>159176.73664851184</v>
      </c>
      <c r="AD29" s="13">
        <f>AD28/VLOOKUP(COUNTA(AD$4:$AD$4),'Dev Patterns'!$B$6:$F$22,$B29,0)</f>
        <v>68799.372848266677</v>
      </c>
      <c r="AE29" s="14"/>
      <c r="AF29" s="12"/>
      <c r="AG29" s="13"/>
    </row>
    <row r="30" spans="2:34" ht="15.75" outlineLevel="1" x14ac:dyDescent="0.25">
      <c r="C30" t="str">
        <f t="shared" si="22"/>
        <v>PC Annual Direct</v>
      </c>
      <c r="D30" t="str">
        <f t="shared" si="24"/>
        <v>Boom Annual</v>
      </c>
      <c r="E30" s="9" t="s">
        <v>191</v>
      </c>
      <c r="F30" s="15">
        <f>IFERROR(F27/F24,0)</f>
        <v>1240.4844457117597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>
        <f t="shared" ref="R30" si="25">IFERROR(R27/R24,0)</f>
        <v>868.13653611954578</v>
      </c>
      <c r="S30" s="15">
        <f t="shared" ref="S30:AF31" si="26">IFERROR(S27/S24,0)</f>
        <v>995.27903993935479</v>
      </c>
      <c r="T30" s="15">
        <f t="shared" si="26"/>
        <v>908.81941048021827</v>
      </c>
      <c r="U30" s="15">
        <f t="shared" si="26"/>
        <v>807.60726597665803</v>
      </c>
      <c r="V30" s="15">
        <f t="shared" si="26"/>
        <v>811.57002260253159</v>
      </c>
      <c r="W30" s="15">
        <f t="shared" si="26"/>
        <v>810.16528218759231</v>
      </c>
      <c r="X30" s="15">
        <f t="shared" si="26"/>
        <v>784.27964841428013</v>
      </c>
      <c r="Y30" s="15">
        <f t="shared" si="26"/>
        <v>791.51513450801951</v>
      </c>
      <c r="Z30" s="15">
        <f t="shared" si="26"/>
        <v>734.91874892865246</v>
      </c>
      <c r="AA30" s="15">
        <f t="shared" si="26"/>
        <v>726.28116380952019</v>
      </c>
      <c r="AB30" s="15">
        <f t="shared" si="26"/>
        <v>754.97534970385436</v>
      </c>
      <c r="AC30" s="15">
        <f t="shared" si="26"/>
        <v>763.91753869100035</v>
      </c>
      <c r="AD30" s="16">
        <f t="shared" si="26"/>
        <v>753.28091678938154</v>
      </c>
      <c r="AE30" s="8">
        <f t="shared" si="26"/>
        <v>746.19679535769023</v>
      </c>
      <c r="AF30" s="6">
        <f t="shared" si="26"/>
        <v>796.66711896874619</v>
      </c>
      <c r="AG30" s="7"/>
    </row>
    <row r="31" spans="2:34" ht="15.75" outlineLevel="1" x14ac:dyDescent="0.25">
      <c r="C31" t="str">
        <f t="shared" si="22"/>
        <v>PC Annual Direct</v>
      </c>
      <c r="D31" t="str">
        <f t="shared" si="24"/>
        <v>Boom Annual</v>
      </c>
      <c r="E31" s="18" t="s">
        <v>192</v>
      </c>
      <c r="F31" s="119">
        <f t="shared" ref="F31:AD32" si="27">IFERROR(F28/F25,0)</f>
        <v>1239.6193467723926</v>
      </c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>
        <f t="shared" ref="R31" si="28">IFERROR(R28/R25,0)</f>
        <v>875.82748215144159</v>
      </c>
      <c r="S31" s="119">
        <f t="shared" si="27"/>
        <v>1008.9829427606501</v>
      </c>
      <c r="T31" s="119">
        <f t="shared" si="27"/>
        <v>904.7053573163862</v>
      </c>
      <c r="U31" s="119">
        <f t="shared" si="27"/>
        <v>778.46417622775891</v>
      </c>
      <c r="V31" s="119">
        <f t="shared" si="27"/>
        <v>824.49070447305871</v>
      </c>
      <c r="W31" s="119">
        <f t="shared" si="27"/>
        <v>802.40172042374002</v>
      </c>
      <c r="X31" s="119">
        <f t="shared" si="27"/>
        <v>780.06151196762767</v>
      </c>
      <c r="Y31" s="119">
        <f t="shared" si="27"/>
        <v>798.19123019402082</v>
      </c>
      <c r="Z31" s="119">
        <f t="shared" si="27"/>
        <v>711.71004727423963</v>
      </c>
      <c r="AA31" s="119">
        <f t="shared" si="27"/>
        <v>737.99778594857969</v>
      </c>
      <c r="AB31" s="119">
        <f t="shared" si="27"/>
        <v>760.05099570999414</v>
      </c>
      <c r="AC31" s="119">
        <f t="shared" si="27"/>
        <v>732.30780726513763</v>
      </c>
      <c r="AD31" s="120">
        <f t="shared" si="27"/>
        <v>762.82071305776503</v>
      </c>
      <c r="AE31" s="121">
        <f t="shared" si="26"/>
        <v>745.41748584171978</v>
      </c>
      <c r="AF31" s="119">
        <f t="shared" si="26"/>
        <v>790.68776086724552</v>
      </c>
      <c r="AG31" s="120"/>
      <c r="AH31" s="3"/>
    </row>
    <row r="32" spans="2:34" ht="15.75" outlineLevel="1" x14ac:dyDescent="0.25">
      <c r="C32" t="str">
        <f t="shared" si="22"/>
        <v>PC Annual Direct</v>
      </c>
      <c r="D32" t="str">
        <f t="shared" si="24"/>
        <v>Boom Annual</v>
      </c>
      <c r="E32" s="11" t="s">
        <v>193</v>
      </c>
      <c r="F32" s="12">
        <f t="shared" si="27"/>
        <v>0</v>
      </c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>
        <f t="shared" ref="R32" si="29">IFERROR(R29/R26,0)</f>
        <v>875.82814821833028</v>
      </c>
      <c r="S32" s="12">
        <f t="shared" si="27"/>
        <v>1009.0091514646585</v>
      </c>
      <c r="T32" s="12">
        <f t="shared" si="27"/>
        <v>904.84138516343546</v>
      </c>
      <c r="U32" s="12">
        <f t="shared" si="27"/>
        <v>779.04585357858571</v>
      </c>
      <c r="V32" s="12">
        <f t="shared" si="27"/>
        <v>826.02587290158715</v>
      </c>
      <c r="W32" s="12">
        <f t="shared" si="27"/>
        <v>805.00974540960283</v>
      </c>
      <c r="X32" s="12">
        <f t="shared" si="27"/>
        <v>784.29149849317594</v>
      </c>
      <c r="Y32" s="12">
        <f t="shared" si="27"/>
        <v>804.27882125104531</v>
      </c>
      <c r="Z32" s="12">
        <f t="shared" si="27"/>
        <v>718.17661858153554</v>
      </c>
      <c r="AA32" s="12">
        <f t="shared" si="27"/>
        <v>745.85657318075266</v>
      </c>
      <c r="AB32" s="12">
        <f t="shared" si="27"/>
        <v>769.73215295054842</v>
      </c>
      <c r="AC32" s="12">
        <f t="shared" si="27"/>
        <v>742.20015483707846</v>
      </c>
      <c r="AD32" s="13">
        <f t="shared" si="27"/>
        <v>773.54428672458107</v>
      </c>
      <c r="AE32" s="14"/>
      <c r="AF32" s="12"/>
      <c r="AG32" s="13"/>
    </row>
    <row r="33" spans="2:33" ht="15.75" outlineLevel="1" x14ac:dyDescent="0.25">
      <c r="C33" t="str">
        <f t="shared" si="22"/>
        <v>PC Annual Direct</v>
      </c>
      <c r="D33" t="str">
        <f t="shared" si="24"/>
        <v>Boom Annual</v>
      </c>
      <c r="E33" s="5" t="s">
        <v>194</v>
      </c>
      <c r="F33" s="6">
        <v>172495.53571392994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>
        <v>172028.83035705998</v>
      </c>
      <c r="S33" s="6">
        <v>208028.82142873996</v>
      </c>
      <c r="T33" s="6">
        <v>234709.12500011004</v>
      </c>
      <c r="U33" s="6">
        <v>347910.49107096996</v>
      </c>
      <c r="V33" s="6">
        <v>290848.10714254994</v>
      </c>
      <c r="W33" s="6">
        <v>297261.07142879989</v>
      </c>
      <c r="X33" s="6">
        <v>228467.66964251004</v>
      </c>
      <c r="Y33" s="6">
        <v>275325.07142841001</v>
      </c>
      <c r="Z33" s="6">
        <v>270357.23214228009</v>
      </c>
      <c r="AA33" s="6">
        <v>299630.44642842986</v>
      </c>
      <c r="AB33" s="6">
        <v>239196.16071471994</v>
      </c>
      <c r="AC33" s="6">
        <v>201849.0892859399</v>
      </c>
      <c r="AD33" s="6">
        <v>80446.258928630006</v>
      </c>
      <c r="AE33" s="8">
        <f t="shared" ref="AE33:AE34" si="30">AVERAGE(AA33:AD33)</f>
        <v>205280.48883942995</v>
      </c>
      <c r="AF33" s="6">
        <f>AVERAGE(S33:AD33)</f>
        <v>247835.79538684079</v>
      </c>
      <c r="AG33" s="7"/>
    </row>
    <row r="34" spans="2:33" ht="15.75" outlineLevel="1" x14ac:dyDescent="0.25">
      <c r="C34" t="str">
        <f t="shared" si="22"/>
        <v>PC Annual Direct</v>
      </c>
      <c r="D34" t="str">
        <f t="shared" si="24"/>
        <v>Boom Annual</v>
      </c>
      <c r="E34" s="18" t="s">
        <v>195</v>
      </c>
      <c r="F34" s="119">
        <v>92929.142861175249</v>
      </c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>
        <v>162722.22321390299</v>
      </c>
      <c r="S34" s="119">
        <v>185447.86607097083</v>
      </c>
      <c r="T34" s="119">
        <v>202239.50892816801</v>
      </c>
      <c r="U34" s="119">
        <v>290728.40178598091</v>
      </c>
      <c r="V34" s="119">
        <v>260448.59821274717</v>
      </c>
      <c r="W34" s="119">
        <v>265089.92857244873</v>
      </c>
      <c r="X34" s="119">
        <v>206217.92857169709</v>
      </c>
      <c r="Y34" s="119">
        <v>254661.91071420003</v>
      </c>
      <c r="Z34" s="119">
        <v>239352.26785713201</v>
      </c>
      <c r="AA34" s="119">
        <v>286533.7678573578</v>
      </c>
      <c r="AB34" s="119">
        <v>224493.35714396922</v>
      </c>
      <c r="AC34" s="119">
        <v>182036.85714413892</v>
      </c>
      <c r="AD34" s="120">
        <v>79585.794642830006</v>
      </c>
      <c r="AE34" s="121">
        <f t="shared" si="30"/>
        <v>193162.44419707399</v>
      </c>
      <c r="AF34" s="119">
        <f t="shared" ref="AF34" si="31">AVERAGE(S34:AD34)</f>
        <v>223069.68229180339</v>
      </c>
      <c r="AG34" s="120"/>
    </row>
    <row r="35" spans="2:33" ht="15.75" outlineLevel="1" x14ac:dyDescent="0.25">
      <c r="B35">
        <v>4</v>
      </c>
      <c r="C35" t="str">
        <f t="shared" si="22"/>
        <v>PC Annual Direct</v>
      </c>
      <c r="D35" t="str">
        <f t="shared" si="24"/>
        <v>Boom Annual</v>
      </c>
      <c r="E35" s="9" t="s">
        <v>196</v>
      </c>
      <c r="F35" s="12" t="e">
        <f>F34/VLOOKUP(COUNTA(F$4:$AD$4),'Dev Patterns'!$B$6:$F$22,$B35,0)</f>
        <v>#N/A</v>
      </c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>
        <f>R34/VLOOKUP(COUNTA(R$4:$AD$4),'Dev Patterns'!$B$6:$F$22,$B35,0)</f>
        <v>162722.34696417043</v>
      </c>
      <c r="S35" s="12">
        <f>S34/VLOOKUP(COUNTA(S$4:$AD$4),'Dev Patterns'!$B$6:$F$22,$B35,0)</f>
        <v>185434.22696808094</v>
      </c>
      <c r="T35" s="12">
        <f>T34/VLOOKUP(COUNTA(T$4:$AD$4),'Dev Patterns'!$B$6:$F$22,$B35,0)</f>
        <v>202118.59189814507</v>
      </c>
      <c r="U35" s="12">
        <f>U34/VLOOKUP(COUNTA(U$4:$AD$4),'Dev Patterns'!$B$6:$F$22,$B35,0)</f>
        <v>290282.32337122859</v>
      </c>
      <c r="V35" s="12">
        <f>V34/VLOOKUP(COUNTA(V$4:$AD$4),'Dev Patterns'!$B$6:$F$22,$B35,0)</f>
        <v>259684.81806838565</v>
      </c>
      <c r="W35" s="12">
        <f>W34/VLOOKUP(COUNTA(W$4:$AD$4),'Dev Patterns'!$B$6:$F$22,$B35,0)</f>
        <v>263576.63104968675</v>
      </c>
      <c r="X35" s="12">
        <f>X34/VLOOKUP(COUNTA(X$4:$AD$4),'Dev Patterns'!$B$6:$F$22,$B35,0)</f>
        <v>204682.50575173672</v>
      </c>
      <c r="Y35" s="12">
        <f>Y34/VLOOKUP(COUNTA(Y$4:$AD$4),'Dev Patterns'!$B$6:$F$22,$B35,0)</f>
        <v>252089.29896395624</v>
      </c>
      <c r="Z35" s="12">
        <f>Z34/VLOOKUP(COUNTA(Z$4:$AD$4),'Dev Patterns'!$B$6:$F$22,$B35,0)</f>
        <v>235779.98105917356</v>
      </c>
      <c r="AA35" s="12">
        <f>AA34/VLOOKUP(COUNTA(AA$4:$AD$4),'Dev Patterns'!$B$6:$F$22,$B35,0)</f>
        <v>280444.25473020447</v>
      </c>
      <c r="AB35" s="12">
        <f>AB34/VLOOKUP(COUNTA(AB$4:$AD$4),'Dev Patterns'!$B$6:$F$22,$B35,0)</f>
        <v>218141.67106899584</v>
      </c>
      <c r="AC35" s="12">
        <f>AC34/VLOOKUP(COUNTA(AC$4:$AD$4),'Dev Patterns'!$B$6:$F$22,$B35,0)</f>
        <v>175220.3078408381</v>
      </c>
      <c r="AD35" s="13">
        <f>AD34/VLOOKUP(COUNTA(AD$4:$AD$4),'Dev Patterns'!$B$6:$F$22,$B35,0)</f>
        <v>75744.729223447415</v>
      </c>
      <c r="AE35" s="43"/>
      <c r="AF35" s="15"/>
      <c r="AG35" s="16"/>
    </row>
    <row r="36" spans="2:33" outlineLevel="1" x14ac:dyDescent="0.25">
      <c r="C36" t="str">
        <f t="shared" si="22"/>
        <v>PC Annual Direct</v>
      </c>
      <c r="D36" t="str">
        <f>$D32</f>
        <v>Boom Annual</v>
      </c>
      <c r="E36" s="35" t="s">
        <v>17</v>
      </c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7"/>
      <c r="AE36" s="38"/>
      <c r="AF36" s="39"/>
      <c r="AG36" s="40"/>
    </row>
    <row r="37" spans="2:33" ht="15.75" outlineLevel="1" x14ac:dyDescent="0.25">
      <c r="C37" t="str">
        <f t="shared" si="22"/>
        <v>PC Annual Direct</v>
      </c>
      <c r="D37" t="e">
        <f>#REF!</f>
        <v>#REF!</v>
      </c>
      <c r="E37" s="18" t="s">
        <v>328</v>
      </c>
      <c r="F37" s="69">
        <f t="shared" ref="F37:AD37" si="32">F33/F27-1</f>
        <v>0.11243981372104161</v>
      </c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>
        <f t="shared" ref="R37" si="33">R33/R27-1</f>
        <v>0.12590185466524617</v>
      </c>
      <c r="S37" s="69">
        <f t="shared" si="32"/>
        <v>0.12373965383474705</v>
      </c>
      <c r="T37" s="69">
        <f t="shared" si="32"/>
        <v>0.12776054850633578</v>
      </c>
      <c r="U37" s="69">
        <f t="shared" si="32"/>
        <v>0.13366231637821291</v>
      </c>
      <c r="V37" s="69">
        <f t="shared" si="32"/>
        <v>0.13410473121998545</v>
      </c>
      <c r="W37" s="69">
        <f t="shared" si="32"/>
        <v>0.13245094902627796</v>
      </c>
      <c r="X37" s="69">
        <f t="shared" si="32"/>
        <v>0.13349780414012713</v>
      </c>
      <c r="Y37" s="69">
        <f t="shared" si="32"/>
        <v>0.12936889087836234</v>
      </c>
      <c r="Z37" s="69">
        <f t="shared" si="32"/>
        <v>0.10141807107949208</v>
      </c>
      <c r="AA37" s="69">
        <f t="shared" si="32"/>
        <v>0.10014490754258598</v>
      </c>
      <c r="AB37" s="69">
        <f t="shared" si="32"/>
        <v>0.10009184409752714</v>
      </c>
      <c r="AC37" s="69">
        <f t="shared" si="32"/>
        <v>0.10095374098348064</v>
      </c>
      <c r="AD37" s="70">
        <f t="shared" si="32"/>
        <v>0.10097422763302544</v>
      </c>
      <c r="AE37" s="122">
        <f>AVERAGE(AA37:AD37)</f>
        <v>0.1005411800641548</v>
      </c>
      <c r="AF37" s="69">
        <f>AVERAGE(S37:AD37)</f>
        <v>0.11818064044334665</v>
      </c>
      <c r="AG37" s="70"/>
    </row>
    <row r="38" spans="2:33" ht="15.75" outlineLevel="1" x14ac:dyDescent="0.25">
      <c r="C38" t="str">
        <f t="shared" si="22"/>
        <v>PC Annual Direct</v>
      </c>
      <c r="D38" t="e">
        <f>#REF!</f>
        <v>#REF!</v>
      </c>
      <c r="E38" s="45" t="s">
        <v>331</v>
      </c>
      <c r="F38" s="41">
        <f t="shared" ref="F38:AF38" si="34">F27/F$8</f>
        <v>0.97565754519519576</v>
      </c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>
        <f t="shared" ref="R38" si="35">R27/R$8</f>
        <v>1</v>
      </c>
      <c r="S38" s="41">
        <f t="shared" si="34"/>
        <v>1</v>
      </c>
      <c r="T38" s="41">
        <f t="shared" si="34"/>
        <v>1</v>
      </c>
      <c r="U38" s="41">
        <f t="shared" si="34"/>
        <v>1</v>
      </c>
      <c r="V38" s="41">
        <f t="shared" si="34"/>
        <v>0.9971491264698662</v>
      </c>
      <c r="W38" s="41">
        <f t="shared" si="34"/>
        <v>0.84724694526212796</v>
      </c>
      <c r="X38" s="41">
        <f t="shared" si="34"/>
        <v>0.402658637622547</v>
      </c>
      <c r="Y38" s="41">
        <f t="shared" si="34"/>
        <v>0.29630476524663896</v>
      </c>
      <c r="Z38" s="41">
        <f t="shared" si="34"/>
        <v>0.29037992232676368</v>
      </c>
      <c r="AA38" s="41">
        <f t="shared" si="34"/>
        <v>0.31529534950178995</v>
      </c>
      <c r="AB38" s="41">
        <f t="shared" si="34"/>
        <v>0.31196376745004722</v>
      </c>
      <c r="AC38" s="41">
        <f t="shared" si="34"/>
        <v>0.29857641824851605</v>
      </c>
      <c r="AD38" s="41">
        <f t="shared" si="34"/>
        <v>0.28573336037360753</v>
      </c>
      <c r="AE38" s="44">
        <f t="shared" si="34"/>
        <v>0.30700593991741043</v>
      </c>
      <c r="AF38" s="41">
        <f t="shared" si="34"/>
        <v>0.45276691454882617</v>
      </c>
      <c r="AG38" s="42"/>
    </row>
    <row r="39" spans="2:33" outlineLevel="1" x14ac:dyDescent="0.25"/>
    <row r="40" spans="2:33" ht="18.75" outlineLevel="1" x14ac:dyDescent="0.3">
      <c r="E40" s="68" t="s">
        <v>74</v>
      </c>
      <c r="F40" s="174" t="s">
        <v>332</v>
      </c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"/>
      <c r="T40" s="1"/>
      <c r="U40" s="1"/>
      <c r="V40" s="1"/>
      <c r="W40" s="1"/>
      <c r="X40" s="515" t="s">
        <v>345</v>
      </c>
      <c r="Y40" s="515"/>
      <c r="Z40" s="515"/>
      <c r="AA40" s="515"/>
      <c r="AB40" s="515"/>
      <c r="AC40" s="515"/>
      <c r="AD40" s="516"/>
      <c r="AE40" s="4"/>
      <c r="AF40" s="1"/>
      <c r="AG40" s="2"/>
    </row>
    <row r="41" spans="2:33" outlineLevel="1" x14ac:dyDescent="0.25">
      <c r="E41" s="19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1"/>
      <c r="AE41" s="500" t="s">
        <v>8</v>
      </c>
      <c r="AF41" s="501"/>
      <c r="AG41" s="502"/>
    </row>
    <row r="42" spans="2:33" outlineLevel="1" x14ac:dyDescent="0.25">
      <c r="E42" s="22" t="s">
        <v>197</v>
      </c>
      <c r="F42" s="36">
        <f>F$4</f>
        <v>45139</v>
      </c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>
        <f t="shared" ref="R42:AD42" si="36">R$4</f>
        <v>45505</v>
      </c>
      <c r="S42" s="36">
        <f t="shared" si="36"/>
        <v>45536</v>
      </c>
      <c r="T42" s="36">
        <f t="shared" si="36"/>
        <v>45566</v>
      </c>
      <c r="U42" s="36">
        <f t="shared" si="36"/>
        <v>45597</v>
      </c>
      <c r="V42" s="36">
        <f t="shared" si="36"/>
        <v>45627</v>
      </c>
      <c r="W42" s="36">
        <f t="shared" si="36"/>
        <v>45658</v>
      </c>
      <c r="X42" s="36">
        <f t="shared" si="36"/>
        <v>45689</v>
      </c>
      <c r="Y42" s="36">
        <f t="shared" si="36"/>
        <v>45717</v>
      </c>
      <c r="Z42" s="36">
        <f t="shared" si="36"/>
        <v>45748</v>
      </c>
      <c r="AA42" s="36">
        <f t="shared" si="36"/>
        <v>45778</v>
      </c>
      <c r="AB42" s="36">
        <f t="shared" si="36"/>
        <v>45809</v>
      </c>
      <c r="AC42" s="36">
        <f t="shared" si="36"/>
        <v>45839</v>
      </c>
      <c r="AD42" s="37">
        <f t="shared" si="36"/>
        <v>45870</v>
      </c>
      <c r="AE42" s="28" t="s">
        <v>349</v>
      </c>
      <c r="AF42" s="29" t="s">
        <v>348</v>
      </c>
      <c r="AG42" s="30"/>
    </row>
    <row r="43" spans="2:33" ht="15.75" outlineLevel="1" x14ac:dyDescent="0.25">
      <c r="C43" t="str">
        <f>$E$2</f>
        <v>PC Annual Direct</v>
      </c>
      <c r="D43" t="s">
        <v>73</v>
      </c>
      <c r="E43" s="5" t="s">
        <v>327</v>
      </c>
      <c r="F43" s="6">
        <v>33</v>
      </c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>
        <v>0</v>
      </c>
      <c r="S43" s="6">
        <v>0</v>
      </c>
      <c r="T43" s="6">
        <v>0</v>
      </c>
      <c r="U43" s="6">
        <v>0</v>
      </c>
      <c r="V43" s="6">
        <v>1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7">
        <v>0</v>
      </c>
      <c r="AE43" s="6">
        <f t="shared" ref="AE43:AE48" si="37">AVERAGE(AA43:AD43)</f>
        <v>0</v>
      </c>
      <c r="AF43" s="6">
        <f>AVERAGE(S43:AD43)</f>
        <v>8.3333333333333329E-2</v>
      </c>
      <c r="AG43" s="7"/>
    </row>
    <row r="44" spans="2:33" ht="15.75" outlineLevel="1" x14ac:dyDescent="0.25">
      <c r="C44" t="str">
        <f>C43</f>
        <v>PC Annual Direct</v>
      </c>
      <c r="D44" t="str">
        <f>D43</f>
        <v>Boom Subscription</v>
      </c>
      <c r="E44" s="18" t="s">
        <v>326</v>
      </c>
      <c r="F44" s="119">
        <v>2.7049180323000002</v>
      </c>
      <c r="G44" s="119"/>
      <c r="H44" s="119"/>
      <c r="I44" s="119"/>
      <c r="J44" s="119"/>
      <c r="K44" s="119"/>
      <c r="L44" s="119"/>
      <c r="M44" s="119"/>
      <c r="N44" s="119"/>
      <c r="O44" s="119"/>
      <c r="P44" s="119"/>
      <c r="Q44" s="119"/>
      <c r="R44" s="119">
        <v>0</v>
      </c>
      <c r="S44" s="119">
        <v>0</v>
      </c>
      <c r="T44" s="119">
        <v>0</v>
      </c>
      <c r="U44" s="119">
        <v>0</v>
      </c>
      <c r="V44" s="119">
        <v>0.99726027399999995</v>
      </c>
      <c r="W44" s="119">
        <v>0</v>
      </c>
      <c r="X44" s="119">
        <v>0</v>
      </c>
      <c r="Y44" s="119">
        <v>0</v>
      </c>
      <c r="Z44" s="119">
        <v>0</v>
      </c>
      <c r="AA44" s="119">
        <v>0</v>
      </c>
      <c r="AB44" s="119">
        <v>0</v>
      </c>
      <c r="AC44" s="119">
        <v>0</v>
      </c>
      <c r="AD44" s="120">
        <v>0</v>
      </c>
      <c r="AE44" s="15"/>
      <c r="AF44" s="15"/>
      <c r="AG44" s="16"/>
    </row>
    <row r="45" spans="2:33" ht="15.75" outlineLevel="1" x14ac:dyDescent="0.25">
      <c r="C45" t="str">
        <f t="shared" ref="C45:C58" si="38">$E$2</f>
        <v>PC Annual Direct</v>
      </c>
      <c r="D45" t="str">
        <f>$D43</f>
        <v>Boom Subscription</v>
      </c>
      <c r="E45" s="18" t="s">
        <v>324</v>
      </c>
      <c r="F45" s="15">
        <v>2.5409836063000002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>
        <v>0</v>
      </c>
      <c r="S45" s="15">
        <v>0</v>
      </c>
      <c r="T45" s="15">
        <v>0</v>
      </c>
      <c r="U45" s="15">
        <v>0</v>
      </c>
      <c r="V45" s="15">
        <v>4.6575341999999909E-2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6">
        <v>0</v>
      </c>
      <c r="AE45" s="119">
        <f t="shared" si="37"/>
        <v>0</v>
      </c>
      <c r="AF45" s="119">
        <f t="shared" ref="AF45:AF48" si="39">AVERAGE(S45:AD45)</f>
        <v>3.8812784999999925E-3</v>
      </c>
      <c r="AG45" s="120"/>
    </row>
    <row r="46" spans="2:33" ht="15.75" outlineLevel="1" x14ac:dyDescent="0.25">
      <c r="B46">
        <v>3</v>
      </c>
      <c r="C46" t="str">
        <f t="shared" si="38"/>
        <v>PC Annual Direct</v>
      </c>
      <c r="D46" t="str">
        <f t="shared" ref="D46:D55" si="40">$D45</f>
        <v>Boom Subscription</v>
      </c>
      <c r="E46" s="11" t="s">
        <v>325</v>
      </c>
      <c r="F46" s="12" t="e">
        <f>F45/VLOOKUP(COUNTA(F$4:$AD$4),'Dev Patterns'!$B$6:$F$22,$B46,0)</f>
        <v>#N/A</v>
      </c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>
        <f>R45/VLOOKUP(COUNTA(R$4:$AD$4),'Dev Patterns'!$B$6:$F$22,$B46,0)</f>
        <v>0</v>
      </c>
      <c r="S46" s="12">
        <f>S45/VLOOKUP(COUNTA(S$4:$AD$4),'Dev Patterns'!$B$6:$F$22,$B46,0)</f>
        <v>0</v>
      </c>
      <c r="T46" s="12">
        <f>T45/VLOOKUP(COUNTA(T$4:$AD$4),'Dev Patterns'!$B$6:$F$22,$B46,0)</f>
        <v>0</v>
      </c>
      <c r="U46" s="12">
        <f>U45/VLOOKUP(COUNTA(U$4:$AD$4),'Dev Patterns'!$B$6:$F$22,$B46,0)</f>
        <v>0</v>
      </c>
      <c r="V46" s="12">
        <f>V45/VLOOKUP(COUNTA(V$4:$AD$4),'Dev Patterns'!$B$6:$F$22,$B46,0)</f>
        <v>4.6549275006848391E-2</v>
      </c>
      <c r="W46" s="12">
        <f>W45/VLOOKUP(COUNTA(W$4:$AD$4),'Dev Patterns'!$B$6:$F$22,$B46,0)</f>
        <v>0</v>
      </c>
      <c r="X46" s="12">
        <f>X45/VLOOKUP(COUNTA(X$4:$AD$4),'Dev Patterns'!$B$6:$F$22,$B46,0)</f>
        <v>0</v>
      </c>
      <c r="Y46" s="12">
        <f>Y45/VLOOKUP(COUNTA(Y$4:$AD$4),'Dev Patterns'!$B$6:$F$22,$B46,0)</f>
        <v>0</v>
      </c>
      <c r="Z46" s="12">
        <f>Z45/VLOOKUP(COUNTA(Z$4:$AD$4),'Dev Patterns'!$B$6:$F$22,$B46,0)</f>
        <v>0</v>
      </c>
      <c r="AA46" s="12">
        <f>AA45/VLOOKUP(COUNTA(AA$4:$AD$4),'Dev Patterns'!$B$6:$F$22,$B46,0)</f>
        <v>0</v>
      </c>
      <c r="AB46" s="12">
        <f>AB45/VLOOKUP(COUNTA(AB$4:$AD$4),'Dev Patterns'!$B$6:$F$22,$B46,0)</f>
        <v>0</v>
      </c>
      <c r="AC46" s="12">
        <f>AC45/VLOOKUP(COUNTA(AC$4:$AD$4),'Dev Patterns'!$B$6:$F$22,$B46,0)</f>
        <v>0</v>
      </c>
      <c r="AD46" s="13">
        <f>AD45/VLOOKUP(COUNTA(AD$4:$AD$4),'Dev Patterns'!$B$6:$F$22,$B46,0)</f>
        <v>0</v>
      </c>
      <c r="AE46" s="12"/>
      <c r="AF46" s="12"/>
      <c r="AG46" s="13"/>
    </row>
    <row r="47" spans="2:33" ht="15.75" outlineLevel="1" x14ac:dyDescent="0.25">
      <c r="C47" t="str">
        <f t="shared" si="38"/>
        <v>PC Annual Direct</v>
      </c>
      <c r="D47" t="str">
        <f t="shared" si="40"/>
        <v>Boom Subscription</v>
      </c>
      <c r="E47" s="9" t="s">
        <v>188</v>
      </c>
      <c r="F47" s="15">
        <v>3868.7289285710008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>
        <v>0</v>
      </c>
      <c r="S47" s="15">
        <v>0</v>
      </c>
      <c r="T47" s="15">
        <v>0</v>
      </c>
      <c r="U47" s="15">
        <v>0</v>
      </c>
      <c r="V47" s="15">
        <v>733.21428571000001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6">
        <v>0</v>
      </c>
      <c r="AE47" s="8">
        <f t="shared" si="37"/>
        <v>0</v>
      </c>
      <c r="AF47" s="6">
        <f t="shared" si="39"/>
        <v>61.101190475833334</v>
      </c>
      <c r="AG47" s="7"/>
    </row>
    <row r="48" spans="2:33" ht="15.75" outlineLevel="1" x14ac:dyDescent="0.25">
      <c r="C48" t="str">
        <f t="shared" si="38"/>
        <v>PC Annual Direct</v>
      </c>
      <c r="D48" t="str">
        <f t="shared" si="40"/>
        <v>Boom Subscription</v>
      </c>
      <c r="E48" s="18" t="s">
        <v>189</v>
      </c>
      <c r="F48" s="119">
        <v>3732.7089285710008</v>
      </c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>
        <v>0</v>
      </c>
      <c r="S48" s="119">
        <v>0</v>
      </c>
      <c r="T48" s="119">
        <v>0</v>
      </c>
      <c r="U48" s="119">
        <v>0</v>
      </c>
      <c r="V48" s="119">
        <v>34.151785710000013</v>
      </c>
      <c r="W48" s="119">
        <v>0</v>
      </c>
      <c r="X48" s="119">
        <v>0</v>
      </c>
      <c r="Y48" s="119">
        <v>0</v>
      </c>
      <c r="Z48" s="119">
        <v>0</v>
      </c>
      <c r="AA48" s="119">
        <v>0</v>
      </c>
      <c r="AB48" s="119">
        <v>0</v>
      </c>
      <c r="AC48" s="119">
        <v>0</v>
      </c>
      <c r="AD48" s="120">
        <v>0</v>
      </c>
      <c r="AE48" s="121">
        <f t="shared" si="37"/>
        <v>0</v>
      </c>
      <c r="AF48" s="119">
        <f t="shared" si="39"/>
        <v>2.8459821425000009</v>
      </c>
      <c r="AG48" s="120"/>
    </row>
    <row r="49" spans="2:34" ht="15.75" outlineLevel="1" x14ac:dyDescent="0.25">
      <c r="B49">
        <v>2</v>
      </c>
      <c r="C49" t="str">
        <f t="shared" si="38"/>
        <v>PC Annual Direct</v>
      </c>
      <c r="D49" t="str">
        <f t="shared" si="40"/>
        <v>Boom Subscription</v>
      </c>
      <c r="E49" s="11" t="s">
        <v>190</v>
      </c>
      <c r="F49" s="12" t="e">
        <f>F48/VLOOKUP(COUNTA(F$4:$AD$4),'Dev Patterns'!$B$6:$F$22,$B49,0)</f>
        <v>#N/A</v>
      </c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>
        <f>R48/VLOOKUP(COUNTA(R$4:$AD$4),'Dev Patterns'!$B$6:$F$22,$B49,0)</f>
        <v>0</v>
      </c>
      <c r="S49" s="12">
        <f>S48/VLOOKUP(COUNTA(S$4:$AD$4),'Dev Patterns'!$B$6:$F$22,$B49,0)</f>
        <v>0</v>
      </c>
      <c r="T49" s="12">
        <f>T48/VLOOKUP(COUNTA(T$4:$AD$4),'Dev Patterns'!$B$6:$F$22,$B49,0)</f>
        <v>0</v>
      </c>
      <c r="U49" s="12">
        <f>U48/VLOOKUP(COUNTA(U$4:$AD$4),'Dev Patterns'!$B$6:$F$22,$B49,0)</f>
        <v>0</v>
      </c>
      <c r="V49" s="12">
        <f>V48/VLOOKUP(COUNTA(V$4:$AD$4),'Dev Patterns'!$B$6:$F$22,$B49,0)</f>
        <v>34.146800330107844</v>
      </c>
      <c r="W49" s="12">
        <f>W48/VLOOKUP(COUNTA(W$4:$AD$4),'Dev Patterns'!$B$6:$F$22,$B49,0)</f>
        <v>0</v>
      </c>
      <c r="X49" s="12">
        <f>X48/VLOOKUP(COUNTA(X$4:$AD$4),'Dev Patterns'!$B$6:$F$22,$B49,0)</f>
        <v>0</v>
      </c>
      <c r="Y49" s="12">
        <f>Y48/VLOOKUP(COUNTA(Y$4:$AD$4),'Dev Patterns'!$B$6:$F$22,$B49,0)</f>
        <v>0</v>
      </c>
      <c r="Z49" s="12">
        <f>Z48/VLOOKUP(COUNTA(Z$4:$AD$4),'Dev Patterns'!$B$6:$F$22,$B49,0)</f>
        <v>0</v>
      </c>
      <c r="AA49" s="12">
        <f>AA48/VLOOKUP(COUNTA(AA$4:$AD$4),'Dev Patterns'!$B$6:$F$22,$B49,0)</f>
        <v>0</v>
      </c>
      <c r="AB49" s="12">
        <f>AB48/VLOOKUP(COUNTA(AB$4:$AD$4),'Dev Patterns'!$B$6:$F$22,$B49,0)</f>
        <v>0</v>
      </c>
      <c r="AC49" s="12">
        <f>AC48/VLOOKUP(COUNTA(AC$4:$AD$4),'Dev Patterns'!$B$6:$F$22,$B49,0)</f>
        <v>0</v>
      </c>
      <c r="AD49" s="13">
        <f>AD48/VLOOKUP(COUNTA(AD$4:$AD$4),'Dev Patterns'!$B$6:$F$22,$B49,0)</f>
        <v>0</v>
      </c>
      <c r="AE49" s="14"/>
      <c r="AF49" s="12"/>
      <c r="AG49" s="13"/>
    </row>
    <row r="50" spans="2:34" ht="15.75" outlineLevel="1" x14ac:dyDescent="0.25">
      <c r="C50" t="str">
        <f t="shared" si="38"/>
        <v>PC Annual Direct</v>
      </c>
      <c r="D50" t="str">
        <f t="shared" si="40"/>
        <v>Boom Subscription</v>
      </c>
      <c r="E50" s="9" t="s">
        <v>330</v>
      </c>
      <c r="F50" s="15">
        <f t="shared" ref="F50:AF52" si="41">IFERROR(F47/F44,0)</f>
        <v>1430.2573617291496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>
        <f t="shared" ref="R50" si="42">IFERROR(R47/R44,0)</f>
        <v>0</v>
      </c>
      <c r="S50" s="15">
        <f t="shared" si="41"/>
        <v>0</v>
      </c>
      <c r="T50" s="15">
        <f t="shared" si="41"/>
        <v>0</v>
      </c>
      <c r="U50" s="15">
        <f t="shared" si="41"/>
        <v>0</v>
      </c>
      <c r="V50" s="15">
        <f t="shared" si="41"/>
        <v>735.22861065054326</v>
      </c>
      <c r="W50" s="15">
        <f t="shared" si="41"/>
        <v>0</v>
      </c>
      <c r="X50" s="15">
        <f t="shared" si="41"/>
        <v>0</v>
      </c>
      <c r="Y50" s="15">
        <f t="shared" si="41"/>
        <v>0</v>
      </c>
      <c r="Z50" s="15">
        <f t="shared" si="41"/>
        <v>0</v>
      </c>
      <c r="AA50" s="15">
        <f t="shared" si="41"/>
        <v>0</v>
      </c>
      <c r="AB50" s="15">
        <f t="shared" si="41"/>
        <v>0</v>
      </c>
      <c r="AC50" s="15">
        <f t="shared" si="41"/>
        <v>0</v>
      </c>
      <c r="AD50" s="16">
        <f t="shared" si="41"/>
        <v>0</v>
      </c>
      <c r="AE50" s="8">
        <f>IFERROR(AE47/AE43,0)</f>
        <v>0</v>
      </c>
      <c r="AF50" s="6">
        <f>IFERROR(AF47/AF43,0)</f>
        <v>733.21428571000001</v>
      </c>
      <c r="AG50" s="7"/>
    </row>
    <row r="51" spans="2:34" ht="15.75" outlineLevel="1" x14ac:dyDescent="0.25">
      <c r="C51" t="str">
        <f t="shared" si="38"/>
        <v>PC Annual Direct</v>
      </c>
      <c r="D51" t="str">
        <f t="shared" si="40"/>
        <v>Boom Subscription</v>
      </c>
      <c r="E51" s="18" t="s">
        <v>192</v>
      </c>
      <c r="F51" s="119">
        <f t="shared" si="41"/>
        <v>1469.0015784896409</v>
      </c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>
        <f t="shared" ref="R51" si="43">IFERROR(R48/R45,0)</f>
        <v>0</v>
      </c>
      <c r="S51" s="119">
        <f t="shared" si="41"/>
        <v>0</v>
      </c>
      <c r="T51" s="119">
        <f t="shared" si="41"/>
        <v>0</v>
      </c>
      <c r="U51" s="119">
        <f t="shared" si="41"/>
        <v>0</v>
      </c>
      <c r="V51" s="119">
        <f t="shared" si="41"/>
        <v>733.25893581200285</v>
      </c>
      <c r="W51" s="119">
        <f t="shared" si="41"/>
        <v>0</v>
      </c>
      <c r="X51" s="119">
        <f t="shared" si="41"/>
        <v>0</v>
      </c>
      <c r="Y51" s="119">
        <f t="shared" si="41"/>
        <v>0</v>
      </c>
      <c r="Z51" s="119">
        <f t="shared" si="41"/>
        <v>0</v>
      </c>
      <c r="AA51" s="119">
        <f t="shared" si="41"/>
        <v>0</v>
      </c>
      <c r="AB51" s="119">
        <f t="shared" si="41"/>
        <v>0</v>
      </c>
      <c r="AC51" s="119">
        <f t="shared" si="41"/>
        <v>0</v>
      </c>
      <c r="AD51" s="120">
        <f t="shared" si="41"/>
        <v>0</v>
      </c>
      <c r="AE51" s="121">
        <f t="shared" si="41"/>
        <v>0</v>
      </c>
      <c r="AF51" s="119">
        <f t="shared" si="41"/>
        <v>733.25893581200273</v>
      </c>
      <c r="AG51" s="120"/>
      <c r="AH51" s="3"/>
    </row>
    <row r="52" spans="2:34" ht="15.75" outlineLevel="1" x14ac:dyDescent="0.25">
      <c r="C52" t="str">
        <f t="shared" si="38"/>
        <v>PC Annual Direct</v>
      </c>
      <c r="D52" t="str">
        <f t="shared" si="40"/>
        <v>Boom Subscription</v>
      </c>
      <c r="E52" s="11" t="s">
        <v>193</v>
      </c>
      <c r="F52" s="12">
        <f t="shared" si="41"/>
        <v>0</v>
      </c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>
        <f t="shared" ref="R52" si="44">IFERROR(R49/R46,0)</f>
        <v>0</v>
      </c>
      <c r="S52" s="12">
        <f t="shared" si="41"/>
        <v>0</v>
      </c>
      <c r="T52" s="12">
        <f t="shared" si="41"/>
        <v>0</v>
      </c>
      <c r="U52" s="12">
        <f t="shared" si="41"/>
        <v>0</v>
      </c>
      <c r="V52" s="12">
        <f t="shared" si="41"/>
        <v>733.56245237082896</v>
      </c>
      <c r="W52" s="12">
        <f t="shared" si="41"/>
        <v>0</v>
      </c>
      <c r="X52" s="12">
        <f t="shared" si="41"/>
        <v>0</v>
      </c>
      <c r="Y52" s="12">
        <f t="shared" si="41"/>
        <v>0</v>
      </c>
      <c r="Z52" s="12">
        <f t="shared" si="41"/>
        <v>0</v>
      </c>
      <c r="AA52" s="12">
        <f t="shared" si="41"/>
        <v>0</v>
      </c>
      <c r="AB52" s="12">
        <f t="shared" si="41"/>
        <v>0</v>
      </c>
      <c r="AC52" s="12">
        <f t="shared" si="41"/>
        <v>0</v>
      </c>
      <c r="AD52" s="13">
        <f t="shared" si="41"/>
        <v>0</v>
      </c>
      <c r="AE52" s="14"/>
      <c r="AF52" s="12"/>
      <c r="AG52" s="13"/>
    </row>
    <row r="53" spans="2:34" ht="15.75" outlineLevel="1" x14ac:dyDescent="0.25">
      <c r="C53" t="str">
        <f t="shared" si="38"/>
        <v>PC Annual Direct</v>
      </c>
      <c r="D53" t="str">
        <f t="shared" si="40"/>
        <v>Boom Subscription</v>
      </c>
      <c r="E53" s="9" t="s">
        <v>194</v>
      </c>
      <c r="F53" s="15">
        <v>8473.2589285659997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>
        <v>0</v>
      </c>
      <c r="S53" s="15">
        <v>0</v>
      </c>
      <c r="T53" s="15">
        <v>0</v>
      </c>
      <c r="U53" s="15">
        <v>0</v>
      </c>
      <c r="V53" s="15">
        <v>733.21428571000001</v>
      </c>
      <c r="W53" s="15">
        <v>0</v>
      </c>
      <c r="X53" s="15">
        <v>0</v>
      </c>
      <c r="Y53" s="15">
        <v>0</v>
      </c>
      <c r="Z53" s="15">
        <v>0</v>
      </c>
      <c r="AA53" s="15">
        <v>0</v>
      </c>
      <c r="AB53" s="15">
        <v>0</v>
      </c>
      <c r="AC53" s="15">
        <v>0</v>
      </c>
      <c r="AD53" s="16">
        <v>0</v>
      </c>
      <c r="AE53" s="8">
        <f t="shared" ref="AE53:AE54" si="45">AVERAGE(AA53:AD53)</f>
        <v>0</v>
      </c>
      <c r="AF53" s="6">
        <f t="shared" ref="AF53:AF54" si="46">AVERAGE(S53:AD53)</f>
        <v>61.101190475833334</v>
      </c>
      <c r="AG53" s="7"/>
    </row>
    <row r="54" spans="2:34" ht="15.75" outlineLevel="1" x14ac:dyDescent="0.25">
      <c r="C54" t="str">
        <f t="shared" si="38"/>
        <v>PC Annual Direct</v>
      </c>
      <c r="D54" t="str">
        <f t="shared" si="40"/>
        <v>Boom Subscription</v>
      </c>
      <c r="E54" s="18" t="s">
        <v>195</v>
      </c>
      <c r="F54" s="119">
        <v>8175.2589285659997</v>
      </c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>
        <v>0</v>
      </c>
      <c r="S54" s="119">
        <v>0</v>
      </c>
      <c r="T54" s="119">
        <v>0</v>
      </c>
      <c r="U54" s="119">
        <v>0</v>
      </c>
      <c r="V54" s="119">
        <v>34.151785710000013</v>
      </c>
      <c r="W54" s="119">
        <v>0</v>
      </c>
      <c r="X54" s="119">
        <v>0</v>
      </c>
      <c r="Y54" s="119">
        <v>0</v>
      </c>
      <c r="Z54" s="119">
        <v>0</v>
      </c>
      <c r="AA54" s="119">
        <v>0</v>
      </c>
      <c r="AB54" s="119">
        <v>0</v>
      </c>
      <c r="AC54" s="119">
        <v>0</v>
      </c>
      <c r="AD54" s="120">
        <v>0</v>
      </c>
      <c r="AE54" s="121">
        <f t="shared" si="45"/>
        <v>0</v>
      </c>
      <c r="AF54" s="119">
        <f t="shared" si="46"/>
        <v>2.8459821425000009</v>
      </c>
      <c r="AG54" s="120"/>
    </row>
    <row r="55" spans="2:34" ht="15.75" outlineLevel="1" x14ac:dyDescent="0.25">
      <c r="B55">
        <v>2</v>
      </c>
      <c r="C55" t="str">
        <f t="shared" si="38"/>
        <v>PC Annual Direct</v>
      </c>
      <c r="D55" t="str">
        <f t="shared" si="40"/>
        <v>Boom Subscription</v>
      </c>
      <c r="E55" s="11" t="s">
        <v>196</v>
      </c>
      <c r="F55" s="12" t="e">
        <f>F54/VLOOKUP(COUNTA(F$4:$AD$4),'Dev Patterns'!$B$6:$F$22,$B55,0)</f>
        <v>#N/A</v>
      </c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>
        <f>R54/VLOOKUP(COUNTA(R$4:$AD$4),'Dev Patterns'!$B$6:$F$22,$B55,0)</f>
        <v>0</v>
      </c>
      <c r="S55" s="12">
        <f>S54/VLOOKUP(COUNTA(S$4:$AD$4),'Dev Patterns'!$B$6:$F$22,$B55,0)</f>
        <v>0</v>
      </c>
      <c r="T55" s="12">
        <f>T54/VLOOKUP(COUNTA(T$4:$AD$4),'Dev Patterns'!$B$6:$F$22,$B55,0)</f>
        <v>0</v>
      </c>
      <c r="U55" s="12">
        <f>U54/VLOOKUP(COUNTA(U$4:$AD$4),'Dev Patterns'!$B$6:$F$22,$B55,0)</f>
        <v>0</v>
      </c>
      <c r="V55" s="12">
        <f>V54/VLOOKUP(COUNTA(V$4:$AD$4),'Dev Patterns'!$B$6:$F$22,$B55,0)</f>
        <v>34.146800330107844</v>
      </c>
      <c r="W55" s="12">
        <f>W54/VLOOKUP(COUNTA(W$4:$AD$4),'Dev Patterns'!$B$6:$F$22,$B55,0)</f>
        <v>0</v>
      </c>
      <c r="X55" s="12">
        <f>X54/VLOOKUP(COUNTA(X$4:$AD$4),'Dev Patterns'!$B$6:$F$22,$B55,0)</f>
        <v>0</v>
      </c>
      <c r="Y55" s="12">
        <f>Y54/VLOOKUP(COUNTA(Y$4:$AD$4),'Dev Patterns'!$B$6:$F$22,$B55,0)</f>
        <v>0</v>
      </c>
      <c r="Z55" s="12">
        <f>Z54/VLOOKUP(COUNTA(Z$4:$AD$4),'Dev Patterns'!$B$6:$F$22,$B55,0)</f>
        <v>0</v>
      </c>
      <c r="AA55" s="12">
        <f>AA54/VLOOKUP(COUNTA(AA$4:$AD$4),'Dev Patterns'!$B$6:$F$22,$B55,0)</f>
        <v>0</v>
      </c>
      <c r="AB55" s="12">
        <f>AB54/VLOOKUP(COUNTA(AB$4:$AD$4),'Dev Patterns'!$B$6:$F$22,$B55,0)</f>
        <v>0</v>
      </c>
      <c r="AC55" s="12">
        <f>AC54/VLOOKUP(COUNTA(AC$4:$AD$4),'Dev Patterns'!$B$6:$F$22,$B55,0)</f>
        <v>0</v>
      </c>
      <c r="AD55" s="13">
        <f>AD54/VLOOKUP(COUNTA(AD$4:$AD$4),'Dev Patterns'!$B$6:$F$22,$B55,0)</f>
        <v>0</v>
      </c>
      <c r="AE55" s="14"/>
      <c r="AF55" s="12"/>
      <c r="AG55" s="13"/>
    </row>
    <row r="56" spans="2:34" outlineLevel="1" x14ac:dyDescent="0.25">
      <c r="C56" t="str">
        <f t="shared" si="38"/>
        <v>PC Annual Direct</v>
      </c>
      <c r="D56" t="str">
        <f>$D52</f>
        <v>Boom Subscription</v>
      </c>
      <c r="E56" s="35" t="s">
        <v>17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7"/>
      <c r="AE56" s="38"/>
      <c r="AF56" s="39"/>
      <c r="AG56" s="40"/>
    </row>
    <row r="57" spans="2:34" ht="15.75" outlineLevel="1" x14ac:dyDescent="0.25">
      <c r="C57" t="str">
        <f t="shared" si="38"/>
        <v>PC Annual Direct</v>
      </c>
      <c r="D57" t="e">
        <f>#REF!</f>
        <v>#REF!</v>
      </c>
      <c r="E57" s="18" t="s">
        <v>328</v>
      </c>
      <c r="F57" s="69">
        <v>0</v>
      </c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>
        <v>0</v>
      </c>
      <c r="S57" s="69">
        <v>0</v>
      </c>
      <c r="T57" s="69">
        <v>0</v>
      </c>
      <c r="U57" s="69">
        <v>0</v>
      </c>
      <c r="V57" s="69">
        <v>0</v>
      </c>
      <c r="W57" s="69">
        <v>0</v>
      </c>
      <c r="X57" s="69">
        <v>0</v>
      </c>
      <c r="Y57" s="69">
        <v>0</v>
      </c>
      <c r="Z57" s="69">
        <v>0</v>
      </c>
      <c r="AA57" s="69">
        <v>0</v>
      </c>
      <c r="AB57" s="69">
        <v>0</v>
      </c>
      <c r="AC57" s="69">
        <v>0</v>
      </c>
      <c r="AD57" s="70">
        <v>0</v>
      </c>
      <c r="AE57" s="122">
        <f>AVERAGE(AA57:AD57)</f>
        <v>0</v>
      </c>
      <c r="AF57" s="69">
        <f>AVERAGE(S57:AD57)</f>
        <v>0</v>
      </c>
      <c r="AG57" s="70"/>
    </row>
    <row r="58" spans="2:34" ht="15.75" outlineLevel="1" x14ac:dyDescent="0.25">
      <c r="C58" t="str">
        <f t="shared" si="38"/>
        <v>PC Annual Direct</v>
      </c>
      <c r="D58" t="e">
        <f>#REF!</f>
        <v>#REF!</v>
      </c>
      <c r="E58" s="45" t="s">
        <v>331</v>
      </c>
      <c r="F58" s="41">
        <f>F47/F$8</f>
        <v>2.434245480480475E-2</v>
      </c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>
        <f t="shared" ref="R58" si="47">R47/R$8</f>
        <v>0</v>
      </c>
      <c r="S58" s="41">
        <f t="shared" ref="S58:AF58" si="48">S47/S$8</f>
        <v>0</v>
      </c>
      <c r="T58" s="41">
        <f t="shared" si="48"/>
        <v>0</v>
      </c>
      <c r="U58" s="41">
        <f t="shared" si="48"/>
        <v>0</v>
      </c>
      <c r="V58" s="41">
        <f t="shared" si="48"/>
        <v>2.850873530134022E-3</v>
      </c>
      <c r="W58" s="41">
        <f t="shared" si="48"/>
        <v>0</v>
      </c>
      <c r="X58" s="41">
        <f t="shared" si="48"/>
        <v>0</v>
      </c>
      <c r="Y58" s="41">
        <f t="shared" si="48"/>
        <v>0</v>
      </c>
      <c r="Z58" s="41">
        <f t="shared" si="48"/>
        <v>0</v>
      </c>
      <c r="AA58" s="41">
        <f t="shared" si="48"/>
        <v>0</v>
      </c>
      <c r="AB58" s="41">
        <f t="shared" si="48"/>
        <v>0</v>
      </c>
      <c r="AC58" s="41">
        <f t="shared" si="48"/>
        <v>0</v>
      </c>
      <c r="AD58" s="41">
        <f t="shared" si="48"/>
        <v>0</v>
      </c>
      <c r="AE58" s="44">
        <f t="shared" si="48"/>
        <v>0</v>
      </c>
      <c r="AF58" s="41">
        <f t="shared" si="48"/>
        <v>1.2498650195933664E-4</v>
      </c>
      <c r="AG58" s="42"/>
    </row>
    <row r="59" spans="2:34" outlineLevel="1" x14ac:dyDescent="0.25"/>
  </sheetData>
  <mergeCells count="5">
    <mergeCell ref="F3:AD3"/>
    <mergeCell ref="AE3:AG3"/>
    <mergeCell ref="AE22:AG22"/>
    <mergeCell ref="X40:AD40"/>
    <mergeCell ref="AE41:AG41"/>
  </mergeCells>
  <conditionalFormatting sqref="F6:AD16 F37:AD37 F57:AD57">
    <cfRule type="cellIs" dxfId="101" priority="5" operator="lessThan">
      <formula>0</formula>
    </cfRule>
  </conditionalFormatting>
  <conditionalFormatting sqref="F18:AD18">
    <cfRule type="cellIs" dxfId="100" priority="7" operator="lessThan">
      <formula>0</formula>
    </cfRule>
  </conditionalFormatting>
  <conditionalFormatting sqref="F29:AD33">
    <cfRule type="cellIs" dxfId="99" priority="3" operator="lessThan">
      <formula>0</formula>
    </cfRule>
  </conditionalFormatting>
  <conditionalFormatting sqref="F35:AD35">
    <cfRule type="cellIs" dxfId="98" priority="1" operator="lessThan">
      <formula>0</formula>
    </cfRule>
  </conditionalFormatting>
  <conditionalFormatting sqref="F46:AD47">
    <cfRule type="cellIs" dxfId="97" priority="4" operator="lessThan">
      <formula>0</formula>
    </cfRule>
  </conditionalFormatting>
  <conditionalFormatting sqref="F49:AD53 F55:AD55">
    <cfRule type="cellIs" dxfId="96" priority="10" operator="lessThan">
      <formula>0</formula>
    </cfRule>
  </conditionalFormatting>
  <conditionalFormatting sqref="F26:AG26">
    <cfRule type="cellIs" dxfId="95" priority="2" operator="lessThan">
      <formula>0</formula>
    </cfRule>
  </conditionalFormatting>
  <conditionalFormatting sqref="S27:AD27">
    <cfRule type="cellIs" dxfId="94" priority="12" operator="lessThan">
      <formula>0</formula>
    </cfRule>
  </conditionalFormatting>
  <conditionalFormatting sqref="AE7:AG7 AE10:AG10">
    <cfRule type="cellIs" dxfId="93" priority="8" operator="lessThan">
      <formula>0</formula>
    </cfRule>
  </conditionalFormatting>
  <conditionalFormatting sqref="AE13:AG13 AE16:AG17">
    <cfRule type="cellIs" dxfId="92" priority="6" operator="lessThan">
      <formula>0</formula>
    </cfRule>
  </conditionalFormatting>
  <conditionalFormatting sqref="AE29:AG29 AE32:AG33 AE35:AG36">
    <cfRule type="cellIs" dxfId="91" priority="11" operator="lessThan">
      <formula>0</formula>
    </cfRule>
  </conditionalFormatting>
  <conditionalFormatting sqref="AE46:AG46 AE49:AG49 AE52:AG52 AE55:AG56">
    <cfRule type="cellIs" dxfId="90" priority="9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CA455-8086-473C-9537-83C2D43A0154}">
  <sheetPr codeName="Sheet9"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DF262-28E7-47AF-B94E-4DA05C004C08}">
  <sheetPr codeName="Sheet10"/>
  <dimension ref="B1:P35"/>
  <sheetViews>
    <sheetView showGridLines="0" workbookViewId="0"/>
  </sheetViews>
  <sheetFormatPr defaultRowHeight="15" x14ac:dyDescent="0.25"/>
  <cols>
    <col min="2" max="2" width="21.28515625" hidden="1" customWidth="1"/>
    <col min="3" max="3" width="28.85546875" customWidth="1"/>
    <col min="4" max="12" width="0" hidden="1" customWidth="1"/>
  </cols>
  <sheetData>
    <row r="1" spans="2:16" x14ac:dyDescent="0.25">
      <c r="C1" t="s">
        <v>238</v>
      </c>
    </row>
    <row r="3" spans="2:16" x14ac:dyDescent="0.25">
      <c r="C3" s="47" t="s">
        <v>237</v>
      </c>
      <c r="D3" s="23">
        <f t="shared" ref="D3:N3" si="0">EDATE(E3,-1)</f>
        <v>44986</v>
      </c>
      <c r="E3" s="23">
        <f t="shared" si="0"/>
        <v>45017</v>
      </c>
      <c r="F3" s="23">
        <f t="shared" si="0"/>
        <v>45047</v>
      </c>
      <c r="G3" s="23">
        <f t="shared" si="0"/>
        <v>45078</v>
      </c>
      <c r="H3" s="23">
        <f t="shared" si="0"/>
        <v>45108</v>
      </c>
      <c r="I3" s="23">
        <f t="shared" si="0"/>
        <v>45139</v>
      </c>
      <c r="J3" s="23">
        <f t="shared" si="0"/>
        <v>45170</v>
      </c>
      <c r="K3" s="23">
        <f t="shared" si="0"/>
        <v>45200</v>
      </c>
      <c r="L3" s="23">
        <f t="shared" si="0"/>
        <v>45231</v>
      </c>
      <c r="M3" s="23">
        <f t="shared" si="0"/>
        <v>45261</v>
      </c>
      <c r="N3" s="23">
        <f t="shared" si="0"/>
        <v>45292</v>
      </c>
      <c r="O3" s="23">
        <f>EDATE(P3,-1)</f>
        <v>45323</v>
      </c>
      <c r="P3" s="24">
        <f>MAX(DirectSLRs[UW_Month])</f>
        <v>45352</v>
      </c>
    </row>
    <row r="4" spans="2:16" x14ac:dyDescent="0.25">
      <c r="C4" s="47"/>
    </row>
    <row r="5" spans="2:16" x14ac:dyDescent="0.25">
      <c r="C5" s="65" t="s">
        <v>236</v>
      </c>
    </row>
    <row r="6" spans="2:16" x14ac:dyDescent="0.25">
      <c r="B6" t="s">
        <v>235</v>
      </c>
      <c r="C6" s="136" t="s">
        <v>235</v>
      </c>
      <c r="D6" s="132" t="e">
        <f>INDEX(DirectSLRs[#All],MATCH('MICL Direct'!D$3,DirectSLRs[[#All],[UW_Month]],0),3)</f>
        <v>#N/A</v>
      </c>
      <c r="E6" s="132" t="e">
        <f>INDEX(DirectSLRs[#All],MATCH('MICL Direct'!E$3,DirectSLRs[[#All],[UW_Month]],0),3)</f>
        <v>#N/A</v>
      </c>
      <c r="F6" s="132" t="e">
        <f>INDEX(DirectSLRs[#All],MATCH('MICL Direct'!F$3,DirectSLRs[[#All],[UW_Month]],0),3)</f>
        <v>#N/A</v>
      </c>
      <c r="G6" s="132" t="e">
        <f>INDEX(DirectSLRs[#All],MATCH('MICL Direct'!G$3,DirectSLRs[[#All],[UW_Month]],0),3)</f>
        <v>#N/A</v>
      </c>
      <c r="H6" s="132" t="e">
        <f>INDEX(DirectSLRs[#All],MATCH('MICL Direct'!H$3,DirectSLRs[[#All],[UW_Month]],0),3)</f>
        <v>#N/A</v>
      </c>
      <c r="I6" s="132" t="e">
        <f>INDEX(DirectSLRs[#All],MATCH('MICL Direct'!I$3,DirectSLRs[[#All],[UW_Month]],0),3)</f>
        <v>#N/A</v>
      </c>
      <c r="J6" s="132" t="e">
        <f>INDEX(DirectSLRs[#All],MATCH('MICL Direct'!J$3,DirectSLRs[[#All],[UW_Month]],0),3)</f>
        <v>#N/A</v>
      </c>
      <c r="K6" s="132" t="e">
        <f>INDEX(DirectSLRs[#All],MATCH('MICL Direct'!K$3,DirectSLRs[[#All],[UW_Month]],0),3)</f>
        <v>#N/A</v>
      </c>
      <c r="L6" s="132" t="e">
        <f>INDEX(DirectSLRs[#All],MATCH('MICL Direct'!L$3,DirectSLRs[[#All],[UW_Month]],0),3)</f>
        <v>#DIV/0!</v>
      </c>
      <c r="M6" s="132">
        <f>INDEX(DirectSLRs[#All],MATCH('MICL Direct'!M$3,DirectSLRs[[#All],[UW_Month]],0),3)</f>
        <v>0.67289436299502936</v>
      </c>
      <c r="N6" s="132">
        <f>INDEX(DirectSLRs[#All],MATCH('MICL Direct'!N$3,DirectSLRs[[#All],[UW_Month]],0),3)</f>
        <v>0.6650524498714776</v>
      </c>
      <c r="O6" s="132">
        <f>INDEX(DirectSLRs[#All],MATCH('MICL Direct'!O$3,DirectSLRs[[#All],[UW_Month]],0),3)</f>
        <v>0.65579656166768108</v>
      </c>
      <c r="P6" s="131">
        <f>INDEX(DirectSLRs[#All],MATCH('MICL Direct'!P$3,DirectSLRs[[#All],[UW_Month]],0),3)</f>
        <v>0.64019795168924731</v>
      </c>
    </row>
    <row r="7" spans="2:16" x14ac:dyDescent="0.25">
      <c r="C7" s="135" t="s">
        <v>234</v>
      </c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6"/>
    </row>
    <row r="9" spans="2:16" x14ac:dyDescent="0.25">
      <c r="C9" s="65" t="s">
        <v>233</v>
      </c>
    </row>
    <row r="10" spans="2:16" x14ac:dyDescent="0.25">
      <c r="C10" t="s">
        <v>239</v>
      </c>
    </row>
    <row r="11" spans="2:16" x14ac:dyDescent="0.25">
      <c r="C11" s="47" t="s">
        <v>232</v>
      </c>
    </row>
    <row r="12" spans="2:16" x14ac:dyDescent="0.25">
      <c r="B12" t="s">
        <v>231</v>
      </c>
      <c r="C12" s="133" t="s">
        <v>211</v>
      </c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1"/>
    </row>
    <row r="13" spans="2:16" x14ac:dyDescent="0.25">
      <c r="B13" t="s">
        <v>230</v>
      </c>
      <c r="C13" s="130" t="s">
        <v>209</v>
      </c>
      <c r="D13" s="129"/>
      <c r="E13" s="129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128"/>
    </row>
    <row r="14" spans="2:16" x14ac:dyDescent="0.25">
      <c r="B14" t="s">
        <v>229</v>
      </c>
      <c r="C14" s="127" t="s">
        <v>207</v>
      </c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2"/>
    </row>
    <row r="16" spans="2:16" x14ac:dyDescent="0.25">
      <c r="C16" s="47" t="s">
        <v>228</v>
      </c>
    </row>
    <row r="17" spans="2:16" x14ac:dyDescent="0.25">
      <c r="B17" t="s">
        <v>227</v>
      </c>
      <c r="C17" s="133" t="s">
        <v>211</v>
      </c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1"/>
    </row>
    <row r="18" spans="2:16" x14ac:dyDescent="0.25">
      <c r="B18" t="s">
        <v>226</v>
      </c>
      <c r="C18" s="130" t="s">
        <v>209</v>
      </c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8"/>
    </row>
    <row r="19" spans="2:16" x14ac:dyDescent="0.25">
      <c r="B19" t="s">
        <v>225</v>
      </c>
      <c r="C19" s="130" t="s">
        <v>224</v>
      </c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134"/>
    </row>
    <row r="20" spans="2:16" x14ac:dyDescent="0.25">
      <c r="B20" t="s">
        <v>223</v>
      </c>
      <c r="C20" s="127" t="s">
        <v>222</v>
      </c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2"/>
    </row>
    <row r="22" spans="2:16" x14ac:dyDescent="0.25">
      <c r="C22" s="47" t="s">
        <v>221</v>
      </c>
    </row>
    <row r="23" spans="2:16" x14ac:dyDescent="0.25">
      <c r="B23" t="s">
        <v>220</v>
      </c>
      <c r="C23" s="133" t="s">
        <v>211</v>
      </c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1"/>
    </row>
    <row r="24" spans="2:16" x14ac:dyDescent="0.25">
      <c r="B24" t="s">
        <v>219</v>
      </c>
      <c r="C24" s="130" t="s">
        <v>209</v>
      </c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8"/>
    </row>
    <row r="25" spans="2:16" x14ac:dyDescent="0.25">
      <c r="B25" t="s">
        <v>218</v>
      </c>
      <c r="C25" s="127" t="s">
        <v>207</v>
      </c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2"/>
    </row>
    <row r="27" spans="2:16" x14ac:dyDescent="0.25">
      <c r="C27" s="47" t="s">
        <v>217</v>
      </c>
    </row>
    <row r="28" spans="2:16" x14ac:dyDescent="0.25">
      <c r="B28" t="s">
        <v>216</v>
      </c>
      <c r="C28" s="133" t="s">
        <v>211</v>
      </c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1"/>
    </row>
    <row r="29" spans="2:16" x14ac:dyDescent="0.25">
      <c r="B29" t="s">
        <v>215</v>
      </c>
      <c r="C29" s="130" t="s">
        <v>209</v>
      </c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8"/>
    </row>
    <row r="30" spans="2:16" x14ac:dyDescent="0.25">
      <c r="B30" t="s">
        <v>214</v>
      </c>
      <c r="C30" s="127" t="s">
        <v>207</v>
      </c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2"/>
    </row>
    <row r="32" spans="2:16" x14ac:dyDescent="0.25">
      <c r="C32" s="47" t="s">
        <v>213</v>
      </c>
    </row>
    <row r="33" spans="2:16" x14ac:dyDescent="0.25">
      <c r="B33" t="s">
        <v>212</v>
      </c>
      <c r="C33" s="133" t="s">
        <v>211</v>
      </c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1"/>
    </row>
    <row r="34" spans="2:16" x14ac:dyDescent="0.25">
      <c r="B34" t="s">
        <v>210</v>
      </c>
      <c r="C34" s="130" t="s">
        <v>209</v>
      </c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8"/>
    </row>
    <row r="35" spans="2:16" x14ac:dyDescent="0.25">
      <c r="B35" t="s">
        <v>208</v>
      </c>
      <c r="C35" s="127" t="s">
        <v>207</v>
      </c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2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DB470-085A-4BD5-BD1B-E12800409A61}">
  <sheetPr codeName="Sheet27"/>
  <dimension ref="B3:D8"/>
  <sheetViews>
    <sheetView workbookViewId="0"/>
  </sheetViews>
  <sheetFormatPr defaultRowHeight="15" x14ac:dyDescent="0.25"/>
  <cols>
    <col min="2" max="2" width="21.28515625" customWidth="1"/>
    <col min="3" max="3" width="24.85546875" customWidth="1"/>
    <col min="4" max="4" width="26.140625" customWidth="1"/>
  </cols>
  <sheetData>
    <row r="3" spans="2:4" x14ac:dyDescent="0.25">
      <c r="B3" s="139" t="s">
        <v>352</v>
      </c>
      <c r="C3" s="140" t="s">
        <v>241</v>
      </c>
      <c r="D3" s="140" t="s">
        <v>242</v>
      </c>
    </row>
    <row r="4" spans="2:4" x14ac:dyDescent="0.25">
      <c r="B4" s="137">
        <f t="shared" ref="B4:B6" si="0">EDATE(B5,-1)</f>
        <v>45231</v>
      </c>
      <c r="C4" s="56" t="e">
        <v>#DIV/0!</v>
      </c>
      <c r="D4" s="56" t="e">
        <v>#DIV/0!</v>
      </c>
    </row>
    <row r="5" spans="2:4" x14ac:dyDescent="0.25">
      <c r="B5" s="137">
        <f t="shared" si="0"/>
        <v>45261</v>
      </c>
      <c r="C5" s="56">
        <v>0.67981665042466177</v>
      </c>
      <c r="D5" s="56">
        <v>0.67289436299502936</v>
      </c>
    </row>
    <row r="6" spans="2:4" x14ac:dyDescent="0.25">
      <c r="B6" s="137">
        <f t="shared" si="0"/>
        <v>45292</v>
      </c>
      <c r="C6" s="56">
        <v>0.68556316938750028</v>
      </c>
      <c r="D6" s="56">
        <v>0.6650524498714776</v>
      </c>
    </row>
    <row r="7" spans="2:4" x14ac:dyDescent="0.25">
      <c r="B7" s="137">
        <f>EDATE(B8,-1)</f>
        <v>45323</v>
      </c>
      <c r="C7" s="56">
        <v>0.68030801767359184</v>
      </c>
      <c r="D7" s="56">
        <v>0.65579656166768108</v>
      </c>
    </row>
    <row r="8" spans="2:4" x14ac:dyDescent="0.25">
      <c r="B8" s="138">
        <v>45352</v>
      </c>
      <c r="C8" s="56">
        <v>0.65987587761277289</v>
      </c>
      <c r="D8" s="56">
        <v>0.64019795168924731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FCEBE-3994-4B28-B266-77230AFDB5BD}">
  <sheetPr codeName="Sheet11">
    <tabColor rgb="FF0043CE"/>
  </sheetPr>
  <dimension ref="B2:S290"/>
  <sheetViews>
    <sheetView showGridLines="0" zoomScale="70" zoomScaleNormal="70" workbookViewId="0"/>
  </sheetViews>
  <sheetFormatPr defaultRowHeight="15" outlineLevelRow="1" x14ac:dyDescent="0.25"/>
  <cols>
    <col min="2" max="2" width="55.28515625" customWidth="1"/>
    <col min="3" max="3" width="16.7109375" customWidth="1"/>
    <col min="4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8" width="16" customWidth="1"/>
    <col min="21" max="21" width="14.85546875" customWidth="1"/>
  </cols>
  <sheetData>
    <row r="2" spans="2:2" ht="18.75" x14ac:dyDescent="0.25">
      <c r="B2" s="51"/>
    </row>
    <row r="24" spans="2:18" ht="18.75" x14ac:dyDescent="0.25">
      <c r="B24" s="51"/>
    </row>
    <row r="25" spans="2:18" x14ac:dyDescent="0.25">
      <c r="B25" s="52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517"/>
      <c r="Q25" s="517"/>
      <c r="R25" s="517"/>
    </row>
    <row r="26" spans="2:18" x14ac:dyDescent="0.25">
      <c r="B26" s="53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0"/>
      <c r="Q26" s="50"/>
      <c r="R26" s="50"/>
    </row>
    <row r="27" spans="2:18" ht="15.75" x14ac:dyDescent="0.25">
      <c r="B27" s="4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</row>
    <row r="28" spans="2:18" ht="15.75" x14ac:dyDescent="0.25">
      <c r="B28" s="46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</row>
    <row r="29" spans="2:18" ht="15.75" x14ac:dyDescent="0.25">
      <c r="B29" s="4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</row>
    <row r="30" spans="2:18" ht="15.75" x14ac:dyDescent="0.25">
      <c r="B30" s="4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</row>
    <row r="31" spans="2:18" ht="15.75" x14ac:dyDescent="0.25">
      <c r="B31" s="46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</row>
    <row r="32" spans="2:18" ht="15.75" x14ac:dyDescent="0.25">
      <c r="B32" s="4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</row>
    <row r="33" spans="2:19" ht="15.75" x14ac:dyDescent="0.25">
      <c r="B33" s="4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</row>
    <row r="34" spans="2:19" ht="15.75" x14ac:dyDescent="0.25">
      <c r="B34" s="46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"/>
    </row>
    <row r="35" spans="2:19" ht="15.75" x14ac:dyDescent="0.25">
      <c r="B35" s="4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</row>
    <row r="36" spans="2:19" x14ac:dyDescent="0.25">
      <c r="B36" s="53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5"/>
      <c r="Q36" s="55"/>
      <c r="R36" s="55"/>
    </row>
    <row r="37" spans="2:19" ht="15.75" x14ac:dyDescent="0.25">
      <c r="B37" s="46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</row>
    <row r="38" spans="2:19" ht="15.75" x14ac:dyDescent="0.25">
      <c r="B38" s="46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0"/>
      <c r="Q38" s="10"/>
      <c r="R38" s="10"/>
    </row>
    <row r="39" spans="2:19" ht="15.75" x14ac:dyDescent="0.25">
      <c r="B39" s="4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</row>
    <row r="42" spans="2:19" ht="18.75" x14ac:dyDescent="0.25">
      <c r="B42" s="51"/>
    </row>
    <row r="43" spans="2:19" x14ac:dyDescent="0.25">
      <c r="B43" s="5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517"/>
      <c r="Q43" s="517"/>
      <c r="R43" s="517"/>
    </row>
    <row r="44" spans="2:19" x14ac:dyDescent="0.25">
      <c r="B44" s="53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0"/>
      <c r="Q44" s="50"/>
      <c r="R44" s="50"/>
    </row>
    <row r="45" spans="2:19" ht="15.75" x14ac:dyDescent="0.25">
      <c r="B45" s="4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</row>
    <row r="46" spans="2:19" ht="15.75" x14ac:dyDescent="0.25">
      <c r="B46" s="46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</row>
    <row r="47" spans="2:19" ht="15.75" x14ac:dyDescent="0.25">
      <c r="B47" s="46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</row>
    <row r="48" spans="2:19" ht="15.75" x14ac:dyDescent="0.25">
      <c r="B48" s="46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</row>
    <row r="49" spans="2:19" ht="15.75" x14ac:dyDescent="0.25">
      <c r="B49" s="46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</row>
    <row r="50" spans="2:19" ht="15.75" x14ac:dyDescent="0.25">
      <c r="B50" s="46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</row>
    <row r="51" spans="2:19" ht="15.75" x14ac:dyDescent="0.25">
      <c r="B51" s="46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</row>
    <row r="52" spans="2:19" ht="15.75" x14ac:dyDescent="0.25">
      <c r="B52" s="46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"/>
    </row>
    <row r="53" spans="2:19" ht="15.75" x14ac:dyDescent="0.25">
      <c r="B53" s="46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</row>
    <row r="54" spans="2:19" x14ac:dyDescent="0.25">
      <c r="B54" s="53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5"/>
      <c r="Q54" s="55"/>
      <c r="R54" s="55"/>
    </row>
    <row r="55" spans="2:19" ht="15.75" x14ac:dyDescent="0.25">
      <c r="B55" s="46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</row>
    <row r="56" spans="2:19" ht="15.75" x14ac:dyDescent="0.25">
      <c r="B56" s="46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0"/>
      <c r="Q56" s="10"/>
      <c r="R56" s="10"/>
    </row>
    <row r="57" spans="2:19" ht="15.75" x14ac:dyDescent="0.25">
      <c r="B57" s="4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</row>
    <row r="59" spans="2:19" ht="18.75" hidden="1" outlineLevel="1" x14ac:dyDescent="0.25">
      <c r="B59" s="51"/>
    </row>
    <row r="60" spans="2:19" hidden="1" outlineLevel="1" x14ac:dyDescent="0.25">
      <c r="B60" s="5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517"/>
      <c r="Q60" s="517"/>
      <c r="R60" s="517"/>
    </row>
    <row r="61" spans="2:19" hidden="1" outlineLevel="1" x14ac:dyDescent="0.25">
      <c r="B61" s="53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0"/>
      <c r="Q61" s="50"/>
      <c r="R61" s="50"/>
    </row>
    <row r="62" spans="2:19" ht="15.75" hidden="1" outlineLevel="1" x14ac:dyDescent="0.25">
      <c r="B62" s="46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</row>
    <row r="63" spans="2:19" ht="15.75" hidden="1" outlineLevel="1" x14ac:dyDescent="0.25">
      <c r="B63" s="46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</row>
    <row r="64" spans="2:19" ht="15.75" hidden="1" outlineLevel="1" x14ac:dyDescent="0.25">
      <c r="B64" s="46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</row>
    <row r="65" spans="2:19" ht="15.75" hidden="1" outlineLevel="1" x14ac:dyDescent="0.25">
      <c r="B65" s="46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</row>
    <row r="66" spans="2:19" ht="15.75" hidden="1" outlineLevel="1" x14ac:dyDescent="0.25">
      <c r="B66" s="46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</row>
    <row r="67" spans="2:19" ht="15.75" hidden="1" outlineLevel="1" x14ac:dyDescent="0.25">
      <c r="B67" s="46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</row>
    <row r="68" spans="2:19" ht="15.75" hidden="1" outlineLevel="1" x14ac:dyDescent="0.25">
      <c r="B68" s="46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</row>
    <row r="69" spans="2:19" ht="15.75" hidden="1" outlineLevel="1" x14ac:dyDescent="0.25">
      <c r="B69" s="46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"/>
    </row>
    <row r="70" spans="2:19" ht="15.75" hidden="1" outlineLevel="1" x14ac:dyDescent="0.25">
      <c r="B70" s="46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</row>
    <row r="71" spans="2:19" hidden="1" outlineLevel="1" x14ac:dyDescent="0.25">
      <c r="B71" s="53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5"/>
      <c r="Q71" s="55"/>
      <c r="R71" s="55"/>
    </row>
    <row r="72" spans="2:19" ht="15.75" hidden="1" outlineLevel="1" x14ac:dyDescent="0.25">
      <c r="B72" s="46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</row>
    <row r="73" spans="2:19" ht="15.75" hidden="1" outlineLevel="1" x14ac:dyDescent="0.25">
      <c r="B73" s="46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0"/>
      <c r="Q73" s="10"/>
      <c r="R73" s="10"/>
    </row>
    <row r="74" spans="2:19" ht="15.75" hidden="1" outlineLevel="1" x14ac:dyDescent="0.25">
      <c r="B74" s="46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</row>
    <row r="75" spans="2:19" ht="15.75" hidden="1" outlineLevel="1" x14ac:dyDescent="0.25">
      <c r="B75" s="4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</row>
    <row r="76" spans="2:19" hidden="1" outlineLevel="1" x14ac:dyDescent="0.25"/>
    <row r="77" spans="2:19" ht="18.75" hidden="1" outlineLevel="1" x14ac:dyDescent="0.25">
      <c r="B77" s="51"/>
    </row>
    <row r="78" spans="2:19" hidden="1" outlineLevel="1" x14ac:dyDescent="0.25">
      <c r="B78" s="52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517"/>
      <c r="Q78" s="517"/>
      <c r="R78" s="517"/>
    </row>
    <row r="79" spans="2:19" hidden="1" outlineLevel="1" x14ac:dyDescent="0.25">
      <c r="B79" s="53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0"/>
      <c r="Q79" s="50"/>
      <c r="R79" s="50"/>
    </row>
    <row r="80" spans="2:19" ht="15.75" hidden="1" outlineLevel="1" x14ac:dyDescent="0.25">
      <c r="B80" s="46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</row>
    <row r="81" spans="2:19" ht="15.75" hidden="1" outlineLevel="1" x14ac:dyDescent="0.25">
      <c r="B81" s="46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</row>
    <row r="82" spans="2:19" ht="15.75" hidden="1" outlineLevel="1" x14ac:dyDescent="0.25">
      <c r="B82" s="46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</row>
    <row r="83" spans="2:19" ht="15.75" hidden="1" outlineLevel="1" x14ac:dyDescent="0.25">
      <c r="B83" s="46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</row>
    <row r="84" spans="2:19" ht="15.75" hidden="1" outlineLevel="1" x14ac:dyDescent="0.25">
      <c r="B84" s="46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</row>
    <row r="85" spans="2:19" ht="15.75" hidden="1" outlineLevel="1" x14ac:dyDescent="0.25">
      <c r="B85" s="46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</row>
    <row r="86" spans="2:19" ht="15.75" hidden="1" outlineLevel="1" x14ac:dyDescent="0.25">
      <c r="B86" s="46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</row>
    <row r="87" spans="2:19" ht="15.75" hidden="1" outlineLevel="1" x14ac:dyDescent="0.25">
      <c r="B87" s="46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"/>
    </row>
    <row r="88" spans="2:19" ht="15.75" hidden="1" outlineLevel="1" x14ac:dyDescent="0.25">
      <c r="B88" s="46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</row>
    <row r="89" spans="2:19" hidden="1" outlineLevel="1" x14ac:dyDescent="0.25">
      <c r="B89" s="53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5"/>
      <c r="Q89" s="55"/>
      <c r="R89" s="55"/>
    </row>
    <row r="90" spans="2:19" ht="15.75" hidden="1" outlineLevel="1" x14ac:dyDescent="0.25">
      <c r="B90" s="46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</row>
    <row r="91" spans="2:19" ht="15.75" hidden="1" outlineLevel="1" x14ac:dyDescent="0.25">
      <c r="B91" s="46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0"/>
      <c r="Q91" s="10"/>
      <c r="R91" s="10"/>
    </row>
    <row r="92" spans="2:19" ht="15.75" hidden="1" outlineLevel="1" x14ac:dyDescent="0.25">
      <c r="B92" s="46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</row>
    <row r="93" spans="2:19" ht="15.75" hidden="1" outlineLevel="1" x14ac:dyDescent="0.25">
      <c r="B93" s="4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</row>
    <row r="94" spans="2:19" hidden="1" outlineLevel="1" x14ac:dyDescent="0.25"/>
    <row r="95" spans="2:19" ht="18.75" hidden="1" outlineLevel="1" x14ac:dyDescent="0.25">
      <c r="B95" s="51"/>
    </row>
    <row r="96" spans="2:19" hidden="1" outlineLevel="1" x14ac:dyDescent="0.25">
      <c r="B96" s="52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517"/>
      <c r="Q96" s="517"/>
      <c r="R96" s="517"/>
    </row>
    <row r="97" spans="2:19" hidden="1" outlineLevel="1" x14ac:dyDescent="0.25">
      <c r="B97" s="53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0"/>
      <c r="Q97" s="50"/>
      <c r="R97" s="50"/>
    </row>
    <row r="98" spans="2:19" ht="15.75" hidden="1" outlineLevel="1" x14ac:dyDescent="0.25">
      <c r="B98" s="46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</row>
    <row r="99" spans="2:19" ht="15.75" hidden="1" outlineLevel="1" x14ac:dyDescent="0.25">
      <c r="B99" s="46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</row>
    <row r="100" spans="2:19" ht="15.75" hidden="1" outlineLevel="1" x14ac:dyDescent="0.25">
      <c r="B100" s="46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</row>
    <row r="101" spans="2:19" ht="15.75" hidden="1" outlineLevel="1" x14ac:dyDescent="0.25">
      <c r="B101" s="46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</row>
    <row r="102" spans="2:19" ht="15.75" hidden="1" outlineLevel="1" x14ac:dyDescent="0.25">
      <c r="B102" s="46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</row>
    <row r="103" spans="2:19" ht="15.75" hidden="1" outlineLevel="1" x14ac:dyDescent="0.25">
      <c r="B103" s="46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</row>
    <row r="104" spans="2:19" ht="15.75" hidden="1" outlineLevel="1" x14ac:dyDescent="0.25">
      <c r="B104" s="46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</row>
    <row r="105" spans="2:19" ht="15.75" hidden="1" outlineLevel="1" x14ac:dyDescent="0.25">
      <c r="B105" s="46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"/>
    </row>
    <row r="106" spans="2:19" ht="15.75" hidden="1" outlineLevel="1" x14ac:dyDescent="0.25">
      <c r="B106" s="46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</row>
    <row r="107" spans="2:19" hidden="1" outlineLevel="1" x14ac:dyDescent="0.25">
      <c r="B107" s="53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5"/>
      <c r="Q107" s="55"/>
      <c r="R107" s="55"/>
    </row>
    <row r="108" spans="2:19" ht="15.75" hidden="1" outlineLevel="1" x14ac:dyDescent="0.25">
      <c r="B108" s="46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</row>
    <row r="109" spans="2:19" ht="15.75" hidden="1" outlineLevel="1" x14ac:dyDescent="0.25">
      <c r="B109" s="46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0"/>
      <c r="Q109" s="10"/>
      <c r="R109" s="10"/>
    </row>
    <row r="110" spans="2:19" ht="15.75" hidden="1" outlineLevel="1" x14ac:dyDescent="0.25">
      <c r="B110" s="46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</row>
    <row r="111" spans="2:19" ht="15.75" hidden="1" outlineLevel="1" x14ac:dyDescent="0.25">
      <c r="B111" s="4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</row>
    <row r="112" spans="2:19" hidden="1" outlineLevel="1" x14ac:dyDescent="0.25"/>
    <row r="113" spans="2:19" ht="18.75" hidden="1" outlineLevel="1" x14ac:dyDescent="0.25">
      <c r="B113" s="51"/>
    </row>
    <row r="114" spans="2:19" hidden="1" outlineLevel="1" x14ac:dyDescent="0.25">
      <c r="B114" s="52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517"/>
      <c r="Q114" s="517"/>
      <c r="R114" s="517"/>
    </row>
    <row r="115" spans="2:19" hidden="1" outlineLevel="1" x14ac:dyDescent="0.25">
      <c r="B115" s="53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0"/>
      <c r="Q115" s="50"/>
      <c r="R115" s="50"/>
    </row>
    <row r="116" spans="2:19" ht="15.75" hidden="1" outlineLevel="1" x14ac:dyDescent="0.25">
      <c r="B116" s="46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</row>
    <row r="117" spans="2:19" ht="15.75" hidden="1" outlineLevel="1" x14ac:dyDescent="0.25">
      <c r="B117" s="46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</row>
    <row r="118" spans="2:19" ht="15.75" hidden="1" outlineLevel="1" x14ac:dyDescent="0.25">
      <c r="B118" s="46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</row>
    <row r="119" spans="2:19" ht="15.75" hidden="1" outlineLevel="1" x14ac:dyDescent="0.25">
      <c r="B119" s="46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</row>
    <row r="120" spans="2:19" ht="15.75" hidden="1" outlineLevel="1" x14ac:dyDescent="0.25">
      <c r="B120" s="46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</row>
    <row r="121" spans="2:19" ht="15.75" hidden="1" outlineLevel="1" x14ac:dyDescent="0.25">
      <c r="B121" s="46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</row>
    <row r="122" spans="2:19" ht="15.75" hidden="1" outlineLevel="1" x14ac:dyDescent="0.25">
      <c r="B122" s="46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</row>
    <row r="123" spans="2:19" ht="15.75" hidden="1" outlineLevel="1" x14ac:dyDescent="0.25">
      <c r="B123" s="46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"/>
    </row>
    <row r="124" spans="2:19" ht="15.75" hidden="1" outlineLevel="1" x14ac:dyDescent="0.25">
      <c r="B124" s="46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</row>
    <row r="125" spans="2:19" hidden="1" outlineLevel="1" x14ac:dyDescent="0.25">
      <c r="B125" s="53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5"/>
      <c r="Q125" s="55"/>
      <c r="R125" s="55"/>
    </row>
    <row r="126" spans="2:19" ht="15.75" hidden="1" outlineLevel="1" x14ac:dyDescent="0.25">
      <c r="B126" s="46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</row>
    <row r="127" spans="2:19" ht="15.75" hidden="1" outlineLevel="1" x14ac:dyDescent="0.25">
      <c r="B127" s="46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0"/>
      <c r="Q127" s="10"/>
      <c r="R127" s="10"/>
    </row>
    <row r="128" spans="2:19" ht="15.75" hidden="1" outlineLevel="1" x14ac:dyDescent="0.25">
      <c r="B128" s="46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</row>
    <row r="129" spans="2:19" ht="15.75" hidden="1" outlineLevel="1" x14ac:dyDescent="0.25">
      <c r="B129" s="4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</row>
    <row r="130" spans="2:19" collapsed="1" x14ac:dyDescent="0.25"/>
    <row r="131" spans="2:19" ht="18.75" x14ac:dyDescent="0.25">
      <c r="B131" s="51"/>
    </row>
    <row r="132" spans="2:19" x14ac:dyDescent="0.25">
      <c r="B132" s="52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517"/>
      <c r="Q132" s="517"/>
      <c r="R132" s="517"/>
    </row>
    <row r="133" spans="2:19" x14ac:dyDescent="0.25">
      <c r="B133" s="53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0"/>
      <c r="Q133" s="50"/>
      <c r="R133" s="50"/>
    </row>
    <row r="134" spans="2:19" ht="15.75" x14ac:dyDescent="0.25">
      <c r="B134" s="46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</row>
    <row r="135" spans="2:19" ht="15.75" x14ac:dyDescent="0.25">
      <c r="B135" s="46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</row>
    <row r="136" spans="2:19" ht="15.75" x14ac:dyDescent="0.25">
      <c r="B136" s="46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</row>
    <row r="137" spans="2:19" ht="15.75" x14ac:dyDescent="0.25">
      <c r="B137" s="46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</row>
    <row r="138" spans="2:19" ht="15.75" x14ac:dyDescent="0.25">
      <c r="B138" s="46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</row>
    <row r="139" spans="2:19" ht="15.75" x14ac:dyDescent="0.25">
      <c r="B139" s="46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</row>
    <row r="140" spans="2:19" ht="15.75" x14ac:dyDescent="0.25">
      <c r="B140" s="46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</row>
    <row r="141" spans="2:19" ht="15.75" x14ac:dyDescent="0.25">
      <c r="B141" s="46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"/>
    </row>
    <row r="142" spans="2:19" ht="15.75" x14ac:dyDescent="0.25">
      <c r="B142" s="46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</row>
    <row r="143" spans="2:19" x14ac:dyDescent="0.25">
      <c r="B143" s="53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5"/>
      <c r="Q143" s="55"/>
      <c r="R143" s="55"/>
    </row>
    <row r="144" spans="2:19" ht="15.75" x14ac:dyDescent="0.25">
      <c r="B144" s="46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</row>
    <row r="145" spans="2:19" ht="15.75" x14ac:dyDescent="0.25">
      <c r="B145" s="46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0"/>
      <c r="Q145" s="10"/>
      <c r="R145" s="10"/>
    </row>
    <row r="146" spans="2:19" ht="15.75" x14ac:dyDescent="0.25">
      <c r="B146" s="46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</row>
    <row r="148" spans="2:19" ht="18.75" hidden="1" outlineLevel="1" x14ac:dyDescent="0.25">
      <c r="B148" s="51"/>
    </row>
    <row r="149" spans="2:19" hidden="1" outlineLevel="1" x14ac:dyDescent="0.25">
      <c r="B149" s="52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517"/>
      <c r="Q149" s="517"/>
      <c r="R149" s="517"/>
    </row>
    <row r="150" spans="2:19" hidden="1" outlineLevel="1" x14ac:dyDescent="0.25">
      <c r="B150" s="53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0"/>
      <c r="Q150" s="50"/>
      <c r="R150" s="50"/>
    </row>
    <row r="151" spans="2:19" ht="15.75" hidden="1" outlineLevel="1" x14ac:dyDescent="0.25">
      <c r="B151" s="46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</row>
    <row r="152" spans="2:19" ht="15.75" hidden="1" outlineLevel="1" x14ac:dyDescent="0.25">
      <c r="B152" s="46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</row>
    <row r="153" spans="2:19" ht="15.75" hidden="1" outlineLevel="1" x14ac:dyDescent="0.25">
      <c r="B153" s="46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</row>
    <row r="154" spans="2:19" ht="15.75" hidden="1" outlineLevel="1" x14ac:dyDescent="0.25">
      <c r="B154" s="46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</row>
    <row r="155" spans="2:19" ht="15.75" hidden="1" outlineLevel="1" x14ac:dyDescent="0.25">
      <c r="B155" s="46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</row>
    <row r="156" spans="2:19" ht="15.75" hidden="1" outlineLevel="1" x14ac:dyDescent="0.25">
      <c r="B156" s="46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</row>
    <row r="157" spans="2:19" ht="15.75" hidden="1" outlineLevel="1" x14ac:dyDescent="0.25">
      <c r="B157" s="46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</row>
    <row r="158" spans="2:19" ht="15.75" hidden="1" outlineLevel="1" x14ac:dyDescent="0.25">
      <c r="B158" s="46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"/>
    </row>
    <row r="159" spans="2:19" ht="15.75" hidden="1" outlineLevel="1" x14ac:dyDescent="0.25">
      <c r="B159" s="46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</row>
    <row r="160" spans="2:19" hidden="1" outlineLevel="1" x14ac:dyDescent="0.25">
      <c r="B160" s="53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5"/>
      <c r="Q160" s="55"/>
      <c r="R160" s="55"/>
    </row>
    <row r="161" spans="2:19" ht="15.75" hidden="1" outlineLevel="1" x14ac:dyDescent="0.25">
      <c r="B161" s="46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</row>
    <row r="162" spans="2:19" ht="15.75" hidden="1" outlineLevel="1" x14ac:dyDescent="0.25">
      <c r="B162" s="46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0"/>
      <c r="Q162" s="10"/>
      <c r="R162" s="10"/>
    </row>
    <row r="163" spans="2:19" ht="15.75" hidden="1" outlineLevel="1" x14ac:dyDescent="0.25">
      <c r="B163" s="46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</row>
    <row r="164" spans="2:19" ht="15.75" hidden="1" outlineLevel="1" x14ac:dyDescent="0.25">
      <c r="B164" s="4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</row>
    <row r="165" spans="2:19" hidden="1" outlineLevel="1" x14ac:dyDescent="0.25"/>
    <row r="166" spans="2:19" ht="18.75" hidden="1" outlineLevel="1" x14ac:dyDescent="0.25">
      <c r="B166" s="51"/>
    </row>
    <row r="167" spans="2:19" hidden="1" outlineLevel="1" x14ac:dyDescent="0.25">
      <c r="B167" s="52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517"/>
      <c r="Q167" s="517"/>
      <c r="R167" s="517"/>
    </row>
    <row r="168" spans="2:19" hidden="1" outlineLevel="1" x14ac:dyDescent="0.25">
      <c r="B168" s="53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0"/>
      <c r="Q168" s="50"/>
      <c r="R168" s="50"/>
    </row>
    <row r="169" spans="2:19" ht="15.75" hidden="1" outlineLevel="1" x14ac:dyDescent="0.25">
      <c r="B169" s="46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</row>
    <row r="170" spans="2:19" ht="15.75" hidden="1" outlineLevel="1" x14ac:dyDescent="0.25">
      <c r="B170" s="4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</row>
    <row r="171" spans="2:19" ht="15.75" hidden="1" outlineLevel="1" x14ac:dyDescent="0.25">
      <c r="B171" s="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</row>
    <row r="172" spans="2:19" ht="15.75" hidden="1" outlineLevel="1" x14ac:dyDescent="0.25">
      <c r="B172" s="46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</row>
    <row r="173" spans="2:19" ht="15.75" hidden="1" outlineLevel="1" x14ac:dyDescent="0.25">
      <c r="B173" s="4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</row>
    <row r="174" spans="2:19" ht="15.75" hidden="1" outlineLevel="1" x14ac:dyDescent="0.25">
      <c r="B174" s="46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</row>
    <row r="175" spans="2:19" ht="15.75" hidden="1" outlineLevel="1" x14ac:dyDescent="0.25">
      <c r="B175" s="46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</row>
    <row r="176" spans="2:19" ht="15.75" hidden="1" outlineLevel="1" x14ac:dyDescent="0.25">
      <c r="B176" s="4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"/>
    </row>
    <row r="177" spans="2:18" ht="15.75" hidden="1" outlineLevel="1" x14ac:dyDescent="0.25">
      <c r="B177" s="46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</row>
    <row r="178" spans="2:18" hidden="1" outlineLevel="1" x14ac:dyDescent="0.25">
      <c r="B178" s="53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5"/>
      <c r="Q178" s="55"/>
      <c r="R178" s="55"/>
    </row>
    <row r="179" spans="2:18" ht="15.75" hidden="1" outlineLevel="1" x14ac:dyDescent="0.25">
      <c r="B179" s="46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</row>
    <row r="180" spans="2:18" ht="15.75" hidden="1" outlineLevel="1" x14ac:dyDescent="0.25">
      <c r="B180" s="46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0"/>
      <c r="Q180" s="10"/>
      <c r="R180" s="10"/>
    </row>
    <row r="181" spans="2:18" ht="15.75" hidden="1" outlineLevel="1" x14ac:dyDescent="0.25">
      <c r="B181" s="46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</row>
    <row r="182" spans="2:18" ht="15.75" hidden="1" outlineLevel="1" x14ac:dyDescent="0.25">
      <c r="B182" s="4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</row>
    <row r="183" spans="2:18" hidden="1" outlineLevel="1" x14ac:dyDescent="0.25"/>
    <row r="184" spans="2:18" collapsed="1" x14ac:dyDescent="0.25"/>
    <row r="185" spans="2:18" ht="18.75" x14ac:dyDescent="0.25">
      <c r="B185" s="51"/>
    </row>
    <row r="186" spans="2:18" x14ac:dyDescent="0.25">
      <c r="B186" s="52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517"/>
      <c r="Q186" s="517"/>
      <c r="R186" s="517"/>
    </row>
    <row r="187" spans="2:18" x14ac:dyDescent="0.25">
      <c r="B187" s="53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0"/>
      <c r="Q187" s="50"/>
      <c r="R187" s="50"/>
    </row>
    <row r="188" spans="2:18" ht="15.75" x14ac:dyDescent="0.25">
      <c r="B188" s="46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</row>
    <row r="189" spans="2:18" ht="15.75" x14ac:dyDescent="0.25">
      <c r="B189" s="4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</row>
    <row r="190" spans="2:18" ht="15.75" x14ac:dyDescent="0.25">
      <c r="B190" s="46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</row>
    <row r="191" spans="2:18" ht="15.75" x14ac:dyDescent="0.25">
      <c r="B191" s="46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</row>
    <row r="192" spans="2:18" ht="15.75" x14ac:dyDescent="0.25">
      <c r="B192" s="46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</row>
    <row r="193" spans="2:19" ht="15.75" x14ac:dyDescent="0.25">
      <c r="B193" s="46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</row>
    <row r="194" spans="2:19" ht="15.75" x14ac:dyDescent="0.25">
      <c r="B194" s="46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</row>
    <row r="195" spans="2:19" ht="15.75" x14ac:dyDescent="0.25">
      <c r="B195" s="4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"/>
    </row>
    <row r="196" spans="2:19" ht="15.75" x14ac:dyDescent="0.25">
      <c r="B196" s="46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</row>
    <row r="197" spans="2:19" x14ac:dyDescent="0.25">
      <c r="B197" s="53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5"/>
      <c r="Q197" s="55"/>
      <c r="R197" s="55"/>
    </row>
    <row r="198" spans="2:19" ht="15.75" x14ac:dyDescent="0.25">
      <c r="B198" s="46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</row>
    <row r="199" spans="2:19" ht="15.75" x14ac:dyDescent="0.25">
      <c r="B199" s="46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0"/>
      <c r="Q199" s="10"/>
      <c r="R199" s="10"/>
    </row>
    <row r="200" spans="2:19" ht="15.75" x14ac:dyDescent="0.25">
      <c r="B200" s="46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</row>
    <row r="202" spans="2:19" ht="18.75" hidden="1" outlineLevel="1" x14ac:dyDescent="0.25">
      <c r="B202" s="51"/>
    </row>
    <row r="203" spans="2:19" hidden="1" outlineLevel="1" x14ac:dyDescent="0.25">
      <c r="B203" s="52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517"/>
      <c r="Q203" s="517"/>
      <c r="R203" s="517"/>
    </row>
    <row r="204" spans="2:19" hidden="1" outlineLevel="1" x14ac:dyDescent="0.25">
      <c r="B204" s="53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0"/>
      <c r="Q204" s="50"/>
      <c r="R204" s="50"/>
    </row>
    <row r="205" spans="2:19" ht="15.75" hidden="1" outlineLevel="1" x14ac:dyDescent="0.25">
      <c r="B205" s="46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</row>
    <row r="206" spans="2:19" ht="15.75" hidden="1" outlineLevel="1" x14ac:dyDescent="0.25">
      <c r="B206" s="46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</row>
    <row r="207" spans="2:19" ht="15.75" hidden="1" outlineLevel="1" x14ac:dyDescent="0.25">
      <c r="B207" s="46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</row>
    <row r="208" spans="2:19" ht="15.75" hidden="1" outlineLevel="1" x14ac:dyDescent="0.25">
      <c r="B208" s="46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</row>
    <row r="209" spans="2:19" ht="15.75" hidden="1" outlineLevel="1" x14ac:dyDescent="0.25">
      <c r="B209" s="46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</row>
    <row r="210" spans="2:19" ht="15.75" hidden="1" outlineLevel="1" x14ac:dyDescent="0.25">
      <c r="B210" s="46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</row>
    <row r="211" spans="2:19" ht="15.75" hidden="1" outlineLevel="1" x14ac:dyDescent="0.25">
      <c r="B211" s="46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</row>
    <row r="212" spans="2:19" ht="15.75" hidden="1" outlineLevel="1" x14ac:dyDescent="0.25">
      <c r="B212" s="46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"/>
    </row>
    <row r="213" spans="2:19" ht="15.75" hidden="1" outlineLevel="1" x14ac:dyDescent="0.25">
      <c r="B213" s="46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</row>
    <row r="214" spans="2:19" hidden="1" outlineLevel="1" x14ac:dyDescent="0.25">
      <c r="B214" s="53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5"/>
      <c r="Q214" s="55"/>
      <c r="R214" s="55"/>
    </row>
    <row r="215" spans="2:19" ht="15.75" hidden="1" outlineLevel="1" x14ac:dyDescent="0.25">
      <c r="B215" s="46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</row>
    <row r="216" spans="2:19" ht="15.75" hidden="1" outlineLevel="1" x14ac:dyDescent="0.25">
      <c r="B216" s="46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0"/>
      <c r="Q216" s="10"/>
      <c r="R216" s="10"/>
    </row>
    <row r="217" spans="2:19" ht="15.75" hidden="1" outlineLevel="1" x14ac:dyDescent="0.25">
      <c r="B217" s="46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</row>
    <row r="218" spans="2:19" ht="15.75" hidden="1" outlineLevel="1" x14ac:dyDescent="0.25">
      <c r="B218" s="4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</row>
    <row r="219" spans="2:19" hidden="1" outlineLevel="1" x14ac:dyDescent="0.25"/>
    <row r="220" spans="2:19" ht="18.75" hidden="1" outlineLevel="1" x14ac:dyDescent="0.25">
      <c r="B220" s="51"/>
    </row>
    <row r="221" spans="2:19" hidden="1" outlineLevel="1" x14ac:dyDescent="0.25">
      <c r="B221" s="52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517"/>
      <c r="Q221" s="517"/>
      <c r="R221" s="517"/>
    </row>
    <row r="222" spans="2:19" hidden="1" outlineLevel="1" x14ac:dyDescent="0.25">
      <c r="B222" s="53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0"/>
      <c r="Q222" s="50"/>
      <c r="R222" s="50"/>
    </row>
    <row r="223" spans="2:19" ht="15.75" hidden="1" outlineLevel="1" x14ac:dyDescent="0.25">
      <c r="B223" s="46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</row>
    <row r="224" spans="2:19" ht="15.75" hidden="1" outlineLevel="1" x14ac:dyDescent="0.25">
      <c r="B224" s="46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</row>
    <row r="225" spans="2:19" ht="15.75" hidden="1" outlineLevel="1" x14ac:dyDescent="0.25">
      <c r="B225" s="46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</row>
    <row r="226" spans="2:19" ht="15.75" hidden="1" outlineLevel="1" x14ac:dyDescent="0.25">
      <c r="B226" s="46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</row>
    <row r="227" spans="2:19" ht="15.75" hidden="1" outlineLevel="1" x14ac:dyDescent="0.25">
      <c r="B227" s="46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</row>
    <row r="228" spans="2:19" ht="15.75" hidden="1" outlineLevel="1" x14ac:dyDescent="0.25">
      <c r="B228" s="46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</row>
    <row r="229" spans="2:19" ht="15.75" hidden="1" outlineLevel="1" x14ac:dyDescent="0.25">
      <c r="B229" s="46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</row>
    <row r="230" spans="2:19" ht="15.75" hidden="1" outlineLevel="1" x14ac:dyDescent="0.25">
      <c r="B230" s="46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"/>
    </row>
    <row r="231" spans="2:19" ht="15.75" hidden="1" outlineLevel="1" x14ac:dyDescent="0.25">
      <c r="B231" s="46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</row>
    <row r="232" spans="2:19" hidden="1" outlineLevel="1" x14ac:dyDescent="0.25">
      <c r="B232" s="53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5"/>
      <c r="Q232" s="55"/>
      <c r="R232" s="55"/>
    </row>
    <row r="233" spans="2:19" ht="15.75" hidden="1" outlineLevel="1" x14ac:dyDescent="0.25">
      <c r="B233" s="46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</row>
    <row r="234" spans="2:19" ht="15.75" hidden="1" outlineLevel="1" x14ac:dyDescent="0.25">
      <c r="B234" s="46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0"/>
      <c r="Q234" s="10"/>
      <c r="R234" s="10"/>
    </row>
    <row r="235" spans="2:19" ht="15.75" hidden="1" outlineLevel="1" x14ac:dyDescent="0.25">
      <c r="B235" s="46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</row>
    <row r="236" spans="2:19" ht="15.75" hidden="1" outlineLevel="1" x14ac:dyDescent="0.25">
      <c r="B236" s="4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</row>
    <row r="237" spans="2:19" hidden="1" outlineLevel="1" x14ac:dyDescent="0.25"/>
    <row r="238" spans="2:19" ht="18.75" hidden="1" outlineLevel="1" x14ac:dyDescent="0.25">
      <c r="B238" s="51"/>
    </row>
    <row r="239" spans="2:19" hidden="1" outlineLevel="1" x14ac:dyDescent="0.25">
      <c r="B239" s="52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517"/>
      <c r="Q239" s="517"/>
      <c r="R239" s="517"/>
    </row>
    <row r="240" spans="2:19" hidden="1" outlineLevel="1" x14ac:dyDescent="0.25">
      <c r="B240" s="53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0"/>
      <c r="Q240" s="50"/>
      <c r="R240" s="50"/>
    </row>
    <row r="241" spans="2:19" ht="15.75" hidden="1" outlineLevel="1" x14ac:dyDescent="0.25">
      <c r="B241" s="46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</row>
    <row r="242" spans="2:19" ht="15.75" hidden="1" outlineLevel="1" x14ac:dyDescent="0.25">
      <c r="B242" s="46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</row>
    <row r="243" spans="2:19" ht="15.75" hidden="1" outlineLevel="1" x14ac:dyDescent="0.25">
      <c r="B243" s="46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</row>
    <row r="244" spans="2:19" ht="15.75" hidden="1" outlineLevel="1" x14ac:dyDescent="0.25">
      <c r="B244" s="46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</row>
    <row r="245" spans="2:19" ht="15.75" hidden="1" outlineLevel="1" x14ac:dyDescent="0.25">
      <c r="B245" s="46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</row>
    <row r="246" spans="2:19" ht="15.75" hidden="1" outlineLevel="1" x14ac:dyDescent="0.25">
      <c r="B246" s="46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</row>
    <row r="247" spans="2:19" ht="15.75" hidden="1" outlineLevel="1" x14ac:dyDescent="0.25">
      <c r="B247" s="46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</row>
    <row r="248" spans="2:19" ht="15.75" hidden="1" outlineLevel="1" x14ac:dyDescent="0.25">
      <c r="B248" s="46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"/>
    </row>
    <row r="249" spans="2:19" ht="15.75" hidden="1" outlineLevel="1" x14ac:dyDescent="0.25">
      <c r="B249" s="46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</row>
    <row r="250" spans="2:19" hidden="1" outlineLevel="1" x14ac:dyDescent="0.25">
      <c r="B250" s="53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5"/>
      <c r="Q250" s="55"/>
      <c r="R250" s="55"/>
    </row>
    <row r="251" spans="2:19" ht="15.75" hidden="1" outlineLevel="1" x14ac:dyDescent="0.25">
      <c r="B251" s="46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</row>
    <row r="252" spans="2:19" ht="15.75" hidden="1" outlineLevel="1" x14ac:dyDescent="0.25">
      <c r="B252" s="46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0"/>
      <c r="Q252" s="10"/>
      <c r="R252" s="10"/>
    </row>
    <row r="253" spans="2:19" ht="15.75" hidden="1" outlineLevel="1" x14ac:dyDescent="0.25">
      <c r="B253" s="46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</row>
    <row r="254" spans="2:19" ht="15.75" hidden="1" outlineLevel="1" x14ac:dyDescent="0.25">
      <c r="B254" s="4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</row>
    <row r="255" spans="2:19" hidden="1" outlineLevel="1" x14ac:dyDescent="0.25"/>
    <row r="256" spans="2:19" ht="18.75" hidden="1" outlineLevel="1" x14ac:dyDescent="0.25">
      <c r="B256" s="51"/>
    </row>
    <row r="257" spans="2:19" hidden="1" outlineLevel="1" x14ac:dyDescent="0.25">
      <c r="B257" s="52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517"/>
      <c r="Q257" s="517"/>
      <c r="R257" s="517"/>
    </row>
    <row r="258" spans="2:19" hidden="1" outlineLevel="1" x14ac:dyDescent="0.25">
      <c r="B258" s="53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0"/>
      <c r="Q258" s="50"/>
      <c r="R258" s="50"/>
    </row>
    <row r="259" spans="2:19" ht="15.75" hidden="1" outlineLevel="1" x14ac:dyDescent="0.25">
      <c r="B259" s="46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</row>
    <row r="260" spans="2:19" ht="15.75" hidden="1" outlineLevel="1" x14ac:dyDescent="0.25">
      <c r="B260" s="46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</row>
    <row r="261" spans="2:19" ht="15.75" hidden="1" outlineLevel="1" x14ac:dyDescent="0.25">
      <c r="B261" s="46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</row>
    <row r="262" spans="2:19" ht="15.75" hidden="1" outlineLevel="1" x14ac:dyDescent="0.25">
      <c r="B262" s="46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</row>
    <row r="263" spans="2:19" ht="15.75" hidden="1" outlineLevel="1" x14ac:dyDescent="0.25">
      <c r="B263" s="46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</row>
    <row r="264" spans="2:19" ht="15.75" hidden="1" outlineLevel="1" x14ac:dyDescent="0.25">
      <c r="B264" s="46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</row>
    <row r="265" spans="2:19" ht="15.75" hidden="1" outlineLevel="1" x14ac:dyDescent="0.25">
      <c r="B265" s="46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</row>
    <row r="266" spans="2:19" ht="15.75" hidden="1" outlineLevel="1" x14ac:dyDescent="0.25">
      <c r="B266" s="46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"/>
    </row>
    <row r="267" spans="2:19" ht="15.75" hidden="1" outlineLevel="1" x14ac:dyDescent="0.25">
      <c r="B267" s="46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</row>
    <row r="268" spans="2:19" hidden="1" outlineLevel="1" x14ac:dyDescent="0.25">
      <c r="B268" s="53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5"/>
      <c r="Q268" s="55"/>
      <c r="R268" s="55"/>
    </row>
    <row r="269" spans="2:19" ht="15.75" hidden="1" outlineLevel="1" x14ac:dyDescent="0.25">
      <c r="B269" s="46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</row>
    <row r="270" spans="2:19" ht="15.75" hidden="1" outlineLevel="1" x14ac:dyDescent="0.25">
      <c r="B270" s="46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0"/>
      <c r="Q270" s="10"/>
      <c r="R270" s="10"/>
    </row>
    <row r="271" spans="2:19" ht="15.75" hidden="1" outlineLevel="1" x14ac:dyDescent="0.25">
      <c r="B271" s="46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</row>
    <row r="272" spans="2:19" ht="15.75" hidden="1" outlineLevel="1" x14ac:dyDescent="0.25">
      <c r="B272" s="4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</row>
    <row r="273" spans="2:19" collapsed="1" x14ac:dyDescent="0.25"/>
    <row r="275" spans="2:19" ht="18.75" x14ac:dyDescent="0.25">
      <c r="B275" s="51"/>
    </row>
    <row r="276" spans="2:19" x14ac:dyDescent="0.25">
      <c r="B276" s="52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517"/>
      <c r="Q276" s="517"/>
      <c r="R276" s="517"/>
    </row>
    <row r="277" spans="2:19" x14ac:dyDescent="0.25">
      <c r="B277" s="53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0"/>
      <c r="Q277" s="50"/>
      <c r="R277" s="50"/>
    </row>
    <row r="278" spans="2:19" ht="15.75" x14ac:dyDescent="0.25">
      <c r="B278" s="46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</row>
    <row r="279" spans="2:19" ht="15.75" x14ac:dyDescent="0.25">
      <c r="B279" s="46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</row>
    <row r="280" spans="2:19" ht="15.75" x14ac:dyDescent="0.25">
      <c r="B280" s="46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</row>
    <row r="281" spans="2:19" ht="15.75" x14ac:dyDescent="0.25">
      <c r="B281" s="46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</row>
    <row r="282" spans="2:19" ht="15.75" x14ac:dyDescent="0.25">
      <c r="B282" s="46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</row>
    <row r="283" spans="2:19" ht="15.75" x14ac:dyDescent="0.25">
      <c r="B283" s="46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</row>
    <row r="284" spans="2:19" ht="15.75" x14ac:dyDescent="0.25">
      <c r="B284" s="46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</row>
    <row r="285" spans="2:19" ht="15.75" x14ac:dyDescent="0.25">
      <c r="B285" s="46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"/>
    </row>
    <row r="286" spans="2:19" ht="15.75" x14ac:dyDescent="0.25">
      <c r="B286" s="46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</row>
    <row r="287" spans="2:19" x14ac:dyDescent="0.25">
      <c r="B287" s="53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5"/>
      <c r="Q287" s="55"/>
      <c r="R287" s="55"/>
    </row>
    <row r="288" spans="2:19" ht="15.75" x14ac:dyDescent="0.25">
      <c r="B288" s="46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</row>
    <row r="289" spans="2:18" ht="15.75" x14ac:dyDescent="0.25">
      <c r="B289" s="46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0"/>
      <c r="Q289" s="10"/>
      <c r="R289" s="10"/>
    </row>
    <row r="290" spans="2:18" ht="15.75" x14ac:dyDescent="0.25">
      <c r="B290" s="46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</row>
  </sheetData>
  <mergeCells count="15">
    <mergeCell ref="P25:R25"/>
    <mergeCell ref="P43:R43"/>
    <mergeCell ref="P60:R60"/>
    <mergeCell ref="P78:R78"/>
    <mergeCell ref="P96:R96"/>
    <mergeCell ref="P221:R221"/>
    <mergeCell ref="P239:R239"/>
    <mergeCell ref="P257:R257"/>
    <mergeCell ref="P276:R276"/>
    <mergeCell ref="P114:R114"/>
    <mergeCell ref="P132:R132"/>
    <mergeCell ref="P149:R149"/>
    <mergeCell ref="P167:R167"/>
    <mergeCell ref="P186:R186"/>
    <mergeCell ref="P203:R203"/>
  </mergeCells>
  <conditionalFormatting sqref="C29:O35 C37:O39">
    <cfRule type="cellIs" dxfId="89" priority="45" operator="lessThan">
      <formula>0</formula>
    </cfRule>
  </conditionalFormatting>
  <conditionalFormatting sqref="C47:O53 C55:O57">
    <cfRule type="cellIs" dxfId="88" priority="42" operator="lessThan">
      <formula>0</formula>
    </cfRule>
  </conditionalFormatting>
  <conditionalFormatting sqref="C64:O70 C72:O74">
    <cfRule type="cellIs" dxfId="87" priority="39" operator="lessThan">
      <formula>0</formula>
    </cfRule>
  </conditionalFormatting>
  <conditionalFormatting sqref="C82:O88 C90:O92">
    <cfRule type="cellIs" dxfId="86" priority="36" operator="lessThan">
      <formula>0</formula>
    </cfRule>
  </conditionalFormatting>
  <conditionalFormatting sqref="C100:O106 C108:O110">
    <cfRule type="cellIs" dxfId="85" priority="33" operator="lessThan">
      <formula>0</formula>
    </cfRule>
  </conditionalFormatting>
  <conditionalFormatting sqref="C118:O124 C126:O128">
    <cfRule type="cellIs" dxfId="84" priority="30" operator="lessThan">
      <formula>0</formula>
    </cfRule>
  </conditionalFormatting>
  <conditionalFormatting sqref="C136:O142 C144:O146">
    <cfRule type="cellIs" dxfId="83" priority="27" operator="lessThan">
      <formula>0</formula>
    </cfRule>
  </conditionalFormatting>
  <conditionalFormatting sqref="C153:O159 C161:O163">
    <cfRule type="cellIs" dxfId="82" priority="24" operator="lessThan">
      <formula>0</formula>
    </cfRule>
  </conditionalFormatting>
  <conditionalFormatting sqref="C171:O177 C179:O181">
    <cfRule type="cellIs" dxfId="81" priority="21" operator="lessThan">
      <formula>0</formula>
    </cfRule>
  </conditionalFormatting>
  <conditionalFormatting sqref="C190:O196 C198:O200">
    <cfRule type="cellIs" dxfId="80" priority="18" operator="lessThan">
      <formula>0</formula>
    </cfRule>
  </conditionalFormatting>
  <conditionalFormatting sqref="C207:O213 C215:O217">
    <cfRule type="cellIs" dxfId="79" priority="15" operator="lessThan">
      <formula>0</formula>
    </cfRule>
  </conditionalFormatting>
  <conditionalFormatting sqref="C225:O231 C233:O235">
    <cfRule type="cellIs" dxfId="78" priority="12" operator="lessThan">
      <formula>0</formula>
    </cfRule>
  </conditionalFormatting>
  <conditionalFormatting sqref="C243:O249 C251:O253">
    <cfRule type="cellIs" dxfId="77" priority="9" operator="lessThan">
      <formula>0</formula>
    </cfRule>
  </conditionalFormatting>
  <conditionalFormatting sqref="C261:O267 C269:O271">
    <cfRule type="cellIs" dxfId="76" priority="6" operator="lessThan">
      <formula>0</formula>
    </cfRule>
  </conditionalFormatting>
  <conditionalFormatting sqref="C280:O286 C288:O290">
    <cfRule type="cellIs" dxfId="75" priority="3" operator="lessThan">
      <formula>0</formula>
    </cfRule>
  </conditionalFormatting>
  <conditionalFormatting sqref="P29:R29 P32:R32 P35:R36">
    <cfRule type="cellIs" dxfId="74" priority="44" operator="lessThan">
      <formula>0</formula>
    </cfRule>
  </conditionalFormatting>
  <conditionalFormatting sqref="P39:R39">
    <cfRule type="cellIs" dxfId="73" priority="43" operator="lessThan">
      <formula>0</formula>
    </cfRule>
  </conditionalFormatting>
  <conditionalFormatting sqref="P47:R47 P50:R50 P53:R54">
    <cfRule type="cellIs" dxfId="72" priority="41" operator="lessThan">
      <formula>0</formula>
    </cfRule>
  </conditionalFormatting>
  <conditionalFormatting sqref="P57:R57">
    <cfRule type="cellIs" dxfId="71" priority="40" operator="lessThan">
      <formula>0</formula>
    </cfRule>
  </conditionalFormatting>
  <conditionalFormatting sqref="P64:R64 P67:R67 P70:R71">
    <cfRule type="cellIs" dxfId="70" priority="38" operator="lessThan">
      <formula>0</formula>
    </cfRule>
  </conditionalFormatting>
  <conditionalFormatting sqref="P74:R74">
    <cfRule type="cellIs" dxfId="69" priority="37" operator="lessThan">
      <formula>0</formula>
    </cfRule>
  </conditionalFormatting>
  <conditionalFormatting sqref="P82:R82 P85:R85 P88:R89">
    <cfRule type="cellIs" dxfId="68" priority="35" operator="lessThan">
      <formula>0</formula>
    </cfRule>
  </conditionalFormatting>
  <conditionalFormatting sqref="P92:R92">
    <cfRule type="cellIs" dxfId="67" priority="34" operator="lessThan">
      <formula>0</formula>
    </cfRule>
  </conditionalFormatting>
  <conditionalFormatting sqref="P100:R100 P103:R103 P106:R107">
    <cfRule type="cellIs" dxfId="66" priority="32" operator="lessThan">
      <formula>0</formula>
    </cfRule>
  </conditionalFormatting>
  <conditionalFormatting sqref="P110:R110">
    <cfRule type="cellIs" dxfId="65" priority="31" operator="lessThan">
      <formula>0</formula>
    </cfRule>
  </conditionalFormatting>
  <conditionalFormatting sqref="P118:R118 P121:R121 P124:R125">
    <cfRule type="cellIs" dxfId="64" priority="29" operator="lessThan">
      <formula>0</formula>
    </cfRule>
  </conditionalFormatting>
  <conditionalFormatting sqref="P128:R128">
    <cfRule type="cellIs" dxfId="63" priority="28" operator="lessThan">
      <formula>0</formula>
    </cfRule>
  </conditionalFormatting>
  <conditionalFormatting sqref="P136:R136 P139:R139 P142:R143">
    <cfRule type="cellIs" dxfId="62" priority="26" operator="lessThan">
      <formula>0</formula>
    </cfRule>
  </conditionalFormatting>
  <conditionalFormatting sqref="P146:R146">
    <cfRule type="cellIs" dxfId="61" priority="25" operator="lessThan">
      <formula>0</formula>
    </cfRule>
  </conditionalFormatting>
  <conditionalFormatting sqref="P153:R153 P156:R156 P159:R160">
    <cfRule type="cellIs" dxfId="60" priority="23" operator="lessThan">
      <formula>0</formula>
    </cfRule>
  </conditionalFormatting>
  <conditionalFormatting sqref="P163:R163">
    <cfRule type="cellIs" dxfId="59" priority="22" operator="lessThan">
      <formula>0</formula>
    </cfRule>
  </conditionalFormatting>
  <conditionalFormatting sqref="P171:R171 P174:R174 P177:R178">
    <cfRule type="cellIs" dxfId="58" priority="20" operator="lessThan">
      <formula>0</formula>
    </cfRule>
  </conditionalFormatting>
  <conditionalFormatting sqref="P181:R181">
    <cfRule type="cellIs" dxfId="57" priority="19" operator="lessThan">
      <formula>0</formula>
    </cfRule>
  </conditionalFormatting>
  <conditionalFormatting sqref="P190:R190 P193:R193 P196:R197">
    <cfRule type="cellIs" dxfId="56" priority="17" operator="lessThan">
      <formula>0</formula>
    </cfRule>
  </conditionalFormatting>
  <conditionalFormatting sqref="P200:R200">
    <cfRule type="cellIs" dxfId="55" priority="16" operator="lessThan">
      <formula>0</formula>
    </cfRule>
  </conditionalFormatting>
  <conditionalFormatting sqref="P207:R207 P210:R210 P213:R214">
    <cfRule type="cellIs" dxfId="54" priority="14" operator="lessThan">
      <formula>0</formula>
    </cfRule>
  </conditionalFormatting>
  <conditionalFormatting sqref="P217:R217">
    <cfRule type="cellIs" dxfId="53" priority="13" operator="lessThan">
      <formula>0</formula>
    </cfRule>
  </conditionalFormatting>
  <conditionalFormatting sqref="P225:R225 P228:R228 P231:R232">
    <cfRule type="cellIs" dxfId="52" priority="11" operator="lessThan">
      <formula>0</formula>
    </cfRule>
  </conditionalFormatting>
  <conditionalFormatting sqref="P235:R235">
    <cfRule type="cellIs" dxfId="51" priority="10" operator="lessThan">
      <formula>0</formula>
    </cfRule>
  </conditionalFormatting>
  <conditionalFormatting sqref="P243:R243 P246:R246 P249:R250">
    <cfRule type="cellIs" dxfId="50" priority="8" operator="lessThan">
      <formula>0</formula>
    </cfRule>
  </conditionalFormatting>
  <conditionalFormatting sqref="P253:R253">
    <cfRule type="cellIs" dxfId="49" priority="7" operator="lessThan">
      <formula>0</formula>
    </cfRule>
  </conditionalFormatting>
  <conditionalFormatting sqref="P261:R261 P264:R264 P267:R268">
    <cfRule type="cellIs" dxfId="48" priority="5" operator="lessThan">
      <formula>0</formula>
    </cfRule>
  </conditionalFormatting>
  <conditionalFormatting sqref="P271:R271">
    <cfRule type="cellIs" dxfId="47" priority="4" operator="lessThan">
      <formula>0</formula>
    </cfRule>
  </conditionalFormatting>
  <conditionalFormatting sqref="P280:R280 P283:R283 P286:R287">
    <cfRule type="cellIs" dxfId="46" priority="2" operator="lessThan">
      <formula>0</formula>
    </cfRule>
  </conditionalFormatting>
  <conditionalFormatting sqref="P290:R290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7ED3D-7DF7-4A95-8B0A-38FD4540309A}">
  <sheetPr codeName="Sheet12"/>
  <dimension ref="B2:I92"/>
  <sheetViews>
    <sheetView showGridLines="0" zoomScale="40" zoomScaleNormal="40" workbookViewId="0">
      <selection activeCell="I34" sqref="I34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140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2" spans="2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x14ac:dyDescent="0.3">
      <c r="B62" s="323" t="s">
        <v>358</v>
      </c>
      <c r="I62" s="323" t="s">
        <v>359</v>
      </c>
    </row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CDD51-FB8D-4BAF-AE57-52281696533C}">
  <sheetPr codeName="Sheet13"/>
  <dimension ref="B2:I92"/>
  <sheetViews>
    <sheetView showGridLines="0" zoomScale="40" zoomScaleNormal="40" workbookViewId="0">
      <selection activeCell="I32" sqref="I32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28515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2" spans="2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x14ac:dyDescent="0.3">
      <c r="B62" s="323" t="s">
        <v>358</v>
      </c>
      <c r="I62" s="323" t="s">
        <v>359</v>
      </c>
    </row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02637-9313-4B5B-A85D-7F3C21B9524B}">
  <sheetPr codeName="Sheet14"/>
  <dimension ref="B2:AA95"/>
  <sheetViews>
    <sheetView showGridLines="0" zoomScale="40" zoomScaleNormal="40" workbookViewId="0">
      <selection activeCell="Q45" sqref="Q45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140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2" spans="2:21" ht="18.75" x14ac:dyDescent="0.25">
      <c r="B2" s="324" t="s">
        <v>1</v>
      </c>
    </row>
    <row r="3" spans="2:21" x14ac:dyDescent="0.25">
      <c r="Q3" s="518" t="s">
        <v>765</v>
      </c>
      <c r="R3" s="518"/>
      <c r="S3" s="518"/>
      <c r="T3" s="518"/>
      <c r="U3" s="518"/>
    </row>
    <row r="4" spans="2:21" x14ac:dyDescent="0.25">
      <c r="Q4" s="518"/>
      <c r="R4" s="518"/>
      <c r="S4" s="518"/>
      <c r="T4" s="518"/>
      <c r="U4" s="518"/>
    </row>
    <row r="5" spans="2:21" x14ac:dyDescent="0.25">
      <c r="Q5" t="s">
        <v>766</v>
      </c>
    </row>
    <row r="32" spans="2:2" ht="18.75" x14ac:dyDescent="0.3">
      <c r="B32" s="322" t="s">
        <v>72</v>
      </c>
    </row>
    <row r="62" spans="2:9" ht="18.75" x14ac:dyDescent="0.3">
      <c r="B62" s="323" t="s">
        <v>358</v>
      </c>
      <c r="I62" s="323" t="s">
        <v>359</v>
      </c>
    </row>
    <row r="92" spans="2:27" ht="18.75" x14ac:dyDescent="0.3">
      <c r="B92" s="322" t="s">
        <v>73</v>
      </c>
    </row>
    <row r="93" spans="2:27" x14ac:dyDescent="0.25">
      <c r="Q93" s="518" t="s">
        <v>767</v>
      </c>
      <c r="R93" s="518"/>
      <c r="S93" s="518"/>
      <c r="T93" s="518"/>
      <c r="U93" s="518"/>
      <c r="V93" s="518"/>
      <c r="W93" s="518"/>
      <c r="X93" s="518"/>
      <c r="Y93" s="518"/>
      <c r="Z93" s="518"/>
      <c r="AA93" s="518"/>
    </row>
    <row r="94" spans="2:27" x14ac:dyDescent="0.25">
      <c r="Q94" s="518"/>
      <c r="R94" s="518"/>
      <c r="S94" s="518"/>
      <c r="T94" s="518"/>
      <c r="U94" s="518"/>
      <c r="V94" s="518"/>
      <c r="W94" s="518"/>
      <c r="X94" s="518"/>
      <c r="Y94" s="518"/>
      <c r="Z94" s="518"/>
      <c r="AA94" s="518"/>
    </row>
    <row r="95" spans="2:27" x14ac:dyDescent="0.25">
      <c r="Q95" t="s">
        <v>768</v>
      </c>
    </row>
  </sheetData>
  <mergeCells count="2">
    <mergeCell ref="Q3:U4"/>
    <mergeCell ref="Q93:AA94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FB0A6-43A7-4EAB-B968-26BA49646175}">
  <sheetPr codeName="Sheet15"/>
  <dimension ref="B2:I92"/>
  <sheetViews>
    <sheetView showGridLines="0" zoomScale="40" zoomScaleNormal="40" workbookViewId="0">
      <selection activeCell="S100" sqref="S100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140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2" spans="2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x14ac:dyDescent="0.3">
      <c r="B62" s="323" t="s">
        <v>358</v>
      </c>
      <c r="I62" s="323" t="s">
        <v>359</v>
      </c>
    </row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E2B3E-DBCF-4158-BDAC-CF98533B2273}">
  <sheetPr>
    <tabColor rgb="FF0043CE"/>
  </sheetPr>
  <dimension ref="A1"/>
  <sheetViews>
    <sheetView showGridLines="0" workbookViewId="0">
      <selection activeCell="D3" sqref="D3"/>
    </sheetView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61FB8-0F25-4578-B477-436EDFF9FE1E}">
  <dimension ref="B2:I155"/>
  <sheetViews>
    <sheetView showGridLines="0" zoomScale="40" zoomScaleNormal="40" workbookViewId="0">
      <selection activeCell="J131" sqref="J131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28515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2" spans="2:2" ht="18.75" x14ac:dyDescent="0.25">
      <c r="B2" s="324" t="s">
        <v>1</v>
      </c>
    </row>
    <row r="32" spans="2:2" ht="18.75" hidden="1" x14ac:dyDescent="0.3">
      <c r="B32" s="322" t="s">
        <v>72</v>
      </c>
    </row>
    <row r="33" hidden="1" x14ac:dyDescent="0.25"/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2:9" hidden="1" x14ac:dyDescent="0.25"/>
    <row r="50" spans="2:9" hidden="1" x14ac:dyDescent="0.25"/>
    <row r="51" spans="2:9" hidden="1" x14ac:dyDescent="0.25"/>
    <row r="52" spans="2:9" hidden="1" x14ac:dyDescent="0.25"/>
    <row r="53" spans="2:9" hidden="1" x14ac:dyDescent="0.25"/>
    <row r="54" spans="2:9" hidden="1" x14ac:dyDescent="0.25"/>
    <row r="55" spans="2:9" hidden="1" x14ac:dyDescent="0.25"/>
    <row r="56" spans="2:9" hidden="1" x14ac:dyDescent="0.25"/>
    <row r="57" spans="2:9" hidden="1" x14ac:dyDescent="0.25"/>
    <row r="58" spans="2:9" hidden="1" x14ac:dyDescent="0.25"/>
    <row r="59" spans="2:9" hidden="1" x14ac:dyDescent="0.25"/>
    <row r="60" spans="2:9" hidden="1" x14ac:dyDescent="0.25"/>
    <row r="61" spans="2:9" hidden="1" x14ac:dyDescent="0.25"/>
    <row r="62" spans="2:9" ht="18.75" x14ac:dyDescent="0.3">
      <c r="B62" s="323" t="s">
        <v>358</v>
      </c>
      <c r="I62" s="323" t="s">
        <v>359</v>
      </c>
    </row>
    <row r="92" spans="2:2" ht="18.75" hidden="1" x14ac:dyDescent="0.3">
      <c r="B92" s="322" t="s">
        <v>73</v>
      </c>
    </row>
    <row r="93" spans="2:2" hidden="1" x14ac:dyDescent="0.25"/>
    <row r="94" spans="2:2" hidden="1" x14ac:dyDescent="0.25"/>
    <row r="95" spans="2:2" hidden="1" x14ac:dyDescent="0.25"/>
    <row r="96" spans="2:2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spans="2:2" hidden="1" x14ac:dyDescent="0.25"/>
    <row r="114" spans="2:2" hidden="1" x14ac:dyDescent="0.25"/>
    <row r="115" spans="2:2" hidden="1" x14ac:dyDescent="0.25"/>
    <row r="116" spans="2:2" hidden="1" x14ac:dyDescent="0.25"/>
    <row r="117" spans="2:2" hidden="1" x14ac:dyDescent="0.25"/>
    <row r="118" spans="2:2" hidden="1" x14ac:dyDescent="0.25"/>
    <row r="119" spans="2:2" hidden="1" x14ac:dyDescent="0.25"/>
    <row r="120" spans="2:2" hidden="1" x14ac:dyDescent="0.25"/>
    <row r="121" spans="2:2" hidden="1" x14ac:dyDescent="0.25"/>
    <row r="122" spans="2:2" hidden="1" x14ac:dyDescent="0.25"/>
    <row r="123" spans="2:2" hidden="1" x14ac:dyDescent="0.25"/>
    <row r="124" spans="2:2" ht="18.75" x14ac:dyDescent="0.25">
      <c r="B124" s="324" t="s">
        <v>1</v>
      </c>
    </row>
    <row r="155" spans="2:9" ht="18.75" x14ac:dyDescent="0.3">
      <c r="B155" s="323" t="s">
        <v>358</v>
      </c>
      <c r="I155" s="323" t="s">
        <v>359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C096-52DE-44A8-9865-CA6278691BA9}">
  <dimension ref="B2:I155"/>
  <sheetViews>
    <sheetView showGridLines="0" zoomScale="40" zoomScaleNormal="40" workbookViewId="0">
      <selection activeCell="J131" sqref="J131"/>
    </sheetView>
  </sheetViews>
  <sheetFormatPr defaultRowHeight="15" x14ac:dyDescent="0.25"/>
  <cols>
    <col min="2" max="2" width="55.28515625" customWidth="1"/>
    <col min="3" max="3" width="16.7109375" customWidth="1"/>
    <col min="4" max="8" width="13.140625" bestFit="1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28515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2" spans="2:2" ht="18.75" x14ac:dyDescent="0.25">
      <c r="B2" s="324" t="s">
        <v>1</v>
      </c>
    </row>
    <row r="32" spans="2:2" ht="18.75" hidden="1" x14ac:dyDescent="0.3">
      <c r="B32" s="322" t="s">
        <v>72</v>
      </c>
    </row>
    <row r="33" hidden="1" x14ac:dyDescent="0.25"/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spans="2:9" hidden="1" x14ac:dyDescent="0.25"/>
    <row r="50" spans="2:9" hidden="1" x14ac:dyDescent="0.25"/>
    <row r="51" spans="2:9" hidden="1" x14ac:dyDescent="0.25"/>
    <row r="52" spans="2:9" hidden="1" x14ac:dyDescent="0.25"/>
    <row r="53" spans="2:9" hidden="1" x14ac:dyDescent="0.25"/>
    <row r="54" spans="2:9" hidden="1" x14ac:dyDescent="0.25"/>
    <row r="55" spans="2:9" hidden="1" x14ac:dyDescent="0.25"/>
    <row r="56" spans="2:9" hidden="1" x14ac:dyDescent="0.25"/>
    <row r="57" spans="2:9" hidden="1" x14ac:dyDescent="0.25"/>
    <row r="58" spans="2:9" hidden="1" x14ac:dyDescent="0.25"/>
    <row r="59" spans="2:9" hidden="1" x14ac:dyDescent="0.25"/>
    <row r="60" spans="2:9" hidden="1" x14ac:dyDescent="0.25"/>
    <row r="61" spans="2:9" hidden="1" x14ac:dyDescent="0.25"/>
    <row r="62" spans="2:9" ht="18.75" x14ac:dyDescent="0.3">
      <c r="B62" s="323" t="s">
        <v>358</v>
      </c>
      <c r="I62" s="323" t="s">
        <v>359</v>
      </c>
    </row>
    <row r="92" spans="2:2" ht="18.75" hidden="1" x14ac:dyDescent="0.3">
      <c r="B92" s="322" t="s">
        <v>73</v>
      </c>
    </row>
    <row r="93" spans="2:2" hidden="1" x14ac:dyDescent="0.25"/>
    <row r="94" spans="2:2" hidden="1" x14ac:dyDescent="0.25"/>
    <row r="95" spans="2:2" hidden="1" x14ac:dyDescent="0.25"/>
    <row r="96" spans="2:2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spans="2:2" hidden="1" x14ac:dyDescent="0.25"/>
    <row r="114" spans="2:2" hidden="1" x14ac:dyDescent="0.25"/>
    <row r="115" spans="2:2" hidden="1" x14ac:dyDescent="0.25"/>
    <row r="116" spans="2:2" hidden="1" x14ac:dyDescent="0.25"/>
    <row r="117" spans="2:2" hidden="1" x14ac:dyDescent="0.25"/>
    <row r="118" spans="2:2" hidden="1" x14ac:dyDescent="0.25"/>
    <row r="119" spans="2:2" hidden="1" x14ac:dyDescent="0.25"/>
    <row r="120" spans="2:2" hidden="1" x14ac:dyDescent="0.25"/>
    <row r="121" spans="2:2" hidden="1" x14ac:dyDescent="0.25"/>
    <row r="122" spans="2:2" hidden="1" x14ac:dyDescent="0.25"/>
    <row r="123" spans="2:2" hidden="1" x14ac:dyDescent="0.25"/>
    <row r="124" spans="2:2" ht="18.75" x14ac:dyDescent="0.25">
      <c r="B124" s="324" t="s">
        <v>1</v>
      </c>
    </row>
    <row r="155" spans="2:9" ht="18.75" x14ac:dyDescent="0.3">
      <c r="B155" s="323" t="s">
        <v>358</v>
      </c>
      <c r="I155" s="323" t="s">
        <v>359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FCE76-BED1-43F1-BF23-77F9F733DB75}">
  <dimension ref="A1:I92"/>
  <sheetViews>
    <sheetView showGridLines="0" zoomScale="55" zoomScaleNormal="55" workbookViewId="0">
      <selection activeCell="W47" sqref="W47"/>
    </sheetView>
  </sheetViews>
  <sheetFormatPr defaultRowHeight="15" x14ac:dyDescent="0.25"/>
  <cols>
    <col min="1" max="1" width="17.85546875" bestFit="1" customWidth="1"/>
    <col min="2" max="2" width="55.28515625" customWidth="1"/>
    <col min="3" max="3" width="16.7109375" customWidth="1"/>
    <col min="4" max="7" width="13.140625" bestFit="1" customWidth="1"/>
    <col min="8" max="8" width="27.28515625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140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1" spans="1:2" x14ac:dyDescent="0.25">
      <c r="A1" s="47" t="s">
        <v>770</v>
      </c>
      <c r="B1" s="497">
        <v>45869</v>
      </c>
    </row>
    <row r="2" spans="1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hidden="1" x14ac:dyDescent="0.3">
      <c r="B62" s="323" t="s">
        <v>358</v>
      </c>
      <c r="I62" s="323" t="s">
        <v>359</v>
      </c>
    </row>
    <row r="63" spans="2:9" hidden="1" x14ac:dyDescent="0.25"/>
    <row r="64" spans="2:9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2:2" hidden="1" x14ac:dyDescent="0.25"/>
    <row r="82" spans="2:2" hidden="1" x14ac:dyDescent="0.25"/>
    <row r="83" spans="2:2" hidden="1" x14ac:dyDescent="0.25"/>
    <row r="84" spans="2:2" hidden="1" x14ac:dyDescent="0.25"/>
    <row r="85" spans="2:2" hidden="1" x14ac:dyDescent="0.25"/>
    <row r="86" spans="2:2" hidden="1" x14ac:dyDescent="0.25"/>
    <row r="87" spans="2:2" hidden="1" x14ac:dyDescent="0.25"/>
    <row r="88" spans="2:2" hidden="1" x14ac:dyDescent="0.25"/>
    <row r="89" spans="2:2" hidden="1" x14ac:dyDescent="0.25"/>
    <row r="90" spans="2:2" hidden="1" x14ac:dyDescent="0.25"/>
    <row r="91" spans="2:2" hidden="1" x14ac:dyDescent="0.25"/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78B9D-B36A-4C9E-A236-65F32A2A6DB9}">
  <dimension ref="A1:I92"/>
  <sheetViews>
    <sheetView showGridLines="0" zoomScale="55" zoomScaleNormal="55" workbookViewId="0">
      <selection activeCell="I21" sqref="I21"/>
    </sheetView>
  </sheetViews>
  <sheetFormatPr defaultRowHeight="15" x14ac:dyDescent="0.25"/>
  <cols>
    <col min="1" max="1" width="17.85546875" bestFit="1" customWidth="1"/>
    <col min="2" max="2" width="55.28515625" customWidth="1"/>
    <col min="3" max="3" width="16.7109375" customWidth="1"/>
    <col min="4" max="7" width="13.140625" bestFit="1" customWidth="1"/>
    <col min="8" max="8" width="27.28515625" customWidth="1"/>
    <col min="9" max="9" width="50" bestFit="1" customWidth="1"/>
    <col min="10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6" width="9.140625" customWidth="1"/>
    <col min="17" max="17" width="50.140625" customWidth="1"/>
    <col min="18" max="18" width="16" customWidth="1"/>
    <col min="21" max="21" width="14.85546875" customWidth="1"/>
    <col min="28" max="28" width="55.85546875" bestFit="1" customWidth="1"/>
  </cols>
  <sheetData>
    <row r="1" spans="1:2" x14ac:dyDescent="0.25">
      <c r="A1" s="47" t="s">
        <v>770</v>
      </c>
      <c r="B1" s="497">
        <v>45869</v>
      </c>
    </row>
    <row r="2" spans="1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hidden="1" x14ac:dyDescent="0.3">
      <c r="B62" s="323" t="s">
        <v>358</v>
      </c>
      <c r="I62" s="323" t="s">
        <v>359</v>
      </c>
    </row>
    <row r="63" spans="2:9" hidden="1" x14ac:dyDescent="0.25"/>
    <row r="64" spans="2:9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2:2" hidden="1" x14ac:dyDescent="0.25"/>
    <row r="82" spans="2:2" hidden="1" x14ac:dyDescent="0.25"/>
    <row r="83" spans="2:2" hidden="1" x14ac:dyDescent="0.25"/>
    <row r="84" spans="2:2" hidden="1" x14ac:dyDescent="0.25"/>
    <row r="85" spans="2:2" hidden="1" x14ac:dyDescent="0.25"/>
    <row r="86" spans="2:2" hidden="1" x14ac:dyDescent="0.25"/>
    <row r="87" spans="2:2" hidden="1" x14ac:dyDescent="0.25"/>
    <row r="88" spans="2:2" hidden="1" x14ac:dyDescent="0.25"/>
    <row r="89" spans="2:2" hidden="1" x14ac:dyDescent="0.25"/>
    <row r="90" spans="2:2" hidden="1" x14ac:dyDescent="0.25"/>
    <row r="91" spans="2:2" hidden="1" x14ac:dyDescent="0.25"/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2B64C-C893-4422-A281-1A5D19CEC86C}">
  <sheetPr codeName="Sheet16">
    <tabColor rgb="FF0043CE"/>
  </sheetPr>
  <dimension ref="A1"/>
  <sheetViews>
    <sheetView showGridLines="0" workbookViewId="0">
      <selection activeCell="D3" sqref="D3"/>
    </sheetView>
  </sheetViews>
  <sheetFormatPr defaultRowHeight="15" x14ac:dyDescent="0.2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C604-4353-4806-8B66-3695708CE6C5}">
  <sheetPr codeName="Sheet17"/>
  <dimension ref="B2:I92"/>
  <sheetViews>
    <sheetView showGridLines="0" zoomScale="40" zoomScaleNormal="40" workbookViewId="0">
      <selection activeCell="I36" sqref="I36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</cols>
  <sheetData>
    <row r="2" spans="2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x14ac:dyDescent="0.3">
      <c r="B62" s="323" t="s">
        <v>358</v>
      </c>
      <c r="I62" s="323" t="s">
        <v>359</v>
      </c>
    </row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8B93-F55A-4735-BCE8-D04721A181B8}">
  <sheetPr codeName="Sheet31"/>
  <dimension ref="B2:I173"/>
  <sheetViews>
    <sheetView showGridLines="0" zoomScale="40" zoomScaleNormal="40" workbookViewId="0">
      <selection activeCell="M33" sqref="M33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</cols>
  <sheetData>
    <row r="2" spans="2:2" ht="18.75" x14ac:dyDescent="0.25">
      <c r="B2" s="324" t="s">
        <v>1</v>
      </c>
    </row>
    <row r="59" spans="2:2" ht="18.75" x14ac:dyDescent="0.3">
      <c r="B59" s="322" t="s">
        <v>72</v>
      </c>
    </row>
    <row r="116" spans="2:9" ht="18.75" x14ac:dyDescent="0.3">
      <c r="B116" s="323" t="s">
        <v>358</v>
      </c>
      <c r="I116" s="323" t="s">
        <v>359</v>
      </c>
    </row>
    <row r="173" spans="2:2" ht="18.75" x14ac:dyDescent="0.3">
      <c r="B173" s="322" t="s">
        <v>73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47814-9EF2-4B13-A7B7-3735B0D2FF41}">
  <sheetPr codeName="Sheet32"/>
  <dimension ref="B2:I92"/>
  <sheetViews>
    <sheetView showGridLines="0" zoomScale="40" zoomScaleNormal="40" workbookViewId="0">
      <selection activeCell="I49" sqref="I49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</cols>
  <sheetData>
    <row r="2" spans="2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x14ac:dyDescent="0.3">
      <c r="B62" s="323" t="s">
        <v>358</v>
      </c>
      <c r="I62" s="323" t="s">
        <v>359</v>
      </c>
    </row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3406-75E7-488C-BD70-A2F0671ECD1F}">
  <sheetPr codeName="Sheet33"/>
  <dimension ref="B2:I92"/>
  <sheetViews>
    <sheetView showGridLines="0" zoomScale="40" zoomScaleNormal="40" workbookViewId="0">
      <selection activeCell="I16" sqref="I16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</cols>
  <sheetData>
    <row r="2" spans="2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x14ac:dyDescent="0.3">
      <c r="B62" s="323" t="s">
        <v>358</v>
      </c>
      <c r="I62" s="323" t="s">
        <v>359</v>
      </c>
    </row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9E205-8D36-4B0F-A405-F94E3EA29063}">
  <sheetPr codeName="Sheet34"/>
  <dimension ref="B2:I92"/>
  <sheetViews>
    <sheetView showGridLines="0" zoomScale="40" zoomScaleNormal="40" workbookViewId="0">
      <selection activeCell="K102" sqref="K102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</cols>
  <sheetData>
    <row r="2" spans="2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x14ac:dyDescent="0.3">
      <c r="B62" s="323" t="s">
        <v>358</v>
      </c>
      <c r="I62" s="323" t="s">
        <v>359</v>
      </c>
    </row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42D07-D96B-4E73-BAB7-E70D2C2DCDE4}">
  <sheetPr codeName="Sheet18"/>
  <dimension ref="B2:I92"/>
  <sheetViews>
    <sheetView showGridLines="0" zoomScale="40" zoomScaleNormal="40" workbookViewId="0">
      <selection activeCell="I94" sqref="I94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</cols>
  <sheetData>
    <row r="2" spans="2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x14ac:dyDescent="0.3">
      <c r="B62" s="323" t="s">
        <v>358</v>
      </c>
      <c r="I62" s="323" t="s">
        <v>359</v>
      </c>
    </row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CFB2F-36C2-4E57-8D53-FEAD844547F2}">
  <sheetPr codeName="Sheet30"/>
  <dimension ref="B2:I92"/>
  <sheetViews>
    <sheetView showGridLines="0" workbookViewId="0">
      <selection activeCell="I32" sqref="I32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</cols>
  <sheetData>
    <row r="2" spans="2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x14ac:dyDescent="0.3">
      <c r="B62" s="323"/>
      <c r="I62" s="323"/>
    </row>
    <row r="92" spans="2:2" ht="18.75" x14ac:dyDescent="0.3">
      <c r="B92" s="322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B0F32-9024-472E-9264-A678CB12205F}">
  <sheetPr codeName="Sheet29"/>
  <dimension ref="B2:I92"/>
  <sheetViews>
    <sheetView showGridLines="0" zoomScale="40" zoomScaleNormal="40" workbookViewId="0">
      <selection activeCell="E132" sqref="E132:E133"/>
    </sheetView>
  </sheetViews>
  <sheetFormatPr defaultRowHeight="15" x14ac:dyDescent="0.25"/>
  <cols>
    <col min="2" max="2" width="55.28515625" customWidth="1"/>
    <col min="3" max="8" width="14.28515625" customWidth="1"/>
    <col min="9" max="9" width="50" customWidth="1"/>
  </cols>
  <sheetData>
    <row r="2" spans="2:2" ht="18.75" x14ac:dyDescent="0.25">
      <c r="B2" s="324" t="s">
        <v>1</v>
      </c>
    </row>
    <row r="32" spans="2:2" ht="18.75" x14ac:dyDescent="0.3">
      <c r="B32" s="322" t="s">
        <v>72</v>
      </c>
    </row>
    <row r="62" spans="2:9" ht="18.75" x14ac:dyDescent="0.3">
      <c r="B62" s="323" t="s">
        <v>358</v>
      </c>
      <c r="I62" s="323" t="s">
        <v>359</v>
      </c>
    </row>
    <row r="92" spans="2:2" ht="18.75" x14ac:dyDescent="0.3">
      <c r="B92" s="322" t="s">
        <v>73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936D1-CB6A-4A10-A36C-E8F17E6D9784}">
  <sheetPr codeName="Sheet28"/>
  <dimension ref="A1:Z57"/>
  <sheetViews>
    <sheetView workbookViewId="0">
      <selection activeCell="E7" sqref="E7"/>
    </sheetView>
  </sheetViews>
  <sheetFormatPr defaultRowHeight="15" x14ac:dyDescent="0.25"/>
  <cols>
    <col min="1" max="1" width="16.28515625" customWidth="1"/>
    <col min="3" max="3" width="16.140625" style="101" bestFit="1" customWidth="1"/>
    <col min="4" max="5" width="12.28515625" style="101" customWidth="1"/>
    <col min="6" max="8" width="12.7109375" style="101" customWidth="1"/>
    <col min="9" max="11" width="9.140625" style="101"/>
    <col min="12" max="12" width="11.28515625" style="101" customWidth="1"/>
    <col min="13" max="13" width="11.140625" style="101" customWidth="1"/>
    <col min="14" max="14" width="13.140625" customWidth="1"/>
    <col min="15" max="15" width="12" customWidth="1"/>
    <col min="16" max="16" width="11.5703125" customWidth="1"/>
    <col min="17" max="17" width="12.42578125" customWidth="1"/>
    <col min="18" max="23" width="16.7109375" customWidth="1"/>
    <col min="24" max="26" width="13.5703125" customWidth="1"/>
  </cols>
  <sheetData>
    <row r="1" spans="2:26" x14ac:dyDescent="0.25">
      <c r="C1" s="514" t="s">
        <v>243</v>
      </c>
      <c r="D1" s="514"/>
      <c r="E1" s="514"/>
      <c r="F1" s="514"/>
      <c r="G1" s="514"/>
      <c r="H1" s="514"/>
      <c r="I1" s="514"/>
      <c r="J1" s="514"/>
      <c r="L1" s="514" t="s">
        <v>244</v>
      </c>
      <c r="M1" s="514"/>
      <c r="N1" s="514"/>
      <c r="O1" s="514"/>
      <c r="P1" s="514"/>
      <c r="Q1" s="514"/>
      <c r="R1" s="514"/>
      <c r="S1" s="514"/>
      <c r="T1" s="514"/>
      <c r="U1" s="514"/>
      <c r="V1" s="514"/>
      <c r="W1" s="514"/>
    </row>
    <row r="3" spans="2:26" x14ac:dyDescent="0.25">
      <c r="C3" s="101" t="s">
        <v>253</v>
      </c>
      <c r="D3" s="101" t="s">
        <v>253</v>
      </c>
      <c r="E3" t="s">
        <v>72</v>
      </c>
      <c r="F3" t="s">
        <v>72</v>
      </c>
      <c r="G3" t="s">
        <v>353</v>
      </c>
      <c r="H3" t="s">
        <v>353</v>
      </c>
      <c r="L3" s="141" t="s">
        <v>253</v>
      </c>
      <c r="M3" s="142" t="s">
        <v>253</v>
      </c>
      <c r="N3" s="142" t="s">
        <v>253</v>
      </c>
      <c r="O3" s="141" t="s">
        <v>253</v>
      </c>
      <c r="P3" s="142" t="s">
        <v>253</v>
      </c>
      <c r="Q3" s="143" t="s">
        <v>253</v>
      </c>
      <c r="R3" s="141" t="s">
        <v>72</v>
      </c>
      <c r="S3" s="142" t="s">
        <v>72</v>
      </c>
      <c r="T3" s="143" t="s">
        <v>72</v>
      </c>
      <c r="U3" s="141" t="s">
        <v>72</v>
      </c>
      <c r="V3" s="142" t="s">
        <v>72</v>
      </c>
      <c r="W3" s="143" t="s">
        <v>72</v>
      </c>
      <c r="X3" s="141" t="s">
        <v>353</v>
      </c>
      <c r="Y3" s="141" t="s">
        <v>353</v>
      </c>
      <c r="Z3" s="141" t="s">
        <v>353</v>
      </c>
    </row>
    <row r="4" spans="2:26" s="144" customFormat="1" ht="45" x14ac:dyDescent="0.25">
      <c r="C4" s="144" t="s">
        <v>295</v>
      </c>
      <c r="D4" s="144" t="s">
        <v>296</v>
      </c>
      <c r="E4" s="144" t="s">
        <v>297</v>
      </c>
      <c r="F4" s="144" t="s">
        <v>298</v>
      </c>
      <c r="G4" t="s">
        <v>480</v>
      </c>
      <c r="H4" t="s">
        <v>481</v>
      </c>
      <c r="L4" s="145" t="s">
        <v>245</v>
      </c>
      <c r="M4" s="146" t="s">
        <v>245</v>
      </c>
      <c r="N4" s="146" t="s">
        <v>245</v>
      </c>
      <c r="O4" s="145" t="s">
        <v>246</v>
      </c>
      <c r="P4" s="146" t="s">
        <v>246</v>
      </c>
      <c r="Q4" s="147" t="s">
        <v>246</v>
      </c>
      <c r="R4" s="145" t="s">
        <v>245</v>
      </c>
      <c r="S4" s="146" t="s">
        <v>245</v>
      </c>
      <c r="T4" s="147" t="s">
        <v>245</v>
      </c>
      <c r="U4" s="145" t="s">
        <v>246</v>
      </c>
      <c r="V4" s="146" t="s">
        <v>246</v>
      </c>
      <c r="W4" s="147" t="s">
        <v>246</v>
      </c>
      <c r="X4" s="145" t="s">
        <v>245</v>
      </c>
      <c r="Y4" s="146" t="s">
        <v>245</v>
      </c>
      <c r="Z4" s="147" t="s">
        <v>245</v>
      </c>
    </row>
    <row r="5" spans="2:26" s="146" customFormat="1" ht="34.5" customHeight="1" x14ac:dyDescent="0.25">
      <c r="B5" s="146" t="s">
        <v>247</v>
      </c>
      <c r="C5" s="146" t="s">
        <v>245</v>
      </c>
      <c r="D5" s="146" t="s">
        <v>246</v>
      </c>
      <c r="E5" s="146" t="s">
        <v>245</v>
      </c>
      <c r="F5" s="146" t="s">
        <v>246</v>
      </c>
      <c r="G5" s="146" t="s">
        <v>245</v>
      </c>
      <c r="H5" s="146" t="s">
        <v>246</v>
      </c>
      <c r="J5" s="148" t="s">
        <v>248</v>
      </c>
      <c r="K5" s="148" t="s">
        <v>249</v>
      </c>
      <c r="L5" s="149" t="s">
        <v>250</v>
      </c>
      <c r="M5" s="148" t="s">
        <v>251</v>
      </c>
      <c r="N5" s="148" t="s">
        <v>252</v>
      </c>
      <c r="O5" s="149" t="s">
        <v>250</v>
      </c>
      <c r="P5" s="148" t="s">
        <v>251</v>
      </c>
      <c r="Q5" s="150" t="s">
        <v>252</v>
      </c>
      <c r="R5" s="149" t="s">
        <v>250</v>
      </c>
      <c r="S5" s="148" t="s">
        <v>251</v>
      </c>
      <c r="T5" s="150" t="s">
        <v>252</v>
      </c>
      <c r="U5" s="149" t="s">
        <v>250</v>
      </c>
      <c r="V5" s="148" t="s">
        <v>251</v>
      </c>
      <c r="W5" s="150" t="s">
        <v>252</v>
      </c>
      <c r="X5" s="149" t="s">
        <v>250</v>
      </c>
      <c r="Y5" s="148" t="s">
        <v>251</v>
      </c>
      <c r="Z5" s="150" t="s">
        <v>252</v>
      </c>
    </row>
    <row r="6" spans="2:26" x14ac:dyDescent="0.25">
      <c r="B6">
        <v>0</v>
      </c>
      <c r="C6" s="151">
        <v>1.0618362022670345</v>
      </c>
      <c r="D6" s="151">
        <v>1.0049410430650461</v>
      </c>
      <c r="E6" s="330">
        <v>1.0976140535761802</v>
      </c>
      <c r="F6" s="151">
        <v>1.0654813329850839</v>
      </c>
      <c r="G6" s="330">
        <v>1.3333333333333333</v>
      </c>
      <c r="H6" s="151">
        <v>1.0654813329850839</v>
      </c>
      <c r="J6" s="101">
        <v>0.25</v>
      </c>
      <c r="K6" s="101">
        <v>1</v>
      </c>
      <c r="L6" s="152" cm="1">
        <f t="array" aca="1" ref="L6:M6" ca="1">LINEST(OFFSET($C$7:$C$8,MAX(ROUNDDOWN($J6-1,0),0),0),OFFSET($B$7:$B$8,MAX(ROUNDDOWN($J6-1,0),0),0))</f>
        <v>-7.7563231413235742E-3</v>
      </c>
      <c r="M6" s="151">
        <f ca="1"/>
        <v>1.0176211552991128</v>
      </c>
      <c r="N6" s="151">
        <f t="shared" ref="N6:N37" ca="1" si="0">M6+L6*$J6</f>
        <v>1.0156820745137818</v>
      </c>
      <c r="O6" s="152" cm="1">
        <f t="array" aca="1" ref="O6:P6" ca="1">LINEST(OFFSET($D$6:$D$7,MAX(ROUNDDOWN($J6-1,0),0),0),OFFSET($B$6:$B$7,MAX(ROUNDDOWN($J6-1,0),0),0))</f>
        <v>0</v>
      </c>
      <c r="P6" s="151">
        <f ca="1"/>
        <v>1.0049410430650461</v>
      </c>
      <c r="Q6" s="151">
        <f t="shared" ref="Q6:Q37" ca="1" si="1">P6+O6*$J6</f>
        <v>1.0049410430650461</v>
      </c>
      <c r="R6" s="152" cm="1">
        <f t="array" aca="1" ref="R6:S6" ca="1">LINEST(OFFSET($E$6:$E$7,MAX(ROUNDDOWN($J6-1,0),0),0),OFFSET($B$6:$B$7,MAX(ROUNDDOWN($J6-1,0),0),0))</f>
        <v>-4.6903390817700806E-2</v>
      </c>
      <c r="S6" s="151">
        <f ca="1"/>
        <v>1.0976140535761802</v>
      </c>
      <c r="T6" s="151">
        <f t="shared" ref="T6:T37" ca="1" si="2">S6+R6*$J6</f>
        <v>1.0858882058717549</v>
      </c>
      <c r="U6" s="152" cm="1">
        <f t="array" aca="1" ref="U6:V6" ca="1">LINEST(OFFSET($F$6:$F$7,MAX(ROUNDDOWN($J6-1,0),0),0),OFFSET($B$6:$B$7,MAX(ROUNDDOWN($J6-1,0),0),0))</f>
        <v>0</v>
      </c>
      <c r="V6" s="151">
        <f ca="1"/>
        <v>1.0654813329850839</v>
      </c>
      <c r="W6" s="151">
        <f t="shared" ref="W6:W37" ca="1" si="3">V6+U6*$J6</f>
        <v>1.0654813329850839</v>
      </c>
      <c r="X6" s="152" cm="1">
        <f t="array" aca="1" ref="X6:Y6" ca="1">LINEST(OFFSET($G$6:$G$7,MAX(ROUNDDOWN($J6-1,0),0),0),OFFSET($B$6:$B$7,MAX(ROUNDDOWN($J6-1,0),0),0))</f>
        <v>-5.1282051282051343E-2</v>
      </c>
      <c r="Y6" s="151">
        <f ca="1"/>
        <v>1.3333333333333333</v>
      </c>
      <c r="Z6" s="151">
        <f ca="1">Y6+X6*$J6</f>
        <v>1.3205128205128205</v>
      </c>
    </row>
    <row r="7" spans="2:26" x14ac:dyDescent="0.25">
      <c r="B7">
        <v>1</v>
      </c>
      <c r="C7" s="151">
        <v>1.0098648321577892</v>
      </c>
      <c r="D7" s="151">
        <v>1.0049410430650461</v>
      </c>
      <c r="E7" s="330">
        <v>1.0507106627584795</v>
      </c>
      <c r="F7" s="151">
        <v>1.0654813329850839</v>
      </c>
      <c r="G7" s="330">
        <v>1.2820512820512819</v>
      </c>
      <c r="H7" s="151">
        <v>1.0654813329850839</v>
      </c>
      <c r="J7" s="101">
        <f t="shared" ref="J7:J57" si="4">J6+0.25</f>
        <v>0.5</v>
      </c>
      <c r="K7" s="101">
        <f t="shared" ref="K7:K57" si="5">K6+1</f>
        <v>2</v>
      </c>
      <c r="L7" s="152" cm="1">
        <f t="array" aca="1" ref="L7:M7" ca="1">LINEST(OFFSET($C$7:$C$8,MAX(ROUNDDOWN($J7-1,0),0),0),OFFSET($B$7:$B$8,MAX(ROUNDDOWN($J7-1,0),0),0))</f>
        <v>-7.7563231413235742E-3</v>
      </c>
      <c r="M7" s="151">
        <f ca="1"/>
        <v>1.0176211552991128</v>
      </c>
      <c r="N7" s="151">
        <f t="shared" ca="1" si="0"/>
        <v>1.013742993728451</v>
      </c>
      <c r="O7" s="152" cm="1">
        <f t="array" aca="1" ref="O7:P7" ca="1">LINEST(OFFSET($D$6:$D$7,MAX(ROUNDDOWN($J7-1,0),0),0),OFFSET($B$6:$B$7,MAX(ROUNDDOWN($J7-1,0),0),0))</f>
        <v>0</v>
      </c>
      <c r="P7" s="151">
        <f ca="1"/>
        <v>1.0049410430650461</v>
      </c>
      <c r="Q7" s="151">
        <f t="shared" ca="1" si="1"/>
        <v>1.0049410430650461</v>
      </c>
      <c r="R7" s="152" cm="1">
        <f t="array" aca="1" ref="R7:S7" ca="1">LINEST(OFFSET($E$6:$E$7,MAX(ROUNDDOWN($J7-1,0),0),0),OFFSET($B$6:$B$7,MAX(ROUNDDOWN($J7-1,0),0),0))</f>
        <v>-4.6903390817700806E-2</v>
      </c>
      <c r="S7" s="151">
        <f ca="1"/>
        <v>1.0976140535761802</v>
      </c>
      <c r="T7" s="151">
        <f t="shared" ca="1" si="2"/>
        <v>1.0741623581673299</v>
      </c>
      <c r="U7" s="152" cm="1">
        <f t="array" aca="1" ref="U7:V7" ca="1">LINEST(OFFSET($F$6:$F$7,MAX(ROUNDDOWN($J7-1,0),0),0),OFFSET($B$6:$B$7,MAX(ROUNDDOWN($J7-1,0),0),0))</f>
        <v>0</v>
      </c>
      <c r="V7" s="151">
        <f ca="1"/>
        <v>1.0654813329850839</v>
      </c>
      <c r="W7" s="151">
        <f t="shared" ca="1" si="3"/>
        <v>1.0654813329850839</v>
      </c>
      <c r="X7" s="152" cm="1">
        <f t="array" aca="1" ref="X7:Y7" ca="1">LINEST(OFFSET($G$6:$G$7,MAX(ROUNDDOWN($J7-1,0),0),0),OFFSET($B$6:$B$7,MAX(ROUNDDOWN($J7-1,0),0),0))</f>
        <v>-5.1282051282051343E-2</v>
      </c>
      <c r="Y7" s="151">
        <f ca="1"/>
        <v>1.3333333333333333</v>
      </c>
      <c r="Z7" s="151">
        <f t="shared" ref="Z7:Z57" ca="1" si="6">Y7+X7*$J7</f>
        <v>1.3076923076923075</v>
      </c>
    </row>
    <row r="8" spans="2:26" x14ac:dyDescent="0.25">
      <c r="B8">
        <v>2</v>
      </c>
      <c r="C8" s="151">
        <v>1.0021085090164656</v>
      </c>
      <c r="D8" s="151">
        <v>1.004935111892119</v>
      </c>
      <c r="E8" s="330">
        <v>1.038902735574992</v>
      </c>
      <c r="F8" s="151">
        <v>1.0529367071533218</v>
      </c>
      <c r="G8" s="330">
        <v>1.25</v>
      </c>
      <c r="H8" s="151">
        <v>1.0529367071533218</v>
      </c>
      <c r="J8" s="101">
        <f t="shared" si="4"/>
        <v>0.75</v>
      </c>
      <c r="K8" s="101">
        <f t="shared" si="5"/>
        <v>3</v>
      </c>
      <c r="L8" s="152" cm="1">
        <f t="array" aca="1" ref="L8:M8" ca="1">LINEST(OFFSET($C$7:$C$8,MAX(ROUNDDOWN($J8-1,0),0),0),OFFSET($B$7:$B$8,MAX(ROUNDDOWN($J8-1,0),0),0))</f>
        <v>-7.7563231413235742E-3</v>
      </c>
      <c r="M8" s="151">
        <f ca="1"/>
        <v>1.0176211552991128</v>
      </c>
      <c r="N8" s="151">
        <f t="shared" ca="1" si="0"/>
        <v>1.01180391294312</v>
      </c>
      <c r="O8" s="152" cm="1">
        <f t="array" aca="1" ref="O8:P8" ca="1">LINEST(OFFSET($D$6:$D$7,MAX(ROUNDDOWN($J8-1,0),0),0),OFFSET($B$6:$B$7,MAX(ROUNDDOWN($J8-1,0),0),0))</f>
        <v>0</v>
      </c>
      <c r="P8" s="151">
        <f ca="1"/>
        <v>1.0049410430650461</v>
      </c>
      <c r="Q8" s="151">
        <f t="shared" ca="1" si="1"/>
        <v>1.0049410430650461</v>
      </c>
      <c r="R8" s="152" cm="1">
        <f t="array" aca="1" ref="R8:S8" ca="1">LINEST(OFFSET($E$6:$E$7,MAX(ROUNDDOWN($J8-1,0),0),0),OFFSET($B$6:$B$7,MAX(ROUNDDOWN($J8-1,0),0),0))</f>
        <v>-4.6903390817700806E-2</v>
      </c>
      <c r="S8" s="151">
        <f ca="1"/>
        <v>1.0976140535761802</v>
      </c>
      <c r="T8" s="151">
        <f t="shared" ca="1" si="2"/>
        <v>1.0624365104629045</v>
      </c>
      <c r="U8" s="152" cm="1">
        <f t="array" aca="1" ref="U8:V8" ca="1">LINEST(OFFSET($F$6:$F$7,MAX(ROUNDDOWN($J8-1,0),0),0),OFFSET($B$6:$B$7,MAX(ROUNDDOWN($J8-1,0),0),0))</f>
        <v>0</v>
      </c>
      <c r="V8" s="151">
        <f ca="1"/>
        <v>1.0654813329850839</v>
      </c>
      <c r="W8" s="151">
        <f t="shared" ca="1" si="3"/>
        <v>1.0654813329850839</v>
      </c>
      <c r="X8" s="152" cm="1">
        <f t="array" aca="1" ref="X8:Y8" ca="1">LINEST(OFFSET($G$6:$G$7,MAX(ROUNDDOWN($J8-1,0),0),0),OFFSET($B$6:$B$7,MAX(ROUNDDOWN($J8-1,0),0),0))</f>
        <v>-5.1282051282051343E-2</v>
      </c>
      <c r="Y8" s="151">
        <f ca="1"/>
        <v>1.3333333333333333</v>
      </c>
      <c r="Z8" s="151">
        <f t="shared" ca="1" si="6"/>
        <v>1.2948717948717947</v>
      </c>
    </row>
    <row r="9" spans="2:26" x14ac:dyDescent="0.25">
      <c r="B9">
        <v>3</v>
      </c>
      <c r="C9" s="151">
        <v>1.0011284552174564</v>
      </c>
      <c r="D9" s="151">
        <v>1.0039358947924042</v>
      </c>
      <c r="E9" s="330">
        <v>1.0291172523060228</v>
      </c>
      <c r="F9" s="151">
        <v>1.0422256437097273</v>
      </c>
      <c r="G9" s="330">
        <v>1.2195121951219512</v>
      </c>
      <c r="H9" s="151">
        <v>1.0422256437097273</v>
      </c>
      <c r="J9" s="101">
        <f t="shared" si="4"/>
        <v>1</v>
      </c>
      <c r="K9" s="101">
        <f t="shared" si="5"/>
        <v>4</v>
      </c>
      <c r="L9" s="152" cm="1">
        <f t="array" aca="1" ref="L9:M9" ca="1">LINEST(OFFSET($C$7:$C$8,MAX(ROUNDDOWN($J9-1,0),0),0),OFFSET($B$7:$B$8,MAX(ROUNDDOWN($J9-1,0),0),0))</f>
        <v>-7.7563231413235742E-3</v>
      </c>
      <c r="M9" s="151">
        <f ca="1"/>
        <v>1.0176211552991128</v>
      </c>
      <c r="N9" s="151">
        <f t="shared" ca="1" si="0"/>
        <v>1.0098648321577892</v>
      </c>
      <c r="O9" s="152" cm="1">
        <f t="array" aca="1" ref="O9:P9" ca="1">LINEST(OFFSET($D$6:$D$7,MAX(ROUNDDOWN($J9-1,0),0),0),OFFSET($B$6:$B$7,MAX(ROUNDDOWN($J9-1,0),0),0))</f>
        <v>0</v>
      </c>
      <c r="P9" s="151">
        <f ca="1"/>
        <v>1.0049410430650461</v>
      </c>
      <c r="Q9" s="151">
        <f t="shared" ca="1" si="1"/>
        <v>1.0049410430650461</v>
      </c>
      <c r="R9" s="152" cm="1">
        <f t="array" aca="1" ref="R9:S9" ca="1">LINEST(OFFSET($E$6:$E$7,MAX(ROUNDDOWN($J9-1,0),0),0),OFFSET($B$6:$B$7,MAX(ROUNDDOWN($J9-1,0),0),0))</f>
        <v>-4.6903390817700806E-2</v>
      </c>
      <c r="S9" s="151">
        <f ca="1"/>
        <v>1.0976140535761802</v>
      </c>
      <c r="T9" s="151">
        <f t="shared" ca="1" si="2"/>
        <v>1.0507106627584795</v>
      </c>
      <c r="U9" s="152" cm="1">
        <f t="array" aca="1" ref="U9:V9" ca="1">LINEST(OFFSET($F$6:$F$7,MAX(ROUNDDOWN($J9-1,0),0),0),OFFSET($B$6:$B$7,MAX(ROUNDDOWN($J9-1,0),0),0))</f>
        <v>0</v>
      </c>
      <c r="V9" s="151">
        <f ca="1"/>
        <v>1.0654813329850839</v>
      </c>
      <c r="W9" s="151">
        <f t="shared" ca="1" si="3"/>
        <v>1.0654813329850839</v>
      </c>
      <c r="X9" s="152" cm="1">
        <f t="array" aca="1" ref="X9:Y9" ca="1">LINEST(OFFSET($G$6:$G$7,MAX(ROUNDDOWN($J9-1,0),0),0),OFFSET($B$6:$B$7,MAX(ROUNDDOWN($J9-1,0),0),0))</f>
        <v>-5.1282051282051343E-2</v>
      </c>
      <c r="Y9" s="151">
        <f ca="1"/>
        <v>1.3333333333333333</v>
      </c>
      <c r="Z9" s="151">
        <f t="shared" ca="1" si="6"/>
        <v>1.2820512820512819</v>
      </c>
    </row>
    <row r="10" spans="2:26" x14ac:dyDescent="0.25">
      <c r="B10">
        <v>4</v>
      </c>
      <c r="C10" s="151">
        <v>1.0003326164485524</v>
      </c>
      <c r="D10" s="151">
        <v>1.0028636730809626</v>
      </c>
      <c r="E10" s="330">
        <v>1.0217138095163034</v>
      </c>
      <c r="F10" s="151">
        <v>1.0325938305597826</v>
      </c>
      <c r="G10" s="330">
        <v>1.1764705882352942</v>
      </c>
      <c r="H10" s="151">
        <v>1.0325938305597826</v>
      </c>
      <c r="J10" s="101">
        <f t="shared" si="4"/>
        <v>1.25</v>
      </c>
      <c r="K10" s="101">
        <f t="shared" si="5"/>
        <v>5</v>
      </c>
      <c r="L10" s="152" cm="1">
        <f t="array" aca="1" ref="L10:M10" ca="1">LINEST(OFFSET($C$7:$C$8,MAX(ROUNDDOWN($J10-1,0),0),0),OFFSET($B$7:$B$8,MAX(ROUNDDOWN($J10-1,0),0),0))</f>
        <v>-7.7563231413235742E-3</v>
      </c>
      <c r="M10" s="151">
        <f ca="1"/>
        <v>1.0176211552991128</v>
      </c>
      <c r="N10" s="151">
        <f t="shared" ca="1" si="0"/>
        <v>1.0079257513724582</v>
      </c>
      <c r="O10" s="152" cm="1">
        <f t="array" aca="1" ref="O10:P10" ca="1">LINEST(OFFSET($D$6:$D$7,MAX(ROUNDDOWN($J10-1,0),0),0),OFFSET($B$6:$B$7,MAX(ROUNDDOWN($J10-1,0),0),0))</f>
        <v>0</v>
      </c>
      <c r="P10" s="151">
        <f ca="1"/>
        <v>1.0049410430650461</v>
      </c>
      <c r="Q10" s="151">
        <f t="shared" ca="1" si="1"/>
        <v>1.0049410430650461</v>
      </c>
      <c r="R10" s="152" cm="1">
        <f t="array" aca="1" ref="R10:S10" ca="1">LINEST(OFFSET($E$6:$E$7,MAX(ROUNDDOWN($J10-1,0),0),0),OFFSET($B$6:$B$7,MAX(ROUNDDOWN($J10-1,0),0),0))</f>
        <v>-4.6903390817700806E-2</v>
      </c>
      <c r="S10" s="151">
        <f ca="1"/>
        <v>1.0976140535761802</v>
      </c>
      <c r="T10" s="151">
        <f t="shared" ca="1" si="2"/>
        <v>1.0389848150540542</v>
      </c>
      <c r="U10" s="152" cm="1">
        <f t="array" aca="1" ref="U10:V10" ca="1">LINEST(OFFSET($F$6:$F$7,MAX(ROUNDDOWN($J10-1,0),0),0),OFFSET($B$6:$B$7,MAX(ROUNDDOWN($J10-1,0),0),0))</f>
        <v>0</v>
      </c>
      <c r="V10" s="151">
        <f ca="1"/>
        <v>1.0654813329850839</v>
      </c>
      <c r="W10" s="151">
        <f t="shared" ca="1" si="3"/>
        <v>1.0654813329850839</v>
      </c>
      <c r="X10" s="152" cm="1">
        <f t="array" aca="1" ref="X10:Y10" ca="1">LINEST(OFFSET($G$6:$G$7,MAX(ROUNDDOWN($J10-1,0),0),0),OFFSET($B$6:$B$7,MAX(ROUNDDOWN($J10-1,0),0),0))</f>
        <v>-5.1282051282051343E-2</v>
      </c>
      <c r="Y10" s="151">
        <f ca="1"/>
        <v>1.3333333333333333</v>
      </c>
      <c r="Z10" s="151">
        <f t="shared" ca="1" si="6"/>
        <v>1.2692307692307692</v>
      </c>
    </row>
    <row r="11" spans="2:26" x14ac:dyDescent="0.25">
      <c r="B11">
        <v>5</v>
      </c>
      <c r="C11" s="151">
        <v>1.0001067850019076</v>
      </c>
      <c r="D11" s="151">
        <v>1.002400029103562</v>
      </c>
      <c r="E11" s="330">
        <v>1.015150933433411</v>
      </c>
      <c r="F11" s="151">
        <v>1.0243745574694303</v>
      </c>
      <c r="G11" s="330">
        <v>1.1494252873563218</v>
      </c>
      <c r="H11" s="151">
        <v>1.0243745574694303</v>
      </c>
      <c r="J11" s="101">
        <f t="shared" si="4"/>
        <v>1.5</v>
      </c>
      <c r="K11" s="101">
        <f t="shared" si="5"/>
        <v>6</v>
      </c>
      <c r="L11" s="152" cm="1">
        <f t="array" aca="1" ref="L11:M11" ca="1">LINEST(OFFSET($C$7:$C$8,MAX(ROUNDDOWN($J11-1,0),0),0),OFFSET($B$7:$B$8,MAX(ROUNDDOWN($J11-1,0),0),0))</f>
        <v>-7.7563231413235742E-3</v>
      </c>
      <c r="M11" s="151">
        <f ca="1"/>
        <v>1.0176211552991128</v>
      </c>
      <c r="N11" s="151">
        <f t="shared" ca="1" si="0"/>
        <v>1.0059866705871274</v>
      </c>
      <c r="O11" s="152" cm="1">
        <f t="array" aca="1" ref="O11:P11" ca="1">LINEST(OFFSET($D$6:$D$7,MAX(ROUNDDOWN($J11-1,0),0),0),OFFSET($B$6:$B$7,MAX(ROUNDDOWN($J11-1,0),0),0))</f>
        <v>0</v>
      </c>
      <c r="P11" s="151">
        <f ca="1"/>
        <v>1.0049410430650461</v>
      </c>
      <c r="Q11" s="151">
        <f t="shared" ca="1" si="1"/>
        <v>1.0049410430650461</v>
      </c>
      <c r="R11" s="152" cm="1">
        <f t="array" aca="1" ref="R11:S11" ca="1">LINEST(OFFSET($E$6:$E$7,MAX(ROUNDDOWN($J11-1,0),0),0),OFFSET($B$6:$B$7,MAX(ROUNDDOWN($J11-1,0),0),0))</f>
        <v>-4.6903390817700806E-2</v>
      </c>
      <c r="S11" s="151">
        <f ca="1"/>
        <v>1.0976140535761802</v>
      </c>
      <c r="T11" s="151">
        <f t="shared" ca="1" si="2"/>
        <v>1.0272589673496291</v>
      </c>
      <c r="U11" s="152" cm="1">
        <f t="array" aca="1" ref="U11:V11" ca="1">LINEST(OFFSET($F$6:$F$7,MAX(ROUNDDOWN($J11-1,0),0),0),OFFSET($B$6:$B$7,MAX(ROUNDDOWN($J11-1,0),0),0))</f>
        <v>0</v>
      </c>
      <c r="V11" s="151">
        <f ca="1"/>
        <v>1.0654813329850839</v>
      </c>
      <c r="W11" s="151">
        <f t="shared" ca="1" si="3"/>
        <v>1.0654813329850839</v>
      </c>
      <c r="X11" s="152" cm="1">
        <f t="array" aca="1" ref="X11:Y11" ca="1">LINEST(OFFSET($G$6:$G$7,MAX(ROUNDDOWN($J11-1,0),0),0),OFFSET($B$6:$B$7,MAX(ROUNDDOWN($J11-1,0),0),0))</f>
        <v>-5.1282051282051343E-2</v>
      </c>
      <c r="Y11" s="151">
        <f ca="1"/>
        <v>1.3333333333333333</v>
      </c>
      <c r="Z11" s="151">
        <f t="shared" ca="1" si="6"/>
        <v>1.2564102564102562</v>
      </c>
    </row>
    <row r="12" spans="2:26" x14ac:dyDescent="0.25">
      <c r="B12">
        <v>6</v>
      </c>
      <c r="C12" s="151">
        <v>1.000253482803809</v>
      </c>
      <c r="D12" s="151">
        <v>1.0016396502293845</v>
      </c>
      <c r="E12" s="330">
        <v>1.010205160476136</v>
      </c>
      <c r="F12" s="151">
        <v>1.0179097250817628</v>
      </c>
      <c r="G12" s="330">
        <v>1.1235955056179776</v>
      </c>
      <c r="H12" s="151">
        <v>1.0179097250817628</v>
      </c>
      <c r="J12" s="101">
        <f t="shared" si="4"/>
        <v>1.75</v>
      </c>
      <c r="K12" s="101">
        <f t="shared" si="5"/>
        <v>7</v>
      </c>
      <c r="L12" s="152" cm="1">
        <f t="array" aca="1" ref="L12:M12" ca="1">LINEST(OFFSET($C$7:$C$8,MAX(ROUNDDOWN($J12-1,0),0),0),OFFSET($B$7:$B$8,MAX(ROUNDDOWN($J12-1,0),0),0))</f>
        <v>-7.7563231413235742E-3</v>
      </c>
      <c r="M12" s="151">
        <f ca="1"/>
        <v>1.0176211552991128</v>
      </c>
      <c r="N12" s="151">
        <f t="shared" ca="1" si="0"/>
        <v>1.0040475898017964</v>
      </c>
      <c r="O12" s="152" cm="1">
        <f t="array" aca="1" ref="O12:P12" ca="1">LINEST(OFFSET($D$6:$D$7,MAX(ROUNDDOWN($J12-1,0),0),0),OFFSET($B$6:$B$7,MAX(ROUNDDOWN($J12-1,0),0),0))</f>
        <v>0</v>
      </c>
      <c r="P12" s="151">
        <f ca="1"/>
        <v>1.0049410430650461</v>
      </c>
      <c r="Q12" s="151">
        <f t="shared" ca="1" si="1"/>
        <v>1.0049410430650461</v>
      </c>
      <c r="R12" s="152" cm="1">
        <f t="array" aca="1" ref="R12:S12" ca="1">LINEST(OFFSET($E$6:$E$7,MAX(ROUNDDOWN($J12-1,0),0),0),OFFSET($B$6:$B$7,MAX(ROUNDDOWN($J12-1,0),0),0))</f>
        <v>-4.6903390817700806E-2</v>
      </c>
      <c r="S12" s="151">
        <f ca="1"/>
        <v>1.0976140535761802</v>
      </c>
      <c r="T12" s="151">
        <f t="shared" ca="1" si="2"/>
        <v>1.0155331196452038</v>
      </c>
      <c r="U12" s="152" cm="1">
        <f t="array" aca="1" ref="U12:V12" ca="1">LINEST(OFFSET($F$6:$F$7,MAX(ROUNDDOWN($J12-1,0),0),0),OFFSET($B$6:$B$7,MAX(ROUNDDOWN($J12-1,0),0),0))</f>
        <v>0</v>
      </c>
      <c r="V12" s="151">
        <f ca="1"/>
        <v>1.0654813329850839</v>
      </c>
      <c r="W12" s="151">
        <f t="shared" ca="1" si="3"/>
        <v>1.0654813329850839</v>
      </c>
      <c r="X12" s="152" cm="1">
        <f t="array" aca="1" ref="X12:Y12" ca="1">LINEST(OFFSET($G$6:$G$7,MAX(ROUNDDOWN($J12-1,0),0),0),OFFSET($B$6:$B$7,MAX(ROUNDDOWN($J12-1,0),0),0))</f>
        <v>-5.1282051282051343E-2</v>
      </c>
      <c r="Y12" s="151">
        <f ca="1"/>
        <v>1.3333333333333333</v>
      </c>
      <c r="Z12" s="151">
        <f t="shared" ca="1" si="6"/>
        <v>1.2435897435897434</v>
      </c>
    </row>
    <row r="13" spans="2:26" x14ac:dyDescent="0.25">
      <c r="B13">
        <v>7</v>
      </c>
      <c r="C13" s="151">
        <v>1.0001512062539542</v>
      </c>
      <c r="D13" s="151">
        <v>1.0010099013835327</v>
      </c>
      <c r="E13" s="330">
        <v>1.0075014853581219</v>
      </c>
      <c r="F13" s="151">
        <v>1.0129647951640179</v>
      </c>
      <c r="G13" s="330">
        <v>1.0989010989010988</v>
      </c>
      <c r="H13" s="151">
        <v>1.0129647951640179</v>
      </c>
      <c r="J13" s="101">
        <f t="shared" si="4"/>
        <v>2</v>
      </c>
      <c r="K13" s="101">
        <f t="shared" si="5"/>
        <v>8</v>
      </c>
      <c r="L13" s="152" cm="1">
        <f t="array" aca="1" ref="L13:M13" ca="1">LINEST(OFFSET($C$7:$C$8,MAX(ROUNDDOWN($J13-1,0),0),0),OFFSET($B$7:$B$8,MAX(ROUNDDOWN($J13-1,0),0),0))</f>
        <v>-9.800537990092284E-4</v>
      </c>
      <c r="M13" s="151">
        <f ca="1"/>
        <v>1.0040686166144841</v>
      </c>
      <c r="N13" s="151">
        <f t="shared" ca="1" si="0"/>
        <v>1.0021085090164656</v>
      </c>
      <c r="O13" s="152" cm="1">
        <f t="array" aca="1" ref="O13:P13" ca="1">LINEST(OFFSET($D$6:$D$7,MAX(ROUNDDOWN($J13-1,0),0),0),OFFSET($B$6:$B$7,MAX(ROUNDDOWN($J13-1,0),0),0))</f>
        <v>-5.931172927020614E-6</v>
      </c>
      <c r="P13" s="151">
        <f ca="1"/>
        <v>1.0049469742379731</v>
      </c>
      <c r="Q13" s="151">
        <f t="shared" ca="1" si="1"/>
        <v>1.004935111892119</v>
      </c>
      <c r="R13" s="152" cm="1">
        <f t="array" aca="1" ref="R13:S13" ca="1">LINEST(OFFSET($E$6:$E$7,MAX(ROUNDDOWN($J13-1,0),0),0),OFFSET($B$6:$B$7,MAX(ROUNDDOWN($J13-1,0),0),0))</f>
        <v>-1.1807927183487443E-2</v>
      </c>
      <c r="S13" s="151">
        <f ca="1"/>
        <v>1.0625185899419669</v>
      </c>
      <c r="T13" s="151">
        <f t="shared" ca="1" si="2"/>
        <v>1.038902735574992</v>
      </c>
      <c r="U13" s="152" cm="1">
        <f t="array" aca="1" ref="U13:V13" ca="1">LINEST(OFFSET($F$6:$F$7,MAX(ROUNDDOWN($J13-1,0),0),0),OFFSET($B$6:$B$7,MAX(ROUNDDOWN($J13-1,0),0),0))</f>
        <v>-1.254462583176208E-2</v>
      </c>
      <c r="V13" s="151">
        <f ca="1"/>
        <v>1.0780259588168459</v>
      </c>
      <c r="W13" s="151">
        <f t="shared" ca="1" si="3"/>
        <v>1.0529367071533218</v>
      </c>
      <c r="X13" s="152" cm="1">
        <f t="array" aca="1" ref="X13:Y13" ca="1">LINEST(OFFSET($G$6:$G$7,MAX(ROUNDDOWN($J13-1,0),0),0),OFFSET($B$6:$B$7,MAX(ROUNDDOWN($J13-1,0),0),0))</f>
        <v>-3.2051282051281951E-2</v>
      </c>
      <c r="Y13" s="151">
        <f ca="1"/>
        <v>1.3141025641025639</v>
      </c>
      <c r="Z13" s="151">
        <f t="shared" ca="1" si="6"/>
        <v>1.25</v>
      </c>
    </row>
    <row r="14" spans="2:26" x14ac:dyDescent="0.25">
      <c r="B14">
        <v>8</v>
      </c>
      <c r="C14" s="151">
        <v>1.0001523896836717</v>
      </c>
      <c r="D14" s="151">
        <v>1.0005599870921238</v>
      </c>
      <c r="E14" s="330">
        <v>1.0057413948904927</v>
      </c>
      <c r="F14" s="151">
        <v>1.0090103294159642</v>
      </c>
      <c r="G14" s="330">
        <v>1.075268817204301</v>
      </c>
      <c r="H14" s="151">
        <v>1.0090103294159642</v>
      </c>
      <c r="J14" s="101">
        <f t="shared" si="4"/>
        <v>2.25</v>
      </c>
      <c r="K14" s="101">
        <f t="shared" si="5"/>
        <v>9</v>
      </c>
      <c r="L14" s="152" cm="1">
        <f t="array" aca="1" ref="L14:M14" ca="1">LINEST(OFFSET($C$7:$C$8,MAX(ROUNDDOWN($J14-1,0),0),0),OFFSET($B$7:$B$8,MAX(ROUNDDOWN($J14-1,0),0),0))</f>
        <v>-9.800537990092284E-4</v>
      </c>
      <c r="M14" s="151">
        <f ca="1"/>
        <v>1.0040686166144841</v>
      </c>
      <c r="N14" s="151">
        <f t="shared" ca="1" si="0"/>
        <v>1.0018634955667134</v>
      </c>
      <c r="O14" s="152" cm="1">
        <f t="array" aca="1" ref="O14:P14" ca="1">LINEST(OFFSET($D$6:$D$7,MAX(ROUNDDOWN($J14-1,0),0),0),OFFSET($B$6:$B$7,MAX(ROUNDDOWN($J14-1,0),0),0))</f>
        <v>-5.931172927020614E-6</v>
      </c>
      <c r="P14" s="151">
        <f ca="1"/>
        <v>1.0049469742379731</v>
      </c>
      <c r="Q14" s="151">
        <f t="shared" ca="1" si="1"/>
        <v>1.0049336290988873</v>
      </c>
      <c r="R14" s="152" cm="1">
        <f t="array" aca="1" ref="R14:S14" ca="1">LINEST(OFFSET($E$6:$E$7,MAX(ROUNDDOWN($J14-1,0),0),0),OFFSET($B$6:$B$7,MAX(ROUNDDOWN($J14-1,0),0),0))</f>
        <v>-1.1807927183487443E-2</v>
      </c>
      <c r="S14" s="151">
        <f ca="1"/>
        <v>1.0625185899419669</v>
      </c>
      <c r="T14" s="151">
        <f t="shared" ca="1" si="2"/>
        <v>1.0359507537791202</v>
      </c>
      <c r="U14" s="152" cm="1">
        <f t="array" aca="1" ref="U14:V14" ca="1">LINEST(OFFSET($F$6:$F$7,MAX(ROUNDDOWN($J14-1,0),0),0),OFFSET($B$6:$B$7,MAX(ROUNDDOWN($J14-1,0),0),0))</f>
        <v>-1.254462583176208E-2</v>
      </c>
      <c r="V14" s="151">
        <f ca="1"/>
        <v>1.0780259588168459</v>
      </c>
      <c r="W14" s="151">
        <f t="shared" ca="1" si="3"/>
        <v>1.0498005506953811</v>
      </c>
      <c r="X14" s="152" cm="1">
        <f t="array" aca="1" ref="X14:Y14" ca="1">LINEST(OFFSET($G$6:$G$7,MAX(ROUNDDOWN($J14-1,0),0),0),OFFSET($B$6:$B$7,MAX(ROUNDDOWN($J14-1,0),0),0))</f>
        <v>-3.2051282051281951E-2</v>
      </c>
      <c r="Y14" s="151">
        <f ca="1"/>
        <v>1.3141025641025639</v>
      </c>
      <c r="Z14" s="151">
        <f t="shared" ca="1" si="6"/>
        <v>1.2419871794871795</v>
      </c>
    </row>
    <row r="15" spans="2:26" x14ac:dyDescent="0.25">
      <c r="B15">
        <v>9</v>
      </c>
      <c r="C15" s="151">
        <v>1.0001459984491659</v>
      </c>
      <c r="D15" s="151">
        <v>1.0005599870921229</v>
      </c>
      <c r="E15" s="330">
        <v>1.002941181352236</v>
      </c>
      <c r="F15" s="151">
        <v>1.0048086173693187</v>
      </c>
      <c r="G15" s="330">
        <v>1.0526315789473684</v>
      </c>
      <c r="H15" s="151">
        <v>1.0048086173693187</v>
      </c>
      <c r="J15" s="101">
        <f t="shared" si="4"/>
        <v>2.5</v>
      </c>
      <c r="K15" s="101">
        <f t="shared" si="5"/>
        <v>10</v>
      </c>
      <c r="L15" s="152" cm="1">
        <f t="array" aca="1" ref="L15:M15" ca="1">LINEST(OFFSET($C$7:$C$8,MAX(ROUNDDOWN($J15-1,0),0),0),OFFSET($B$7:$B$8,MAX(ROUNDDOWN($J15-1,0),0),0))</f>
        <v>-9.800537990092284E-4</v>
      </c>
      <c r="M15" s="151">
        <f ca="1"/>
        <v>1.0040686166144841</v>
      </c>
      <c r="N15" s="151">
        <f t="shared" ca="1" si="0"/>
        <v>1.0016184821169611</v>
      </c>
      <c r="O15" s="152" cm="1">
        <f t="array" aca="1" ref="O15:P15" ca="1">LINEST(OFFSET($D$6:$D$7,MAX(ROUNDDOWN($J15-1,0),0),0),OFFSET($B$6:$B$7,MAX(ROUNDDOWN($J15-1,0),0),0))</f>
        <v>-5.931172927020614E-6</v>
      </c>
      <c r="P15" s="151">
        <f ca="1"/>
        <v>1.0049469742379731</v>
      </c>
      <c r="Q15" s="151">
        <f t="shared" ca="1" si="1"/>
        <v>1.0049321463056555</v>
      </c>
      <c r="R15" s="152" cm="1">
        <f t="array" aca="1" ref="R15:S15" ca="1">LINEST(OFFSET($E$6:$E$7,MAX(ROUNDDOWN($J15-1,0),0),0),OFFSET($B$6:$B$7,MAX(ROUNDDOWN($J15-1,0),0),0))</f>
        <v>-1.1807927183487443E-2</v>
      </c>
      <c r="S15" s="151">
        <f ca="1"/>
        <v>1.0625185899419669</v>
      </c>
      <c r="T15" s="151">
        <f t="shared" ca="1" si="2"/>
        <v>1.0329987719832483</v>
      </c>
      <c r="U15" s="152" cm="1">
        <f t="array" aca="1" ref="U15:V15" ca="1">LINEST(OFFSET($F$6:$F$7,MAX(ROUNDDOWN($J15-1,0),0),0),OFFSET($B$6:$B$7,MAX(ROUNDDOWN($J15-1,0),0),0))</f>
        <v>-1.254462583176208E-2</v>
      </c>
      <c r="V15" s="151">
        <f ca="1"/>
        <v>1.0780259588168459</v>
      </c>
      <c r="W15" s="151">
        <f t="shared" ca="1" si="3"/>
        <v>1.0466643942374407</v>
      </c>
      <c r="X15" s="152" cm="1">
        <f t="array" aca="1" ref="X15:Y15" ca="1">LINEST(OFFSET($G$6:$G$7,MAX(ROUNDDOWN($J15-1,0),0),0),OFFSET($B$6:$B$7,MAX(ROUNDDOWN($J15-1,0),0),0))</f>
        <v>-3.2051282051281951E-2</v>
      </c>
      <c r="Y15" s="151">
        <f ca="1"/>
        <v>1.3141025641025639</v>
      </c>
      <c r="Z15" s="151">
        <f t="shared" ca="1" si="6"/>
        <v>1.233974358974359</v>
      </c>
    </row>
    <row r="16" spans="2:26" x14ac:dyDescent="0.25">
      <c r="B16">
        <v>10</v>
      </c>
      <c r="C16" s="151">
        <v>1.0000416966715913</v>
      </c>
      <c r="D16" s="151">
        <v>1.0002450405595364</v>
      </c>
      <c r="E16" s="330">
        <v>1.0015367054031115</v>
      </c>
      <c r="F16" s="151">
        <v>1.0022850651033326</v>
      </c>
      <c r="G16" s="330">
        <v>1.0416666666666667</v>
      </c>
      <c r="H16" s="151">
        <v>1.0022850651033326</v>
      </c>
      <c r="J16" s="101">
        <f t="shared" si="4"/>
        <v>2.75</v>
      </c>
      <c r="K16" s="101">
        <f t="shared" si="5"/>
        <v>11</v>
      </c>
      <c r="L16" s="152" cm="1">
        <f t="array" aca="1" ref="L16:M16" ca="1">LINEST(OFFSET($C$7:$C$8,MAX(ROUNDDOWN($J16-1,0),0),0),OFFSET($B$7:$B$8,MAX(ROUNDDOWN($J16-1,0),0),0))</f>
        <v>-9.800537990092284E-4</v>
      </c>
      <c r="M16" s="151">
        <f ca="1"/>
        <v>1.0040686166144841</v>
      </c>
      <c r="N16" s="151">
        <f t="shared" ca="1" si="0"/>
        <v>1.0013734686672087</v>
      </c>
      <c r="O16" s="152" cm="1">
        <f t="array" aca="1" ref="O16:P16" ca="1">LINEST(OFFSET($D$6:$D$7,MAX(ROUNDDOWN($J16-1,0),0),0),OFFSET($B$6:$B$7,MAX(ROUNDDOWN($J16-1,0),0),0))</f>
        <v>-5.931172927020614E-6</v>
      </c>
      <c r="P16" s="151">
        <f ca="1"/>
        <v>1.0049469742379731</v>
      </c>
      <c r="Q16" s="151">
        <f t="shared" ca="1" si="1"/>
        <v>1.0049306635124238</v>
      </c>
      <c r="R16" s="152" cm="1">
        <f t="array" aca="1" ref="R16:S16" ca="1">LINEST(OFFSET($E$6:$E$7,MAX(ROUNDDOWN($J16-1,0),0),0),OFFSET($B$6:$B$7,MAX(ROUNDDOWN($J16-1,0),0),0))</f>
        <v>-1.1807927183487443E-2</v>
      </c>
      <c r="S16" s="151">
        <f ca="1"/>
        <v>1.0625185899419669</v>
      </c>
      <c r="T16" s="151">
        <f t="shared" ca="1" si="2"/>
        <v>1.0300467901873764</v>
      </c>
      <c r="U16" s="152" cm="1">
        <f t="array" aca="1" ref="U16:V16" ca="1">LINEST(OFFSET($F$6:$F$7,MAX(ROUNDDOWN($J16-1,0),0),0),OFFSET($B$6:$B$7,MAX(ROUNDDOWN($J16-1,0),0),0))</f>
        <v>-1.254462583176208E-2</v>
      </c>
      <c r="V16" s="151">
        <f ca="1"/>
        <v>1.0780259588168459</v>
      </c>
      <c r="W16" s="151">
        <f t="shared" ca="1" si="3"/>
        <v>1.0435282377795003</v>
      </c>
      <c r="X16" s="152" cm="1">
        <f t="array" aca="1" ref="X16:Y16" ca="1">LINEST(OFFSET($G$6:$G$7,MAX(ROUNDDOWN($J16-1,0),0),0),OFFSET($B$6:$B$7,MAX(ROUNDDOWN($J16-1,0),0),0))</f>
        <v>-3.2051282051281951E-2</v>
      </c>
      <c r="Y16" s="151">
        <f ca="1"/>
        <v>1.3141025641025639</v>
      </c>
      <c r="Z16" s="151">
        <f t="shared" ca="1" si="6"/>
        <v>1.2259615384615385</v>
      </c>
    </row>
    <row r="17" spans="1:26" x14ac:dyDescent="0.25">
      <c r="B17">
        <v>11</v>
      </c>
      <c r="C17" s="151">
        <v>1.0000257471419727</v>
      </c>
      <c r="D17" s="151">
        <v>1.000245040559536</v>
      </c>
      <c r="E17" s="330">
        <v>1.0005982479339846</v>
      </c>
      <c r="F17" s="151">
        <v>1.0007486938491403</v>
      </c>
      <c r="G17" s="330">
        <v>1.0204081632653061</v>
      </c>
      <c r="H17" s="151">
        <v>1.0007486938491403</v>
      </c>
      <c r="J17" s="101">
        <f t="shared" si="4"/>
        <v>3</v>
      </c>
      <c r="K17" s="101">
        <f t="shared" si="5"/>
        <v>12</v>
      </c>
      <c r="L17" s="152" cm="1">
        <f t="array" aca="1" ref="L17:M17" ca="1">LINEST(OFFSET($C$7:$C$8,MAX(ROUNDDOWN($J17-1,0),0),0),OFFSET($B$7:$B$8,MAX(ROUNDDOWN($J17-1,0),0),0))</f>
        <v>-7.958387689039893E-4</v>
      </c>
      <c r="M17" s="151">
        <f ca="1"/>
        <v>1.0035159715241686</v>
      </c>
      <c r="N17" s="151">
        <f t="shared" ca="1" si="0"/>
        <v>1.0011284552174566</v>
      </c>
      <c r="O17" s="152" cm="1">
        <f t="array" aca="1" ref="O17:P17" ca="1">LINEST(OFFSET($D$6:$D$7,MAX(ROUNDDOWN($J17-1,0),0),0),OFFSET($B$6:$B$7,MAX(ROUNDDOWN($J17-1,0),0),0))</f>
        <v>-9.9921709971484418E-4</v>
      </c>
      <c r="P17" s="151">
        <f ca="1"/>
        <v>1.0069335460915487</v>
      </c>
      <c r="Q17" s="151">
        <f t="shared" ca="1" si="1"/>
        <v>1.0039358947924042</v>
      </c>
      <c r="R17" s="152" cm="1">
        <f t="array" aca="1" ref="R17:S17" ca="1">LINEST(OFFSET($E$6:$E$7,MAX(ROUNDDOWN($J17-1,0),0),0),OFFSET($B$6:$B$7,MAX(ROUNDDOWN($J17-1,0),0),0))</f>
        <v>-9.7854832689692195E-3</v>
      </c>
      <c r="S17" s="151">
        <f ca="1"/>
        <v>1.0584737021129305</v>
      </c>
      <c r="T17" s="151">
        <f t="shared" ca="1" si="2"/>
        <v>1.0291172523060228</v>
      </c>
      <c r="U17" s="152" cm="1">
        <f t="array" aca="1" ref="U17:V17" ca="1">LINEST(OFFSET($F$6:$F$7,MAX(ROUNDDOWN($J17-1,0),0),0),OFFSET($B$6:$B$7,MAX(ROUNDDOWN($J17-1,0),0),0))</f>
        <v>-1.0711063443594515E-2</v>
      </c>
      <c r="V17" s="151">
        <f ca="1"/>
        <v>1.0743588340405108</v>
      </c>
      <c r="W17" s="151">
        <f t="shared" ca="1" si="3"/>
        <v>1.0422256437097273</v>
      </c>
      <c r="X17" s="152" cm="1">
        <f t="array" aca="1" ref="X17:Y17" ca="1">LINEST(OFFSET($G$6:$G$7,MAX(ROUNDDOWN($J17-1,0),0),0),OFFSET($B$6:$B$7,MAX(ROUNDDOWN($J17-1,0),0),0))</f>
        <v>-3.0487804878048808E-2</v>
      </c>
      <c r="Y17" s="151">
        <f ca="1"/>
        <v>1.3109756097560976</v>
      </c>
      <c r="Z17" s="151">
        <f t="shared" ca="1" si="6"/>
        <v>1.2195121951219512</v>
      </c>
    </row>
    <row r="18" spans="1:26" x14ac:dyDescent="0.25">
      <c r="B18">
        <v>12</v>
      </c>
      <c r="C18" s="151">
        <v>1</v>
      </c>
      <c r="D18" s="151">
        <v>1.0000000000000075</v>
      </c>
      <c r="E18" s="330">
        <v>1.0000735522406672</v>
      </c>
      <c r="F18" s="151">
        <v>1.0000995295199715</v>
      </c>
      <c r="G18" s="330">
        <v>1.0101010101010102</v>
      </c>
      <c r="H18" s="151">
        <v>1.0000995295199715</v>
      </c>
      <c r="J18" s="101">
        <f t="shared" si="4"/>
        <v>3.25</v>
      </c>
      <c r="K18" s="101">
        <f t="shared" si="5"/>
        <v>13</v>
      </c>
      <c r="L18" s="152" cm="1">
        <f t="array" aca="1" ref="L18:M18" ca="1">LINEST(OFFSET($C$7:$C$8,MAX(ROUNDDOWN($J18-1,0),0),0),OFFSET($B$7:$B$8,MAX(ROUNDDOWN($J18-1,0),0),0))</f>
        <v>-7.958387689039893E-4</v>
      </c>
      <c r="M18" s="151">
        <f ca="1"/>
        <v>1.0035159715241686</v>
      </c>
      <c r="N18" s="151">
        <f t="shared" ca="1" si="0"/>
        <v>1.0009294955252306</v>
      </c>
      <c r="O18" s="152" cm="1">
        <f t="array" aca="1" ref="O18:P18" ca="1">LINEST(OFFSET($D$6:$D$7,MAX(ROUNDDOWN($J18-1,0),0),0),OFFSET($B$6:$B$7,MAX(ROUNDDOWN($J18-1,0),0),0))</f>
        <v>-9.9921709971484418E-4</v>
      </c>
      <c r="P18" s="151">
        <f ca="1"/>
        <v>1.0069335460915487</v>
      </c>
      <c r="Q18" s="151">
        <f t="shared" ca="1" si="1"/>
        <v>1.0036860905174754</v>
      </c>
      <c r="R18" s="152" cm="1">
        <f t="array" aca="1" ref="R18:S18" ca="1">LINEST(OFFSET($E$6:$E$7,MAX(ROUNDDOWN($J18-1,0),0),0),OFFSET($B$6:$B$7,MAX(ROUNDDOWN($J18-1,0),0),0))</f>
        <v>-9.7854832689692195E-3</v>
      </c>
      <c r="S18" s="151">
        <f ca="1"/>
        <v>1.0584737021129305</v>
      </c>
      <c r="T18" s="151">
        <f t="shared" ca="1" si="2"/>
        <v>1.0266708814887804</v>
      </c>
      <c r="U18" s="152" cm="1">
        <f t="array" aca="1" ref="U18:V18" ca="1">LINEST(OFFSET($F$6:$F$7,MAX(ROUNDDOWN($J18-1,0),0),0),OFFSET($B$6:$B$7,MAX(ROUNDDOWN($J18-1,0),0),0))</f>
        <v>-1.0711063443594515E-2</v>
      </c>
      <c r="V18" s="151">
        <f ca="1"/>
        <v>1.0743588340405108</v>
      </c>
      <c r="W18" s="151">
        <f t="shared" ca="1" si="3"/>
        <v>1.0395478778488285</v>
      </c>
      <c r="X18" s="152" cm="1">
        <f t="array" aca="1" ref="X18:Y18" ca="1">LINEST(OFFSET($G$6:$G$7,MAX(ROUNDDOWN($J18-1,0),0),0),OFFSET($B$6:$B$7,MAX(ROUNDDOWN($J18-1,0),0),0))</f>
        <v>-3.0487804878048808E-2</v>
      </c>
      <c r="Y18" s="151">
        <f ca="1"/>
        <v>1.3109756097560976</v>
      </c>
      <c r="Z18" s="151">
        <f t="shared" ca="1" si="6"/>
        <v>1.211890243902439</v>
      </c>
    </row>
    <row r="19" spans="1:26" x14ac:dyDescent="0.25">
      <c r="B19">
        <v>13</v>
      </c>
      <c r="C19" s="151">
        <v>1</v>
      </c>
      <c r="D19" s="151">
        <v>1.0000000000000089</v>
      </c>
      <c r="E19" s="330">
        <v>0.99999923950047587</v>
      </c>
      <c r="F19" s="151">
        <v>0.99999999999999845</v>
      </c>
      <c r="G19" s="330">
        <v>1</v>
      </c>
      <c r="H19" s="151">
        <v>0.99999999999999845</v>
      </c>
      <c r="J19" s="101">
        <f t="shared" si="4"/>
        <v>3.5</v>
      </c>
      <c r="K19" s="101">
        <f t="shared" si="5"/>
        <v>14</v>
      </c>
      <c r="L19" s="152" cm="1">
        <f t="array" aca="1" ref="L19:M19" ca="1">LINEST(OFFSET($C$7:$C$8,MAX(ROUNDDOWN($J19-1,0),0),0),OFFSET($B$7:$B$8,MAX(ROUNDDOWN($J19-1,0),0),0))</f>
        <v>-7.958387689039893E-4</v>
      </c>
      <c r="M19" s="151">
        <f ca="1"/>
        <v>1.0035159715241686</v>
      </c>
      <c r="N19" s="151">
        <f t="shared" ca="1" si="0"/>
        <v>1.0007305358330045</v>
      </c>
      <c r="O19" s="152" cm="1">
        <f t="array" aca="1" ref="O19:P19" ca="1">LINEST(OFFSET($D$6:$D$7,MAX(ROUNDDOWN($J19-1,0),0),0),OFFSET($B$6:$B$7,MAX(ROUNDDOWN($J19-1,0),0),0))</f>
        <v>-9.9921709971484418E-4</v>
      </c>
      <c r="P19" s="151">
        <f ca="1"/>
        <v>1.0069335460915487</v>
      </c>
      <c r="Q19" s="151">
        <f t="shared" ca="1" si="1"/>
        <v>1.0034362862425468</v>
      </c>
      <c r="R19" s="152" cm="1">
        <f t="array" aca="1" ref="R19:S19" ca="1">LINEST(OFFSET($E$6:$E$7,MAX(ROUNDDOWN($J19-1,0),0),0),OFFSET($B$6:$B$7,MAX(ROUNDDOWN($J19-1,0),0),0))</f>
        <v>-9.7854832689692195E-3</v>
      </c>
      <c r="S19" s="151">
        <f ca="1"/>
        <v>1.0584737021129305</v>
      </c>
      <c r="T19" s="151">
        <f t="shared" ca="1" si="2"/>
        <v>1.0242245106715382</v>
      </c>
      <c r="U19" s="152" cm="1">
        <f t="array" aca="1" ref="U19:V19" ca="1">LINEST(OFFSET($F$6:$F$7,MAX(ROUNDDOWN($J19-1,0),0),0),OFFSET($B$6:$B$7,MAX(ROUNDDOWN($J19-1,0),0),0))</f>
        <v>-1.0711063443594515E-2</v>
      </c>
      <c r="V19" s="151">
        <f ca="1"/>
        <v>1.0743588340405108</v>
      </c>
      <c r="W19" s="151">
        <f t="shared" ca="1" si="3"/>
        <v>1.03687011198793</v>
      </c>
      <c r="X19" s="152" cm="1">
        <f t="array" aca="1" ref="X19:Y19" ca="1">LINEST(OFFSET($G$6:$G$7,MAX(ROUNDDOWN($J19-1,0),0),0),OFFSET($B$6:$B$7,MAX(ROUNDDOWN($J19-1,0),0),0))</f>
        <v>-3.0487804878048808E-2</v>
      </c>
      <c r="Y19" s="151">
        <f ca="1"/>
        <v>1.3109756097560976</v>
      </c>
      <c r="Z19" s="151">
        <f t="shared" ca="1" si="6"/>
        <v>1.2042682926829267</v>
      </c>
    </row>
    <row r="20" spans="1:26" x14ac:dyDescent="0.25">
      <c r="B20">
        <v>14</v>
      </c>
      <c r="C20" s="151">
        <v>1</v>
      </c>
      <c r="D20" s="151">
        <v>1.0000000000000044</v>
      </c>
      <c r="E20" s="330">
        <v>0.99999918884982009</v>
      </c>
      <c r="F20" s="151">
        <v>0.99999999999999845</v>
      </c>
      <c r="G20" s="330">
        <v>1</v>
      </c>
      <c r="H20" s="151">
        <v>0.99999999999999845</v>
      </c>
      <c r="J20" s="101">
        <f t="shared" si="4"/>
        <v>3.75</v>
      </c>
      <c r="K20" s="101">
        <f t="shared" si="5"/>
        <v>15</v>
      </c>
      <c r="L20" s="152" cm="1">
        <f t="array" aca="1" ref="L20:M20" ca="1">LINEST(OFFSET($C$7:$C$8,MAX(ROUNDDOWN($J20-1,0),0),0),OFFSET($B$7:$B$8,MAX(ROUNDDOWN($J20-1,0),0),0))</f>
        <v>-7.958387689039893E-4</v>
      </c>
      <c r="M20" s="151">
        <f ca="1"/>
        <v>1.0035159715241686</v>
      </c>
      <c r="N20" s="151">
        <f t="shared" ca="1" si="0"/>
        <v>1.0005315761407787</v>
      </c>
      <c r="O20" s="152" cm="1">
        <f t="array" aca="1" ref="O20:P20" ca="1">LINEST(OFFSET($D$6:$D$7,MAX(ROUNDDOWN($J20-1,0),0),0),OFFSET($B$6:$B$7,MAX(ROUNDDOWN($J20-1,0),0),0))</f>
        <v>-9.9921709971484418E-4</v>
      </c>
      <c r="P20" s="151">
        <f ca="1"/>
        <v>1.0069335460915487</v>
      </c>
      <c r="Q20" s="151">
        <f t="shared" ca="1" si="1"/>
        <v>1.0031864819676182</v>
      </c>
      <c r="R20" s="152" cm="1">
        <f t="array" aca="1" ref="R20:S20" ca="1">LINEST(OFFSET($E$6:$E$7,MAX(ROUNDDOWN($J20-1,0),0),0),OFFSET($B$6:$B$7,MAX(ROUNDDOWN($J20-1,0),0),0))</f>
        <v>-9.7854832689692195E-3</v>
      </c>
      <c r="S20" s="151">
        <f ca="1"/>
        <v>1.0584737021129305</v>
      </c>
      <c r="T20" s="151">
        <f t="shared" ca="1" si="2"/>
        <v>1.021778139854296</v>
      </c>
      <c r="U20" s="152" cm="1">
        <f t="array" aca="1" ref="U20:V20" ca="1">LINEST(OFFSET($F$6:$F$7,MAX(ROUNDDOWN($J20-1,0),0),0),OFFSET($B$6:$B$7,MAX(ROUNDDOWN($J20-1,0),0),0))</f>
        <v>-1.0711063443594515E-2</v>
      </c>
      <c r="V20" s="151">
        <f ca="1"/>
        <v>1.0743588340405108</v>
      </c>
      <c r="W20" s="151">
        <f t="shared" ca="1" si="3"/>
        <v>1.0341923461270315</v>
      </c>
      <c r="X20" s="152" cm="1">
        <f t="array" aca="1" ref="X20:Y20" ca="1">LINEST(OFFSET($G$6:$G$7,MAX(ROUNDDOWN($J20-1,0),0),0),OFFSET($B$6:$B$7,MAX(ROUNDDOWN($J20-1,0),0),0))</f>
        <v>-3.0487804878048808E-2</v>
      </c>
      <c r="Y20" s="151">
        <f ca="1"/>
        <v>1.3109756097560976</v>
      </c>
      <c r="Z20" s="151">
        <f t="shared" ca="1" si="6"/>
        <v>1.1966463414634145</v>
      </c>
    </row>
    <row r="21" spans="1:26" x14ac:dyDescent="0.25">
      <c r="B21">
        <v>15</v>
      </c>
      <c r="C21" s="151">
        <v>1</v>
      </c>
      <c r="D21" s="151">
        <v>1</v>
      </c>
      <c r="E21" s="330">
        <v>0.99999999999999956</v>
      </c>
      <c r="F21" s="151">
        <v>1.000000000000002</v>
      </c>
      <c r="G21" s="330">
        <v>1</v>
      </c>
      <c r="H21" s="151">
        <v>1.000000000000002</v>
      </c>
      <c r="J21" s="101">
        <f t="shared" si="4"/>
        <v>4</v>
      </c>
      <c r="K21" s="101">
        <f t="shared" si="5"/>
        <v>16</v>
      </c>
      <c r="L21" s="152" cm="1">
        <f t="array" aca="1" ref="L21:M21" ca="1">LINEST(OFFSET($C$7:$C$8,MAX(ROUNDDOWN($J21-1,0),0),0),OFFSET($B$7:$B$8,MAX(ROUNDDOWN($J21-1,0),0),0))</f>
        <v>-2.2583144664478646E-4</v>
      </c>
      <c r="M21" s="151">
        <f ca="1"/>
        <v>1.0012359422351316</v>
      </c>
      <c r="N21" s="151">
        <f t="shared" ca="1" si="0"/>
        <v>1.0003326164485524</v>
      </c>
      <c r="O21" s="152" cm="1">
        <f t="array" aca="1" ref="O21:P21" ca="1">LINEST(OFFSET($D$6:$D$7,MAX(ROUNDDOWN($J21-1,0),0),0),OFFSET($B$6:$B$7,MAX(ROUNDDOWN($J21-1,0),0),0))</f>
        <v>-1.0722217114416122E-3</v>
      </c>
      <c r="P21" s="151">
        <f ca="1"/>
        <v>1.007152559926729</v>
      </c>
      <c r="Q21" s="151">
        <f t="shared" ca="1" si="1"/>
        <v>1.0028636730809626</v>
      </c>
      <c r="R21" s="152" cm="1">
        <f t="array" aca="1" ref="R21:S21" ca="1">LINEST(OFFSET($E$6:$E$7,MAX(ROUNDDOWN($J21-1,0),0),0),OFFSET($B$6:$B$7,MAX(ROUNDDOWN($J21-1,0),0),0))</f>
        <v>-7.4034427897193842E-3</v>
      </c>
      <c r="S21" s="151">
        <f ca="1"/>
        <v>1.0513275806751812</v>
      </c>
      <c r="T21" s="151">
        <f t="shared" ca="1" si="2"/>
        <v>1.0217138095163036</v>
      </c>
      <c r="U21" s="152" cm="1">
        <f t="array" aca="1" ref="U21:V21" ca="1">LINEST(OFFSET($F$6:$F$7,MAX(ROUNDDOWN($J21-1,0),0),0),OFFSET($B$6:$B$7,MAX(ROUNDDOWN($J21-1,0),0),0))</f>
        <v>-9.6318131499446586E-3</v>
      </c>
      <c r="V21" s="151">
        <f ca="1"/>
        <v>1.0711210831595612</v>
      </c>
      <c r="W21" s="151">
        <f t="shared" ca="1" si="3"/>
        <v>1.0325938305597826</v>
      </c>
      <c r="X21" s="152" cm="1">
        <f t="array" aca="1" ref="X21:Y21" ca="1">LINEST(OFFSET($G$6:$G$7,MAX(ROUNDDOWN($J21-1,0),0),0),OFFSET($B$6:$B$7,MAX(ROUNDDOWN($J21-1,0),0),0))</f>
        <v>-4.3041606886657043E-2</v>
      </c>
      <c r="Y21" s="151">
        <f ca="1"/>
        <v>1.3486370157819223</v>
      </c>
      <c r="Z21" s="151">
        <f t="shared" ca="1" si="6"/>
        <v>1.1764705882352942</v>
      </c>
    </row>
    <row r="22" spans="1:26" x14ac:dyDescent="0.25">
      <c r="B22">
        <v>16</v>
      </c>
      <c r="C22" s="151">
        <v>1</v>
      </c>
      <c r="D22" s="151">
        <v>1</v>
      </c>
      <c r="E22" s="330">
        <v>0.99999999999999933</v>
      </c>
      <c r="F22" s="151">
        <v>1</v>
      </c>
      <c r="G22" s="330">
        <v>1</v>
      </c>
      <c r="H22" s="151">
        <v>1</v>
      </c>
      <c r="J22" s="101">
        <f t="shared" si="4"/>
        <v>4.25</v>
      </c>
      <c r="K22" s="101">
        <f t="shared" si="5"/>
        <v>17</v>
      </c>
      <c r="L22" s="152" cm="1">
        <f t="array" aca="1" ref="L22:M22" ca="1">LINEST(OFFSET($C$7:$C$8,MAX(ROUNDDOWN($J22-1,0),0),0),OFFSET($B$7:$B$8,MAX(ROUNDDOWN($J22-1,0),0),0))</f>
        <v>-2.2583144664478646E-4</v>
      </c>
      <c r="M22" s="151">
        <f ca="1"/>
        <v>1.0012359422351316</v>
      </c>
      <c r="N22" s="151">
        <f t="shared" ca="1" si="0"/>
        <v>1.0002761585868911</v>
      </c>
      <c r="O22" s="152" cm="1">
        <f t="array" aca="1" ref="O22:P22" ca="1">LINEST(OFFSET($D$6:$D$7,MAX(ROUNDDOWN($J22-1,0),0),0),OFFSET($B$6:$B$7,MAX(ROUNDDOWN($J22-1,0),0),0))</f>
        <v>-1.0722217114416122E-3</v>
      </c>
      <c r="P22" s="151">
        <f ca="1"/>
        <v>1.007152559926729</v>
      </c>
      <c r="Q22" s="151">
        <f t="shared" ca="1" si="1"/>
        <v>1.0025956176531021</v>
      </c>
      <c r="R22" s="152" cm="1">
        <f t="array" aca="1" ref="R22:S22" ca="1">LINEST(OFFSET($E$6:$E$7,MAX(ROUNDDOWN($J22-1,0),0),0),OFFSET($B$6:$B$7,MAX(ROUNDDOWN($J22-1,0),0),0))</f>
        <v>-7.4034427897193842E-3</v>
      </c>
      <c r="S22" s="151">
        <f ca="1"/>
        <v>1.0513275806751812</v>
      </c>
      <c r="T22" s="151">
        <f t="shared" ca="1" si="2"/>
        <v>1.0198629488188737</v>
      </c>
      <c r="U22" s="152" cm="1">
        <f t="array" aca="1" ref="U22:V22" ca="1">LINEST(OFFSET($F$6:$F$7,MAX(ROUNDDOWN($J22-1,0),0),0),OFFSET($B$6:$B$7,MAX(ROUNDDOWN($J22-1,0),0),0))</f>
        <v>-9.6318131499446586E-3</v>
      </c>
      <c r="V22" s="151">
        <f ca="1"/>
        <v>1.0711210831595612</v>
      </c>
      <c r="W22" s="151">
        <f t="shared" ca="1" si="3"/>
        <v>1.0301858772722965</v>
      </c>
      <c r="X22" s="152" cm="1">
        <f t="array" aca="1" ref="X22:Y22" ca="1">LINEST(OFFSET($G$6:$G$7,MAX(ROUNDDOWN($J22-1,0),0),0),OFFSET($B$6:$B$7,MAX(ROUNDDOWN($J22-1,0),0),0))</f>
        <v>-4.3041606886657043E-2</v>
      </c>
      <c r="Y22" s="151">
        <f ca="1"/>
        <v>1.3486370157819223</v>
      </c>
      <c r="Z22" s="151">
        <f t="shared" ca="1" si="6"/>
        <v>1.1657101865136299</v>
      </c>
    </row>
    <row r="23" spans="1:26" x14ac:dyDescent="0.25">
      <c r="A23" s="1" t="s">
        <v>478</v>
      </c>
      <c r="B23" s="1">
        <v>17</v>
      </c>
      <c r="C23" s="327">
        <v>1</v>
      </c>
      <c r="D23" s="327">
        <v>1</v>
      </c>
      <c r="E23" s="327">
        <v>1</v>
      </c>
      <c r="F23" s="327">
        <v>1</v>
      </c>
      <c r="G23" s="326">
        <v>1</v>
      </c>
      <c r="H23" s="326">
        <v>1</v>
      </c>
      <c r="J23" s="101">
        <f t="shared" si="4"/>
        <v>4.5</v>
      </c>
      <c r="K23" s="101">
        <f t="shared" si="5"/>
        <v>18</v>
      </c>
      <c r="L23" s="152" cm="1">
        <f t="array" aca="1" ref="L23:M23" ca="1">LINEST(OFFSET($C$7:$C$8,MAX(ROUNDDOWN($J23-1,0),0),0),OFFSET($B$7:$B$8,MAX(ROUNDDOWN($J23-1,0),0),0))</f>
        <v>-2.2583144664478646E-4</v>
      </c>
      <c r="M23" s="151">
        <f ca="1"/>
        <v>1.0012359422351316</v>
      </c>
      <c r="N23" s="151">
        <f t="shared" ca="1" si="0"/>
        <v>1.00021970072523</v>
      </c>
      <c r="O23" s="152" cm="1">
        <f t="array" aca="1" ref="O23:P23" ca="1">LINEST(OFFSET($D$6:$D$7,MAX(ROUNDDOWN($J23-1,0),0),0),OFFSET($B$6:$B$7,MAX(ROUNDDOWN($J23-1,0),0),0))</f>
        <v>-1.0722217114416122E-3</v>
      </c>
      <c r="P23" s="151">
        <f ca="1"/>
        <v>1.007152559926729</v>
      </c>
      <c r="Q23" s="151">
        <f t="shared" ca="1" si="1"/>
        <v>1.0023275622252417</v>
      </c>
      <c r="R23" s="152" cm="1">
        <f t="array" aca="1" ref="R23:S23" ca="1">LINEST(OFFSET($E$6:$E$7,MAX(ROUNDDOWN($J23-1,0),0),0),OFFSET($B$6:$B$7,MAX(ROUNDDOWN($J23-1,0),0),0))</f>
        <v>-7.4034427897193842E-3</v>
      </c>
      <c r="S23" s="151">
        <f ca="1"/>
        <v>1.0513275806751812</v>
      </c>
      <c r="T23" s="151">
        <f t="shared" ca="1" si="2"/>
        <v>1.0180120881214438</v>
      </c>
      <c r="U23" s="152" cm="1">
        <f t="array" aca="1" ref="U23:V23" ca="1">LINEST(OFFSET($F$6:$F$7,MAX(ROUNDDOWN($J23-1,0),0),0),OFFSET($B$6:$B$7,MAX(ROUNDDOWN($J23-1,0),0),0))</f>
        <v>-9.6318131499446586E-3</v>
      </c>
      <c r="V23" s="151">
        <f ca="1"/>
        <v>1.0711210831595612</v>
      </c>
      <c r="W23" s="151">
        <f t="shared" ca="1" si="3"/>
        <v>1.0277779239848102</v>
      </c>
      <c r="X23" s="152" cm="1">
        <f t="array" aca="1" ref="X23:Y23" ca="1">LINEST(OFFSET($G$6:$G$7,MAX(ROUNDDOWN($J23-1,0),0),0),OFFSET($B$6:$B$7,MAX(ROUNDDOWN($J23-1,0),0),0))</f>
        <v>-4.3041606886657043E-2</v>
      </c>
      <c r="Y23" s="151">
        <f ca="1"/>
        <v>1.3486370157819223</v>
      </c>
      <c r="Z23" s="151">
        <f t="shared" ca="1" si="6"/>
        <v>1.1549497847919656</v>
      </c>
    </row>
    <row r="24" spans="1:26" x14ac:dyDescent="0.25">
      <c r="B24">
        <v>18</v>
      </c>
      <c r="C24" s="326">
        <v>1</v>
      </c>
      <c r="D24" s="326">
        <v>1</v>
      </c>
      <c r="E24" s="326">
        <v>1</v>
      </c>
      <c r="F24" s="326">
        <v>1</v>
      </c>
      <c r="G24" s="326">
        <v>1</v>
      </c>
      <c r="H24" s="326">
        <v>1</v>
      </c>
      <c r="J24" s="101">
        <f t="shared" si="4"/>
        <v>4.75</v>
      </c>
      <c r="K24" s="101">
        <f t="shared" si="5"/>
        <v>19</v>
      </c>
      <c r="L24" s="152" cm="1">
        <f t="array" aca="1" ref="L24:M24" ca="1">LINEST(OFFSET($C$7:$C$8,MAX(ROUNDDOWN($J24-1,0),0),0),OFFSET($B$7:$B$8,MAX(ROUNDDOWN($J24-1,0),0),0))</f>
        <v>-2.2583144664478646E-4</v>
      </c>
      <c r="M24" s="151">
        <f ca="1"/>
        <v>1.0012359422351316</v>
      </c>
      <c r="N24" s="151">
        <f t="shared" ca="1" si="0"/>
        <v>1.0001632428635687</v>
      </c>
      <c r="O24" s="152" cm="1">
        <f t="array" aca="1" ref="O24:P24" ca="1">LINEST(OFFSET($D$6:$D$7,MAX(ROUNDDOWN($J24-1,0),0),0),OFFSET($B$6:$B$7,MAX(ROUNDDOWN($J24-1,0),0),0))</f>
        <v>-1.0722217114416122E-3</v>
      </c>
      <c r="P24" s="151">
        <f ca="1"/>
        <v>1.007152559926729</v>
      </c>
      <c r="Q24" s="151">
        <f t="shared" ca="1" si="1"/>
        <v>1.0020595067973814</v>
      </c>
      <c r="R24" s="152" cm="1">
        <f t="array" aca="1" ref="R24:S24" ca="1">LINEST(OFFSET($E$6:$E$7,MAX(ROUNDDOWN($J24-1,0),0),0),OFFSET($B$6:$B$7,MAX(ROUNDDOWN($J24-1,0),0),0))</f>
        <v>-7.4034427897193842E-3</v>
      </c>
      <c r="S24" s="151">
        <f ca="1"/>
        <v>1.0513275806751812</v>
      </c>
      <c r="T24" s="151">
        <f t="shared" ca="1" si="2"/>
        <v>1.0161612274240142</v>
      </c>
      <c r="U24" s="152" cm="1">
        <f t="array" aca="1" ref="U24:V24" ca="1">LINEST(OFFSET($F$6:$F$7,MAX(ROUNDDOWN($J24-1,0),0),0),OFFSET($B$6:$B$7,MAX(ROUNDDOWN($J24-1,0),0),0))</f>
        <v>-9.6318131499446586E-3</v>
      </c>
      <c r="V24" s="151">
        <f ca="1"/>
        <v>1.0711210831595612</v>
      </c>
      <c r="W24" s="151">
        <f t="shared" ca="1" si="3"/>
        <v>1.0253699706973241</v>
      </c>
      <c r="X24" s="152" cm="1">
        <f t="array" aca="1" ref="X24:Y24" ca="1">LINEST(OFFSET($G$6:$G$7,MAX(ROUNDDOWN($J24-1,0),0),0),OFFSET($B$6:$B$7,MAX(ROUNDDOWN($J24-1,0),0),0))</f>
        <v>-4.3041606886657043E-2</v>
      </c>
      <c r="Y24" s="151">
        <f ca="1"/>
        <v>1.3486370157819223</v>
      </c>
      <c r="Z24" s="151">
        <f t="shared" ca="1" si="6"/>
        <v>1.1441893830703014</v>
      </c>
    </row>
    <row r="25" spans="1:26" x14ac:dyDescent="0.25">
      <c r="B25">
        <v>19</v>
      </c>
      <c r="C25" s="326">
        <v>1</v>
      </c>
      <c r="D25" s="326">
        <v>1</v>
      </c>
      <c r="E25" s="326">
        <v>1</v>
      </c>
      <c r="F25" s="326">
        <v>1</v>
      </c>
      <c r="G25" s="326">
        <v>1</v>
      </c>
      <c r="H25" s="326">
        <v>1</v>
      </c>
      <c r="J25" s="101">
        <f t="shared" si="4"/>
        <v>5</v>
      </c>
      <c r="K25" s="101">
        <f t="shared" si="5"/>
        <v>20</v>
      </c>
      <c r="L25" s="152" cm="1">
        <f t="array" aca="1" ref="L25:M25" ca="1">LINEST(OFFSET($C$7:$C$8,MAX(ROUNDDOWN($J25-1,0),0),0),OFFSET($B$7:$B$8,MAX(ROUNDDOWN($J25-1,0),0),0))</f>
        <v>1.4669780190135207E-4</v>
      </c>
      <c r="M25" s="151">
        <f ca="1"/>
        <v>0.99937329599240099</v>
      </c>
      <c r="N25" s="151">
        <f t="shared" ca="1" si="0"/>
        <v>1.0001067850019076</v>
      </c>
      <c r="O25" s="152" cm="1">
        <f t="array" aca="1" ref="O25:P25" ca="1">LINEST(OFFSET($D$6:$D$7,MAX(ROUNDDOWN($J25-1,0),0),0),OFFSET($B$6:$B$7,MAX(ROUNDDOWN($J25-1,0),0),0))</f>
        <v>-4.6364397740061868E-4</v>
      </c>
      <c r="P25" s="151">
        <f ca="1"/>
        <v>1.0047182489905651</v>
      </c>
      <c r="Q25" s="151">
        <f t="shared" ca="1" si="1"/>
        <v>1.002400029103562</v>
      </c>
      <c r="R25" s="152" cm="1">
        <f t="array" aca="1" ref="R25:S25" ca="1">LINEST(OFFSET($E$6:$E$7,MAX(ROUNDDOWN($J25-1,0),0),0),OFFSET($B$6:$B$7,MAX(ROUNDDOWN($J25-1,0),0),0))</f>
        <v>-6.5628760828924113E-3</v>
      </c>
      <c r="S25" s="151">
        <f ca="1"/>
        <v>1.0479653138478733</v>
      </c>
      <c r="T25" s="151">
        <f t="shared" ca="1" si="2"/>
        <v>1.0151509334334112</v>
      </c>
      <c r="U25" s="152" cm="1">
        <f t="array" aca="1" ref="U25:V25" ca="1">LINEST(OFFSET($F$6:$F$7,MAX(ROUNDDOWN($J25-1,0),0),0),OFFSET($B$6:$B$7,MAX(ROUNDDOWN($J25-1,0),0),0))</f>
        <v>-8.2192730903523116E-3</v>
      </c>
      <c r="V25" s="151">
        <f ca="1"/>
        <v>1.0654709229211918</v>
      </c>
      <c r="W25" s="151">
        <f t="shared" ca="1" si="3"/>
        <v>1.0243745574694303</v>
      </c>
      <c r="X25" s="152" cm="1">
        <f t="array" aca="1" ref="X25:Y25" ca="1">LINEST(OFFSET($G$6:$G$7,MAX(ROUNDDOWN($J25-1,0),0),0),OFFSET($B$6:$B$7,MAX(ROUNDDOWN($J25-1,0),0),0))</f>
        <v>-2.7045300878972393E-2</v>
      </c>
      <c r="Y25" s="151">
        <f ca="1"/>
        <v>1.2846517917511839</v>
      </c>
      <c r="Z25" s="151">
        <f t="shared" ca="1" si="6"/>
        <v>1.149425287356322</v>
      </c>
    </row>
    <row r="26" spans="1:26" x14ac:dyDescent="0.25">
      <c r="B26">
        <v>20</v>
      </c>
      <c r="C26" s="326">
        <v>1</v>
      </c>
      <c r="D26" s="326">
        <v>1</v>
      </c>
      <c r="E26" s="326">
        <v>1</v>
      </c>
      <c r="F26" s="326">
        <v>1</v>
      </c>
      <c r="G26" s="326">
        <v>1</v>
      </c>
      <c r="H26" s="326">
        <v>1</v>
      </c>
      <c r="J26" s="101">
        <f t="shared" si="4"/>
        <v>5.25</v>
      </c>
      <c r="K26" s="101">
        <f t="shared" si="5"/>
        <v>21</v>
      </c>
      <c r="L26" s="152" cm="1">
        <f t="array" aca="1" ref="L26:M26" ca="1">LINEST(OFFSET($C$7:$C$8,MAX(ROUNDDOWN($J26-1,0),0),0),OFFSET($B$7:$B$8,MAX(ROUNDDOWN($J26-1,0),0),0))</f>
        <v>1.4669780190135207E-4</v>
      </c>
      <c r="M26" s="151">
        <f ca="1"/>
        <v>0.99937329599240099</v>
      </c>
      <c r="N26" s="151">
        <f t="shared" ca="1" si="0"/>
        <v>1.000143459452383</v>
      </c>
      <c r="O26" s="152" cm="1">
        <f t="array" aca="1" ref="O26:P26" ca="1">LINEST(OFFSET($D$6:$D$7,MAX(ROUNDDOWN($J26-1,0),0),0),OFFSET($B$6:$B$7,MAX(ROUNDDOWN($J26-1,0),0),0))</f>
        <v>-4.6364397740061868E-4</v>
      </c>
      <c r="P26" s="151">
        <f ca="1"/>
        <v>1.0047182489905651</v>
      </c>
      <c r="Q26" s="151">
        <f t="shared" ca="1" si="1"/>
        <v>1.0022841181092117</v>
      </c>
      <c r="R26" s="152" cm="1">
        <f t="array" aca="1" ref="R26:S26" ca="1">LINEST(OFFSET($E$6:$E$7,MAX(ROUNDDOWN($J26-1,0),0),0),OFFSET($B$6:$B$7,MAX(ROUNDDOWN($J26-1,0),0),0))</f>
        <v>-6.5628760828924113E-3</v>
      </c>
      <c r="S26" s="151">
        <f ca="1"/>
        <v>1.0479653138478733</v>
      </c>
      <c r="T26" s="151">
        <f t="shared" ca="1" si="2"/>
        <v>1.0135102144126882</v>
      </c>
      <c r="U26" s="152" cm="1">
        <f t="array" aca="1" ref="U26:V26" ca="1">LINEST(OFFSET($F$6:$F$7,MAX(ROUNDDOWN($J26-1,0),0),0),OFFSET($B$6:$B$7,MAX(ROUNDDOWN($J26-1,0),0),0))</f>
        <v>-8.2192730903523116E-3</v>
      </c>
      <c r="V26" s="151">
        <f ca="1"/>
        <v>1.0654709229211918</v>
      </c>
      <c r="W26" s="151">
        <f t="shared" ca="1" si="3"/>
        <v>1.0223197391968422</v>
      </c>
      <c r="X26" s="152" cm="1">
        <f t="array" aca="1" ref="X26:Y26" ca="1">LINEST(OFFSET($G$6:$G$7,MAX(ROUNDDOWN($J26-1,0),0),0),OFFSET($B$6:$B$7,MAX(ROUNDDOWN($J26-1,0),0),0))</f>
        <v>-2.7045300878972393E-2</v>
      </c>
      <c r="Y26" s="151">
        <f ca="1"/>
        <v>1.2846517917511839</v>
      </c>
      <c r="Z26" s="151">
        <f t="shared" ca="1" si="6"/>
        <v>1.1426639621365788</v>
      </c>
    </row>
    <row r="27" spans="1:26" x14ac:dyDescent="0.25">
      <c r="B27">
        <v>21</v>
      </c>
      <c r="C27" s="326">
        <v>1</v>
      </c>
      <c r="D27" s="326">
        <v>1</v>
      </c>
      <c r="E27" s="326">
        <v>1</v>
      </c>
      <c r="F27" s="326">
        <v>1</v>
      </c>
      <c r="G27" s="326">
        <v>1</v>
      </c>
      <c r="H27" s="326">
        <v>1</v>
      </c>
      <c r="J27" s="101">
        <f t="shared" si="4"/>
        <v>5.5</v>
      </c>
      <c r="K27" s="101">
        <f t="shared" si="5"/>
        <v>22</v>
      </c>
      <c r="L27" s="152" cm="1">
        <f t="array" aca="1" ref="L27:M27" ca="1">LINEST(OFFSET($C$7:$C$8,MAX(ROUNDDOWN($J27-1,0),0),0),OFFSET($B$7:$B$8,MAX(ROUNDDOWN($J27-1,0),0),0))</f>
        <v>1.4669780190135207E-4</v>
      </c>
      <c r="M27" s="151">
        <f ca="1"/>
        <v>0.99937329599240099</v>
      </c>
      <c r="N27" s="151">
        <f t="shared" ca="1" si="0"/>
        <v>1.0001801339028584</v>
      </c>
      <c r="O27" s="152" cm="1">
        <f t="array" aca="1" ref="O27:P27" ca="1">LINEST(OFFSET($D$6:$D$7,MAX(ROUNDDOWN($J27-1,0),0),0),OFFSET($B$6:$B$7,MAX(ROUNDDOWN($J27-1,0),0),0))</f>
        <v>-4.6364397740061868E-4</v>
      </c>
      <c r="P27" s="151">
        <f ca="1"/>
        <v>1.0047182489905651</v>
      </c>
      <c r="Q27" s="151">
        <f t="shared" ca="1" si="1"/>
        <v>1.0021682071148617</v>
      </c>
      <c r="R27" s="152" cm="1">
        <f t="array" aca="1" ref="R27:S27" ca="1">LINEST(OFFSET($E$6:$E$7,MAX(ROUNDDOWN($J27-1,0),0),0),OFFSET($B$6:$B$7,MAX(ROUNDDOWN($J27-1,0),0),0))</f>
        <v>-6.5628760828924113E-3</v>
      </c>
      <c r="S27" s="151">
        <f ca="1"/>
        <v>1.0479653138478733</v>
      </c>
      <c r="T27" s="151">
        <f t="shared" ca="1" si="2"/>
        <v>1.0118694953919649</v>
      </c>
      <c r="U27" s="152" cm="1">
        <f t="array" aca="1" ref="U27:V27" ca="1">LINEST(OFFSET($F$6:$F$7,MAX(ROUNDDOWN($J27-1,0),0),0),OFFSET($B$6:$B$7,MAX(ROUNDDOWN($J27-1,0),0),0))</f>
        <v>-8.2192730903523116E-3</v>
      </c>
      <c r="V27" s="151">
        <f ca="1"/>
        <v>1.0654709229211918</v>
      </c>
      <c r="W27" s="151">
        <f t="shared" ca="1" si="3"/>
        <v>1.020264920924254</v>
      </c>
      <c r="X27" s="152" cm="1">
        <f t="array" aca="1" ref="X27:Y27" ca="1">LINEST(OFFSET($G$6:$G$7,MAX(ROUNDDOWN($J27-1,0),0),0),OFFSET($B$6:$B$7,MAX(ROUNDDOWN($J27-1,0),0),0))</f>
        <v>-2.7045300878972393E-2</v>
      </c>
      <c r="Y27" s="151">
        <f ca="1"/>
        <v>1.2846517917511839</v>
      </c>
      <c r="Z27" s="151">
        <f t="shared" ca="1" si="6"/>
        <v>1.1359026369168357</v>
      </c>
    </row>
    <row r="28" spans="1:26" x14ac:dyDescent="0.25">
      <c r="B28">
        <v>22</v>
      </c>
      <c r="C28" s="326">
        <v>1</v>
      </c>
      <c r="D28" s="326">
        <v>1</v>
      </c>
      <c r="E28" s="326">
        <v>1</v>
      </c>
      <c r="F28" s="326">
        <v>1</v>
      </c>
      <c r="G28" s="326">
        <v>1</v>
      </c>
      <c r="H28" s="326">
        <v>1</v>
      </c>
      <c r="J28" s="101">
        <f t="shared" si="4"/>
        <v>5.75</v>
      </c>
      <c r="K28" s="101">
        <f t="shared" si="5"/>
        <v>23</v>
      </c>
      <c r="L28" s="152" cm="1">
        <f t="array" aca="1" ref="L28:M28" ca="1">LINEST(OFFSET($C$7:$C$8,MAX(ROUNDDOWN($J28-1,0),0),0),OFFSET($B$7:$B$8,MAX(ROUNDDOWN($J28-1,0),0),0))</f>
        <v>1.4669780190135207E-4</v>
      </c>
      <c r="M28" s="151">
        <f ca="1"/>
        <v>0.99937329599240099</v>
      </c>
      <c r="N28" s="151">
        <f t="shared" ca="1" si="0"/>
        <v>1.0002168083533338</v>
      </c>
      <c r="O28" s="152" cm="1">
        <f t="array" aca="1" ref="O28:P28" ca="1">LINEST(OFFSET($D$6:$D$7,MAX(ROUNDDOWN($J28-1,0),0),0),OFFSET($B$6:$B$7,MAX(ROUNDDOWN($J28-1,0),0),0))</f>
        <v>-4.6364397740061868E-4</v>
      </c>
      <c r="P28" s="151">
        <f ca="1"/>
        <v>1.0047182489905651</v>
      </c>
      <c r="Q28" s="151">
        <f t="shared" ca="1" si="1"/>
        <v>1.0020522961205114</v>
      </c>
      <c r="R28" s="152" cm="1">
        <f t="array" aca="1" ref="R28:S28" ca="1">LINEST(OFFSET($E$6:$E$7,MAX(ROUNDDOWN($J28-1,0),0),0),OFFSET($B$6:$B$7,MAX(ROUNDDOWN($J28-1,0),0),0))</f>
        <v>-6.5628760828924113E-3</v>
      </c>
      <c r="S28" s="151">
        <f ca="1"/>
        <v>1.0479653138478733</v>
      </c>
      <c r="T28" s="151">
        <f t="shared" ca="1" si="2"/>
        <v>1.0102287763712419</v>
      </c>
      <c r="U28" s="152" cm="1">
        <f t="array" aca="1" ref="U28:V28" ca="1">LINEST(OFFSET($F$6:$F$7,MAX(ROUNDDOWN($J28-1,0),0),0),OFFSET($B$6:$B$7,MAX(ROUNDDOWN($J28-1,0),0),0))</f>
        <v>-8.2192730903523116E-3</v>
      </c>
      <c r="V28" s="151">
        <f ca="1"/>
        <v>1.0654709229211918</v>
      </c>
      <c r="W28" s="151">
        <f t="shared" ca="1" si="3"/>
        <v>1.0182101026516661</v>
      </c>
      <c r="X28" s="152" cm="1">
        <f t="array" aca="1" ref="X28:Y28" ca="1">LINEST(OFFSET($G$6:$G$7,MAX(ROUNDDOWN($J28-1,0),0),0),OFFSET($B$6:$B$7,MAX(ROUNDDOWN($J28-1,0),0),0))</f>
        <v>-2.7045300878972393E-2</v>
      </c>
      <c r="Y28" s="151">
        <f ca="1"/>
        <v>1.2846517917511839</v>
      </c>
      <c r="Z28" s="151">
        <f t="shared" ca="1" si="6"/>
        <v>1.1291413116970928</v>
      </c>
    </row>
    <row r="29" spans="1:26" x14ac:dyDescent="0.25">
      <c r="B29">
        <v>23</v>
      </c>
      <c r="C29" s="326">
        <v>1</v>
      </c>
      <c r="D29" s="326">
        <v>1</v>
      </c>
      <c r="E29" s="326">
        <v>1</v>
      </c>
      <c r="F29" s="326">
        <v>1</v>
      </c>
      <c r="G29" s="326">
        <v>1</v>
      </c>
      <c r="H29" s="326">
        <v>1</v>
      </c>
      <c r="J29" s="101">
        <f t="shared" si="4"/>
        <v>6</v>
      </c>
      <c r="K29" s="101">
        <f t="shared" si="5"/>
        <v>24</v>
      </c>
      <c r="L29" s="152" cm="1">
        <f t="array" aca="1" ref="L29:M29" ca="1">LINEST(OFFSET($C$7:$C$8,MAX(ROUNDDOWN($J29-1,0),0),0),OFFSET($B$7:$B$8,MAX(ROUNDDOWN($J29-1,0),0),0))</f>
        <v>-1.0227654985484058E-4</v>
      </c>
      <c r="M29" s="151">
        <f ca="1"/>
        <v>1.0008671421029383</v>
      </c>
      <c r="N29" s="151">
        <f t="shared" ca="1" si="0"/>
        <v>1.0002534828038092</v>
      </c>
      <c r="O29" s="152" cm="1">
        <f t="array" aca="1" ref="O29:P29" ca="1">LINEST(OFFSET($D$6:$D$7,MAX(ROUNDDOWN($J29-1,0),0),0),OFFSET($B$6:$B$7,MAX(ROUNDDOWN($J29-1,0),0),0))</f>
        <v>-7.6037887417745907E-4</v>
      </c>
      <c r="P29" s="151">
        <f ca="1"/>
        <v>1.0062019234744493</v>
      </c>
      <c r="Q29" s="151">
        <f t="shared" ca="1" si="1"/>
        <v>1.0016396502293845</v>
      </c>
      <c r="R29" s="152" cm="1">
        <f t="array" aca="1" ref="R29:S29" ca="1">LINEST(OFFSET($E$6:$E$7,MAX(ROUNDDOWN($J29-1,0),0),0),OFFSET($B$6:$B$7,MAX(ROUNDDOWN($J29-1,0),0),0))</f>
        <v>-4.9457729572750537E-3</v>
      </c>
      <c r="S29" s="151">
        <f ca="1"/>
        <v>1.0398797982197865</v>
      </c>
      <c r="T29" s="151">
        <f t="shared" ca="1" si="2"/>
        <v>1.0102051604761362</v>
      </c>
      <c r="U29" s="152" cm="1">
        <f t="array" aca="1" ref="U29:V29" ca="1">LINEST(OFFSET($F$6:$F$7,MAX(ROUNDDOWN($J29-1,0),0),0),OFFSET($B$6:$B$7,MAX(ROUNDDOWN($J29-1,0),0),0))</f>
        <v>-6.4648323876674851E-3</v>
      </c>
      <c r="V29" s="151">
        <f ca="1"/>
        <v>1.0566987194077677</v>
      </c>
      <c r="W29" s="151">
        <f t="shared" ca="1" si="3"/>
        <v>1.0179097250817628</v>
      </c>
      <c r="X29" s="152" cm="1">
        <f t="array" aca="1" ref="X29:Y29" ca="1">LINEST(OFFSET($G$6:$G$7,MAX(ROUNDDOWN($J29-1,0),0),0),OFFSET($B$6:$B$7,MAX(ROUNDDOWN($J29-1,0),0),0))</f>
        <v>-2.5829781738344174E-2</v>
      </c>
      <c r="Y29" s="151">
        <f ca="1"/>
        <v>1.2785741960480426</v>
      </c>
      <c r="Z29" s="151">
        <f t="shared" ca="1" si="6"/>
        <v>1.1235955056179776</v>
      </c>
    </row>
    <row r="30" spans="1:26" x14ac:dyDescent="0.25">
      <c r="B30">
        <v>24</v>
      </c>
      <c r="C30" s="326">
        <v>1</v>
      </c>
      <c r="D30" s="326">
        <v>1</v>
      </c>
      <c r="E30" s="326">
        <v>1</v>
      </c>
      <c r="F30" s="326">
        <v>1</v>
      </c>
      <c r="G30" s="326">
        <v>1</v>
      </c>
      <c r="H30" s="326">
        <v>1</v>
      </c>
      <c r="J30" s="101">
        <f t="shared" si="4"/>
        <v>6.25</v>
      </c>
      <c r="K30" s="101">
        <f t="shared" si="5"/>
        <v>25</v>
      </c>
      <c r="L30" s="152" cm="1">
        <f t="array" aca="1" ref="L30:M30" ca="1">LINEST(OFFSET($C$7:$C$8,MAX(ROUNDDOWN($J30-1,0),0),0),OFFSET($B$7:$B$8,MAX(ROUNDDOWN($J30-1,0),0),0))</f>
        <v>-1.0227654985484058E-4</v>
      </c>
      <c r="M30" s="151">
        <f ca="1"/>
        <v>1.0008671421029383</v>
      </c>
      <c r="N30" s="151">
        <f t="shared" ca="1" si="0"/>
        <v>1.0002279136663454</v>
      </c>
      <c r="O30" s="152" cm="1">
        <f t="array" aca="1" ref="O30:P30" ca="1">LINEST(OFFSET($D$6:$D$7,MAX(ROUNDDOWN($J30-1,0),0),0),OFFSET($B$6:$B$7,MAX(ROUNDDOWN($J30-1,0),0),0))</f>
        <v>-7.6037887417745907E-4</v>
      </c>
      <c r="P30" s="151">
        <f ca="1"/>
        <v>1.0062019234744493</v>
      </c>
      <c r="Q30" s="151">
        <f t="shared" ca="1" si="1"/>
        <v>1.00144955551084</v>
      </c>
      <c r="R30" s="152" cm="1">
        <f t="array" aca="1" ref="R30:S30" ca="1">LINEST(OFFSET($E$6:$E$7,MAX(ROUNDDOWN($J30-1,0),0),0),OFFSET($B$6:$B$7,MAX(ROUNDDOWN($J30-1,0),0),0))</f>
        <v>-4.9457729572750537E-3</v>
      </c>
      <c r="S30" s="151">
        <f ca="1"/>
        <v>1.0398797982197865</v>
      </c>
      <c r="T30" s="151">
        <f t="shared" ca="1" si="2"/>
        <v>1.0089687172368174</v>
      </c>
      <c r="U30" s="152" cm="1">
        <f t="array" aca="1" ref="U30:V30" ca="1">LINEST(OFFSET($F$6:$F$7,MAX(ROUNDDOWN($J30-1,0),0),0),OFFSET($B$6:$B$7,MAX(ROUNDDOWN($J30-1,0),0),0))</f>
        <v>-6.4648323876674851E-3</v>
      </c>
      <c r="V30" s="151">
        <f ca="1"/>
        <v>1.0566987194077677</v>
      </c>
      <c r="W30" s="151">
        <f t="shared" ca="1" si="3"/>
        <v>1.0162935169848459</v>
      </c>
      <c r="X30" s="152" cm="1">
        <f t="array" aca="1" ref="X30:Y30" ca="1">LINEST(OFFSET($G$6:$G$7,MAX(ROUNDDOWN($J30-1,0),0),0),OFFSET($B$6:$B$7,MAX(ROUNDDOWN($J30-1,0),0),0))</f>
        <v>-2.5829781738344174E-2</v>
      </c>
      <c r="Y30" s="151">
        <f ca="1"/>
        <v>1.2785741960480426</v>
      </c>
      <c r="Z30" s="151">
        <f t="shared" ca="1" si="6"/>
        <v>1.1171380601833916</v>
      </c>
    </row>
    <row r="31" spans="1:26" x14ac:dyDescent="0.25">
      <c r="B31">
        <v>25</v>
      </c>
      <c r="C31" s="326">
        <v>1</v>
      </c>
      <c r="D31" s="326">
        <v>1</v>
      </c>
      <c r="E31" s="326">
        <v>1</v>
      </c>
      <c r="F31" s="326">
        <v>1</v>
      </c>
      <c r="G31" s="326">
        <v>1</v>
      </c>
      <c r="H31" s="326">
        <v>1</v>
      </c>
      <c r="J31" s="101">
        <f t="shared" si="4"/>
        <v>6.5</v>
      </c>
      <c r="K31" s="101">
        <f t="shared" si="5"/>
        <v>26</v>
      </c>
      <c r="L31" s="152" cm="1">
        <f t="array" aca="1" ref="L31:M31" ca="1">LINEST(OFFSET($C$7:$C$8,MAX(ROUNDDOWN($J31-1,0),0),0),OFFSET($B$7:$B$8,MAX(ROUNDDOWN($J31-1,0),0),0))</f>
        <v>-1.0227654985484058E-4</v>
      </c>
      <c r="M31" s="151">
        <f ca="1"/>
        <v>1.0008671421029383</v>
      </c>
      <c r="N31" s="151">
        <f t="shared" ca="1" si="0"/>
        <v>1.0002023445288817</v>
      </c>
      <c r="O31" s="152" cm="1">
        <f t="array" aca="1" ref="O31:P31" ca="1">LINEST(OFFSET($D$6:$D$7,MAX(ROUNDDOWN($J31-1,0),0),0),OFFSET($B$6:$B$7,MAX(ROUNDDOWN($J31-1,0),0),0))</f>
        <v>-7.6037887417745907E-4</v>
      </c>
      <c r="P31" s="151">
        <f ca="1"/>
        <v>1.0062019234744493</v>
      </c>
      <c r="Q31" s="151">
        <f t="shared" ca="1" si="1"/>
        <v>1.0012594607922958</v>
      </c>
      <c r="R31" s="152" cm="1">
        <f t="array" aca="1" ref="R31:S31" ca="1">LINEST(OFFSET($E$6:$E$7,MAX(ROUNDDOWN($J31-1,0),0),0),OFFSET($B$6:$B$7,MAX(ROUNDDOWN($J31-1,0),0),0))</f>
        <v>-4.9457729572750537E-3</v>
      </c>
      <c r="S31" s="151">
        <f ca="1"/>
        <v>1.0398797982197865</v>
      </c>
      <c r="T31" s="151">
        <f t="shared" ca="1" si="2"/>
        <v>1.0077322739974985</v>
      </c>
      <c r="U31" s="152" cm="1">
        <f t="array" aca="1" ref="U31:V31" ca="1">LINEST(OFFSET($F$6:$F$7,MAX(ROUNDDOWN($J31-1,0),0),0),OFFSET($B$6:$B$7,MAX(ROUNDDOWN($J31-1,0),0),0))</f>
        <v>-6.4648323876674851E-3</v>
      </c>
      <c r="V31" s="151">
        <f ca="1"/>
        <v>1.0566987194077677</v>
      </c>
      <c r="W31" s="151">
        <f t="shared" ca="1" si="3"/>
        <v>1.0146773088879291</v>
      </c>
      <c r="X31" s="152" cm="1">
        <f t="array" aca="1" ref="X31:Y31" ca="1">LINEST(OFFSET($G$6:$G$7,MAX(ROUNDDOWN($J31-1,0),0),0),OFFSET($B$6:$B$7,MAX(ROUNDDOWN($J31-1,0),0),0))</f>
        <v>-2.5829781738344174E-2</v>
      </c>
      <c r="Y31" s="151">
        <f ca="1"/>
        <v>1.2785741960480426</v>
      </c>
      <c r="Z31" s="151">
        <f t="shared" ca="1" si="6"/>
        <v>1.1106806147488055</v>
      </c>
    </row>
    <row r="32" spans="1:26" x14ac:dyDescent="0.25">
      <c r="B32">
        <v>26</v>
      </c>
      <c r="C32" s="326">
        <v>1</v>
      </c>
      <c r="D32" s="326">
        <v>1</v>
      </c>
      <c r="E32" s="326">
        <v>1</v>
      </c>
      <c r="F32" s="326">
        <v>1</v>
      </c>
      <c r="G32" s="326">
        <v>1</v>
      </c>
      <c r="H32" s="326">
        <v>1</v>
      </c>
      <c r="J32" s="101">
        <f t="shared" si="4"/>
        <v>6.75</v>
      </c>
      <c r="K32" s="101">
        <f t="shared" si="5"/>
        <v>27</v>
      </c>
      <c r="L32" s="152" cm="1">
        <f t="array" aca="1" ref="L32:M32" ca="1">LINEST(OFFSET($C$7:$C$8,MAX(ROUNDDOWN($J32-1,0),0),0),OFFSET($B$7:$B$8,MAX(ROUNDDOWN($J32-1,0),0),0))</f>
        <v>-1.0227654985484058E-4</v>
      </c>
      <c r="M32" s="151">
        <f ca="1"/>
        <v>1.0008671421029383</v>
      </c>
      <c r="N32" s="151">
        <f t="shared" ca="1" si="0"/>
        <v>1.0001767753914181</v>
      </c>
      <c r="O32" s="152" cm="1">
        <f t="array" aca="1" ref="O32:P32" ca="1">LINEST(OFFSET($D$6:$D$7,MAX(ROUNDDOWN($J32-1,0),0),0),OFFSET($B$6:$B$7,MAX(ROUNDDOWN($J32-1,0),0),0))</f>
        <v>-7.6037887417745907E-4</v>
      </c>
      <c r="P32" s="151">
        <f ca="1"/>
        <v>1.0062019234744493</v>
      </c>
      <c r="Q32" s="151">
        <f t="shared" ca="1" si="1"/>
        <v>1.0010693660737513</v>
      </c>
      <c r="R32" s="152" cm="1">
        <f t="array" aca="1" ref="R32:S32" ca="1">LINEST(OFFSET($E$6:$E$7,MAX(ROUNDDOWN($J32-1,0),0),0),OFFSET($B$6:$B$7,MAX(ROUNDDOWN($J32-1,0),0),0))</f>
        <v>-4.9457729572750537E-3</v>
      </c>
      <c r="S32" s="151">
        <f ca="1"/>
        <v>1.0398797982197865</v>
      </c>
      <c r="T32" s="151">
        <f t="shared" ca="1" si="2"/>
        <v>1.0064958307581799</v>
      </c>
      <c r="U32" s="152" cm="1">
        <f t="array" aca="1" ref="U32:V32" ca="1">LINEST(OFFSET($F$6:$F$7,MAX(ROUNDDOWN($J32-1,0),0),0),OFFSET($B$6:$B$7,MAX(ROUNDDOWN($J32-1,0),0),0))</f>
        <v>-6.4648323876674851E-3</v>
      </c>
      <c r="V32" s="151">
        <f ca="1"/>
        <v>1.0566987194077677</v>
      </c>
      <c r="W32" s="151">
        <f t="shared" ca="1" si="3"/>
        <v>1.0130611007910122</v>
      </c>
      <c r="X32" s="152" cm="1">
        <f t="array" aca="1" ref="X32:Y32" ca="1">LINEST(OFFSET($G$6:$G$7,MAX(ROUNDDOWN($J32-1,0),0),0),OFFSET($B$6:$B$7,MAX(ROUNDDOWN($J32-1,0),0),0))</f>
        <v>-2.5829781738344174E-2</v>
      </c>
      <c r="Y32" s="151">
        <f ca="1"/>
        <v>1.2785741960480426</v>
      </c>
      <c r="Z32" s="151">
        <f t="shared" ca="1" si="6"/>
        <v>1.1042231693142195</v>
      </c>
    </row>
    <row r="33" spans="2:26" x14ac:dyDescent="0.25">
      <c r="B33">
        <v>27</v>
      </c>
      <c r="C33" s="326">
        <v>1</v>
      </c>
      <c r="D33" s="326">
        <v>1</v>
      </c>
      <c r="E33" s="326">
        <v>1</v>
      </c>
      <c r="F33" s="326">
        <v>1</v>
      </c>
      <c r="G33" s="326">
        <v>1</v>
      </c>
      <c r="H33" s="326">
        <v>1</v>
      </c>
      <c r="J33" s="101">
        <f t="shared" si="4"/>
        <v>7</v>
      </c>
      <c r="K33" s="101">
        <f t="shared" si="5"/>
        <v>28</v>
      </c>
      <c r="L33" s="152" cm="1">
        <f t="array" aca="1" ref="L33:M33" ca="1">LINEST(OFFSET($C$7:$C$8,MAX(ROUNDDOWN($J33-1,0),0),0),OFFSET($B$7:$B$8,MAX(ROUNDDOWN($J33-1,0),0),0))</f>
        <v>1.1834297175550292E-6</v>
      </c>
      <c r="M33" s="151">
        <f ca="1"/>
        <v>1.0001429222459315</v>
      </c>
      <c r="N33" s="151">
        <f t="shared" ca="1" si="0"/>
        <v>1.0001512062539544</v>
      </c>
      <c r="O33" s="152" cm="1">
        <f t="array" aca="1" ref="O33:P33" ca="1">LINEST(OFFSET($D$6:$D$7,MAX(ROUNDDOWN($J33-1,0),0),0),OFFSET($B$6:$B$7,MAX(ROUNDDOWN($J33-1,0),0),0))</f>
        <v>-6.2974884585176305E-4</v>
      </c>
      <c r="P33" s="151">
        <f ca="1"/>
        <v>1.0054181433044951</v>
      </c>
      <c r="Q33" s="151">
        <f t="shared" ca="1" si="1"/>
        <v>1.0010099013835327</v>
      </c>
      <c r="R33" s="152" cm="1">
        <f t="array" aca="1" ref="R33:S33" ca="1">LINEST(OFFSET($E$6:$E$7,MAX(ROUNDDOWN($J33-1,0),0),0),OFFSET($B$6:$B$7,MAX(ROUNDDOWN($J33-1,0),0),0))</f>
        <v>-2.7036751180140595E-3</v>
      </c>
      <c r="S33" s="151">
        <f ca="1"/>
        <v>1.0264272111842203</v>
      </c>
      <c r="T33" s="151">
        <f t="shared" ca="1" si="2"/>
        <v>1.0075014853581219</v>
      </c>
      <c r="U33" s="152" cm="1">
        <f t="array" aca="1" ref="U33:V33" ca="1">LINEST(OFFSET($F$6:$F$7,MAX(ROUNDDOWN($J33-1,0),0),0),OFFSET($B$6:$B$7,MAX(ROUNDDOWN($J33-1,0),0),0))</f>
        <v>-4.9449299177448669E-3</v>
      </c>
      <c r="V33" s="151">
        <f ca="1"/>
        <v>1.0475793045882318</v>
      </c>
      <c r="W33" s="151">
        <f t="shared" ca="1" si="3"/>
        <v>1.0129647951640177</v>
      </c>
      <c r="X33" s="152" cm="1">
        <f t="array" aca="1" ref="X33:Y33" ca="1">LINEST(OFFSET($G$6:$G$7,MAX(ROUNDDOWN($J33-1,0),0),0),OFFSET($B$6:$B$7,MAX(ROUNDDOWN($J33-1,0),0),0))</f>
        <v>-2.4694406716878847E-2</v>
      </c>
      <c r="Y33" s="151">
        <f ca="1"/>
        <v>1.2717619459192506</v>
      </c>
      <c r="Z33" s="151">
        <f t="shared" ca="1" si="6"/>
        <v>1.0989010989010988</v>
      </c>
    </row>
    <row r="34" spans="2:26" x14ac:dyDescent="0.25">
      <c r="B34">
        <v>28</v>
      </c>
      <c r="C34" s="326">
        <v>1</v>
      </c>
      <c r="D34" s="326">
        <v>1</v>
      </c>
      <c r="E34" s="326">
        <v>1</v>
      </c>
      <c r="F34" s="326">
        <v>1</v>
      </c>
      <c r="G34" s="326">
        <v>1</v>
      </c>
      <c r="H34" s="326">
        <v>1</v>
      </c>
      <c r="J34" s="101">
        <f t="shared" si="4"/>
        <v>7.25</v>
      </c>
      <c r="K34" s="101">
        <f t="shared" si="5"/>
        <v>29</v>
      </c>
      <c r="L34" s="152" cm="1">
        <f t="array" aca="1" ref="L34:M34" ca="1">LINEST(OFFSET($C$7:$C$8,MAX(ROUNDDOWN($J34-1,0),0),0),OFFSET($B$7:$B$8,MAX(ROUNDDOWN($J34-1,0),0),0))</f>
        <v>1.1834297175550292E-6</v>
      </c>
      <c r="M34" s="151">
        <f ca="1"/>
        <v>1.0001429222459315</v>
      </c>
      <c r="N34" s="151">
        <f t="shared" ca="1" si="0"/>
        <v>1.0001515021113838</v>
      </c>
      <c r="O34" s="152" cm="1">
        <f t="array" aca="1" ref="O34:P34" ca="1">LINEST(OFFSET($D$6:$D$7,MAX(ROUNDDOWN($J34-1,0),0),0),OFFSET($B$6:$B$7,MAX(ROUNDDOWN($J34-1,0),0),0))</f>
        <v>-6.2974884585176305E-4</v>
      </c>
      <c r="P34" s="151">
        <f ca="1"/>
        <v>1.0054181433044951</v>
      </c>
      <c r="Q34" s="151">
        <f t="shared" ca="1" si="1"/>
        <v>1.0008524641720697</v>
      </c>
      <c r="R34" s="152" cm="1">
        <f t="array" aca="1" ref="R34:S34" ca="1">LINEST(OFFSET($E$6:$E$7,MAX(ROUNDDOWN($J34-1,0),0),0),OFFSET($B$6:$B$7,MAX(ROUNDDOWN($J34-1,0),0),0))</f>
        <v>-2.7036751180140595E-3</v>
      </c>
      <c r="S34" s="151">
        <f ca="1"/>
        <v>1.0264272111842203</v>
      </c>
      <c r="T34" s="151">
        <f t="shared" ca="1" si="2"/>
        <v>1.0068255665786183</v>
      </c>
      <c r="U34" s="152" cm="1">
        <f t="array" aca="1" ref="U34:V34" ca="1">LINEST(OFFSET($F$6:$F$7,MAX(ROUNDDOWN($J34-1,0),0),0),OFFSET($B$6:$B$7,MAX(ROUNDDOWN($J34-1,0),0),0))</f>
        <v>-4.9449299177448669E-3</v>
      </c>
      <c r="V34" s="151">
        <f ca="1"/>
        <v>1.0475793045882318</v>
      </c>
      <c r="W34" s="151">
        <f t="shared" ca="1" si="3"/>
        <v>1.0117285626845816</v>
      </c>
      <c r="X34" s="152" cm="1">
        <f t="array" aca="1" ref="X34:Y34" ca="1">LINEST(OFFSET($G$6:$G$7,MAX(ROUNDDOWN($J34-1,0),0),0),OFFSET($B$6:$B$7,MAX(ROUNDDOWN($J34-1,0),0),0))</f>
        <v>-2.4694406716878847E-2</v>
      </c>
      <c r="Y34" s="151">
        <f ca="1"/>
        <v>1.2717619459192506</v>
      </c>
      <c r="Z34" s="151">
        <f t="shared" ca="1" si="6"/>
        <v>1.092727497221879</v>
      </c>
    </row>
    <row r="35" spans="2:26" x14ac:dyDescent="0.25">
      <c r="B35">
        <v>29</v>
      </c>
      <c r="C35" s="326">
        <v>1</v>
      </c>
      <c r="D35" s="326">
        <v>1</v>
      </c>
      <c r="E35" s="326">
        <v>1</v>
      </c>
      <c r="F35" s="326">
        <v>1</v>
      </c>
      <c r="G35" s="326">
        <v>1</v>
      </c>
      <c r="H35" s="326">
        <v>1</v>
      </c>
      <c r="J35" s="101">
        <f t="shared" si="4"/>
        <v>7.5</v>
      </c>
      <c r="K35" s="101">
        <f t="shared" si="5"/>
        <v>30</v>
      </c>
      <c r="L35" s="152" cm="1">
        <f t="array" aca="1" ref="L35:M35" ca="1">LINEST(OFFSET($C$7:$C$8,MAX(ROUNDDOWN($J35-1,0),0),0),OFFSET($B$7:$B$8,MAX(ROUNDDOWN($J35-1,0),0),0))</f>
        <v>1.1834297175550292E-6</v>
      </c>
      <c r="M35" s="151">
        <f ca="1"/>
        <v>1.0001429222459315</v>
      </c>
      <c r="N35" s="151">
        <f t="shared" ca="1" si="0"/>
        <v>1.000151797968813</v>
      </c>
      <c r="O35" s="152" cm="1">
        <f t="array" aca="1" ref="O35:P35" ca="1">LINEST(OFFSET($D$6:$D$7,MAX(ROUNDDOWN($J35-1,0),0),0),OFFSET($B$6:$B$7,MAX(ROUNDDOWN($J35-1,0),0),0))</f>
        <v>-6.2974884585176305E-4</v>
      </c>
      <c r="P35" s="151">
        <f ca="1"/>
        <v>1.0054181433044951</v>
      </c>
      <c r="Q35" s="151">
        <f t="shared" ca="1" si="1"/>
        <v>1.000695026960607</v>
      </c>
      <c r="R35" s="152" cm="1">
        <f t="array" aca="1" ref="R35:S35" ca="1">LINEST(OFFSET($E$6:$E$7,MAX(ROUNDDOWN($J35-1,0),0),0),OFFSET($B$6:$B$7,MAX(ROUNDDOWN($J35-1,0),0),0))</f>
        <v>-2.7036751180140595E-3</v>
      </c>
      <c r="S35" s="151">
        <f ca="1"/>
        <v>1.0264272111842203</v>
      </c>
      <c r="T35" s="151">
        <f t="shared" ca="1" si="2"/>
        <v>1.006149647799115</v>
      </c>
      <c r="U35" s="152" cm="1">
        <f t="array" aca="1" ref="U35:V35" ca="1">LINEST(OFFSET($F$6:$F$7,MAX(ROUNDDOWN($J35-1,0),0),0),OFFSET($B$6:$B$7,MAX(ROUNDDOWN($J35-1,0),0),0))</f>
        <v>-4.9449299177448669E-3</v>
      </c>
      <c r="V35" s="151">
        <f ca="1"/>
        <v>1.0475793045882318</v>
      </c>
      <c r="W35" s="151">
        <f t="shared" ca="1" si="3"/>
        <v>1.0104923302051452</v>
      </c>
      <c r="X35" s="152" cm="1">
        <f t="array" aca="1" ref="X35:Y35" ca="1">LINEST(OFFSET($G$6:$G$7,MAX(ROUNDDOWN($J35-1,0),0),0),OFFSET($B$6:$B$7,MAX(ROUNDDOWN($J35-1,0),0),0))</f>
        <v>-2.4694406716878847E-2</v>
      </c>
      <c r="Y35" s="151">
        <f ca="1"/>
        <v>1.2717619459192506</v>
      </c>
      <c r="Z35" s="151">
        <f t="shared" ca="1" si="6"/>
        <v>1.0865538955426592</v>
      </c>
    </row>
    <row r="36" spans="2:26" x14ac:dyDescent="0.25">
      <c r="B36">
        <v>30</v>
      </c>
      <c r="C36" s="326">
        <v>1</v>
      </c>
      <c r="D36" s="326">
        <v>1</v>
      </c>
      <c r="E36" s="326">
        <v>1</v>
      </c>
      <c r="F36" s="326">
        <v>1</v>
      </c>
      <c r="G36" s="326">
        <v>1</v>
      </c>
      <c r="H36" s="326">
        <v>1</v>
      </c>
      <c r="J36" s="101">
        <f t="shared" si="4"/>
        <v>7.75</v>
      </c>
      <c r="K36" s="101">
        <f t="shared" si="5"/>
        <v>31</v>
      </c>
      <c r="L36" s="152" cm="1">
        <f t="array" aca="1" ref="L36:M36" ca="1">LINEST(OFFSET($C$7:$C$8,MAX(ROUNDDOWN($J36-1,0),0),0),OFFSET($B$7:$B$8,MAX(ROUNDDOWN($J36-1,0),0),0))</f>
        <v>1.1834297175550292E-6</v>
      </c>
      <c r="M36" s="151">
        <f ca="1"/>
        <v>1.0001429222459315</v>
      </c>
      <c r="N36" s="151">
        <f t="shared" ca="1" si="0"/>
        <v>1.0001520938262425</v>
      </c>
      <c r="O36" s="152" cm="1">
        <f t="array" aca="1" ref="O36:P36" ca="1">LINEST(OFFSET($D$6:$D$7,MAX(ROUNDDOWN($J36-1,0),0),0),OFFSET($B$6:$B$7,MAX(ROUNDDOWN($J36-1,0),0),0))</f>
        <v>-6.2974884585176305E-4</v>
      </c>
      <c r="P36" s="151">
        <f ca="1"/>
        <v>1.0054181433044951</v>
      </c>
      <c r="Q36" s="151">
        <f t="shared" ca="1" si="1"/>
        <v>1.000537589749144</v>
      </c>
      <c r="R36" s="152" cm="1">
        <f t="array" aca="1" ref="R36:S36" ca="1">LINEST(OFFSET($E$6:$E$7,MAX(ROUNDDOWN($J36-1,0),0),0),OFFSET($B$6:$B$7,MAX(ROUNDDOWN($J36-1,0),0),0))</f>
        <v>-2.7036751180140595E-3</v>
      </c>
      <c r="S36" s="151">
        <f ca="1"/>
        <v>1.0264272111842203</v>
      </c>
      <c r="T36" s="151">
        <f t="shared" ca="1" si="2"/>
        <v>1.0054737290196114</v>
      </c>
      <c r="U36" s="152" cm="1">
        <f t="array" aca="1" ref="U36:V36" ca="1">LINEST(OFFSET($F$6:$F$7,MAX(ROUNDDOWN($J36-1,0),0),0),OFFSET($B$6:$B$7,MAX(ROUNDDOWN($J36-1,0),0),0))</f>
        <v>-4.9449299177448669E-3</v>
      </c>
      <c r="V36" s="151">
        <f ca="1"/>
        <v>1.0475793045882318</v>
      </c>
      <c r="W36" s="151">
        <f t="shared" ca="1" si="3"/>
        <v>1.009256097725709</v>
      </c>
      <c r="X36" s="152" cm="1">
        <f t="array" aca="1" ref="X36:Y36" ca="1">LINEST(OFFSET($G$6:$G$7,MAX(ROUNDDOWN($J36-1,0),0),0),OFFSET($B$6:$B$7,MAX(ROUNDDOWN($J36-1,0),0),0))</f>
        <v>-2.4694406716878847E-2</v>
      </c>
      <c r="Y36" s="151">
        <f ca="1"/>
        <v>1.2717619459192506</v>
      </c>
      <c r="Z36" s="151">
        <f t="shared" ca="1" si="6"/>
        <v>1.0803802938634395</v>
      </c>
    </row>
    <row r="37" spans="2:26" x14ac:dyDescent="0.25">
      <c r="B37">
        <v>31</v>
      </c>
      <c r="C37" s="326">
        <v>1</v>
      </c>
      <c r="D37" s="326">
        <v>1</v>
      </c>
      <c r="E37" s="326">
        <v>1</v>
      </c>
      <c r="F37" s="326">
        <v>1</v>
      </c>
      <c r="G37" s="326">
        <v>1</v>
      </c>
      <c r="H37" s="326">
        <v>1</v>
      </c>
      <c r="J37" s="101">
        <f t="shared" si="4"/>
        <v>8</v>
      </c>
      <c r="K37" s="101">
        <f t="shared" si="5"/>
        <v>32</v>
      </c>
      <c r="L37" s="152" cm="1">
        <f t="array" aca="1" ref="L37:M37" ca="1">LINEST(OFFSET($C$7:$C$8,MAX(ROUNDDOWN($J37-1,0),0),0),OFFSET($B$7:$B$8,MAX(ROUNDDOWN($J37-1,0),0),0))</f>
        <v>-6.3912345058536618E-6</v>
      </c>
      <c r="M37" s="151">
        <f ca="1"/>
        <v>1.0002035195597188</v>
      </c>
      <c r="N37" s="151">
        <f t="shared" ca="1" si="0"/>
        <v>1.0001523896836719</v>
      </c>
      <c r="O37" s="152" cm="1">
        <f t="array" aca="1" ref="O37:P37" ca="1">LINEST(OFFSET($D$6:$D$7,MAX(ROUNDDOWN($J37-1,0),0),0),OFFSET($B$6:$B$7,MAX(ROUNDDOWN($J37-1,0),0),0))</f>
        <v>-4.4991429140894823E-4</v>
      </c>
      <c r="P37" s="151">
        <f ca="1"/>
        <v>1.0041593014233954</v>
      </c>
      <c r="Q37" s="151">
        <f t="shared" ca="1" si="1"/>
        <v>1.0005599870921238</v>
      </c>
      <c r="R37" s="152" cm="1">
        <f t="array" aca="1" ref="R37:S37" ca="1">LINEST(OFFSET($E$6:$E$7,MAX(ROUNDDOWN($J37-1,0),0),0),OFFSET($B$6:$B$7,MAX(ROUNDDOWN($J37-1,0),0),0))</f>
        <v>-1.7600904676291502E-3</v>
      </c>
      <c r="S37" s="151">
        <f ca="1"/>
        <v>1.0198221186315259</v>
      </c>
      <c r="T37" s="151">
        <f t="shared" ca="1" si="2"/>
        <v>1.0057413948904927</v>
      </c>
      <c r="U37" s="152" cm="1">
        <f t="array" aca="1" ref="U37:V37" ca="1">LINEST(OFFSET($F$6:$F$7,MAX(ROUNDDOWN($J37-1,0),0),0),OFFSET($B$6:$B$7,MAX(ROUNDDOWN($J37-1,0),0),0))</f>
        <v>-3.9544657480536927E-3</v>
      </c>
      <c r="V37" s="151">
        <f ca="1"/>
        <v>1.0406460554003938</v>
      </c>
      <c r="W37" s="151">
        <f t="shared" ca="1" si="3"/>
        <v>1.0090103294159642</v>
      </c>
      <c r="X37" s="152" cm="1">
        <f t="array" aca="1" ref="X37:Y37" ca="1">LINEST(OFFSET($G$6:$G$7,MAX(ROUNDDOWN($J37-1,0),0),0),OFFSET($B$6:$B$7,MAX(ROUNDDOWN($J37-1,0),0),0))</f>
        <v>-2.3632281696797777E-2</v>
      </c>
      <c r="Y37" s="151">
        <f ca="1"/>
        <v>1.2643270707786831</v>
      </c>
      <c r="Z37" s="151">
        <f t="shared" ca="1" si="6"/>
        <v>1.075268817204301</v>
      </c>
    </row>
    <row r="38" spans="2:26" x14ac:dyDescent="0.25">
      <c r="B38">
        <v>32</v>
      </c>
      <c r="C38" s="326">
        <v>1</v>
      </c>
      <c r="D38" s="326">
        <v>1</v>
      </c>
      <c r="E38" s="326">
        <v>1</v>
      </c>
      <c r="F38" s="326">
        <v>1</v>
      </c>
      <c r="G38" s="326">
        <v>1</v>
      </c>
      <c r="H38" s="326">
        <v>1</v>
      </c>
      <c r="J38" s="101">
        <f t="shared" si="4"/>
        <v>8.25</v>
      </c>
      <c r="K38" s="101">
        <f t="shared" si="5"/>
        <v>33</v>
      </c>
      <c r="L38" s="152" cm="1">
        <f t="array" aca="1" ref="L38:M38" ca="1">LINEST(OFFSET($C$7:$C$8,MAX(ROUNDDOWN($J38-1,0),0),0),OFFSET($B$7:$B$8,MAX(ROUNDDOWN($J38-1,0),0),0))</f>
        <v>-6.3912345058536618E-6</v>
      </c>
      <c r="M38" s="151">
        <f ca="1"/>
        <v>1.0002035195597188</v>
      </c>
      <c r="N38" s="151">
        <f t="shared" ref="N38:N57" ca="1" si="7">M38+L38*$J38</f>
        <v>1.0001507918750454</v>
      </c>
      <c r="O38" s="152" cm="1">
        <f t="array" aca="1" ref="O38:P38" ca="1">LINEST(OFFSET($D$6:$D$7,MAX(ROUNDDOWN($J38-1,0),0),0),OFFSET($B$6:$B$7,MAX(ROUNDDOWN($J38-1,0),0),0))</f>
        <v>-4.4991429140894823E-4</v>
      </c>
      <c r="P38" s="151">
        <f ca="1"/>
        <v>1.0041593014233954</v>
      </c>
      <c r="Q38" s="151">
        <f t="shared" ref="Q38:Q57" ca="1" si="8">P38+O38*$J38</f>
        <v>1.0004475085192714</v>
      </c>
      <c r="R38" s="152" cm="1">
        <f t="array" aca="1" ref="R38:S38" ca="1">LINEST(OFFSET($E$6:$E$7,MAX(ROUNDDOWN($J38-1,0),0),0),OFFSET($B$6:$B$7,MAX(ROUNDDOWN($J38-1,0),0),0))</f>
        <v>-1.7600904676291502E-3</v>
      </c>
      <c r="S38" s="151">
        <f ca="1"/>
        <v>1.0198221186315259</v>
      </c>
      <c r="T38" s="151">
        <f t="shared" ref="T38:T57" ca="1" si="9">S38+R38*$J38</f>
        <v>1.0053013722735855</v>
      </c>
      <c r="U38" s="152" cm="1">
        <f t="array" aca="1" ref="U38:V38" ca="1">LINEST(OFFSET($F$6:$F$7,MAX(ROUNDDOWN($J38-1,0),0),0),OFFSET($B$6:$B$7,MAX(ROUNDDOWN($J38-1,0),0),0))</f>
        <v>-3.9544657480536927E-3</v>
      </c>
      <c r="V38" s="151">
        <f ca="1"/>
        <v>1.0406460554003938</v>
      </c>
      <c r="W38" s="151">
        <f t="shared" ref="W38:W57" ca="1" si="10">V38+U38*$J38</f>
        <v>1.0080217129789508</v>
      </c>
      <c r="X38" s="152" cm="1">
        <f t="array" aca="1" ref="X38:Y38" ca="1">LINEST(OFFSET($G$6:$G$7,MAX(ROUNDDOWN($J38-1,0),0),0),OFFSET($B$6:$B$7,MAX(ROUNDDOWN($J38-1,0),0),0))</f>
        <v>-2.3632281696797777E-2</v>
      </c>
      <c r="Y38" s="151">
        <f ca="1"/>
        <v>1.2643270707786831</v>
      </c>
      <c r="Z38" s="151">
        <f t="shared" ca="1" si="6"/>
        <v>1.0693607467801014</v>
      </c>
    </row>
    <row r="39" spans="2:26" x14ac:dyDescent="0.25">
      <c r="B39">
        <v>33</v>
      </c>
      <c r="C39" s="326">
        <v>1</v>
      </c>
      <c r="D39" s="326">
        <v>1</v>
      </c>
      <c r="E39" s="326">
        <v>1</v>
      </c>
      <c r="F39" s="326">
        <v>1</v>
      </c>
      <c r="G39" s="326">
        <v>1</v>
      </c>
      <c r="H39" s="326">
        <v>1</v>
      </c>
      <c r="J39" s="101">
        <f t="shared" si="4"/>
        <v>8.5</v>
      </c>
      <c r="K39" s="101">
        <f t="shared" si="5"/>
        <v>34</v>
      </c>
      <c r="L39" s="152" cm="1">
        <f t="array" aca="1" ref="L39:M39" ca="1">LINEST(OFFSET($C$7:$C$8,MAX(ROUNDDOWN($J39-1,0),0),0),OFFSET($B$7:$B$8,MAX(ROUNDDOWN($J39-1,0),0),0))</f>
        <v>-6.3912345058536618E-6</v>
      </c>
      <c r="M39" s="151">
        <f ca="1"/>
        <v>1.0002035195597188</v>
      </c>
      <c r="N39" s="151">
        <f t="shared" ca="1" si="7"/>
        <v>1.0001491940664189</v>
      </c>
      <c r="O39" s="152" cm="1">
        <f t="array" aca="1" ref="O39:P39" ca="1">LINEST(OFFSET($D$6:$D$7,MAX(ROUNDDOWN($J39-1,0),0),0),OFFSET($B$6:$B$7,MAX(ROUNDDOWN($J39-1,0),0),0))</f>
        <v>-4.4991429140894823E-4</v>
      </c>
      <c r="P39" s="151">
        <f ca="1"/>
        <v>1.0041593014233954</v>
      </c>
      <c r="Q39" s="151">
        <f t="shared" ca="1" si="8"/>
        <v>1.0003350299464193</v>
      </c>
      <c r="R39" s="152" cm="1">
        <f t="array" aca="1" ref="R39:S39" ca="1">LINEST(OFFSET($E$6:$E$7,MAX(ROUNDDOWN($J39-1,0),0),0),OFFSET($B$6:$B$7,MAX(ROUNDDOWN($J39-1,0),0),0))</f>
        <v>-1.7600904676291502E-3</v>
      </c>
      <c r="S39" s="151">
        <f ca="1"/>
        <v>1.0198221186315259</v>
      </c>
      <c r="T39" s="151">
        <f t="shared" ca="1" si="9"/>
        <v>1.0048613496566781</v>
      </c>
      <c r="U39" s="152" cm="1">
        <f t="array" aca="1" ref="U39:V39" ca="1">LINEST(OFFSET($F$6:$F$7,MAX(ROUNDDOWN($J39-1,0),0),0),OFFSET($B$6:$B$7,MAX(ROUNDDOWN($J39-1,0),0),0))</f>
        <v>-3.9544657480536927E-3</v>
      </c>
      <c r="V39" s="151">
        <f ca="1"/>
        <v>1.0406460554003938</v>
      </c>
      <c r="W39" s="151">
        <f t="shared" ca="1" si="10"/>
        <v>1.0070330965419374</v>
      </c>
      <c r="X39" s="152" cm="1">
        <f t="array" aca="1" ref="X39:Y39" ca="1">LINEST(OFFSET($G$6:$G$7,MAX(ROUNDDOWN($J39-1,0),0),0),OFFSET($B$6:$B$7,MAX(ROUNDDOWN($J39-1,0),0),0))</f>
        <v>-2.3632281696797777E-2</v>
      </c>
      <c r="Y39" s="151">
        <f ca="1"/>
        <v>1.2643270707786831</v>
      </c>
      <c r="Z39" s="151">
        <f t="shared" ca="1" si="6"/>
        <v>1.063452676355902</v>
      </c>
    </row>
    <row r="40" spans="2:26" x14ac:dyDescent="0.25">
      <c r="B40">
        <v>34</v>
      </c>
      <c r="C40" s="326">
        <v>1</v>
      </c>
      <c r="D40" s="326">
        <v>1</v>
      </c>
      <c r="E40" s="326">
        <v>1</v>
      </c>
      <c r="F40" s="326">
        <v>1</v>
      </c>
      <c r="G40" s="326">
        <v>1</v>
      </c>
      <c r="H40" s="326">
        <v>1</v>
      </c>
      <c r="J40" s="101">
        <f t="shared" si="4"/>
        <v>8.75</v>
      </c>
      <c r="K40" s="101">
        <f t="shared" si="5"/>
        <v>35</v>
      </c>
      <c r="L40" s="152" cm="1">
        <f t="array" aca="1" ref="L40:M40" ca="1">LINEST(OFFSET($C$7:$C$8,MAX(ROUNDDOWN($J40-1,0),0),0),OFFSET($B$7:$B$8,MAX(ROUNDDOWN($J40-1,0),0),0))</f>
        <v>-6.3912345058536618E-6</v>
      </c>
      <c r="M40" s="151">
        <f ca="1"/>
        <v>1.0002035195597188</v>
      </c>
      <c r="N40" s="151">
        <f t="shared" ca="1" si="7"/>
        <v>1.0001475962577926</v>
      </c>
      <c r="O40" s="152" cm="1">
        <f t="array" aca="1" ref="O40:P40" ca="1">LINEST(OFFSET($D$6:$D$7,MAX(ROUNDDOWN($J40-1,0),0),0),OFFSET($B$6:$B$7,MAX(ROUNDDOWN($J40-1,0),0),0))</f>
        <v>-4.4991429140894823E-4</v>
      </c>
      <c r="P40" s="151">
        <f ca="1"/>
        <v>1.0041593014233954</v>
      </c>
      <c r="Q40" s="151">
        <f t="shared" ca="1" si="8"/>
        <v>1.0002225513735672</v>
      </c>
      <c r="R40" s="152" cm="1">
        <f t="array" aca="1" ref="R40:S40" ca="1">LINEST(OFFSET($E$6:$E$7,MAX(ROUNDDOWN($J40-1,0),0),0),OFFSET($B$6:$B$7,MAX(ROUNDDOWN($J40-1,0),0),0))</f>
        <v>-1.7600904676291502E-3</v>
      </c>
      <c r="S40" s="151">
        <f ca="1"/>
        <v>1.0198221186315259</v>
      </c>
      <c r="T40" s="151">
        <f t="shared" ca="1" si="9"/>
        <v>1.0044213270397708</v>
      </c>
      <c r="U40" s="152" cm="1">
        <f t="array" aca="1" ref="U40:V40" ca="1">LINEST(OFFSET($F$6:$F$7,MAX(ROUNDDOWN($J40-1,0),0),0),OFFSET($B$6:$B$7,MAX(ROUNDDOWN($J40-1,0),0),0))</f>
        <v>-3.9544657480536927E-3</v>
      </c>
      <c r="V40" s="151">
        <f ca="1"/>
        <v>1.0406460554003938</v>
      </c>
      <c r="W40" s="151">
        <f t="shared" ca="1" si="10"/>
        <v>1.006044480104924</v>
      </c>
      <c r="X40" s="152" cm="1">
        <f t="array" aca="1" ref="X40:Y40" ca="1">LINEST(OFFSET($G$6:$G$7,MAX(ROUNDDOWN($J40-1,0),0),0),OFFSET($B$6:$B$7,MAX(ROUNDDOWN($J40-1,0),0),0))</f>
        <v>-2.3632281696797777E-2</v>
      </c>
      <c r="Y40" s="151">
        <f ca="1"/>
        <v>1.2643270707786831</v>
      </c>
      <c r="Z40" s="151">
        <f t="shared" ca="1" si="6"/>
        <v>1.0575446059317026</v>
      </c>
    </row>
    <row r="41" spans="2:26" x14ac:dyDescent="0.25">
      <c r="B41">
        <v>35</v>
      </c>
      <c r="C41" s="326">
        <v>1</v>
      </c>
      <c r="D41" s="326">
        <v>1</v>
      </c>
      <c r="E41" s="326">
        <v>1</v>
      </c>
      <c r="F41" s="326">
        <v>1</v>
      </c>
      <c r="G41" s="326">
        <v>1</v>
      </c>
      <c r="H41" s="326">
        <v>1</v>
      </c>
      <c r="J41" s="101">
        <f t="shared" si="4"/>
        <v>9</v>
      </c>
      <c r="K41" s="101">
        <f t="shared" si="5"/>
        <v>36</v>
      </c>
      <c r="L41" s="152" cm="1">
        <f t="array" aca="1" ref="L41:M41" ca="1">LINEST(OFFSET($C$7:$C$8,MAX(ROUNDDOWN($J41-1,0),0),0),OFFSET($B$7:$B$8,MAX(ROUNDDOWN($J41-1,0),0),0))</f>
        <v>-1.0430177757458918E-4</v>
      </c>
      <c r="M41" s="151">
        <f ca="1"/>
        <v>1.0010847144473372</v>
      </c>
      <c r="N41" s="151">
        <f t="shared" ca="1" si="7"/>
        <v>1.0001459984491659</v>
      </c>
      <c r="O41" s="152" cm="1">
        <f t="array" aca="1" ref="O41:P41" ca="1">LINEST(OFFSET($D$6:$D$7,MAX(ROUNDDOWN($J41-1,0),0),0),OFFSET($B$6:$B$7,MAX(ROUNDDOWN($J41-1,0),0),0))</f>
        <v>-8.8817841970012523E-16</v>
      </c>
      <c r="P41" s="151">
        <f ca="1"/>
        <v>1.0005599870921309</v>
      </c>
      <c r="Q41" s="151">
        <f t="shared" ca="1" si="8"/>
        <v>1.0005599870921229</v>
      </c>
      <c r="R41" s="152" cm="1">
        <f t="array" aca="1" ref="R41:S41" ca="1">LINEST(OFFSET($E$6:$E$7,MAX(ROUNDDOWN($J41-1,0),0),0),OFFSET($B$6:$B$7,MAX(ROUNDDOWN($J41-1,0),0),0))</f>
        <v>-2.8002135382567688E-3</v>
      </c>
      <c r="S41" s="151">
        <f ca="1"/>
        <v>1.0281431031965469</v>
      </c>
      <c r="T41" s="151">
        <f t="shared" ca="1" si="9"/>
        <v>1.002941181352236</v>
      </c>
      <c r="U41" s="152" cm="1">
        <f t="array" aca="1" ref="U41:V41" ca="1">LINEST(OFFSET($F$6:$F$7,MAX(ROUNDDOWN($J41-1,0),0),0),OFFSET($B$6:$B$7,MAX(ROUNDDOWN($J41-1,0),0),0))</f>
        <v>-4.2017120466455449E-3</v>
      </c>
      <c r="V41" s="151">
        <f ca="1"/>
        <v>1.0426240257891286</v>
      </c>
      <c r="W41" s="151">
        <f t="shared" ca="1" si="10"/>
        <v>1.0048086173693187</v>
      </c>
      <c r="X41" s="152" cm="1">
        <f t="array" aca="1" ref="X41:Y41" ca="1">LINEST(OFFSET($G$6:$G$7,MAX(ROUNDDOWN($J41-1,0),0),0),OFFSET($B$6:$B$7,MAX(ROUNDDOWN($J41-1,0),0),0))</f>
        <v>-2.2637238256932649E-2</v>
      </c>
      <c r="Y41" s="151">
        <f ca="1"/>
        <v>1.2563667232597622</v>
      </c>
      <c r="Z41" s="151">
        <f t="shared" ca="1" si="6"/>
        <v>1.0526315789473684</v>
      </c>
    </row>
    <row r="42" spans="2:26" x14ac:dyDescent="0.25">
      <c r="B42">
        <v>36</v>
      </c>
      <c r="C42" s="326">
        <v>1</v>
      </c>
      <c r="D42" s="326">
        <v>1</v>
      </c>
      <c r="E42" s="326">
        <v>1</v>
      </c>
      <c r="F42" s="326">
        <v>1</v>
      </c>
      <c r="G42" s="326">
        <v>1</v>
      </c>
      <c r="H42" s="326">
        <v>1</v>
      </c>
      <c r="J42" s="101">
        <f t="shared" si="4"/>
        <v>9.25</v>
      </c>
      <c r="K42" s="101">
        <f t="shared" si="5"/>
        <v>37</v>
      </c>
      <c r="L42" s="152" cm="1">
        <f t="array" aca="1" ref="L42:M42" ca="1">LINEST(OFFSET($C$7:$C$8,MAX(ROUNDDOWN($J42-1,0),0),0),OFFSET($B$7:$B$8,MAX(ROUNDDOWN($J42-1,0),0),0))</f>
        <v>-1.0430177757458918E-4</v>
      </c>
      <c r="M42" s="151">
        <f ca="1"/>
        <v>1.0010847144473372</v>
      </c>
      <c r="N42" s="151">
        <f t="shared" ca="1" si="7"/>
        <v>1.0001199230047721</v>
      </c>
      <c r="O42" s="152" cm="1">
        <f t="array" aca="1" ref="O42:P42" ca="1">LINEST(OFFSET($D$6:$D$7,MAX(ROUNDDOWN($J42-1,0),0),0),OFFSET($B$6:$B$7,MAX(ROUNDDOWN($J42-1,0),0),0))</f>
        <v>-8.8817841970012523E-16</v>
      </c>
      <c r="P42" s="151">
        <f ca="1"/>
        <v>1.0005599870921309</v>
      </c>
      <c r="Q42" s="151">
        <f t="shared" ca="1" si="8"/>
        <v>1.0005599870921227</v>
      </c>
      <c r="R42" s="152" cm="1">
        <f t="array" aca="1" ref="R42:S42" ca="1">LINEST(OFFSET($E$6:$E$7,MAX(ROUNDDOWN($J42-1,0),0),0),OFFSET($B$6:$B$7,MAX(ROUNDDOWN($J42-1,0),0),0))</f>
        <v>-2.8002135382567688E-3</v>
      </c>
      <c r="S42" s="151">
        <f ca="1"/>
        <v>1.0281431031965469</v>
      </c>
      <c r="T42" s="151">
        <f t="shared" ca="1" si="9"/>
        <v>1.0022411279676717</v>
      </c>
      <c r="U42" s="152" cm="1">
        <f t="array" aca="1" ref="U42:V42" ca="1">LINEST(OFFSET($F$6:$F$7,MAX(ROUNDDOWN($J42-1,0),0),0),OFFSET($B$6:$B$7,MAX(ROUNDDOWN($J42-1,0),0),0))</f>
        <v>-4.2017120466455449E-3</v>
      </c>
      <c r="V42" s="151">
        <f ca="1"/>
        <v>1.0426240257891286</v>
      </c>
      <c r="W42" s="151">
        <f t="shared" ca="1" si="10"/>
        <v>1.0037581893576573</v>
      </c>
      <c r="X42" s="152" cm="1">
        <f t="array" aca="1" ref="X42:Y42" ca="1">LINEST(OFFSET($G$6:$G$7,MAX(ROUNDDOWN($J42-1,0),0),0),OFFSET($B$6:$B$7,MAX(ROUNDDOWN($J42-1,0),0),0))</f>
        <v>-2.2637238256932649E-2</v>
      </c>
      <c r="Y42" s="151">
        <f ca="1"/>
        <v>1.2563667232597622</v>
      </c>
      <c r="Z42" s="151">
        <f t="shared" ca="1" si="6"/>
        <v>1.0469722693831351</v>
      </c>
    </row>
    <row r="43" spans="2:26" x14ac:dyDescent="0.25">
      <c r="B43">
        <v>37</v>
      </c>
      <c r="C43" s="326">
        <v>1</v>
      </c>
      <c r="D43" s="326">
        <v>1</v>
      </c>
      <c r="E43" s="326">
        <v>1</v>
      </c>
      <c r="F43" s="326">
        <v>1</v>
      </c>
      <c r="G43" s="326">
        <v>1</v>
      </c>
      <c r="H43" s="326">
        <v>1</v>
      </c>
      <c r="J43" s="101">
        <f t="shared" si="4"/>
        <v>9.5</v>
      </c>
      <c r="K43" s="101">
        <f t="shared" si="5"/>
        <v>38</v>
      </c>
      <c r="L43" s="152" cm="1">
        <f t="array" aca="1" ref="L43:M43" ca="1">LINEST(OFFSET($C$7:$C$8,MAX(ROUNDDOWN($J43-1,0),0),0),OFFSET($B$7:$B$8,MAX(ROUNDDOWN($J43-1,0),0),0))</f>
        <v>-1.0430177757458918E-4</v>
      </c>
      <c r="M43" s="151">
        <f ca="1"/>
        <v>1.0010847144473372</v>
      </c>
      <c r="N43" s="151">
        <f t="shared" ca="1" si="7"/>
        <v>1.0000938475603784</v>
      </c>
      <c r="O43" s="152" cm="1">
        <f t="array" aca="1" ref="O43:P43" ca="1">LINEST(OFFSET($D$6:$D$7,MAX(ROUNDDOWN($J43-1,0),0),0),OFFSET($B$6:$B$7,MAX(ROUNDDOWN($J43-1,0),0),0))</f>
        <v>-8.8817841970012523E-16</v>
      </c>
      <c r="P43" s="151">
        <f ca="1"/>
        <v>1.0005599870921309</v>
      </c>
      <c r="Q43" s="151">
        <f t="shared" ca="1" si="8"/>
        <v>1.0005599870921225</v>
      </c>
      <c r="R43" s="152" cm="1">
        <f t="array" aca="1" ref="R43:S43" ca="1">LINEST(OFFSET($E$6:$E$7,MAX(ROUNDDOWN($J43-1,0),0),0),OFFSET($B$6:$B$7,MAX(ROUNDDOWN($J43-1,0),0),0))</f>
        <v>-2.8002135382567688E-3</v>
      </c>
      <c r="S43" s="151">
        <f ca="1"/>
        <v>1.0281431031965469</v>
      </c>
      <c r="T43" s="151">
        <f t="shared" ca="1" si="9"/>
        <v>1.0015410745831075</v>
      </c>
      <c r="U43" s="152" cm="1">
        <f t="array" aca="1" ref="U43:V43" ca="1">LINEST(OFFSET($F$6:$F$7,MAX(ROUNDDOWN($J43-1,0),0),0),OFFSET($B$6:$B$7,MAX(ROUNDDOWN($J43-1,0),0),0))</f>
        <v>-4.2017120466455449E-3</v>
      </c>
      <c r="V43" s="151">
        <f ca="1"/>
        <v>1.0426240257891286</v>
      </c>
      <c r="W43" s="151">
        <f t="shared" ca="1" si="10"/>
        <v>1.002707761345996</v>
      </c>
      <c r="X43" s="152" cm="1">
        <f t="array" aca="1" ref="X43:Y43" ca="1">LINEST(OFFSET($G$6:$G$7,MAX(ROUNDDOWN($J43-1,0),0),0),OFFSET($B$6:$B$7,MAX(ROUNDDOWN($J43-1,0),0),0))</f>
        <v>-2.2637238256932649E-2</v>
      </c>
      <c r="Y43" s="151">
        <f ca="1"/>
        <v>1.2563667232597622</v>
      </c>
      <c r="Z43" s="151">
        <f t="shared" ca="1" si="6"/>
        <v>1.0413129598189019</v>
      </c>
    </row>
    <row r="44" spans="2:26" x14ac:dyDescent="0.25">
      <c r="B44">
        <v>38</v>
      </c>
      <c r="C44" s="326">
        <v>1</v>
      </c>
      <c r="D44" s="326">
        <v>1</v>
      </c>
      <c r="E44" s="326">
        <v>1</v>
      </c>
      <c r="F44" s="326">
        <v>1</v>
      </c>
      <c r="G44" s="326">
        <v>1</v>
      </c>
      <c r="H44" s="326">
        <v>1</v>
      </c>
      <c r="J44" s="101">
        <f t="shared" si="4"/>
        <v>9.75</v>
      </c>
      <c r="K44" s="101">
        <f t="shared" si="5"/>
        <v>39</v>
      </c>
      <c r="L44" s="152" cm="1">
        <f t="array" aca="1" ref="L44:M44" ca="1">LINEST(OFFSET($C$7:$C$8,MAX(ROUNDDOWN($J44-1,0),0),0),OFFSET($B$7:$B$8,MAX(ROUNDDOWN($J44-1,0),0),0))</f>
        <v>-1.0430177757458918E-4</v>
      </c>
      <c r="M44" s="151">
        <f ca="1"/>
        <v>1.0010847144473372</v>
      </c>
      <c r="N44" s="151">
        <f t="shared" ca="1" si="7"/>
        <v>1.000067772115985</v>
      </c>
      <c r="O44" s="152" cm="1">
        <f t="array" aca="1" ref="O44:P44" ca="1">LINEST(OFFSET($D$6:$D$7,MAX(ROUNDDOWN($J44-1,0),0),0),OFFSET($B$6:$B$7,MAX(ROUNDDOWN($J44-1,0),0),0))</f>
        <v>-8.8817841970012523E-16</v>
      </c>
      <c r="P44" s="151">
        <f ca="1"/>
        <v>1.0005599870921309</v>
      </c>
      <c r="Q44" s="151">
        <f t="shared" ca="1" si="8"/>
        <v>1.0005599870921222</v>
      </c>
      <c r="R44" s="152" cm="1">
        <f t="array" aca="1" ref="R44:S44" ca="1">LINEST(OFFSET($E$6:$E$7,MAX(ROUNDDOWN($J44-1,0),0),0),OFFSET($B$6:$B$7,MAX(ROUNDDOWN($J44-1,0),0),0))</f>
        <v>-2.8002135382567688E-3</v>
      </c>
      <c r="S44" s="151">
        <f ca="1"/>
        <v>1.0281431031965469</v>
      </c>
      <c r="T44" s="151">
        <f t="shared" ca="1" si="9"/>
        <v>1.0008410211985435</v>
      </c>
      <c r="U44" s="152" cm="1">
        <f t="array" aca="1" ref="U44:V44" ca="1">LINEST(OFFSET($F$6:$F$7,MAX(ROUNDDOWN($J44-1,0),0),0),OFFSET($B$6:$B$7,MAX(ROUNDDOWN($J44-1,0),0),0))</f>
        <v>-4.2017120466455449E-3</v>
      </c>
      <c r="V44" s="151">
        <f ca="1"/>
        <v>1.0426240257891286</v>
      </c>
      <c r="W44" s="151">
        <f t="shared" ca="1" si="10"/>
        <v>1.0016573333343346</v>
      </c>
      <c r="X44" s="152" cm="1">
        <f t="array" aca="1" ref="X44:Y44" ca="1">LINEST(OFFSET($G$6:$G$7,MAX(ROUNDDOWN($J44-1,0),0),0),OFFSET($B$6:$B$7,MAX(ROUNDDOWN($J44-1,0),0),0))</f>
        <v>-2.2637238256932649E-2</v>
      </c>
      <c r="Y44" s="151">
        <f ca="1"/>
        <v>1.2563667232597622</v>
      </c>
      <c r="Z44" s="151">
        <f t="shared" ca="1" si="6"/>
        <v>1.0356536502546689</v>
      </c>
    </row>
    <row r="45" spans="2:26" x14ac:dyDescent="0.25">
      <c r="B45">
        <v>39</v>
      </c>
      <c r="C45" s="326">
        <v>1</v>
      </c>
      <c r="D45" s="326">
        <v>1</v>
      </c>
      <c r="E45" s="326">
        <v>1</v>
      </c>
      <c r="F45" s="326">
        <v>1</v>
      </c>
      <c r="G45" s="326">
        <v>1</v>
      </c>
      <c r="H45" s="326">
        <v>1</v>
      </c>
      <c r="J45" s="101">
        <f t="shared" si="4"/>
        <v>10</v>
      </c>
      <c r="K45" s="101">
        <f t="shared" si="5"/>
        <v>40</v>
      </c>
      <c r="L45" s="152" cm="1">
        <f t="array" aca="1" ref="L45:M45" ca="1">LINEST(OFFSET($C$7:$C$8,MAX(ROUNDDOWN($J45-1,0),0),0),OFFSET($B$7:$B$8,MAX(ROUNDDOWN($J45-1,0),0),0))</f>
        <v>-1.5949529618586311E-5</v>
      </c>
      <c r="M45" s="151">
        <f ca="1"/>
        <v>1.0002011919677773</v>
      </c>
      <c r="N45" s="151">
        <f t="shared" ca="1" si="7"/>
        <v>1.0000416966715915</v>
      </c>
      <c r="O45" s="152" cm="1">
        <f t="array" aca="1" ref="O45:P45" ca="1">LINEST(OFFSET($D$6:$D$7,MAX(ROUNDDOWN($J45-1,0),0),0),OFFSET($B$6:$B$7,MAX(ROUNDDOWN($J45-1,0),0),0))</f>
        <v>-3.1494653258645766E-4</v>
      </c>
      <c r="P45" s="151">
        <f ca="1"/>
        <v>1.003394505885401</v>
      </c>
      <c r="Q45" s="151">
        <f t="shared" ca="1" si="8"/>
        <v>1.0002450405595364</v>
      </c>
      <c r="R45" s="152" cm="1">
        <f t="array" aca="1" ref="R45:S45" ca="1">LINEST(OFFSET($E$6:$E$7,MAX(ROUNDDOWN($J45-1,0),0),0),OFFSET($B$6:$B$7,MAX(ROUNDDOWN($J45-1,0),0),0))</f>
        <v>-1.4044759491245173E-3</v>
      </c>
      <c r="S45" s="151">
        <f ca="1"/>
        <v>1.0155814648943566</v>
      </c>
      <c r="T45" s="151">
        <f t="shared" ca="1" si="9"/>
        <v>1.0015367054031115</v>
      </c>
      <c r="U45" s="152" cm="1">
        <f t="array" aca="1" ref="U45:V45" ca="1">LINEST(OFFSET($F$6:$F$7,MAX(ROUNDDOWN($J45-1,0),0),0),OFFSET($B$6:$B$7,MAX(ROUNDDOWN($J45-1,0),0),0))</f>
        <v>-2.5235522659861065E-3</v>
      </c>
      <c r="V45" s="151">
        <f ca="1"/>
        <v>1.0275205877631937</v>
      </c>
      <c r="W45" s="151">
        <f t="shared" ca="1" si="10"/>
        <v>1.0022850651033326</v>
      </c>
      <c r="X45" s="152" cm="1">
        <f t="array" aca="1" ref="X45:Y45" ca="1">LINEST(OFFSET($G$6:$G$7,MAX(ROUNDDOWN($J45-1,0),0),0),OFFSET($B$6:$B$7,MAX(ROUNDDOWN($J45-1,0),0),0))</f>
        <v>-1.096491228070162E-2</v>
      </c>
      <c r="Y45" s="151">
        <f ca="1"/>
        <v>1.151315789473683</v>
      </c>
      <c r="Z45" s="151">
        <f t="shared" ca="1" si="6"/>
        <v>1.0416666666666667</v>
      </c>
    </row>
    <row r="46" spans="2:26" x14ac:dyDescent="0.25">
      <c r="B46">
        <v>40</v>
      </c>
      <c r="C46" s="326">
        <v>1</v>
      </c>
      <c r="D46" s="326">
        <v>1</v>
      </c>
      <c r="E46" s="326">
        <v>1</v>
      </c>
      <c r="F46" s="326">
        <v>1</v>
      </c>
      <c r="G46" s="326">
        <v>1</v>
      </c>
      <c r="H46" s="326">
        <v>1</v>
      </c>
      <c r="J46" s="101">
        <f t="shared" si="4"/>
        <v>10.25</v>
      </c>
      <c r="K46" s="101">
        <f t="shared" si="5"/>
        <v>41</v>
      </c>
      <c r="L46" s="152" cm="1">
        <f t="array" aca="1" ref="L46:M46" ca="1">LINEST(OFFSET($C$7:$C$8,MAX(ROUNDDOWN($J46-1,0),0),0),OFFSET($B$7:$B$8,MAX(ROUNDDOWN($J46-1,0),0),0))</f>
        <v>-1.5949529618586311E-5</v>
      </c>
      <c r="M46" s="151">
        <f ca="1"/>
        <v>1.0002011919677773</v>
      </c>
      <c r="N46" s="151">
        <f t="shared" ca="1" si="7"/>
        <v>1.0000377092891868</v>
      </c>
      <c r="O46" s="152" cm="1">
        <f t="array" aca="1" ref="O46:P46" ca="1">LINEST(OFFSET($D$6:$D$7,MAX(ROUNDDOWN($J46-1,0),0),0),OFFSET($B$6:$B$7,MAX(ROUNDDOWN($J46-1,0),0),0))</f>
        <v>-3.1494653258645766E-4</v>
      </c>
      <c r="P46" s="151">
        <f ca="1"/>
        <v>1.003394505885401</v>
      </c>
      <c r="Q46" s="151">
        <f t="shared" ca="1" si="8"/>
        <v>1.0001663039263897</v>
      </c>
      <c r="R46" s="152" cm="1">
        <f t="array" aca="1" ref="R46:S46" ca="1">LINEST(OFFSET($E$6:$E$7,MAX(ROUNDDOWN($J46-1,0),0),0),OFFSET($B$6:$B$7,MAX(ROUNDDOWN($J46-1,0),0),0))</f>
        <v>-1.4044759491245173E-3</v>
      </c>
      <c r="S46" s="151">
        <f ca="1"/>
        <v>1.0155814648943566</v>
      </c>
      <c r="T46" s="151">
        <f t="shared" ca="1" si="9"/>
        <v>1.0011855864158303</v>
      </c>
      <c r="U46" s="152" cm="1">
        <f t="array" aca="1" ref="U46:V46" ca="1">LINEST(OFFSET($F$6:$F$7,MAX(ROUNDDOWN($J46-1,0),0),0),OFFSET($B$6:$B$7,MAX(ROUNDDOWN($J46-1,0),0),0))</f>
        <v>-2.5235522659861065E-3</v>
      </c>
      <c r="V46" s="151">
        <f ca="1"/>
        <v>1.0275205877631937</v>
      </c>
      <c r="W46" s="151">
        <f t="shared" ca="1" si="10"/>
        <v>1.0016541770368361</v>
      </c>
      <c r="X46" s="152" cm="1">
        <f t="array" aca="1" ref="X46:Y46" ca="1">LINEST(OFFSET($G$6:$G$7,MAX(ROUNDDOWN($J46-1,0),0),0),OFFSET($B$6:$B$7,MAX(ROUNDDOWN($J46-1,0),0),0))</f>
        <v>-1.096491228070162E-2</v>
      </c>
      <c r="Y46" s="151">
        <f ca="1"/>
        <v>1.151315789473683</v>
      </c>
      <c r="Z46" s="151">
        <f t="shared" ca="1" si="6"/>
        <v>1.0389254385964914</v>
      </c>
    </row>
    <row r="47" spans="2:26" x14ac:dyDescent="0.25">
      <c r="B47">
        <v>41</v>
      </c>
      <c r="C47" s="326">
        <v>1</v>
      </c>
      <c r="D47" s="326">
        <v>1</v>
      </c>
      <c r="E47" s="326">
        <v>1</v>
      </c>
      <c r="F47" s="326">
        <v>1</v>
      </c>
      <c r="G47" s="326">
        <v>1</v>
      </c>
      <c r="H47" s="326">
        <v>1</v>
      </c>
      <c r="J47" s="101">
        <f t="shared" si="4"/>
        <v>10.5</v>
      </c>
      <c r="K47" s="101">
        <f t="shared" si="5"/>
        <v>42</v>
      </c>
      <c r="L47" s="152" cm="1">
        <f t="array" aca="1" ref="L47:M47" ca="1">LINEST(OFFSET($C$7:$C$8,MAX(ROUNDDOWN($J47-1,0),0),0),OFFSET($B$7:$B$8,MAX(ROUNDDOWN($J47-1,0),0),0))</f>
        <v>-1.5949529618586311E-5</v>
      </c>
      <c r="M47" s="151">
        <f ca="1"/>
        <v>1.0002011919677773</v>
      </c>
      <c r="N47" s="151">
        <f t="shared" ca="1" si="7"/>
        <v>1.0000337219067821</v>
      </c>
      <c r="O47" s="152" cm="1">
        <f t="array" aca="1" ref="O47:P47" ca="1">LINEST(OFFSET($D$6:$D$7,MAX(ROUNDDOWN($J47-1,0),0),0),OFFSET($B$6:$B$7,MAX(ROUNDDOWN($J47-1,0),0),0))</f>
        <v>-3.1494653258645766E-4</v>
      </c>
      <c r="P47" s="151">
        <f ca="1"/>
        <v>1.003394505885401</v>
      </c>
      <c r="Q47" s="151">
        <f t="shared" ca="1" si="8"/>
        <v>1.0000875672932432</v>
      </c>
      <c r="R47" s="152" cm="1">
        <f t="array" aca="1" ref="R47:S47" ca="1">LINEST(OFFSET($E$6:$E$7,MAX(ROUNDDOWN($J47-1,0),0),0),OFFSET($B$6:$B$7,MAX(ROUNDDOWN($J47-1,0),0),0))</f>
        <v>-1.4044759491245173E-3</v>
      </c>
      <c r="S47" s="151">
        <f ca="1"/>
        <v>1.0155814648943566</v>
      </c>
      <c r="T47" s="151">
        <f t="shared" ca="1" si="9"/>
        <v>1.0008344674285492</v>
      </c>
      <c r="U47" s="152" cm="1">
        <f t="array" aca="1" ref="U47:V47" ca="1">LINEST(OFFSET($F$6:$F$7,MAX(ROUNDDOWN($J47-1,0),0),0),OFFSET($B$6:$B$7,MAX(ROUNDDOWN($J47-1,0),0),0))</f>
        <v>-2.5235522659861065E-3</v>
      </c>
      <c r="V47" s="151">
        <f ca="1"/>
        <v>1.0275205877631937</v>
      </c>
      <c r="W47" s="151">
        <f t="shared" ca="1" si="10"/>
        <v>1.0010232889703397</v>
      </c>
      <c r="X47" s="152" cm="1">
        <f t="array" aca="1" ref="X47:Y47" ca="1">LINEST(OFFSET($G$6:$G$7,MAX(ROUNDDOWN($J47-1,0),0),0),OFFSET($B$6:$B$7,MAX(ROUNDDOWN($J47-1,0),0),0))</f>
        <v>-1.096491228070162E-2</v>
      </c>
      <c r="Y47" s="151">
        <f ca="1"/>
        <v>1.151315789473683</v>
      </c>
      <c r="Z47" s="151">
        <f t="shared" ca="1" si="6"/>
        <v>1.0361842105263159</v>
      </c>
    </row>
    <row r="48" spans="2:26" x14ac:dyDescent="0.25">
      <c r="B48">
        <v>42</v>
      </c>
      <c r="C48" s="326">
        <v>1</v>
      </c>
      <c r="D48" s="326">
        <v>1</v>
      </c>
      <c r="E48" s="326">
        <v>1</v>
      </c>
      <c r="F48" s="326">
        <v>1</v>
      </c>
      <c r="G48" s="326">
        <v>1</v>
      </c>
      <c r="H48" s="326">
        <v>1</v>
      </c>
      <c r="J48" s="101">
        <f t="shared" si="4"/>
        <v>10.75</v>
      </c>
      <c r="K48" s="101">
        <f t="shared" si="5"/>
        <v>43</v>
      </c>
      <c r="L48" s="152" cm="1">
        <f t="array" aca="1" ref="L48:M48" ca="1">LINEST(OFFSET($C$7:$C$8,MAX(ROUNDDOWN($J48-1,0),0),0),OFFSET($B$7:$B$8,MAX(ROUNDDOWN($J48-1,0),0),0))</f>
        <v>-1.5949529618586311E-5</v>
      </c>
      <c r="M48" s="151">
        <f ca="1"/>
        <v>1.0002011919677773</v>
      </c>
      <c r="N48" s="151">
        <f t="shared" ca="1" si="7"/>
        <v>1.0000297345243776</v>
      </c>
      <c r="O48" s="152" cm="1">
        <f t="array" aca="1" ref="O48:P48" ca="1">LINEST(OFFSET($D$6:$D$7,MAX(ROUNDDOWN($J48-1,0),0),0),OFFSET($B$6:$B$7,MAX(ROUNDDOWN($J48-1,0),0),0))</f>
        <v>-3.1494653258645766E-4</v>
      </c>
      <c r="P48" s="151">
        <f ca="1"/>
        <v>1.003394505885401</v>
      </c>
      <c r="Q48" s="151">
        <f t="shared" ca="1" si="8"/>
        <v>1.0000088306600965</v>
      </c>
      <c r="R48" s="152" cm="1">
        <f t="array" aca="1" ref="R48:S48" ca="1">LINEST(OFFSET($E$6:$E$7,MAX(ROUNDDOWN($J48-1,0),0),0),OFFSET($B$6:$B$7,MAX(ROUNDDOWN($J48-1,0),0),0))</f>
        <v>-1.4044759491245173E-3</v>
      </c>
      <c r="S48" s="151">
        <f ca="1"/>
        <v>1.0155814648943566</v>
      </c>
      <c r="T48" s="151">
        <f t="shared" ca="1" si="9"/>
        <v>1.0004833484412681</v>
      </c>
      <c r="U48" s="152" cm="1">
        <f t="array" aca="1" ref="U48:V48" ca="1">LINEST(OFFSET($F$6:$F$7,MAX(ROUNDDOWN($J48-1,0),0),0),OFFSET($B$6:$B$7,MAX(ROUNDDOWN($J48-1,0),0),0))</f>
        <v>-2.5235522659861065E-3</v>
      </c>
      <c r="V48" s="151">
        <f ca="1"/>
        <v>1.0275205877631937</v>
      </c>
      <c r="W48" s="151">
        <f t="shared" ca="1" si="10"/>
        <v>1.000392400903843</v>
      </c>
      <c r="X48" s="152" cm="1">
        <f t="array" aca="1" ref="X48:Y48" ca="1">LINEST(OFFSET($G$6:$G$7,MAX(ROUNDDOWN($J48-1,0),0),0),OFFSET($B$6:$B$7,MAX(ROUNDDOWN($J48-1,0),0),0))</f>
        <v>-1.096491228070162E-2</v>
      </c>
      <c r="Y48" s="151">
        <f ca="1"/>
        <v>1.151315789473683</v>
      </c>
      <c r="Z48" s="151">
        <f t="shared" ca="1" si="6"/>
        <v>1.0334429824561406</v>
      </c>
    </row>
    <row r="49" spans="10:26" x14ac:dyDescent="0.25">
      <c r="J49" s="101">
        <f t="shared" si="4"/>
        <v>11</v>
      </c>
      <c r="K49" s="101">
        <f t="shared" si="5"/>
        <v>44</v>
      </c>
      <c r="L49" s="152" cm="1">
        <f t="array" aca="1" ref="L49:M49" ca="1">LINEST(OFFSET($C$7:$C$8,MAX(ROUNDDOWN($J49-1,0),0),0),OFFSET($B$7:$B$8,MAX(ROUNDDOWN($J49-1,0),0),0))</f>
        <v>-2.5747141972676256E-5</v>
      </c>
      <c r="M49" s="151">
        <f ca="1"/>
        <v>1.0003089657036721</v>
      </c>
      <c r="N49" s="151">
        <f t="shared" ca="1" si="7"/>
        <v>1.0000257471419727</v>
      </c>
      <c r="O49" s="152" cm="1">
        <f t="array" aca="1" ref="O49:P49" ca="1">LINEST(OFFSET($D$6:$D$7,MAX(ROUNDDOWN($J49-1,0),0),0),OFFSET($B$6:$B$7,MAX(ROUNDDOWN($J49-1,0),0),0))</f>
        <v>-4.4408920985006262E-16</v>
      </c>
      <c r="P49" s="151">
        <f ca="1"/>
        <v>1.0002450405595409</v>
      </c>
      <c r="Q49" s="151">
        <f t="shared" ca="1" si="8"/>
        <v>1.000245040559536</v>
      </c>
      <c r="R49" s="152" cm="1">
        <f t="array" aca="1" ref="R49:S49" ca="1">LINEST(OFFSET($E$6:$E$7,MAX(ROUNDDOWN($J49-1,0),0),0),OFFSET($B$6:$B$7,MAX(ROUNDDOWN($J49-1,0),0),0))</f>
        <v>-9.3845746912690796E-4</v>
      </c>
      <c r="S49" s="151">
        <f ca="1"/>
        <v>1.0109212800943808</v>
      </c>
      <c r="T49" s="151">
        <f t="shared" ca="1" si="9"/>
        <v>1.0005982479339848</v>
      </c>
      <c r="U49" s="152" cm="1">
        <f t="array" aca="1" ref="U49:V49" ca="1">LINEST(OFFSET($F$6:$F$7,MAX(ROUNDDOWN($J49-1,0),0),0),OFFSET($B$6:$B$7,MAX(ROUNDDOWN($J49-1,0),0),0))</f>
        <v>-1.5363712541922598E-3</v>
      </c>
      <c r="V49" s="151">
        <f ca="1"/>
        <v>1.0176487776452552</v>
      </c>
      <c r="W49" s="151">
        <f t="shared" ca="1" si="10"/>
        <v>1.0007486938491403</v>
      </c>
      <c r="X49" s="152" cm="1">
        <f t="array" aca="1" ref="X49:Y49" ca="1">LINEST(OFFSET($G$6:$G$7,MAX(ROUNDDOWN($J49-1,0),0),0),OFFSET($B$6:$B$7,MAX(ROUNDDOWN($J49-1,0),0),0))</f>
        <v>-2.1258503401360599E-2</v>
      </c>
      <c r="Y49" s="151">
        <f ca="1"/>
        <v>1.2542517006802727</v>
      </c>
      <c r="Z49" s="151">
        <f t="shared" ca="1" si="6"/>
        <v>1.0204081632653061</v>
      </c>
    </row>
    <row r="50" spans="10:26" x14ac:dyDescent="0.25">
      <c r="J50" s="101">
        <f t="shared" si="4"/>
        <v>11.25</v>
      </c>
      <c r="K50" s="101">
        <f t="shared" si="5"/>
        <v>45</v>
      </c>
      <c r="L50" s="152" cm="1">
        <f t="array" aca="1" ref="L50:M50" ca="1">LINEST(OFFSET($C$7:$C$8,MAX(ROUNDDOWN($J50-1,0),0),0),OFFSET($B$7:$B$8,MAX(ROUNDDOWN($J50-1,0),0),0))</f>
        <v>-2.5747141972676256E-5</v>
      </c>
      <c r="M50" s="151">
        <f ca="1"/>
        <v>1.0003089657036721</v>
      </c>
      <c r="N50" s="151">
        <f t="shared" ca="1" si="7"/>
        <v>1.0000193103564794</v>
      </c>
      <c r="O50" s="152" cm="1">
        <f t="array" aca="1" ref="O50:P50" ca="1">LINEST(OFFSET($D$6:$D$7,MAX(ROUNDDOWN($J50-1,0),0),0),OFFSET($B$6:$B$7,MAX(ROUNDDOWN($J50-1,0),0),0))</f>
        <v>-4.4408920985006262E-16</v>
      </c>
      <c r="P50" s="151">
        <f ca="1"/>
        <v>1.0002450405595409</v>
      </c>
      <c r="Q50" s="151">
        <f t="shared" ca="1" si="8"/>
        <v>1.0002450405595358</v>
      </c>
      <c r="R50" s="152" cm="1">
        <f t="array" aca="1" ref="R50:S50" ca="1">LINEST(OFFSET($E$6:$E$7,MAX(ROUNDDOWN($J50-1,0),0),0),OFFSET($B$6:$B$7,MAX(ROUNDDOWN($J50-1,0),0),0))</f>
        <v>-9.3845746912690796E-4</v>
      </c>
      <c r="S50" s="151">
        <f ca="1"/>
        <v>1.0109212800943808</v>
      </c>
      <c r="T50" s="151">
        <f t="shared" ca="1" si="9"/>
        <v>1.000363633566703</v>
      </c>
      <c r="U50" s="152" cm="1">
        <f t="array" aca="1" ref="U50:V50" ca="1">LINEST(OFFSET($F$6:$F$7,MAX(ROUNDDOWN($J50-1,0),0),0),OFFSET($B$6:$B$7,MAX(ROUNDDOWN($J50-1,0),0),0))</f>
        <v>-1.5363712541922598E-3</v>
      </c>
      <c r="V50" s="151">
        <f ca="1"/>
        <v>1.0176487776452552</v>
      </c>
      <c r="W50" s="151">
        <f t="shared" ca="1" si="10"/>
        <v>1.0003646010355922</v>
      </c>
      <c r="X50" s="152" cm="1">
        <f t="array" aca="1" ref="X50:Y50" ca="1">LINEST(OFFSET($G$6:$G$7,MAX(ROUNDDOWN($J50-1,0),0),0),OFFSET($B$6:$B$7,MAX(ROUNDDOWN($J50-1,0),0),0))</f>
        <v>-2.1258503401360599E-2</v>
      </c>
      <c r="Y50" s="151">
        <f ca="1"/>
        <v>1.2542517006802727</v>
      </c>
      <c r="Z50" s="151">
        <f t="shared" ca="1" si="6"/>
        <v>1.0150935374149659</v>
      </c>
    </row>
    <row r="51" spans="10:26" x14ac:dyDescent="0.25">
      <c r="J51" s="101">
        <f t="shared" si="4"/>
        <v>11.5</v>
      </c>
      <c r="K51" s="101">
        <f t="shared" si="5"/>
        <v>46</v>
      </c>
      <c r="L51" s="152" cm="1">
        <f t="array" aca="1" ref="L51:M51" ca="1">LINEST(OFFSET($C$7:$C$8,MAX(ROUNDDOWN($J51-1,0),0),0),OFFSET($B$7:$B$8,MAX(ROUNDDOWN($J51-1,0),0),0))</f>
        <v>-2.5747141972676256E-5</v>
      </c>
      <c r="M51" s="151">
        <f ca="1"/>
        <v>1.0003089657036721</v>
      </c>
      <c r="N51" s="151">
        <f t="shared" ca="1" si="7"/>
        <v>1.0000128735709863</v>
      </c>
      <c r="O51" s="152" cm="1">
        <f t="array" aca="1" ref="O51:P51" ca="1">LINEST(OFFSET($D$6:$D$7,MAX(ROUNDDOWN($J51-1,0),0),0),OFFSET($B$6:$B$7,MAX(ROUNDDOWN($J51-1,0),0),0))</f>
        <v>-4.4408920985006262E-16</v>
      </c>
      <c r="P51" s="151">
        <f ca="1"/>
        <v>1.0002450405595409</v>
      </c>
      <c r="Q51" s="151">
        <f t="shared" ca="1" si="8"/>
        <v>1.0002450405595358</v>
      </c>
      <c r="R51" s="152" cm="1">
        <f t="array" aca="1" ref="R51:S51" ca="1">LINEST(OFFSET($E$6:$E$7,MAX(ROUNDDOWN($J51-1,0),0),0),OFFSET($B$6:$B$7,MAX(ROUNDDOWN($J51-1,0),0),0))</f>
        <v>-9.3845746912690796E-4</v>
      </c>
      <c r="S51" s="151">
        <f ca="1"/>
        <v>1.0109212800943808</v>
      </c>
      <c r="T51" s="151">
        <f t="shared" ca="1" si="9"/>
        <v>1.0001290191994212</v>
      </c>
      <c r="U51" s="152" cm="1">
        <f t="array" aca="1" ref="U51:V51" ca="1">LINEST(OFFSET($F$6:$F$7,MAX(ROUNDDOWN($J51-1,0),0),0),OFFSET($B$6:$B$7,MAX(ROUNDDOWN($J51-1,0),0),0))</f>
        <v>-1.5363712541922598E-3</v>
      </c>
      <c r="V51" s="151">
        <f ca="1"/>
        <v>1.0176487776452552</v>
      </c>
      <c r="W51" s="151">
        <f t="shared" ca="1" si="10"/>
        <v>0.99998050822204421</v>
      </c>
      <c r="X51" s="152" cm="1">
        <f t="array" aca="1" ref="X51:Y51" ca="1">LINEST(OFFSET($G$6:$G$7,MAX(ROUNDDOWN($J51-1,0),0),0),OFFSET($B$6:$B$7,MAX(ROUNDDOWN($J51-1,0),0),0))</f>
        <v>-2.1258503401360599E-2</v>
      </c>
      <c r="Y51" s="151">
        <f ca="1"/>
        <v>1.2542517006802727</v>
      </c>
      <c r="Z51" s="151">
        <f t="shared" ca="1" si="6"/>
        <v>1.0097789115646258</v>
      </c>
    </row>
    <row r="52" spans="10:26" x14ac:dyDescent="0.25">
      <c r="J52" s="101">
        <f t="shared" si="4"/>
        <v>11.75</v>
      </c>
      <c r="K52" s="101">
        <f t="shared" si="5"/>
        <v>47</v>
      </c>
      <c r="L52" s="152" cm="1">
        <f t="array" aca="1" ref="L52:M52" ca="1">LINEST(OFFSET($C$7:$C$8,MAX(ROUNDDOWN($J52-1,0),0),0),OFFSET($B$7:$B$8,MAX(ROUNDDOWN($J52-1,0),0),0))</f>
        <v>-2.5747141972676256E-5</v>
      </c>
      <c r="M52" s="151">
        <f ca="1"/>
        <v>1.0003089657036721</v>
      </c>
      <c r="N52" s="151">
        <f t="shared" ca="1" si="7"/>
        <v>1.0000064367854931</v>
      </c>
      <c r="O52" s="152" cm="1">
        <f t="array" aca="1" ref="O52:P52" ca="1">LINEST(OFFSET($D$6:$D$7,MAX(ROUNDDOWN($J52-1,0),0),0),OFFSET($B$6:$B$7,MAX(ROUNDDOWN($J52-1,0),0),0))</f>
        <v>-4.4408920985006262E-16</v>
      </c>
      <c r="P52" s="151">
        <f ca="1"/>
        <v>1.0002450405595409</v>
      </c>
      <c r="Q52" s="151">
        <f t="shared" ca="1" si="8"/>
        <v>1.0002450405595358</v>
      </c>
      <c r="R52" s="152" cm="1">
        <f t="array" aca="1" ref="R52:S52" ca="1">LINEST(OFFSET($E$6:$E$7,MAX(ROUNDDOWN($J52-1,0),0),0),OFFSET($B$6:$B$7,MAX(ROUNDDOWN($J52-1,0),0),0))</f>
        <v>-9.3845746912690796E-4</v>
      </c>
      <c r="S52" s="151">
        <f ca="1"/>
        <v>1.0109212800943808</v>
      </c>
      <c r="T52" s="151">
        <f t="shared" ca="1" si="9"/>
        <v>0.99989440483213954</v>
      </c>
      <c r="U52" s="152" cm="1">
        <f t="array" aca="1" ref="U52:V52" ca="1">LINEST(OFFSET($F$6:$F$7,MAX(ROUNDDOWN($J52-1,0),0),0),OFFSET($B$6:$B$7,MAX(ROUNDDOWN($J52-1,0),0),0))</f>
        <v>-1.5363712541922598E-3</v>
      </c>
      <c r="V52" s="151">
        <f ca="1"/>
        <v>1.0176487776452552</v>
      </c>
      <c r="W52" s="151">
        <f t="shared" ca="1" si="10"/>
        <v>0.99959641540849609</v>
      </c>
      <c r="X52" s="152" cm="1">
        <f t="array" aca="1" ref="X52:Y52" ca="1">LINEST(OFFSET($G$6:$G$7,MAX(ROUNDDOWN($J52-1,0),0),0),OFFSET($B$6:$B$7,MAX(ROUNDDOWN($J52-1,0),0),0))</f>
        <v>-2.1258503401360599E-2</v>
      </c>
      <c r="Y52" s="151">
        <f ca="1"/>
        <v>1.2542517006802727</v>
      </c>
      <c r="Z52" s="151">
        <f t="shared" ca="1" si="6"/>
        <v>1.0044642857142856</v>
      </c>
    </row>
    <row r="53" spans="10:26" x14ac:dyDescent="0.25">
      <c r="J53" s="101">
        <f t="shared" si="4"/>
        <v>12</v>
      </c>
      <c r="K53" s="101">
        <f t="shared" si="5"/>
        <v>48</v>
      </c>
      <c r="L53" s="152" cm="1">
        <f t="array" aca="1" ref="L53:M53" ca="1">LINEST(OFFSET($C$7:$C$8,MAX(ROUNDDOWN($J53-1,0),0),0),OFFSET($B$7:$B$8,MAX(ROUNDDOWN($J53-1,0),0),0))</f>
        <v>0</v>
      </c>
      <c r="M53" s="151">
        <f ca="1"/>
        <v>1</v>
      </c>
      <c r="N53" s="151">
        <f t="shared" ca="1" si="7"/>
        <v>1</v>
      </c>
      <c r="O53" s="152" cm="1">
        <f t="array" aca="1" ref="O53:P53" ca="1">LINEST(OFFSET($D$6:$D$7,MAX(ROUNDDOWN($J53-1,0),0),0),OFFSET($B$6:$B$7,MAX(ROUNDDOWN($J53-1,0),0),0))</f>
        <v>-2.4504055952845338E-4</v>
      </c>
      <c r="P53" s="151">
        <f ca="1"/>
        <v>1.0029404867143492</v>
      </c>
      <c r="Q53" s="151">
        <f t="shared" ca="1" si="8"/>
        <v>1.0000000000000078</v>
      </c>
      <c r="R53" s="152" cm="1">
        <f t="array" aca="1" ref="R53:S53" ca="1">LINEST(OFFSET($E$6:$E$7,MAX(ROUNDDOWN($J53-1,0),0),0),OFFSET($B$6:$B$7,MAX(ROUNDDOWN($J53-1,0),0),0))</f>
        <v>-5.2469569331736765E-4</v>
      </c>
      <c r="S53" s="151">
        <f ca="1"/>
        <v>1.0063699005604756</v>
      </c>
      <c r="T53" s="151">
        <f t="shared" ca="1" si="9"/>
        <v>1.0000735522406672</v>
      </c>
      <c r="U53" s="152" cm="1">
        <f t="array" aca="1" ref="U53:V53" ca="1">LINEST(OFFSET($F$6:$F$7,MAX(ROUNDDOWN($J53-1,0),0),0),OFFSET($B$6:$B$7,MAX(ROUNDDOWN($J53-1,0),0),0))</f>
        <v>-6.491643291688386E-4</v>
      </c>
      <c r="V53" s="151">
        <f ca="1"/>
        <v>1.0078895014699976</v>
      </c>
      <c r="W53" s="151">
        <f t="shared" ca="1" si="10"/>
        <v>1.0000995295199715</v>
      </c>
      <c r="X53" s="152" cm="1">
        <f t="array" aca="1" ref="X53:Y53" ca="1">LINEST(OFFSET($G$6:$G$7,MAX(ROUNDDOWN($J53-1,0),0),0),OFFSET($B$6:$B$7,MAX(ROUNDDOWN($J53-1,0),0),0))</f>
        <v>-1.0307153164295979E-2</v>
      </c>
      <c r="Y53" s="151">
        <f ca="1"/>
        <v>1.1337868480725619</v>
      </c>
      <c r="Z53" s="151">
        <f t="shared" ca="1" si="6"/>
        <v>1.0101010101010102</v>
      </c>
    </row>
    <row r="54" spans="10:26" x14ac:dyDescent="0.25">
      <c r="J54" s="101">
        <f t="shared" si="4"/>
        <v>12.25</v>
      </c>
      <c r="K54" s="101">
        <f t="shared" si="5"/>
        <v>49</v>
      </c>
      <c r="L54" s="152" cm="1">
        <f t="array" aca="1" ref="L54:M54" ca="1">LINEST(OFFSET($C$7:$C$8,MAX(ROUNDDOWN($J54-1,0),0),0),OFFSET($B$7:$B$8,MAX(ROUNDDOWN($J54-1,0),0),0))</f>
        <v>0</v>
      </c>
      <c r="M54" s="151">
        <f ca="1"/>
        <v>1</v>
      </c>
      <c r="N54" s="151">
        <f t="shared" ca="1" si="7"/>
        <v>1</v>
      </c>
      <c r="O54" s="152" cm="1">
        <f t="array" aca="1" ref="O54:P54" ca="1">LINEST(OFFSET($D$6:$D$7,MAX(ROUNDDOWN($J54-1,0),0),0),OFFSET($B$6:$B$7,MAX(ROUNDDOWN($J54-1,0),0),0))</f>
        <v>-2.4504055952845338E-4</v>
      </c>
      <c r="P54" s="151">
        <f ca="1"/>
        <v>1.0029404867143492</v>
      </c>
      <c r="Q54" s="151">
        <f t="shared" ca="1" si="8"/>
        <v>0.9999387398601256</v>
      </c>
      <c r="R54" s="152" cm="1">
        <f t="array" aca="1" ref="R54:S54" ca="1">LINEST(OFFSET($E$6:$E$7,MAX(ROUNDDOWN($J54-1,0),0),0),OFFSET($B$6:$B$7,MAX(ROUNDDOWN($J54-1,0),0),0))</f>
        <v>-5.2469569331736765E-4</v>
      </c>
      <c r="S54" s="151">
        <f ca="1"/>
        <v>1.0063699005604756</v>
      </c>
      <c r="T54" s="151">
        <f t="shared" ca="1" si="9"/>
        <v>0.99994237831733779</v>
      </c>
      <c r="U54" s="152" cm="1">
        <f t="array" aca="1" ref="U54:V54" ca="1">LINEST(OFFSET($F$6:$F$7,MAX(ROUNDDOWN($J54-1,0),0),0),OFFSET($B$6:$B$7,MAX(ROUNDDOWN($J54-1,0),0),0))</f>
        <v>-6.491643291688386E-4</v>
      </c>
      <c r="V54" s="151">
        <f ca="1"/>
        <v>1.0078895014699976</v>
      </c>
      <c r="W54" s="151">
        <f t="shared" ca="1" si="10"/>
        <v>0.99993723843767934</v>
      </c>
      <c r="X54" s="152" cm="1">
        <f t="array" aca="1" ref="X54:Y54" ca="1">LINEST(OFFSET($G$6:$G$7,MAX(ROUNDDOWN($J54-1,0),0),0),OFFSET($B$6:$B$7,MAX(ROUNDDOWN($J54-1,0),0),0))</f>
        <v>-1.0307153164295979E-2</v>
      </c>
      <c r="Y54" s="151">
        <f ca="1"/>
        <v>1.1337868480725619</v>
      </c>
      <c r="Z54" s="151">
        <f t="shared" ca="1" si="6"/>
        <v>1.0075242218099363</v>
      </c>
    </row>
    <row r="55" spans="10:26" x14ac:dyDescent="0.25">
      <c r="J55" s="101">
        <f t="shared" si="4"/>
        <v>12.5</v>
      </c>
      <c r="K55" s="101">
        <f t="shared" si="5"/>
        <v>50</v>
      </c>
      <c r="L55" s="152" cm="1">
        <f t="array" aca="1" ref="L55:M55" ca="1">LINEST(OFFSET($C$7:$C$8,MAX(ROUNDDOWN($J55-1,0),0),0),OFFSET($B$7:$B$8,MAX(ROUNDDOWN($J55-1,0),0),0))</f>
        <v>0</v>
      </c>
      <c r="M55" s="151">
        <f ca="1"/>
        <v>1</v>
      </c>
      <c r="N55" s="151">
        <f t="shared" ca="1" si="7"/>
        <v>1</v>
      </c>
      <c r="O55" s="152" cm="1">
        <f t="array" aca="1" ref="O55:P55" ca="1">LINEST(OFFSET($D$6:$D$7,MAX(ROUNDDOWN($J55-1,0),0),0),OFFSET($B$6:$B$7,MAX(ROUNDDOWN($J55-1,0),0),0))</f>
        <v>-2.4504055952845338E-4</v>
      </c>
      <c r="P55" s="151">
        <f ca="1"/>
        <v>1.0029404867143492</v>
      </c>
      <c r="Q55" s="151">
        <f t="shared" ca="1" si="8"/>
        <v>0.99987747972024354</v>
      </c>
      <c r="R55" s="152" cm="1">
        <f t="array" aca="1" ref="R55:S55" ca="1">LINEST(OFFSET($E$6:$E$7,MAX(ROUNDDOWN($J55-1,0),0),0),OFFSET($B$6:$B$7,MAX(ROUNDDOWN($J55-1,0),0),0))</f>
        <v>-5.2469569331736765E-4</v>
      </c>
      <c r="S55" s="151">
        <f ca="1"/>
        <v>1.0063699005604756</v>
      </c>
      <c r="T55" s="151">
        <f t="shared" ca="1" si="9"/>
        <v>0.9998112043940085</v>
      </c>
      <c r="U55" s="152" cm="1">
        <f t="array" aca="1" ref="U55:V55" ca="1">LINEST(OFFSET($F$6:$F$7,MAX(ROUNDDOWN($J55-1,0),0),0),OFFSET($B$6:$B$7,MAX(ROUNDDOWN($J55-1,0),0),0))</f>
        <v>-6.491643291688386E-4</v>
      </c>
      <c r="V55" s="151">
        <f ca="1"/>
        <v>1.0078895014699976</v>
      </c>
      <c r="W55" s="151">
        <f t="shared" ca="1" si="10"/>
        <v>0.99977494735538708</v>
      </c>
      <c r="X55" s="152" cm="1">
        <f t="array" aca="1" ref="X55:Y55" ca="1">LINEST(OFFSET($G$6:$G$7,MAX(ROUNDDOWN($J55-1,0),0),0),OFFSET($B$6:$B$7,MAX(ROUNDDOWN($J55-1,0),0),0))</f>
        <v>-1.0307153164295979E-2</v>
      </c>
      <c r="Y55" s="151">
        <f ca="1"/>
        <v>1.1337868480725619</v>
      </c>
      <c r="Z55" s="151">
        <f t="shared" ca="1" si="6"/>
        <v>1.0049474335188622</v>
      </c>
    </row>
    <row r="56" spans="10:26" x14ac:dyDescent="0.25">
      <c r="J56" s="101">
        <f t="shared" si="4"/>
        <v>12.75</v>
      </c>
      <c r="K56" s="101">
        <f t="shared" si="5"/>
        <v>51</v>
      </c>
      <c r="L56" s="152" cm="1">
        <f t="array" aca="1" ref="L56:M56" ca="1">LINEST(OFFSET($C$7:$C$8,MAX(ROUNDDOWN($J56-1,0),0),0),OFFSET($B$7:$B$8,MAX(ROUNDDOWN($J56-1,0),0),0))</f>
        <v>0</v>
      </c>
      <c r="M56" s="151">
        <f ca="1"/>
        <v>1</v>
      </c>
      <c r="N56" s="151">
        <f t="shared" ca="1" si="7"/>
        <v>1</v>
      </c>
      <c r="O56" s="152" cm="1">
        <f t="array" aca="1" ref="O56:P56" ca="1">LINEST(OFFSET($D$6:$D$7,MAX(ROUNDDOWN($J56-1,0),0),0),OFFSET($B$6:$B$7,MAX(ROUNDDOWN($J56-1,0),0),0))</f>
        <v>-2.4504055952845338E-4</v>
      </c>
      <c r="P56" s="151">
        <f ca="1"/>
        <v>1.0029404867143492</v>
      </c>
      <c r="Q56" s="151">
        <f t="shared" ca="1" si="8"/>
        <v>0.99981621958036138</v>
      </c>
      <c r="R56" s="152" cm="1">
        <f t="array" aca="1" ref="R56:S56" ca="1">LINEST(OFFSET($E$6:$E$7,MAX(ROUNDDOWN($J56-1,0),0),0),OFFSET($B$6:$B$7,MAX(ROUNDDOWN($J56-1,0),0),0))</f>
        <v>-5.2469569331736765E-4</v>
      </c>
      <c r="S56" s="151">
        <f ca="1"/>
        <v>1.0063699005604756</v>
      </c>
      <c r="T56" s="151">
        <f t="shared" ca="1" si="9"/>
        <v>0.9996800304706791</v>
      </c>
      <c r="U56" s="152" cm="1">
        <f t="array" aca="1" ref="U56:V56" ca="1">LINEST(OFFSET($F$6:$F$7,MAX(ROUNDDOWN($J56-1,0),0),0),OFFSET($B$6:$B$7,MAX(ROUNDDOWN($J56-1,0),0),0))</f>
        <v>-6.491643291688386E-4</v>
      </c>
      <c r="V56" s="151">
        <f ca="1"/>
        <v>1.0078895014699976</v>
      </c>
      <c r="W56" s="151">
        <f t="shared" ca="1" si="10"/>
        <v>0.99961265627309492</v>
      </c>
      <c r="X56" s="152" cm="1">
        <f t="array" aca="1" ref="X56:Y56" ca="1">LINEST(OFFSET($G$6:$G$7,MAX(ROUNDDOWN($J56-1,0),0),0),OFFSET($B$6:$B$7,MAX(ROUNDDOWN($J56-1,0),0),0))</f>
        <v>-1.0307153164295979E-2</v>
      </c>
      <c r="Y56" s="151">
        <f ca="1"/>
        <v>1.1337868480725619</v>
      </c>
      <c r="Z56" s="151">
        <f t="shared" ca="1" si="6"/>
        <v>1.0023706452277881</v>
      </c>
    </row>
    <row r="57" spans="10:26" x14ac:dyDescent="0.25">
      <c r="J57" s="101">
        <f t="shared" si="4"/>
        <v>13</v>
      </c>
      <c r="K57" s="101">
        <f t="shared" si="5"/>
        <v>52</v>
      </c>
      <c r="L57" s="153" cm="1">
        <f t="array" aca="1" ref="L57:M57" ca="1">LINEST(OFFSET($C$7:$C$8,MAX(ROUNDDOWN($J57-1,0),0),0),OFFSET($B$7:$B$8,MAX(ROUNDDOWN($J57-1,0),0),0))</f>
        <v>0</v>
      </c>
      <c r="M57" s="154">
        <f ca="1"/>
        <v>1</v>
      </c>
      <c r="N57" s="154">
        <f t="shared" ca="1" si="7"/>
        <v>1</v>
      </c>
      <c r="O57" s="153" cm="1">
        <f t="array" aca="1" ref="O57:P57" ca="1">LINEST(OFFSET($D$6:$D$7,MAX(ROUNDDOWN($J57-1,0),0),0),OFFSET($B$6:$B$7,MAX(ROUNDDOWN($J57-1,0),0),0))</f>
        <v>1.3322676295501878E-15</v>
      </c>
      <c r="P57" s="154">
        <f ca="1"/>
        <v>0.99999999999999156</v>
      </c>
      <c r="Q57" s="154">
        <f t="shared" ca="1" si="8"/>
        <v>1.0000000000000089</v>
      </c>
      <c r="R57" s="153" cm="1">
        <f t="array" aca="1" ref="R57:S57" ca="1">LINEST(OFFSET($E$6:$E$7,MAX(ROUNDDOWN($J57-1,0),0),0),OFFSET($B$6:$B$7,MAX(ROUNDDOWN($J57-1,0),0),0))</f>
        <v>-7.4312740191317963E-5</v>
      </c>
      <c r="S57" s="154">
        <f ca="1"/>
        <v>1.000965305122963</v>
      </c>
      <c r="T57" s="154">
        <f t="shared" ca="1" si="9"/>
        <v>0.99999923950047587</v>
      </c>
      <c r="U57" s="153" cm="1">
        <f t="array" aca="1" ref="U57:V57" ca="1">LINEST(OFFSET($F$6:$F$7,MAX(ROUNDDOWN($J57-1,0),0),0),OFFSET($B$6:$B$7,MAX(ROUNDDOWN($J57-1,0),0),0))</f>
        <v>-9.9529519973051719E-5</v>
      </c>
      <c r="V57" s="154">
        <f ca="1"/>
        <v>1.0012938837596481</v>
      </c>
      <c r="W57" s="154">
        <f t="shared" ca="1" si="10"/>
        <v>0.99999999999999845</v>
      </c>
      <c r="X57" s="152" cm="1">
        <f t="array" aca="1" ref="X57:Y57" ca="1">LINEST(OFFSET($G$6:$G$7,MAX(ROUNDDOWN($J57-1,0),0),0),OFFSET($B$6:$B$7,MAX(ROUNDDOWN($J57-1,0),0),0))</f>
        <v>-1.0101010101010166E-2</v>
      </c>
      <c r="Y57" s="151">
        <f ca="1"/>
        <v>1.1313131313131324</v>
      </c>
      <c r="Z57" s="151">
        <f t="shared" ca="1" si="6"/>
        <v>1.0000000000000002</v>
      </c>
    </row>
  </sheetData>
  <mergeCells count="2">
    <mergeCell ref="C1:J1"/>
    <mergeCell ref="L1:W1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7081E-894C-4178-A7EE-30112FB2001D}">
  <sheetPr codeName="Sheet19">
    <tabColor rgb="FF0043CE"/>
  </sheetPr>
  <dimension ref="B2:S290"/>
  <sheetViews>
    <sheetView showGridLines="0" topLeftCell="A12" zoomScale="70" zoomScaleNormal="70" workbookViewId="0">
      <selection activeCell="B16" sqref="B16"/>
    </sheetView>
  </sheetViews>
  <sheetFormatPr defaultRowHeight="15" outlineLevelRow="1" x14ac:dyDescent="0.25"/>
  <cols>
    <col min="2" max="2" width="55.28515625" customWidth="1"/>
    <col min="3" max="3" width="16.7109375" customWidth="1"/>
    <col min="4" max="12" width="13.140625" bestFit="1" customWidth="1"/>
    <col min="13" max="13" width="13.28515625" bestFit="1" customWidth="1"/>
    <col min="14" max="14" width="13.140625" bestFit="1" customWidth="1"/>
    <col min="15" max="15" width="13.42578125" bestFit="1" customWidth="1"/>
    <col min="16" max="18" width="16" customWidth="1"/>
    <col min="21" max="21" width="14.85546875" customWidth="1"/>
  </cols>
  <sheetData>
    <row r="2" spans="2:2" ht="18.75" x14ac:dyDescent="0.25">
      <c r="B2" s="51"/>
    </row>
    <row r="24" spans="2:18" ht="18.75" x14ac:dyDescent="0.25">
      <c r="B24" s="51"/>
    </row>
    <row r="25" spans="2:18" x14ac:dyDescent="0.25">
      <c r="B25" s="52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517"/>
      <c r="Q25" s="517"/>
      <c r="R25" s="517"/>
    </row>
    <row r="26" spans="2:18" x14ac:dyDescent="0.25">
      <c r="B26" s="53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0"/>
      <c r="Q26" s="50"/>
      <c r="R26" s="50"/>
    </row>
    <row r="27" spans="2:18" ht="15.75" x14ac:dyDescent="0.25">
      <c r="B27" s="46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</row>
    <row r="28" spans="2:18" ht="15.75" x14ac:dyDescent="0.25">
      <c r="B28" s="46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</row>
    <row r="29" spans="2:18" ht="15.75" x14ac:dyDescent="0.25">
      <c r="B29" s="46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</row>
    <row r="30" spans="2:18" ht="15.75" x14ac:dyDescent="0.25">
      <c r="B30" s="46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</row>
    <row r="31" spans="2:18" ht="15.75" x14ac:dyDescent="0.25">
      <c r="B31" s="46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</row>
    <row r="32" spans="2:18" ht="15.75" x14ac:dyDescent="0.25">
      <c r="B32" s="4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</row>
    <row r="33" spans="2:19" ht="15.75" x14ac:dyDescent="0.25">
      <c r="B33" s="46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</row>
    <row r="34" spans="2:19" ht="15.75" x14ac:dyDescent="0.25">
      <c r="B34" s="46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"/>
    </row>
    <row r="35" spans="2:19" ht="15.75" x14ac:dyDescent="0.25">
      <c r="B35" s="46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</row>
    <row r="36" spans="2:19" x14ac:dyDescent="0.25">
      <c r="B36" s="53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5"/>
      <c r="Q36" s="55"/>
      <c r="R36" s="55"/>
    </row>
    <row r="37" spans="2:19" ht="15.75" x14ac:dyDescent="0.25">
      <c r="B37" s="46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</row>
    <row r="38" spans="2:19" ht="15.75" x14ac:dyDescent="0.25">
      <c r="B38" s="46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0"/>
      <c r="Q38" s="10"/>
      <c r="R38" s="10"/>
    </row>
    <row r="39" spans="2:19" ht="15.75" x14ac:dyDescent="0.25">
      <c r="B39" s="46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</row>
    <row r="42" spans="2:19" ht="18.75" x14ac:dyDescent="0.25">
      <c r="B42" s="51"/>
    </row>
    <row r="43" spans="2:19" x14ac:dyDescent="0.25">
      <c r="B43" s="5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517"/>
      <c r="Q43" s="517"/>
      <c r="R43" s="517"/>
    </row>
    <row r="44" spans="2:19" x14ac:dyDescent="0.25">
      <c r="B44" s="53"/>
      <c r="C44" s="54"/>
      <c r="D44" s="54"/>
      <c r="E44" s="54"/>
      <c r="F44" s="54"/>
      <c r="G44" s="54"/>
      <c r="H44" s="54"/>
      <c r="I44" s="54"/>
      <c r="J44" s="54"/>
      <c r="K44" s="54"/>
      <c r="L44" s="54"/>
      <c r="M44" s="54"/>
      <c r="N44" s="54"/>
      <c r="O44" s="54"/>
      <c r="P44" s="50"/>
      <c r="Q44" s="50"/>
      <c r="R44" s="50"/>
    </row>
    <row r="45" spans="2:19" ht="15.75" x14ac:dyDescent="0.25">
      <c r="B45" s="46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</row>
    <row r="46" spans="2:19" ht="15.75" x14ac:dyDescent="0.25">
      <c r="B46" s="46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</row>
    <row r="47" spans="2:19" ht="15.75" x14ac:dyDescent="0.25">
      <c r="B47" s="46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</row>
    <row r="48" spans="2:19" ht="15.75" x14ac:dyDescent="0.25">
      <c r="B48" s="46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</row>
    <row r="49" spans="2:19" ht="15.75" x14ac:dyDescent="0.25">
      <c r="B49" s="46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</row>
    <row r="50" spans="2:19" ht="15.75" x14ac:dyDescent="0.25">
      <c r="B50" s="46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</row>
    <row r="51" spans="2:19" ht="15.75" x14ac:dyDescent="0.25">
      <c r="B51" s="46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</row>
    <row r="52" spans="2:19" ht="15.75" x14ac:dyDescent="0.25">
      <c r="B52" s="46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"/>
    </row>
    <row r="53" spans="2:19" ht="15.75" x14ac:dyDescent="0.25">
      <c r="B53" s="46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</row>
    <row r="54" spans="2:19" x14ac:dyDescent="0.25">
      <c r="B54" s="53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5"/>
      <c r="Q54" s="55"/>
      <c r="R54" s="55"/>
    </row>
    <row r="55" spans="2:19" ht="15.75" x14ac:dyDescent="0.25">
      <c r="B55" s="46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</row>
    <row r="56" spans="2:19" ht="15.75" x14ac:dyDescent="0.25">
      <c r="B56" s="46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0"/>
      <c r="Q56" s="10"/>
      <c r="R56" s="10"/>
    </row>
    <row r="57" spans="2:19" ht="15.75" x14ac:dyDescent="0.25">
      <c r="B57" s="46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</row>
    <row r="59" spans="2:19" ht="18.75" hidden="1" outlineLevel="1" x14ac:dyDescent="0.25">
      <c r="B59" s="51"/>
    </row>
    <row r="60" spans="2:19" hidden="1" outlineLevel="1" x14ac:dyDescent="0.25">
      <c r="B60" s="5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517"/>
      <c r="Q60" s="517"/>
      <c r="R60" s="517"/>
    </row>
    <row r="61" spans="2:19" hidden="1" outlineLevel="1" x14ac:dyDescent="0.25">
      <c r="B61" s="53"/>
      <c r="C61" s="54"/>
      <c r="D61" s="54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0"/>
      <c r="Q61" s="50"/>
      <c r="R61" s="50"/>
    </row>
    <row r="62" spans="2:19" ht="15.75" hidden="1" outlineLevel="1" x14ac:dyDescent="0.25">
      <c r="B62" s="46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</row>
    <row r="63" spans="2:19" ht="15.75" hidden="1" outlineLevel="1" x14ac:dyDescent="0.25">
      <c r="B63" s="46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</row>
    <row r="64" spans="2:19" ht="15.75" hidden="1" outlineLevel="1" x14ac:dyDescent="0.25">
      <c r="B64" s="46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</row>
    <row r="65" spans="2:19" ht="15.75" hidden="1" outlineLevel="1" x14ac:dyDescent="0.25">
      <c r="B65" s="46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</row>
    <row r="66" spans="2:19" ht="15.75" hidden="1" outlineLevel="1" x14ac:dyDescent="0.25">
      <c r="B66" s="46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</row>
    <row r="67" spans="2:19" ht="15.75" hidden="1" outlineLevel="1" x14ac:dyDescent="0.25">
      <c r="B67" s="46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</row>
    <row r="68" spans="2:19" ht="15.75" hidden="1" outlineLevel="1" x14ac:dyDescent="0.25">
      <c r="B68" s="46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</row>
    <row r="69" spans="2:19" ht="15.75" hidden="1" outlineLevel="1" x14ac:dyDescent="0.25">
      <c r="B69" s="46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"/>
    </row>
    <row r="70" spans="2:19" ht="15.75" hidden="1" outlineLevel="1" x14ac:dyDescent="0.25">
      <c r="B70" s="46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</row>
    <row r="71" spans="2:19" hidden="1" outlineLevel="1" x14ac:dyDescent="0.25">
      <c r="B71" s="53"/>
      <c r="C71" s="54"/>
      <c r="D71" s="54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5"/>
      <c r="Q71" s="55"/>
      <c r="R71" s="55"/>
    </row>
    <row r="72" spans="2:19" ht="15.75" hidden="1" outlineLevel="1" x14ac:dyDescent="0.25">
      <c r="B72" s="46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</row>
    <row r="73" spans="2:19" ht="15.75" hidden="1" outlineLevel="1" x14ac:dyDescent="0.25">
      <c r="B73" s="46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0"/>
      <c r="Q73" s="10"/>
      <c r="R73" s="10"/>
    </row>
    <row r="74" spans="2:19" ht="15.75" hidden="1" outlineLevel="1" x14ac:dyDescent="0.25">
      <c r="B74" s="46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</row>
    <row r="75" spans="2:19" ht="15.75" hidden="1" outlineLevel="1" x14ac:dyDescent="0.25">
      <c r="B75" s="46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</row>
    <row r="76" spans="2:19" hidden="1" outlineLevel="1" x14ac:dyDescent="0.25"/>
    <row r="77" spans="2:19" ht="18.75" hidden="1" outlineLevel="1" x14ac:dyDescent="0.25">
      <c r="B77" s="51"/>
    </row>
    <row r="78" spans="2:19" hidden="1" outlineLevel="1" x14ac:dyDescent="0.25">
      <c r="B78" s="52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517"/>
      <c r="Q78" s="517"/>
      <c r="R78" s="517"/>
    </row>
    <row r="79" spans="2:19" hidden="1" outlineLevel="1" x14ac:dyDescent="0.25">
      <c r="B79" s="53"/>
      <c r="C79" s="54"/>
      <c r="D79" s="54"/>
      <c r="E79" s="54"/>
      <c r="F79" s="54"/>
      <c r="G79" s="54"/>
      <c r="H79" s="54"/>
      <c r="I79" s="54"/>
      <c r="J79" s="54"/>
      <c r="K79" s="54"/>
      <c r="L79" s="54"/>
      <c r="M79" s="54"/>
      <c r="N79" s="54"/>
      <c r="O79" s="54"/>
      <c r="P79" s="50"/>
      <c r="Q79" s="50"/>
      <c r="R79" s="50"/>
    </row>
    <row r="80" spans="2:19" ht="15.75" hidden="1" outlineLevel="1" x14ac:dyDescent="0.25">
      <c r="B80" s="46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</row>
    <row r="81" spans="2:19" ht="15.75" hidden="1" outlineLevel="1" x14ac:dyDescent="0.25">
      <c r="B81" s="46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</row>
    <row r="82" spans="2:19" ht="15.75" hidden="1" outlineLevel="1" x14ac:dyDescent="0.25">
      <c r="B82" s="46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</row>
    <row r="83" spans="2:19" ht="15.75" hidden="1" outlineLevel="1" x14ac:dyDescent="0.25">
      <c r="B83" s="46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</row>
    <row r="84" spans="2:19" ht="15.75" hidden="1" outlineLevel="1" x14ac:dyDescent="0.25">
      <c r="B84" s="46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</row>
    <row r="85" spans="2:19" ht="15.75" hidden="1" outlineLevel="1" x14ac:dyDescent="0.25">
      <c r="B85" s="46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</row>
    <row r="86" spans="2:19" ht="15.75" hidden="1" outlineLevel="1" x14ac:dyDescent="0.25">
      <c r="B86" s="46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</row>
    <row r="87" spans="2:19" ht="15.75" hidden="1" outlineLevel="1" x14ac:dyDescent="0.25">
      <c r="B87" s="46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"/>
    </row>
    <row r="88" spans="2:19" ht="15.75" hidden="1" outlineLevel="1" x14ac:dyDescent="0.25">
      <c r="B88" s="46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</row>
    <row r="89" spans="2:19" hidden="1" outlineLevel="1" x14ac:dyDescent="0.25">
      <c r="B89" s="53"/>
      <c r="C89" s="54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5"/>
      <c r="Q89" s="55"/>
      <c r="R89" s="55"/>
    </row>
    <row r="90" spans="2:19" ht="15.75" hidden="1" outlineLevel="1" x14ac:dyDescent="0.25">
      <c r="B90" s="46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</row>
    <row r="91" spans="2:19" ht="15.75" hidden="1" outlineLevel="1" x14ac:dyDescent="0.25">
      <c r="B91" s="46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0"/>
      <c r="Q91" s="10"/>
      <c r="R91" s="10"/>
    </row>
    <row r="92" spans="2:19" ht="15.75" hidden="1" outlineLevel="1" x14ac:dyDescent="0.25">
      <c r="B92" s="46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</row>
    <row r="93" spans="2:19" ht="15.75" hidden="1" outlineLevel="1" x14ac:dyDescent="0.25">
      <c r="B93" s="46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</row>
    <row r="94" spans="2:19" hidden="1" outlineLevel="1" x14ac:dyDescent="0.25"/>
    <row r="95" spans="2:19" ht="18.75" hidden="1" outlineLevel="1" x14ac:dyDescent="0.25">
      <c r="B95" s="51"/>
    </row>
    <row r="96" spans="2:19" hidden="1" outlineLevel="1" x14ac:dyDescent="0.25">
      <c r="B96" s="52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517"/>
      <c r="Q96" s="517"/>
      <c r="R96" s="517"/>
    </row>
    <row r="97" spans="2:19" hidden="1" outlineLevel="1" x14ac:dyDescent="0.25">
      <c r="B97" s="53"/>
      <c r="C97" s="54"/>
      <c r="D97" s="54"/>
      <c r="E97" s="54"/>
      <c r="F97" s="54"/>
      <c r="G97" s="54"/>
      <c r="H97" s="54"/>
      <c r="I97" s="54"/>
      <c r="J97" s="54"/>
      <c r="K97" s="54"/>
      <c r="L97" s="54"/>
      <c r="M97" s="54"/>
      <c r="N97" s="54"/>
      <c r="O97" s="54"/>
      <c r="P97" s="50"/>
      <c r="Q97" s="50"/>
      <c r="R97" s="50"/>
    </row>
    <row r="98" spans="2:19" ht="15.75" hidden="1" outlineLevel="1" x14ac:dyDescent="0.25">
      <c r="B98" s="46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</row>
    <row r="99" spans="2:19" ht="15.75" hidden="1" outlineLevel="1" x14ac:dyDescent="0.25">
      <c r="B99" s="46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</row>
    <row r="100" spans="2:19" ht="15.75" hidden="1" outlineLevel="1" x14ac:dyDescent="0.25">
      <c r="B100" s="46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</row>
    <row r="101" spans="2:19" ht="15.75" hidden="1" outlineLevel="1" x14ac:dyDescent="0.25">
      <c r="B101" s="46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</row>
    <row r="102" spans="2:19" ht="15.75" hidden="1" outlineLevel="1" x14ac:dyDescent="0.25">
      <c r="B102" s="46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</row>
    <row r="103" spans="2:19" ht="15.75" hidden="1" outlineLevel="1" x14ac:dyDescent="0.25">
      <c r="B103" s="46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</row>
    <row r="104" spans="2:19" ht="15.75" hidden="1" outlineLevel="1" x14ac:dyDescent="0.25">
      <c r="B104" s="46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</row>
    <row r="105" spans="2:19" ht="15.75" hidden="1" outlineLevel="1" x14ac:dyDescent="0.25">
      <c r="B105" s="46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"/>
    </row>
    <row r="106" spans="2:19" ht="15.75" hidden="1" outlineLevel="1" x14ac:dyDescent="0.25">
      <c r="B106" s="46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</row>
    <row r="107" spans="2:19" hidden="1" outlineLevel="1" x14ac:dyDescent="0.25">
      <c r="B107" s="53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5"/>
      <c r="Q107" s="55"/>
      <c r="R107" s="55"/>
    </row>
    <row r="108" spans="2:19" ht="15.75" hidden="1" outlineLevel="1" x14ac:dyDescent="0.25">
      <c r="B108" s="46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</row>
    <row r="109" spans="2:19" ht="15.75" hidden="1" outlineLevel="1" x14ac:dyDescent="0.25">
      <c r="B109" s="46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0"/>
      <c r="Q109" s="10"/>
      <c r="R109" s="10"/>
    </row>
    <row r="110" spans="2:19" ht="15.75" hidden="1" outlineLevel="1" x14ac:dyDescent="0.25">
      <c r="B110" s="46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</row>
    <row r="111" spans="2:19" ht="15.75" hidden="1" outlineLevel="1" x14ac:dyDescent="0.25">
      <c r="B111" s="46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</row>
    <row r="112" spans="2:19" hidden="1" outlineLevel="1" x14ac:dyDescent="0.25"/>
    <row r="113" spans="2:19" ht="18.75" hidden="1" outlineLevel="1" x14ac:dyDescent="0.25">
      <c r="B113" s="51"/>
    </row>
    <row r="114" spans="2:19" hidden="1" outlineLevel="1" x14ac:dyDescent="0.25">
      <c r="B114" s="52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517"/>
      <c r="Q114" s="517"/>
      <c r="R114" s="517"/>
    </row>
    <row r="115" spans="2:19" hidden="1" outlineLevel="1" x14ac:dyDescent="0.25">
      <c r="B115" s="53"/>
      <c r="C115" s="54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0"/>
      <c r="Q115" s="50"/>
      <c r="R115" s="50"/>
    </row>
    <row r="116" spans="2:19" ht="15.75" hidden="1" outlineLevel="1" x14ac:dyDescent="0.25">
      <c r="B116" s="46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</row>
    <row r="117" spans="2:19" ht="15.75" hidden="1" outlineLevel="1" x14ac:dyDescent="0.25">
      <c r="B117" s="46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</row>
    <row r="118" spans="2:19" ht="15.75" hidden="1" outlineLevel="1" x14ac:dyDescent="0.25">
      <c r="B118" s="46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</row>
    <row r="119" spans="2:19" ht="15.75" hidden="1" outlineLevel="1" x14ac:dyDescent="0.25">
      <c r="B119" s="46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</row>
    <row r="120" spans="2:19" ht="15.75" hidden="1" outlineLevel="1" x14ac:dyDescent="0.25">
      <c r="B120" s="46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</row>
    <row r="121" spans="2:19" ht="15.75" hidden="1" outlineLevel="1" x14ac:dyDescent="0.25">
      <c r="B121" s="46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</row>
    <row r="122" spans="2:19" ht="15.75" hidden="1" outlineLevel="1" x14ac:dyDescent="0.25">
      <c r="B122" s="46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</row>
    <row r="123" spans="2:19" ht="15.75" hidden="1" outlineLevel="1" x14ac:dyDescent="0.25">
      <c r="B123" s="46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"/>
    </row>
    <row r="124" spans="2:19" ht="15.75" hidden="1" outlineLevel="1" x14ac:dyDescent="0.25">
      <c r="B124" s="46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</row>
    <row r="125" spans="2:19" hidden="1" outlineLevel="1" x14ac:dyDescent="0.25">
      <c r="B125" s="53"/>
      <c r="C125" s="54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5"/>
      <c r="Q125" s="55"/>
      <c r="R125" s="55"/>
    </row>
    <row r="126" spans="2:19" ht="15.75" hidden="1" outlineLevel="1" x14ac:dyDescent="0.25">
      <c r="B126" s="46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</row>
    <row r="127" spans="2:19" ht="15.75" hidden="1" outlineLevel="1" x14ac:dyDescent="0.25">
      <c r="B127" s="46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0"/>
      <c r="Q127" s="10"/>
      <c r="R127" s="10"/>
    </row>
    <row r="128" spans="2:19" ht="15.75" hidden="1" outlineLevel="1" x14ac:dyDescent="0.25">
      <c r="B128" s="46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</row>
    <row r="129" spans="2:19" ht="15.75" hidden="1" outlineLevel="1" x14ac:dyDescent="0.25">
      <c r="B129" s="46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</row>
    <row r="130" spans="2:19" collapsed="1" x14ac:dyDescent="0.25"/>
    <row r="131" spans="2:19" ht="18.75" x14ac:dyDescent="0.25">
      <c r="B131" s="51"/>
    </row>
    <row r="132" spans="2:19" x14ac:dyDescent="0.25">
      <c r="B132" s="52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517"/>
      <c r="Q132" s="517"/>
      <c r="R132" s="517"/>
    </row>
    <row r="133" spans="2:19" x14ac:dyDescent="0.25">
      <c r="B133" s="53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0"/>
      <c r="Q133" s="50"/>
      <c r="R133" s="50"/>
    </row>
    <row r="134" spans="2:19" ht="15.75" x14ac:dyDescent="0.25">
      <c r="B134" s="46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</row>
    <row r="135" spans="2:19" ht="15.75" x14ac:dyDescent="0.25">
      <c r="B135" s="46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</row>
    <row r="136" spans="2:19" ht="15.75" x14ac:dyDescent="0.25">
      <c r="B136" s="46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</row>
    <row r="137" spans="2:19" ht="15.75" x14ac:dyDescent="0.25">
      <c r="B137" s="46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</row>
    <row r="138" spans="2:19" ht="15.75" x14ac:dyDescent="0.25">
      <c r="B138" s="46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</row>
    <row r="139" spans="2:19" ht="15.75" x14ac:dyDescent="0.25">
      <c r="B139" s="46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</row>
    <row r="140" spans="2:19" ht="15.75" x14ac:dyDescent="0.25">
      <c r="B140" s="46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</row>
    <row r="141" spans="2:19" ht="15.75" x14ac:dyDescent="0.25">
      <c r="B141" s="46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"/>
    </row>
    <row r="142" spans="2:19" ht="15.75" x14ac:dyDescent="0.25">
      <c r="B142" s="46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</row>
    <row r="143" spans="2:19" x14ac:dyDescent="0.25">
      <c r="B143" s="53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5"/>
      <c r="Q143" s="55"/>
      <c r="R143" s="55"/>
    </row>
    <row r="144" spans="2:19" ht="15.75" x14ac:dyDescent="0.25">
      <c r="B144" s="46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</row>
    <row r="145" spans="2:19" ht="15.75" x14ac:dyDescent="0.25">
      <c r="B145" s="46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0"/>
      <c r="Q145" s="10"/>
      <c r="R145" s="10"/>
    </row>
    <row r="146" spans="2:19" ht="15.75" x14ac:dyDescent="0.25">
      <c r="B146" s="46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</row>
    <row r="148" spans="2:19" ht="18.75" hidden="1" outlineLevel="1" x14ac:dyDescent="0.25">
      <c r="B148" s="51"/>
    </row>
    <row r="149" spans="2:19" hidden="1" outlineLevel="1" x14ac:dyDescent="0.25">
      <c r="B149" s="52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517"/>
      <c r="Q149" s="517"/>
      <c r="R149" s="517"/>
    </row>
    <row r="150" spans="2:19" hidden="1" outlineLevel="1" x14ac:dyDescent="0.25">
      <c r="B150" s="53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0"/>
      <c r="Q150" s="50"/>
      <c r="R150" s="50"/>
    </row>
    <row r="151" spans="2:19" ht="15.75" hidden="1" outlineLevel="1" x14ac:dyDescent="0.25">
      <c r="B151" s="46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</row>
    <row r="152" spans="2:19" ht="15.75" hidden="1" outlineLevel="1" x14ac:dyDescent="0.25">
      <c r="B152" s="46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</row>
    <row r="153" spans="2:19" ht="15.75" hidden="1" outlineLevel="1" x14ac:dyDescent="0.25">
      <c r="B153" s="46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</row>
    <row r="154" spans="2:19" ht="15.75" hidden="1" outlineLevel="1" x14ac:dyDescent="0.25">
      <c r="B154" s="46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</row>
    <row r="155" spans="2:19" ht="15.75" hidden="1" outlineLevel="1" x14ac:dyDescent="0.25">
      <c r="B155" s="46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</row>
    <row r="156" spans="2:19" ht="15.75" hidden="1" outlineLevel="1" x14ac:dyDescent="0.25">
      <c r="B156" s="46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</row>
    <row r="157" spans="2:19" ht="15.75" hidden="1" outlineLevel="1" x14ac:dyDescent="0.25">
      <c r="B157" s="46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</row>
    <row r="158" spans="2:19" ht="15.75" hidden="1" outlineLevel="1" x14ac:dyDescent="0.25">
      <c r="B158" s="46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"/>
    </row>
    <row r="159" spans="2:19" ht="15.75" hidden="1" outlineLevel="1" x14ac:dyDescent="0.25">
      <c r="B159" s="46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</row>
    <row r="160" spans="2:19" hidden="1" outlineLevel="1" x14ac:dyDescent="0.25">
      <c r="B160" s="53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5"/>
      <c r="Q160" s="55"/>
      <c r="R160" s="55"/>
    </row>
    <row r="161" spans="2:19" ht="15.75" hidden="1" outlineLevel="1" x14ac:dyDescent="0.25">
      <c r="B161" s="46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</row>
    <row r="162" spans="2:19" ht="15.75" hidden="1" outlineLevel="1" x14ac:dyDescent="0.25">
      <c r="B162" s="46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0"/>
      <c r="Q162" s="10"/>
      <c r="R162" s="10"/>
    </row>
    <row r="163" spans="2:19" ht="15.75" hidden="1" outlineLevel="1" x14ac:dyDescent="0.25">
      <c r="B163" s="46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</row>
    <row r="164" spans="2:19" ht="15.75" hidden="1" outlineLevel="1" x14ac:dyDescent="0.25">
      <c r="B164" s="46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</row>
    <row r="165" spans="2:19" hidden="1" outlineLevel="1" x14ac:dyDescent="0.25"/>
    <row r="166" spans="2:19" ht="18.75" hidden="1" outlineLevel="1" x14ac:dyDescent="0.25">
      <c r="B166" s="51"/>
    </row>
    <row r="167" spans="2:19" hidden="1" outlineLevel="1" x14ac:dyDescent="0.25">
      <c r="B167" s="52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517"/>
      <c r="Q167" s="517"/>
      <c r="R167" s="517"/>
    </row>
    <row r="168" spans="2:19" hidden="1" outlineLevel="1" x14ac:dyDescent="0.25">
      <c r="B168" s="53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0"/>
      <c r="Q168" s="50"/>
      <c r="R168" s="50"/>
    </row>
    <row r="169" spans="2:19" ht="15.75" hidden="1" outlineLevel="1" x14ac:dyDescent="0.25">
      <c r="B169" s="46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</row>
    <row r="170" spans="2:19" ht="15.75" hidden="1" outlineLevel="1" x14ac:dyDescent="0.25">
      <c r="B170" s="46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</row>
    <row r="171" spans="2:19" ht="15.75" hidden="1" outlineLevel="1" x14ac:dyDescent="0.25">
      <c r="B171" s="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</row>
    <row r="172" spans="2:19" ht="15.75" hidden="1" outlineLevel="1" x14ac:dyDescent="0.25">
      <c r="B172" s="46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</row>
    <row r="173" spans="2:19" ht="15.75" hidden="1" outlineLevel="1" x14ac:dyDescent="0.25">
      <c r="B173" s="46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</row>
    <row r="174" spans="2:19" ht="15.75" hidden="1" outlineLevel="1" x14ac:dyDescent="0.25">
      <c r="B174" s="46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</row>
    <row r="175" spans="2:19" ht="15.75" hidden="1" outlineLevel="1" x14ac:dyDescent="0.25">
      <c r="B175" s="46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</row>
    <row r="176" spans="2:19" ht="15.75" hidden="1" outlineLevel="1" x14ac:dyDescent="0.25">
      <c r="B176" s="46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"/>
    </row>
    <row r="177" spans="2:18" ht="15.75" hidden="1" outlineLevel="1" x14ac:dyDescent="0.25">
      <c r="B177" s="46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</row>
    <row r="178" spans="2:18" hidden="1" outlineLevel="1" x14ac:dyDescent="0.25">
      <c r="B178" s="53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5"/>
      <c r="Q178" s="55"/>
      <c r="R178" s="55"/>
    </row>
    <row r="179" spans="2:18" ht="15.75" hidden="1" outlineLevel="1" x14ac:dyDescent="0.25">
      <c r="B179" s="46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</row>
    <row r="180" spans="2:18" ht="15.75" hidden="1" outlineLevel="1" x14ac:dyDescent="0.25">
      <c r="B180" s="46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0"/>
      <c r="Q180" s="10"/>
      <c r="R180" s="10"/>
    </row>
    <row r="181" spans="2:18" ht="15.75" hidden="1" outlineLevel="1" x14ac:dyDescent="0.25">
      <c r="B181" s="46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</row>
    <row r="182" spans="2:18" ht="15.75" hidden="1" outlineLevel="1" x14ac:dyDescent="0.25">
      <c r="B182" s="4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</row>
    <row r="183" spans="2:18" hidden="1" outlineLevel="1" x14ac:dyDescent="0.25"/>
    <row r="184" spans="2:18" collapsed="1" x14ac:dyDescent="0.25"/>
    <row r="185" spans="2:18" ht="18.75" x14ac:dyDescent="0.25">
      <c r="B185" s="51"/>
    </row>
    <row r="186" spans="2:18" x14ac:dyDescent="0.25">
      <c r="B186" s="52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517"/>
      <c r="Q186" s="517"/>
      <c r="R186" s="517"/>
    </row>
    <row r="187" spans="2:18" x14ac:dyDescent="0.25">
      <c r="B187" s="53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0"/>
      <c r="Q187" s="50"/>
      <c r="R187" s="50"/>
    </row>
    <row r="188" spans="2:18" ht="15.75" x14ac:dyDescent="0.25">
      <c r="B188" s="46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</row>
    <row r="189" spans="2:18" ht="15.75" x14ac:dyDescent="0.25">
      <c r="B189" s="46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</row>
    <row r="190" spans="2:18" ht="15.75" x14ac:dyDescent="0.25">
      <c r="B190" s="46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</row>
    <row r="191" spans="2:18" ht="15.75" x14ac:dyDescent="0.25">
      <c r="B191" s="46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</row>
    <row r="192" spans="2:18" ht="15.75" x14ac:dyDescent="0.25">
      <c r="B192" s="46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</row>
    <row r="193" spans="2:19" ht="15.75" x14ac:dyDescent="0.25">
      <c r="B193" s="46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</row>
    <row r="194" spans="2:19" ht="15.75" x14ac:dyDescent="0.25">
      <c r="B194" s="46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</row>
    <row r="195" spans="2:19" ht="15.75" x14ac:dyDescent="0.25">
      <c r="B195" s="46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"/>
    </row>
    <row r="196" spans="2:19" ht="15.75" x14ac:dyDescent="0.25">
      <c r="B196" s="46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</row>
    <row r="197" spans="2:19" x14ac:dyDescent="0.25">
      <c r="B197" s="53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5"/>
      <c r="Q197" s="55"/>
      <c r="R197" s="55"/>
    </row>
    <row r="198" spans="2:19" ht="15.75" x14ac:dyDescent="0.25">
      <c r="B198" s="46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</row>
    <row r="199" spans="2:19" ht="15.75" x14ac:dyDescent="0.25">
      <c r="B199" s="46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0"/>
      <c r="Q199" s="10"/>
      <c r="R199" s="10"/>
    </row>
    <row r="200" spans="2:19" ht="15.75" x14ac:dyDescent="0.25">
      <c r="B200" s="46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</row>
    <row r="202" spans="2:19" ht="18.75" hidden="1" outlineLevel="1" x14ac:dyDescent="0.25">
      <c r="B202" s="51"/>
    </row>
    <row r="203" spans="2:19" hidden="1" outlineLevel="1" x14ac:dyDescent="0.25">
      <c r="B203" s="52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517"/>
      <c r="Q203" s="517"/>
      <c r="R203" s="517"/>
    </row>
    <row r="204" spans="2:19" hidden="1" outlineLevel="1" x14ac:dyDescent="0.25">
      <c r="B204" s="53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0"/>
      <c r="Q204" s="50"/>
      <c r="R204" s="50"/>
    </row>
    <row r="205" spans="2:19" ht="15.75" hidden="1" outlineLevel="1" x14ac:dyDescent="0.25">
      <c r="B205" s="46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</row>
    <row r="206" spans="2:19" ht="15.75" hidden="1" outlineLevel="1" x14ac:dyDescent="0.25">
      <c r="B206" s="46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</row>
    <row r="207" spans="2:19" ht="15.75" hidden="1" outlineLevel="1" x14ac:dyDescent="0.25">
      <c r="B207" s="46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</row>
    <row r="208" spans="2:19" ht="15.75" hidden="1" outlineLevel="1" x14ac:dyDescent="0.25">
      <c r="B208" s="46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</row>
    <row r="209" spans="2:19" ht="15.75" hidden="1" outlineLevel="1" x14ac:dyDescent="0.25">
      <c r="B209" s="46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</row>
    <row r="210" spans="2:19" ht="15.75" hidden="1" outlineLevel="1" x14ac:dyDescent="0.25">
      <c r="B210" s="46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</row>
    <row r="211" spans="2:19" ht="15.75" hidden="1" outlineLevel="1" x14ac:dyDescent="0.25">
      <c r="B211" s="46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</row>
    <row r="212" spans="2:19" ht="15.75" hidden="1" outlineLevel="1" x14ac:dyDescent="0.25">
      <c r="B212" s="46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"/>
    </row>
    <row r="213" spans="2:19" ht="15.75" hidden="1" outlineLevel="1" x14ac:dyDescent="0.25">
      <c r="B213" s="46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</row>
    <row r="214" spans="2:19" hidden="1" outlineLevel="1" x14ac:dyDescent="0.25">
      <c r="B214" s="53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5"/>
      <c r="Q214" s="55"/>
      <c r="R214" s="55"/>
    </row>
    <row r="215" spans="2:19" ht="15.75" hidden="1" outlineLevel="1" x14ac:dyDescent="0.25">
      <c r="B215" s="46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</row>
    <row r="216" spans="2:19" ht="15.75" hidden="1" outlineLevel="1" x14ac:dyDescent="0.25">
      <c r="B216" s="46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0"/>
      <c r="Q216" s="10"/>
      <c r="R216" s="10"/>
    </row>
    <row r="217" spans="2:19" ht="15.75" hidden="1" outlineLevel="1" x14ac:dyDescent="0.25">
      <c r="B217" s="46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</row>
    <row r="218" spans="2:19" ht="15.75" hidden="1" outlineLevel="1" x14ac:dyDescent="0.25">
      <c r="B218" s="4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</row>
    <row r="219" spans="2:19" hidden="1" outlineLevel="1" x14ac:dyDescent="0.25"/>
    <row r="220" spans="2:19" ht="18.75" hidden="1" outlineLevel="1" x14ac:dyDescent="0.25">
      <c r="B220" s="51"/>
    </row>
    <row r="221" spans="2:19" hidden="1" outlineLevel="1" x14ac:dyDescent="0.25">
      <c r="B221" s="52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517"/>
      <c r="Q221" s="517"/>
      <c r="R221" s="517"/>
    </row>
    <row r="222" spans="2:19" hidden="1" outlineLevel="1" x14ac:dyDescent="0.25">
      <c r="B222" s="53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0"/>
      <c r="Q222" s="50"/>
      <c r="R222" s="50"/>
    </row>
    <row r="223" spans="2:19" ht="15.75" hidden="1" outlineLevel="1" x14ac:dyDescent="0.25">
      <c r="B223" s="46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</row>
    <row r="224" spans="2:19" ht="15.75" hidden="1" outlineLevel="1" x14ac:dyDescent="0.25">
      <c r="B224" s="46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</row>
    <row r="225" spans="2:19" ht="15.75" hidden="1" outlineLevel="1" x14ac:dyDescent="0.25">
      <c r="B225" s="46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</row>
    <row r="226" spans="2:19" ht="15.75" hidden="1" outlineLevel="1" x14ac:dyDescent="0.25">
      <c r="B226" s="46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</row>
    <row r="227" spans="2:19" ht="15.75" hidden="1" outlineLevel="1" x14ac:dyDescent="0.25">
      <c r="B227" s="46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</row>
    <row r="228" spans="2:19" ht="15.75" hidden="1" outlineLevel="1" x14ac:dyDescent="0.25">
      <c r="B228" s="46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</row>
    <row r="229" spans="2:19" ht="15.75" hidden="1" outlineLevel="1" x14ac:dyDescent="0.25">
      <c r="B229" s="46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</row>
    <row r="230" spans="2:19" ht="15.75" hidden="1" outlineLevel="1" x14ac:dyDescent="0.25">
      <c r="B230" s="46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"/>
    </row>
    <row r="231" spans="2:19" ht="15.75" hidden="1" outlineLevel="1" x14ac:dyDescent="0.25">
      <c r="B231" s="46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</row>
    <row r="232" spans="2:19" hidden="1" outlineLevel="1" x14ac:dyDescent="0.25">
      <c r="B232" s="53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5"/>
      <c r="Q232" s="55"/>
      <c r="R232" s="55"/>
    </row>
    <row r="233" spans="2:19" ht="15.75" hidden="1" outlineLevel="1" x14ac:dyDescent="0.25">
      <c r="B233" s="46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</row>
    <row r="234" spans="2:19" ht="15.75" hidden="1" outlineLevel="1" x14ac:dyDescent="0.25">
      <c r="B234" s="46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0"/>
      <c r="Q234" s="10"/>
      <c r="R234" s="10"/>
    </row>
    <row r="235" spans="2:19" ht="15.75" hidden="1" outlineLevel="1" x14ac:dyDescent="0.25">
      <c r="B235" s="46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</row>
    <row r="236" spans="2:19" ht="15.75" hidden="1" outlineLevel="1" x14ac:dyDescent="0.25">
      <c r="B236" s="4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</row>
    <row r="237" spans="2:19" hidden="1" outlineLevel="1" x14ac:dyDescent="0.25"/>
    <row r="238" spans="2:19" ht="18.75" hidden="1" outlineLevel="1" x14ac:dyDescent="0.25">
      <c r="B238" s="51"/>
    </row>
    <row r="239" spans="2:19" hidden="1" outlineLevel="1" x14ac:dyDescent="0.25">
      <c r="B239" s="52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517"/>
      <c r="Q239" s="517"/>
      <c r="R239" s="517"/>
    </row>
    <row r="240" spans="2:19" hidden="1" outlineLevel="1" x14ac:dyDescent="0.25">
      <c r="B240" s="53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0"/>
      <c r="Q240" s="50"/>
      <c r="R240" s="50"/>
    </row>
    <row r="241" spans="2:19" ht="15.75" hidden="1" outlineLevel="1" x14ac:dyDescent="0.25">
      <c r="B241" s="46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</row>
    <row r="242" spans="2:19" ht="15.75" hidden="1" outlineLevel="1" x14ac:dyDescent="0.25">
      <c r="B242" s="46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</row>
    <row r="243" spans="2:19" ht="15.75" hidden="1" outlineLevel="1" x14ac:dyDescent="0.25">
      <c r="B243" s="46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</row>
    <row r="244" spans="2:19" ht="15.75" hidden="1" outlineLevel="1" x14ac:dyDescent="0.25">
      <c r="B244" s="46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</row>
    <row r="245" spans="2:19" ht="15.75" hidden="1" outlineLevel="1" x14ac:dyDescent="0.25">
      <c r="B245" s="46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</row>
    <row r="246" spans="2:19" ht="15.75" hidden="1" outlineLevel="1" x14ac:dyDescent="0.25">
      <c r="B246" s="46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</row>
    <row r="247" spans="2:19" ht="15.75" hidden="1" outlineLevel="1" x14ac:dyDescent="0.25">
      <c r="B247" s="46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</row>
    <row r="248" spans="2:19" ht="15.75" hidden="1" outlineLevel="1" x14ac:dyDescent="0.25">
      <c r="B248" s="46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"/>
    </row>
    <row r="249" spans="2:19" ht="15.75" hidden="1" outlineLevel="1" x14ac:dyDescent="0.25">
      <c r="B249" s="46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</row>
    <row r="250" spans="2:19" hidden="1" outlineLevel="1" x14ac:dyDescent="0.25">
      <c r="B250" s="53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5"/>
      <c r="Q250" s="55"/>
      <c r="R250" s="55"/>
    </row>
    <row r="251" spans="2:19" ht="15.75" hidden="1" outlineLevel="1" x14ac:dyDescent="0.25">
      <c r="B251" s="46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</row>
    <row r="252" spans="2:19" ht="15.75" hidden="1" outlineLevel="1" x14ac:dyDescent="0.25">
      <c r="B252" s="46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0"/>
      <c r="Q252" s="10"/>
      <c r="R252" s="10"/>
    </row>
    <row r="253" spans="2:19" ht="15.75" hidden="1" outlineLevel="1" x14ac:dyDescent="0.25">
      <c r="B253" s="46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</row>
    <row r="254" spans="2:19" ht="15.75" hidden="1" outlineLevel="1" x14ac:dyDescent="0.25">
      <c r="B254" s="4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</row>
    <row r="255" spans="2:19" hidden="1" outlineLevel="1" x14ac:dyDescent="0.25"/>
    <row r="256" spans="2:19" ht="18.75" hidden="1" outlineLevel="1" x14ac:dyDescent="0.25">
      <c r="B256" s="51"/>
    </row>
    <row r="257" spans="2:19" hidden="1" outlineLevel="1" x14ac:dyDescent="0.25">
      <c r="B257" s="52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517"/>
      <c r="Q257" s="517"/>
      <c r="R257" s="517"/>
    </row>
    <row r="258" spans="2:19" hidden="1" outlineLevel="1" x14ac:dyDescent="0.25">
      <c r="B258" s="53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0"/>
      <c r="Q258" s="50"/>
      <c r="R258" s="50"/>
    </row>
    <row r="259" spans="2:19" ht="15.75" hidden="1" outlineLevel="1" x14ac:dyDescent="0.25">
      <c r="B259" s="46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</row>
    <row r="260" spans="2:19" ht="15.75" hidden="1" outlineLevel="1" x14ac:dyDescent="0.25">
      <c r="B260" s="46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</row>
    <row r="261" spans="2:19" ht="15.75" hidden="1" outlineLevel="1" x14ac:dyDescent="0.25">
      <c r="B261" s="46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</row>
    <row r="262" spans="2:19" ht="15.75" hidden="1" outlineLevel="1" x14ac:dyDescent="0.25">
      <c r="B262" s="46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</row>
    <row r="263" spans="2:19" ht="15.75" hidden="1" outlineLevel="1" x14ac:dyDescent="0.25">
      <c r="B263" s="46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</row>
    <row r="264" spans="2:19" ht="15.75" hidden="1" outlineLevel="1" x14ac:dyDescent="0.25">
      <c r="B264" s="46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</row>
    <row r="265" spans="2:19" ht="15.75" hidden="1" outlineLevel="1" x14ac:dyDescent="0.25">
      <c r="B265" s="46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</row>
    <row r="266" spans="2:19" ht="15.75" hidden="1" outlineLevel="1" x14ac:dyDescent="0.25">
      <c r="B266" s="46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"/>
    </row>
    <row r="267" spans="2:19" ht="15.75" hidden="1" outlineLevel="1" x14ac:dyDescent="0.25">
      <c r="B267" s="46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</row>
    <row r="268" spans="2:19" hidden="1" outlineLevel="1" x14ac:dyDescent="0.25">
      <c r="B268" s="53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5"/>
      <c r="Q268" s="55"/>
      <c r="R268" s="55"/>
    </row>
    <row r="269" spans="2:19" ht="15.75" hidden="1" outlineLevel="1" x14ac:dyDescent="0.25">
      <c r="B269" s="46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</row>
    <row r="270" spans="2:19" ht="15.75" hidden="1" outlineLevel="1" x14ac:dyDescent="0.25">
      <c r="B270" s="46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0"/>
      <c r="Q270" s="10"/>
      <c r="R270" s="10"/>
    </row>
    <row r="271" spans="2:19" ht="15.75" hidden="1" outlineLevel="1" x14ac:dyDescent="0.25">
      <c r="B271" s="46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</row>
    <row r="272" spans="2:19" ht="15.75" hidden="1" outlineLevel="1" x14ac:dyDescent="0.25">
      <c r="B272" s="4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</row>
    <row r="273" spans="2:19" collapsed="1" x14ac:dyDescent="0.25"/>
    <row r="275" spans="2:19" ht="18.75" x14ac:dyDescent="0.25">
      <c r="B275" s="51"/>
    </row>
    <row r="276" spans="2:19" x14ac:dyDescent="0.25">
      <c r="B276" s="52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517"/>
      <c r="Q276" s="517"/>
      <c r="R276" s="517"/>
    </row>
    <row r="277" spans="2:19" x14ac:dyDescent="0.25">
      <c r="B277" s="53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0"/>
      <c r="Q277" s="50"/>
      <c r="R277" s="50"/>
    </row>
    <row r="278" spans="2:19" ht="15.75" x14ac:dyDescent="0.25">
      <c r="B278" s="46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</row>
    <row r="279" spans="2:19" ht="15.75" x14ac:dyDescent="0.25">
      <c r="B279" s="46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</row>
    <row r="280" spans="2:19" ht="15.75" x14ac:dyDescent="0.25">
      <c r="B280" s="46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</row>
    <row r="281" spans="2:19" ht="15.75" x14ac:dyDescent="0.25">
      <c r="B281" s="46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</row>
    <row r="282" spans="2:19" ht="15.75" x14ac:dyDescent="0.25">
      <c r="B282" s="46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</row>
    <row r="283" spans="2:19" ht="15.75" x14ac:dyDescent="0.25">
      <c r="B283" s="46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</row>
    <row r="284" spans="2:19" ht="15.75" x14ac:dyDescent="0.25">
      <c r="B284" s="46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</row>
    <row r="285" spans="2:19" ht="15.75" x14ac:dyDescent="0.25">
      <c r="B285" s="46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"/>
    </row>
    <row r="286" spans="2:19" ht="15.75" x14ac:dyDescent="0.25">
      <c r="B286" s="46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</row>
    <row r="287" spans="2:19" x14ac:dyDescent="0.25">
      <c r="B287" s="53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5"/>
      <c r="Q287" s="55"/>
      <c r="R287" s="55"/>
    </row>
    <row r="288" spans="2:19" ht="15.75" x14ac:dyDescent="0.25">
      <c r="B288" s="46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</row>
    <row r="289" spans="2:18" ht="15.75" x14ac:dyDescent="0.25">
      <c r="B289" s="46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0"/>
      <c r="Q289" s="10"/>
      <c r="R289" s="10"/>
    </row>
    <row r="290" spans="2:18" ht="15.75" x14ac:dyDescent="0.25">
      <c r="B290" s="46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</row>
  </sheetData>
  <mergeCells count="15">
    <mergeCell ref="P114:R114"/>
    <mergeCell ref="P25:R25"/>
    <mergeCell ref="P43:R43"/>
    <mergeCell ref="P60:R60"/>
    <mergeCell ref="P78:R78"/>
    <mergeCell ref="P96:R96"/>
    <mergeCell ref="P239:R239"/>
    <mergeCell ref="P257:R257"/>
    <mergeCell ref="P276:R276"/>
    <mergeCell ref="P132:R132"/>
    <mergeCell ref="P149:R149"/>
    <mergeCell ref="P167:R167"/>
    <mergeCell ref="P186:R186"/>
    <mergeCell ref="P203:R203"/>
    <mergeCell ref="P221:R221"/>
  </mergeCells>
  <conditionalFormatting sqref="C29:O35 C37:O39">
    <cfRule type="cellIs" dxfId="44" priority="45" operator="lessThan">
      <formula>0</formula>
    </cfRule>
  </conditionalFormatting>
  <conditionalFormatting sqref="C47:O53 C55:O57">
    <cfRule type="cellIs" dxfId="43" priority="42" operator="lessThan">
      <formula>0</formula>
    </cfRule>
  </conditionalFormatting>
  <conditionalFormatting sqref="C64:O70 C72:O74">
    <cfRule type="cellIs" dxfId="42" priority="39" operator="lessThan">
      <formula>0</formula>
    </cfRule>
  </conditionalFormatting>
  <conditionalFormatting sqref="C82:O88 C90:O92">
    <cfRule type="cellIs" dxfId="41" priority="36" operator="lessThan">
      <formula>0</formula>
    </cfRule>
  </conditionalFormatting>
  <conditionalFormatting sqref="C100:O106 C108:O110">
    <cfRule type="cellIs" dxfId="40" priority="33" operator="lessThan">
      <formula>0</formula>
    </cfRule>
  </conditionalFormatting>
  <conditionalFormatting sqref="C118:O124 C126:O128">
    <cfRule type="cellIs" dxfId="39" priority="30" operator="lessThan">
      <formula>0</formula>
    </cfRule>
  </conditionalFormatting>
  <conditionalFormatting sqref="C136:O142 C144:O146">
    <cfRule type="cellIs" dxfId="38" priority="27" operator="lessThan">
      <formula>0</formula>
    </cfRule>
  </conditionalFormatting>
  <conditionalFormatting sqref="C153:O159 C161:O163">
    <cfRule type="cellIs" dxfId="37" priority="24" operator="lessThan">
      <formula>0</formula>
    </cfRule>
  </conditionalFormatting>
  <conditionalFormatting sqref="C171:O177 C179:O181">
    <cfRule type="cellIs" dxfId="36" priority="21" operator="lessThan">
      <formula>0</formula>
    </cfRule>
  </conditionalFormatting>
  <conditionalFormatting sqref="C190:O196 C198:O200">
    <cfRule type="cellIs" dxfId="35" priority="18" operator="lessThan">
      <formula>0</formula>
    </cfRule>
  </conditionalFormatting>
  <conditionalFormatting sqref="C207:O213 C215:O217">
    <cfRule type="cellIs" dxfId="34" priority="15" operator="lessThan">
      <formula>0</formula>
    </cfRule>
  </conditionalFormatting>
  <conditionalFormatting sqref="C225:O231 C233:O235">
    <cfRule type="cellIs" dxfId="33" priority="12" operator="lessThan">
      <formula>0</formula>
    </cfRule>
  </conditionalFormatting>
  <conditionalFormatting sqref="C243:O249 C251:O253">
    <cfRule type="cellIs" dxfId="32" priority="9" operator="lessThan">
      <formula>0</formula>
    </cfRule>
  </conditionalFormatting>
  <conditionalFormatting sqref="C261:O267 C269:O271">
    <cfRule type="cellIs" dxfId="31" priority="6" operator="lessThan">
      <formula>0</formula>
    </cfRule>
  </conditionalFormatting>
  <conditionalFormatting sqref="C280:O286 C288:O290">
    <cfRule type="cellIs" dxfId="30" priority="3" operator="lessThan">
      <formula>0</formula>
    </cfRule>
  </conditionalFormatting>
  <conditionalFormatting sqref="P29:R29 P32:R32 P35:R36">
    <cfRule type="cellIs" dxfId="29" priority="44" operator="lessThan">
      <formula>0</formula>
    </cfRule>
  </conditionalFormatting>
  <conditionalFormatting sqref="P39:R39">
    <cfRule type="cellIs" dxfId="28" priority="43" operator="lessThan">
      <formula>0</formula>
    </cfRule>
  </conditionalFormatting>
  <conditionalFormatting sqref="P47:R47 P50:R50 P53:R54">
    <cfRule type="cellIs" dxfId="27" priority="41" operator="lessThan">
      <formula>0</formula>
    </cfRule>
  </conditionalFormatting>
  <conditionalFormatting sqref="P57:R57">
    <cfRule type="cellIs" dxfId="26" priority="40" operator="lessThan">
      <formula>0</formula>
    </cfRule>
  </conditionalFormatting>
  <conditionalFormatting sqref="P64:R64 P67:R67 P70:R71">
    <cfRule type="cellIs" dxfId="25" priority="38" operator="lessThan">
      <formula>0</formula>
    </cfRule>
  </conditionalFormatting>
  <conditionalFormatting sqref="P74:R74">
    <cfRule type="cellIs" dxfId="24" priority="37" operator="lessThan">
      <formula>0</formula>
    </cfRule>
  </conditionalFormatting>
  <conditionalFormatting sqref="P82:R82 P85:R85 P88:R89">
    <cfRule type="cellIs" dxfId="23" priority="35" operator="lessThan">
      <formula>0</formula>
    </cfRule>
  </conditionalFormatting>
  <conditionalFormatting sqref="P92:R92">
    <cfRule type="cellIs" dxfId="22" priority="34" operator="lessThan">
      <formula>0</formula>
    </cfRule>
  </conditionalFormatting>
  <conditionalFormatting sqref="P100:R100 P103:R103 P106:R107">
    <cfRule type="cellIs" dxfId="21" priority="32" operator="lessThan">
      <formula>0</formula>
    </cfRule>
  </conditionalFormatting>
  <conditionalFormatting sqref="P110:R110">
    <cfRule type="cellIs" dxfId="20" priority="31" operator="lessThan">
      <formula>0</formula>
    </cfRule>
  </conditionalFormatting>
  <conditionalFormatting sqref="P118:R118 P121:R121 P124:R125">
    <cfRule type="cellIs" dxfId="19" priority="29" operator="lessThan">
      <formula>0</formula>
    </cfRule>
  </conditionalFormatting>
  <conditionalFormatting sqref="P128:R128">
    <cfRule type="cellIs" dxfId="18" priority="28" operator="lessThan">
      <formula>0</formula>
    </cfRule>
  </conditionalFormatting>
  <conditionalFormatting sqref="P136:R136 P139:R139 P142:R143">
    <cfRule type="cellIs" dxfId="17" priority="26" operator="lessThan">
      <formula>0</formula>
    </cfRule>
  </conditionalFormatting>
  <conditionalFormatting sqref="P146:R146">
    <cfRule type="cellIs" dxfId="16" priority="25" operator="lessThan">
      <formula>0</formula>
    </cfRule>
  </conditionalFormatting>
  <conditionalFormatting sqref="P153:R153 P156:R156 P159:R160">
    <cfRule type="cellIs" dxfId="15" priority="23" operator="lessThan">
      <formula>0</formula>
    </cfRule>
  </conditionalFormatting>
  <conditionalFormatting sqref="P163:R163">
    <cfRule type="cellIs" dxfId="14" priority="22" operator="lessThan">
      <formula>0</formula>
    </cfRule>
  </conditionalFormatting>
  <conditionalFormatting sqref="P171:R171 P174:R174 P177:R178">
    <cfRule type="cellIs" dxfId="13" priority="20" operator="lessThan">
      <formula>0</formula>
    </cfRule>
  </conditionalFormatting>
  <conditionalFormatting sqref="P181:R181">
    <cfRule type="cellIs" dxfId="12" priority="19" operator="lessThan">
      <formula>0</formula>
    </cfRule>
  </conditionalFormatting>
  <conditionalFormatting sqref="P190:R190 P193:R193 P196:R197">
    <cfRule type="cellIs" dxfId="11" priority="17" operator="lessThan">
      <formula>0</formula>
    </cfRule>
  </conditionalFormatting>
  <conditionalFormatting sqref="P200:R200">
    <cfRule type="cellIs" dxfId="10" priority="16" operator="lessThan">
      <formula>0</formula>
    </cfRule>
  </conditionalFormatting>
  <conditionalFormatting sqref="P207:R207 P210:R210 P213:R214">
    <cfRule type="cellIs" dxfId="9" priority="14" operator="lessThan">
      <formula>0</formula>
    </cfRule>
  </conditionalFormatting>
  <conditionalFormatting sqref="P217:R217">
    <cfRule type="cellIs" dxfId="8" priority="13" operator="lessThan">
      <formula>0</formula>
    </cfRule>
  </conditionalFormatting>
  <conditionalFormatting sqref="P225:R225 P228:R228 P231:R232">
    <cfRule type="cellIs" dxfId="7" priority="11" operator="lessThan">
      <formula>0</formula>
    </cfRule>
  </conditionalFormatting>
  <conditionalFormatting sqref="P235:R235">
    <cfRule type="cellIs" dxfId="6" priority="10" operator="lessThan">
      <formula>0</formula>
    </cfRule>
  </conditionalFormatting>
  <conditionalFormatting sqref="P243:R243 P246:R246 P249:R250">
    <cfRule type="cellIs" dxfId="5" priority="8" operator="lessThan">
      <formula>0</formula>
    </cfRule>
  </conditionalFormatting>
  <conditionalFormatting sqref="P253:R253">
    <cfRule type="cellIs" dxfId="4" priority="7" operator="lessThan">
      <formula>0</formula>
    </cfRule>
  </conditionalFormatting>
  <conditionalFormatting sqref="P261:R261 P264:R264 P267:R268">
    <cfRule type="cellIs" dxfId="3" priority="5" operator="lessThan">
      <formula>0</formula>
    </cfRule>
  </conditionalFormatting>
  <conditionalFormatting sqref="P271:R271">
    <cfRule type="cellIs" dxfId="2" priority="4" operator="lessThan">
      <formula>0</formula>
    </cfRule>
  </conditionalFormatting>
  <conditionalFormatting sqref="P280:R280 P283:R283 P286:R287">
    <cfRule type="cellIs" dxfId="1" priority="2" operator="lessThan">
      <formula>0</formula>
    </cfRule>
  </conditionalFormatting>
  <conditionalFormatting sqref="P290:R290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F5ED8-24B7-4282-A6FB-3F3658E077D5}">
  <sheetPr codeName="Sheet20"/>
  <dimension ref="A1:AY109"/>
  <sheetViews>
    <sheetView zoomScale="70" zoomScaleNormal="70" workbookViewId="0">
      <selection activeCell="B16" sqref="B16"/>
    </sheetView>
  </sheetViews>
  <sheetFormatPr defaultRowHeight="15" x14ac:dyDescent="0.25"/>
  <cols>
    <col min="1" max="1" width="15.85546875" bestFit="1" customWidth="1"/>
    <col min="2" max="7" width="33.85546875" style="75" customWidth="1"/>
    <col min="8" max="8" width="34.5703125" style="75" bestFit="1" customWidth="1"/>
    <col min="9" max="9" width="33.85546875" style="75" customWidth="1"/>
    <col min="10" max="10" width="34.5703125" style="75" bestFit="1" customWidth="1"/>
    <col min="11" max="11" width="33.85546875" style="75" customWidth="1"/>
    <col min="12" max="12" width="34.5703125" style="75" bestFit="1" customWidth="1"/>
    <col min="13" max="13" width="33.85546875" style="75" customWidth="1"/>
    <col min="14" max="14" width="35.7109375" style="75" bestFit="1" customWidth="1"/>
    <col min="15" max="15" width="33.85546875" style="75" customWidth="1"/>
    <col min="16" max="19" width="37.140625" style="75" customWidth="1"/>
    <col min="20" max="20" width="27.42578125" style="75" bestFit="1" customWidth="1"/>
    <col min="21" max="21" width="28.85546875" style="75" bestFit="1" customWidth="1"/>
    <col min="22" max="22" width="24" bestFit="1" customWidth="1"/>
    <col min="23" max="23" width="25.42578125" bestFit="1" customWidth="1"/>
    <col min="24" max="24" width="23.42578125" bestFit="1" customWidth="1"/>
    <col min="25" max="25" width="25" bestFit="1" customWidth="1"/>
    <col min="26" max="35" width="25" customWidth="1"/>
    <col min="36" max="37" width="25.140625" customWidth="1"/>
    <col min="38" max="51" width="25" customWidth="1"/>
  </cols>
  <sheetData>
    <row r="1" spans="1:51" x14ac:dyDescent="0.25">
      <c r="A1" s="73"/>
      <c r="B1" s="75" t="s">
        <v>76</v>
      </c>
      <c r="C1" s="75" t="s">
        <v>75</v>
      </c>
      <c r="D1" s="75" t="s">
        <v>76</v>
      </c>
      <c r="E1" s="75" t="s">
        <v>75</v>
      </c>
      <c r="F1" s="75" t="s">
        <v>77</v>
      </c>
      <c r="G1" s="75" t="s">
        <v>75</v>
      </c>
      <c r="H1" t="s">
        <v>72</v>
      </c>
      <c r="J1" t="s">
        <v>72</v>
      </c>
      <c r="K1" s="75" t="s">
        <v>75</v>
      </c>
      <c r="L1" t="s">
        <v>353</v>
      </c>
      <c r="M1" s="75" t="s">
        <v>75</v>
      </c>
      <c r="N1" t="s">
        <v>73</v>
      </c>
      <c r="O1" s="75" t="s">
        <v>75</v>
      </c>
      <c r="P1" t="s">
        <v>73</v>
      </c>
      <c r="Q1" s="75" t="s">
        <v>75</v>
      </c>
      <c r="R1" t="s">
        <v>73</v>
      </c>
      <c r="S1" s="75" t="s">
        <v>75</v>
      </c>
      <c r="T1" t="s">
        <v>78</v>
      </c>
      <c r="V1" s="75" t="s">
        <v>79</v>
      </c>
      <c r="X1" t="s">
        <v>80</v>
      </c>
      <c r="Z1" t="s">
        <v>81</v>
      </c>
      <c r="AJ1" t="s">
        <v>78</v>
      </c>
      <c r="AK1" s="75" t="s">
        <v>73</v>
      </c>
      <c r="AL1" s="75" t="s">
        <v>79</v>
      </c>
      <c r="AM1" s="75" t="s">
        <v>73</v>
      </c>
      <c r="AN1" t="s">
        <v>80</v>
      </c>
      <c r="AO1" s="75" t="s">
        <v>73</v>
      </c>
      <c r="AP1" t="s">
        <v>81</v>
      </c>
      <c r="AQ1" s="75" t="s">
        <v>73</v>
      </c>
      <c r="AR1" t="s">
        <v>78</v>
      </c>
      <c r="AS1" s="75" t="s">
        <v>72</v>
      </c>
      <c r="AT1" s="75" t="s">
        <v>79</v>
      </c>
      <c r="AU1" s="75" t="s">
        <v>72</v>
      </c>
      <c r="AV1" t="s">
        <v>80</v>
      </c>
      <c r="AW1" s="75" t="s">
        <v>72</v>
      </c>
      <c r="AX1" t="s">
        <v>81</v>
      </c>
      <c r="AY1" s="75" t="s">
        <v>72</v>
      </c>
    </row>
    <row r="2" spans="1:51" x14ac:dyDescent="0.25">
      <c r="B2" s="77" t="s">
        <v>83</v>
      </c>
      <c r="C2" s="78"/>
      <c r="D2" s="77" t="s">
        <v>84</v>
      </c>
      <c r="E2" s="78"/>
      <c r="F2" s="77" t="s">
        <v>83</v>
      </c>
      <c r="G2" s="78"/>
      <c r="H2" s="77" t="s">
        <v>83</v>
      </c>
      <c r="I2" s="78"/>
      <c r="J2" s="77" t="s">
        <v>83</v>
      </c>
      <c r="K2" s="78"/>
      <c r="L2" s="77" t="s">
        <v>83</v>
      </c>
      <c r="M2" s="78"/>
      <c r="N2" s="77" t="s">
        <v>83</v>
      </c>
      <c r="O2" s="78"/>
      <c r="P2" s="77" t="s">
        <v>84</v>
      </c>
      <c r="Q2" s="78"/>
      <c r="R2" s="76" t="s">
        <v>82</v>
      </c>
      <c r="S2" s="78"/>
      <c r="T2" t="str">
        <f t="shared" ref="T2" si="0">"Policy Count ("&amp;T1&amp;")"</f>
        <v>Policy Count (Standard)</v>
      </c>
      <c r="U2" t="str">
        <f t="shared" ref="U2" si="1">"7 Day Average ("&amp;T1&amp;")"</f>
        <v>7 Day Average (Standard)</v>
      </c>
      <c r="V2" t="str">
        <f t="shared" ref="V2" si="2">"Policy Count ("&amp;V1&amp;")"</f>
        <v>Policy Count (Plus)</v>
      </c>
      <c r="W2" t="str">
        <f t="shared" ref="W2" si="3">"7 Day Average ("&amp;V1&amp;")"</f>
        <v>7 Day Average (Plus)</v>
      </c>
      <c r="X2" t="str">
        <f t="shared" ref="X2" si="4">"Policy Count ("&amp;X1&amp;")"</f>
        <v>Policy Count (Essentials)</v>
      </c>
      <c r="Y2" t="str">
        <f t="shared" ref="Y2" si="5">"7 Day Average ("&amp;X1&amp;")"</f>
        <v>7 Day Average (Essentials)</v>
      </c>
      <c r="Z2" t="str">
        <f t="shared" ref="Z2" si="6">"Policy Count ("&amp;Z1&amp;")"</f>
        <v>Policy Count (Premium)</v>
      </c>
      <c r="AA2" t="str">
        <f t="shared" ref="AA2" si="7">"7 Day Average ("&amp;Z1&amp;")"</f>
        <v>7 Day Average (Premium)</v>
      </c>
      <c r="AJ2" t="str">
        <f>"Policy Count ("&amp;AJ1&amp;" - Monthly)"</f>
        <v>Policy Count (Standard - Monthly)</v>
      </c>
      <c r="AK2" t="str">
        <f>"7 Day Average ("&amp;AJ1&amp;" - Monthly)"</f>
        <v>7 Day Average (Standard - Monthly)</v>
      </c>
      <c r="AL2" t="str">
        <f>"Policy Count ("&amp;AL1&amp;" - Monthly)"</f>
        <v>Policy Count (Plus - Monthly)</v>
      </c>
      <c r="AM2" t="str">
        <f>"7 Day Average ("&amp;AL1&amp;" - Monthly)"</f>
        <v>7 Day Average (Plus - Monthly)</v>
      </c>
      <c r="AN2" t="str">
        <f>"Policy Count ("&amp;AN1&amp;" - Monthly)"</f>
        <v>Policy Count (Essentials - Monthly)</v>
      </c>
      <c r="AO2" t="str">
        <f>"7 Day Average ("&amp;AN1&amp;" - Monthly)"</f>
        <v>7 Day Average (Essentials - Monthly)</v>
      </c>
      <c r="AP2" t="str">
        <f>"Policy Count ("&amp;AP1&amp;" - Monthly)"</f>
        <v>Policy Count (Premium - Monthly)</v>
      </c>
      <c r="AQ2" t="str">
        <f>"7 Day Average ("&amp;AP1&amp;" - Monthly)"</f>
        <v>7 Day Average (Premium - Monthly)</v>
      </c>
      <c r="AR2" t="str">
        <f>"Policy Count ("&amp;AR1&amp;" - Annual)"</f>
        <v>Policy Count (Standard - Annual)</v>
      </c>
      <c r="AS2" t="str">
        <f>"7 Day Average ("&amp;AR1&amp;" - Annual)"</f>
        <v>7 Day Average (Standard - Annual)</v>
      </c>
      <c r="AT2" t="str">
        <f>"Policy Count ("&amp;AT1&amp;" - Annual)"</f>
        <v>Policy Count (Plus - Annual)</v>
      </c>
      <c r="AU2" t="str">
        <f>"7 Day Average ("&amp;AT1&amp;" - Annual)"</f>
        <v>7 Day Average (Plus - Annual)</v>
      </c>
      <c r="AV2" t="str">
        <f>"Policy Count ("&amp;AV1&amp;" - Annual)"</f>
        <v>Policy Count (Essentials - Annual)</v>
      </c>
      <c r="AW2" t="str">
        <f>"7 Day Average ("&amp;AV1&amp;" - Annual)"</f>
        <v>7 Day Average (Essentials - Annual)</v>
      </c>
      <c r="AX2" t="str">
        <f>"Policy Count ("&amp;AX1&amp;" - Annual)"</f>
        <v>Policy Count (Premium - Annual)</v>
      </c>
      <c r="AY2" t="str">
        <f>"7 Day Average ("&amp;AX1&amp;" - Annual)"</f>
        <v>7 Day Average (Premium - Annual)</v>
      </c>
    </row>
    <row r="3" spans="1:51" x14ac:dyDescent="0.25">
      <c r="B3" t="s">
        <v>85</v>
      </c>
      <c r="C3" t="s">
        <v>652</v>
      </c>
      <c r="D3"/>
      <c r="E3"/>
      <c r="F3"/>
      <c r="G3"/>
      <c r="H3"/>
      <c r="I3"/>
      <c r="J3" t="s">
        <v>86</v>
      </c>
      <c r="K3" t="s">
        <v>653</v>
      </c>
      <c r="L3" t="s">
        <v>355</v>
      </c>
      <c r="M3" t="s">
        <v>654</v>
      </c>
      <c r="N3" t="s">
        <v>87</v>
      </c>
      <c r="O3" t="s">
        <v>655</v>
      </c>
      <c r="P3" t="s">
        <v>87</v>
      </c>
      <c r="Q3" t="s">
        <v>655</v>
      </c>
      <c r="R3"/>
      <c r="S3"/>
      <c r="T3"/>
      <c r="U3"/>
      <c r="V3" s="75"/>
      <c r="AF3" t="s">
        <v>714</v>
      </c>
      <c r="AG3" t="s">
        <v>715</v>
      </c>
      <c r="AH3" t="s">
        <v>716</v>
      </c>
      <c r="AI3" t="s">
        <v>717</v>
      </c>
    </row>
    <row r="4" spans="1:51" x14ac:dyDescent="0.25">
      <c r="A4" s="80" t="s">
        <v>360</v>
      </c>
      <c r="B4" t="s">
        <v>85</v>
      </c>
      <c r="C4" t="s">
        <v>652</v>
      </c>
      <c r="D4" t="s">
        <v>89</v>
      </c>
      <c r="E4" t="s">
        <v>656</v>
      </c>
      <c r="F4" t="s">
        <v>90</v>
      </c>
      <c r="G4" t="s">
        <v>657</v>
      </c>
      <c r="H4" t="s">
        <v>86</v>
      </c>
      <c r="I4" t="s">
        <v>653</v>
      </c>
      <c r="J4" t="s">
        <v>356</v>
      </c>
      <c r="K4" t="s">
        <v>658</v>
      </c>
      <c r="L4" t="s">
        <v>357</v>
      </c>
      <c r="M4" t="s">
        <v>659</v>
      </c>
      <c r="N4" t="s">
        <v>87</v>
      </c>
      <c r="O4" t="s">
        <v>655</v>
      </c>
      <c r="P4" t="s">
        <v>91</v>
      </c>
      <c r="Q4" t="s">
        <v>660</v>
      </c>
      <c r="R4" t="s">
        <v>92</v>
      </c>
      <c r="S4" t="s">
        <v>661</v>
      </c>
      <c r="T4" t="s">
        <v>93</v>
      </c>
      <c r="U4" t="s">
        <v>662</v>
      </c>
      <c r="V4" s="82" t="s">
        <v>94</v>
      </c>
      <c r="W4" s="82" t="s">
        <v>663</v>
      </c>
      <c r="X4" s="82" t="s">
        <v>95</v>
      </c>
      <c r="Y4" s="82" t="s">
        <v>664</v>
      </c>
      <c r="Z4" s="82" t="s">
        <v>96</v>
      </c>
      <c r="AA4" s="82" t="s">
        <v>665</v>
      </c>
      <c r="AB4" s="82" t="s">
        <v>97</v>
      </c>
      <c r="AC4" s="82" t="s">
        <v>98</v>
      </c>
      <c r="AD4" s="82" t="s">
        <v>99</v>
      </c>
      <c r="AE4" s="82" t="s">
        <v>100</v>
      </c>
      <c r="AF4" t="s">
        <v>714</v>
      </c>
      <c r="AG4" t="s">
        <v>715</v>
      </c>
      <c r="AH4" t="s">
        <v>716</v>
      </c>
      <c r="AI4" s="82" t="s">
        <v>717</v>
      </c>
      <c r="AJ4" s="82" t="s">
        <v>101</v>
      </c>
      <c r="AK4" s="82" t="s">
        <v>666</v>
      </c>
      <c r="AL4" s="82" t="s">
        <v>102</v>
      </c>
      <c r="AM4" s="82" t="s">
        <v>667</v>
      </c>
      <c r="AN4" s="82" t="s">
        <v>103</v>
      </c>
      <c r="AO4" s="82" t="s">
        <v>668</v>
      </c>
      <c r="AP4" s="82" t="s">
        <v>104</v>
      </c>
      <c r="AQ4" s="82" t="s">
        <v>669</v>
      </c>
      <c r="AR4" s="82" t="s">
        <v>105</v>
      </c>
      <c r="AS4" s="82" t="s">
        <v>670</v>
      </c>
      <c r="AT4" s="82" t="s">
        <v>106</v>
      </c>
      <c r="AU4" s="82" t="s">
        <v>671</v>
      </c>
      <c r="AV4" s="82" t="s">
        <v>107</v>
      </c>
      <c r="AW4" s="82" t="s">
        <v>672</v>
      </c>
      <c r="AX4" s="82" t="s">
        <v>108</v>
      </c>
      <c r="AY4" s="82" t="s">
        <v>673</v>
      </c>
    </row>
    <row r="5" spans="1:51" x14ac:dyDescent="0.25">
      <c r="A5" s="73">
        <v>45156</v>
      </c>
      <c r="B5" s="74">
        <f>J5+L5+N5</f>
        <v>652</v>
      </c>
      <c r="C5" s="81"/>
      <c r="D5" s="74">
        <v>555.32786880580068</v>
      </c>
      <c r="E5" s="81"/>
      <c r="F5" s="74">
        <f>J5+L5+R5</f>
        <v>4028</v>
      </c>
      <c r="G5" s="81"/>
      <c r="H5" s="74">
        <f>J5+L5</f>
        <v>246</v>
      </c>
      <c r="I5" s="81"/>
      <c r="J5" s="74">
        <v>246</v>
      </c>
      <c r="K5" s="81"/>
      <c r="L5" s="74">
        <v>0</v>
      </c>
      <c r="M5" s="81"/>
      <c r="N5" s="74">
        <v>406</v>
      </c>
      <c r="O5" s="81"/>
      <c r="P5" s="74">
        <v>309.99999994420068</v>
      </c>
      <c r="Q5" s="81"/>
      <c r="R5" s="74">
        <v>3782</v>
      </c>
      <c r="S5" s="81"/>
      <c r="T5" s="74">
        <f>AJ5+AR5</f>
        <v>407</v>
      </c>
      <c r="U5" s="81"/>
      <c r="V5" s="74">
        <f>AL5+AT5</f>
        <v>93</v>
      </c>
      <c r="W5" s="81"/>
      <c r="X5" s="74">
        <f>AN5+AV5</f>
        <v>83</v>
      </c>
      <c r="Y5" s="81"/>
      <c r="Z5" s="74">
        <f>AP5+AX5</f>
        <v>69</v>
      </c>
      <c r="AA5" s="81"/>
      <c r="AB5" s="83">
        <f t="shared" ref="AB5:AB36" si="8">T5/SUM($T5,$V5,$X5,$Z5)</f>
        <v>0.62423312883435578</v>
      </c>
      <c r="AC5" s="83">
        <f t="shared" ref="AC5:AC36" si="9">V5/SUM($T5,$V5,$X5,$Z5)</f>
        <v>0.14263803680981596</v>
      </c>
      <c r="AD5" s="83">
        <f t="shared" ref="AD5:AD36" si="10">X5/SUM($T5,$V5,$X5,$Z5)</f>
        <v>0.1273006134969325</v>
      </c>
      <c r="AE5" s="84">
        <f t="shared" ref="AE5:AE36" si="11">Z5/SUM($T5,$V5,$X5,$Z5)</f>
        <v>0.10582822085889571</v>
      </c>
      <c r="AF5" s="74"/>
      <c r="AG5" s="74"/>
      <c r="AH5" s="74"/>
      <c r="AI5" s="84"/>
      <c r="AJ5" s="74">
        <v>251</v>
      </c>
      <c r="AK5" s="81"/>
      <c r="AL5" s="74">
        <v>46</v>
      </c>
      <c r="AM5" s="81"/>
      <c r="AN5" s="74">
        <v>66</v>
      </c>
      <c r="AO5" s="81"/>
      <c r="AP5" s="74">
        <v>43</v>
      </c>
      <c r="AQ5" s="81"/>
      <c r="AR5" s="74">
        <v>156</v>
      </c>
      <c r="AS5" s="81"/>
      <c r="AT5" s="74">
        <v>47</v>
      </c>
      <c r="AU5" s="81"/>
      <c r="AV5" s="74">
        <v>17</v>
      </c>
      <c r="AW5" s="81"/>
      <c r="AX5" s="74">
        <v>26</v>
      </c>
      <c r="AY5" s="81"/>
    </row>
    <row r="6" spans="1:51" x14ac:dyDescent="0.25">
      <c r="A6" s="85">
        <f>A5+7</f>
        <v>45163</v>
      </c>
      <c r="B6" s="74">
        <f t="shared" ref="B6:B69" si="12">J6+L6+N6</f>
        <v>639</v>
      </c>
      <c r="C6" s="81"/>
      <c r="D6" s="74">
        <v>566.53005459440067</v>
      </c>
      <c r="E6" s="81"/>
      <c r="F6" s="74">
        <f t="shared" ref="F6:F69" si="13">J6+L6+R6</f>
        <v>4254</v>
      </c>
      <c r="G6" s="81"/>
      <c r="H6" s="74">
        <f t="shared" ref="H6:H69" si="14">J6+L6</f>
        <v>238</v>
      </c>
      <c r="I6" s="81"/>
      <c r="J6" s="74">
        <v>238</v>
      </c>
      <c r="K6" s="81"/>
      <c r="L6" s="74">
        <v>0</v>
      </c>
      <c r="M6" s="81"/>
      <c r="N6" s="74">
        <v>401</v>
      </c>
      <c r="O6" s="81"/>
      <c r="P6" s="74">
        <v>329.18032780960056</v>
      </c>
      <c r="Q6" s="81"/>
      <c r="R6" s="74">
        <v>4016</v>
      </c>
      <c r="S6" s="81"/>
      <c r="T6" s="74">
        <f t="shared" ref="T6:T69" si="15">AJ6+AR6</f>
        <v>374</v>
      </c>
      <c r="U6" s="81"/>
      <c r="V6" s="74">
        <f t="shared" ref="V6:V69" si="16">AL6+AT6</f>
        <v>100</v>
      </c>
      <c r="W6" s="81"/>
      <c r="X6" s="74">
        <f t="shared" ref="X6:X69" si="17">AN6+AV6</f>
        <v>83</v>
      </c>
      <c r="Y6" s="81"/>
      <c r="Z6" s="74">
        <f t="shared" ref="Z6:Z69" si="18">AP6+AX6</f>
        <v>82</v>
      </c>
      <c r="AA6" s="81"/>
      <c r="AB6" s="83">
        <f t="shared" si="8"/>
        <v>0.58528951486697967</v>
      </c>
      <c r="AC6" s="83">
        <f t="shared" si="9"/>
        <v>0.1564945226917058</v>
      </c>
      <c r="AD6" s="83">
        <f t="shared" si="10"/>
        <v>0.12989045383411579</v>
      </c>
      <c r="AE6" s="84">
        <f t="shared" si="11"/>
        <v>0.12832550860719874</v>
      </c>
      <c r="AF6" s="74"/>
      <c r="AG6" s="74"/>
      <c r="AH6" s="74"/>
      <c r="AI6" s="84"/>
      <c r="AJ6" s="74">
        <v>234</v>
      </c>
      <c r="AK6" s="81"/>
      <c r="AL6" s="74">
        <v>50</v>
      </c>
      <c r="AM6" s="81"/>
      <c r="AN6" s="74">
        <v>64</v>
      </c>
      <c r="AO6" s="81"/>
      <c r="AP6" s="74">
        <v>53</v>
      </c>
      <c r="AQ6" s="81"/>
      <c r="AR6" s="74">
        <v>140</v>
      </c>
      <c r="AS6" s="81"/>
      <c r="AT6" s="74">
        <v>50</v>
      </c>
      <c r="AU6" s="81"/>
      <c r="AV6" s="74">
        <v>19</v>
      </c>
      <c r="AW6" s="81"/>
      <c r="AX6" s="74">
        <v>29</v>
      </c>
      <c r="AY6" s="81"/>
    </row>
    <row r="7" spans="1:51" x14ac:dyDescent="0.25">
      <c r="A7" s="85">
        <f t="shared" ref="A7:A70" si="19">A6+7</f>
        <v>45170</v>
      </c>
      <c r="B7" s="74">
        <f t="shared" si="12"/>
        <v>609</v>
      </c>
      <c r="C7" s="81"/>
      <c r="D7" s="74">
        <v>596.09016391770092</v>
      </c>
      <c r="E7" s="81"/>
      <c r="F7" s="74">
        <f t="shared" si="13"/>
        <v>4616</v>
      </c>
      <c r="G7" s="81"/>
      <c r="H7" s="74">
        <f t="shared" si="14"/>
        <v>241</v>
      </c>
      <c r="I7" s="81"/>
      <c r="J7" s="74">
        <v>241</v>
      </c>
      <c r="K7" s="81"/>
      <c r="L7" s="74">
        <v>0</v>
      </c>
      <c r="M7" s="81"/>
      <c r="N7" s="74">
        <v>368</v>
      </c>
      <c r="O7" s="81"/>
      <c r="P7" s="74">
        <v>355.74863385410077</v>
      </c>
      <c r="Q7" s="81"/>
      <c r="R7" s="74">
        <v>4375</v>
      </c>
      <c r="S7" s="81"/>
      <c r="T7" s="74">
        <f t="shared" si="15"/>
        <v>328</v>
      </c>
      <c r="U7" s="81"/>
      <c r="V7" s="74">
        <f t="shared" si="16"/>
        <v>100</v>
      </c>
      <c r="W7" s="81"/>
      <c r="X7" s="74">
        <f t="shared" si="17"/>
        <v>117</v>
      </c>
      <c r="Y7" s="81"/>
      <c r="Z7" s="74">
        <f t="shared" si="18"/>
        <v>64</v>
      </c>
      <c r="AA7" s="81"/>
      <c r="AB7" s="83">
        <f t="shared" si="8"/>
        <v>0.53858784893267653</v>
      </c>
      <c r="AC7" s="83">
        <f t="shared" si="9"/>
        <v>0.16420361247947454</v>
      </c>
      <c r="AD7" s="83">
        <f t="shared" si="10"/>
        <v>0.19211822660098521</v>
      </c>
      <c r="AE7" s="84">
        <f t="shared" si="11"/>
        <v>0.10509031198686371</v>
      </c>
      <c r="AF7" s="74"/>
      <c r="AG7" s="74"/>
      <c r="AH7" s="74"/>
      <c r="AI7" s="84"/>
      <c r="AJ7" s="74">
        <v>194</v>
      </c>
      <c r="AK7" s="81"/>
      <c r="AL7" s="74">
        <v>45</v>
      </c>
      <c r="AM7" s="81"/>
      <c r="AN7" s="74">
        <v>85</v>
      </c>
      <c r="AO7" s="81"/>
      <c r="AP7" s="74">
        <v>44</v>
      </c>
      <c r="AQ7" s="81"/>
      <c r="AR7" s="74">
        <v>134</v>
      </c>
      <c r="AS7" s="81"/>
      <c r="AT7" s="74">
        <v>55</v>
      </c>
      <c r="AU7" s="81"/>
      <c r="AV7" s="74">
        <v>32</v>
      </c>
      <c r="AW7" s="81"/>
      <c r="AX7" s="74">
        <v>20</v>
      </c>
      <c r="AY7" s="81"/>
    </row>
    <row r="8" spans="1:51" x14ac:dyDescent="0.25">
      <c r="A8" s="85">
        <f t="shared" si="19"/>
        <v>45177</v>
      </c>
      <c r="B8" s="74">
        <f t="shared" si="12"/>
        <v>609</v>
      </c>
      <c r="C8" s="81">
        <f>AVERAGE(B5:B8)</f>
        <v>627.25</v>
      </c>
      <c r="D8" s="74">
        <v>509.3114755016997</v>
      </c>
      <c r="E8" s="81">
        <f>AVERAGE(D5:D8)</f>
        <v>556.81489070490045</v>
      </c>
      <c r="F8" s="74">
        <f t="shared" si="13"/>
        <v>3960</v>
      </c>
      <c r="G8" s="81">
        <f>AVERAGE(F5:F8)</f>
        <v>4214.5</v>
      </c>
      <c r="H8" s="74">
        <f t="shared" si="14"/>
        <v>213</v>
      </c>
      <c r="I8" s="81">
        <f>AVERAGE(H5:H8)</f>
        <v>234.5</v>
      </c>
      <c r="J8" s="74">
        <v>213</v>
      </c>
      <c r="K8" s="81">
        <f>AVERAGE(J5:J8)</f>
        <v>234.5</v>
      </c>
      <c r="L8" s="74">
        <v>0</v>
      </c>
      <c r="M8" s="81">
        <f>AVERAGE(L5:L8)</f>
        <v>0</v>
      </c>
      <c r="N8" s="74">
        <v>396</v>
      </c>
      <c r="O8" s="81">
        <f>AVERAGE(N5:N8)</f>
        <v>392.75</v>
      </c>
      <c r="P8" s="74">
        <v>296.89344270689963</v>
      </c>
      <c r="Q8" s="81">
        <f>AVERAGE(P5:P8)</f>
        <v>322.9556010787004</v>
      </c>
      <c r="R8" s="74">
        <v>3747</v>
      </c>
      <c r="S8" s="81">
        <f>AVERAGE(R5:R8)</f>
        <v>3980</v>
      </c>
      <c r="T8" s="74">
        <f t="shared" si="15"/>
        <v>324</v>
      </c>
      <c r="U8" s="81"/>
      <c r="V8" s="74">
        <f t="shared" si="16"/>
        <v>88</v>
      </c>
      <c r="W8" s="81"/>
      <c r="X8" s="74">
        <f t="shared" si="17"/>
        <v>133</v>
      </c>
      <c r="Y8" s="81"/>
      <c r="Z8" s="74">
        <f t="shared" si="18"/>
        <v>64</v>
      </c>
      <c r="AA8" s="81"/>
      <c r="AB8" s="83">
        <f t="shared" si="8"/>
        <v>0.53201970443349755</v>
      </c>
      <c r="AC8" s="83">
        <f t="shared" si="9"/>
        <v>0.14449917898193759</v>
      </c>
      <c r="AD8" s="83">
        <f t="shared" si="10"/>
        <v>0.21839080459770116</v>
      </c>
      <c r="AE8" s="84">
        <f t="shared" si="11"/>
        <v>0.10509031198686371</v>
      </c>
      <c r="AF8" s="74"/>
      <c r="AG8" s="74"/>
      <c r="AH8" s="74"/>
      <c r="AI8" s="84"/>
      <c r="AJ8" s="74">
        <v>205</v>
      </c>
      <c r="AK8" s="81"/>
      <c r="AL8" s="74">
        <v>44</v>
      </c>
      <c r="AM8" s="81"/>
      <c r="AN8" s="74">
        <v>103</v>
      </c>
      <c r="AO8" s="81"/>
      <c r="AP8" s="74">
        <v>44</v>
      </c>
      <c r="AQ8" s="81"/>
      <c r="AR8" s="74">
        <v>119</v>
      </c>
      <c r="AS8" s="81"/>
      <c r="AT8" s="74">
        <v>44</v>
      </c>
      <c r="AU8" s="81"/>
      <c r="AV8" s="74">
        <v>30</v>
      </c>
      <c r="AW8" s="81"/>
      <c r="AX8" s="74">
        <v>20</v>
      </c>
      <c r="AY8" s="81"/>
    </row>
    <row r="9" spans="1:51" x14ac:dyDescent="0.25">
      <c r="A9" s="85">
        <f t="shared" si="19"/>
        <v>45184</v>
      </c>
      <c r="B9" s="74">
        <f t="shared" si="12"/>
        <v>598</v>
      </c>
      <c r="C9" s="81">
        <f t="shared" ref="C9:E72" si="20">AVERAGE(B6:B9)</f>
        <v>613.75</v>
      </c>
      <c r="D9" s="74">
        <v>519.79234981939987</v>
      </c>
      <c r="E9" s="81">
        <f t="shared" si="20"/>
        <v>547.93101095830025</v>
      </c>
      <c r="F9" s="74">
        <f t="shared" si="13"/>
        <v>3988</v>
      </c>
      <c r="G9" s="81">
        <f t="shared" ref="G9" si="21">AVERAGE(F6:F9)</f>
        <v>4204.5</v>
      </c>
      <c r="H9" s="74">
        <f t="shared" si="14"/>
        <v>222</v>
      </c>
      <c r="I9" s="81">
        <f t="shared" ref="I9" si="22">AVERAGE(H6:H9)</f>
        <v>228.5</v>
      </c>
      <c r="J9" s="74">
        <v>222</v>
      </c>
      <c r="K9" s="81">
        <f t="shared" ref="K9" si="23">AVERAGE(J6:J9)</f>
        <v>228.5</v>
      </c>
      <c r="L9" s="74">
        <v>0</v>
      </c>
      <c r="M9" s="81">
        <f t="shared" ref="M9" si="24">AVERAGE(L6:L9)</f>
        <v>0</v>
      </c>
      <c r="N9" s="74">
        <v>376</v>
      </c>
      <c r="O9" s="81">
        <f t="shared" ref="O9" si="25">AVERAGE(N6:N9)</f>
        <v>385.25</v>
      </c>
      <c r="P9" s="74">
        <v>298.39890718819981</v>
      </c>
      <c r="Q9" s="81">
        <f t="shared" ref="Q9" si="26">AVERAGE(P6:P9)</f>
        <v>320.05532788970015</v>
      </c>
      <c r="R9" s="74">
        <v>3766</v>
      </c>
      <c r="S9" s="81">
        <f t="shared" ref="S9" si="27">AVERAGE(R6:R9)</f>
        <v>3976</v>
      </c>
      <c r="T9" s="74">
        <f t="shared" si="15"/>
        <v>328</v>
      </c>
      <c r="U9" s="81"/>
      <c r="V9" s="74">
        <f t="shared" si="16"/>
        <v>72</v>
      </c>
      <c r="W9" s="81"/>
      <c r="X9" s="74">
        <f t="shared" si="17"/>
        <v>135</v>
      </c>
      <c r="Y9" s="81"/>
      <c r="Z9" s="74">
        <f t="shared" si="18"/>
        <v>63</v>
      </c>
      <c r="AA9" s="81"/>
      <c r="AB9" s="83">
        <f t="shared" si="8"/>
        <v>0.54849498327759194</v>
      </c>
      <c r="AC9" s="83">
        <f t="shared" si="9"/>
        <v>0.12040133779264214</v>
      </c>
      <c r="AD9" s="83">
        <f t="shared" si="10"/>
        <v>0.225752508361204</v>
      </c>
      <c r="AE9" s="84">
        <f t="shared" si="11"/>
        <v>0.10535117056856187</v>
      </c>
      <c r="AF9" s="74"/>
      <c r="AG9" s="74"/>
      <c r="AH9" s="74"/>
      <c r="AI9" s="84"/>
      <c r="AJ9" s="74">
        <v>197</v>
      </c>
      <c r="AK9" s="81"/>
      <c r="AL9" s="74">
        <v>35</v>
      </c>
      <c r="AM9" s="81"/>
      <c r="AN9" s="74">
        <v>109</v>
      </c>
      <c r="AO9" s="81"/>
      <c r="AP9" s="74">
        <v>35</v>
      </c>
      <c r="AQ9" s="81"/>
      <c r="AR9" s="74">
        <v>131</v>
      </c>
      <c r="AS9" s="81"/>
      <c r="AT9" s="74">
        <v>37</v>
      </c>
      <c r="AU9" s="81"/>
      <c r="AV9" s="74">
        <v>26</v>
      </c>
      <c r="AW9" s="81"/>
      <c r="AX9" s="74">
        <v>28</v>
      </c>
      <c r="AY9" s="81"/>
    </row>
    <row r="10" spans="1:51" x14ac:dyDescent="0.25">
      <c r="A10" s="85">
        <f t="shared" si="19"/>
        <v>45191</v>
      </c>
      <c r="B10" s="74">
        <f t="shared" si="12"/>
        <v>651</v>
      </c>
      <c r="C10" s="81">
        <f t="shared" si="20"/>
        <v>616.75</v>
      </c>
      <c r="D10" s="74">
        <v>529.1420765979999</v>
      </c>
      <c r="E10" s="81">
        <f t="shared" si="20"/>
        <v>538.58401645920003</v>
      </c>
      <c r="F10" s="74">
        <f t="shared" si="13"/>
        <v>4106</v>
      </c>
      <c r="G10" s="81">
        <f t="shared" ref="G10" si="28">AVERAGE(F7:F10)</f>
        <v>4167.5</v>
      </c>
      <c r="H10" s="74">
        <f t="shared" si="14"/>
        <v>222</v>
      </c>
      <c r="I10" s="81">
        <f t="shared" ref="I10" si="29">AVERAGE(H7:H10)</f>
        <v>224.5</v>
      </c>
      <c r="J10" s="74">
        <v>222</v>
      </c>
      <c r="K10" s="81">
        <f t="shared" ref="K10" si="30">AVERAGE(J7:J10)</f>
        <v>224.5</v>
      </c>
      <c r="L10" s="74">
        <v>0</v>
      </c>
      <c r="M10" s="81">
        <f t="shared" ref="M10" si="31">AVERAGE(L7:L10)</f>
        <v>0</v>
      </c>
      <c r="N10" s="74">
        <v>429</v>
      </c>
      <c r="O10" s="81">
        <f t="shared" ref="O10" si="32">AVERAGE(N7:N10)</f>
        <v>392.25</v>
      </c>
      <c r="P10" s="74">
        <v>307.74863396679984</v>
      </c>
      <c r="Q10" s="81">
        <f t="shared" ref="Q10" si="33">AVERAGE(P7:P10)</f>
        <v>314.69740442900002</v>
      </c>
      <c r="R10" s="74">
        <v>3884</v>
      </c>
      <c r="S10" s="81">
        <f t="shared" ref="S10" si="34">AVERAGE(R7:R10)</f>
        <v>3943</v>
      </c>
      <c r="T10" s="74">
        <f t="shared" si="15"/>
        <v>339</v>
      </c>
      <c r="U10" s="81"/>
      <c r="V10" s="74">
        <f t="shared" si="16"/>
        <v>69</v>
      </c>
      <c r="W10" s="81"/>
      <c r="X10" s="74">
        <f t="shared" si="17"/>
        <v>167</v>
      </c>
      <c r="Y10" s="81"/>
      <c r="Z10" s="74">
        <f t="shared" si="18"/>
        <v>76</v>
      </c>
      <c r="AA10" s="81"/>
      <c r="AB10" s="83">
        <f t="shared" si="8"/>
        <v>0.52073732718894006</v>
      </c>
      <c r="AC10" s="83">
        <f t="shared" si="9"/>
        <v>0.10599078341013825</v>
      </c>
      <c r="AD10" s="83">
        <f t="shared" si="10"/>
        <v>0.25652841781874042</v>
      </c>
      <c r="AE10" s="84">
        <f t="shared" si="11"/>
        <v>0.11674347158218126</v>
      </c>
      <c r="AF10" s="74"/>
      <c r="AG10" s="74"/>
      <c r="AH10" s="74"/>
      <c r="AI10" s="84"/>
      <c r="AJ10" s="74">
        <v>216</v>
      </c>
      <c r="AK10" s="81"/>
      <c r="AL10" s="74">
        <v>30</v>
      </c>
      <c r="AM10" s="81"/>
      <c r="AN10" s="74">
        <v>136</v>
      </c>
      <c r="AO10" s="81"/>
      <c r="AP10" s="74">
        <v>47</v>
      </c>
      <c r="AQ10" s="81"/>
      <c r="AR10" s="74">
        <v>123</v>
      </c>
      <c r="AS10" s="81"/>
      <c r="AT10" s="74">
        <v>39</v>
      </c>
      <c r="AU10" s="81"/>
      <c r="AV10" s="74">
        <v>31</v>
      </c>
      <c r="AW10" s="81"/>
      <c r="AX10" s="74">
        <v>29</v>
      </c>
      <c r="AY10" s="81"/>
    </row>
    <row r="11" spans="1:51" x14ac:dyDescent="0.25">
      <c r="A11" s="85">
        <f t="shared" si="19"/>
        <v>45198</v>
      </c>
      <c r="B11" s="74">
        <f t="shared" si="12"/>
        <v>636</v>
      </c>
      <c r="C11" s="81">
        <f t="shared" si="20"/>
        <v>623.5</v>
      </c>
      <c r="D11" s="74">
        <v>522.36338807589971</v>
      </c>
      <c r="E11" s="81">
        <f t="shared" si="20"/>
        <v>520.15232249874975</v>
      </c>
      <c r="F11" s="74">
        <f t="shared" si="13"/>
        <v>4229</v>
      </c>
      <c r="G11" s="81">
        <f t="shared" ref="G11" si="35">AVERAGE(F8:F11)</f>
        <v>4070.75</v>
      </c>
      <c r="H11" s="74">
        <f t="shared" si="14"/>
        <v>204</v>
      </c>
      <c r="I11" s="81">
        <f t="shared" ref="I11" si="36">AVERAGE(H8:H11)</f>
        <v>215.25</v>
      </c>
      <c r="J11" s="74">
        <v>204</v>
      </c>
      <c r="K11" s="81">
        <f t="shared" ref="K11" si="37">AVERAGE(J8:J11)</f>
        <v>215.25</v>
      </c>
      <c r="L11" s="74">
        <v>0</v>
      </c>
      <c r="M11" s="81">
        <f t="shared" ref="M11" si="38">AVERAGE(L8:L11)</f>
        <v>0</v>
      </c>
      <c r="N11" s="74">
        <v>432</v>
      </c>
      <c r="O11" s="81">
        <f t="shared" ref="O11" si="39">AVERAGE(N8:N11)</f>
        <v>408.25</v>
      </c>
      <c r="P11" s="74">
        <v>318.92076511749974</v>
      </c>
      <c r="Q11" s="81">
        <f t="shared" ref="Q11" si="40">AVERAGE(P8:P11)</f>
        <v>305.49043724484977</v>
      </c>
      <c r="R11" s="74">
        <v>4025</v>
      </c>
      <c r="S11" s="81">
        <f t="shared" ref="S11" si="41">AVERAGE(R8:R11)</f>
        <v>3855.5</v>
      </c>
      <c r="T11" s="74">
        <f t="shared" si="15"/>
        <v>339</v>
      </c>
      <c r="U11" s="81">
        <f>AVERAGE(T5:T11)</f>
        <v>348.42857142857144</v>
      </c>
      <c r="V11" s="74">
        <f t="shared" si="16"/>
        <v>83</v>
      </c>
      <c r="W11" s="81">
        <f t="shared" ref="W11:W74" si="42">AVERAGE(V5:V11)</f>
        <v>86.428571428571431</v>
      </c>
      <c r="X11" s="74">
        <f t="shared" si="17"/>
        <v>143</v>
      </c>
      <c r="Y11" s="81">
        <f t="shared" ref="Y11:Y74" si="43">AVERAGE(X5:X11)</f>
        <v>123</v>
      </c>
      <c r="Z11" s="74">
        <f t="shared" si="18"/>
        <v>71</v>
      </c>
      <c r="AA11" s="81">
        <f t="shared" ref="AA11:AK74" si="44">AVERAGE(Z5:Z11)</f>
        <v>69.857142857142861</v>
      </c>
      <c r="AB11" s="83">
        <f t="shared" si="8"/>
        <v>0.53301886792452835</v>
      </c>
      <c r="AC11" s="83">
        <f t="shared" si="9"/>
        <v>0.13050314465408805</v>
      </c>
      <c r="AD11" s="83">
        <f t="shared" si="10"/>
        <v>0.22484276729559749</v>
      </c>
      <c r="AE11" s="84">
        <f t="shared" si="11"/>
        <v>0.11163522012578617</v>
      </c>
      <c r="AF11" s="83">
        <f>AVERAGE(AB5:AB11)</f>
        <v>0.55462591077979573</v>
      </c>
      <c r="AG11" s="83">
        <f>AVERAGE(AC5:AC11)</f>
        <v>0.13781865954568606</v>
      </c>
      <c r="AH11" s="83">
        <f>AVERAGE(AD5:AD11)</f>
        <v>0.19640339885789665</v>
      </c>
      <c r="AI11" s="84">
        <f>AVERAGE(AE5:AE11)</f>
        <v>0.1111520308166216</v>
      </c>
      <c r="AJ11" s="74">
        <v>232</v>
      </c>
      <c r="AK11" s="81">
        <f t="shared" si="44"/>
        <v>218.42857142857142</v>
      </c>
      <c r="AL11" s="74">
        <v>42</v>
      </c>
      <c r="AM11" s="81">
        <f t="shared" ref="AM11:AM74" si="45">AVERAGE(AL5:AL11)</f>
        <v>41.714285714285715</v>
      </c>
      <c r="AN11" s="74">
        <v>114</v>
      </c>
      <c r="AO11" s="81">
        <f t="shared" ref="AO11:AO74" si="46">AVERAGE(AN5:AN11)</f>
        <v>96.714285714285708</v>
      </c>
      <c r="AP11" s="74">
        <v>44</v>
      </c>
      <c r="AQ11" s="81">
        <f t="shared" ref="AQ11:AQ74" si="47">AVERAGE(AP5:AP11)</f>
        <v>44.285714285714285</v>
      </c>
      <c r="AR11" s="74">
        <v>107</v>
      </c>
      <c r="AS11" s="81">
        <f t="shared" ref="AS11:AS74" si="48">AVERAGE(AR5:AR11)</f>
        <v>130</v>
      </c>
      <c r="AT11" s="74">
        <v>41</v>
      </c>
      <c r="AU11" s="81">
        <f t="shared" ref="AU11:AU74" si="49">AVERAGE(AT5:AT11)</f>
        <v>44.714285714285715</v>
      </c>
      <c r="AV11" s="74">
        <v>29</v>
      </c>
      <c r="AW11" s="81">
        <f t="shared" ref="AW11:AW74" si="50">AVERAGE(AV5:AV11)</f>
        <v>26.285714285714285</v>
      </c>
      <c r="AX11" s="74">
        <v>27</v>
      </c>
      <c r="AY11" s="81">
        <f t="shared" ref="AY11:AY74" si="51">AVERAGE(AX5:AX11)</f>
        <v>25.571428571428573</v>
      </c>
    </row>
    <row r="12" spans="1:51" x14ac:dyDescent="0.25">
      <c r="A12" s="85">
        <f t="shared" si="19"/>
        <v>45205</v>
      </c>
      <c r="B12" s="74">
        <f t="shared" si="12"/>
        <v>571</v>
      </c>
      <c r="C12" s="81">
        <f t="shared" si="20"/>
        <v>614</v>
      </c>
      <c r="D12" s="74">
        <v>531.00819669570035</v>
      </c>
      <c r="E12" s="81">
        <f t="shared" si="20"/>
        <v>525.57650279724999</v>
      </c>
      <c r="F12" s="74">
        <f t="shared" si="13"/>
        <v>4576</v>
      </c>
      <c r="G12" s="81">
        <f t="shared" ref="G12" si="52">AVERAGE(F9:F12)</f>
        <v>4224.75</v>
      </c>
      <c r="H12" s="74">
        <f t="shared" si="14"/>
        <v>173</v>
      </c>
      <c r="I12" s="81">
        <f t="shared" ref="I12" si="53">AVERAGE(H9:H12)</f>
        <v>205.25</v>
      </c>
      <c r="J12" s="74">
        <v>173</v>
      </c>
      <c r="K12" s="81">
        <f t="shared" ref="K12" si="54">AVERAGE(J9:J12)</f>
        <v>205.25</v>
      </c>
      <c r="L12" s="74">
        <v>0</v>
      </c>
      <c r="M12" s="81">
        <f t="shared" ref="M12" si="55">AVERAGE(L9:L12)</f>
        <v>0</v>
      </c>
      <c r="N12" s="74">
        <v>398</v>
      </c>
      <c r="O12" s="81">
        <f t="shared" ref="O12" si="56">AVERAGE(N9:N12)</f>
        <v>408.75</v>
      </c>
      <c r="P12" s="74">
        <v>358.48087428490032</v>
      </c>
      <c r="Q12" s="81">
        <f t="shared" ref="Q12" si="57">AVERAGE(P9:P12)</f>
        <v>320.88729513934993</v>
      </c>
      <c r="R12" s="74">
        <v>4403</v>
      </c>
      <c r="S12" s="81">
        <f t="shared" ref="S12" si="58">AVERAGE(R9:R12)</f>
        <v>4019.5</v>
      </c>
      <c r="T12" s="74">
        <f t="shared" si="15"/>
        <v>284</v>
      </c>
      <c r="U12" s="81">
        <f t="shared" ref="U12:U75" si="59">AVERAGE(T6:T12)</f>
        <v>330.85714285714283</v>
      </c>
      <c r="V12" s="74">
        <f t="shared" si="16"/>
        <v>83</v>
      </c>
      <c r="W12" s="81">
        <f t="shared" si="42"/>
        <v>85</v>
      </c>
      <c r="X12" s="74">
        <f t="shared" si="17"/>
        <v>145</v>
      </c>
      <c r="Y12" s="81">
        <f t="shared" si="43"/>
        <v>131.85714285714286</v>
      </c>
      <c r="Z12" s="74">
        <f t="shared" si="18"/>
        <v>59</v>
      </c>
      <c r="AA12" s="81">
        <f t="shared" si="44"/>
        <v>68.428571428571431</v>
      </c>
      <c r="AB12" s="83">
        <f t="shared" si="8"/>
        <v>0.49737302977232922</v>
      </c>
      <c r="AC12" s="83">
        <f t="shared" si="9"/>
        <v>0.14535901926444833</v>
      </c>
      <c r="AD12" s="83">
        <f t="shared" si="10"/>
        <v>0.25394045534150611</v>
      </c>
      <c r="AE12" s="84">
        <f t="shared" si="11"/>
        <v>0.10332749562171628</v>
      </c>
      <c r="AF12" s="83">
        <f t="shared" ref="AF12:AI27" si="60">AVERAGE(AB6:AB12)</f>
        <v>0.53650303948522049</v>
      </c>
      <c r="AG12" s="83">
        <f t="shared" si="60"/>
        <v>0.13820737132491925</v>
      </c>
      <c r="AH12" s="83">
        <f t="shared" si="60"/>
        <v>0.21449480483569289</v>
      </c>
      <c r="AI12" s="84">
        <f t="shared" si="60"/>
        <v>0.11079478435416738</v>
      </c>
      <c r="AJ12" s="74">
        <v>192</v>
      </c>
      <c r="AK12" s="81">
        <f t="shared" si="44"/>
        <v>210</v>
      </c>
      <c r="AL12" s="74">
        <v>51</v>
      </c>
      <c r="AM12" s="81">
        <f t="shared" si="45"/>
        <v>42.428571428571431</v>
      </c>
      <c r="AN12" s="74">
        <v>115</v>
      </c>
      <c r="AO12" s="81">
        <f t="shared" si="46"/>
        <v>103.71428571428571</v>
      </c>
      <c r="AP12" s="74">
        <v>40</v>
      </c>
      <c r="AQ12" s="81">
        <f t="shared" si="47"/>
        <v>43.857142857142854</v>
      </c>
      <c r="AR12" s="74">
        <v>92</v>
      </c>
      <c r="AS12" s="81">
        <f t="shared" si="48"/>
        <v>120.85714285714286</v>
      </c>
      <c r="AT12" s="74">
        <v>32</v>
      </c>
      <c r="AU12" s="81">
        <f t="shared" si="49"/>
        <v>42.571428571428569</v>
      </c>
      <c r="AV12" s="74">
        <v>30</v>
      </c>
      <c r="AW12" s="81">
        <f t="shared" si="50"/>
        <v>28.142857142857142</v>
      </c>
      <c r="AX12" s="74">
        <v>19</v>
      </c>
      <c r="AY12" s="81">
        <f t="shared" si="51"/>
        <v>24.571428571428573</v>
      </c>
    </row>
    <row r="13" spans="1:51" x14ac:dyDescent="0.25">
      <c r="A13" s="85">
        <f t="shared" si="19"/>
        <v>45212</v>
      </c>
      <c r="B13" s="74">
        <f t="shared" si="12"/>
        <v>745</v>
      </c>
      <c r="C13" s="81">
        <f t="shared" si="20"/>
        <v>650.75</v>
      </c>
      <c r="D13" s="74">
        <v>535.45081962710083</v>
      </c>
      <c r="E13" s="81">
        <f t="shared" si="20"/>
        <v>529.4911202491752</v>
      </c>
      <c r="F13" s="74">
        <f t="shared" si="13"/>
        <v>3886</v>
      </c>
      <c r="G13" s="81">
        <f t="shared" ref="G13" si="61">AVERAGE(F10:F13)</f>
        <v>4199.25</v>
      </c>
      <c r="H13" s="74">
        <f t="shared" si="14"/>
        <v>237</v>
      </c>
      <c r="I13" s="81">
        <f t="shared" ref="I13" si="62">AVERAGE(H10:H13)</f>
        <v>209</v>
      </c>
      <c r="J13" s="74">
        <v>237</v>
      </c>
      <c r="K13" s="81">
        <f t="shared" ref="K13" si="63">AVERAGE(J10:J13)</f>
        <v>209</v>
      </c>
      <c r="L13" s="74">
        <v>0</v>
      </c>
      <c r="M13" s="81">
        <f t="shared" ref="M13" si="64">AVERAGE(L10:L13)</f>
        <v>0</v>
      </c>
      <c r="N13" s="74">
        <v>508</v>
      </c>
      <c r="O13" s="81">
        <f t="shared" ref="O13" si="65">AVERAGE(N10:N13)</f>
        <v>441.75</v>
      </c>
      <c r="P13" s="74">
        <v>299.09836060190077</v>
      </c>
      <c r="Q13" s="81">
        <f t="shared" ref="Q13" si="66">AVERAGE(P10:P13)</f>
        <v>321.06215849277515</v>
      </c>
      <c r="R13" s="74">
        <v>3649</v>
      </c>
      <c r="S13" s="81">
        <f t="shared" ref="S13" si="67">AVERAGE(R10:R13)</f>
        <v>3990.25</v>
      </c>
      <c r="T13" s="74">
        <f t="shared" si="15"/>
        <v>392</v>
      </c>
      <c r="U13" s="81">
        <f t="shared" si="59"/>
        <v>333.42857142857144</v>
      </c>
      <c r="V13" s="74">
        <f t="shared" si="16"/>
        <v>82</v>
      </c>
      <c r="W13" s="81">
        <f t="shared" si="42"/>
        <v>82.428571428571431</v>
      </c>
      <c r="X13" s="74">
        <f t="shared" si="17"/>
        <v>200</v>
      </c>
      <c r="Y13" s="81">
        <f t="shared" si="43"/>
        <v>148.57142857142858</v>
      </c>
      <c r="Z13" s="74">
        <f t="shared" si="18"/>
        <v>71</v>
      </c>
      <c r="AA13" s="81">
        <f t="shared" si="44"/>
        <v>66.857142857142861</v>
      </c>
      <c r="AB13" s="83">
        <f t="shared" si="8"/>
        <v>0.52617449664429528</v>
      </c>
      <c r="AC13" s="83">
        <f t="shared" si="9"/>
        <v>0.11006711409395974</v>
      </c>
      <c r="AD13" s="83">
        <f t="shared" si="10"/>
        <v>0.26845637583892618</v>
      </c>
      <c r="AE13" s="84">
        <f t="shared" si="11"/>
        <v>9.5302013422818799E-2</v>
      </c>
      <c r="AF13" s="83">
        <f t="shared" si="60"/>
        <v>0.52805803688197983</v>
      </c>
      <c r="AG13" s="83">
        <f t="shared" si="60"/>
        <v>0.1315748843823841</v>
      </c>
      <c r="AH13" s="83">
        <f t="shared" si="60"/>
        <v>0.23428993655066582</v>
      </c>
      <c r="AI13" s="84">
        <f t="shared" si="60"/>
        <v>0.10607714218497025</v>
      </c>
      <c r="AJ13" s="74">
        <v>267</v>
      </c>
      <c r="AK13" s="81">
        <f t="shared" si="44"/>
        <v>214.71428571428572</v>
      </c>
      <c r="AL13" s="74">
        <v>48</v>
      </c>
      <c r="AM13" s="81">
        <f t="shared" si="45"/>
        <v>42.142857142857146</v>
      </c>
      <c r="AN13" s="74">
        <v>148</v>
      </c>
      <c r="AO13" s="81">
        <f t="shared" si="46"/>
        <v>115.71428571428571</v>
      </c>
      <c r="AP13" s="74">
        <v>45</v>
      </c>
      <c r="AQ13" s="81">
        <f t="shared" si="47"/>
        <v>42.714285714285715</v>
      </c>
      <c r="AR13" s="74">
        <v>125</v>
      </c>
      <c r="AS13" s="81">
        <f t="shared" si="48"/>
        <v>118.71428571428571</v>
      </c>
      <c r="AT13" s="74">
        <v>34</v>
      </c>
      <c r="AU13" s="81">
        <f t="shared" si="49"/>
        <v>40.285714285714285</v>
      </c>
      <c r="AV13" s="74">
        <v>52</v>
      </c>
      <c r="AW13" s="81">
        <f t="shared" si="50"/>
        <v>32.857142857142854</v>
      </c>
      <c r="AX13" s="74">
        <v>26</v>
      </c>
      <c r="AY13" s="81">
        <f t="shared" si="51"/>
        <v>24.142857142857142</v>
      </c>
    </row>
    <row r="14" spans="1:51" x14ac:dyDescent="0.25">
      <c r="A14" s="85">
        <f t="shared" si="19"/>
        <v>45219</v>
      </c>
      <c r="B14" s="74">
        <f t="shared" si="12"/>
        <v>988</v>
      </c>
      <c r="C14" s="81">
        <f t="shared" si="20"/>
        <v>735</v>
      </c>
      <c r="D14" s="74">
        <v>621.1065573270007</v>
      </c>
      <c r="E14" s="81">
        <f t="shared" si="20"/>
        <v>552.48224043142545</v>
      </c>
      <c r="F14" s="74">
        <f t="shared" si="13"/>
        <v>4395</v>
      </c>
      <c r="G14" s="81">
        <f t="shared" ref="G14" si="68">AVERAGE(F11:F14)</f>
        <v>4271.5</v>
      </c>
      <c r="H14" s="74">
        <f t="shared" si="14"/>
        <v>285</v>
      </c>
      <c r="I14" s="81">
        <f t="shared" ref="I14" si="69">AVERAGE(H11:H14)</f>
        <v>224.75</v>
      </c>
      <c r="J14" s="74">
        <v>285</v>
      </c>
      <c r="K14" s="81">
        <f t="shared" ref="K14" si="70">AVERAGE(J11:J14)</f>
        <v>224.75</v>
      </c>
      <c r="L14" s="74">
        <v>0</v>
      </c>
      <c r="M14" s="81">
        <f t="shared" ref="M14" si="71">AVERAGE(L11:L14)</f>
        <v>0</v>
      </c>
      <c r="N14" s="74">
        <v>703</v>
      </c>
      <c r="O14" s="81">
        <f t="shared" ref="O14" si="72">AVERAGE(N11:N14)</f>
        <v>510.25</v>
      </c>
      <c r="P14" s="74">
        <v>336.88524584100065</v>
      </c>
      <c r="Q14" s="81">
        <f t="shared" ref="Q14" si="73">AVERAGE(P11:P14)</f>
        <v>328.34631146132534</v>
      </c>
      <c r="R14" s="74">
        <v>4110</v>
      </c>
      <c r="S14" s="81">
        <f t="shared" ref="S14" si="74">AVERAGE(R11:R14)</f>
        <v>4046.75</v>
      </c>
      <c r="T14" s="74">
        <f t="shared" si="15"/>
        <v>530</v>
      </c>
      <c r="U14" s="81">
        <f t="shared" si="59"/>
        <v>362.28571428571428</v>
      </c>
      <c r="V14" s="74">
        <f t="shared" si="16"/>
        <v>120</v>
      </c>
      <c r="W14" s="81">
        <f t="shared" si="42"/>
        <v>85.285714285714292</v>
      </c>
      <c r="X14" s="74">
        <f t="shared" si="17"/>
        <v>252</v>
      </c>
      <c r="Y14" s="81">
        <f t="shared" si="43"/>
        <v>167.85714285714286</v>
      </c>
      <c r="Z14" s="74">
        <f t="shared" si="18"/>
        <v>86</v>
      </c>
      <c r="AA14" s="81">
        <f t="shared" si="44"/>
        <v>70</v>
      </c>
      <c r="AB14" s="83">
        <f t="shared" si="8"/>
        <v>0.53643724696356276</v>
      </c>
      <c r="AC14" s="83">
        <f t="shared" si="9"/>
        <v>0.1214574898785425</v>
      </c>
      <c r="AD14" s="83">
        <f t="shared" si="10"/>
        <v>0.25506072874493929</v>
      </c>
      <c r="AE14" s="84">
        <f t="shared" si="11"/>
        <v>8.7044534412955468E-2</v>
      </c>
      <c r="AF14" s="83">
        <f t="shared" si="60"/>
        <v>0.52775080802924923</v>
      </c>
      <c r="AG14" s="83">
        <f t="shared" si="60"/>
        <v>0.12546829543939381</v>
      </c>
      <c r="AH14" s="83">
        <f t="shared" si="60"/>
        <v>0.24328172257123068</v>
      </c>
      <c r="AI14" s="84">
        <f t="shared" si="60"/>
        <v>0.10349917396012623</v>
      </c>
      <c r="AJ14" s="74">
        <v>355</v>
      </c>
      <c r="AK14" s="81">
        <f t="shared" si="44"/>
        <v>237.71428571428572</v>
      </c>
      <c r="AL14" s="74">
        <v>81</v>
      </c>
      <c r="AM14" s="81">
        <f t="shared" si="45"/>
        <v>47.285714285714285</v>
      </c>
      <c r="AN14" s="74">
        <v>207</v>
      </c>
      <c r="AO14" s="81">
        <f t="shared" si="46"/>
        <v>133.14285714285714</v>
      </c>
      <c r="AP14" s="74">
        <v>60</v>
      </c>
      <c r="AQ14" s="81">
        <f t="shared" si="47"/>
        <v>45</v>
      </c>
      <c r="AR14" s="74">
        <v>175</v>
      </c>
      <c r="AS14" s="81">
        <f t="shared" si="48"/>
        <v>124.57142857142857</v>
      </c>
      <c r="AT14" s="74">
        <v>39</v>
      </c>
      <c r="AU14" s="81">
        <f t="shared" si="49"/>
        <v>38</v>
      </c>
      <c r="AV14" s="74">
        <v>45</v>
      </c>
      <c r="AW14" s="81">
        <f t="shared" si="50"/>
        <v>34.714285714285715</v>
      </c>
      <c r="AX14" s="74">
        <v>26</v>
      </c>
      <c r="AY14" s="81">
        <f t="shared" si="51"/>
        <v>25</v>
      </c>
    </row>
    <row r="15" spans="1:51" x14ac:dyDescent="0.25">
      <c r="A15" s="85">
        <f t="shared" si="19"/>
        <v>45226</v>
      </c>
      <c r="B15" s="74">
        <f t="shared" si="12"/>
        <v>1068</v>
      </c>
      <c r="C15" s="81">
        <f t="shared" si="20"/>
        <v>843</v>
      </c>
      <c r="D15" s="74">
        <v>659.7404371084009</v>
      </c>
      <c r="E15" s="81">
        <f t="shared" si="20"/>
        <v>586.82650268955069</v>
      </c>
      <c r="F15" s="74">
        <f t="shared" si="13"/>
        <v>4509</v>
      </c>
      <c r="G15" s="81">
        <f t="shared" ref="G15" si="75">AVERAGE(F12:F15)</f>
        <v>4341.5</v>
      </c>
      <c r="H15" s="74">
        <f t="shared" si="14"/>
        <v>317</v>
      </c>
      <c r="I15" s="81">
        <f t="shared" ref="I15" si="76">AVERAGE(H12:H15)</f>
        <v>253</v>
      </c>
      <c r="J15" s="74">
        <v>317</v>
      </c>
      <c r="K15" s="81">
        <f t="shared" ref="K15" si="77">AVERAGE(J12:J15)</f>
        <v>253</v>
      </c>
      <c r="L15" s="74">
        <v>0</v>
      </c>
      <c r="M15" s="81">
        <f t="shared" ref="M15" si="78">AVERAGE(L12:L15)</f>
        <v>0</v>
      </c>
      <c r="N15" s="74">
        <v>751</v>
      </c>
      <c r="O15" s="81">
        <f t="shared" ref="O15" si="79">AVERAGE(N12:N15)</f>
        <v>590</v>
      </c>
      <c r="P15" s="74">
        <v>343.60655731520097</v>
      </c>
      <c r="Q15" s="81">
        <f t="shared" ref="Q15" si="80">AVERAGE(P12:P15)</f>
        <v>334.51775951075064</v>
      </c>
      <c r="R15" s="74">
        <v>4192</v>
      </c>
      <c r="S15" s="81">
        <f t="shared" ref="S15" si="81">AVERAGE(R12:R15)</f>
        <v>4088.5</v>
      </c>
      <c r="T15" s="74">
        <f t="shared" si="15"/>
        <v>523</v>
      </c>
      <c r="U15" s="81">
        <f t="shared" si="59"/>
        <v>390.71428571428572</v>
      </c>
      <c r="V15" s="74">
        <f t="shared" si="16"/>
        <v>133</v>
      </c>
      <c r="W15" s="81">
        <f t="shared" si="42"/>
        <v>91.714285714285708</v>
      </c>
      <c r="X15" s="74">
        <f t="shared" si="17"/>
        <v>303</v>
      </c>
      <c r="Y15" s="81">
        <f t="shared" si="43"/>
        <v>192.14285714285714</v>
      </c>
      <c r="Z15" s="74">
        <f t="shared" si="18"/>
        <v>109</v>
      </c>
      <c r="AA15" s="81">
        <f t="shared" si="44"/>
        <v>76.428571428571431</v>
      </c>
      <c r="AB15" s="83">
        <f t="shared" si="8"/>
        <v>0.48970037453183518</v>
      </c>
      <c r="AC15" s="83">
        <f t="shared" si="9"/>
        <v>0.12453183520599251</v>
      </c>
      <c r="AD15" s="83">
        <f t="shared" si="10"/>
        <v>0.28370786516853935</v>
      </c>
      <c r="AE15" s="84">
        <f t="shared" si="11"/>
        <v>0.10205992509363296</v>
      </c>
      <c r="AF15" s="83">
        <f t="shared" si="60"/>
        <v>0.52170518947186895</v>
      </c>
      <c r="AG15" s="83">
        <f t="shared" si="60"/>
        <v>0.12261581775711594</v>
      </c>
      <c r="AH15" s="83">
        <f t="shared" si="60"/>
        <v>0.25261273122420758</v>
      </c>
      <c r="AI15" s="84">
        <f t="shared" si="60"/>
        <v>0.10306626154680754</v>
      </c>
      <c r="AJ15" s="74">
        <v>355</v>
      </c>
      <c r="AK15" s="81">
        <f t="shared" si="44"/>
        <v>259.14285714285717</v>
      </c>
      <c r="AL15" s="74">
        <v>81</v>
      </c>
      <c r="AM15" s="81">
        <f t="shared" si="45"/>
        <v>52.571428571428569</v>
      </c>
      <c r="AN15" s="74">
        <v>248</v>
      </c>
      <c r="AO15" s="81">
        <f t="shared" si="46"/>
        <v>153.85714285714286</v>
      </c>
      <c r="AP15" s="74">
        <v>67</v>
      </c>
      <c r="AQ15" s="81">
        <f t="shared" si="47"/>
        <v>48.285714285714285</v>
      </c>
      <c r="AR15" s="74">
        <v>168</v>
      </c>
      <c r="AS15" s="81">
        <f t="shared" si="48"/>
        <v>131.57142857142858</v>
      </c>
      <c r="AT15" s="74">
        <v>52</v>
      </c>
      <c r="AU15" s="81">
        <f t="shared" si="49"/>
        <v>39.142857142857146</v>
      </c>
      <c r="AV15" s="74">
        <v>55</v>
      </c>
      <c r="AW15" s="81">
        <f t="shared" si="50"/>
        <v>38.285714285714285</v>
      </c>
      <c r="AX15" s="74">
        <v>42</v>
      </c>
      <c r="AY15" s="81">
        <f t="shared" si="51"/>
        <v>28.142857142857142</v>
      </c>
    </row>
    <row r="16" spans="1:51" x14ac:dyDescent="0.25">
      <c r="A16" s="85">
        <f t="shared" si="19"/>
        <v>45233</v>
      </c>
      <c r="B16" s="74">
        <f t="shared" si="12"/>
        <v>1384</v>
      </c>
      <c r="C16" s="81">
        <f t="shared" si="20"/>
        <v>1046.25</v>
      </c>
      <c r="D16" s="74">
        <v>819.12021861170047</v>
      </c>
      <c r="E16" s="81">
        <f t="shared" si="20"/>
        <v>658.85450816855064</v>
      </c>
      <c r="F16" s="74">
        <f t="shared" si="13"/>
        <v>4850</v>
      </c>
      <c r="G16" s="81">
        <f t="shared" ref="G16" si="82">AVERAGE(F13:F16)</f>
        <v>4410</v>
      </c>
      <c r="H16" s="74">
        <f t="shared" si="14"/>
        <v>467</v>
      </c>
      <c r="I16" s="81">
        <f t="shared" ref="I16" si="83">AVERAGE(H13:H16)</f>
        <v>326.5</v>
      </c>
      <c r="J16" s="74">
        <v>467</v>
      </c>
      <c r="K16" s="81">
        <f t="shared" ref="K16" si="84">AVERAGE(J13:J16)</f>
        <v>326.5</v>
      </c>
      <c r="L16" s="74">
        <v>0</v>
      </c>
      <c r="M16" s="81">
        <f t="shared" ref="M16" si="85">AVERAGE(L13:L16)</f>
        <v>0</v>
      </c>
      <c r="N16" s="74">
        <v>917</v>
      </c>
      <c r="O16" s="81">
        <f t="shared" ref="O16" si="86">AVERAGE(N13:N16)</f>
        <v>719.75</v>
      </c>
      <c r="P16" s="74">
        <v>353.39617487850052</v>
      </c>
      <c r="Q16" s="81">
        <f t="shared" ref="Q16" si="87">AVERAGE(P13:P16)</f>
        <v>333.2465846591507</v>
      </c>
      <c r="R16" s="74">
        <v>4383</v>
      </c>
      <c r="S16" s="81">
        <f t="shared" ref="S16" si="88">AVERAGE(R13:R16)</f>
        <v>4083.5</v>
      </c>
      <c r="T16" s="74">
        <f t="shared" si="15"/>
        <v>695</v>
      </c>
      <c r="U16" s="81">
        <f t="shared" si="59"/>
        <v>443.14285714285717</v>
      </c>
      <c r="V16" s="74">
        <f t="shared" si="16"/>
        <v>172</v>
      </c>
      <c r="W16" s="81">
        <f t="shared" si="42"/>
        <v>106</v>
      </c>
      <c r="X16" s="74">
        <f t="shared" si="17"/>
        <v>376</v>
      </c>
      <c r="Y16" s="81">
        <f t="shared" si="43"/>
        <v>226.57142857142858</v>
      </c>
      <c r="Z16" s="74">
        <f t="shared" si="18"/>
        <v>141</v>
      </c>
      <c r="AA16" s="81">
        <f t="shared" si="44"/>
        <v>87.571428571428569</v>
      </c>
      <c r="AB16" s="83">
        <f t="shared" si="8"/>
        <v>0.50216763005780352</v>
      </c>
      <c r="AC16" s="83">
        <f t="shared" si="9"/>
        <v>0.12427745664739884</v>
      </c>
      <c r="AD16" s="83">
        <f t="shared" si="10"/>
        <v>0.27167630057803466</v>
      </c>
      <c r="AE16" s="84">
        <f t="shared" si="11"/>
        <v>0.101878612716763</v>
      </c>
      <c r="AF16" s="83">
        <f t="shared" si="60"/>
        <v>0.51508699615475628</v>
      </c>
      <c r="AG16" s="83">
        <f t="shared" si="60"/>
        <v>0.12316954902208119</v>
      </c>
      <c r="AH16" s="83">
        <f t="shared" si="60"/>
        <v>0.25917327296946907</v>
      </c>
      <c r="AI16" s="84">
        <f t="shared" si="60"/>
        <v>0.10257018185369342</v>
      </c>
      <c r="AJ16" s="74">
        <v>451</v>
      </c>
      <c r="AK16" s="81">
        <f t="shared" si="44"/>
        <v>295.42857142857144</v>
      </c>
      <c r="AL16" s="74">
        <v>94</v>
      </c>
      <c r="AM16" s="81">
        <f t="shared" si="45"/>
        <v>61</v>
      </c>
      <c r="AN16" s="74">
        <v>278</v>
      </c>
      <c r="AO16" s="81">
        <f t="shared" si="46"/>
        <v>178</v>
      </c>
      <c r="AP16" s="74">
        <v>94</v>
      </c>
      <c r="AQ16" s="81">
        <f t="shared" si="47"/>
        <v>56.714285714285715</v>
      </c>
      <c r="AR16" s="74">
        <v>244</v>
      </c>
      <c r="AS16" s="81">
        <f t="shared" si="48"/>
        <v>147.71428571428572</v>
      </c>
      <c r="AT16" s="74">
        <v>78</v>
      </c>
      <c r="AU16" s="81">
        <f t="shared" si="49"/>
        <v>45</v>
      </c>
      <c r="AV16" s="74">
        <v>98</v>
      </c>
      <c r="AW16" s="81">
        <f t="shared" si="50"/>
        <v>48.571428571428569</v>
      </c>
      <c r="AX16" s="74">
        <v>47</v>
      </c>
      <c r="AY16" s="81">
        <f t="shared" si="51"/>
        <v>30.857142857142858</v>
      </c>
    </row>
    <row r="17" spans="1:51" x14ac:dyDescent="0.25">
      <c r="A17" s="85">
        <f t="shared" si="19"/>
        <v>45240</v>
      </c>
      <c r="B17" s="74">
        <f t="shared" si="12"/>
        <v>1181</v>
      </c>
      <c r="C17" s="81">
        <f t="shared" si="20"/>
        <v>1155.25</v>
      </c>
      <c r="D17" s="74">
        <v>694.67486348989974</v>
      </c>
      <c r="E17" s="81">
        <f t="shared" si="20"/>
        <v>698.66051913425031</v>
      </c>
      <c r="F17" s="74">
        <f t="shared" si="13"/>
        <v>4295</v>
      </c>
      <c r="G17" s="81">
        <f t="shared" ref="G17" si="89">AVERAGE(F14:F17)</f>
        <v>4512.25</v>
      </c>
      <c r="H17" s="74">
        <f t="shared" si="14"/>
        <v>386</v>
      </c>
      <c r="I17" s="81">
        <f t="shared" ref="I17" si="90">AVERAGE(H14:H17)</f>
        <v>363.75</v>
      </c>
      <c r="J17" s="74">
        <v>386</v>
      </c>
      <c r="K17" s="81">
        <f t="shared" ref="K17" si="91">AVERAGE(J14:J17)</f>
        <v>363.75</v>
      </c>
      <c r="L17" s="74">
        <v>0</v>
      </c>
      <c r="M17" s="81">
        <f t="shared" ref="M17" si="92">AVERAGE(L14:L17)</f>
        <v>0</v>
      </c>
      <c r="N17" s="74">
        <v>795</v>
      </c>
      <c r="O17" s="81">
        <f t="shared" ref="O17" si="93">AVERAGE(N14:N17)</f>
        <v>791.5</v>
      </c>
      <c r="P17" s="74">
        <v>309.72950828429992</v>
      </c>
      <c r="Q17" s="81">
        <f t="shared" ref="Q17" si="94">AVERAGE(P14:P17)</f>
        <v>335.90437157975055</v>
      </c>
      <c r="R17" s="74">
        <v>3909</v>
      </c>
      <c r="S17" s="81">
        <f t="shared" ref="S17" si="95">AVERAGE(R14:R17)</f>
        <v>4148.5</v>
      </c>
      <c r="T17" s="74">
        <f t="shared" si="15"/>
        <v>626</v>
      </c>
      <c r="U17" s="81">
        <f t="shared" si="59"/>
        <v>484.14285714285717</v>
      </c>
      <c r="V17" s="74">
        <f t="shared" si="16"/>
        <v>132</v>
      </c>
      <c r="W17" s="81">
        <f t="shared" si="42"/>
        <v>115</v>
      </c>
      <c r="X17" s="74">
        <f t="shared" si="17"/>
        <v>296</v>
      </c>
      <c r="Y17" s="81">
        <f t="shared" si="43"/>
        <v>245</v>
      </c>
      <c r="Z17" s="74">
        <f t="shared" si="18"/>
        <v>127</v>
      </c>
      <c r="AA17" s="81">
        <f t="shared" si="44"/>
        <v>94.857142857142861</v>
      </c>
      <c r="AB17" s="83">
        <f t="shared" si="8"/>
        <v>0.53005927180355628</v>
      </c>
      <c r="AC17" s="83">
        <f t="shared" si="9"/>
        <v>0.1117696867061812</v>
      </c>
      <c r="AD17" s="83">
        <f t="shared" si="10"/>
        <v>0.25063505503810329</v>
      </c>
      <c r="AE17" s="84">
        <f t="shared" si="11"/>
        <v>0.10753598645215919</v>
      </c>
      <c r="AF17" s="83">
        <f t="shared" si="60"/>
        <v>0.51641870252827293</v>
      </c>
      <c r="AG17" s="83">
        <f t="shared" si="60"/>
        <v>0.1239951066358016</v>
      </c>
      <c r="AH17" s="83">
        <f t="shared" si="60"/>
        <v>0.25833136400080664</v>
      </c>
      <c r="AI17" s="84">
        <f t="shared" si="60"/>
        <v>0.10125482683511884</v>
      </c>
      <c r="AJ17" s="74">
        <v>406</v>
      </c>
      <c r="AK17" s="81">
        <f t="shared" si="44"/>
        <v>322.57142857142856</v>
      </c>
      <c r="AL17" s="74">
        <v>72</v>
      </c>
      <c r="AM17" s="81">
        <f t="shared" si="45"/>
        <v>67</v>
      </c>
      <c r="AN17" s="74">
        <v>239</v>
      </c>
      <c r="AO17" s="81">
        <f t="shared" si="46"/>
        <v>192.71428571428572</v>
      </c>
      <c r="AP17" s="74">
        <v>78</v>
      </c>
      <c r="AQ17" s="81">
        <f t="shared" si="47"/>
        <v>61.142857142857146</v>
      </c>
      <c r="AR17" s="74">
        <v>220</v>
      </c>
      <c r="AS17" s="81">
        <f t="shared" si="48"/>
        <v>161.57142857142858</v>
      </c>
      <c r="AT17" s="74">
        <v>60</v>
      </c>
      <c r="AU17" s="81">
        <f t="shared" si="49"/>
        <v>48</v>
      </c>
      <c r="AV17" s="74">
        <v>57</v>
      </c>
      <c r="AW17" s="81">
        <f t="shared" si="50"/>
        <v>52.285714285714285</v>
      </c>
      <c r="AX17" s="74">
        <v>49</v>
      </c>
      <c r="AY17" s="81">
        <f t="shared" si="51"/>
        <v>33.714285714285715</v>
      </c>
    </row>
    <row r="18" spans="1:51" x14ac:dyDescent="0.25">
      <c r="A18" s="85">
        <f t="shared" si="19"/>
        <v>45247</v>
      </c>
      <c r="B18" s="74">
        <f t="shared" si="12"/>
        <v>1256</v>
      </c>
      <c r="C18" s="81">
        <f t="shared" si="20"/>
        <v>1222.25</v>
      </c>
      <c r="D18" s="74">
        <v>753.86612032719984</v>
      </c>
      <c r="E18" s="81">
        <f t="shared" si="20"/>
        <v>731.85040988430035</v>
      </c>
      <c r="F18" s="74">
        <f t="shared" si="13"/>
        <v>4567</v>
      </c>
      <c r="G18" s="81">
        <f t="shared" ref="G18" si="96">AVERAGE(F15:F18)</f>
        <v>4555.25</v>
      </c>
      <c r="H18" s="74">
        <f t="shared" si="14"/>
        <v>427</v>
      </c>
      <c r="I18" s="81">
        <f t="shared" ref="I18" si="97">AVERAGE(H15:H18)</f>
        <v>399.25</v>
      </c>
      <c r="J18" s="74">
        <v>427</v>
      </c>
      <c r="K18" s="81">
        <f t="shared" ref="K18" si="98">AVERAGE(J15:J18)</f>
        <v>399.25</v>
      </c>
      <c r="L18" s="74">
        <v>0</v>
      </c>
      <c r="M18" s="81">
        <f t="shared" ref="M18" si="99">AVERAGE(L15:L18)</f>
        <v>0</v>
      </c>
      <c r="N18" s="74">
        <v>829</v>
      </c>
      <c r="O18" s="81">
        <f t="shared" ref="O18" si="100">AVERAGE(N15:N18)</f>
        <v>823</v>
      </c>
      <c r="P18" s="74">
        <v>328.03278697799982</v>
      </c>
      <c r="Q18" s="81">
        <f t="shared" ref="Q18" si="101">AVERAGE(P15:P18)</f>
        <v>333.69125686400031</v>
      </c>
      <c r="R18" s="74">
        <v>4140</v>
      </c>
      <c r="S18" s="81">
        <f t="shared" ref="S18" si="102">AVERAGE(R15:R18)</f>
        <v>4156</v>
      </c>
      <c r="T18" s="74">
        <f t="shared" si="15"/>
        <v>679</v>
      </c>
      <c r="U18" s="81">
        <f t="shared" si="59"/>
        <v>532.71428571428567</v>
      </c>
      <c r="V18" s="74">
        <f t="shared" si="16"/>
        <v>165</v>
      </c>
      <c r="W18" s="81">
        <f t="shared" si="42"/>
        <v>126.71428571428571</v>
      </c>
      <c r="X18" s="74">
        <f t="shared" si="17"/>
        <v>291</v>
      </c>
      <c r="Y18" s="81">
        <f t="shared" si="43"/>
        <v>266.14285714285717</v>
      </c>
      <c r="Z18" s="74">
        <f t="shared" si="18"/>
        <v>121</v>
      </c>
      <c r="AA18" s="81">
        <f t="shared" si="44"/>
        <v>102</v>
      </c>
      <c r="AB18" s="83">
        <f t="shared" si="8"/>
        <v>0.54060509554140124</v>
      </c>
      <c r="AC18" s="83">
        <f t="shared" si="9"/>
        <v>0.13136942675159236</v>
      </c>
      <c r="AD18" s="83">
        <f t="shared" si="10"/>
        <v>0.23168789808917198</v>
      </c>
      <c r="AE18" s="84">
        <f t="shared" si="11"/>
        <v>9.6337579617834401E-2</v>
      </c>
      <c r="AF18" s="83">
        <f t="shared" si="60"/>
        <v>0.51750244933068335</v>
      </c>
      <c r="AG18" s="83">
        <f t="shared" si="60"/>
        <v>0.12411886122115935</v>
      </c>
      <c r="AH18" s="83">
        <f t="shared" si="60"/>
        <v>0.25930923982846016</v>
      </c>
      <c r="AI18" s="84">
        <f t="shared" si="60"/>
        <v>9.9069449619697172E-2</v>
      </c>
      <c r="AJ18" s="74">
        <v>441</v>
      </c>
      <c r="AK18" s="81">
        <f t="shared" si="44"/>
        <v>352.42857142857144</v>
      </c>
      <c r="AL18" s="74">
        <v>90</v>
      </c>
      <c r="AM18" s="81">
        <f t="shared" si="45"/>
        <v>73.857142857142861</v>
      </c>
      <c r="AN18" s="74">
        <v>223</v>
      </c>
      <c r="AO18" s="81">
        <f t="shared" si="46"/>
        <v>208.28571428571428</v>
      </c>
      <c r="AP18" s="74">
        <v>75</v>
      </c>
      <c r="AQ18" s="81">
        <f t="shared" si="47"/>
        <v>65.571428571428569</v>
      </c>
      <c r="AR18" s="74">
        <v>238</v>
      </c>
      <c r="AS18" s="81">
        <f t="shared" si="48"/>
        <v>180.28571428571428</v>
      </c>
      <c r="AT18" s="74">
        <v>75</v>
      </c>
      <c r="AU18" s="81">
        <f t="shared" si="49"/>
        <v>52.857142857142854</v>
      </c>
      <c r="AV18" s="74">
        <v>68</v>
      </c>
      <c r="AW18" s="81">
        <f t="shared" si="50"/>
        <v>57.857142857142854</v>
      </c>
      <c r="AX18" s="74">
        <v>46</v>
      </c>
      <c r="AY18" s="81">
        <f t="shared" si="51"/>
        <v>36.428571428571431</v>
      </c>
    </row>
    <row r="19" spans="1:51" x14ac:dyDescent="0.25">
      <c r="A19" s="85">
        <f t="shared" si="19"/>
        <v>45254</v>
      </c>
      <c r="B19" s="74">
        <f t="shared" si="12"/>
        <v>1180</v>
      </c>
      <c r="C19" s="81">
        <f t="shared" si="20"/>
        <v>1250.25</v>
      </c>
      <c r="D19" s="74">
        <v>816.67213126069998</v>
      </c>
      <c r="E19" s="81">
        <f t="shared" si="20"/>
        <v>771.08333342237506</v>
      </c>
      <c r="F19" s="74">
        <f t="shared" si="13"/>
        <v>4734</v>
      </c>
      <c r="G19" s="81">
        <f t="shared" ref="G19" si="103">AVERAGE(F16:F19)</f>
        <v>4611.5</v>
      </c>
      <c r="H19" s="74">
        <f t="shared" si="14"/>
        <v>481</v>
      </c>
      <c r="I19" s="81">
        <f t="shared" ref="I19" si="104">AVERAGE(H16:H19)</f>
        <v>440.25</v>
      </c>
      <c r="J19" s="74">
        <v>481</v>
      </c>
      <c r="K19" s="81">
        <f t="shared" ref="K19" si="105">AVERAGE(J16:J19)</f>
        <v>440.25</v>
      </c>
      <c r="L19" s="74">
        <v>0</v>
      </c>
      <c r="M19" s="81">
        <f t="shared" ref="M19" si="106">AVERAGE(L16:L19)</f>
        <v>0</v>
      </c>
      <c r="N19" s="74">
        <v>699</v>
      </c>
      <c r="O19" s="81">
        <f t="shared" ref="O19" si="107">AVERAGE(N16:N19)</f>
        <v>810</v>
      </c>
      <c r="P19" s="74">
        <v>336.98633889309991</v>
      </c>
      <c r="Q19" s="81">
        <f t="shared" ref="Q19" si="108">AVERAGE(P16:P19)</f>
        <v>332.03620225847504</v>
      </c>
      <c r="R19" s="74">
        <v>4253</v>
      </c>
      <c r="S19" s="81">
        <f t="shared" ref="S19" si="109">AVERAGE(R16:R19)</f>
        <v>4171.25</v>
      </c>
      <c r="T19" s="74">
        <f t="shared" si="15"/>
        <v>635</v>
      </c>
      <c r="U19" s="81">
        <f t="shared" si="59"/>
        <v>582.85714285714289</v>
      </c>
      <c r="V19" s="74">
        <f t="shared" si="16"/>
        <v>172</v>
      </c>
      <c r="W19" s="81">
        <f t="shared" si="42"/>
        <v>139.42857142857142</v>
      </c>
      <c r="X19" s="74">
        <f t="shared" si="17"/>
        <v>256</v>
      </c>
      <c r="Y19" s="81">
        <f t="shared" si="43"/>
        <v>282</v>
      </c>
      <c r="Z19" s="74">
        <f t="shared" si="18"/>
        <v>117</v>
      </c>
      <c r="AA19" s="81">
        <f t="shared" si="44"/>
        <v>110.28571428571429</v>
      </c>
      <c r="AB19" s="83">
        <f t="shared" si="8"/>
        <v>0.53813559322033899</v>
      </c>
      <c r="AC19" s="83">
        <f t="shared" si="9"/>
        <v>0.14576271186440679</v>
      </c>
      <c r="AD19" s="83">
        <f t="shared" si="10"/>
        <v>0.21694915254237288</v>
      </c>
      <c r="AE19" s="84">
        <f t="shared" si="11"/>
        <v>9.9152542372881361E-2</v>
      </c>
      <c r="AF19" s="83">
        <f t="shared" si="60"/>
        <v>0.52332567268039898</v>
      </c>
      <c r="AG19" s="83">
        <f t="shared" si="60"/>
        <v>0.124176531592582</v>
      </c>
      <c r="AH19" s="83">
        <f t="shared" si="60"/>
        <v>0.2540247680000125</v>
      </c>
      <c r="AI19" s="84">
        <f t="shared" si="60"/>
        <v>9.8473027727006474E-2</v>
      </c>
      <c r="AJ19" s="74">
        <v>363</v>
      </c>
      <c r="AK19" s="81">
        <f t="shared" si="44"/>
        <v>376.85714285714283</v>
      </c>
      <c r="AL19" s="74">
        <v>80</v>
      </c>
      <c r="AM19" s="81">
        <f t="shared" si="45"/>
        <v>78</v>
      </c>
      <c r="AN19" s="74">
        <v>186</v>
      </c>
      <c r="AO19" s="81">
        <f t="shared" si="46"/>
        <v>218.42857142857142</v>
      </c>
      <c r="AP19" s="74">
        <v>70</v>
      </c>
      <c r="AQ19" s="81">
        <f t="shared" si="47"/>
        <v>69.857142857142861</v>
      </c>
      <c r="AR19" s="74">
        <v>272</v>
      </c>
      <c r="AS19" s="81">
        <f t="shared" si="48"/>
        <v>206</v>
      </c>
      <c r="AT19" s="74">
        <v>92</v>
      </c>
      <c r="AU19" s="81">
        <f t="shared" si="49"/>
        <v>61.428571428571431</v>
      </c>
      <c r="AV19" s="74">
        <v>70</v>
      </c>
      <c r="AW19" s="81">
        <f t="shared" si="50"/>
        <v>63.571428571428569</v>
      </c>
      <c r="AX19" s="74">
        <v>47</v>
      </c>
      <c r="AY19" s="81">
        <f t="shared" si="51"/>
        <v>40.428571428571431</v>
      </c>
    </row>
    <row r="20" spans="1:51" x14ac:dyDescent="0.25">
      <c r="A20" s="85">
        <f t="shared" si="19"/>
        <v>45261</v>
      </c>
      <c r="B20" s="74">
        <f t="shared" si="12"/>
        <v>1496</v>
      </c>
      <c r="C20" s="81">
        <f t="shared" si="20"/>
        <v>1278.25</v>
      </c>
      <c r="D20" s="74">
        <v>1018.0327869881003</v>
      </c>
      <c r="E20" s="81">
        <f t="shared" si="20"/>
        <v>820.81147551647496</v>
      </c>
      <c r="F20" s="74">
        <f t="shared" si="13"/>
        <v>6021</v>
      </c>
      <c r="G20" s="81">
        <f t="shared" ref="G20" si="110">AVERAGE(F17:F20)</f>
        <v>4904.25</v>
      </c>
      <c r="H20" s="74">
        <f t="shared" si="14"/>
        <v>586</v>
      </c>
      <c r="I20" s="81">
        <f t="shared" ref="I20" si="111">AVERAGE(H17:H20)</f>
        <v>470</v>
      </c>
      <c r="J20" s="74">
        <v>586</v>
      </c>
      <c r="K20" s="81">
        <f t="shared" ref="K20" si="112">AVERAGE(J17:J20)</f>
        <v>470</v>
      </c>
      <c r="L20" s="74">
        <v>0</v>
      </c>
      <c r="M20" s="81">
        <f t="shared" ref="M20" si="113">AVERAGE(L17:L20)</f>
        <v>0</v>
      </c>
      <c r="N20" s="74">
        <v>910</v>
      </c>
      <c r="O20" s="81">
        <f t="shared" ref="O20" si="114">AVERAGE(N17:N20)</f>
        <v>808.25</v>
      </c>
      <c r="P20" s="74">
        <v>433.63387986250035</v>
      </c>
      <c r="Q20" s="81">
        <f t="shared" ref="Q20" si="115">AVERAGE(P17:P20)</f>
        <v>352.09562850447503</v>
      </c>
      <c r="R20" s="74">
        <v>5435</v>
      </c>
      <c r="S20" s="81">
        <f t="shared" ref="S20" si="116">AVERAGE(R17:R20)</f>
        <v>4434.25</v>
      </c>
      <c r="T20" s="74">
        <f t="shared" si="15"/>
        <v>794</v>
      </c>
      <c r="U20" s="81">
        <f t="shared" si="59"/>
        <v>640.28571428571433</v>
      </c>
      <c r="V20" s="74">
        <f t="shared" si="16"/>
        <v>209</v>
      </c>
      <c r="W20" s="81">
        <f t="shared" si="42"/>
        <v>157.57142857142858</v>
      </c>
      <c r="X20" s="74">
        <f t="shared" si="17"/>
        <v>333</v>
      </c>
      <c r="Y20" s="81">
        <f t="shared" si="43"/>
        <v>301</v>
      </c>
      <c r="Z20" s="74">
        <f t="shared" si="18"/>
        <v>160</v>
      </c>
      <c r="AA20" s="81">
        <f t="shared" si="44"/>
        <v>123</v>
      </c>
      <c r="AB20" s="83">
        <f t="shared" si="8"/>
        <v>0.53074866310160429</v>
      </c>
      <c r="AC20" s="83">
        <f t="shared" si="9"/>
        <v>0.13970588235294118</v>
      </c>
      <c r="AD20" s="83">
        <f t="shared" si="10"/>
        <v>0.22259358288770054</v>
      </c>
      <c r="AE20" s="84">
        <f t="shared" si="11"/>
        <v>0.10695187165775401</v>
      </c>
      <c r="AF20" s="83">
        <f t="shared" si="60"/>
        <v>0.52397912503144317</v>
      </c>
      <c r="AG20" s="83">
        <f t="shared" si="60"/>
        <v>0.12841064134386507</v>
      </c>
      <c r="AH20" s="83">
        <f t="shared" si="60"/>
        <v>0.24747294043555171</v>
      </c>
      <c r="AI20" s="84">
        <f t="shared" si="60"/>
        <v>0.10013729318914007</v>
      </c>
      <c r="AJ20" s="74">
        <v>468</v>
      </c>
      <c r="AK20" s="81">
        <f t="shared" si="44"/>
        <v>405.57142857142856</v>
      </c>
      <c r="AL20" s="74">
        <v>95</v>
      </c>
      <c r="AM20" s="81">
        <f t="shared" si="45"/>
        <v>84.714285714285708</v>
      </c>
      <c r="AN20" s="74">
        <v>249</v>
      </c>
      <c r="AO20" s="81">
        <f t="shared" si="46"/>
        <v>232.85714285714286</v>
      </c>
      <c r="AP20" s="74">
        <v>98</v>
      </c>
      <c r="AQ20" s="81">
        <f t="shared" si="47"/>
        <v>77.428571428571431</v>
      </c>
      <c r="AR20" s="74">
        <v>326</v>
      </c>
      <c r="AS20" s="81">
        <f t="shared" si="48"/>
        <v>234.71428571428572</v>
      </c>
      <c r="AT20" s="74">
        <v>114</v>
      </c>
      <c r="AU20" s="81">
        <f t="shared" si="49"/>
        <v>72.857142857142861</v>
      </c>
      <c r="AV20" s="74">
        <v>84</v>
      </c>
      <c r="AW20" s="81">
        <f t="shared" si="50"/>
        <v>68.142857142857139</v>
      </c>
      <c r="AX20" s="74">
        <v>62</v>
      </c>
      <c r="AY20" s="81">
        <f t="shared" si="51"/>
        <v>45.571428571428569</v>
      </c>
    </row>
    <row r="21" spans="1:51" x14ac:dyDescent="0.25">
      <c r="A21" s="85">
        <f t="shared" si="19"/>
        <v>45268</v>
      </c>
      <c r="B21" s="74">
        <f t="shared" si="12"/>
        <v>1115</v>
      </c>
      <c r="C21" s="81">
        <f t="shared" si="20"/>
        <v>1261.75</v>
      </c>
      <c r="D21" s="74">
        <v>731.74863383430022</v>
      </c>
      <c r="E21" s="81">
        <f t="shared" si="20"/>
        <v>830.07991810257511</v>
      </c>
      <c r="F21" s="74">
        <f t="shared" si="13"/>
        <v>4483</v>
      </c>
      <c r="G21" s="81">
        <f t="shared" ref="G21" si="117">AVERAGE(F18:F21)</f>
        <v>4951.25</v>
      </c>
      <c r="H21" s="74">
        <f t="shared" si="14"/>
        <v>398</v>
      </c>
      <c r="I21" s="81">
        <f t="shared" ref="I21" si="118">AVERAGE(H18:H21)</f>
        <v>473</v>
      </c>
      <c r="J21" s="74">
        <v>398</v>
      </c>
      <c r="K21" s="81">
        <f t="shared" ref="K21" si="119">AVERAGE(J18:J21)</f>
        <v>473</v>
      </c>
      <c r="L21" s="74">
        <v>0</v>
      </c>
      <c r="M21" s="81">
        <f t="shared" ref="M21" si="120">AVERAGE(L18:L21)</f>
        <v>0</v>
      </c>
      <c r="N21" s="74">
        <v>717</v>
      </c>
      <c r="O21" s="81">
        <f t="shared" ref="O21" si="121">AVERAGE(N18:N21)</f>
        <v>788.75</v>
      </c>
      <c r="P21" s="74">
        <v>334.83606551350016</v>
      </c>
      <c r="Q21" s="81">
        <f t="shared" ref="Q21" si="122">AVERAGE(P18:P21)</f>
        <v>358.37226781177509</v>
      </c>
      <c r="R21" s="74">
        <v>4085</v>
      </c>
      <c r="S21" s="81">
        <f t="shared" ref="S21" si="123">AVERAGE(R18:R21)</f>
        <v>4478.25</v>
      </c>
      <c r="T21" s="74">
        <f t="shared" si="15"/>
        <v>588</v>
      </c>
      <c r="U21" s="81">
        <f t="shared" si="59"/>
        <v>648.57142857142856</v>
      </c>
      <c r="V21" s="74">
        <f t="shared" si="16"/>
        <v>157</v>
      </c>
      <c r="W21" s="81">
        <f t="shared" si="42"/>
        <v>162.85714285714286</v>
      </c>
      <c r="X21" s="74">
        <f t="shared" si="17"/>
        <v>250</v>
      </c>
      <c r="Y21" s="81">
        <f t="shared" si="43"/>
        <v>300.71428571428572</v>
      </c>
      <c r="Z21" s="74">
        <f t="shared" si="18"/>
        <v>120</v>
      </c>
      <c r="AA21" s="81">
        <f t="shared" si="44"/>
        <v>127.85714285714286</v>
      </c>
      <c r="AB21" s="83">
        <f t="shared" si="8"/>
        <v>0.52735426008968611</v>
      </c>
      <c r="AC21" s="83">
        <f t="shared" si="9"/>
        <v>0.14080717488789238</v>
      </c>
      <c r="AD21" s="83">
        <f t="shared" si="10"/>
        <v>0.22421524663677131</v>
      </c>
      <c r="AE21" s="84">
        <f t="shared" si="11"/>
        <v>0.10762331838565023</v>
      </c>
      <c r="AF21" s="83">
        <f t="shared" si="60"/>
        <v>0.52268155547803219</v>
      </c>
      <c r="AG21" s="83">
        <f t="shared" si="60"/>
        <v>0.13117488205948649</v>
      </c>
      <c r="AH21" s="83">
        <f t="shared" si="60"/>
        <v>0.24306644299152769</v>
      </c>
      <c r="AI21" s="84">
        <f t="shared" si="60"/>
        <v>0.10307711947095358</v>
      </c>
      <c r="AJ21" s="74">
        <v>350</v>
      </c>
      <c r="AK21" s="81">
        <f t="shared" si="44"/>
        <v>404.85714285714283</v>
      </c>
      <c r="AL21" s="74">
        <v>84</v>
      </c>
      <c r="AM21" s="81">
        <f t="shared" si="45"/>
        <v>85.142857142857139</v>
      </c>
      <c r="AN21" s="74">
        <v>203</v>
      </c>
      <c r="AO21" s="81">
        <f t="shared" si="46"/>
        <v>232.28571428571428</v>
      </c>
      <c r="AP21" s="74">
        <v>80</v>
      </c>
      <c r="AQ21" s="81">
        <f t="shared" si="47"/>
        <v>80.285714285714292</v>
      </c>
      <c r="AR21" s="74">
        <v>238</v>
      </c>
      <c r="AS21" s="81">
        <f t="shared" si="48"/>
        <v>243.71428571428572</v>
      </c>
      <c r="AT21" s="74">
        <v>73</v>
      </c>
      <c r="AU21" s="81">
        <f t="shared" si="49"/>
        <v>77.714285714285708</v>
      </c>
      <c r="AV21" s="74">
        <v>47</v>
      </c>
      <c r="AW21" s="81">
        <f t="shared" si="50"/>
        <v>68.428571428571431</v>
      </c>
      <c r="AX21" s="74">
        <v>40</v>
      </c>
      <c r="AY21" s="81">
        <f t="shared" si="51"/>
        <v>47.571428571428569</v>
      </c>
    </row>
    <row r="22" spans="1:51" x14ac:dyDescent="0.25">
      <c r="A22" s="85">
        <f t="shared" si="19"/>
        <v>45275</v>
      </c>
      <c r="B22" s="74">
        <f t="shared" si="12"/>
        <v>1149</v>
      </c>
      <c r="C22" s="81">
        <f t="shared" si="20"/>
        <v>1235</v>
      </c>
      <c r="D22" s="74">
        <v>799.49453547120038</v>
      </c>
      <c r="E22" s="81">
        <f t="shared" si="20"/>
        <v>841.48702188857521</v>
      </c>
      <c r="F22" s="74">
        <f t="shared" si="13"/>
        <v>4807</v>
      </c>
      <c r="G22" s="81">
        <f t="shared" ref="G22" si="124">AVERAGE(F19:F22)</f>
        <v>5011.25</v>
      </c>
      <c r="H22" s="74">
        <f t="shared" si="14"/>
        <v>443</v>
      </c>
      <c r="I22" s="81">
        <f t="shared" ref="I22" si="125">AVERAGE(H19:H22)</f>
        <v>477</v>
      </c>
      <c r="J22" s="74">
        <v>443</v>
      </c>
      <c r="K22" s="81">
        <f t="shared" ref="K22" si="126">AVERAGE(J19:J22)</f>
        <v>477</v>
      </c>
      <c r="L22" s="74">
        <v>0</v>
      </c>
      <c r="M22" s="81">
        <f t="shared" ref="M22" si="127">AVERAGE(L19:L22)</f>
        <v>0</v>
      </c>
      <c r="N22" s="74">
        <v>706</v>
      </c>
      <c r="O22" s="81">
        <f t="shared" ref="O22" si="128">AVERAGE(N19:N22)</f>
        <v>758</v>
      </c>
      <c r="P22" s="74">
        <v>357.70491796840048</v>
      </c>
      <c r="Q22" s="81">
        <f t="shared" ref="Q22" si="129">AVERAGE(P19:P22)</f>
        <v>365.79030055937523</v>
      </c>
      <c r="R22" s="74">
        <v>4364</v>
      </c>
      <c r="S22" s="81">
        <f t="shared" ref="S22" si="130">AVERAGE(R19:R22)</f>
        <v>4534.25</v>
      </c>
      <c r="T22" s="74">
        <f t="shared" si="15"/>
        <v>587</v>
      </c>
      <c r="U22" s="81">
        <f t="shared" si="59"/>
        <v>657.71428571428567</v>
      </c>
      <c r="V22" s="74">
        <f t="shared" si="16"/>
        <v>173</v>
      </c>
      <c r="W22" s="81">
        <f t="shared" si="42"/>
        <v>168.57142857142858</v>
      </c>
      <c r="X22" s="74">
        <f t="shared" si="17"/>
        <v>283</v>
      </c>
      <c r="Y22" s="81">
        <f t="shared" si="43"/>
        <v>297.85714285714283</v>
      </c>
      <c r="Z22" s="74">
        <f t="shared" si="18"/>
        <v>106</v>
      </c>
      <c r="AA22" s="81">
        <f t="shared" si="44"/>
        <v>127.42857142857143</v>
      </c>
      <c r="AB22" s="83">
        <f t="shared" si="8"/>
        <v>0.51087902523933859</v>
      </c>
      <c r="AC22" s="83">
        <f t="shared" si="9"/>
        <v>0.15056570931244562</v>
      </c>
      <c r="AD22" s="83">
        <f t="shared" si="10"/>
        <v>0.24630113141862489</v>
      </c>
      <c r="AE22" s="84">
        <f t="shared" si="11"/>
        <v>9.2254134029590942E-2</v>
      </c>
      <c r="AF22" s="83">
        <f t="shared" si="60"/>
        <v>0.5257070770076756</v>
      </c>
      <c r="AG22" s="83">
        <f t="shared" si="60"/>
        <v>0.13489400693183692</v>
      </c>
      <c r="AH22" s="83">
        <f t="shared" si="60"/>
        <v>0.23772262388439708</v>
      </c>
      <c r="AI22" s="84">
        <f t="shared" si="60"/>
        <v>0.10167629217609044</v>
      </c>
      <c r="AJ22" s="74">
        <v>353</v>
      </c>
      <c r="AK22" s="81">
        <f t="shared" si="44"/>
        <v>404.57142857142856</v>
      </c>
      <c r="AL22" s="74">
        <v>87</v>
      </c>
      <c r="AM22" s="81">
        <f t="shared" si="45"/>
        <v>86</v>
      </c>
      <c r="AN22" s="74">
        <v>212</v>
      </c>
      <c r="AO22" s="81">
        <f t="shared" si="46"/>
        <v>227.14285714285714</v>
      </c>
      <c r="AP22" s="74">
        <v>54</v>
      </c>
      <c r="AQ22" s="81">
        <f t="shared" si="47"/>
        <v>78.428571428571431</v>
      </c>
      <c r="AR22" s="74">
        <v>234</v>
      </c>
      <c r="AS22" s="81">
        <f t="shared" si="48"/>
        <v>253.14285714285714</v>
      </c>
      <c r="AT22" s="74">
        <v>86</v>
      </c>
      <c r="AU22" s="81">
        <f t="shared" si="49"/>
        <v>82.571428571428569</v>
      </c>
      <c r="AV22" s="74">
        <v>71</v>
      </c>
      <c r="AW22" s="81">
        <f t="shared" si="50"/>
        <v>70.714285714285708</v>
      </c>
      <c r="AX22" s="74">
        <v>52</v>
      </c>
      <c r="AY22" s="81">
        <f t="shared" si="51"/>
        <v>49</v>
      </c>
    </row>
    <row r="23" spans="1:51" x14ac:dyDescent="0.25">
      <c r="A23" s="85">
        <f t="shared" si="19"/>
        <v>45282</v>
      </c>
      <c r="B23" s="74">
        <f t="shared" si="12"/>
        <v>1151</v>
      </c>
      <c r="C23" s="81">
        <f t="shared" si="20"/>
        <v>1227.75</v>
      </c>
      <c r="D23" s="74">
        <v>801.53005459500059</v>
      </c>
      <c r="E23" s="81">
        <f t="shared" si="20"/>
        <v>837.70150272215028</v>
      </c>
      <c r="F23" s="74">
        <f t="shared" si="13"/>
        <v>4910</v>
      </c>
      <c r="G23" s="81">
        <f t="shared" ref="G23" si="131">AVERAGE(F20:F23)</f>
        <v>5055.25</v>
      </c>
      <c r="H23" s="74">
        <f t="shared" si="14"/>
        <v>436</v>
      </c>
      <c r="I23" s="81">
        <f t="shared" ref="I23" si="132">AVERAGE(H20:H23)</f>
        <v>465.75</v>
      </c>
      <c r="J23" s="74">
        <v>436</v>
      </c>
      <c r="K23" s="81">
        <f t="shared" ref="K23" si="133">AVERAGE(J20:J23)</f>
        <v>465.75</v>
      </c>
      <c r="L23" s="74">
        <v>0</v>
      </c>
      <c r="M23" s="81">
        <f t="shared" ref="M23" si="134">AVERAGE(L20:L23)</f>
        <v>0</v>
      </c>
      <c r="N23" s="74">
        <v>715</v>
      </c>
      <c r="O23" s="81">
        <f t="shared" ref="O23" si="135">AVERAGE(N20:N23)</f>
        <v>762</v>
      </c>
      <c r="P23" s="74">
        <v>366.72131140940064</v>
      </c>
      <c r="Q23" s="81">
        <f t="shared" ref="Q23" si="136">AVERAGE(P20:P23)</f>
        <v>373.22404368845042</v>
      </c>
      <c r="R23" s="74">
        <v>4474</v>
      </c>
      <c r="S23" s="81">
        <f t="shared" ref="S23" si="137">AVERAGE(R20:R23)</f>
        <v>4589.5</v>
      </c>
      <c r="T23" s="74">
        <f t="shared" si="15"/>
        <v>655</v>
      </c>
      <c r="U23" s="81">
        <f t="shared" si="59"/>
        <v>652</v>
      </c>
      <c r="V23" s="74">
        <f t="shared" si="16"/>
        <v>133</v>
      </c>
      <c r="W23" s="81">
        <f t="shared" si="42"/>
        <v>163</v>
      </c>
      <c r="X23" s="74">
        <f t="shared" si="17"/>
        <v>240</v>
      </c>
      <c r="Y23" s="81">
        <f t="shared" si="43"/>
        <v>278.42857142857144</v>
      </c>
      <c r="Z23" s="74">
        <f t="shared" si="18"/>
        <v>123</v>
      </c>
      <c r="AA23" s="81">
        <f t="shared" si="44"/>
        <v>124.85714285714286</v>
      </c>
      <c r="AB23" s="83">
        <f t="shared" si="8"/>
        <v>0.56907037358818424</v>
      </c>
      <c r="AC23" s="83">
        <f t="shared" si="9"/>
        <v>0.1155516941789748</v>
      </c>
      <c r="AD23" s="83">
        <f t="shared" si="10"/>
        <v>0.20851433536055602</v>
      </c>
      <c r="AE23" s="84">
        <f t="shared" si="11"/>
        <v>0.10686359687228497</v>
      </c>
      <c r="AF23" s="83">
        <f t="shared" si="60"/>
        <v>0.53526461179772999</v>
      </c>
      <c r="AG23" s="83">
        <f t="shared" si="60"/>
        <v>0.13364746943634775</v>
      </c>
      <c r="AH23" s="83">
        <f t="shared" si="60"/>
        <v>0.22869948599618586</v>
      </c>
      <c r="AI23" s="84">
        <f t="shared" si="60"/>
        <v>0.10238843276973643</v>
      </c>
      <c r="AJ23" s="74">
        <v>400</v>
      </c>
      <c r="AK23" s="81">
        <f t="shared" si="44"/>
        <v>397.28571428571428</v>
      </c>
      <c r="AL23" s="74">
        <v>69</v>
      </c>
      <c r="AM23" s="81">
        <f t="shared" si="45"/>
        <v>82.428571428571431</v>
      </c>
      <c r="AN23" s="74">
        <v>170</v>
      </c>
      <c r="AO23" s="81">
        <f t="shared" si="46"/>
        <v>211.71428571428572</v>
      </c>
      <c r="AP23" s="74">
        <v>76</v>
      </c>
      <c r="AQ23" s="81">
        <f t="shared" si="47"/>
        <v>75.857142857142861</v>
      </c>
      <c r="AR23" s="74">
        <v>255</v>
      </c>
      <c r="AS23" s="81">
        <f t="shared" si="48"/>
        <v>254.71428571428572</v>
      </c>
      <c r="AT23" s="74">
        <v>64</v>
      </c>
      <c r="AU23" s="81">
        <f t="shared" si="49"/>
        <v>80.571428571428569</v>
      </c>
      <c r="AV23" s="74">
        <v>70</v>
      </c>
      <c r="AW23" s="81">
        <f t="shared" si="50"/>
        <v>66.714285714285708</v>
      </c>
      <c r="AX23" s="74">
        <v>47</v>
      </c>
      <c r="AY23" s="81">
        <f t="shared" si="51"/>
        <v>49</v>
      </c>
    </row>
    <row r="24" spans="1:51" x14ac:dyDescent="0.25">
      <c r="A24" s="85">
        <f t="shared" si="19"/>
        <v>45289</v>
      </c>
      <c r="B24" s="74">
        <f t="shared" si="12"/>
        <v>886</v>
      </c>
      <c r="C24" s="81">
        <f t="shared" si="20"/>
        <v>1075.25</v>
      </c>
      <c r="D24" s="74">
        <v>704.98633874220081</v>
      </c>
      <c r="E24" s="81">
        <f t="shared" si="20"/>
        <v>759.43989066067547</v>
      </c>
      <c r="F24" s="74">
        <f t="shared" si="13"/>
        <v>4927</v>
      </c>
      <c r="G24" s="81">
        <f t="shared" ref="G24" si="138">AVERAGE(F21:F24)</f>
        <v>4781.75</v>
      </c>
      <c r="H24" s="74">
        <f t="shared" si="14"/>
        <v>329</v>
      </c>
      <c r="I24" s="81">
        <f t="shared" ref="I24" si="139">AVERAGE(H21:H24)</f>
        <v>401.5</v>
      </c>
      <c r="J24" s="74">
        <v>329</v>
      </c>
      <c r="K24" s="81">
        <f t="shared" ref="K24" si="140">AVERAGE(J21:J24)</f>
        <v>401.5</v>
      </c>
      <c r="L24" s="74">
        <v>0</v>
      </c>
      <c r="M24" s="81">
        <f t="shared" ref="M24" si="141">AVERAGE(L21:L24)</f>
        <v>0</v>
      </c>
      <c r="N24" s="74">
        <v>557</v>
      </c>
      <c r="O24" s="81">
        <f t="shared" ref="O24" si="142">AVERAGE(N21:N24)</f>
        <v>673.75</v>
      </c>
      <c r="P24" s="74">
        <v>376.88524583380087</v>
      </c>
      <c r="Q24" s="81">
        <f t="shared" ref="Q24" si="143">AVERAGE(P21:P24)</f>
        <v>359.03688518127552</v>
      </c>
      <c r="R24" s="74">
        <v>4598</v>
      </c>
      <c r="S24" s="81">
        <f t="shared" ref="S24" si="144">AVERAGE(R21:R24)</f>
        <v>4380.25</v>
      </c>
      <c r="T24" s="74">
        <f t="shared" si="15"/>
        <v>479</v>
      </c>
      <c r="U24" s="81">
        <f t="shared" si="59"/>
        <v>631</v>
      </c>
      <c r="V24" s="74">
        <f t="shared" si="16"/>
        <v>122</v>
      </c>
      <c r="W24" s="81">
        <f t="shared" si="42"/>
        <v>161.57142857142858</v>
      </c>
      <c r="X24" s="74">
        <f t="shared" si="17"/>
        <v>177</v>
      </c>
      <c r="Y24" s="81">
        <f t="shared" si="43"/>
        <v>261.42857142857144</v>
      </c>
      <c r="Z24" s="74">
        <f t="shared" si="18"/>
        <v>108</v>
      </c>
      <c r="AA24" s="81">
        <f t="shared" si="44"/>
        <v>122.14285714285714</v>
      </c>
      <c r="AB24" s="83">
        <f t="shared" si="8"/>
        <v>0.54063205417607219</v>
      </c>
      <c r="AC24" s="83">
        <f t="shared" si="9"/>
        <v>0.13769751693002258</v>
      </c>
      <c r="AD24" s="83">
        <f t="shared" si="10"/>
        <v>0.19977426636568849</v>
      </c>
      <c r="AE24" s="84">
        <f t="shared" si="11"/>
        <v>0.12189616252821671</v>
      </c>
      <c r="AF24" s="83">
        <f t="shared" si="60"/>
        <v>0.53677500927951793</v>
      </c>
      <c r="AG24" s="83">
        <f t="shared" si="60"/>
        <v>0.1373514451826108</v>
      </c>
      <c r="AH24" s="83">
        <f t="shared" si="60"/>
        <v>0.22143365904298373</v>
      </c>
      <c r="AI24" s="84">
        <f t="shared" si="60"/>
        <v>0.10443988649488752</v>
      </c>
      <c r="AJ24" s="74">
        <v>299</v>
      </c>
      <c r="AK24" s="81">
        <f t="shared" si="44"/>
        <v>382</v>
      </c>
      <c r="AL24" s="74">
        <v>57</v>
      </c>
      <c r="AM24" s="81">
        <f t="shared" si="45"/>
        <v>80.285714285714292</v>
      </c>
      <c r="AN24" s="74">
        <v>136</v>
      </c>
      <c r="AO24" s="81">
        <f t="shared" si="46"/>
        <v>197</v>
      </c>
      <c r="AP24" s="74">
        <v>65</v>
      </c>
      <c r="AQ24" s="81">
        <f t="shared" si="47"/>
        <v>74</v>
      </c>
      <c r="AR24" s="74">
        <v>180</v>
      </c>
      <c r="AS24" s="81">
        <f t="shared" si="48"/>
        <v>249</v>
      </c>
      <c r="AT24" s="74">
        <v>65</v>
      </c>
      <c r="AU24" s="81">
        <f t="shared" si="49"/>
        <v>81.285714285714292</v>
      </c>
      <c r="AV24" s="74">
        <v>41</v>
      </c>
      <c r="AW24" s="81">
        <f t="shared" si="50"/>
        <v>64.428571428571431</v>
      </c>
      <c r="AX24" s="74">
        <v>43</v>
      </c>
      <c r="AY24" s="81">
        <f t="shared" si="51"/>
        <v>48.142857142857146</v>
      </c>
    </row>
    <row r="25" spans="1:51" x14ac:dyDescent="0.25">
      <c r="A25" s="85">
        <f t="shared" si="19"/>
        <v>45296</v>
      </c>
      <c r="B25" s="74">
        <f t="shared" si="12"/>
        <v>954</v>
      </c>
      <c r="C25" s="81">
        <f t="shared" si="20"/>
        <v>1035</v>
      </c>
      <c r="D25" s="74">
        <v>718.00546442400071</v>
      </c>
      <c r="E25" s="81">
        <f t="shared" si="20"/>
        <v>756.00409830810065</v>
      </c>
      <c r="F25" s="74">
        <f t="shared" si="13"/>
        <v>5030</v>
      </c>
      <c r="G25" s="81">
        <f t="shared" ref="G25" si="145">AVERAGE(F22:F25)</f>
        <v>4918.5</v>
      </c>
      <c r="H25" s="74">
        <f t="shared" si="14"/>
        <v>334</v>
      </c>
      <c r="I25" s="81">
        <f t="shared" ref="I25" si="146">AVERAGE(H22:H25)</f>
        <v>385.5</v>
      </c>
      <c r="J25" s="74">
        <v>334</v>
      </c>
      <c r="K25" s="81">
        <f t="shared" ref="K25" si="147">AVERAGE(J22:J25)</f>
        <v>385.5</v>
      </c>
      <c r="L25" s="74">
        <v>0</v>
      </c>
      <c r="M25" s="81">
        <f t="shared" ref="M25" si="148">AVERAGE(L22:L25)</f>
        <v>0</v>
      </c>
      <c r="N25" s="74">
        <v>620</v>
      </c>
      <c r="O25" s="81">
        <f t="shared" ref="O25" si="149">AVERAGE(N22:N25)</f>
        <v>649.5</v>
      </c>
      <c r="P25" s="74">
        <v>384.91803271760068</v>
      </c>
      <c r="Q25" s="81">
        <f t="shared" ref="Q25" si="150">AVERAGE(P22:P25)</f>
        <v>371.55737698230064</v>
      </c>
      <c r="R25" s="74">
        <v>4696</v>
      </c>
      <c r="S25" s="81">
        <f t="shared" ref="S25" si="151">AVERAGE(R22:R25)</f>
        <v>4533</v>
      </c>
      <c r="T25" s="74">
        <f t="shared" si="15"/>
        <v>497</v>
      </c>
      <c r="U25" s="81">
        <f t="shared" si="59"/>
        <v>605</v>
      </c>
      <c r="V25" s="74">
        <f t="shared" si="16"/>
        <v>131</v>
      </c>
      <c r="W25" s="81">
        <f t="shared" si="42"/>
        <v>156.71428571428572</v>
      </c>
      <c r="X25" s="74">
        <f t="shared" si="17"/>
        <v>212</v>
      </c>
      <c r="Y25" s="81">
        <f t="shared" si="43"/>
        <v>250.14285714285714</v>
      </c>
      <c r="Z25" s="74">
        <f t="shared" si="18"/>
        <v>114</v>
      </c>
      <c r="AA25" s="81">
        <f t="shared" si="44"/>
        <v>121.14285714285714</v>
      </c>
      <c r="AB25" s="83">
        <f t="shared" si="8"/>
        <v>0.52096436058700213</v>
      </c>
      <c r="AC25" s="83">
        <f t="shared" si="9"/>
        <v>0.13731656184486374</v>
      </c>
      <c r="AD25" s="83">
        <f t="shared" si="10"/>
        <v>0.22222222222222221</v>
      </c>
      <c r="AE25" s="84">
        <f t="shared" si="11"/>
        <v>0.11949685534591195</v>
      </c>
      <c r="AF25" s="83">
        <f t="shared" si="60"/>
        <v>0.53396919000031817</v>
      </c>
      <c r="AG25" s="83">
        <f t="shared" si="60"/>
        <v>0.13820103591022101</v>
      </c>
      <c r="AH25" s="83">
        <f t="shared" si="60"/>
        <v>0.22008141963341948</v>
      </c>
      <c r="AI25" s="84">
        <f t="shared" si="60"/>
        <v>0.10774835445604145</v>
      </c>
      <c r="AJ25" s="74">
        <v>315</v>
      </c>
      <c r="AK25" s="81">
        <f t="shared" si="44"/>
        <v>364</v>
      </c>
      <c r="AL25" s="74">
        <v>77</v>
      </c>
      <c r="AM25" s="81">
        <f t="shared" si="45"/>
        <v>78.428571428571431</v>
      </c>
      <c r="AN25" s="74">
        <v>163</v>
      </c>
      <c r="AO25" s="81">
        <f t="shared" si="46"/>
        <v>188.42857142857142</v>
      </c>
      <c r="AP25" s="74">
        <v>65</v>
      </c>
      <c r="AQ25" s="81">
        <f t="shared" si="47"/>
        <v>72.571428571428569</v>
      </c>
      <c r="AR25" s="74">
        <v>182</v>
      </c>
      <c r="AS25" s="81">
        <f t="shared" si="48"/>
        <v>241</v>
      </c>
      <c r="AT25" s="74">
        <v>54</v>
      </c>
      <c r="AU25" s="81">
        <f t="shared" si="49"/>
        <v>78.285714285714292</v>
      </c>
      <c r="AV25" s="74">
        <v>49</v>
      </c>
      <c r="AW25" s="81">
        <f t="shared" si="50"/>
        <v>61.714285714285715</v>
      </c>
      <c r="AX25" s="74">
        <v>49</v>
      </c>
      <c r="AY25" s="81">
        <f t="shared" si="51"/>
        <v>48.571428571428569</v>
      </c>
    </row>
    <row r="26" spans="1:51" x14ac:dyDescent="0.25">
      <c r="A26" s="85">
        <f t="shared" si="19"/>
        <v>45303</v>
      </c>
      <c r="B26" s="74">
        <f t="shared" si="12"/>
        <v>1089</v>
      </c>
      <c r="C26" s="81">
        <f t="shared" si="20"/>
        <v>1020</v>
      </c>
      <c r="D26" s="74">
        <v>789.30327863940033</v>
      </c>
      <c r="E26" s="81">
        <f t="shared" si="20"/>
        <v>753.4562841001507</v>
      </c>
      <c r="F26" s="74">
        <f t="shared" si="13"/>
        <v>4839</v>
      </c>
      <c r="G26" s="81">
        <f t="shared" ref="G26" si="152">AVERAGE(F23:F26)</f>
        <v>4926.5</v>
      </c>
      <c r="H26" s="74">
        <f t="shared" si="14"/>
        <v>429</v>
      </c>
      <c r="I26" s="81">
        <f t="shared" ref="I26" si="153">AVERAGE(H23:H26)</f>
        <v>382</v>
      </c>
      <c r="J26" s="74">
        <v>429</v>
      </c>
      <c r="K26" s="81">
        <f t="shared" ref="K26" si="154">AVERAGE(J23:J26)</f>
        <v>382</v>
      </c>
      <c r="L26" s="74">
        <v>0</v>
      </c>
      <c r="M26" s="81">
        <f t="shared" ref="M26" si="155">AVERAGE(L23:L26)</f>
        <v>0</v>
      </c>
      <c r="N26" s="74">
        <v>660</v>
      </c>
      <c r="O26" s="81">
        <f t="shared" ref="O26" si="156">AVERAGE(N23:N26)</f>
        <v>638</v>
      </c>
      <c r="P26" s="74">
        <v>361.47540977100027</v>
      </c>
      <c r="Q26" s="81">
        <f t="shared" ref="Q26" si="157">AVERAGE(P23:P26)</f>
        <v>372.49999993295057</v>
      </c>
      <c r="R26" s="74">
        <v>4410</v>
      </c>
      <c r="S26" s="81">
        <f t="shared" ref="S26" si="158">AVERAGE(R23:R26)</f>
        <v>4544.5</v>
      </c>
      <c r="T26" s="74">
        <f t="shared" si="15"/>
        <v>593</v>
      </c>
      <c r="U26" s="81">
        <f t="shared" si="59"/>
        <v>599</v>
      </c>
      <c r="V26" s="74">
        <f t="shared" si="16"/>
        <v>160</v>
      </c>
      <c r="W26" s="81">
        <f t="shared" si="42"/>
        <v>155</v>
      </c>
      <c r="X26" s="74">
        <f t="shared" si="17"/>
        <v>223</v>
      </c>
      <c r="Y26" s="81">
        <f t="shared" si="43"/>
        <v>245.42857142857142</v>
      </c>
      <c r="Z26" s="74">
        <f t="shared" si="18"/>
        <v>113</v>
      </c>
      <c r="AA26" s="81">
        <f t="shared" si="44"/>
        <v>120.57142857142857</v>
      </c>
      <c r="AB26" s="83">
        <f t="shared" si="8"/>
        <v>0.54453627180899911</v>
      </c>
      <c r="AC26" s="83">
        <f t="shared" si="9"/>
        <v>0.14692378328741965</v>
      </c>
      <c r="AD26" s="83">
        <f t="shared" si="10"/>
        <v>0.20477502295684114</v>
      </c>
      <c r="AE26" s="84">
        <f t="shared" si="11"/>
        <v>0.10376492194674013</v>
      </c>
      <c r="AF26" s="83">
        <f t="shared" si="60"/>
        <v>0.53488357265584097</v>
      </c>
      <c r="AG26" s="83">
        <f t="shared" si="60"/>
        <v>0.13836690325636572</v>
      </c>
      <c r="AH26" s="83">
        <f t="shared" si="60"/>
        <v>0.21834225826405776</v>
      </c>
      <c r="AI26" s="84">
        <f t="shared" si="60"/>
        <v>0.10840726582373557</v>
      </c>
      <c r="AJ26" s="74">
        <v>339</v>
      </c>
      <c r="AK26" s="81">
        <f t="shared" si="44"/>
        <v>360.57142857142856</v>
      </c>
      <c r="AL26" s="74">
        <v>79</v>
      </c>
      <c r="AM26" s="81">
        <f t="shared" si="45"/>
        <v>78.285714285714292</v>
      </c>
      <c r="AN26" s="74">
        <v>168</v>
      </c>
      <c r="AO26" s="81">
        <f t="shared" si="46"/>
        <v>185.85714285714286</v>
      </c>
      <c r="AP26" s="74">
        <v>74</v>
      </c>
      <c r="AQ26" s="81">
        <f t="shared" si="47"/>
        <v>73.142857142857139</v>
      </c>
      <c r="AR26" s="74">
        <v>254</v>
      </c>
      <c r="AS26" s="81">
        <f t="shared" si="48"/>
        <v>238.42857142857142</v>
      </c>
      <c r="AT26" s="74">
        <v>81</v>
      </c>
      <c r="AU26" s="81">
        <f t="shared" si="49"/>
        <v>76.714285714285708</v>
      </c>
      <c r="AV26" s="74">
        <v>55</v>
      </c>
      <c r="AW26" s="81">
        <f t="shared" si="50"/>
        <v>59.571428571428569</v>
      </c>
      <c r="AX26" s="74">
        <v>39</v>
      </c>
      <c r="AY26" s="81">
        <f t="shared" si="51"/>
        <v>47.428571428571431</v>
      </c>
    </row>
    <row r="27" spans="1:51" x14ac:dyDescent="0.25">
      <c r="A27" s="85">
        <f t="shared" si="19"/>
        <v>45310</v>
      </c>
      <c r="B27" s="74">
        <f t="shared" si="12"/>
        <v>1086</v>
      </c>
      <c r="C27" s="81">
        <f t="shared" si="20"/>
        <v>1003.75</v>
      </c>
      <c r="D27" s="74">
        <v>778.59289612160092</v>
      </c>
      <c r="E27" s="81">
        <f t="shared" si="20"/>
        <v>747.72199448180061</v>
      </c>
      <c r="F27" s="74">
        <f t="shared" si="13"/>
        <v>5021</v>
      </c>
      <c r="G27" s="81">
        <f t="shared" ref="G27" si="159">AVERAGE(F24:F27)</f>
        <v>4954.25</v>
      </c>
      <c r="H27" s="74">
        <f t="shared" si="14"/>
        <v>401</v>
      </c>
      <c r="I27" s="81">
        <f t="shared" ref="I27" si="160">AVERAGE(H24:H27)</f>
        <v>373.25</v>
      </c>
      <c r="J27" s="74">
        <v>401</v>
      </c>
      <c r="K27" s="81">
        <f t="shared" ref="K27" si="161">AVERAGE(J24:J27)</f>
        <v>373.25</v>
      </c>
      <c r="L27" s="74">
        <v>0</v>
      </c>
      <c r="M27" s="81">
        <f t="shared" ref="M27" si="162">AVERAGE(L24:L27)</f>
        <v>0</v>
      </c>
      <c r="N27" s="74">
        <v>685</v>
      </c>
      <c r="O27" s="81">
        <f t="shared" ref="O27" si="163">AVERAGE(N24:N27)</f>
        <v>630.5</v>
      </c>
      <c r="P27" s="74">
        <v>378.68852452200088</v>
      </c>
      <c r="Q27" s="81">
        <f t="shared" ref="Q27" si="164">AVERAGE(P24:P27)</f>
        <v>375.49180321110066</v>
      </c>
      <c r="R27" s="74">
        <v>4620</v>
      </c>
      <c r="S27" s="81">
        <f t="shared" ref="S27" si="165">AVERAGE(R24:R27)</f>
        <v>4581</v>
      </c>
      <c r="T27" s="74">
        <f t="shared" si="15"/>
        <v>571</v>
      </c>
      <c r="U27" s="81">
        <f t="shared" si="59"/>
        <v>567.14285714285711</v>
      </c>
      <c r="V27" s="74">
        <f t="shared" si="16"/>
        <v>152</v>
      </c>
      <c r="W27" s="81">
        <f t="shared" si="42"/>
        <v>146.85714285714286</v>
      </c>
      <c r="X27" s="74">
        <f t="shared" si="17"/>
        <v>261</v>
      </c>
      <c r="Y27" s="81">
        <f t="shared" si="43"/>
        <v>235.14285714285714</v>
      </c>
      <c r="Z27" s="74">
        <f t="shared" si="18"/>
        <v>102</v>
      </c>
      <c r="AA27" s="81">
        <f t="shared" si="44"/>
        <v>112.28571428571429</v>
      </c>
      <c r="AB27" s="83">
        <f t="shared" si="8"/>
        <v>0.52578268876611423</v>
      </c>
      <c r="AC27" s="83">
        <f t="shared" si="9"/>
        <v>0.13996316758747698</v>
      </c>
      <c r="AD27" s="83">
        <f t="shared" si="10"/>
        <v>0.24033149171270718</v>
      </c>
      <c r="AE27" s="84">
        <f t="shared" si="11"/>
        <v>9.3922651933701654E-2</v>
      </c>
      <c r="AF27" s="83">
        <f t="shared" si="60"/>
        <v>0.53417414775077099</v>
      </c>
      <c r="AG27" s="83">
        <f t="shared" si="60"/>
        <v>0.13840365828987083</v>
      </c>
      <c r="AH27" s="83">
        <f t="shared" si="60"/>
        <v>0.22087624523905877</v>
      </c>
      <c r="AI27" s="84">
        <f t="shared" si="60"/>
        <v>0.10654594872029952</v>
      </c>
      <c r="AJ27" s="74">
        <v>332</v>
      </c>
      <c r="AK27" s="81">
        <f t="shared" si="44"/>
        <v>341.14285714285717</v>
      </c>
      <c r="AL27" s="74">
        <v>82</v>
      </c>
      <c r="AM27" s="81">
        <f t="shared" si="45"/>
        <v>76.428571428571431</v>
      </c>
      <c r="AN27" s="74">
        <v>206</v>
      </c>
      <c r="AO27" s="81">
        <f t="shared" si="46"/>
        <v>179.71428571428572</v>
      </c>
      <c r="AP27" s="74">
        <v>65</v>
      </c>
      <c r="AQ27" s="81">
        <f t="shared" si="47"/>
        <v>68.428571428571431</v>
      </c>
      <c r="AR27" s="74">
        <v>239</v>
      </c>
      <c r="AS27" s="81">
        <f t="shared" si="48"/>
        <v>226</v>
      </c>
      <c r="AT27" s="74">
        <v>70</v>
      </c>
      <c r="AU27" s="81">
        <f t="shared" si="49"/>
        <v>70.428571428571431</v>
      </c>
      <c r="AV27" s="74">
        <v>55</v>
      </c>
      <c r="AW27" s="81">
        <f t="shared" si="50"/>
        <v>55.428571428571431</v>
      </c>
      <c r="AX27" s="74">
        <v>37</v>
      </c>
      <c r="AY27" s="81">
        <f t="shared" si="51"/>
        <v>43.857142857142854</v>
      </c>
    </row>
    <row r="28" spans="1:51" x14ac:dyDescent="0.25">
      <c r="A28" s="85">
        <f t="shared" si="19"/>
        <v>45317</v>
      </c>
      <c r="B28" s="74">
        <f t="shared" si="12"/>
        <v>1092</v>
      </c>
      <c r="C28" s="81">
        <f t="shared" si="20"/>
        <v>1055.25</v>
      </c>
      <c r="D28" s="74">
        <v>805.16393437620059</v>
      </c>
      <c r="E28" s="81">
        <f t="shared" si="20"/>
        <v>772.76639339030066</v>
      </c>
      <c r="F28" s="74">
        <f t="shared" si="13"/>
        <v>5068</v>
      </c>
      <c r="G28" s="81">
        <f t="shared" ref="G28" si="166">AVERAGE(F25:F28)</f>
        <v>4989.5</v>
      </c>
      <c r="H28" s="74">
        <f t="shared" si="14"/>
        <v>574</v>
      </c>
      <c r="I28" s="81">
        <f t="shared" ref="I28" si="167">AVERAGE(H25:H28)</f>
        <v>434.5</v>
      </c>
      <c r="J28" s="74">
        <v>438</v>
      </c>
      <c r="K28" s="81">
        <f t="shared" ref="K28" si="168">AVERAGE(J25:J28)</f>
        <v>400.5</v>
      </c>
      <c r="L28" s="74">
        <v>136</v>
      </c>
      <c r="M28" s="81">
        <f t="shared" ref="M28" si="169">AVERAGE(L25:L28)</f>
        <v>34</v>
      </c>
      <c r="N28" s="74">
        <v>518</v>
      </c>
      <c r="O28" s="81">
        <f t="shared" ref="O28" si="170">AVERAGE(N25:N28)</f>
        <v>620.75</v>
      </c>
      <c r="P28" s="74">
        <v>368.36065567140071</v>
      </c>
      <c r="Q28" s="81">
        <f t="shared" ref="Q28" si="171">AVERAGE(P25:P28)</f>
        <v>373.36065567050065</v>
      </c>
      <c r="R28" s="74">
        <v>4494</v>
      </c>
      <c r="S28" s="81">
        <f t="shared" ref="S28" si="172">AVERAGE(R25:R28)</f>
        <v>4555</v>
      </c>
      <c r="T28" s="74">
        <f t="shared" si="15"/>
        <v>512</v>
      </c>
      <c r="U28" s="81">
        <f t="shared" si="59"/>
        <v>556.28571428571433</v>
      </c>
      <c r="V28" s="74">
        <f t="shared" si="16"/>
        <v>117</v>
      </c>
      <c r="W28" s="81">
        <f t="shared" si="42"/>
        <v>141.14285714285714</v>
      </c>
      <c r="X28" s="74">
        <f t="shared" si="17"/>
        <v>203</v>
      </c>
      <c r="Y28" s="81">
        <f t="shared" si="43"/>
        <v>228.42857142857142</v>
      </c>
      <c r="Z28" s="74">
        <f t="shared" si="18"/>
        <v>124</v>
      </c>
      <c r="AA28" s="81">
        <f t="shared" si="44"/>
        <v>112.85714285714286</v>
      </c>
      <c r="AB28" s="83">
        <f t="shared" si="8"/>
        <v>0.53556485355648531</v>
      </c>
      <c r="AC28" s="83">
        <f t="shared" si="9"/>
        <v>0.12238493723849372</v>
      </c>
      <c r="AD28" s="83">
        <f t="shared" si="10"/>
        <v>0.21234309623430964</v>
      </c>
      <c r="AE28" s="84">
        <f t="shared" si="11"/>
        <v>0.1297071129707113</v>
      </c>
      <c r="AF28" s="83">
        <f t="shared" ref="AF28:AI43" si="173">AVERAGE(AB22:AB28)</f>
        <v>0.53534708967459943</v>
      </c>
      <c r="AG28" s="83">
        <f t="shared" si="173"/>
        <v>0.13577191005424244</v>
      </c>
      <c r="AH28" s="83">
        <f t="shared" si="173"/>
        <v>0.21918022375299279</v>
      </c>
      <c r="AI28" s="84">
        <f t="shared" si="173"/>
        <v>0.10970077651816539</v>
      </c>
      <c r="AJ28" s="74">
        <v>253</v>
      </c>
      <c r="AK28" s="81">
        <f t="shared" si="44"/>
        <v>327.28571428571428</v>
      </c>
      <c r="AL28" s="74">
        <v>53</v>
      </c>
      <c r="AM28" s="81">
        <f t="shared" si="45"/>
        <v>72</v>
      </c>
      <c r="AN28" s="74">
        <v>144</v>
      </c>
      <c r="AO28" s="81">
        <f t="shared" si="46"/>
        <v>171.28571428571428</v>
      </c>
      <c r="AP28" s="74">
        <v>68</v>
      </c>
      <c r="AQ28" s="81">
        <f t="shared" si="47"/>
        <v>66.714285714285708</v>
      </c>
      <c r="AR28" s="74">
        <v>259</v>
      </c>
      <c r="AS28" s="81">
        <f t="shared" si="48"/>
        <v>229</v>
      </c>
      <c r="AT28" s="74">
        <v>64</v>
      </c>
      <c r="AU28" s="81">
        <f t="shared" si="49"/>
        <v>69.142857142857139</v>
      </c>
      <c r="AV28" s="74">
        <v>59</v>
      </c>
      <c r="AW28" s="81">
        <f t="shared" si="50"/>
        <v>57.142857142857146</v>
      </c>
      <c r="AX28" s="74">
        <v>56</v>
      </c>
      <c r="AY28" s="81">
        <f t="shared" si="51"/>
        <v>46.142857142857146</v>
      </c>
    </row>
    <row r="29" spans="1:51" x14ac:dyDescent="0.25">
      <c r="A29" s="85">
        <f t="shared" si="19"/>
        <v>45324</v>
      </c>
      <c r="B29" s="74">
        <f t="shared" si="12"/>
        <v>1249</v>
      </c>
      <c r="C29" s="81">
        <f t="shared" si="20"/>
        <v>1129</v>
      </c>
      <c r="D29" s="74">
        <v>876.21857915560099</v>
      </c>
      <c r="E29" s="81">
        <f t="shared" si="20"/>
        <v>812.31967207320076</v>
      </c>
      <c r="F29" s="74">
        <f t="shared" si="13"/>
        <v>5665</v>
      </c>
      <c r="G29" s="81">
        <f t="shared" ref="G29" si="174">AVERAGE(F26:F29)</f>
        <v>5148.25</v>
      </c>
      <c r="H29" s="74">
        <f t="shared" si="14"/>
        <v>911</v>
      </c>
      <c r="I29" s="81">
        <f t="shared" ref="I29" si="175">AVERAGE(H26:H29)</f>
        <v>578.75</v>
      </c>
      <c r="J29" s="74">
        <v>498</v>
      </c>
      <c r="K29" s="81">
        <f t="shared" ref="K29" si="176">AVERAGE(J26:J29)</f>
        <v>441.5</v>
      </c>
      <c r="L29" s="74">
        <v>413</v>
      </c>
      <c r="M29" s="81">
        <f t="shared" ref="M29" si="177">AVERAGE(L26:L29)</f>
        <v>137.25</v>
      </c>
      <c r="N29" s="74">
        <v>338</v>
      </c>
      <c r="O29" s="81">
        <f t="shared" ref="O29" si="178">AVERAGE(N26:N29)</f>
        <v>550.25</v>
      </c>
      <c r="P29" s="74">
        <v>379.57923487480087</v>
      </c>
      <c r="Q29" s="81">
        <f t="shared" ref="Q29" si="179">AVERAGE(P26:P29)</f>
        <v>372.02595620980071</v>
      </c>
      <c r="R29" s="74">
        <v>4754</v>
      </c>
      <c r="S29" s="81">
        <f t="shared" ref="S29" si="180">AVERAGE(R26:R29)</f>
        <v>4569.5</v>
      </c>
      <c r="T29" s="74">
        <f t="shared" si="15"/>
        <v>446</v>
      </c>
      <c r="U29" s="81">
        <f t="shared" si="59"/>
        <v>536.14285714285711</v>
      </c>
      <c r="V29" s="74">
        <f t="shared" si="16"/>
        <v>140</v>
      </c>
      <c r="W29" s="81">
        <f t="shared" si="42"/>
        <v>136.42857142857142</v>
      </c>
      <c r="X29" s="74">
        <f t="shared" si="17"/>
        <v>135</v>
      </c>
      <c r="Y29" s="81">
        <f t="shared" si="43"/>
        <v>207.28571428571428</v>
      </c>
      <c r="Z29" s="74">
        <f t="shared" si="18"/>
        <v>115</v>
      </c>
      <c r="AA29" s="81">
        <f t="shared" si="44"/>
        <v>114.14285714285714</v>
      </c>
      <c r="AB29" s="83">
        <f t="shared" si="8"/>
        <v>0.53349282296650713</v>
      </c>
      <c r="AC29" s="83">
        <f t="shared" si="9"/>
        <v>0.1674641148325359</v>
      </c>
      <c r="AD29" s="83">
        <f t="shared" si="10"/>
        <v>0.16148325358851676</v>
      </c>
      <c r="AE29" s="84">
        <f t="shared" si="11"/>
        <v>0.13755980861244019</v>
      </c>
      <c r="AF29" s="83">
        <f t="shared" si="173"/>
        <v>0.53857763220705213</v>
      </c>
      <c r="AG29" s="83">
        <f t="shared" si="173"/>
        <v>0.13818596798568392</v>
      </c>
      <c r="AH29" s="83">
        <f t="shared" si="173"/>
        <v>0.20706338406297733</v>
      </c>
      <c r="AI29" s="84">
        <f t="shared" si="173"/>
        <v>0.11617301574428671</v>
      </c>
      <c r="AJ29" s="74">
        <v>174</v>
      </c>
      <c r="AK29" s="81">
        <f t="shared" si="44"/>
        <v>301.71428571428572</v>
      </c>
      <c r="AL29" s="74">
        <v>50</v>
      </c>
      <c r="AM29" s="81">
        <f t="shared" si="45"/>
        <v>66.714285714285708</v>
      </c>
      <c r="AN29" s="74">
        <v>62</v>
      </c>
      <c r="AO29" s="81">
        <f t="shared" si="46"/>
        <v>149.85714285714286</v>
      </c>
      <c r="AP29" s="74">
        <v>52</v>
      </c>
      <c r="AQ29" s="81">
        <f t="shared" si="47"/>
        <v>66.428571428571431</v>
      </c>
      <c r="AR29" s="74">
        <v>272</v>
      </c>
      <c r="AS29" s="81">
        <f t="shared" si="48"/>
        <v>234.42857142857142</v>
      </c>
      <c r="AT29" s="74">
        <v>90</v>
      </c>
      <c r="AU29" s="81">
        <f t="shared" si="49"/>
        <v>69.714285714285708</v>
      </c>
      <c r="AV29" s="74">
        <v>73</v>
      </c>
      <c r="AW29" s="81">
        <f t="shared" si="50"/>
        <v>57.428571428571431</v>
      </c>
      <c r="AX29" s="74">
        <v>63</v>
      </c>
      <c r="AY29" s="81">
        <f t="shared" si="51"/>
        <v>47.714285714285715</v>
      </c>
    </row>
    <row r="30" spans="1:51" x14ac:dyDescent="0.25">
      <c r="A30" s="85">
        <f t="shared" si="19"/>
        <v>45331</v>
      </c>
      <c r="B30" s="74">
        <f t="shared" si="12"/>
        <v>888</v>
      </c>
      <c r="C30" s="81">
        <f t="shared" si="20"/>
        <v>1078.75</v>
      </c>
      <c r="D30" s="74">
        <v>655.59836050839988</v>
      </c>
      <c r="E30" s="81">
        <f t="shared" si="20"/>
        <v>778.89344254045056</v>
      </c>
      <c r="F30" s="74">
        <f t="shared" si="13"/>
        <v>4683</v>
      </c>
      <c r="G30" s="81">
        <f t="shared" ref="G30" si="181">AVERAGE(F27:F30)</f>
        <v>5109.25</v>
      </c>
      <c r="H30" s="74">
        <f t="shared" si="14"/>
        <v>715</v>
      </c>
      <c r="I30" s="81">
        <f t="shared" ref="I30" si="182">AVERAGE(H27:H30)</f>
        <v>650.25</v>
      </c>
      <c r="J30" s="74">
        <v>353</v>
      </c>
      <c r="K30" s="81">
        <f t="shared" ref="K30" si="183">AVERAGE(J27:J30)</f>
        <v>422.5</v>
      </c>
      <c r="L30" s="74">
        <v>362</v>
      </c>
      <c r="M30" s="81">
        <f t="shared" ref="M30" si="184">AVERAGE(L27:L30)</f>
        <v>227.75</v>
      </c>
      <c r="N30" s="74">
        <v>173</v>
      </c>
      <c r="O30" s="81">
        <f t="shared" ref="O30" si="185">AVERAGE(N27:N30)</f>
        <v>428.5</v>
      </c>
      <c r="P30" s="74">
        <v>303.56284136959982</v>
      </c>
      <c r="Q30" s="81">
        <f t="shared" ref="Q30" si="186">AVERAGE(P27:P30)</f>
        <v>357.54781410945054</v>
      </c>
      <c r="R30" s="74">
        <v>3968</v>
      </c>
      <c r="S30" s="81">
        <f t="shared" ref="S30" si="187">AVERAGE(R27:R30)</f>
        <v>4459</v>
      </c>
      <c r="T30" s="74">
        <f t="shared" si="15"/>
        <v>294</v>
      </c>
      <c r="U30" s="81">
        <f t="shared" si="59"/>
        <v>484.57142857142856</v>
      </c>
      <c r="V30" s="74">
        <f t="shared" si="16"/>
        <v>109</v>
      </c>
      <c r="W30" s="81">
        <f t="shared" si="42"/>
        <v>133</v>
      </c>
      <c r="X30" s="74">
        <f t="shared" si="17"/>
        <v>69</v>
      </c>
      <c r="Y30" s="81">
        <f t="shared" si="43"/>
        <v>182.85714285714286</v>
      </c>
      <c r="Z30" s="74">
        <f t="shared" si="18"/>
        <v>54</v>
      </c>
      <c r="AA30" s="81">
        <f t="shared" si="44"/>
        <v>104.28571428571429</v>
      </c>
      <c r="AB30" s="83">
        <f t="shared" si="8"/>
        <v>0.55893536121673004</v>
      </c>
      <c r="AC30" s="83">
        <f t="shared" si="9"/>
        <v>0.20722433460076045</v>
      </c>
      <c r="AD30" s="83">
        <f t="shared" si="10"/>
        <v>0.13117870722433461</v>
      </c>
      <c r="AE30" s="84">
        <f t="shared" si="11"/>
        <v>0.10266159695817491</v>
      </c>
      <c r="AF30" s="83">
        <f t="shared" si="173"/>
        <v>0.53712977329684441</v>
      </c>
      <c r="AG30" s="83">
        <f t="shared" si="173"/>
        <v>0.15128205947451043</v>
      </c>
      <c r="AH30" s="83">
        <f t="shared" si="173"/>
        <v>0.19601543718637429</v>
      </c>
      <c r="AI30" s="84">
        <f t="shared" si="173"/>
        <v>0.11557273004227098</v>
      </c>
      <c r="AJ30" s="74">
        <v>92</v>
      </c>
      <c r="AK30" s="81">
        <f t="shared" si="44"/>
        <v>257.71428571428572</v>
      </c>
      <c r="AL30" s="74">
        <v>38</v>
      </c>
      <c r="AM30" s="81">
        <f t="shared" si="45"/>
        <v>62.285714285714285</v>
      </c>
      <c r="AN30" s="74">
        <v>29</v>
      </c>
      <c r="AO30" s="81">
        <f t="shared" si="46"/>
        <v>129.71428571428572</v>
      </c>
      <c r="AP30" s="74">
        <v>14</v>
      </c>
      <c r="AQ30" s="81">
        <f t="shared" si="47"/>
        <v>57.571428571428569</v>
      </c>
      <c r="AR30" s="74">
        <v>202</v>
      </c>
      <c r="AS30" s="81">
        <f t="shared" si="48"/>
        <v>226.85714285714286</v>
      </c>
      <c r="AT30" s="74">
        <v>71</v>
      </c>
      <c r="AU30" s="81">
        <f t="shared" si="49"/>
        <v>70.714285714285708</v>
      </c>
      <c r="AV30" s="74">
        <v>40</v>
      </c>
      <c r="AW30" s="81">
        <f t="shared" si="50"/>
        <v>53.142857142857146</v>
      </c>
      <c r="AX30" s="74">
        <v>40</v>
      </c>
      <c r="AY30" s="81">
        <f t="shared" si="51"/>
        <v>46.714285714285715</v>
      </c>
    </row>
    <row r="31" spans="1:51" x14ac:dyDescent="0.25">
      <c r="A31" s="85">
        <f t="shared" si="19"/>
        <v>45338</v>
      </c>
      <c r="B31" s="74">
        <f t="shared" si="12"/>
        <v>926</v>
      </c>
      <c r="C31" s="81">
        <f t="shared" si="20"/>
        <v>1038.75</v>
      </c>
      <c r="D31" s="74">
        <v>706.92896158939993</v>
      </c>
      <c r="E31" s="81">
        <f t="shared" si="20"/>
        <v>760.97745890740032</v>
      </c>
      <c r="F31" s="74">
        <f t="shared" si="13"/>
        <v>5067</v>
      </c>
      <c r="G31" s="81">
        <f t="shared" ref="G31" si="188">AVERAGE(F28:F31)</f>
        <v>5120.75</v>
      </c>
      <c r="H31" s="74">
        <f t="shared" si="14"/>
        <v>780</v>
      </c>
      <c r="I31" s="81">
        <f t="shared" ref="I31" si="189">AVERAGE(H28:H31)</f>
        <v>745</v>
      </c>
      <c r="J31" s="74">
        <v>380</v>
      </c>
      <c r="K31" s="81">
        <f t="shared" ref="K31" si="190">AVERAGE(J28:J31)</f>
        <v>417.25</v>
      </c>
      <c r="L31" s="74">
        <v>400</v>
      </c>
      <c r="M31" s="81">
        <f t="shared" ref="M31" si="191">AVERAGE(L28:L31)</f>
        <v>327.75</v>
      </c>
      <c r="N31" s="74">
        <v>146</v>
      </c>
      <c r="O31" s="81">
        <f t="shared" ref="O31" si="192">AVERAGE(N28:N31)</f>
        <v>293.75</v>
      </c>
      <c r="P31" s="74">
        <v>327.96721294139985</v>
      </c>
      <c r="Q31" s="81">
        <f t="shared" ref="Q31" si="193">AVERAGE(P28:P31)</f>
        <v>344.8674862143003</v>
      </c>
      <c r="R31" s="74">
        <v>4287</v>
      </c>
      <c r="S31" s="81">
        <f t="shared" ref="S31" si="194">AVERAGE(R28:R31)</f>
        <v>4375.75</v>
      </c>
      <c r="T31" s="74">
        <f t="shared" si="15"/>
        <v>296</v>
      </c>
      <c r="U31" s="81">
        <f t="shared" si="59"/>
        <v>458.42857142857144</v>
      </c>
      <c r="V31" s="74">
        <f t="shared" si="16"/>
        <v>102</v>
      </c>
      <c r="W31" s="81">
        <f t="shared" si="42"/>
        <v>130.14285714285714</v>
      </c>
      <c r="X31" s="74">
        <f t="shared" si="17"/>
        <v>81</v>
      </c>
      <c r="Y31" s="81">
        <f t="shared" si="43"/>
        <v>169.14285714285714</v>
      </c>
      <c r="Z31" s="74">
        <f t="shared" si="18"/>
        <v>47</v>
      </c>
      <c r="AA31" s="81">
        <f t="shared" si="44"/>
        <v>95.571428571428569</v>
      </c>
      <c r="AB31" s="83">
        <f t="shared" si="8"/>
        <v>0.56273764258555137</v>
      </c>
      <c r="AC31" s="83">
        <f t="shared" si="9"/>
        <v>0.19391634980988592</v>
      </c>
      <c r="AD31" s="83">
        <f t="shared" si="10"/>
        <v>0.15399239543726237</v>
      </c>
      <c r="AE31" s="84">
        <f t="shared" si="11"/>
        <v>8.9353612167300381E-2</v>
      </c>
      <c r="AF31" s="83">
        <f t="shared" si="173"/>
        <v>0.54028771449819846</v>
      </c>
      <c r="AG31" s="83">
        <f t="shared" si="173"/>
        <v>0.15931332131449089</v>
      </c>
      <c r="AH31" s="83">
        <f t="shared" si="173"/>
        <v>0.18947516991088484</v>
      </c>
      <c r="AI31" s="84">
        <f t="shared" si="173"/>
        <v>0.11092379427642578</v>
      </c>
      <c r="AJ31" s="74">
        <v>83</v>
      </c>
      <c r="AK31" s="81">
        <f t="shared" si="44"/>
        <v>226.85714285714286</v>
      </c>
      <c r="AL31" s="74">
        <v>23</v>
      </c>
      <c r="AM31" s="81">
        <f t="shared" si="45"/>
        <v>57.428571428571431</v>
      </c>
      <c r="AN31" s="74">
        <v>30</v>
      </c>
      <c r="AO31" s="81">
        <f t="shared" si="46"/>
        <v>114.57142857142857</v>
      </c>
      <c r="AP31" s="74">
        <v>10</v>
      </c>
      <c r="AQ31" s="81">
        <f t="shared" si="47"/>
        <v>49.714285714285715</v>
      </c>
      <c r="AR31" s="74">
        <v>213</v>
      </c>
      <c r="AS31" s="81">
        <f t="shared" si="48"/>
        <v>231.57142857142858</v>
      </c>
      <c r="AT31" s="74">
        <v>79</v>
      </c>
      <c r="AU31" s="81">
        <f t="shared" si="49"/>
        <v>72.714285714285708</v>
      </c>
      <c r="AV31" s="74">
        <v>51</v>
      </c>
      <c r="AW31" s="81">
        <f t="shared" si="50"/>
        <v>54.571428571428569</v>
      </c>
      <c r="AX31" s="74">
        <v>37</v>
      </c>
      <c r="AY31" s="81">
        <f t="shared" si="51"/>
        <v>45.857142857142854</v>
      </c>
    </row>
    <row r="32" spans="1:51" x14ac:dyDescent="0.25">
      <c r="A32" s="85">
        <f t="shared" si="19"/>
        <v>45345</v>
      </c>
      <c r="B32" s="74">
        <f t="shared" si="12"/>
        <v>1060</v>
      </c>
      <c r="C32" s="81">
        <f t="shared" si="20"/>
        <v>1030.75</v>
      </c>
      <c r="D32" s="74">
        <v>729.88524574720009</v>
      </c>
      <c r="E32" s="81">
        <f t="shared" si="20"/>
        <v>742.15778675015031</v>
      </c>
      <c r="F32" s="74">
        <f t="shared" si="13"/>
        <v>5205</v>
      </c>
      <c r="G32" s="81">
        <f t="shared" ref="G32" si="195">AVERAGE(F29:F32)</f>
        <v>5155</v>
      </c>
      <c r="H32" s="74">
        <f t="shared" si="14"/>
        <v>1009</v>
      </c>
      <c r="I32" s="81">
        <f t="shared" ref="I32" si="196">AVERAGE(H29:H32)</f>
        <v>853.75</v>
      </c>
      <c r="J32" s="74">
        <v>410</v>
      </c>
      <c r="K32" s="81">
        <f t="shared" ref="K32" si="197">AVERAGE(J29:J32)</f>
        <v>410.25</v>
      </c>
      <c r="L32" s="74">
        <v>599</v>
      </c>
      <c r="M32" s="81">
        <f t="shared" ref="M32" si="198">AVERAGE(L29:L32)</f>
        <v>443.5</v>
      </c>
      <c r="N32" s="74">
        <v>51</v>
      </c>
      <c r="O32" s="81">
        <f t="shared" ref="O32" si="199">AVERAGE(N29:N32)</f>
        <v>177</v>
      </c>
      <c r="P32" s="74">
        <v>321.00546431120006</v>
      </c>
      <c r="Q32" s="81">
        <f t="shared" ref="Q32" si="200">AVERAGE(P29:P32)</f>
        <v>333.02868837425012</v>
      </c>
      <c r="R32" s="74">
        <v>4196</v>
      </c>
      <c r="S32" s="81">
        <f t="shared" ref="S32" si="201">AVERAGE(R29:R32)</f>
        <v>4301.25</v>
      </c>
      <c r="T32" s="74">
        <f t="shared" si="15"/>
        <v>249</v>
      </c>
      <c r="U32" s="81">
        <f t="shared" si="59"/>
        <v>423</v>
      </c>
      <c r="V32" s="74">
        <f t="shared" si="16"/>
        <v>83</v>
      </c>
      <c r="W32" s="81">
        <f t="shared" si="42"/>
        <v>123.28571428571429</v>
      </c>
      <c r="X32" s="74">
        <f t="shared" si="17"/>
        <v>72</v>
      </c>
      <c r="Y32" s="81">
        <f t="shared" si="43"/>
        <v>149.14285714285714</v>
      </c>
      <c r="Z32" s="74">
        <f t="shared" si="18"/>
        <v>57</v>
      </c>
      <c r="AA32" s="81">
        <f t="shared" si="44"/>
        <v>87.428571428571431</v>
      </c>
      <c r="AB32" s="83">
        <f t="shared" si="8"/>
        <v>0.54013015184381774</v>
      </c>
      <c r="AC32" s="83">
        <f t="shared" si="9"/>
        <v>0.18004338394793926</v>
      </c>
      <c r="AD32" s="83">
        <f t="shared" si="10"/>
        <v>0.1561822125813449</v>
      </c>
      <c r="AE32" s="84">
        <f t="shared" si="11"/>
        <v>0.12364425162689804</v>
      </c>
      <c r="AF32" s="83">
        <f t="shared" si="173"/>
        <v>0.54302568467774359</v>
      </c>
      <c r="AG32" s="83">
        <f t="shared" si="173"/>
        <v>0.16541715304350166</v>
      </c>
      <c r="AH32" s="83">
        <f t="shared" si="173"/>
        <v>0.18004088281933095</v>
      </c>
      <c r="AI32" s="84">
        <f t="shared" si="173"/>
        <v>0.1115162794594238</v>
      </c>
      <c r="AJ32" s="74">
        <v>31</v>
      </c>
      <c r="AK32" s="81">
        <f t="shared" si="44"/>
        <v>186.28571428571428</v>
      </c>
      <c r="AL32" s="74">
        <v>9</v>
      </c>
      <c r="AM32" s="81">
        <f t="shared" si="45"/>
        <v>47.714285714285715</v>
      </c>
      <c r="AN32" s="74">
        <v>5</v>
      </c>
      <c r="AO32" s="81">
        <f t="shared" si="46"/>
        <v>92</v>
      </c>
      <c r="AP32" s="74">
        <v>6</v>
      </c>
      <c r="AQ32" s="81">
        <f t="shared" si="47"/>
        <v>41.285714285714285</v>
      </c>
      <c r="AR32" s="74">
        <v>218</v>
      </c>
      <c r="AS32" s="81">
        <f t="shared" si="48"/>
        <v>236.71428571428572</v>
      </c>
      <c r="AT32" s="74">
        <v>74</v>
      </c>
      <c r="AU32" s="81">
        <f t="shared" si="49"/>
        <v>75.571428571428569</v>
      </c>
      <c r="AV32" s="74">
        <v>67</v>
      </c>
      <c r="AW32" s="81">
        <f t="shared" si="50"/>
        <v>57.142857142857146</v>
      </c>
      <c r="AX32" s="74">
        <v>51</v>
      </c>
      <c r="AY32" s="81">
        <f t="shared" si="51"/>
        <v>46.142857142857146</v>
      </c>
    </row>
    <row r="33" spans="1:51" x14ac:dyDescent="0.25">
      <c r="A33" s="85">
        <f t="shared" si="19"/>
        <v>45352</v>
      </c>
      <c r="B33" s="74">
        <f t="shared" si="12"/>
        <v>1357</v>
      </c>
      <c r="C33" s="81">
        <f t="shared" si="20"/>
        <v>1057.75</v>
      </c>
      <c r="D33" s="74">
        <v>874.98422025290006</v>
      </c>
      <c r="E33" s="81">
        <f t="shared" si="20"/>
        <v>741.84919702447496</v>
      </c>
      <c r="F33" s="74">
        <f t="shared" si="13"/>
        <v>6738</v>
      </c>
      <c r="G33" s="81">
        <f t="shared" ref="G33" si="202">AVERAGE(F30:F33)</f>
        <v>5423.25</v>
      </c>
      <c r="H33" s="74">
        <f t="shared" si="14"/>
        <v>1356</v>
      </c>
      <c r="I33" s="81">
        <f t="shared" ref="I33" si="203">AVERAGE(H30:H33)</f>
        <v>965</v>
      </c>
      <c r="J33" s="74">
        <v>458</v>
      </c>
      <c r="K33" s="81">
        <f t="shared" ref="K33" si="204">AVERAGE(J30:J33)</f>
        <v>400.25</v>
      </c>
      <c r="L33" s="74">
        <v>898</v>
      </c>
      <c r="M33" s="81">
        <f t="shared" ref="M33" si="205">AVERAGE(L30:L33)</f>
        <v>564.75</v>
      </c>
      <c r="N33" s="74">
        <v>1</v>
      </c>
      <c r="O33" s="81">
        <f t="shared" ref="O33" si="206">AVERAGE(N30:N33)</f>
        <v>92.75</v>
      </c>
      <c r="P33" s="74">
        <v>418.32661113659998</v>
      </c>
      <c r="Q33" s="81">
        <f t="shared" ref="Q33" si="207">AVERAGE(P30:P33)</f>
        <v>342.71553243969993</v>
      </c>
      <c r="R33" s="74">
        <v>5382</v>
      </c>
      <c r="S33" s="81">
        <f t="shared" ref="S33" si="208">AVERAGE(R30:R33)</f>
        <v>4458.25</v>
      </c>
      <c r="T33" s="74">
        <f t="shared" si="15"/>
        <v>276</v>
      </c>
      <c r="U33" s="81">
        <f t="shared" si="59"/>
        <v>377.71428571428572</v>
      </c>
      <c r="V33" s="74">
        <f t="shared" si="16"/>
        <v>76</v>
      </c>
      <c r="W33" s="81">
        <f t="shared" si="42"/>
        <v>111.28571428571429</v>
      </c>
      <c r="X33" s="74">
        <f t="shared" si="17"/>
        <v>67</v>
      </c>
      <c r="Y33" s="81">
        <f t="shared" si="43"/>
        <v>126.85714285714286</v>
      </c>
      <c r="Z33" s="74">
        <f t="shared" si="18"/>
        <v>40</v>
      </c>
      <c r="AA33" s="81">
        <f t="shared" si="44"/>
        <v>77</v>
      </c>
      <c r="AB33" s="83">
        <f t="shared" si="8"/>
        <v>0.60130718954248363</v>
      </c>
      <c r="AC33" s="83">
        <f t="shared" si="9"/>
        <v>0.16557734204793029</v>
      </c>
      <c r="AD33" s="83">
        <f t="shared" si="10"/>
        <v>0.14596949891067537</v>
      </c>
      <c r="AE33" s="84">
        <f t="shared" si="11"/>
        <v>8.714596949891068E-2</v>
      </c>
      <c r="AF33" s="83">
        <f t="shared" si="173"/>
        <v>0.55113581578252702</v>
      </c>
      <c r="AG33" s="83">
        <f t="shared" si="173"/>
        <v>0.16808194715214606</v>
      </c>
      <c r="AH33" s="83">
        <f t="shared" si="173"/>
        <v>0.17164009366987873</v>
      </c>
      <c r="AI33" s="84">
        <f t="shared" si="173"/>
        <v>0.10914214339544816</v>
      </c>
      <c r="AJ33" s="74">
        <v>0</v>
      </c>
      <c r="AK33" s="81">
        <f t="shared" si="44"/>
        <v>137.85714285714286</v>
      </c>
      <c r="AL33" s="74">
        <v>0</v>
      </c>
      <c r="AM33" s="81">
        <f t="shared" si="45"/>
        <v>36.428571428571431</v>
      </c>
      <c r="AN33" s="74">
        <v>0</v>
      </c>
      <c r="AO33" s="81">
        <f t="shared" si="46"/>
        <v>68</v>
      </c>
      <c r="AP33" s="74">
        <v>1</v>
      </c>
      <c r="AQ33" s="81">
        <f t="shared" si="47"/>
        <v>30.857142857142858</v>
      </c>
      <c r="AR33" s="74">
        <v>276</v>
      </c>
      <c r="AS33" s="81">
        <f t="shared" si="48"/>
        <v>239.85714285714286</v>
      </c>
      <c r="AT33" s="74">
        <v>76</v>
      </c>
      <c r="AU33" s="81">
        <f t="shared" si="49"/>
        <v>74.857142857142861</v>
      </c>
      <c r="AV33" s="74">
        <v>67</v>
      </c>
      <c r="AW33" s="81">
        <f t="shared" si="50"/>
        <v>58.857142857142854</v>
      </c>
      <c r="AX33" s="74">
        <v>39</v>
      </c>
      <c r="AY33" s="81">
        <f t="shared" si="51"/>
        <v>46.142857142857146</v>
      </c>
    </row>
    <row r="34" spans="1:51" x14ac:dyDescent="0.25">
      <c r="A34" s="85">
        <f t="shared" si="19"/>
        <v>45359</v>
      </c>
      <c r="B34" s="74">
        <f t="shared" si="12"/>
        <v>1231</v>
      </c>
      <c r="C34" s="81">
        <f t="shared" si="20"/>
        <v>1143.5</v>
      </c>
      <c r="D34" s="74">
        <v>719.44109582440001</v>
      </c>
      <c r="E34" s="81">
        <f t="shared" si="20"/>
        <v>757.80988085347508</v>
      </c>
      <c r="F34" s="74">
        <f t="shared" si="13"/>
        <v>4779</v>
      </c>
      <c r="G34" s="81">
        <f t="shared" ref="G34" si="209">AVERAGE(F31:F34)</f>
        <v>5447.25</v>
      </c>
      <c r="H34" s="74">
        <f t="shared" si="14"/>
        <v>1231</v>
      </c>
      <c r="I34" s="81">
        <f t="shared" ref="I34" si="210">AVERAGE(H31:H34)</f>
        <v>1094</v>
      </c>
      <c r="J34" s="74">
        <v>429</v>
      </c>
      <c r="K34" s="81">
        <f t="shared" ref="K34" si="211">AVERAGE(J31:J34)</f>
        <v>419.25</v>
      </c>
      <c r="L34" s="74">
        <v>802</v>
      </c>
      <c r="M34" s="81">
        <f t="shared" ref="M34" si="212">AVERAGE(L31:L34)</f>
        <v>674.75</v>
      </c>
      <c r="N34" s="74">
        <v>0</v>
      </c>
      <c r="O34" s="81">
        <f t="shared" ref="O34" si="213">AVERAGE(N31:N34)</f>
        <v>49.5</v>
      </c>
      <c r="P34" s="74">
        <v>291.61643827840004</v>
      </c>
      <c r="Q34" s="81">
        <f t="shared" ref="Q34" si="214">AVERAGE(P31:P34)</f>
        <v>339.72893166689994</v>
      </c>
      <c r="R34" s="74">
        <v>3548</v>
      </c>
      <c r="S34" s="81">
        <f t="shared" ref="S34" si="215">AVERAGE(R31:R34)</f>
        <v>4353.25</v>
      </c>
      <c r="T34" s="74">
        <f t="shared" si="15"/>
        <v>255</v>
      </c>
      <c r="U34" s="81">
        <f t="shared" si="59"/>
        <v>332.57142857142856</v>
      </c>
      <c r="V34" s="74">
        <f t="shared" si="16"/>
        <v>61</v>
      </c>
      <c r="W34" s="81">
        <f t="shared" si="42"/>
        <v>98.285714285714292</v>
      </c>
      <c r="X34" s="74">
        <f t="shared" si="17"/>
        <v>67</v>
      </c>
      <c r="Y34" s="81">
        <f t="shared" si="43"/>
        <v>99.142857142857139</v>
      </c>
      <c r="Z34" s="74">
        <f t="shared" si="18"/>
        <v>46</v>
      </c>
      <c r="AA34" s="81">
        <f t="shared" si="44"/>
        <v>69</v>
      </c>
      <c r="AB34" s="83">
        <f t="shared" si="8"/>
        <v>0.59440559440559437</v>
      </c>
      <c r="AC34" s="83">
        <f t="shared" si="9"/>
        <v>0.14219114219114218</v>
      </c>
      <c r="AD34" s="83">
        <f t="shared" si="10"/>
        <v>0.15617715617715619</v>
      </c>
      <c r="AE34" s="84">
        <f t="shared" si="11"/>
        <v>0.10722610722610723</v>
      </c>
      <c r="AF34" s="83">
        <f t="shared" si="173"/>
        <v>0.56093908801673853</v>
      </c>
      <c r="AG34" s="83">
        <f t="shared" si="173"/>
        <v>0.16840022923838396</v>
      </c>
      <c r="AH34" s="83">
        <f t="shared" si="173"/>
        <v>0.15961804573622854</v>
      </c>
      <c r="AI34" s="84">
        <f t="shared" si="173"/>
        <v>0.11104263700864894</v>
      </c>
      <c r="AJ34" s="74">
        <v>0</v>
      </c>
      <c r="AK34" s="81">
        <f t="shared" si="44"/>
        <v>90.428571428571431</v>
      </c>
      <c r="AL34" s="74">
        <v>0</v>
      </c>
      <c r="AM34" s="81">
        <f t="shared" si="45"/>
        <v>24.714285714285715</v>
      </c>
      <c r="AN34" s="74">
        <v>0</v>
      </c>
      <c r="AO34" s="81">
        <f t="shared" si="46"/>
        <v>38.571428571428569</v>
      </c>
      <c r="AP34" s="74">
        <v>0</v>
      </c>
      <c r="AQ34" s="81">
        <f t="shared" si="47"/>
        <v>21.571428571428573</v>
      </c>
      <c r="AR34" s="74">
        <v>255</v>
      </c>
      <c r="AS34" s="81">
        <f t="shared" si="48"/>
        <v>242.14285714285714</v>
      </c>
      <c r="AT34" s="74">
        <v>61</v>
      </c>
      <c r="AU34" s="81">
        <f t="shared" si="49"/>
        <v>73.571428571428569</v>
      </c>
      <c r="AV34" s="74">
        <v>67</v>
      </c>
      <c r="AW34" s="81">
        <f t="shared" si="50"/>
        <v>60.571428571428569</v>
      </c>
      <c r="AX34" s="74">
        <v>46</v>
      </c>
      <c r="AY34" s="81">
        <f t="shared" si="51"/>
        <v>47.428571428571431</v>
      </c>
    </row>
    <row r="35" spans="1:51" x14ac:dyDescent="0.25">
      <c r="A35" s="85">
        <f t="shared" si="19"/>
        <v>45366</v>
      </c>
      <c r="B35" s="74">
        <f t="shared" si="12"/>
        <v>1243</v>
      </c>
      <c r="C35" s="81">
        <f t="shared" si="20"/>
        <v>1222.75</v>
      </c>
      <c r="D35" s="74">
        <v>799.03561636960012</v>
      </c>
      <c r="E35" s="81">
        <f t="shared" si="20"/>
        <v>780.83654454852501</v>
      </c>
      <c r="F35" s="74">
        <f t="shared" si="13"/>
        <v>4995</v>
      </c>
      <c r="G35" s="81">
        <f t="shared" ref="G35" si="216">AVERAGE(F32:F35)</f>
        <v>5429.25</v>
      </c>
      <c r="H35" s="74">
        <f t="shared" si="14"/>
        <v>1243</v>
      </c>
      <c r="I35" s="81">
        <f t="shared" ref="I35" si="217">AVERAGE(H32:H35)</f>
        <v>1209.75</v>
      </c>
      <c r="J35" s="74">
        <v>492</v>
      </c>
      <c r="K35" s="81">
        <f t="shared" ref="K35" si="218">AVERAGE(J32:J35)</f>
        <v>447.25</v>
      </c>
      <c r="L35" s="74">
        <v>751</v>
      </c>
      <c r="M35" s="81">
        <f t="shared" ref="M35" si="219">AVERAGE(L32:L35)</f>
        <v>762.5</v>
      </c>
      <c r="N35" s="74">
        <v>0</v>
      </c>
      <c r="O35" s="81">
        <f t="shared" ref="O35" si="220">AVERAGE(N32:N35)</f>
        <v>13</v>
      </c>
      <c r="P35" s="74">
        <v>308.38356156160006</v>
      </c>
      <c r="Q35" s="81">
        <f t="shared" ref="Q35" si="221">AVERAGE(P32:P35)</f>
        <v>334.83301882195002</v>
      </c>
      <c r="R35" s="74">
        <v>3752</v>
      </c>
      <c r="S35" s="81">
        <f t="shared" ref="S35" si="222">AVERAGE(R32:R35)</f>
        <v>4219.5</v>
      </c>
      <c r="T35" s="74">
        <f t="shared" si="15"/>
        <v>291</v>
      </c>
      <c r="U35" s="81">
        <f t="shared" si="59"/>
        <v>301</v>
      </c>
      <c r="V35" s="74">
        <f t="shared" si="16"/>
        <v>83</v>
      </c>
      <c r="W35" s="81">
        <f t="shared" si="42"/>
        <v>93.428571428571431</v>
      </c>
      <c r="X35" s="74">
        <f t="shared" si="17"/>
        <v>70</v>
      </c>
      <c r="Y35" s="81">
        <f t="shared" si="43"/>
        <v>80.142857142857139</v>
      </c>
      <c r="Z35" s="74">
        <f t="shared" si="18"/>
        <v>48</v>
      </c>
      <c r="AA35" s="81">
        <f t="shared" si="44"/>
        <v>58.142857142857146</v>
      </c>
      <c r="AB35" s="83">
        <f t="shared" si="8"/>
        <v>0.59146341463414631</v>
      </c>
      <c r="AC35" s="83">
        <f t="shared" si="9"/>
        <v>0.16869918699186992</v>
      </c>
      <c r="AD35" s="83">
        <f t="shared" si="10"/>
        <v>0.14227642276422764</v>
      </c>
      <c r="AE35" s="84">
        <f t="shared" si="11"/>
        <v>9.7560975609756101E-2</v>
      </c>
      <c r="AF35" s="83">
        <f t="shared" si="173"/>
        <v>0.56892459674211859</v>
      </c>
      <c r="AG35" s="83">
        <f t="shared" si="173"/>
        <v>0.17501655063172342</v>
      </c>
      <c r="AH35" s="83">
        <f t="shared" si="173"/>
        <v>0.14960852095478824</v>
      </c>
      <c r="AI35" s="84">
        <f t="shared" si="173"/>
        <v>0.10645033167136964</v>
      </c>
      <c r="AJ35" s="74">
        <v>0</v>
      </c>
      <c r="AK35" s="81">
        <f t="shared" si="44"/>
        <v>54.285714285714285</v>
      </c>
      <c r="AL35" s="74">
        <v>0</v>
      </c>
      <c r="AM35" s="81">
        <f t="shared" si="45"/>
        <v>17.142857142857142</v>
      </c>
      <c r="AN35" s="74">
        <v>0</v>
      </c>
      <c r="AO35" s="81">
        <f t="shared" si="46"/>
        <v>18</v>
      </c>
      <c r="AP35" s="74">
        <v>0</v>
      </c>
      <c r="AQ35" s="81">
        <f t="shared" si="47"/>
        <v>11.857142857142858</v>
      </c>
      <c r="AR35" s="74">
        <v>291</v>
      </c>
      <c r="AS35" s="81">
        <f t="shared" si="48"/>
        <v>246.71428571428572</v>
      </c>
      <c r="AT35" s="74">
        <v>83</v>
      </c>
      <c r="AU35" s="81">
        <f t="shared" si="49"/>
        <v>76.285714285714292</v>
      </c>
      <c r="AV35" s="74">
        <v>70</v>
      </c>
      <c r="AW35" s="81">
        <f t="shared" si="50"/>
        <v>62.142857142857146</v>
      </c>
      <c r="AX35" s="74">
        <v>48</v>
      </c>
      <c r="AY35" s="81">
        <f t="shared" si="51"/>
        <v>46.285714285714285</v>
      </c>
    </row>
    <row r="36" spans="1:51" x14ac:dyDescent="0.25">
      <c r="A36" s="85">
        <f t="shared" si="19"/>
        <v>45373</v>
      </c>
      <c r="B36" s="74">
        <f t="shared" si="12"/>
        <v>1331</v>
      </c>
      <c r="C36" s="81">
        <f t="shared" si="20"/>
        <v>1290.5</v>
      </c>
      <c r="D36" s="74">
        <v>777.55616431320004</v>
      </c>
      <c r="E36" s="81">
        <f t="shared" si="20"/>
        <v>792.75427419002506</v>
      </c>
      <c r="F36" s="74">
        <f t="shared" si="13"/>
        <v>5125</v>
      </c>
      <c r="G36" s="81">
        <f t="shared" ref="G36" si="223">AVERAGE(F33:F36)</f>
        <v>5409.25</v>
      </c>
      <c r="H36" s="74">
        <f t="shared" si="14"/>
        <v>1331</v>
      </c>
      <c r="I36" s="81">
        <f t="shared" ref="I36" si="224">AVERAGE(H33:H36)</f>
        <v>1290.25</v>
      </c>
      <c r="J36" s="74">
        <v>467</v>
      </c>
      <c r="K36" s="81">
        <f t="shared" ref="K36" si="225">AVERAGE(J33:J36)</f>
        <v>461.5</v>
      </c>
      <c r="L36" s="74">
        <v>864</v>
      </c>
      <c r="M36" s="81">
        <f t="shared" ref="M36" si="226">AVERAGE(L33:L36)</f>
        <v>828.75</v>
      </c>
      <c r="N36" s="74">
        <v>0</v>
      </c>
      <c r="O36" s="81">
        <f t="shared" ref="O36" si="227">AVERAGE(N33:N36)</f>
        <v>0.25</v>
      </c>
      <c r="P36" s="74">
        <v>311.83561635519993</v>
      </c>
      <c r="Q36" s="81">
        <f t="shared" ref="Q36" si="228">AVERAGE(P33:P36)</f>
        <v>332.54055683294996</v>
      </c>
      <c r="R36" s="74">
        <v>3794</v>
      </c>
      <c r="S36" s="81">
        <f t="shared" ref="S36" si="229">AVERAGE(R33:R36)</f>
        <v>4119</v>
      </c>
      <c r="T36" s="74">
        <f t="shared" si="15"/>
        <v>275</v>
      </c>
      <c r="U36" s="81">
        <f t="shared" si="59"/>
        <v>276.57142857142856</v>
      </c>
      <c r="V36" s="74">
        <f t="shared" si="16"/>
        <v>72</v>
      </c>
      <c r="W36" s="81">
        <f t="shared" si="42"/>
        <v>83.714285714285708</v>
      </c>
      <c r="X36" s="74">
        <f t="shared" si="17"/>
        <v>68</v>
      </c>
      <c r="Y36" s="81">
        <f t="shared" si="43"/>
        <v>70.571428571428569</v>
      </c>
      <c r="Z36" s="74">
        <f t="shared" si="18"/>
        <v>52</v>
      </c>
      <c r="AA36" s="81">
        <f t="shared" si="44"/>
        <v>49.142857142857146</v>
      </c>
      <c r="AB36" s="83">
        <f t="shared" si="8"/>
        <v>0.58886509635974305</v>
      </c>
      <c r="AC36" s="83">
        <f t="shared" si="9"/>
        <v>0.15417558886509636</v>
      </c>
      <c r="AD36" s="83">
        <f t="shared" si="10"/>
        <v>0.145610278372591</v>
      </c>
      <c r="AE36" s="84">
        <f t="shared" si="11"/>
        <v>0.11134903640256959</v>
      </c>
      <c r="AF36" s="83">
        <f t="shared" si="173"/>
        <v>0.57683492151258087</v>
      </c>
      <c r="AG36" s="83">
        <f t="shared" si="173"/>
        <v>0.17311818977923205</v>
      </c>
      <c r="AH36" s="83">
        <f t="shared" si="173"/>
        <v>0.14734095306679887</v>
      </c>
      <c r="AI36" s="84">
        <f t="shared" si="173"/>
        <v>0.10270593564138812</v>
      </c>
      <c r="AJ36" s="74">
        <v>0</v>
      </c>
      <c r="AK36" s="81">
        <f t="shared" si="44"/>
        <v>29.428571428571427</v>
      </c>
      <c r="AL36" s="74">
        <v>0</v>
      </c>
      <c r="AM36" s="81">
        <f t="shared" si="45"/>
        <v>10</v>
      </c>
      <c r="AN36" s="74">
        <v>0</v>
      </c>
      <c r="AO36" s="81">
        <f t="shared" si="46"/>
        <v>9.1428571428571423</v>
      </c>
      <c r="AP36" s="74">
        <v>0</v>
      </c>
      <c r="AQ36" s="81">
        <f t="shared" si="47"/>
        <v>4.4285714285714288</v>
      </c>
      <c r="AR36" s="74">
        <v>275</v>
      </c>
      <c r="AS36" s="81">
        <f t="shared" si="48"/>
        <v>247.14285714285714</v>
      </c>
      <c r="AT36" s="74">
        <v>72</v>
      </c>
      <c r="AU36" s="81">
        <f t="shared" si="49"/>
        <v>73.714285714285708</v>
      </c>
      <c r="AV36" s="74">
        <v>68</v>
      </c>
      <c r="AW36" s="81">
        <f t="shared" si="50"/>
        <v>61.428571428571431</v>
      </c>
      <c r="AX36" s="74">
        <v>52</v>
      </c>
      <c r="AY36" s="81">
        <f t="shared" si="51"/>
        <v>44.714285714285715</v>
      </c>
    </row>
    <row r="37" spans="1:51" x14ac:dyDescent="0.25">
      <c r="A37" s="85">
        <f t="shared" si="19"/>
        <v>45380</v>
      </c>
      <c r="B37" s="74">
        <f t="shared" si="12"/>
        <v>1532</v>
      </c>
      <c r="C37" s="81">
        <f t="shared" si="20"/>
        <v>1334.25</v>
      </c>
      <c r="D37" s="74">
        <v>781.1561643184001</v>
      </c>
      <c r="E37" s="81">
        <f t="shared" si="20"/>
        <v>769.29726020639998</v>
      </c>
      <c r="F37" s="74">
        <f t="shared" si="13"/>
        <v>5115</v>
      </c>
      <c r="G37" s="81">
        <f t="shared" ref="G37" si="230">AVERAGE(F34:F37)</f>
        <v>5003.5</v>
      </c>
      <c r="H37" s="74">
        <f t="shared" si="14"/>
        <v>1532</v>
      </c>
      <c r="I37" s="81">
        <f t="shared" ref="I37" si="231">AVERAGE(H34:H37)</f>
        <v>1334.25</v>
      </c>
      <c r="J37" s="74">
        <v>488</v>
      </c>
      <c r="K37" s="81">
        <f t="shared" ref="K37" si="232">AVERAGE(J34:J37)</f>
        <v>469</v>
      </c>
      <c r="L37" s="74">
        <v>1044</v>
      </c>
      <c r="M37" s="81">
        <f t="shared" ref="M37" si="233">AVERAGE(L34:L37)</f>
        <v>865.25</v>
      </c>
      <c r="N37" s="74">
        <v>0</v>
      </c>
      <c r="O37" s="81">
        <f t="shared" ref="O37" si="234">AVERAGE(N34:N37)</f>
        <v>0</v>
      </c>
      <c r="P37" s="74">
        <v>294.49315060640004</v>
      </c>
      <c r="Q37" s="81">
        <f t="shared" ref="Q37" si="235">AVERAGE(P34:P37)</f>
        <v>301.58219170040002</v>
      </c>
      <c r="R37" s="74">
        <v>3583</v>
      </c>
      <c r="S37" s="81">
        <f t="shared" ref="S37" si="236">AVERAGE(R34:R37)</f>
        <v>3669.25</v>
      </c>
      <c r="T37" s="74">
        <f t="shared" si="15"/>
        <v>285</v>
      </c>
      <c r="U37" s="81">
        <f t="shared" si="59"/>
        <v>275.28571428571428</v>
      </c>
      <c r="V37" s="74">
        <f t="shared" si="16"/>
        <v>81</v>
      </c>
      <c r="W37" s="81">
        <f t="shared" si="42"/>
        <v>79.714285714285708</v>
      </c>
      <c r="X37" s="74">
        <f t="shared" si="17"/>
        <v>68</v>
      </c>
      <c r="Y37" s="81">
        <f t="shared" si="43"/>
        <v>70.428571428571431</v>
      </c>
      <c r="Z37" s="74">
        <f t="shared" si="18"/>
        <v>54</v>
      </c>
      <c r="AA37" s="81">
        <f t="shared" si="44"/>
        <v>49.142857142857146</v>
      </c>
      <c r="AB37" s="83">
        <f t="shared" ref="AB37:AB68" si="237">T37/SUM($T37,$V37,$X37,$Z37)</f>
        <v>0.58401639344262291</v>
      </c>
      <c r="AC37" s="83">
        <f t="shared" ref="AC37:AC68" si="238">V37/SUM($T37,$V37,$X37,$Z37)</f>
        <v>0.16598360655737704</v>
      </c>
      <c r="AD37" s="83">
        <f t="shared" ref="AD37:AD68" si="239">X37/SUM($T37,$V37,$X37,$Z37)</f>
        <v>0.13934426229508196</v>
      </c>
      <c r="AE37" s="84">
        <f t="shared" ref="AE37:AE68" si="240">Z37/SUM($T37,$V37,$X37,$Z37)</f>
        <v>0.11065573770491803</v>
      </c>
      <c r="AF37" s="83">
        <f t="shared" si="173"/>
        <v>0.58041792611627996</v>
      </c>
      <c r="AG37" s="83">
        <f t="shared" si="173"/>
        <v>0.16722665720160584</v>
      </c>
      <c r="AH37" s="83">
        <f t="shared" si="173"/>
        <v>0.14850746093404849</v>
      </c>
      <c r="AI37" s="84">
        <f t="shared" si="173"/>
        <v>0.10384795574806571</v>
      </c>
      <c r="AJ37" s="74">
        <v>0</v>
      </c>
      <c r="AK37" s="81">
        <f t="shared" si="44"/>
        <v>16.285714285714285</v>
      </c>
      <c r="AL37" s="74">
        <v>0</v>
      </c>
      <c r="AM37" s="81">
        <f t="shared" si="45"/>
        <v>4.5714285714285712</v>
      </c>
      <c r="AN37" s="74">
        <v>0</v>
      </c>
      <c r="AO37" s="81">
        <f t="shared" si="46"/>
        <v>5</v>
      </c>
      <c r="AP37" s="74">
        <v>0</v>
      </c>
      <c r="AQ37" s="81">
        <f t="shared" si="47"/>
        <v>2.4285714285714284</v>
      </c>
      <c r="AR37" s="74">
        <v>285</v>
      </c>
      <c r="AS37" s="81">
        <f t="shared" si="48"/>
        <v>259</v>
      </c>
      <c r="AT37" s="74">
        <v>81</v>
      </c>
      <c r="AU37" s="81">
        <f t="shared" si="49"/>
        <v>75.142857142857139</v>
      </c>
      <c r="AV37" s="74">
        <v>68</v>
      </c>
      <c r="AW37" s="81">
        <f t="shared" si="50"/>
        <v>65.428571428571431</v>
      </c>
      <c r="AX37" s="74">
        <v>54</v>
      </c>
      <c r="AY37" s="81">
        <f t="shared" si="51"/>
        <v>46.714285714285715</v>
      </c>
    </row>
    <row r="38" spans="1:51" x14ac:dyDescent="0.25">
      <c r="A38" s="85">
        <f t="shared" si="19"/>
        <v>45387</v>
      </c>
      <c r="B38" s="74">
        <f t="shared" si="12"/>
        <v>1512</v>
      </c>
      <c r="C38" s="81">
        <f t="shared" si="20"/>
        <v>1404.5</v>
      </c>
      <c r="D38" s="74">
        <v>802.73972603640038</v>
      </c>
      <c r="E38" s="81">
        <f t="shared" si="20"/>
        <v>790.12191775940016</v>
      </c>
      <c r="F38" s="74">
        <f t="shared" si="13"/>
        <v>5045</v>
      </c>
      <c r="G38" s="81">
        <f t="shared" ref="G38" si="241">AVERAGE(F35:F38)</f>
        <v>5070</v>
      </c>
      <c r="H38" s="74">
        <f t="shared" si="14"/>
        <v>1512</v>
      </c>
      <c r="I38" s="81">
        <f t="shared" ref="I38" si="242">AVERAGE(H35:H38)</f>
        <v>1404.5</v>
      </c>
      <c r="J38" s="74">
        <v>521</v>
      </c>
      <c r="K38" s="81">
        <f t="shared" ref="K38" si="243">AVERAGE(J35:J38)</f>
        <v>492</v>
      </c>
      <c r="L38" s="74">
        <v>991</v>
      </c>
      <c r="M38" s="81">
        <f t="shared" ref="M38" si="244">AVERAGE(L35:L38)</f>
        <v>912.5</v>
      </c>
      <c r="N38" s="74">
        <v>0</v>
      </c>
      <c r="O38" s="81">
        <f t="shared" ref="O38" si="245">AVERAGE(N35:N38)</f>
        <v>0</v>
      </c>
      <c r="P38" s="74">
        <v>283.16712328240055</v>
      </c>
      <c r="Q38" s="81">
        <f t="shared" ref="Q38" si="246">AVERAGE(P35:P38)</f>
        <v>299.46986295140016</v>
      </c>
      <c r="R38" s="74">
        <v>3533</v>
      </c>
      <c r="S38" s="81">
        <f t="shared" ref="S38" si="247">AVERAGE(R35:R38)</f>
        <v>3665.5</v>
      </c>
      <c r="T38" s="74">
        <f t="shared" si="15"/>
        <v>302</v>
      </c>
      <c r="U38" s="81">
        <f t="shared" si="59"/>
        <v>276.14285714285717</v>
      </c>
      <c r="V38" s="74">
        <f t="shared" si="16"/>
        <v>85</v>
      </c>
      <c r="W38" s="81">
        <f t="shared" si="42"/>
        <v>77.285714285714292</v>
      </c>
      <c r="X38" s="74">
        <f t="shared" si="17"/>
        <v>84</v>
      </c>
      <c r="Y38" s="81">
        <f t="shared" si="43"/>
        <v>70.857142857142861</v>
      </c>
      <c r="Z38" s="74">
        <f t="shared" si="18"/>
        <v>50</v>
      </c>
      <c r="AA38" s="81">
        <f t="shared" si="44"/>
        <v>49.571428571428569</v>
      </c>
      <c r="AB38" s="83">
        <f t="shared" si="237"/>
        <v>0.57965451055662187</v>
      </c>
      <c r="AC38" s="83">
        <f t="shared" si="238"/>
        <v>0.16314779270633398</v>
      </c>
      <c r="AD38" s="83">
        <f t="shared" si="239"/>
        <v>0.16122840690978887</v>
      </c>
      <c r="AE38" s="84">
        <f t="shared" si="240"/>
        <v>9.5969289827255277E-2</v>
      </c>
      <c r="AF38" s="83">
        <f t="shared" si="173"/>
        <v>0.58283462154071852</v>
      </c>
      <c r="AG38" s="83">
        <f t="shared" si="173"/>
        <v>0.16283114904395557</v>
      </c>
      <c r="AH38" s="83">
        <f t="shared" si="173"/>
        <v>0.14954117685869514</v>
      </c>
      <c r="AI38" s="84">
        <f t="shared" si="173"/>
        <v>0.1047930525566307</v>
      </c>
      <c r="AJ38" s="74">
        <v>0</v>
      </c>
      <c r="AK38" s="81">
        <f t="shared" si="44"/>
        <v>4.4285714285714288</v>
      </c>
      <c r="AL38" s="74">
        <v>0</v>
      </c>
      <c r="AM38" s="81">
        <f t="shared" si="45"/>
        <v>1.2857142857142858</v>
      </c>
      <c r="AN38" s="74">
        <v>0</v>
      </c>
      <c r="AO38" s="81">
        <f t="shared" si="46"/>
        <v>0.7142857142857143</v>
      </c>
      <c r="AP38" s="74">
        <v>0</v>
      </c>
      <c r="AQ38" s="81">
        <f t="shared" si="47"/>
        <v>1</v>
      </c>
      <c r="AR38" s="74">
        <v>302</v>
      </c>
      <c r="AS38" s="81">
        <f t="shared" si="48"/>
        <v>271.71428571428572</v>
      </c>
      <c r="AT38" s="74">
        <v>85</v>
      </c>
      <c r="AU38" s="81">
        <f t="shared" si="49"/>
        <v>76</v>
      </c>
      <c r="AV38" s="74">
        <v>84</v>
      </c>
      <c r="AW38" s="81">
        <f t="shared" si="50"/>
        <v>70.142857142857139</v>
      </c>
      <c r="AX38" s="74">
        <v>50</v>
      </c>
      <c r="AY38" s="81">
        <f t="shared" si="51"/>
        <v>48.571428571428569</v>
      </c>
    </row>
    <row r="39" spans="1:51" x14ac:dyDescent="0.25">
      <c r="A39" s="85">
        <f t="shared" si="19"/>
        <v>45394</v>
      </c>
      <c r="B39" s="74">
        <f t="shared" si="12"/>
        <v>1342</v>
      </c>
      <c r="C39" s="81">
        <f t="shared" si="20"/>
        <v>1429.25</v>
      </c>
      <c r="D39" s="74">
        <v>720.55890414000055</v>
      </c>
      <c r="E39" s="81">
        <f t="shared" si="20"/>
        <v>770.50273970200033</v>
      </c>
      <c r="F39" s="74">
        <f t="shared" si="13"/>
        <v>4562</v>
      </c>
      <c r="G39" s="81">
        <f t="shared" ref="G39" si="248">AVERAGE(F36:F39)</f>
        <v>4961.75</v>
      </c>
      <c r="H39" s="74">
        <f t="shared" si="14"/>
        <v>1342</v>
      </c>
      <c r="I39" s="81">
        <f t="shared" ref="I39" si="249">AVERAGE(H36:H39)</f>
        <v>1429.25</v>
      </c>
      <c r="J39" s="74">
        <v>466</v>
      </c>
      <c r="K39" s="81">
        <f t="shared" ref="K39" si="250">AVERAGE(J36:J39)</f>
        <v>485.5</v>
      </c>
      <c r="L39" s="74">
        <v>876</v>
      </c>
      <c r="M39" s="81">
        <f t="shared" ref="M39" si="251">AVERAGE(L36:L39)</f>
        <v>943.75</v>
      </c>
      <c r="N39" s="74">
        <v>0</v>
      </c>
      <c r="O39" s="81">
        <f t="shared" ref="O39" si="252">AVERAGE(N36:N39)</f>
        <v>0</v>
      </c>
      <c r="P39" s="74">
        <v>255.83561645600057</v>
      </c>
      <c r="Q39" s="81">
        <f t="shared" ref="Q39" si="253">AVERAGE(P36:P39)</f>
        <v>286.33287667500025</v>
      </c>
      <c r="R39" s="74">
        <v>3220</v>
      </c>
      <c r="S39" s="81">
        <f t="shared" ref="S39" si="254">AVERAGE(R36:R39)</f>
        <v>3532.5</v>
      </c>
      <c r="T39" s="74">
        <f t="shared" si="15"/>
        <v>261</v>
      </c>
      <c r="U39" s="81">
        <f t="shared" si="59"/>
        <v>277.85714285714283</v>
      </c>
      <c r="V39" s="74">
        <f t="shared" si="16"/>
        <v>59</v>
      </c>
      <c r="W39" s="81">
        <f t="shared" si="42"/>
        <v>73.857142857142861</v>
      </c>
      <c r="X39" s="74">
        <f t="shared" si="17"/>
        <v>84</v>
      </c>
      <c r="Y39" s="81">
        <f t="shared" si="43"/>
        <v>72.571428571428569</v>
      </c>
      <c r="Z39" s="74">
        <f t="shared" si="18"/>
        <v>62</v>
      </c>
      <c r="AA39" s="81">
        <f t="shared" si="44"/>
        <v>50.285714285714285</v>
      </c>
      <c r="AB39" s="83">
        <f t="shared" si="237"/>
        <v>0.56008583690987124</v>
      </c>
      <c r="AC39" s="83">
        <f t="shared" si="238"/>
        <v>0.12660944206008584</v>
      </c>
      <c r="AD39" s="83">
        <f t="shared" si="239"/>
        <v>0.18025751072961374</v>
      </c>
      <c r="AE39" s="84">
        <f t="shared" si="240"/>
        <v>0.13304721030042918</v>
      </c>
      <c r="AF39" s="83">
        <f t="shared" si="173"/>
        <v>0.58568543369301196</v>
      </c>
      <c r="AG39" s="83">
        <f t="shared" si="173"/>
        <v>0.15519772877426222</v>
      </c>
      <c r="AH39" s="83">
        <f t="shared" si="173"/>
        <v>0.15298050516559072</v>
      </c>
      <c r="AI39" s="84">
        <f t="shared" si="173"/>
        <v>0.10613633236713516</v>
      </c>
      <c r="AJ39" s="74">
        <v>0</v>
      </c>
      <c r="AK39" s="81">
        <f t="shared" si="44"/>
        <v>0</v>
      </c>
      <c r="AL39" s="74">
        <v>0</v>
      </c>
      <c r="AM39" s="81">
        <f t="shared" si="45"/>
        <v>0</v>
      </c>
      <c r="AN39" s="74">
        <v>0</v>
      </c>
      <c r="AO39" s="81">
        <f t="shared" si="46"/>
        <v>0</v>
      </c>
      <c r="AP39" s="74">
        <v>0</v>
      </c>
      <c r="AQ39" s="81">
        <f t="shared" si="47"/>
        <v>0.14285714285714285</v>
      </c>
      <c r="AR39" s="74">
        <v>261</v>
      </c>
      <c r="AS39" s="81">
        <f t="shared" si="48"/>
        <v>277.85714285714283</v>
      </c>
      <c r="AT39" s="74">
        <v>59</v>
      </c>
      <c r="AU39" s="81">
        <f t="shared" si="49"/>
        <v>73.857142857142861</v>
      </c>
      <c r="AV39" s="74">
        <v>84</v>
      </c>
      <c r="AW39" s="81">
        <f t="shared" si="50"/>
        <v>72.571428571428569</v>
      </c>
      <c r="AX39" s="74">
        <v>62</v>
      </c>
      <c r="AY39" s="81">
        <f t="shared" si="51"/>
        <v>50.142857142857146</v>
      </c>
    </row>
    <row r="40" spans="1:51" x14ac:dyDescent="0.25">
      <c r="A40" s="85">
        <f t="shared" si="19"/>
        <v>45401</v>
      </c>
      <c r="B40" s="74">
        <f t="shared" si="12"/>
        <v>1308</v>
      </c>
      <c r="C40" s="81">
        <f t="shared" si="20"/>
        <v>1423.5</v>
      </c>
      <c r="D40" s="74">
        <v>684.69589044080078</v>
      </c>
      <c r="E40" s="81">
        <f t="shared" si="20"/>
        <v>747.28767123390037</v>
      </c>
      <c r="F40" s="74">
        <f t="shared" si="13"/>
        <v>4654</v>
      </c>
      <c r="G40" s="81">
        <f t="shared" ref="G40" si="255">AVERAGE(F37:F40)</f>
        <v>4844</v>
      </c>
      <c r="H40" s="74">
        <f t="shared" si="14"/>
        <v>1308</v>
      </c>
      <c r="I40" s="81">
        <f t="shared" ref="I40" si="256">AVERAGE(H37:H40)</f>
        <v>1423.5</v>
      </c>
      <c r="J40" s="74">
        <v>420</v>
      </c>
      <c r="K40" s="81">
        <f t="shared" ref="K40" si="257">AVERAGE(J37:J40)</f>
        <v>473.75</v>
      </c>
      <c r="L40" s="74">
        <v>888</v>
      </c>
      <c r="M40" s="81">
        <f t="shared" ref="M40" si="258">AVERAGE(L37:L40)</f>
        <v>949.75</v>
      </c>
      <c r="N40" s="74">
        <v>0</v>
      </c>
      <c r="O40" s="81">
        <f t="shared" ref="O40" si="259">AVERAGE(N37:N40)</f>
        <v>0</v>
      </c>
      <c r="P40" s="74">
        <v>265.84657536080078</v>
      </c>
      <c r="Q40" s="81">
        <f t="shared" ref="Q40" si="260">AVERAGE(P37:P40)</f>
        <v>274.83561642640052</v>
      </c>
      <c r="R40" s="74">
        <v>3346</v>
      </c>
      <c r="S40" s="81">
        <f t="shared" ref="S40" si="261">AVERAGE(R37:R40)</f>
        <v>3420.5</v>
      </c>
      <c r="T40" s="74">
        <f t="shared" si="15"/>
        <v>261</v>
      </c>
      <c r="U40" s="81">
        <f t="shared" si="59"/>
        <v>275.71428571428572</v>
      </c>
      <c r="V40" s="74">
        <f t="shared" si="16"/>
        <v>44</v>
      </c>
      <c r="W40" s="81">
        <f t="shared" si="42"/>
        <v>69.285714285714292</v>
      </c>
      <c r="X40" s="74">
        <f t="shared" si="17"/>
        <v>58</v>
      </c>
      <c r="Y40" s="81">
        <f t="shared" si="43"/>
        <v>71.285714285714292</v>
      </c>
      <c r="Z40" s="74">
        <f t="shared" si="18"/>
        <v>57</v>
      </c>
      <c r="AA40" s="81">
        <f t="shared" si="44"/>
        <v>52.714285714285715</v>
      </c>
      <c r="AB40" s="83">
        <f t="shared" si="237"/>
        <v>0.62142857142857144</v>
      </c>
      <c r="AC40" s="83">
        <f t="shared" si="238"/>
        <v>0.10476190476190476</v>
      </c>
      <c r="AD40" s="83">
        <f t="shared" si="239"/>
        <v>0.1380952380952381</v>
      </c>
      <c r="AE40" s="84">
        <f t="shared" si="240"/>
        <v>0.1357142857142857</v>
      </c>
      <c r="AF40" s="83">
        <f t="shared" si="173"/>
        <v>0.58855991681959596</v>
      </c>
      <c r="AG40" s="83">
        <f t="shared" si="173"/>
        <v>0.14650980916197284</v>
      </c>
      <c r="AH40" s="83">
        <f t="shared" si="173"/>
        <v>0.15185561076338536</v>
      </c>
      <c r="AI40" s="84">
        <f t="shared" si="173"/>
        <v>0.11307466325504588</v>
      </c>
      <c r="AJ40" s="74">
        <v>0</v>
      </c>
      <c r="AK40" s="81">
        <f t="shared" si="44"/>
        <v>0</v>
      </c>
      <c r="AL40" s="74">
        <v>0</v>
      </c>
      <c r="AM40" s="81">
        <f t="shared" si="45"/>
        <v>0</v>
      </c>
      <c r="AN40" s="74">
        <v>0</v>
      </c>
      <c r="AO40" s="81">
        <f t="shared" si="46"/>
        <v>0</v>
      </c>
      <c r="AP40" s="74">
        <v>0</v>
      </c>
      <c r="AQ40" s="81">
        <f t="shared" si="47"/>
        <v>0</v>
      </c>
      <c r="AR40" s="74">
        <v>261</v>
      </c>
      <c r="AS40" s="81">
        <f t="shared" si="48"/>
        <v>275.71428571428572</v>
      </c>
      <c r="AT40" s="74">
        <v>44</v>
      </c>
      <c r="AU40" s="81">
        <f t="shared" si="49"/>
        <v>69.285714285714292</v>
      </c>
      <c r="AV40" s="74">
        <v>58</v>
      </c>
      <c r="AW40" s="81">
        <f t="shared" si="50"/>
        <v>71.285714285714292</v>
      </c>
      <c r="AX40" s="74">
        <v>57</v>
      </c>
      <c r="AY40" s="81">
        <f t="shared" si="51"/>
        <v>52.714285714285715</v>
      </c>
    </row>
    <row r="41" spans="1:51" x14ac:dyDescent="0.25">
      <c r="A41" s="85">
        <f t="shared" si="19"/>
        <v>45408</v>
      </c>
      <c r="B41" s="74">
        <f t="shared" si="12"/>
        <v>1536</v>
      </c>
      <c r="C41" s="81">
        <f t="shared" si="20"/>
        <v>1424.5</v>
      </c>
      <c r="D41" s="74">
        <v>716.1452055096006</v>
      </c>
      <c r="E41" s="81">
        <f t="shared" si="20"/>
        <v>731.03493153170052</v>
      </c>
      <c r="F41" s="74">
        <f t="shared" si="13"/>
        <v>4713</v>
      </c>
      <c r="G41" s="81">
        <f t="shared" ref="G41" si="262">AVERAGE(F38:F41)</f>
        <v>4743.5</v>
      </c>
      <c r="H41" s="74">
        <f t="shared" si="14"/>
        <v>1536</v>
      </c>
      <c r="I41" s="81">
        <f t="shared" ref="I41" si="263">AVERAGE(H38:H41)</f>
        <v>1424.5</v>
      </c>
      <c r="J41" s="74">
        <v>465</v>
      </c>
      <c r="K41" s="81">
        <f t="shared" ref="K41" si="264">AVERAGE(J38:J41)</f>
        <v>468</v>
      </c>
      <c r="L41" s="74">
        <v>1071</v>
      </c>
      <c r="M41" s="81">
        <f t="shared" ref="M41" si="265">AVERAGE(L38:L41)</f>
        <v>956.5</v>
      </c>
      <c r="N41" s="74">
        <v>0</v>
      </c>
      <c r="O41" s="81">
        <f t="shared" ref="O41" si="266">AVERAGE(N38:N41)</f>
        <v>0</v>
      </c>
      <c r="P41" s="74">
        <v>252.41917809960063</v>
      </c>
      <c r="Q41" s="81">
        <f t="shared" ref="Q41" si="267">AVERAGE(P38:P41)</f>
        <v>264.31712329970065</v>
      </c>
      <c r="R41" s="74">
        <v>3177</v>
      </c>
      <c r="S41" s="81">
        <f t="shared" ref="S41" si="268">AVERAGE(R38:R41)</f>
        <v>3319</v>
      </c>
      <c r="T41" s="74">
        <f t="shared" si="15"/>
        <v>276</v>
      </c>
      <c r="U41" s="81">
        <f t="shared" si="59"/>
        <v>278.71428571428572</v>
      </c>
      <c r="V41" s="74">
        <f t="shared" si="16"/>
        <v>55</v>
      </c>
      <c r="W41" s="81">
        <f t="shared" si="42"/>
        <v>68.428571428571431</v>
      </c>
      <c r="X41" s="74">
        <f t="shared" si="17"/>
        <v>89</v>
      </c>
      <c r="Y41" s="81">
        <f t="shared" si="43"/>
        <v>74.428571428571431</v>
      </c>
      <c r="Z41" s="74">
        <f t="shared" si="18"/>
        <v>45</v>
      </c>
      <c r="AA41" s="81">
        <f t="shared" si="44"/>
        <v>52.571428571428569</v>
      </c>
      <c r="AB41" s="83">
        <f t="shared" si="237"/>
        <v>0.59354838709677415</v>
      </c>
      <c r="AC41" s="83">
        <f t="shared" si="238"/>
        <v>0.11827956989247312</v>
      </c>
      <c r="AD41" s="83">
        <f t="shared" si="239"/>
        <v>0.1913978494623656</v>
      </c>
      <c r="AE41" s="84">
        <f t="shared" si="240"/>
        <v>9.6774193548387094E-2</v>
      </c>
      <c r="AF41" s="83">
        <f t="shared" si="173"/>
        <v>0.58843745863262154</v>
      </c>
      <c r="AG41" s="83">
        <f t="shared" si="173"/>
        <v>0.143093870262163</v>
      </c>
      <c r="AH41" s="83">
        <f t="shared" si="173"/>
        <v>0.15688713837555812</v>
      </c>
      <c r="AI41" s="84">
        <f t="shared" si="173"/>
        <v>0.11158153272965729</v>
      </c>
      <c r="AJ41" s="74">
        <v>0</v>
      </c>
      <c r="AK41" s="81">
        <f t="shared" si="44"/>
        <v>0</v>
      </c>
      <c r="AL41" s="74">
        <v>0</v>
      </c>
      <c r="AM41" s="81">
        <f t="shared" si="45"/>
        <v>0</v>
      </c>
      <c r="AN41" s="74">
        <v>0</v>
      </c>
      <c r="AO41" s="81">
        <f t="shared" si="46"/>
        <v>0</v>
      </c>
      <c r="AP41" s="74">
        <v>0</v>
      </c>
      <c r="AQ41" s="81">
        <f t="shared" si="47"/>
        <v>0</v>
      </c>
      <c r="AR41" s="74">
        <v>276</v>
      </c>
      <c r="AS41" s="81">
        <f t="shared" si="48"/>
        <v>278.71428571428572</v>
      </c>
      <c r="AT41" s="74">
        <v>55</v>
      </c>
      <c r="AU41" s="81">
        <f t="shared" si="49"/>
        <v>68.428571428571431</v>
      </c>
      <c r="AV41" s="74">
        <v>89</v>
      </c>
      <c r="AW41" s="81">
        <f t="shared" si="50"/>
        <v>74.428571428571431</v>
      </c>
      <c r="AX41" s="74">
        <v>45</v>
      </c>
      <c r="AY41" s="81">
        <f t="shared" si="51"/>
        <v>52.571428571428569</v>
      </c>
    </row>
    <row r="42" spans="1:51" x14ac:dyDescent="0.25">
      <c r="A42" s="85">
        <f t="shared" si="19"/>
        <v>45415</v>
      </c>
      <c r="B42" s="74">
        <f t="shared" si="12"/>
        <v>1589</v>
      </c>
      <c r="C42" s="81">
        <f t="shared" si="20"/>
        <v>1443.75</v>
      </c>
      <c r="D42" s="74">
        <v>852.22191780200046</v>
      </c>
      <c r="E42" s="81">
        <f t="shared" si="20"/>
        <v>743.40547947310063</v>
      </c>
      <c r="F42" s="74">
        <f t="shared" si="13"/>
        <v>5384</v>
      </c>
      <c r="G42" s="81">
        <f t="shared" ref="G42" si="269">AVERAGE(F39:F42)</f>
        <v>4828.25</v>
      </c>
      <c r="H42" s="74">
        <f t="shared" si="14"/>
        <v>1589</v>
      </c>
      <c r="I42" s="81">
        <f t="shared" ref="I42" si="270">AVERAGE(H39:H42)</f>
        <v>1443.75</v>
      </c>
      <c r="J42" s="74">
        <v>548</v>
      </c>
      <c r="K42" s="81">
        <f t="shared" ref="K42" si="271">AVERAGE(J39:J42)</f>
        <v>474.75</v>
      </c>
      <c r="L42" s="74">
        <v>1041</v>
      </c>
      <c r="M42" s="81">
        <f t="shared" ref="M42" si="272">AVERAGE(L39:L42)</f>
        <v>969</v>
      </c>
      <c r="N42" s="74">
        <v>0</v>
      </c>
      <c r="O42" s="81">
        <f t="shared" ref="O42" si="273">AVERAGE(N39:N42)</f>
        <v>0</v>
      </c>
      <c r="P42" s="74">
        <v>305.72328765000049</v>
      </c>
      <c r="Q42" s="81">
        <f t="shared" ref="Q42" si="274">AVERAGE(P39:P42)</f>
        <v>269.95616439160062</v>
      </c>
      <c r="R42" s="74">
        <v>3795</v>
      </c>
      <c r="S42" s="81">
        <f t="shared" ref="S42" si="275">AVERAGE(R39:R42)</f>
        <v>3384.5</v>
      </c>
      <c r="T42" s="74">
        <f t="shared" si="15"/>
        <v>301</v>
      </c>
      <c r="U42" s="81">
        <f t="shared" si="59"/>
        <v>280.14285714285717</v>
      </c>
      <c r="V42" s="74">
        <f t="shared" si="16"/>
        <v>84</v>
      </c>
      <c r="W42" s="81">
        <f t="shared" si="42"/>
        <v>68.571428571428569</v>
      </c>
      <c r="X42" s="74">
        <f t="shared" si="17"/>
        <v>106</v>
      </c>
      <c r="Y42" s="81">
        <f t="shared" si="43"/>
        <v>79.571428571428569</v>
      </c>
      <c r="Z42" s="74">
        <f t="shared" si="18"/>
        <v>57</v>
      </c>
      <c r="AA42" s="81">
        <f t="shared" si="44"/>
        <v>53.857142857142854</v>
      </c>
      <c r="AB42" s="83">
        <f t="shared" si="237"/>
        <v>0.5492700729927007</v>
      </c>
      <c r="AC42" s="83">
        <f t="shared" si="238"/>
        <v>0.15328467153284672</v>
      </c>
      <c r="AD42" s="83">
        <f t="shared" si="239"/>
        <v>0.19343065693430658</v>
      </c>
      <c r="AE42" s="84">
        <f t="shared" si="240"/>
        <v>0.10401459854014598</v>
      </c>
      <c r="AF42" s="83">
        <f t="shared" si="173"/>
        <v>0.58240983839812943</v>
      </c>
      <c r="AG42" s="83">
        <f t="shared" si="173"/>
        <v>0.14089179662515969</v>
      </c>
      <c r="AH42" s="83">
        <f t="shared" si="173"/>
        <v>0.16419488611414082</v>
      </c>
      <c r="AI42" s="84">
        <f t="shared" si="173"/>
        <v>0.11250347886257013</v>
      </c>
      <c r="AJ42" s="74">
        <v>0</v>
      </c>
      <c r="AK42" s="81">
        <f t="shared" si="44"/>
        <v>0</v>
      </c>
      <c r="AL42" s="74">
        <v>0</v>
      </c>
      <c r="AM42" s="81">
        <f t="shared" si="45"/>
        <v>0</v>
      </c>
      <c r="AN42" s="74">
        <v>0</v>
      </c>
      <c r="AO42" s="81">
        <f t="shared" si="46"/>
        <v>0</v>
      </c>
      <c r="AP42" s="74">
        <v>0</v>
      </c>
      <c r="AQ42" s="81">
        <f t="shared" si="47"/>
        <v>0</v>
      </c>
      <c r="AR42" s="74">
        <v>301</v>
      </c>
      <c r="AS42" s="81">
        <f t="shared" si="48"/>
        <v>280.14285714285717</v>
      </c>
      <c r="AT42" s="74">
        <v>84</v>
      </c>
      <c r="AU42" s="81">
        <f t="shared" si="49"/>
        <v>68.571428571428569</v>
      </c>
      <c r="AV42" s="74">
        <v>106</v>
      </c>
      <c r="AW42" s="81">
        <f t="shared" si="50"/>
        <v>79.571428571428569</v>
      </c>
      <c r="AX42" s="74">
        <v>57</v>
      </c>
      <c r="AY42" s="81">
        <f t="shared" si="51"/>
        <v>53.857142857142854</v>
      </c>
    </row>
    <row r="43" spans="1:51" x14ac:dyDescent="0.25">
      <c r="A43" s="85">
        <f t="shared" si="19"/>
        <v>45422</v>
      </c>
      <c r="B43" s="74">
        <f t="shared" si="12"/>
        <v>1298</v>
      </c>
      <c r="C43" s="81">
        <f t="shared" si="20"/>
        <v>1432.75</v>
      </c>
      <c r="D43" s="74">
        <v>681.34794515519991</v>
      </c>
      <c r="E43" s="81">
        <f t="shared" si="20"/>
        <v>733.60273972690038</v>
      </c>
      <c r="F43" s="74">
        <f t="shared" si="13"/>
        <v>4152</v>
      </c>
      <c r="G43" s="81">
        <f t="shared" ref="G43" si="276">AVERAGE(F40:F43)</f>
        <v>4725.75</v>
      </c>
      <c r="H43" s="74">
        <f t="shared" si="14"/>
        <v>1298</v>
      </c>
      <c r="I43" s="81">
        <f t="shared" ref="I43" si="277">AVERAGE(H40:H43)</f>
        <v>1432.75</v>
      </c>
      <c r="J43" s="74">
        <v>448</v>
      </c>
      <c r="K43" s="81">
        <f t="shared" ref="K43" si="278">AVERAGE(J40:J43)</f>
        <v>470.25</v>
      </c>
      <c r="L43" s="74">
        <v>850</v>
      </c>
      <c r="M43" s="81">
        <f t="shared" ref="M43" si="279">AVERAGE(L40:L43)</f>
        <v>962.5</v>
      </c>
      <c r="N43" s="74">
        <v>0</v>
      </c>
      <c r="O43" s="81">
        <f t="shared" ref="O43" si="280">AVERAGE(N40:N43)</f>
        <v>0</v>
      </c>
      <c r="P43" s="74">
        <v>234.57534240319998</v>
      </c>
      <c r="Q43" s="81">
        <f t="shared" ref="Q43" si="281">AVERAGE(P40:P43)</f>
        <v>264.64109587840045</v>
      </c>
      <c r="R43" s="74">
        <v>2854</v>
      </c>
      <c r="S43" s="81">
        <f t="shared" ref="S43" si="282">AVERAGE(R40:R43)</f>
        <v>3293</v>
      </c>
      <c r="T43" s="74">
        <f t="shared" si="15"/>
        <v>265</v>
      </c>
      <c r="U43" s="81">
        <f t="shared" si="59"/>
        <v>278.71428571428572</v>
      </c>
      <c r="V43" s="74">
        <f t="shared" si="16"/>
        <v>41</v>
      </c>
      <c r="W43" s="81">
        <f t="shared" si="42"/>
        <v>64.142857142857139</v>
      </c>
      <c r="X43" s="74">
        <f t="shared" si="17"/>
        <v>81</v>
      </c>
      <c r="Y43" s="81">
        <f t="shared" si="43"/>
        <v>81.428571428571431</v>
      </c>
      <c r="Z43" s="74">
        <f t="shared" si="18"/>
        <v>61</v>
      </c>
      <c r="AA43" s="81">
        <f t="shared" si="44"/>
        <v>55.142857142857146</v>
      </c>
      <c r="AB43" s="83">
        <f t="shared" si="237"/>
        <v>0.5915178571428571</v>
      </c>
      <c r="AC43" s="83">
        <f t="shared" si="238"/>
        <v>9.1517857142857137E-2</v>
      </c>
      <c r="AD43" s="83">
        <f t="shared" si="239"/>
        <v>0.18080357142857142</v>
      </c>
      <c r="AE43" s="84">
        <f t="shared" si="240"/>
        <v>0.13616071428571427</v>
      </c>
      <c r="AF43" s="83">
        <f t="shared" si="173"/>
        <v>0.58278880422428847</v>
      </c>
      <c r="AG43" s="83">
        <f t="shared" si="173"/>
        <v>0.13194069209341122</v>
      </c>
      <c r="AH43" s="83">
        <f t="shared" si="173"/>
        <v>0.16922249940785231</v>
      </c>
      <c r="AI43" s="84">
        <f t="shared" si="173"/>
        <v>0.11604800427444793</v>
      </c>
      <c r="AJ43" s="74">
        <v>0</v>
      </c>
      <c r="AK43" s="81">
        <f t="shared" si="44"/>
        <v>0</v>
      </c>
      <c r="AL43" s="74">
        <v>0</v>
      </c>
      <c r="AM43" s="81">
        <f t="shared" si="45"/>
        <v>0</v>
      </c>
      <c r="AN43" s="74">
        <v>0</v>
      </c>
      <c r="AO43" s="81">
        <f t="shared" si="46"/>
        <v>0</v>
      </c>
      <c r="AP43" s="74">
        <v>0</v>
      </c>
      <c r="AQ43" s="81">
        <f t="shared" si="47"/>
        <v>0</v>
      </c>
      <c r="AR43" s="74">
        <v>265</v>
      </c>
      <c r="AS43" s="81">
        <f t="shared" si="48"/>
        <v>278.71428571428572</v>
      </c>
      <c r="AT43" s="74">
        <v>41</v>
      </c>
      <c r="AU43" s="81">
        <f t="shared" si="49"/>
        <v>64.142857142857139</v>
      </c>
      <c r="AV43" s="74">
        <v>81</v>
      </c>
      <c r="AW43" s="81">
        <f t="shared" si="50"/>
        <v>81.428571428571431</v>
      </c>
      <c r="AX43" s="74">
        <v>61</v>
      </c>
      <c r="AY43" s="81">
        <f t="shared" si="51"/>
        <v>55.142857142857146</v>
      </c>
    </row>
    <row r="44" spans="1:51" x14ac:dyDescent="0.25">
      <c r="A44" s="85">
        <f t="shared" si="19"/>
        <v>45429</v>
      </c>
      <c r="B44" s="74">
        <f t="shared" si="12"/>
        <v>1237</v>
      </c>
      <c r="C44" s="81">
        <f t="shared" si="20"/>
        <v>1415</v>
      </c>
      <c r="D44" s="74">
        <v>683.13424652399999</v>
      </c>
      <c r="E44" s="81">
        <f t="shared" si="20"/>
        <v>733.21232874770021</v>
      </c>
      <c r="F44" s="74">
        <f t="shared" si="13"/>
        <v>4137</v>
      </c>
      <c r="G44" s="81">
        <f t="shared" ref="G44" si="283">AVERAGE(F41:F44)</f>
        <v>4596.5</v>
      </c>
      <c r="H44" s="74">
        <f t="shared" si="14"/>
        <v>1237</v>
      </c>
      <c r="I44" s="81">
        <f t="shared" ref="I44" si="284">AVERAGE(H41:H44)</f>
        <v>1415</v>
      </c>
      <c r="J44" s="74">
        <v>446</v>
      </c>
      <c r="K44" s="81">
        <f t="shared" ref="K44" si="285">AVERAGE(J41:J44)</f>
        <v>476.75</v>
      </c>
      <c r="L44" s="74">
        <v>791</v>
      </c>
      <c r="M44" s="81">
        <f t="shared" ref="M44" si="286">AVERAGE(L41:L44)</f>
        <v>938.25</v>
      </c>
      <c r="N44" s="74">
        <v>0</v>
      </c>
      <c r="O44" s="81">
        <f t="shared" ref="O44" si="287">AVERAGE(N41:N44)</f>
        <v>0</v>
      </c>
      <c r="P44" s="74">
        <v>238.35616432</v>
      </c>
      <c r="Q44" s="81">
        <f t="shared" ref="Q44" si="288">AVERAGE(P41:P44)</f>
        <v>257.7684931182003</v>
      </c>
      <c r="R44" s="74">
        <v>2900</v>
      </c>
      <c r="S44" s="81">
        <f t="shared" ref="S44" si="289">AVERAGE(R41:R44)</f>
        <v>3181.5</v>
      </c>
      <c r="T44" s="74">
        <f t="shared" si="15"/>
        <v>244</v>
      </c>
      <c r="U44" s="81">
        <f t="shared" si="59"/>
        <v>272.85714285714283</v>
      </c>
      <c r="V44" s="74">
        <f t="shared" si="16"/>
        <v>61</v>
      </c>
      <c r="W44" s="81">
        <f t="shared" si="42"/>
        <v>61.285714285714285</v>
      </c>
      <c r="X44" s="74">
        <f t="shared" si="17"/>
        <v>82</v>
      </c>
      <c r="Y44" s="81">
        <f t="shared" si="43"/>
        <v>83.428571428571431</v>
      </c>
      <c r="Z44" s="74">
        <f t="shared" si="18"/>
        <v>59</v>
      </c>
      <c r="AA44" s="81">
        <f t="shared" si="44"/>
        <v>55.857142857142854</v>
      </c>
      <c r="AB44" s="83">
        <f t="shared" si="237"/>
        <v>0.547085201793722</v>
      </c>
      <c r="AC44" s="83">
        <f t="shared" si="238"/>
        <v>0.1367713004484305</v>
      </c>
      <c r="AD44" s="83">
        <f t="shared" si="239"/>
        <v>0.18385650224215247</v>
      </c>
      <c r="AE44" s="84">
        <f t="shared" si="240"/>
        <v>0.13228699551569506</v>
      </c>
      <c r="AF44" s="83">
        <f t="shared" ref="AF44:AI59" si="290">AVERAGE(AB38:AB44)</f>
        <v>0.57751291970301699</v>
      </c>
      <c r="AG44" s="83">
        <f t="shared" si="290"/>
        <v>0.12776750550641888</v>
      </c>
      <c r="AH44" s="83">
        <f t="shared" si="290"/>
        <v>0.17558139082886243</v>
      </c>
      <c r="AI44" s="84">
        <f t="shared" si="290"/>
        <v>0.11913818396170181</v>
      </c>
      <c r="AJ44" s="74">
        <v>0</v>
      </c>
      <c r="AK44" s="81">
        <f t="shared" si="44"/>
        <v>0</v>
      </c>
      <c r="AL44" s="74">
        <v>0</v>
      </c>
      <c r="AM44" s="81">
        <f t="shared" si="45"/>
        <v>0</v>
      </c>
      <c r="AN44" s="74">
        <v>0</v>
      </c>
      <c r="AO44" s="81">
        <f t="shared" si="46"/>
        <v>0</v>
      </c>
      <c r="AP44" s="74">
        <v>0</v>
      </c>
      <c r="AQ44" s="81">
        <f t="shared" si="47"/>
        <v>0</v>
      </c>
      <c r="AR44" s="74">
        <v>244</v>
      </c>
      <c r="AS44" s="81">
        <f t="shared" si="48"/>
        <v>272.85714285714283</v>
      </c>
      <c r="AT44" s="74">
        <v>61</v>
      </c>
      <c r="AU44" s="81">
        <f t="shared" si="49"/>
        <v>61.285714285714285</v>
      </c>
      <c r="AV44" s="74">
        <v>82</v>
      </c>
      <c r="AW44" s="81">
        <f t="shared" si="50"/>
        <v>83.428571428571431</v>
      </c>
      <c r="AX44" s="74">
        <v>59</v>
      </c>
      <c r="AY44" s="81">
        <f t="shared" si="51"/>
        <v>55.857142857142854</v>
      </c>
    </row>
    <row r="45" spans="1:51" x14ac:dyDescent="0.25">
      <c r="A45" s="85">
        <f t="shared" si="19"/>
        <v>45436</v>
      </c>
      <c r="B45" s="74">
        <f t="shared" si="12"/>
        <v>1367</v>
      </c>
      <c r="C45" s="81">
        <f t="shared" si="20"/>
        <v>1372.75</v>
      </c>
      <c r="D45" s="74">
        <v>704.75068488320005</v>
      </c>
      <c r="E45" s="81">
        <f t="shared" si="20"/>
        <v>730.36369859110005</v>
      </c>
      <c r="F45" s="74">
        <f t="shared" si="13"/>
        <v>4166</v>
      </c>
      <c r="G45" s="81">
        <f t="shared" ref="G45" si="291">AVERAGE(F42:F45)</f>
        <v>4459.75</v>
      </c>
      <c r="H45" s="74">
        <f t="shared" si="14"/>
        <v>1367</v>
      </c>
      <c r="I45" s="81">
        <f t="shared" ref="I45" si="292">AVERAGE(H42:H45)</f>
        <v>1372.75</v>
      </c>
      <c r="J45" s="74">
        <v>476</v>
      </c>
      <c r="K45" s="81">
        <f t="shared" ref="K45" si="293">AVERAGE(J42:J45)</f>
        <v>479.5</v>
      </c>
      <c r="L45" s="74">
        <v>891</v>
      </c>
      <c r="M45" s="81">
        <f t="shared" ref="M45" si="294">AVERAGE(L42:L45)</f>
        <v>893.25</v>
      </c>
      <c r="N45" s="74">
        <v>0</v>
      </c>
      <c r="O45" s="81">
        <f t="shared" ref="O45" si="295">AVERAGE(N42:N45)</f>
        <v>0</v>
      </c>
      <c r="P45" s="74">
        <v>230.05479445919994</v>
      </c>
      <c r="Q45" s="81">
        <f t="shared" ref="Q45" si="296">AVERAGE(P42:P45)</f>
        <v>252.1773972081001</v>
      </c>
      <c r="R45" s="74">
        <v>2799</v>
      </c>
      <c r="S45" s="81">
        <f t="shared" ref="S45" si="297">AVERAGE(R42:R45)</f>
        <v>3087</v>
      </c>
      <c r="T45" s="74">
        <f t="shared" si="15"/>
        <v>273</v>
      </c>
      <c r="U45" s="81">
        <f t="shared" si="59"/>
        <v>268.71428571428572</v>
      </c>
      <c r="V45" s="74">
        <f t="shared" si="16"/>
        <v>57</v>
      </c>
      <c r="W45" s="81">
        <f t="shared" si="42"/>
        <v>57.285714285714285</v>
      </c>
      <c r="X45" s="74">
        <f t="shared" si="17"/>
        <v>84</v>
      </c>
      <c r="Y45" s="81">
        <f t="shared" si="43"/>
        <v>83.428571428571431</v>
      </c>
      <c r="Z45" s="74">
        <f t="shared" si="18"/>
        <v>62</v>
      </c>
      <c r="AA45" s="81">
        <f t="shared" si="44"/>
        <v>57.571428571428569</v>
      </c>
      <c r="AB45" s="83">
        <f t="shared" si="237"/>
        <v>0.57352941176470584</v>
      </c>
      <c r="AC45" s="83">
        <f t="shared" si="238"/>
        <v>0.11974789915966387</v>
      </c>
      <c r="AD45" s="83">
        <f t="shared" si="239"/>
        <v>0.17647058823529413</v>
      </c>
      <c r="AE45" s="84">
        <f t="shared" si="240"/>
        <v>0.13025210084033614</v>
      </c>
      <c r="AF45" s="83">
        <f t="shared" si="290"/>
        <v>0.57663790558988592</v>
      </c>
      <c r="AG45" s="83">
        <f t="shared" si="290"/>
        <v>0.12156752071403742</v>
      </c>
      <c r="AH45" s="83">
        <f t="shared" si="290"/>
        <v>0.17775884530393457</v>
      </c>
      <c r="AI45" s="84">
        <f t="shared" si="290"/>
        <v>0.12403572839214193</v>
      </c>
      <c r="AJ45" s="74">
        <v>0</v>
      </c>
      <c r="AK45" s="81">
        <f t="shared" si="44"/>
        <v>0</v>
      </c>
      <c r="AL45" s="74">
        <v>0</v>
      </c>
      <c r="AM45" s="81">
        <f t="shared" si="45"/>
        <v>0</v>
      </c>
      <c r="AN45" s="74">
        <v>0</v>
      </c>
      <c r="AO45" s="81">
        <f t="shared" si="46"/>
        <v>0</v>
      </c>
      <c r="AP45" s="74">
        <v>0</v>
      </c>
      <c r="AQ45" s="81">
        <f t="shared" si="47"/>
        <v>0</v>
      </c>
      <c r="AR45" s="74">
        <v>273</v>
      </c>
      <c r="AS45" s="81">
        <f t="shared" si="48"/>
        <v>268.71428571428572</v>
      </c>
      <c r="AT45" s="74">
        <v>57</v>
      </c>
      <c r="AU45" s="81">
        <f t="shared" si="49"/>
        <v>57.285714285714285</v>
      </c>
      <c r="AV45" s="74">
        <v>84</v>
      </c>
      <c r="AW45" s="81">
        <f t="shared" si="50"/>
        <v>83.428571428571431</v>
      </c>
      <c r="AX45" s="74">
        <v>62</v>
      </c>
      <c r="AY45" s="81">
        <f t="shared" si="51"/>
        <v>57.571428571428569</v>
      </c>
    </row>
    <row r="46" spans="1:51" x14ac:dyDescent="0.25">
      <c r="A46" s="85">
        <f t="shared" si="19"/>
        <v>45443</v>
      </c>
      <c r="B46" s="74">
        <f t="shared" si="12"/>
        <v>1334</v>
      </c>
      <c r="C46" s="81">
        <f t="shared" si="20"/>
        <v>1309</v>
      </c>
      <c r="D46" s="74">
        <v>639.17808214600018</v>
      </c>
      <c r="E46" s="81">
        <f t="shared" si="20"/>
        <v>677.10273967709998</v>
      </c>
      <c r="F46" s="74">
        <f t="shared" si="13"/>
        <v>3954</v>
      </c>
      <c r="G46" s="81">
        <f t="shared" ref="G46" si="298">AVERAGE(F43:F46)</f>
        <v>4102.25</v>
      </c>
      <c r="H46" s="74">
        <f t="shared" si="14"/>
        <v>1334</v>
      </c>
      <c r="I46" s="81">
        <f t="shared" ref="I46" si="299">AVERAGE(H43:H46)</f>
        <v>1309</v>
      </c>
      <c r="J46" s="74">
        <v>425</v>
      </c>
      <c r="K46" s="81">
        <f t="shared" ref="K46" si="300">AVERAGE(J43:J46)</f>
        <v>448.75</v>
      </c>
      <c r="L46" s="74">
        <v>909</v>
      </c>
      <c r="M46" s="81">
        <f t="shared" ref="M46" si="301">AVERAGE(L43:L46)</f>
        <v>860.25</v>
      </c>
      <c r="N46" s="74">
        <v>0</v>
      </c>
      <c r="O46" s="81">
        <f t="shared" ref="O46" si="302">AVERAGE(N43:N46)</f>
        <v>0</v>
      </c>
      <c r="P46" s="74">
        <v>215.34246569600003</v>
      </c>
      <c r="Q46" s="81">
        <f t="shared" ref="Q46" si="303">AVERAGE(P43:P46)</f>
        <v>229.58219171959996</v>
      </c>
      <c r="R46" s="74">
        <v>2620</v>
      </c>
      <c r="S46" s="81">
        <f t="shared" ref="S46" si="304">AVERAGE(R43:R46)</f>
        <v>2793.25</v>
      </c>
      <c r="T46" s="74">
        <f t="shared" si="15"/>
        <v>232</v>
      </c>
      <c r="U46" s="81">
        <f t="shared" si="59"/>
        <v>264.57142857142856</v>
      </c>
      <c r="V46" s="74">
        <f t="shared" si="16"/>
        <v>65</v>
      </c>
      <c r="W46" s="81">
        <f t="shared" si="42"/>
        <v>58.142857142857146</v>
      </c>
      <c r="X46" s="74">
        <f t="shared" si="17"/>
        <v>71</v>
      </c>
      <c r="Y46" s="81">
        <f t="shared" si="43"/>
        <v>81.571428571428569</v>
      </c>
      <c r="Z46" s="74">
        <f t="shared" si="18"/>
        <v>57</v>
      </c>
      <c r="AA46" s="81">
        <f t="shared" si="44"/>
        <v>56.857142857142854</v>
      </c>
      <c r="AB46" s="83">
        <f t="shared" si="237"/>
        <v>0.54588235294117649</v>
      </c>
      <c r="AC46" s="83">
        <f t="shared" si="238"/>
        <v>0.15294117647058825</v>
      </c>
      <c r="AD46" s="83">
        <f t="shared" si="239"/>
        <v>0.16705882352941176</v>
      </c>
      <c r="AE46" s="84">
        <f t="shared" si="240"/>
        <v>0.13411764705882354</v>
      </c>
      <c r="AF46" s="83">
        <f t="shared" si="290"/>
        <v>0.57460883645150107</v>
      </c>
      <c r="AG46" s="83">
        <f t="shared" si="290"/>
        <v>0.1253291970583949</v>
      </c>
      <c r="AH46" s="83">
        <f t="shared" si="290"/>
        <v>0.17587331856104857</v>
      </c>
      <c r="AI46" s="84">
        <f t="shared" si="290"/>
        <v>0.1241886479290554</v>
      </c>
      <c r="AJ46" s="74">
        <v>0</v>
      </c>
      <c r="AK46" s="81">
        <f t="shared" si="44"/>
        <v>0</v>
      </c>
      <c r="AL46" s="74">
        <v>0</v>
      </c>
      <c r="AM46" s="81">
        <f t="shared" si="45"/>
        <v>0</v>
      </c>
      <c r="AN46" s="74">
        <v>0</v>
      </c>
      <c r="AO46" s="81">
        <f t="shared" si="46"/>
        <v>0</v>
      </c>
      <c r="AP46" s="74">
        <v>0</v>
      </c>
      <c r="AQ46" s="81">
        <f t="shared" si="47"/>
        <v>0</v>
      </c>
      <c r="AR46" s="74">
        <v>232</v>
      </c>
      <c r="AS46" s="81">
        <f t="shared" si="48"/>
        <v>264.57142857142856</v>
      </c>
      <c r="AT46" s="74">
        <v>65</v>
      </c>
      <c r="AU46" s="81">
        <f t="shared" si="49"/>
        <v>58.142857142857146</v>
      </c>
      <c r="AV46" s="74">
        <v>71</v>
      </c>
      <c r="AW46" s="81">
        <f t="shared" si="50"/>
        <v>81.571428571428569</v>
      </c>
      <c r="AX46" s="74">
        <v>57</v>
      </c>
      <c r="AY46" s="81">
        <f t="shared" si="51"/>
        <v>56.857142857142854</v>
      </c>
    </row>
    <row r="47" spans="1:51" x14ac:dyDescent="0.25">
      <c r="A47" s="85">
        <f t="shared" si="19"/>
        <v>45450</v>
      </c>
      <c r="B47" s="74">
        <f t="shared" si="12"/>
        <v>1268</v>
      </c>
      <c r="C47" s="81">
        <f t="shared" si="20"/>
        <v>1301.5</v>
      </c>
      <c r="D47" s="74">
        <v>633.1753424920006</v>
      </c>
      <c r="E47" s="81">
        <f t="shared" si="20"/>
        <v>665.0595890113002</v>
      </c>
      <c r="F47" s="74">
        <f t="shared" si="13"/>
        <v>3953</v>
      </c>
      <c r="G47" s="81">
        <f t="shared" ref="G47" si="305">AVERAGE(F44:F47)</f>
        <v>4052.5</v>
      </c>
      <c r="H47" s="74">
        <f t="shared" si="14"/>
        <v>1268</v>
      </c>
      <c r="I47" s="81">
        <f t="shared" ref="I47" si="306">AVERAGE(H44:H47)</f>
        <v>1301.5</v>
      </c>
      <c r="J47" s="74">
        <v>421</v>
      </c>
      <c r="K47" s="81">
        <f t="shared" ref="K47" si="307">AVERAGE(J44:J47)</f>
        <v>442</v>
      </c>
      <c r="L47" s="74">
        <v>847</v>
      </c>
      <c r="M47" s="81">
        <f t="shared" ref="M47" si="308">AVERAGE(L44:L47)</f>
        <v>859.5</v>
      </c>
      <c r="N47" s="74">
        <v>0</v>
      </c>
      <c r="O47" s="81">
        <f t="shared" ref="O47" si="309">AVERAGE(N44:N47)</f>
        <v>0</v>
      </c>
      <c r="P47" s="74">
        <v>213.32876713800056</v>
      </c>
      <c r="Q47" s="81">
        <f t="shared" ref="Q47" si="310">AVERAGE(P44:P47)</f>
        <v>224.27054790330016</v>
      </c>
      <c r="R47" s="74">
        <v>2685</v>
      </c>
      <c r="S47" s="81">
        <f t="shared" ref="S47" si="311">AVERAGE(R44:R47)</f>
        <v>2751</v>
      </c>
      <c r="T47" s="74">
        <f t="shared" si="15"/>
        <v>251</v>
      </c>
      <c r="U47" s="81">
        <f t="shared" si="59"/>
        <v>263.14285714285717</v>
      </c>
      <c r="V47" s="74">
        <f t="shared" si="16"/>
        <v>41</v>
      </c>
      <c r="W47" s="81">
        <f t="shared" si="42"/>
        <v>57.714285714285715</v>
      </c>
      <c r="X47" s="74">
        <f t="shared" si="17"/>
        <v>73</v>
      </c>
      <c r="Y47" s="81">
        <f t="shared" si="43"/>
        <v>83.714285714285708</v>
      </c>
      <c r="Z47" s="74">
        <f t="shared" si="18"/>
        <v>56</v>
      </c>
      <c r="AA47" s="81">
        <f t="shared" si="44"/>
        <v>56.714285714285715</v>
      </c>
      <c r="AB47" s="83">
        <f t="shared" si="237"/>
        <v>0.59619952494061756</v>
      </c>
      <c r="AC47" s="83">
        <f t="shared" si="238"/>
        <v>9.7387173396674589E-2</v>
      </c>
      <c r="AD47" s="83">
        <f t="shared" si="239"/>
        <v>0.17339667458432304</v>
      </c>
      <c r="AE47" s="84">
        <f t="shared" si="240"/>
        <v>0.1330166270783848</v>
      </c>
      <c r="AF47" s="83">
        <f t="shared" si="290"/>
        <v>0.57100468695322193</v>
      </c>
      <c r="AG47" s="83">
        <f t="shared" si="290"/>
        <v>0.12427566400621917</v>
      </c>
      <c r="AH47" s="83">
        <f t="shared" si="290"/>
        <v>0.18091638091663212</v>
      </c>
      <c r="AI47" s="84">
        <f t="shared" si="290"/>
        <v>0.12380326812392671</v>
      </c>
      <c r="AJ47" s="74">
        <v>0</v>
      </c>
      <c r="AK47" s="81">
        <f t="shared" si="44"/>
        <v>0</v>
      </c>
      <c r="AL47" s="74">
        <v>0</v>
      </c>
      <c r="AM47" s="81">
        <f t="shared" si="45"/>
        <v>0</v>
      </c>
      <c r="AN47" s="74">
        <v>0</v>
      </c>
      <c r="AO47" s="81">
        <f t="shared" si="46"/>
        <v>0</v>
      </c>
      <c r="AP47" s="74">
        <v>0</v>
      </c>
      <c r="AQ47" s="81">
        <f t="shared" si="47"/>
        <v>0</v>
      </c>
      <c r="AR47" s="74">
        <v>251</v>
      </c>
      <c r="AS47" s="81">
        <f t="shared" si="48"/>
        <v>263.14285714285717</v>
      </c>
      <c r="AT47" s="74">
        <v>41</v>
      </c>
      <c r="AU47" s="81">
        <f t="shared" si="49"/>
        <v>57.714285714285715</v>
      </c>
      <c r="AV47" s="74">
        <v>73</v>
      </c>
      <c r="AW47" s="81">
        <f t="shared" si="50"/>
        <v>83.714285714285708</v>
      </c>
      <c r="AX47" s="74">
        <v>56</v>
      </c>
      <c r="AY47" s="81">
        <f t="shared" si="51"/>
        <v>56.714285714285715</v>
      </c>
    </row>
    <row r="48" spans="1:51" x14ac:dyDescent="0.25">
      <c r="A48" s="85">
        <f t="shared" si="19"/>
        <v>45457</v>
      </c>
      <c r="B48" s="74">
        <f t="shared" si="12"/>
        <v>1159</v>
      </c>
      <c r="C48" s="81">
        <f t="shared" si="20"/>
        <v>1282</v>
      </c>
      <c r="D48" s="74">
        <v>595.31232879200059</v>
      </c>
      <c r="E48" s="81">
        <f t="shared" si="20"/>
        <v>643.10410957830038</v>
      </c>
      <c r="F48" s="74">
        <f t="shared" si="13"/>
        <v>3744</v>
      </c>
      <c r="G48" s="81">
        <f t="shared" ref="G48" si="312">AVERAGE(F45:F48)</f>
        <v>3954.25</v>
      </c>
      <c r="H48" s="74">
        <f t="shared" si="14"/>
        <v>1159</v>
      </c>
      <c r="I48" s="81">
        <f t="shared" ref="I48" si="313">AVERAGE(H45:H48)</f>
        <v>1282</v>
      </c>
      <c r="J48" s="74">
        <v>391</v>
      </c>
      <c r="K48" s="81">
        <f t="shared" ref="K48" si="314">AVERAGE(J45:J48)</f>
        <v>428.25</v>
      </c>
      <c r="L48" s="74">
        <v>768</v>
      </c>
      <c r="M48" s="81">
        <f t="shared" ref="M48" si="315">AVERAGE(L45:L48)</f>
        <v>853.75</v>
      </c>
      <c r="N48" s="74">
        <v>0</v>
      </c>
      <c r="O48" s="81">
        <f t="shared" ref="O48" si="316">AVERAGE(N45:N48)</f>
        <v>0</v>
      </c>
      <c r="P48" s="74">
        <v>205.38356165800059</v>
      </c>
      <c r="Q48" s="81">
        <f t="shared" ref="Q48" si="317">AVERAGE(P45:P48)</f>
        <v>216.0273972378003</v>
      </c>
      <c r="R48" s="74">
        <v>2585</v>
      </c>
      <c r="S48" s="81">
        <f t="shared" ref="S48" si="318">AVERAGE(R45:R48)</f>
        <v>2672.25</v>
      </c>
      <c r="T48" s="74">
        <f t="shared" si="15"/>
        <v>218</v>
      </c>
      <c r="U48" s="81">
        <f t="shared" si="59"/>
        <v>254.85714285714286</v>
      </c>
      <c r="V48" s="74">
        <f t="shared" si="16"/>
        <v>52</v>
      </c>
      <c r="W48" s="81">
        <f t="shared" si="42"/>
        <v>57.285714285714285</v>
      </c>
      <c r="X48" s="74">
        <f t="shared" si="17"/>
        <v>65</v>
      </c>
      <c r="Y48" s="81">
        <f t="shared" si="43"/>
        <v>80.285714285714292</v>
      </c>
      <c r="Z48" s="74">
        <f t="shared" si="18"/>
        <v>56</v>
      </c>
      <c r="AA48" s="81">
        <f t="shared" si="44"/>
        <v>58.285714285714285</v>
      </c>
      <c r="AB48" s="83">
        <f t="shared" si="237"/>
        <v>0.55754475703324813</v>
      </c>
      <c r="AC48" s="83">
        <f t="shared" si="238"/>
        <v>0.13299232736572891</v>
      </c>
      <c r="AD48" s="83">
        <f t="shared" si="239"/>
        <v>0.16624040920716113</v>
      </c>
      <c r="AE48" s="84">
        <f t="shared" si="240"/>
        <v>0.14322250639386189</v>
      </c>
      <c r="AF48" s="83">
        <f t="shared" si="290"/>
        <v>0.56586131122986116</v>
      </c>
      <c r="AG48" s="83">
        <f t="shared" si="290"/>
        <v>0.12637748650239855</v>
      </c>
      <c r="AH48" s="83">
        <f t="shared" si="290"/>
        <v>0.17732246088017437</v>
      </c>
      <c r="AI48" s="84">
        <f t="shared" si="290"/>
        <v>0.13043874138756598</v>
      </c>
      <c r="AJ48" s="74">
        <v>0</v>
      </c>
      <c r="AK48" s="81">
        <f t="shared" si="44"/>
        <v>0</v>
      </c>
      <c r="AL48" s="74">
        <v>0</v>
      </c>
      <c r="AM48" s="81">
        <f t="shared" si="45"/>
        <v>0</v>
      </c>
      <c r="AN48" s="74">
        <v>0</v>
      </c>
      <c r="AO48" s="81">
        <f t="shared" si="46"/>
        <v>0</v>
      </c>
      <c r="AP48" s="74">
        <v>0</v>
      </c>
      <c r="AQ48" s="81">
        <f t="shared" si="47"/>
        <v>0</v>
      </c>
      <c r="AR48" s="74">
        <v>218</v>
      </c>
      <c r="AS48" s="81">
        <f t="shared" si="48"/>
        <v>254.85714285714286</v>
      </c>
      <c r="AT48" s="74">
        <v>52</v>
      </c>
      <c r="AU48" s="81">
        <f t="shared" si="49"/>
        <v>57.285714285714285</v>
      </c>
      <c r="AV48" s="74">
        <v>65</v>
      </c>
      <c r="AW48" s="81">
        <f t="shared" si="50"/>
        <v>80.285714285714292</v>
      </c>
      <c r="AX48" s="74">
        <v>56</v>
      </c>
      <c r="AY48" s="81">
        <f t="shared" si="51"/>
        <v>58.285714285714285</v>
      </c>
    </row>
    <row r="49" spans="1:51" x14ac:dyDescent="0.25">
      <c r="A49" s="85">
        <f t="shared" si="19"/>
        <v>45464</v>
      </c>
      <c r="B49" s="74">
        <f t="shared" si="12"/>
        <v>1156</v>
      </c>
      <c r="C49" s="81">
        <f t="shared" si="20"/>
        <v>1229.25</v>
      </c>
      <c r="D49" s="74">
        <v>629.12328769720045</v>
      </c>
      <c r="E49" s="81">
        <f t="shared" si="20"/>
        <v>624.19726028180048</v>
      </c>
      <c r="F49" s="74">
        <f t="shared" si="13"/>
        <v>3790</v>
      </c>
      <c r="G49" s="81">
        <f t="shared" ref="G49" si="319">AVERAGE(F46:F49)</f>
        <v>3860.25</v>
      </c>
      <c r="H49" s="74">
        <f t="shared" si="14"/>
        <v>1155</v>
      </c>
      <c r="I49" s="81">
        <f t="shared" ref="I49" si="320">AVERAGE(H46:H49)</f>
        <v>1229</v>
      </c>
      <c r="J49" s="74">
        <v>420</v>
      </c>
      <c r="K49" s="81">
        <f t="shared" ref="K49" si="321">AVERAGE(J46:J49)</f>
        <v>414.25</v>
      </c>
      <c r="L49" s="74">
        <v>735</v>
      </c>
      <c r="M49" s="81">
        <f t="shared" ref="M49" si="322">AVERAGE(L46:L49)</f>
        <v>814.75</v>
      </c>
      <c r="N49" s="74">
        <v>1</v>
      </c>
      <c r="O49" s="81">
        <f t="shared" ref="O49" si="323">AVERAGE(N46:N49)</f>
        <v>0.25</v>
      </c>
      <c r="P49" s="74">
        <v>210.27397261720049</v>
      </c>
      <c r="Q49" s="81">
        <f t="shared" ref="Q49" si="324">AVERAGE(P46:P49)</f>
        <v>211.08219177730041</v>
      </c>
      <c r="R49" s="74">
        <v>2635</v>
      </c>
      <c r="S49" s="81">
        <f t="shared" ref="S49" si="325">AVERAGE(R46:R49)</f>
        <v>2631.25</v>
      </c>
      <c r="T49" s="74">
        <f t="shared" si="15"/>
        <v>248</v>
      </c>
      <c r="U49" s="81">
        <f t="shared" si="59"/>
        <v>247.28571428571428</v>
      </c>
      <c r="V49" s="74">
        <f t="shared" si="16"/>
        <v>51</v>
      </c>
      <c r="W49" s="81">
        <f t="shared" si="42"/>
        <v>52.571428571428569</v>
      </c>
      <c r="X49" s="74">
        <f t="shared" si="17"/>
        <v>75</v>
      </c>
      <c r="Y49" s="81">
        <f t="shared" si="43"/>
        <v>75.857142857142861</v>
      </c>
      <c r="Z49" s="74">
        <f t="shared" si="18"/>
        <v>47</v>
      </c>
      <c r="AA49" s="81">
        <f t="shared" si="44"/>
        <v>56.857142857142854</v>
      </c>
      <c r="AB49" s="83">
        <f t="shared" si="237"/>
        <v>0.5890736342042755</v>
      </c>
      <c r="AC49" s="83">
        <f t="shared" si="238"/>
        <v>0.12114014251781473</v>
      </c>
      <c r="AD49" s="83">
        <f t="shared" si="239"/>
        <v>0.17814726840855108</v>
      </c>
      <c r="AE49" s="84">
        <f t="shared" si="240"/>
        <v>0.11163895486935867</v>
      </c>
      <c r="AF49" s="83">
        <f t="shared" si="290"/>
        <v>0.57154753426008598</v>
      </c>
      <c r="AG49" s="83">
        <f t="shared" si="290"/>
        <v>0.12178541092882256</v>
      </c>
      <c r="AH49" s="83">
        <f t="shared" si="290"/>
        <v>0.17513911966220927</v>
      </c>
      <c r="AI49" s="84">
        <f t="shared" si="290"/>
        <v>0.13152793514888206</v>
      </c>
      <c r="AJ49" s="74">
        <v>1</v>
      </c>
      <c r="AK49" s="81">
        <f t="shared" si="44"/>
        <v>0.14285714285714285</v>
      </c>
      <c r="AL49" s="74">
        <v>0</v>
      </c>
      <c r="AM49" s="81">
        <f t="shared" si="45"/>
        <v>0</v>
      </c>
      <c r="AN49" s="74">
        <v>0</v>
      </c>
      <c r="AO49" s="81">
        <f t="shared" si="46"/>
        <v>0</v>
      </c>
      <c r="AP49" s="74">
        <v>0</v>
      </c>
      <c r="AQ49" s="81">
        <f t="shared" si="47"/>
        <v>0</v>
      </c>
      <c r="AR49" s="74">
        <v>247</v>
      </c>
      <c r="AS49" s="81">
        <f t="shared" si="48"/>
        <v>247.14285714285714</v>
      </c>
      <c r="AT49" s="74">
        <v>51</v>
      </c>
      <c r="AU49" s="81">
        <f t="shared" si="49"/>
        <v>52.571428571428569</v>
      </c>
      <c r="AV49" s="74">
        <v>75</v>
      </c>
      <c r="AW49" s="81">
        <f t="shared" si="50"/>
        <v>75.857142857142861</v>
      </c>
      <c r="AX49" s="74">
        <v>47</v>
      </c>
      <c r="AY49" s="81">
        <f t="shared" si="51"/>
        <v>56.857142857142854</v>
      </c>
    </row>
    <row r="50" spans="1:51" x14ac:dyDescent="0.25">
      <c r="A50" s="85">
        <f t="shared" si="19"/>
        <v>45471</v>
      </c>
      <c r="B50" s="74">
        <f t="shared" si="12"/>
        <v>1175</v>
      </c>
      <c r="C50" s="81">
        <f t="shared" si="20"/>
        <v>1189.5</v>
      </c>
      <c r="D50" s="74">
        <v>534.02465755680055</v>
      </c>
      <c r="E50" s="81">
        <f t="shared" si="20"/>
        <v>597.90890413450052</v>
      </c>
      <c r="F50" s="74">
        <f t="shared" si="13"/>
        <v>3566</v>
      </c>
      <c r="G50" s="81">
        <f t="shared" ref="G50" si="326">AVERAGE(F47:F50)</f>
        <v>3763.25</v>
      </c>
      <c r="H50" s="74">
        <f t="shared" si="14"/>
        <v>1175</v>
      </c>
      <c r="I50" s="81">
        <f t="shared" ref="I50" si="327">AVERAGE(H47:H50)</f>
        <v>1189.25</v>
      </c>
      <c r="J50" s="74">
        <v>345</v>
      </c>
      <c r="K50" s="81">
        <f t="shared" ref="K50" si="328">AVERAGE(J47:J50)</f>
        <v>394.25</v>
      </c>
      <c r="L50" s="74">
        <v>830</v>
      </c>
      <c r="M50" s="81">
        <f t="shared" ref="M50" si="329">AVERAGE(L47:L50)</f>
        <v>795</v>
      </c>
      <c r="N50" s="74">
        <v>0</v>
      </c>
      <c r="O50" s="81">
        <f t="shared" ref="O50" si="330">AVERAGE(N47:N50)</f>
        <v>0.25</v>
      </c>
      <c r="P50" s="74">
        <v>189.96986302680048</v>
      </c>
      <c r="Q50" s="81">
        <f t="shared" ref="Q50" si="331">AVERAGE(P47:P50)</f>
        <v>204.73904111000053</v>
      </c>
      <c r="R50" s="74">
        <v>2391</v>
      </c>
      <c r="S50" s="81">
        <f t="shared" ref="S50" si="332">AVERAGE(R47:R50)</f>
        <v>2574</v>
      </c>
      <c r="T50" s="74">
        <f t="shared" si="15"/>
        <v>179</v>
      </c>
      <c r="U50" s="81">
        <f t="shared" si="59"/>
        <v>235</v>
      </c>
      <c r="V50" s="74">
        <f t="shared" si="16"/>
        <v>58</v>
      </c>
      <c r="W50" s="81">
        <f t="shared" si="42"/>
        <v>55</v>
      </c>
      <c r="X50" s="74">
        <f t="shared" si="17"/>
        <v>57</v>
      </c>
      <c r="Y50" s="81">
        <f t="shared" si="43"/>
        <v>72.428571428571431</v>
      </c>
      <c r="Z50" s="74">
        <f t="shared" si="18"/>
        <v>51</v>
      </c>
      <c r="AA50" s="81">
        <f t="shared" si="44"/>
        <v>55.428571428571431</v>
      </c>
      <c r="AB50" s="83">
        <f t="shared" si="237"/>
        <v>0.51884057971014497</v>
      </c>
      <c r="AC50" s="83">
        <f t="shared" si="238"/>
        <v>0.1681159420289855</v>
      </c>
      <c r="AD50" s="83">
        <f t="shared" si="239"/>
        <v>0.16521739130434782</v>
      </c>
      <c r="AE50" s="84">
        <f t="shared" si="240"/>
        <v>0.14782608695652175</v>
      </c>
      <c r="AF50" s="83">
        <f t="shared" si="290"/>
        <v>0.56116506605541283</v>
      </c>
      <c r="AG50" s="83">
        <f t="shared" si="290"/>
        <v>0.13272799448398379</v>
      </c>
      <c r="AH50" s="83">
        <f t="shared" si="290"/>
        <v>0.17291252250160591</v>
      </c>
      <c r="AI50" s="84">
        <f t="shared" si="290"/>
        <v>0.13319441695899742</v>
      </c>
      <c r="AJ50" s="74">
        <v>0</v>
      </c>
      <c r="AK50" s="81">
        <f t="shared" si="44"/>
        <v>0.14285714285714285</v>
      </c>
      <c r="AL50" s="74">
        <v>0</v>
      </c>
      <c r="AM50" s="81">
        <f t="shared" si="45"/>
        <v>0</v>
      </c>
      <c r="AN50" s="74">
        <v>0</v>
      </c>
      <c r="AO50" s="81">
        <f t="shared" si="46"/>
        <v>0</v>
      </c>
      <c r="AP50" s="74">
        <v>0</v>
      </c>
      <c r="AQ50" s="81">
        <f t="shared" si="47"/>
        <v>0</v>
      </c>
      <c r="AR50" s="74">
        <v>179</v>
      </c>
      <c r="AS50" s="81">
        <f t="shared" si="48"/>
        <v>234.85714285714286</v>
      </c>
      <c r="AT50" s="74">
        <v>58</v>
      </c>
      <c r="AU50" s="81">
        <f t="shared" si="49"/>
        <v>55</v>
      </c>
      <c r="AV50" s="74">
        <v>57</v>
      </c>
      <c r="AW50" s="81">
        <f t="shared" si="50"/>
        <v>72.428571428571431</v>
      </c>
      <c r="AX50" s="74">
        <v>51</v>
      </c>
      <c r="AY50" s="81">
        <f t="shared" si="51"/>
        <v>55.428571428571431</v>
      </c>
    </row>
    <row r="51" spans="1:51" x14ac:dyDescent="0.25">
      <c r="A51" s="85">
        <f t="shared" si="19"/>
        <v>45478</v>
      </c>
      <c r="B51" s="74">
        <f t="shared" si="12"/>
        <v>1154</v>
      </c>
      <c r="C51" s="81">
        <f t="shared" si="20"/>
        <v>1161</v>
      </c>
      <c r="D51" s="74">
        <v>592.52054792080003</v>
      </c>
      <c r="E51" s="81">
        <f t="shared" si="20"/>
        <v>587.7452054917004</v>
      </c>
      <c r="F51" s="74">
        <f t="shared" si="13"/>
        <v>3905</v>
      </c>
      <c r="G51" s="81">
        <f t="shared" ref="G51" si="333">AVERAGE(F48:F51)</f>
        <v>3751.25</v>
      </c>
      <c r="H51" s="74">
        <f t="shared" si="14"/>
        <v>1154</v>
      </c>
      <c r="I51" s="81">
        <f t="shared" ref="I51" si="334">AVERAGE(H48:H51)</f>
        <v>1160.75</v>
      </c>
      <c r="J51" s="74">
        <v>370</v>
      </c>
      <c r="K51" s="81">
        <f t="shared" ref="K51" si="335">AVERAGE(J48:J51)</f>
        <v>381.5</v>
      </c>
      <c r="L51" s="74">
        <v>784</v>
      </c>
      <c r="M51" s="81">
        <f t="shared" ref="M51" si="336">AVERAGE(L48:L51)</f>
        <v>779.25</v>
      </c>
      <c r="N51" s="74">
        <v>0</v>
      </c>
      <c r="O51" s="81">
        <f t="shared" ref="O51" si="337">AVERAGE(N48:N51)</f>
        <v>0.25</v>
      </c>
      <c r="P51" s="74">
        <v>223.5342465408001</v>
      </c>
      <c r="Q51" s="81">
        <f t="shared" ref="Q51" si="338">AVERAGE(P48:P51)</f>
        <v>207.2904109607004</v>
      </c>
      <c r="R51" s="74">
        <v>2751</v>
      </c>
      <c r="S51" s="81">
        <f t="shared" ref="S51" si="339">AVERAGE(R48:R51)</f>
        <v>2590.5</v>
      </c>
      <c r="T51" s="74">
        <f t="shared" si="15"/>
        <v>197</v>
      </c>
      <c r="U51" s="81">
        <f t="shared" si="59"/>
        <v>228.28571428571428</v>
      </c>
      <c r="V51" s="74">
        <f t="shared" si="16"/>
        <v>57</v>
      </c>
      <c r="W51" s="81">
        <f t="shared" si="42"/>
        <v>54.428571428571431</v>
      </c>
      <c r="X51" s="74">
        <f t="shared" si="17"/>
        <v>66</v>
      </c>
      <c r="Y51" s="81">
        <f t="shared" si="43"/>
        <v>70.142857142857139</v>
      </c>
      <c r="Z51" s="74">
        <f t="shared" si="18"/>
        <v>50</v>
      </c>
      <c r="AA51" s="81">
        <f t="shared" si="44"/>
        <v>54.142857142857146</v>
      </c>
      <c r="AB51" s="83">
        <f t="shared" si="237"/>
        <v>0.53243243243243243</v>
      </c>
      <c r="AC51" s="83">
        <f t="shared" si="238"/>
        <v>0.15405405405405406</v>
      </c>
      <c r="AD51" s="83">
        <f t="shared" si="239"/>
        <v>0.17837837837837839</v>
      </c>
      <c r="AE51" s="84">
        <f t="shared" si="240"/>
        <v>0.13513513513513514</v>
      </c>
      <c r="AF51" s="83">
        <f t="shared" si="290"/>
        <v>0.5590718132895145</v>
      </c>
      <c r="AG51" s="83">
        <f t="shared" si="290"/>
        <v>0.13519695928478712</v>
      </c>
      <c r="AH51" s="83">
        <f t="shared" si="290"/>
        <v>0.17212993337820962</v>
      </c>
      <c r="AI51" s="84">
        <f t="shared" si="290"/>
        <v>0.13360129404748886</v>
      </c>
      <c r="AJ51" s="74">
        <v>0</v>
      </c>
      <c r="AK51" s="81">
        <f t="shared" si="44"/>
        <v>0.14285714285714285</v>
      </c>
      <c r="AL51" s="74">
        <v>0</v>
      </c>
      <c r="AM51" s="81">
        <f t="shared" si="45"/>
        <v>0</v>
      </c>
      <c r="AN51" s="74">
        <v>0</v>
      </c>
      <c r="AO51" s="81">
        <f t="shared" si="46"/>
        <v>0</v>
      </c>
      <c r="AP51" s="74">
        <v>0</v>
      </c>
      <c r="AQ51" s="81">
        <f t="shared" si="47"/>
        <v>0</v>
      </c>
      <c r="AR51" s="74">
        <v>197</v>
      </c>
      <c r="AS51" s="81">
        <f t="shared" si="48"/>
        <v>228.14285714285714</v>
      </c>
      <c r="AT51" s="74">
        <v>57</v>
      </c>
      <c r="AU51" s="81">
        <f t="shared" si="49"/>
        <v>54.428571428571431</v>
      </c>
      <c r="AV51" s="74">
        <v>66</v>
      </c>
      <c r="AW51" s="81">
        <f t="shared" si="50"/>
        <v>70.142857142857139</v>
      </c>
      <c r="AX51" s="74">
        <v>50</v>
      </c>
      <c r="AY51" s="81">
        <f t="shared" si="51"/>
        <v>54.142857142857146</v>
      </c>
    </row>
    <row r="52" spans="1:51" x14ac:dyDescent="0.25">
      <c r="A52" s="85">
        <f t="shared" si="19"/>
        <v>45485</v>
      </c>
      <c r="B52" s="74">
        <f t="shared" si="12"/>
        <v>979</v>
      </c>
      <c r="C52" s="81">
        <f t="shared" si="20"/>
        <v>1116</v>
      </c>
      <c r="D52" s="74">
        <v>505.1123287260001</v>
      </c>
      <c r="E52" s="81">
        <f t="shared" si="20"/>
        <v>565.19520547520028</v>
      </c>
      <c r="F52" s="74">
        <f t="shared" si="13"/>
        <v>3254</v>
      </c>
      <c r="G52" s="81">
        <f t="shared" ref="G52" si="340">AVERAGE(F49:F52)</f>
        <v>3628.75</v>
      </c>
      <c r="H52" s="74">
        <f t="shared" si="14"/>
        <v>979</v>
      </c>
      <c r="I52" s="81">
        <f t="shared" ref="I52" si="341">AVERAGE(H49:H52)</f>
        <v>1115.75</v>
      </c>
      <c r="J52" s="74">
        <v>319</v>
      </c>
      <c r="K52" s="81">
        <f t="shared" ref="K52" si="342">AVERAGE(J49:J52)</f>
        <v>363.5</v>
      </c>
      <c r="L52" s="74">
        <v>660</v>
      </c>
      <c r="M52" s="81">
        <f t="shared" ref="M52" si="343">AVERAGE(L49:L52)</f>
        <v>752.25</v>
      </c>
      <c r="N52" s="74">
        <v>0</v>
      </c>
      <c r="O52" s="81">
        <f t="shared" ref="O52" si="344">AVERAGE(N49:N52)</f>
        <v>0.25</v>
      </c>
      <c r="P52" s="74">
        <v>186.98630132000002</v>
      </c>
      <c r="Q52" s="81">
        <f t="shared" ref="Q52" si="345">AVERAGE(P49:P52)</f>
        <v>202.69109587620028</v>
      </c>
      <c r="R52" s="74">
        <v>2275</v>
      </c>
      <c r="S52" s="81">
        <f t="shared" ref="S52" si="346">AVERAGE(R49:R52)</f>
        <v>2513</v>
      </c>
      <c r="T52" s="74">
        <f t="shared" si="15"/>
        <v>175</v>
      </c>
      <c r="U52" s="81">
        <f t="shared" si="59"/>
        <v>214.28571428571428</v>
      </c>
      <c r="V52" s="74">
        <f t="shared" si="16"/>
        <v>43</v>
      </c>
      <c r="W52" s="81">
        <f t="shared" si="42"/>
        <v>52.428571428571431</v>
      </c>
      <c r="X52" s="74">
        <f t="shared" si="17"/>
        <v>56</v>
      </c>
      <c r="Y52" s="81">
        <f t="shared" si="43"/>
        <v>66.142857142857139</v>
      </c>
      <c r="Z52" s="74">
        <f t="shared" si="18"/>
        <v>45</v>
      </c>
      <c r="AA52" s="81">
        <f t="shared" si="44"/>
        <v>51.714285714285715</v>
      </c>
      <c r="AB52" s="83">
        <f t="shared" si="237"/>
        <v>0.54858934169278994</v>
      </c>
      <c r="AC52" s="83">
        <f t="shared" si="238"/>
        <v>0.13479623824451412</v>
      </c>
      <c r="AD52" s="83">
        <f t="shared" si="239"/>
        <v>0.17554858934169279</v>
      </c>
      <c r="AE52" s="84">
        <f t="shared" si="240"/>
        <v>0.14106583072100312</v>
      </c>
      <c r="AF52" s="83">
        <f t="shared" si="290"/>
        <v>0.55550894613638346</v>
      </c>
      <c r="AG52" s="83">
        <f t="shared" si="290"/>
        <v>0.1373467220111943</v>
      </c>
      <c r="AH52" s="83">
        <f t="shared" si="290"/>
        <v>0.17199821925055228</v>
      </c>
      <c r="AI52" s="84">
        <f t="shared" si="290"/>
        <v>0.13514611260186984</v>
      </c>
      <c r="AJ52" s="74">
        <v>0</v>
      </c>
      <c r="AK52" s="81">
        <f t="shared" si="44"/>
        <v>0.14285714285714285</v>
      </c>
      <c r="AL52" s="74">
        <v>0</v>
      </c>
      <c r="AM52" s="81">
        <f t="shared" si="45"/>
        <v>0</v>
      </c>
      <c r="AN52" s="74">
        <v>0</v>
      </c>
      <c r="AO52" s="81">
        <f t="shared" si="46"/>
        <v>0</v>
      </c>
      <c r="AP52" s="74">
        <v>0</v>
      </c>
      <c r="AQ52" s="81">
        <f t="shared" si="47"/>
        <v>0</v>
      </c>
      <c r="AR52" s="74">
        <v>175</v>
      </c>
      <c r="AS52" s="81">
        <f t="shared" si="48"/>
        <v>214.14285714285714</v>
      </c>
      <c r="AT52" s="74">
        <v>43</v>
      </c>
      <c r="AU52" s="81">
        <f t="shared" si="49"/>
        <v>52.428571428571431</v>
      </c>
      <c r="AV52" s="74">
        <v>56</v>
      </c>
      <c r="AW52" s="81">
        <f t="shared" si="50"/>
        <v>66.142857142857139</v>
      </c>
      <c r="AX52" s="74">
        <v>45</v>
      </c>
      <c r="AY52" s="81">
        <f t="shared" si="51"/>
        <v>51.714285714285715</v>
      </c>
    </row>
    <row r="53" spans="1:51" x14ac:dyDescent="0.25">
      <c r="A53" s="85">
        <f t="shared" si="19"/>
        <v>45492</v>
      </c>
      <c r="B53" s="74">
        <f t="shared" si="12"/>
        <v>919</v>
      </c>
      <c r="C53" s="81">
        <f t="shared" si="20"/>
        <v>1056.75</v>
      </c>
      <c r="D53" s="74">
        <v>481.13424653240008</v>
      </c>
      <c r="E53" s="81">
        <f t="shared" si="20"/>
        <v>528.19794518400022</v>
      </c>
      <c r="F53" s="74">
        <f t="shared" si="13"/>
        <v>3242</v>
      </c>
      <c r="G53" s="81">
        <f t="shared" ref="G53" si="347">AVERAGE(F50:F53)</f>
        <v>3491.75</v>
      </c>
      <c r="H53" s="74">
        <f t="shared" si="14"/>
        <v>919</v>
      </c>
      <c r="I53" s="81">
        <f t="shared" ref="I53" si="348">AVERAGE(H50:H53)</f>
        <v>1056.75</v>
      </c>
      <c r="J53" s="74">
        <v>291</v>
      </c>
      <c r="K53" s="81">
        <f t="shared" ref="K53" si="349">AVERAGE(J50:J53)</f>
        <v>331.25</v>
      </c>
      <c r="L53" s="74">
        <v>628</v>
      </c>
      <c r="M53" s="81">
        <f t="shared" ref="M53" si="350">AVERAGE(L50:L53)</f>
        <v>725.5</v>
      </c>
      <c r="N53" s="74">
        <v>0</v>
      </c>
      <c r="O53" s="81">
        <f t="shared" ref="O53" si="351">AVERAGE(N50:N53)</f>
        <v>0</v>
      </c>
      <c r="P53" s="74">
        <v>190.93150679839997</v>
      </c>
      <c r="Q53" s="81">
        <f t="shared" ref="Q53" si="352">AVERAGE(P50:P53)</f>
        <v>197.85547942150015</v>
      </c>
      <c r="R53" s="74">
        <v>2323</v>
      </c>
      <c r="S53" s="81">
        <f t="shared" ref="S53" si="353">AVERAGE(R50:R53)</f>
        <v>2435</v>
      </c>
      <c r="T53" s="74">
        <f t="shared" si="15"/>
        <v>168</v>
      </c>
      <c r="U53" s="81">
        <f t="shared" si="59"/>
        <v>205.14285714285714</v>
      </c>
      <c r="V53" s="74">
        <f t="shared" si="16"/>
        <v>32</v>
      </c>
      <c r="W53" s="81">
        <f t="shared" si="42"/>
        <v>47.714285714285715</v>
      </c>
      <c r="X53" s="74">
        <f t="shared" si="17"/>
        <v>46</v>
      </c>
      <c r="Y53" s="81">
        <f t="shared" si="43"/>
        <v>62.571428571428569</v>
      </c>
      <c r="Z53" s="74">
        <f t="shared" si="18"/>
        <v>45</v>
      </c>
      <c r="AA53" s="81">
        <f t="shared" si="44"/>
        <v>50</v>
      </c>
      <c r="AB53" s="83">
        <f t="shared" si="237"/>
        <v>0.57731958762886593</v>
      </c>
      <c r="AC53" s="83">
        <f t="shared" si="238"/>
        <v>0.10996563573883161</v>
      </c>
      <c r="AD53" s="83">
        <f t="shared" si="239"/>
        <v>0.15807560137457044</v>
      </c>
      <c r="AE53" s="84">
        <f t="shared" si="240"/>
        <v>0.15463917525773196</v>
      </c>
      <c r="AF53" s="83">
        <f t="shared" si="290"/>
        <v>0.55999997966319637</v>
      </c>
      <c r="AG53" s="83">
        <f t="shared" si="290"/>
        <v>0.1312073590495148</v>
      </c>
      <c r="AH53" s="83">
        <f t="shared" si="290"/>
        <v>0.17071490179986068</v>
      </c>
      <c r="AI53" s="84">
        <f t="shared" si="290"/>
        <v>0.13807775948742818</v>
      </c>
      <c r="AJ53" s="74">
        <v>0</v>
      </c>
      <c r="AK53" s="81">
        <f t="shared" si="44"/>
        <v>0.14285714285714285</v>
      </c>
      <c r="AL53" s="74">
        <v>0</v>
      </c>
      <c r="AM53" s="81">
        <f t="shared" si="45"/>
        <v>0</v>
      </c>
      <c r="AN53" s="74">
        <v>0</v>
      </c>
      <c r="AO53" s="81">
        <f t="shared" si="46"/>
        <v>0</v>
      </c>
      <c r="AP53" s="74">
        <v>0</v>
      </c>
      <c r="AQ53" s="81">
        <f t="shared" si="47"/>
        <v>0</v>
      </c>
      <c r="AR53" s="74">
        <v>168</v>
      </c>
      <c r="AS53" s="81">
        <f t="shared" si="48"/>
        <v>205</v>
      </c>
      <c r="AT53" s="74">
        <v>32</v>
      </c>
      <c r="AU53" s="81">
        <f t="shared" si="49"/>
        <v>47.714285714285715</v>
      </c>
      <c r="AV53" s="74">
        <v>46</v>
      </c>
      <c r="AW53" s="81">
        <f t="shared" si="50"/>
        <v>62.571428571428569</v>
      </c>
      <c r="AX53" s="74">
        <v>45</v>
      </c>
      <c r="AY53" s="81">
        <f t="shared" si="51"/>
        <v>50</v>
      </c>
    </row>
    <row r="54" spans="1:51" x14ac:dyDescent="0.25">
      <c r="A54" s="85">
        <f t="shared" si="19"/>
        <v>45499</v>
      </c>
      <c r="B54" s="74">
        <f t="shared" si="12"/>
        <v>954</v>
      </c>
      <c r="C54" s="81">
        <f t="shared" si="20"/>
        <v>1001.5</v>
      </c>
      <c r="D54" s="74">
        <v>473.81369859120014</v>
      </c>
      <c r="E54" s="81">
        <f t="shared" si="20"/>
        <v>513.14520544260006</v>
      </c>
      <c r="F54" s="74">
        <f t="shared" si="13"/>
        <v>3103</v>
      </c>
      <c r="G54" s="81">
        <f t="shared" ref="G54" si="354">AVERAGE(F51:F54)</f>
        <v>3376</v>
      </c>
      <c r="H54" s="74">
        <f t="shared" si="14"/>
        <v>954</v>
      </c>
      <c r="I54" s="81">
        <f t="shared" ref="I54" si="355">AVERAGE(H51:H54)</f>
        <v>1001.5</v>
      </c>
      <c r="J54" s="74">
        <v>298</v>
      </c>
      <c r="K54" s="81">
        <f t="shared" ref="K54" si="356">AVERAGE(J51:J54)</f>
        <v>319.5</v>
      </c>
      <c r="L54" s="74">
        <v>656</v>
      </c>
      <c r="M54" s="81">
        <f t="shared" ref="M54" si="357">AVERAGE(L51:L54)</f>
        <v>682</v>
      </c>
      <c r="N54" s="74">
        <v>0</v>
      </c>
      <c r="O54" s="81">
        <f t="shared" ref="O54" si="358">AVERAGE(N51:N54)</f>
        <v>0</v>
      </c>
      <c r="P54" s="74">
        <v>176.6301369392001</v>
      </c>
      <c r="Q54" s="81">
        <f t="shared" ref="Q54" si="359">AVERAGE(P51:P54)</f>
        <v>194.52054789960005</v>
      </c>
      <c r="R54" s="74">
        <v>2149</v>
      </c>
      <c r="S54" s="81">
        <f t="shared" ref="S54" si="360">AVERAGE(R51:R54)</f>
        <v>2374.5</v>
      </c>
      <c r="T54" s="74">
        <f t="shared" si="15"/>
        <v>174</v>
      </c>
      <c r="U54" s="81">
        <f t="shared" si="59"/>
        <v>194.14285714285714</v>
      </c>
      <c r="V54" s="74">
        <f t="shared" si="16"/>
        <v>31</v>
      </c>
      <c r="W54" s="81">
        <f t="shared" si="42"/>
        <v>46.285714285714285</v>
      </c>
      <c r="X54" s="74">
        <f t="shared" si="17"/>
        <v>55</v>
      </c>
      <c r="Y54" s="81">
        <f t="shared" si="43"/>
        <v>60</v>
      </c>
      <c r="Z54" s="74">
        <f t="shared" si="18"/>
        <v>38</v>
      </c>
      <c r="AA54" s="81">
        <f t="shared" si="44"/>
        <v>47.428571428571431</v>
      </c>
      <c r="AB54" s="83">
        <f t="shared" si="237"/>
        <v>0.58389261744966447</v>
      </c>
      <c r="AC54" s="83">
        <f t="shared" si="238"/>
        <v>0.1040268456375839</v>
      </c>
      <c r="AD54" s="83">
        <f t="shared" si="239"/>
        <v>0.18456375838926176</v>
      </c>
      <c r="AE54" s="84">
        <f t="shared" si="240"/>
        <v>0.12751677852348994</v>
      </c>
      <c r="AF54" s="83">
        <f t="shared" si="290"/>
        <v>0.55824185002163162</v>
      </c>
      <c r="AG54" s="83">
        <f t="shared" si="290"/>
        <v>0.13215588365535896</v>
      </c>
      <c r="AH54" s="83">
        <f t="shared" si="290"/>
        <v>0.17231019948628049</v>
      </c>
      <c r="AI54" s="84">
        <f t="shared" si="290"/>
        <v>0.13729206683672893</v>
      </c>
      <c r="AJ54" s="74">
        <v>0</v>
      </c>
      <c r="AK54" s="81">
        <f t="shared" si="44"/>
        <v>0.14285714285714285</v>
      </c>
      <c r="AL54" s="74">
        <v>0</v>
      </c>
      <c r="AM54" s="81">
        <f t="shared" si="45"/>
        <v>0</v>
      </c>
      <c r="AN54" s="74">
        <v>0</v>
      </c>
      <c r="AO54" s="81">
        <f t="shared" si="46"/>
        <v>0</v>
      </c>
      <c r="AP54" s="74">
        <v>0</v>
      </c>
      <c r="AQ54" s="81">
        <f t="shared" si="47"/>
        <v>0</v>
      </c>
      <c r="AR54" s="74">
        <v>174</v>
      </c>
      <c r="AS54" s="81">
        <f t="shared" si="48"/>
        <v>194</v>
      </c>
      <c r="AT54" s="74">
        <v>31</v>
      </c>
      <c r="AU54" s="81">
        <f t="shared" si="49"/>
        <v>46.285714285714285</v>
      </c>
      <c r="AV54" s="74">
        <v>55</v>
      </c>
      <c r="AW54" s="81">
        <f t="shared" si="50"/>
        <v>60</v>
      </c>
      <c r="AX54" s="74">
        <v>38</v>
      </c>
      <c r="AY54" s="81">
        <f t="shared" si="51"/>
        <v>47.428571428571431</v>
      </c>
    </row>
    <row r="55" spans="1:51" x14ac:dyDescent="0.25">
      <c r="A55" s="85">
        <f t="shared" si="19"/>
        <v>45506</v>
      </c>
      <c r="B55" s="74">
        <f t="shared" si="12"/>
        <v>1036</v>
      </c>
      <c r="C55" s="81">
        <f t="shared" si="20"/>
        <v>972</v>
      </c>
      <c r="D55" s="74">
        <v>497.86849311120011</v>
      </c>
      <c r="E55" s="81">
        <f t="shared" si="20"/>
        <v>489.48219174020016</v>
      </c>
      <c r="F55" s="74">
        <f t="shared" si="13"/>
        <v>3235</v>
      </c>
      <c r="G55" s="81">
        <f t="shared" ref="G55" si="361">AVERAGE(F52:F55)</f>
        <v>3208.5</v>
      </c>
      <c r="H55" s="74">
        <f t="shared" si="14"/>
        <v>1036</v>
      </c>
      <c r="I55" s="81">
        <f t="shared" ref="I55" si="362">AVERAGE(H52:H55)</f>
        <v>972</v>
      </c>
      <c r="J55" s="74">
        <v>318</v>
      </c>
      <c r="K55" s="81">
        <f t="shared" ref="K55" si="363">AVERAGE(J52:J55)</f>
        <v>306.5</v>
      </c>
      <c r="L55" s="74">
        <v>718</v>
      </c>
      <c r="M55" s="81">
        <f t="shared" ref="M55" si="364">AVERAGE(L52:L55)</f>
        <v>665.5</v>
      </c>
      <c r="N55" s="74">
        <v>0</v>
      </c>
      <c r="O55" s="81">
        <f t="shared" ref="O55" si="365">AVERAGE(N52:N55)</f>
        <v>0</v>
      </c>
      <c r="P55" s="74">
        <v>180.73972597920005</v>
      </c>
      <c r="Q55" s="81">
        <f t="shared" ref="Q55" si="366">AVERAGE(P52:P55)</f>
        <v>183.82191775920006</v>
      </c>
      <c r="R55" s="74">
        <v>2199</v>
      </c>
      <c r="S55" s="81">
        <f t="shared" ref="S55" si="367">AVERAGE(R52:R55)</f>
        <v>2236.5</v>
      </c>
      <c r="T55" s="74">
        <f t="shared" si="15"/>
        <v>181</v>
      </c>
      <c r="U55" s="81">
        <f t="shared" si="59"/>
        <v>188.85714285714286</v>
      </c>
      <c r="V55" s="74">
        <f t="shared" si="16"/>
        <v>38</v>
      </c>
      <c r="W55" s="81">
        <f t="shared" si="42"/>
        <v>44.285714285714285</v>
      </c>
      <c r="X55" s="74">
        <f t="shared" si="17"/>
        <v>49</v>
      </c>
      <c r="Y55" s="81">
        <f t="shared" si="43"/>
        <v>57.714285714285715</v>
      </c>
      <c r="Z55" s="74">
        <f t="shared" si="18"/>
        <v>50</v>
      </c>
      <c r="AA55" s="81">
        <f t="shared" si="44"/>
        <v>46.571428571428569</v>
      </c>
      <c r="AB55" s="83">
        <f t="shared" si="237"/>
        <v>0.5691823899371069</v>
      </c>
      <c r="AC55" s="83">
        <f t="shared" si="238"/>
        <v>0.11949685534591195</v>
      </c>
      <c r="AD55" s="83">
        <f t="shared" si="239"/>
        <v>0.1540880503144654</v>
      </c>
      <c r="AE55" s="84">
        <f t="shared" si="240"/>
        <v>0.15723270440251572</v>
      </c>
      <c r="AF55" s="83">
        <f t="shared" si="290"/>
        <v>0.5599043690078972</v>
      </c>
      <c r="AG55" s="83">
        <f t="shared" si="290"/>
        <v>0.13022795908109944</v>
      </c>
      <c r="AH55" s="83">
        <f t="shared" si="290"/>
        <v>0.17057414821589539</v>
      </c>
      <c r="AI55" s="84">
        <f t="shared" si="290"/>
        <v>0.13929352369510803</v>
      </c>
      <c r="AJ55" s="74">
        <v>0</v>
      </c>
      <c r="AK55" s="81">
        <f t="shared" si="44"/>
        <v>0.14285714285714285</v>
      </c>
      <c r="AL55" s="74">
        <v>0</v>
      </c>
      <c r="AM55" s="81">
        <f t="shared" si="45"/>
        <v>0</v>
      </c>
      <c r="AN55" s="74">
        <v>0</v>
      </c>
      <c r="AO55" s="81">
        <f t="shared" si="46"/>
        <v>0</v>
      </c>
      <c r="AP55" s="74">
        <v>0</v>
      </c>
      <c r="AQ55" s="81">
        <f t="shared" si="47"/>
        <v>0</v>
      </c>
      <c r="AR55" s="74">
        <v>181</v>
      </c>
      <c r="AS55" s="81">
        <f t="shared" si="48"/>
        <v>188.71428571428572</v>
      </c>
      <c r="AT55" s="74">
        <v>38</v>
      </c>
      <c r="AU55" s="81">
        <f t="shared" si="49"/>
        <v>44.285714285714285</v>
      </c>
      <c r="AV55" s="74">
        <v>49</v>
      </c>
      <c r="AW55" s="81">
        <f t="shared" si="50"/>
        <v>57.714285714285715</v>
      </c>
      <c r="AX55" s="74">
        <v>50</v>
      </c>
      <c r="AY55" s="81">
        <f t="shared" si="51"/>
        <v>46.571428571428569</v>
      </c>
    </row>
    <row r="56" spans="1:51" x14ac:dyDescent="0.25">
      <c r="A56" s="85">
        <f t="shared" si="19"/>
        <v>45513</v>
      </c>
      <c r="B56" s="74">
        <f t="shared" si="12"/>
        <v>836</v>
      </c>
      <c r="C56" s="81">
        <f t="shared" si="20"/>
        <v>936.25</v>
      </c>
      <c r="D56" s="74">
        <v>391.44657530760014</v>
      </c>
      <c r="E56" s="81">
        <f t="shared" si="20"/>
        <v>461.06575338560015</v>
      </c>
      <c r="F56" s="74">
        <f t="shared" si="13"/>
        <v>2723</v>
      </c>
      <c r="G56" s="81">
        <f t="shared" ref="G56" si="368">AVERAGE(F53:F56)</f>
        <v>3075.75</v>
      </c>
      <c r="H56" s="74">
        <f t="shared" si="14"/>
        <v>836</v>
      </c>
      <c r="I56" s="81">
        <f t="shared" ref="I56" si="369">AVERAGE(H53:H56)</f>
        <v>936.25</v>
      </c>
      <c r="J56" s="74">
        <v>237</v>
      </c>
      <c r="K56" s="81">
        <f t="shared" ref="K56" si="370">AVERAGE(J53:J56)</f>
        <v>286</v>
      </c>
      <c r="L56" s="74">
        <v>599</v>
      </c>
      <c r="M56" s="81">
        <f t="shared" ref="M56" si="371">AVERAGE(L53:L56)</f>
        <v>650.25</v>
      </c>
      <c r="N56" s="74">
        <v>0</v>
      </c>
      <c r="O56" s="81">
        <f t="shared" ref="O56" si="372">AVERAGE(N53:N56)</f>
        <v>0</v>
      </c>
      <c r="P56" s="74">
        <v>155.09589036960003</v>
      </c>
      <c r="Q56" s="81">
        <f t="shared" ref="Q56" si="373">AVERAGE(P53:P56)</f>
        <v>175.84931502160003</v>
      </c>
      <c r="R56" s="74">
        <v>1887</v>
      </c>
      <c r="S56" s="81">
        <f t="shared" ref="S56" si="374">AVERAGE(R53:R56)</f>
        <v>2139.5</v>
      </c>
      <c r="T56" s="74">
        <f t="shared" si="15"/>
        <v>134</v>
      </c>
      <c r="U56" s="81">
        <f t="shared" si="59"/>
        <v>172.57142857142858</v>
      </c>
      <c r="V56" s="74">
        <f t="shared" si="16"/>
        <v>29</v>
      </c>
      <c r="W56" s="81">
        <f t="shared" si="42"/>
        <v>41.142857142857146</v>
      </c>
      <c r="X56" s="74">
        <f t="shared" si="17"/>
        <v>40</v>
      </c>
      <c r="Y56" s="81">
        <f t="shared" si="43"/>
        <v>52.714285714285715</v>
      </c>
      <c r="Z56" s="74">
        <f t="shared" si="18"/>
        <v>34</v>
      </c>
      <c r="AA56" s="81">
        <f t="shared" si="44"/>
        <v>44.714285714285715</v>
      </c>
      <c r="AB56" s="83">
        <f t="shared" si="237"/>
        <v>0.56540084388185652</v>
      </c>
      <c r="AC56" s="83">
        <f t="shared" si="238"/>
        <v>0.12236286919831224</v>
      </c>
      <c r="AD56" s="83">
        <f t="shared" si="239"/>
        <v>0.16877637130801687</v>
      </c>
      <c r="AE56" s="84">
        <f t="shared" si="240"/>
        <v>0.14345991561181434</v>
      </c>
      <c r="AF56" s="83">
        <f t="shared" si="290"/>
        <v>0.55652254181898009</v>
      </c>
      <c r="AG56" s="83">
        <f t="shared" si="290"/>
        <v>0.13040263432117047</v>
      </c>
      <c r="AH56" s="83">
        <f t="shared" si="290"/>
        <v>0.16923544863010478</v>
      </c>
      <c r="AI56" s="84">
        <f t="shared" si="290"/>
        <v>0.14383937522974458</v>
      </c>
      <c r="AJ56" s="74">
        <v>0</v>
      </c>
      <c r="AK56" s="81">
        <f t="shared" si="44"/>
        <v>0</v>
      </c>
      <c r="AL56" s="74">
        <v>0</v>
      </c>
      <c r="AM56" s="81">
        <f t="shared" si="45"/>
        <v>0</v>
      </c>
      <c r="AN56" s="74">
        <v>0</v>
      </c>
      <c r="AO56" s="81">
        <f t="shared" si="46"/>
        <v>0</v>
      </c>
      <c r="AP56" s="74">
        <v>0</v>
      </c>
      <c r="AQ56" s="81">
        <f t="shared" si="47"/>
        <v>0</v>
      </c>
      <c r="AR56" s="74">
        <v>134</v>
      </c>
      <c r="AS56" s="81">
        <f t="shared" si="48"/>
        <v>172.57142857142858</v>
      </c>
      <c r="AT56" s="74">
        <v>29</v>
      </c>
      <c r="AU56" s="81">
        <f t="shared" si="49"/>
        <v>41.142857142857146</v>
      </c>
      <c r="AV56" s="74">
        <v>40</v>
      </c>
      <c r="AW56" s="81">
        <f t="shared" si="50"/>
        <v>52.714285714285715</v>
      </c>
      <c r="AX56" s="74">
        <v>34</v>
      </c>
      <c r="AY56" s="81">
        <f t="shared" si="51"/>
        <v>44.714285714285715</v>
      </c>
    </row>
    <row r="57" spans="1:51" x14ac:dyDescent="0.25">
      <c r="A57" s="85">
        <f t="shared" si="19"/>
        <v>45520</v>
      </c>
      <c r="B57" s="74">
        <f t="shared" si="12"/>
        <v>807</v>
      </c>
      <c r="C57" s="81">
        <f t="shared" si="20"/>
        <v>908.25</v>
      </c>
      <c r="D57" s="74">
        <v>424.75616434480014</v>
      </c>
      <c r="E57" s="81">
        <f t="shared" si="20"/>
        <v>446.97123283870019</v>
      </c>
      <c r="F57" s="74">
        <f t="shared" si="13"/>
        <v>2893</v>
      </c>
      <c r="G57" s="81">
        <f t="shared" ref="G57" si="375">AVERAGE(F54:F57)</f>
        <v>2988.5</v>
      </c>
      <c r="H57" s="74">
        <f t="shared" si="14"/>
        <v>807</v>
      </c>
      <c r="I57" s="81">
        <f t="shared" ref="I57" si="376">AVERAGE(H54:H57)</f>
        <v>908.25</v>
      </c>
      <c r="J57" s="74">
        <v>254</v>
      </c>
      <c r="K57" s="81">
        <f t="shared" ref="K57" si="377">AVERAGE(J54:J57)</f>
        <v>276.75</v>
      </c>
      <c r="L57" s="74">
        <v>553</v>
      </c>
      <c r="M57" s="81">
        <f t="shared" ref="M57" si="378">AVERAGE(L54:L57)</f>
        <v>631.5</v>
      </c>
      <c r="N57" s="74">
        <v>0</v>
      </c>
      <c r="O57" s="81">
        <f t="shared" ref="O57" si="379">AVERAGE(N54:N57)</f>
        <v>0</v>
      </c>
      <c r="P57" s="74">
        <v>171.45205474879998</v>
      </c>
      <c r="Q57" s="81">
        <f t="shared" ref="Q57" si="380">AVERAGE(P54:P57)</f>
        <v>170.97945200920003</v>
      </c>
      <c r="R57" s="74">
        <v>2086</v>
      </c>
      <c r="S57" s="81">
        <f t="shared" ref="S57" si="381">AVERAGE(R54:R57)</f>
        <v>2080.25</v>
      </c>
      <c r="T57" s="74">
        <f t="shared" si="15"/>
        <v>138</v>
      </c>
      <c r="U57" s="81">
        <f t="shared" si="59"/>
        <v>166.71428571428572</v>
      </c>
      <c r="V57" s="74">
        <f t="shared" si="16"/>
        <v>38</v>
      </c>
      <c r="W57" s="81">
        <f t="shared" si="42"/>
        <v>38.285714285714285</v>
      </c>
      <c r="X57" s="74">
        <f t="shared" si="17"/>
        <v>46</v>
      </c>
      <c r="Y57" s="81">
        <f t="shared" si="43"/>
        <v>51.142857142857146</v>
      </c>
      <c r="Z57" s="74">
        <f t="shared" si="18"/>
        <v>32</v>
      </c>
      <c r="AA57" s="81">
        <f t="shared" si="44"/>
        <v>42</v>
      </c>
      <c r="AB57" s="83">
        <f t="shared" si="237"/>
        <v>0.54330708661417326</v>
      </c>
      <c r="AC57" s="83">
        <f t="shared" si="238"/>
        <v>0.14960629921259844</v>
      </c>
      <c r="AD57" s="83">
        <f t="shared" si="239"/>
        <v>0.18110236220472442</v>
      </c>
      <c r="AE57" s="84">
        <f t="shared" si="240"/>
        <v>0.12598425196850394</v>
      </c>
      <c r="AF57" s="83">
        <f t="shared" si="290"/>
        <v>0.56001775709098411</v>
      </c>
      <c r="AG57" s="83">
        <f t="shared" si="290"/>
        <v>0.12775839963311517</v>
      </c>
      <c r="AH57" s="83">
        <f t="shared" si="290"/>
        <v>0.17150473018730145</v>
      </c>
      <c r="AI57" s="84">
        <f t="shared" si="290"/>
        <v>0.14071911308859916</v>
      </c>
      <c r="AJ57" s="74">
        <v>0</v>
      </c>
      <c r="AK57" s="81">
        <f t="shared" si="44"/>
        <v>0</v>
      </c>
      <c r="AL57" s="74">
        <v>0</v>
      </c>
      <c r="AM57" s="81">
        <f t="shared" si="45"/>
        <v>0</v>
      </c>
      <c r="AN57" s="74">
        <v>0</v>
      </c>
      <c r="AO57" s="81">
        <f t="shared" si="46"/>
        <v>0</v>
      </c>
      <c r="AP57" s="74">
        <v>0</v>
      </c>
      <c r="AQ57" s="81">
        <f t="shared" si="47"/>
        <v>0</v>
      </c>
      <c r="AR57" s="74">
        <v>138</v>
      </c>
      <c r="AS57" s="81">
        <f t="shared" si="48"/>
        <v>166.71428571428572</v>
      </c>
      <c r="AT57" s="74">
        <v>38</v>
      </c>
      <c r="AU57" s="81">
        <f t="shared" si="49"/>
        <v>38.285714285714285</v>
      </c>
      <c r="AV57" s="74">
        <v>46</v>
      </c>
      <c r="AW57" s="81">
        <f t="shared" si="50"/>
        <v>51.142857142857146</v>
      </c>
      <c r="AX57" s="74">
        <v>32</v>
      </c>
      <c r="AY57" s="81">
        <f t="shared" si="51"/>
        <v>42</v>
      </c>
    </row>
    <row r="58" spans="1:51" x14ac:dyDescent="0.25">
      <c r="A58" s="85">
        <f t="shared" si="19"/>
        <v>45527</v>
      </c>
      <c r="B58" s="74">
        <f t="shared" si="12"/>
        <v>847</v>
      </c>
      <c r="C58" s="81">
        <f t="shared" si="20"/>
        <v>881.5</v>
      </c>
      <c r="D58" s="74">
        <v>447.97808215680016</v>
      </c>
      <c r="E58" s="81">
        <f t="shared" si="20"/>
        <v>440.51232873010014</v>
      </c>
      <c r="F58" s="74">
        <f t="shared" si="13"/>
        <v>2803</v>
      </c>
      <c r="G58" s="81">
        <f t="shared" ref="G58" si="382">AVERAGE(F55:F58)</f>
        <v>2913.5</v>
      </c>
      <c r="H58" s="74">
        <f t="shared" si="14"/>
        <v>847</v>
      </c>
      <c r="I58" s="81">
        <f t="shared" ref="I58" si="383">AVERAGE(H55:H58)</f>
        <v>881.5</v>
      </c>
      <c r="J58" s="74">
        <v>288</v>
      </c>
      <c r="K58" s="81">
        <f t="shared" ref="K58" si="384">AVERAGE(J55:J58)</f>
        <v>274.25</v>
      </c>
      <c r="L58" s="74">
        <v>559</v>
      </c>
      <c r="M58" s="81">
        <f t="shared" ref="M58" si="385">AVERAGE(L55:L58)</f>
        <v>607.25</v>
      </c>
      <c r="N58" s="74">
        <v>0</v>
      </c>
      <c r="O58" s="81">
        <f t="shared" ref="O58" si="386">AVERAGE(N55:N58)</f>
        <v>0</v>
      </c>
      <c r="P58" s="74">
        <v>160.76712324480005</v>
      </c>
      <c r="Q58" s="81">
        <f t="shared" ref="Q58" si="387">AVERAGE(P55:P58)</f>
        <v>167.01369858560003</v>
      </c>
      <c r="R58" s="74">
        <v>1956</v>
      </c>
      <c r="S58" s="81">
        <f t="shared" ref="S58" si="388">AVERAGE(R55:R58)</f>
        <v>2032</v>
      </c>
      <c r="T58" s="74">
        <f t="shared" si="15"/>
        <v>159</v>
      </c>
      <c r="U58" s="81">
        <f t="shared" si="59"/>
        <v>161.28571428571428</v>
      </c>
      <c r="V58" s="74">
        <f t="shared" si="16"/>
        <v>32</v>
      </c>
      <c r="W58" s="81">
        <f t="shared" si="42"/>
        <v>34.714285714285715</v>
      </c>
      <c r="X58" s="74">
        <f t="shared" si="17"/>
        <v>50</v>
      </c>
      <c r="Y58" s="81">
        <f t="shared" si="43"/>
        <v>48.857142857142854</v>
      </c>
      <c r="Z58" s="74">
        <f t="shared" si="18"/>
        <v>47</v>
      </c>
      <c r="AA58" s="81">
        <f t="shared" si="44"/>
        <v>41.571428571428569</v>
      </c>
      <c r="AB58" s="83">
        <f t="shared" si="237"/>
        <v>0.55208333333333337</v>
      </c>
      <c r="AC58" s="83">
        <f t="shared" si="238"/>
        <v>0.1111111111111111</v>
      </c>
      <c r="AD58" s="83">
        <f t="shared" si="239"/>
        <v>0.1736111111111111</v>
      </c>
      <c r="AE58" s="84">
        <f t="shared" si="240"/>
        <v>0.16319444444444445</v>
      </c>
      <c r="AF58" s="83">
        <f t="shared" si="290"/>
        <v>0.56282502864825579</v>
      </c>
      <c r="AG58" s="83">
        <f t="shared" si="290"/>
        <v>0.12162369349840906</v>
      </c>
      <c r="AH58" s="83">
        <f t="shared" si="290"/>
        <v>0.17082369200626329</v>
      </c>
      <c r="AI58" s="84">
        <f t="shared" si="290"/>
        <v>0.14472758584707193</v>
      </c>
      <c r="AJ58" s="74">
        <v>0</v>
      </c>
      <c r="AK58" s="81">
        <f t="shared" si="44"/>
        <v>0</v>
      </c>
      <c r="AL58" s="74">
        <v>0</v>
      </c>
      <c r="AM58" s="81">
        <f t="shared" si="45"/>
        <v>0</v>
      </c>
      <c r="AN58" s="74">
        <v>0</v>
      </c>
      <c r="AO58" s="81">
        <f t="shared" si="46"/>
        <v>0</v>
      </c>
      <c r="AP58" s="74">
        <v>0</v>
      </c>
      <c r="AQ58" s="81">
        <f t="shared" si="47"/>
        <v>0</v>
      </c>
      <c r="AR58" s="74">
        <v>159</v>
      </c>
      <c r="AS58" s="81">
        <f t="shared" si="48"/>
        <v>161.28571428571428</v>
      </c>
      <c r="AT58" s="74">
        <v>32</v>
      </c>
      <c r="AU58" s="81">
        <f t="shared" si="49"/>
        <v>34.714285714285715</v>
      </c>
      <c r="AV58" s="74">
        <v>50</v>
      </c>
      <c r="AW58" s="81">
        <f t="shared" si="50"/>
        <v>48.857142857142854</v>
      </c>
      <c r="AX58" s="74">
        <v>47</v>
      </c>
      <c r="AY58" s="81">
        <f t="shared" si="51"/>
        <v>41.571428571428569</v>
      </c>
    </row>
    <row r="59" spans="1:51" x14ac:dyDescent="0.25">
      <c r="A59" s="85">
        <f t="shared" si="19"/>
        <v>45534</v>
      </c>
      <c r="B59" s="74">
        <f t="shared" si="12"/>
        <v>792</v>
      </c>
      <c r="C59" s="81">
        <f t="shared" si="20"/>
        <v>820.5</v>
      </c>
      <c r="D59" s="74">
        <v>390.73972599360002</v>
      </c>
      <c r="E59" s="81">
        <f t="shared" si="20"/>
        <v>413.73013695070017</v>
      </c>
      <c r="F59" s="74">
        <f t="shared" si="13"/>
        <v>2634</v>
      </c>
      <c r="G59" s="81">
        <f t="shared" ref="G59" si="389">AVERAGE(F56:F59)</f>
        <v>2763.25</v>
      </c>
      <c r="H59" s="74">
        <f t="shared" si="14"/>
        <v>792</v>
      </c>
      <c r="I59" s="81">
        <f t="shared" ref="I59" si="390">AVERAGE(H56:H59)</f>
        <v>820.5</v>
      </c>
      <c r="J59" s="74">
        <v>240</v>
      </c>
      <c r="K59" s="81">
        <f t="shared" ref="K59" si="391">AVERAGE(J56:J59)</f>
        <v>254.75</v>
      </c>
      <c r="L59" s="74">
        <v>552</v>
      </c>
      <c r="M59" s="81">
        <f t="shared" ref="M59" si="392">AVERAGE(L56:L59)</f>
        <v>565.75</v>
      </c>
      <c r="N59" s="74">
        <v>0</v>
      </c>
      <c r="O59" s="81">
        <f t="shared" ref="O59" si="393">AVERAGE(N56:N59)</f>
        <v>0</v>
      </c>
      <c r="P59" s="74">
        <v>151.39726023359998</v>
      </c>
      <c r="Q59" s="81">
        <f t="shared" ref="Q59" si="394">AVERAGE(P56:P59)</f>
        <v>159.67808214920001</v>
      </c>
      <c r="R59" s="74">
        <v>1842</v>
      </c>
      <c r="S59" s="81">
        <f t="shared" ref="S59" si="395">AVERAGE(R56:R59)</f>
        <v>1942.75</v>
      </c>
      <c r="T59" s="74">
        <f t="shared" si="15"/>
        <v>141</v>
      </c>
      <c r="U59" s="81">
        <f t="shared" si="59"/>
        <v>156.42857142857142</v>
      </c>
      <c r="V59" s="74">
        <f t="shared" si="16"/>
        <v>28</v>
      </c>
      <c r="W59" s="81">
        <f t="shared" si="42"/>
        <v>32.571428571428569</v>
      </c>
      <c r="X59" s="74">
        <f t="shared" si="17"/>
        <v>42</v>
      </c>
      <c r="Y59" s="81">
        <f t="shared" si="43"/>
        <v>46.857142857142854</v>
      </c>
      <c r="Z59" s="74">
        <f t="shared" si="18"/>
        <v>29</v>
      </c>
      <c r="AA59" s="81">
        <f t="shared" si="44"/>
        <v>39.285714285714285</v>
      </c>
      <c r="AB59" s="83">
        <f t="shared" si="237"/>
        <v>0.58750000000000002</v>
      </c>
      <c r="AC59" s="83">
        <f t="shared" si="238"/>
        <v>0.11666666666666667</v>
      </c>
      <c r="AD59" s="83">
        <f t="shared" si="239"/>
        <v>0.17499999999999999</v>
      </c>
      <c r="AE59" s="84">
        <f t="shared" si="240"/>
        <v>0.12083333333333333</v>
      </c>
      <c r="AF59" s="83">
        <f t="shared" si="290"/>
        <v>0.56838369412071432</v>
      </c>
      <c r="AG59" s="83">
        <f t="shared" si="290"/>
        <v>0.11903375470157372</v>
      </c>
      <c r="AH59" s="83">
        <f t="shared" si="290"/>
        <v>0.17074532210030716</v>
      </c>
      <c r="AI59" s="84">
        <f t="shared" si="290"/>
        <v>0.14183722907740481</v>
      </c>
      <c r="AJ59" s="74">
        <v>0</v>
      </c>
      <c r="AK59" s="81">
        <f t="shared" si="44"/>
        <v>0</v>
      </c>
      <c r="AL59" s="74">
        <v>0</v>
      </c>
      <c r="AM59" s="81">
        <f t="shared" si="45"/>
        <v>0</v>
      </c>
      <c r="AN59" s="74">
        <v>0</v>
      </c>
      <c r="AO59" s="81">
        <f t="shared" si="46"/>
        <v>0</v>
      </c>
      <c r="AP59" s="74">
        <v>0</v>
      </c>
      <c r="AQ59" s="81">
        <f t="shared" si="47"/>
        <v>0</v>
      </c>
      <c r="AR59" s="74">
        <v>141</v>
      </c>
      <c r="AS59" s="81">
        <f t="shared" si="48"/>
        <v>156.42857142857142</v>
      </c>
      <c r="AT59" s="74">
        <v>28</v>
      </c>
      <c r="AU59" s="81">
        <f t="shared" si="49"/>
        <v>32.571428571428569</v>
      </c>
      <c r="AV59" s="74">
        <v>42</v>
      </c>
      <c r="AW59" s="81">
        <f t="shared" si="50"/>
        <v>46.857142857142854</v>
      </c>
      <c r="AX59" s="74">
        <v>29</v>
      </c>
      <c r="AY59" s="81">
        <f t="shared" si="51"/>
        <v>39.285714285714285</v>
      </c>
    </row>
    <row r="60" spans="1:51" x14ac:dyDescent="0.25">
      <c r="A60" s="85">
        <f t="shared" si="19"/>
        <v>45541</v>
      </c>
      <c r="B60" s="74">
        <f t="shared" si="12"/>
        <v>940</v>
      </c>
      <c r="C60" s="81">
        <f t="shared" si="20"/>
        <v>846.5</v>
      </c>
      <c r="D60" s="74">
        <v>430.66575343800025</v>
      </c>
      <c r="E60" s="81">
        <f t="shared" si="20"/>
        <v>423.53493148330017</v>
      </c>
      <c r="F60" s="74">
        <f t="shared" si="13"/>
        <v>2615</v>
      </c>
      <c r="G60" s="81">
        <f t="shared" ref="G60" si="396">AVERAGE(F57:F60)</f>
        <v>2736.25</v>
      </c>
      <c r="H60" s="74">
        <f t="shared" si="14"/>
        <v>940</v>
      </c>
      <c r="I60" s="81">
        <f t="shared" ref="I60" si="397">AVERAGE(H57:H60)</f>
        <v>846.5</v>
      </c>
      <c r="J60" s="74">
        <v>298</v>
      </c>
      <c r="K60" s="81">
        <f t="shared" ref="K60" si="398">AVERAGE(J57:J60)</f>
        <v>270</v>
      </c>
      <c r="L60" s="74">
        <v>642</v>
      </c>
      <c r="M60" s="81">
        <f t="shared" ref="M60" si="399">AVERAGE(L57:L60)</f>
        <v>576.5</v>
      </c>
      <c r="N60" s="74">
        <v>0</v>
      </c>
      <c r="O60" s="81">
        <f t="shared" ref="O60" si="400">AVERAGE(N57:N60)</f>
        <v>0</v>
      </c>
      <c r="P60" s="74">
        <v>133.48219178600016</v>
      </c>
      <c r="Q60" s="81">
        <f t="shared" ref="Q60" si="401">AVERAGE(P57:P60)</f>
        <v>154.27465750330003</v>
      </c>
      <c r="R60" s="74">
        <v>1675</v>
      </c>
      <c r="S60" s="81">
        <f t="shared" ref="S60" si="402">AVERAGE(R57:R60)</f>
        <v>1889.75</v>
      </c>
      <c r="T60" s="74">
        <f t="shared" si="15"/>
        <v>170</v>
      </c>
      <c r="U60" s="81">
        <f t="shared" si="59"/>
        <v>156.71428571428572</v>
      </c>
      <c r="V60" s="74">
        <f t="shared" si="16"/>
        <v>35</v>
      </c>
      <c r="W60" s="81">
        <f t="shared" si="42"/>
        <v>33</v>
      </c>
      <c r="X60" s="74">
        <f t="shared" si="17"/>
        <v>52</v>
      </c>
      <c r="Y60" s="81">
        <f t="shared" si="43"/>
        <v>47.714285714285715</v>
      </c>
      <c r="Z60" s="74">
        <f t="shared" si="18"/>
        <v>41</v>
      </c>
      <c r="AA60" s="81">
        <f t="shared" si="44"/>
        <v>38.714285714285715</v>
      </c>
      <c r="AB60" s="83">
        <f t="shared" si="237"/>
        <v>0.57046979865771807</v>
      </c>
      <c r="AC60" s="83">
        <f t="shared" si="238"/>
        <v>0.1174496644295302</v>
      </c>
      <c r="AD60" s="83">
        <f t="shared" si="239"/>
        <v>0.17449664429530201</v>
      </c>
      <c r="AE60" s="84">
        <f t="shared" si="240"/>
        <v>0.13758389261744966</v>
      </c>
      <c r="AF60" s="83">
        <f t="shared" ref="AF60:AI75" si="403">AVERAGE(AB54:AB60)</f>
        <v>0.56740515283912185</v>
      </c>
      <c r="AG60" s="83">
        <f t="shared" si="403"/>
        <v>0.12010290165738779</v>
      </c>
      <c r="AH60" s="83">
        <f t="shared" si="403"/>
        <v>0.17309118537469734</v>
      </c>
      <c r="AI60" s="84">
        <f t="shared" si="403"/>
        <v>0.13940076012879304</v>
      </c>
      <c r="AJ60" s="74">
        <v>0</v>
      </c>
      <c r="AK60" s="81">
        <f t="shared" si="44"/>
        <v>0</v>
      </c>
      <c r="AL60" s="74">
        <v>0</v>
      </c>
      <c r="AM60" s="81">
        <f t="shared" si="45"/>
        <v>0</v>
      </c>
      <c r="AN60" s="74">
        <v>0</v>
      </c>
      <c r="AO60" s="81">
        <f t="shared" si="46"/>
        <v>0</v>
      </c>
      <c r="AP60" s="74">
        <v>0</v>
      </c>
      <c r="AQ60" s="81">
        <f t="shared" si="47"/>
        <v>0</v>
      </c>
      <c r="AR60" s="74">
        <v>170</v>
      </c>
      <c r="AS60" s="81">
        <f t="shared" si="48"/>
        <v>156.71428571428572</v>
      </c>
      <c r="AT60" s="74">
        <v>35</v>
      </c>
      <c r="AU60" s="81">
        <f t="shared" si="49"/>
        <v>33</v>
      </c>
      <c r="AV60" s="74">
        <v>52</v>
      </c>
      <c r="AW60" s="81">
        <f t="shared" si="50"/>
        <v>47.714285714285715</v>
      </c>
      <c r="AX60" s="74">
        <v>41</v>
      </c>
      <c r="AY60" s="81">
        <f t="shared" si="51"/>
        <v>38.714285714285715</v>
      </c>
    </row>
    <row r="61" spans="1:51" x14ac:dyDescent="0.25">
      <c r="A61" s="85">
        <f t="shared" si="19"/>
        <v>45548</v>
      </c>
      <c r="B61" s="74">
        <f t="shared" si="12"/>
        <v>770</v>
      </c>
      <c r="C61" s="81">
        <f t="shared" si="20"/>
        <v>837.25</v>
      </c>
      <c r="D61" s="74">
        <v>393.06849316720013</v>
      </c>
      <c r="E61" s="81">
        <f t="shared" si="20"/>
        <v>415.61301368890014</v>
      </c>
      <c r="F61" s="74">
        <f t="shared" si="13"/>
        <v>2504</v>
      </c>
      <c r="G61" s="81">
        <f t="shared" ref="G61" si="404">AVERAGE(F58:F61)</f>
        <v>2639</v>
      </c>
      <c r="H61" s="74">
        <f t="shared" si="14"/>
        <v>770</v>
      </c>
      <c r="I61" s="81">
        <f t="shared" ref="I61" si="405">AVERAGE(H58:H61)</f>
        <v>837.25</v>
      </c>
      <c r="J61" s="74">
        <v>256</v>
      </c>
      <c r="K61" s="81">
        <f t="shared" ref="K61" si="406">AVERAGE(J58:J61)</f>
        <v>270.5</v>
      </c>
      <c r="L61" s="74">
        <v>514</v>
      </c>
      <c r="M61" s="81">
        <f t="shared" ref="M61" si="407">AVERAGE(L58:L61)</f>
        <v>566.75</v>
      </c>
      <c r="N61" s="74">
        <v>0</v>
      </c>
      <c r="O61" s="81">
        <f t="shared" ref="O61" si="408">AVERAGE(N58:N61)</f>
        <v>0</v>
      </c>
      <c r="P61" s="74">
        <v>137.76986302320006</v>
      </c>
      <c r="Q61" s="81">
        <f t="shared" ref="Q61" si="409">AVERAGE(P58:P61)</f>
        <v>145.85410957190007</v>
      </c>
      <c r="R61" s="74">
        <v>1734</v>
      </c>
      <c r="S61" s="81">
        <f t="shared" ref="S61" si="410">AVERAGE(R58:R61)</f>
        <v>1801.75</v>
      </c>
      <c r="T61" s="74">
        <f t="shared" si="15"/>
        <v>134</v>
      </c>
      <c r="U61" s="81">
        <f t="shared" si="59"/>
        <v>151</v>
      </c>
      <c r="V61" s="74">
        <f t="shared" si="16"/>
        <v>36</v>
      </c>
      <c r="W61" s="81">
        <f t="shared" si="42"/>
        <v>33.714285714285715</v>
      </c>
      <c r="X61" s="74">
        <f t="shared" si="17"/>
        <v>56</v>
      </c>
      <c r="Y61" s="81">
        <f t="shared" si="43"/>
        <v>47.857142857142854</v>
      </c>
      <c r="Z61" s="74">
        <f t="shared" si="18"/>
        <v>30</v>
      </c>
      <c r="AA61" s="81">
        <f t="shared" si="44"/>
        <v>37.571428571428569</v>
      </c>
      <c r="AB61" s="83">
        <f t="shared" si="237"/>
        <v>0.5234375</v>
      </c>
      <c r="AC61" s="83">
        <f t="shared" si="238"/>
        <v>0.140625</v>
      </c>
      <c r="AD61" s="83">
        <f t="shared" si="239"/>
        <v>0.21875</v>
      </c>
      <c r="AE61" s="84">
        <f t="shared" si="240"/>
        <v>0.1171875</v>
      </c>
      <c r="AF61" s="83">
        <f t="shared" si="403"/>
        <v>0.55876870748916974</v>
      </c>
      <c r="AG61" s="83">
        <f t="shared" si="403"/>
        <v>0.12533120942344725</v>
      </c>
      <c r="AH61" s="83">
        <f t="shared" si="403"/>
        <v>0.17797493417623139</v>
      </c>
      <c r="AI61" s="84">
        <f t="shared" si="403"/>
        <v>0.13792514891115162</v>
      </c>
      <c r="AJ61" s="74">
        <v>0</v>
      </c>
      <c r="AK61" s="81">
        <f t="shared" si="44"/>
        <v>0</v>
      </c>
      <c r="AL61" s="74">
        <v>0</v>
      </c>
      <c r="AM61" s="81">
        <f t="shared" si="45"/>
        <v>0</v>
      </c>
      <c r="AN61" s="74">
        <v>0</v>
      </c>
      <c r="AO61" s="81">
        <f t="shared" si="46"/>
        <v>0</v>
      </c>
      <c r="AP61" s="74">
        <v>0</v>
      </c>
      <c r="AQ61" s="81">
        <f t="shared" si="47"/>
        <v>0</v>
      </c>
      <c r="AR61" s="74">
        <v>134</v>
      </c>
      <c r="AS61" s="81">
        <f t="shared" si="48"/>
        <v>151</v>
      </c>
      <c r="AT61" s="74">
        <v>36</v>
      </c>
      <c r="AU61" s="81">
        <f t="shared" si="49"/>
        <v>33.714285714285715</v>
      </c>
      <c r="AV61" s="74">
        <v>56</v>
      </c>
      <c r="AW61" s="81">
        <f t="shared" si="50"/>
        <v>47.857142857142854</v>
      </c>
      <c r="AX61" s="74">
        <v>30</v>
      </c>
      <c r="AY61" s="81">
        <f t="shared" si="51"/>
        <v>37.571428571428569</v>
      </c>
    </row>
    <row r="62" spans="1:51" x14ac:dyDescent="0.25">
      <c r="A62" s="85">
        <f t="shared" si="19"/>
        <v>45555</v>
      </c>
      <c r="B62" s="74">
        <f t="shared" si="12"/>
        <v>809</v>
      </c>
      <c r="C62" s="81">
        <f t="shared" si="20"/>
        <v>827.75</v>
      </c>
      <c r="D62" s="74">
        <v>395.03561645480022</v>
      </c>
      <c r="E62" s="81">
        <f t="shared" si="20"/>
        <v>402.37739726340016</v>
      </c>
      <c r="F62" s="74">
        <f t="shared" si="13"/>
        <v>2505</v>
      </c>
      <c r="G62" s="81">
        <f t="shared" ref="G62" si="411">AVERAGE(F59:F62)</f>
        <v>2564.5</v>
      </c>
      <c r="H62" s="74">
        <f t="shared" si="14"/>
        <v>809</v>
      </c>
      <c r="I62" s="81">
        <f t="shared" ref="I62" si="412">AVERAGE(H59:H62)</f>
        <v>827.75</v>
      </c>
      <c r="J62" s="74">
        <v>261</v>
      </c>
      <c r="K62" s="81">
        <f t="shared" ref="K62" si="413">AVERAGE(J59:J62)</f>
        <v>263.75</v>
      </c>
      <c r="L62" s="74">
        <v>548</v>
      </c>
      <c r="M62" s="81">
        <f t="shared" ref="M62" si="414">AVERAGE(L59:L62)</f>
        <v>564</v>
      </c>
      <c r="N62" s="74">
        <v>0</v>
      </c>
      <c r="O62" s="81">
        <f t="shared" ref="O62" si="415">AVERAGE(N59:N62)</f>
        <v>0</v>
      </c>
      <c r="P62" s="74">
        <v>134.75068494080006</v>
      </c>
      <c r="Q62" s="81">
        <f t="shared" ref="Q62" si="416">AVERAGE(P59:P62)</f>
        <v>139.34999999590008</v>
      </c>
      <c r="R62" s="74">
        <v>1696</v>
      </c>
      <c r="S62" s="81">
        <f t="shared" ref="S62" si="417">AVERAGE(R59:R62)</f>
        <v>1736.75</v>
      </c>
      <c r="T62" s="74">
        <f t="shared" si="15"/>
        <v>131</v>
      </c>
      <c r="U62" s="81">
        <f t="shared" si="59"/>
        <v>143.85714285714286</v>
      </c>
      <c r="V62" s="74">
        <f t="shared" si="16"/>
        <v>41</v>
      </c>
      <c r="W62" s="81">
        <f t="shared" si="42"/>
        <v>34.142857142857146</v>
      </c>
      <c r="X62" s="74">
        <f t="shared" si="17"/>
        <v>55</v>
      </c>
      <c r="Y62" s="81">
        <f t="shared" si="43"/>
        <v>48.714285714285715</v>
      </c>
      <c r="Z62" s="74">
        <f t="shared" si="18"/>
        <v>34</v>
      </c>
      <c r="AA62" s="81">
        <f t="shared" si="44"/>
        <v>35.285714285714285</v>
      </c>
      <c r="AB62" s="83">
        <f t="shared" si="237"/>
        <v>0.50191570881226055</v>
      </c>
      <c r="AC62" s="83">
        <f t="shared" si="238"/>
        <v>0.15708812260536398</v>
      </c>
      <c r="AD62" s="83">
        <f t="shared" si="239"/>
        <v>0.21072796934865901</v>
      </c>
      <c r="AE62" s="84">
        <f t="shared" si="240"/>
        <v>0.13026819923371646</v>
      </c>
      <c r="AF62" s="83">
        <f t="shared" si="403"/>
        <v>0.54915918161419175</v>
      </c>
      <c r="AG62" s="83">
        <f t="shared" si="403"/>
        <v>0.1307013904605118</v>
      </c>
      <c r="AH62" s="83">
        <f t="shared" si="403"/>
        <v>0.1860663511811162</v>
      </c>
      <c r="AI62" s="84">
        <f t="shared" si="403"/>
        <v>0.13407307674418031</v>
      </c>
      <c r="AJ62" s="74">
        <v>0</v>
      </c>
      <c r="AK62" s="81">
        <f t="shared" si="44"/>
        <v>0</v>
      </c>
      <c r="AL62" s="74">
        <v>0</v>
      </c>
      <c r="AM62" s="81">
        <f t="shared" si="45"/>
        <v>0</v>
      </c>
      <c r="AN62" s="74">
        <v>0</v>
      </c>
      <c r="AO62" s="81">
        <f t="shared" si="46"/>
        <v>0</v>
      </c>
      <c r="AP62" s="74">
        <v>0</v>
      </c>
      <c r="AQ62" s="81">
        <f t="shared" si="47"/>
        <v>0</v>
      </c>
      <c r="AR62" s="74">
        <v>131</v>
      </c>
      <c r="AS62" s="81">
        <f t="shared" si="48"/>
        <v>143.85714285714286</v>
      </c>
      <c r="AT62" s="74">
        <v>41</v>
      </c>
      <c r="AU62" s="81">
        <f t="shared" si="49"/>
        <v>34.142857142857146</v>
      </c>
      <c r="AV62" s="74">
        <v>55</v>
      </c>
      <c r="AW62" s="81">
        <f t="shared" si="50"/>
        <v>48.714285714285715</v>
      </c>
      <c r="AX62" s="74">
        <v>34</v>
      </c>
      <c r="AY62" s="81">
        <f t="shared" si="51"/>
        <v>35.285714285714285</v>
      </c>
    </row>
    <row r="63" spans="1:51" x14ac:dyDescent="0.25">
      <c r="A63" s="85">
        <f t="shared" si="19"/>
        <v>45562</v>
      </c>
      <c r="B63" s="74">
        <f t="shared" si="12"/>
        <v>876</v>
      </c>
      <c r="C63" s="81">
        <f t="shared" si="20"/>
        <v>848.75</v>
      </c>
      <c r="D63" s="74">
        <v>368.17534248080005</v>
      </c>
      <c r="E63" s="81">
        <f t="shared" si="20"/>
        <v>396.73630138520019</v>
      </c>
      <c r="F63" s="74">
        <f t="shared" si="13"/>
        <v>2372</v>
      </c>
      <c r="G63" s="81">
        <f t="shared" ref="G63" si="418">AVERAGE(F60:F63)</f>
        <v>2499</v>
      </c>
      <c r="H63" s="74">
        <f t="shared" si="14"/>
        <v>876</v>
      </c>
      <c r="I63" s="81">
        <f t="shared" ref="I63" si="419">AVERAGE(H60:H63)</f>
        <v>848.75</v>
      </c>
      <c r="J63" s="74">
        <v>250</v>
      </c>
      <c r="K63" s="81">
        <f t="shared" ref="K63" si="420">AVERAGE(J60:J63)</f>
        <v>266.25</v>
      </c>
      <c r="L63" s="74">
        <v>626</v>
      </c>
      <c r="M63" s="81">
        <f t="shared" ref="M63" si="421">AVERAGE(L60:L63)</f>
        <v>582.5</v>
      </c>
      <c r="N63" s="74">
        <v>0</v>
      </c>
      <c r="O63" s="81">
        <f t="shared" ref="O63" si="422">AVERAGE(N60:N63)</f>
        <v>0</v>
      </c>
      <c r="P63" s="74">
        <v>118.86027398080003</v>
      </c>
      <c r="Q63" s="81">
        <f t="shared" ref="Q63" si="423">AVERAGE(P60:P63)</f>
        <v>131.21575343270007</v>
      </c>
      <c r="R63" s="74">
        <v>1496</v>
      </c>
      <c r="S63" s="81">
        <f t="shared" ref="S63" si="424">AVERAGE(R60:R63)</f>
        <v>1650.25</v>
      </c>
      <c r="T63" s="74">
        <f t="shared" si="15"/>
        <v>133</v>
      </c>
      <c r="U63" s="81">
        <f t="shared" si="59"/>
        <v>143.71428571428572</v>
      </c>
      <c r="V63" s="74">
        <f t="shared" si="16"/>
        <v>27</v>
      </c>
      <c r="W63" s="81">
        <f t="shared" si="42"/>
        <v>33.857142857142854</v>
      </c>
      <c r="X63" s="74">
        <f t="shared" si="17"/>
        <v>52</v>
      </c>
      <c r="Y63" s="81">
        <f t="shared" si="43"/>
        <v>50.428571428571431</v>
      </c>
      <c r="Z63" s="74">
        <f t="shared" si="18"/>
        <v>38</v>
      </c>
      <c r="AA63" s="81">
        <f t="shared" si="44"/>
        <v>35.857142857142854</v>
      </c>
      <c r="AB63" s="83">
        <f t="shared" si="237"/>
        <v>0.53200000000000003</v>
      </c>
      <c r="AC63" s="83">
        <f t="shared" si="238"/>
        <v>0.108</v>
      </c>
      <c r="AD63" s="83">
        <f t="shared" si="239"/>
        <v>0.20799999999999999</v>
      </c>
      <c r="AE63" s="84">
        <f t="shared" si="240"/>
        <v>0.152</v>
      </c>
      <c r="AF63" s="83">
        <f t="shared" si="403"/>
        <v>0.5443876324882122</v>
      </c>
      <c r="AG63" s="83">
        <f t="shared" si="403"/>
        <v>0.12864955200361006</v>
      </c>
      <c r="AH63" s="83">
        <f t="shared" si="403"/>
        <v>0.19166972670854235</v>
      </c>
      <c r="AI63" s="84">
        <f t="shared" si="403"/>
        <v>0.13529308879963539</v>
      </c>
      <c r="AJ63" s="74">
        <v>0</v>
      </c>
      <c r="AK63" s="81">
        <f t="shared" si="44"/>
        <v>0</v>
      </c>
      <c r="AL63" s="74">
        <v>0</v>
      </c>
      <c r="AM63" s="81">
        <f t="shared" si="45"/>
        <v>0</v>
      </c>
      <c r="AN63" s="74">
        <v>0</v>
      </c>
      <c r="AO63" s="81">
        <f t="shared" si="46"/>
        <v>0</v>
      </c>
      <c r="AP63" s="74">
        <v>0</v>
      </c>
      <c r="AQ63" s="81">
        <f t="shared" si="47"/>
        <v>0</v>
      </c>
      <c r="AR63" s="74">
        <v>133</v>
      </c>
      <c r="AS63" s="81">
        <f t="shared" si="48"/>
        <v>143.71428571428572</v>
      </c>
      <c r="AT63" s="74">
        <v>27</v>
      </c>
      <c r="AU63" s="81">
        <f t="shared" si="49"/>
        <v>33.857142857142854</v>
      </c>
      <c r="AV63" s="74">
        <v>52</v>
      </c>
      <c r="AW63" s="81">
        <f t="shared" si="50"/>
        <v>50.428571428571431</v>
      </c>
      <c r="AX63" s="74">
        <v>38</v>
      </c>
      <c r="AY63" s="81">
        <f t="shared" si="51"/>
        <v>35.857142857142854</v>
      </c>
    </row>
    <row r="64" spans="1:51" x14ac:dyDescent="0.25">
      <c r="A64" s="85">
        <f t="shared" si="19"/>
        <v>45569</v>
      </c>
      <c r="B64" s="74">
        <f t="shared" si="12"/>
        <v>833</v>
      </c>
      <c r="C64" s="81">
        <f t="shared" si="20"/>
        <v>822</v>
      </c>
      <c r="D64" s="74">
        <v>398.88219177240012</v>
      </c>
      <c r="E64" s="81">
        <f t="shared" si="20"/>
        <v>388.79041096880013</v>
      </c>
      <c r="F64" s="74">
        <f t="shared" si="13"/>
        <v>2596</v>
      </c>
      <c r="G64" s="81">
        <f t="shared" ref="G64" si="425">AVERAGE(F61:F64)</f>
        <v>2494.25</v>
      </c>
      <c r="H64" s="74">
        <f t="shared" si="14"/>
        <v>833</v>
      </c>
      <c r="I64" s="81">
        <f t="shared" ref="I64" si="426">AVERAGE(H61:H64)</f>
        <v>822</v>
      </c>
      <c r="J64" s="74">
        <v>257</v>
      </c>
      <c r="K64" s="81">
        <f t="shared" ref="K64" si="427">AVERAGE(J61:J64)</f>
        <v>256</v>
      </c>
      <c r="L64" s="74">
        <v>576</v>
      </c>
      <c r="M64" s="81">
        <f t="shared" ref="M64" si="428">AVERAGE(L61:L64)</f>
        <v>566</v>
      </c>
      <c r="N64" s="74">
        <v>0</v>
      </c>
      <c r="O64" s="81">
        <f t="shared" ref="O64" si="429">AVERAGE(N61:N64)</f>
        <v>0</v>
      </c>
      <c r="P64" s="74">
        <v>142.58630135440004</v>
      </c>
      <c r="Q64" s="81">
        <f t="shared" ref="Q64" si="430">AVERAGE(P61:P64)</f>
        <v>133.49178082480003</v>
      </c>
      <c r="R64" s="74">
        <v>1763</v>
      </c>
      <c r="S64" s="81">
        <f t="shared" ref="S64" si="431">AVERAGE(R61:R64)</f>
        <v>1672.25</v>
      </c>
      <c r="T64" s="74">
        <f t="shared" si="15"/>
        <v>146</v>
      </c>
      <c r="U64" s="81">
        <f t="shared" si="59"/>
        <v>144.85714285714286</v>
      </c>
      <c r="V64" s="74">
        <f t="shared" si="16"/>
        <v>39</v>
      </c>
      <c r="W64" s="81">
        <f t="shared" si="42"/>
        <v>34</v>
      </c>
      <c r="X64" s="74">
        <f t="shared" si="17"/>
        <v>48</v>
      </c>
      <c r="Y64" s="81">
        <f t="shared" si="43"/>
        <v>50.714285714285715</v>
      </c>
      <c r="Z64" s="74">
        <f t="shared" si="18"/>
        <v>24</v>
      </c>
      <c r="AA64" s="81">
        <f t="shared" si="44"/>
        <v>34.714285714285715</v>
      </c>
      <c r="AB64" s="83">
        <f t="shared" si="237"/>
        <v>0.56809338521400776</v>
      </c>
      <c r="AC64" s="83">
        <f t="shared" si="238"/>
        <v>0.1517509727626459</v>
      </c>
      <c r="AD64" s="83">
        <f t="shared" si="239"/>
        <v>0.1867704280155642</v>
      </c>
      <c r="AE64" s="84">
        <f t="shared" si="240"/>
        <v>9.3385214007782102E-2</v>
      </c>
      <c r="AF64" s="83">
        <f t="shared" si="403"/>
        <v>0.5479285322881885</v>
      </c>
      <c r="AG64" s="83">
        <f t="shared" si="403"/>
        <v>0.12895593393933111</v>
      </c>
      <c r="AH64" s="83">
        <f t="shared" si="403"/>
        <v>0.19247945039580519</v>
      </c>
      <c r="AI64" s="84">
        <f t="shared" si="403"/>
        <v>0.13063608337667515</v>
      </c>
      <c r="AJ64" s="74">
        <v>0</v>
      </c>
      <c r="AK64" s="81">
        <f t="shared" si="44"/>
        <v>0</v>
      </c>
      <c r="AL64" s="74">
        <v>0</v>
      </c>
      <c r="AM64" s="81">
        <f t="shared" si="45"/>
        <v>0</v>
      </c>
      <c r="AN64" s="74">
        <v>0</v>
      </c>
      <c r="AO64" s="81">
        <f t="shared" si="46"/>
        <v>0</v>
      </c>
      <c r="AP64" s="74">
        <v>0</v>
      </c>
      <c r="AQ64" s="81">
        <f t="shared" si="47"/>
        <v>0</v>
      </c>
      <c r="AR64" s="74">
        <v>146</v>
      </c>
      <c r="AS64" s="81">
        <f t="shared" si="48"/>
        <v>144.85714285714286</v>
      </c>
      <c r="AT64" s="74">
        <v>39</v>
      </c>
      <c r="AU64" s="81">
        <f t="shared" si="49"/>
        <v>34</v>
      </c>
      <c r="AV64" s="74">
        <v>48</v>
      </c>
      <c r="AW64" s="81">
        <f t="shared" si="50"/>
        <v>50.714285714285715</v>
      </c>
      <c r="AX64" s="74">
        <v>24</v>
      </c>
      <c r="AY64" s="81">
        <f t="shared" si="51"/>
        <v>34.714285714285715</v>
      </c>
    </row>
    <row r="65" spans="1:51" x14ac:dyDescent="0.25">
      <c r="A65" s="85">
        <f t="shared" si="19"/>
        <v>45576</v>
      </c>
      <c r="B65" s="74">
        <f t="shared" si="12"/>
        <v>684</v>
      </c>
      <c r="C65" s="81">
        <f t="shared" si="20"/>
        <v>800.5</v>
      </c>
      <c r="D65" s="74">
        <v>319.76438353680004</v>
      </c>
      <c r="E65" s="81">
        <f t="shared" si="20"/>
        <v>370.46438356120012</v>
      </c>
      <c r="F65" s="74">
        <f t="shared" si="13"/>
        <v>2075</v>
      </c>
      <c r="G65" s="81">
        <f t="shared" ref="G65" si="432">AVERAGE(F62:F65)</f>
        <v>2387</v>
      </c>
      <c r="H65" s="74">
        <f t="shared" si="14"/>
        <v>684</v>
      </c>
      <c r="I65" s="81">
        <f t="shared" ref="I65" si="433">AVERAGE(H62:H65)</f>
        <v>800.5</v>
      </c>
      <c r="J65" s="74">
        <v>206</v>
      </c>
      <c r="K65" s="81">
        <f t="shared" ref="K65" si="434">AVERAGE(J62:J65)</f>
        <v>243.5</v>
      </c>
      <c r="L65" s="74">
        <v>478</v>
      </c>
      <c r="M65" s="81">
        <f t="shared" ref="M65" si="435">AVERAGE(L62:L65)</f>
        <v>557</v>
      </c>
      <c r="N65" s="74">
        <v>0</v>
      </c>
      <c r="O65" s="81">
        <f t="shared" ref="O65" si="436">AVERAGE(N62:N65)</f>
        <v>0</v>
      </c>
      <c r="P65" s="74">
        <v>114.32876709279996</v>
      </c>
      <c r="Q65" s="81">
        <f t="shared" ref="Q65" si="437">AVERAGE(P62:P65)</f>
        <v>127.63150684220003</v>
      </c>
      <c r="R65" s="74">
        <v>1391</v>
      </c>
      <c r="S65" s="81">
        <f t="shared" ref="S65" si="438">AVERAGE(R62:R65)</f>
        <v>1586.5</v>
      </c>
      <c r="T65" s="74">
        <f t="shared" si="15"/>
        <v>104</v>
      </c>
      <c r="U65" s="81">
        <f t="shared" si="59"/>
        <v>137</v>
      </c>
      <c r="V65" s="74">
        <f t="shared" si="16"/>
        <v>26</v>
      </c>
      <c r="W65" s="81">
        <f t="shared" si="42"/>
        <v>33.142857142857146</v>
      </c>
      <c r="X65" s="74">
        <f t="shared" si="17"/>
        <v>51</v>
      </c>
      <c r="Y65" s="81">
        <f t="shared" si="43"/>
        <v>50.857142857142854</v>
      </c>
      <c r="Z65" s="74">
        <f t="shared" si="18"/>
        <v>25</v>
      </c>
      <c r="AA65" s="81">
        <f t="shared" si="44"/>
        <v>31.571428571428573</v>
      </c>
      <c r="AB65" s="83">
        <f t="shared" si="237"/>
        <v>0.50485436893203883</v>
      </c>
      <c r="AC65" s="83">
        <f t="shared" si="238"/>
        <v>0.12621359223300971</v>
      </c>
      <c r="AD65" s="83">
        <f t="shared" si="239"/>
        <v>0.24757281553398058</v>
      </c>
      <c r="AE65" s="84">
        <f t="shared" si="240"/>
        <v>0.12135922330097088</v>
      </c>
      <c r="AF65" s="83">
        <f t="shared" si="403"/>
        <v>0.54118153737371788</v>
      </c>
      <c r="AG65" s="83">
        <f t="shared" si="403"/>
        <v>0.1311134312424595</v>
      </c>
      <c r="AH65" s="83">
        <f t="shared" si="403"/>
        <v>0.20304540817050082</v>
      </c>
      <c r="AI65" s="84">
        <f t="shared" si="403"/>
        <v>0.12465962321332179</v>
      </c>
      <c r="AJ65" s="74">
        <v>0</v>
      </c>
      <c r="AK65" s="81">
        <f t="shared" si="44"/>
        <v>0</v>
      </c>
      <c r="AL65" s="74">
        <v>0</v>
      </c>
      <c r="AM65" s="81">
        <f t="shared" si="45"/>
        <v>0</v>
      </c>
      <c r="AN65" s="74">
        <v>0</v>
      </c>
      <c r="AO65" s="81">
        <f t="shared" si="46"/>
        <v>0</v>
      </c>
      <c r="AP65" s="74">
        <v>0</v>
      </c>
      <c r="AQ65" s="81">
        <f t="shared" si="47"/>
        <v>0</v>
      </c>
      <c r="AR65" s="74">
        <v>104</v>
      </c>
      <c r="AS65" s="81">
        <f t="shared" si="48"/>
        <v>137</v>
      </c>
      <c r="AT65" s="74">
        <v>26</v>
      </c>
      <c r="AU65" s="81">
        <f t="shared" si="49"/>
        <v>33.142857142857146</v>
      </c>
      <c r="AV65" s="74">
        <v>51</v>
      </c>
      <c r="AW65" s="81">
        <f t="shared" si="50"/>
        <v>50.857142857142854</v>
      </c>
      <c r="AX65" s="74">
        <v>25</v>
      </c>
      <c r="AY65" s="81">
        <f t="shared" si="51"/>
        <v>31.571428571428573</v>
      </c>
    </row>
    <row r="66" spans="1:51" x14ac:dyDescent="0.25">
      <c r="A66" s="85">
        <f t="shared" si="19"/>
        <v>45583</v>
      </c>
      <c r="B66" s="74">
        <f t="shared" si="12"/>
        <v>797</v>
      </c>
      <c r="C66" s="81">
        <f t="shared" si="20"/>
        <v>797.5</v>
      </c>
      <c r="D66" s="74">
        <v>349.80821915519999</v>
      </c>
      <c r="E66" s="81">
        <f t="shared" si="20"/>
        <v>359.15753423630008</v>
      </c>
      <c r="F66" s="74">
        <f t="shared" si="13"/>
        <v>2141</v>
      </c>
      <c r="G66" s="81">
        <f t="shared" ref="G66" si="439">AVERAGE(F63:F66)</f>
        <v>2296</v>
      </c>
      <c r="H66" s="74">
        <f t="shared" si="14"/>
        <v>797</v>
      </c>
      <c r="I66" s="81">
        <f t="shared" ref="I66" si="440">AVERAGE(H63:H66)</f>
        <v>797.5</v>
      </c>
      <c r="J66" s="74">
        <v>240</v>
      </c>
      <c r="K66" s="81">
        <f t="shared" ref="K66" si="441">AVERAGE(J63:J66)</f>
        <v>238.25</v>
      </c>
      <c r="L66" s="74">
        <v>557</v>
      </c>
      <c r="M66" s="81">
        <f t="shared" ref="M66" si="442">AVERAGE(L63:L66)</f>
        <v>559.25</v>
      </c>
      <c r="N66" s="74">
        <v>0</v>
      </c>
      <c r="O66" s="81">
        <f t="shared" ref="O66" si="443">AVERAGE(N63:N66)</f>
        <v>0</v>
      </c>
      <c r="P66" s="74">
        <v>110.46575339519997</v>
      </c>
      <c r="Q66" s="81">
        <f t="shared" ref="Q66" si="444">AVERAGE(P63:P66)</f>
        <v>121.5602739558</v>
      </c>
      <c r="R66" s="74">
        <v>1344</v>
      </c>
      <c r="S66" s="81">
        <f t="shared" ref="S66" si="445">AVERAGE(R63:R66)</f>
        <v>1498.5</v>
      </c>
      <c r="T66" s="74">
        <f t="shared" si="15"/>
        <v>135</v>
      </c>
      <c r="U66" s="81">
        <f t="shared" si="59"/>
        <v>136.14285714285714</v>
      </c>
      <c r="V66" s="74">
        <f t="shared" si="16"/>
        <v>28</v>
      </c>
      <c r="W66" s="81">
        <f t="shared" si="42"/>
        <v>33.142857142857146</v>
      </c>
      <c r="X66" s="74">
        <f t="shared" si="17"/>
        <v>44</v>
      </c>
      <c r="Y66" s="81">
        <f t="shared" si="43"/>
        <v>51.142857142857146</v>
      </c>
      <c r="Z66" s="74">
        <f t="shared" si="18"/>
        <v>33</v>
      </c>
      <c r="AA66" s="81">
        <f t="shared" si="44"/>
        <v>32.142857142857146</v>
      </c>
      <c r="AB66" s="83">
        <f t="shared" si="237"/>
        <v>0.5625</v>
      </c>
      <c r="AC66" s="83">
        <f t="shared" si="238"/>
        <v>0.11666666666666667</v>
      </c>
      <c r="AD66" s="83">
        <f t="shared" si="239"/>
        <v>0.18333333333333332</v>
      </c>
      <c r="AE66" s="84">
        <f t="shared" si="240"/>
        <v>0.13750000000000001</v>
      </c>
      <c r="AF66" s="83">
        <f t="shared" si="403"/>
        <v>0.53761010880228921</v>
      </c>
      <c r="AG66" s="83">
        <f t="shared" si="403"/>
        <v>0.1311134312424595</v>
      </c>
      <c r="AH66" s="83">
        <f t="shared" si="403"/>
        <v>0.20423588436097703</v>
      </c>
      <c r="AI66" s="84">
        <f t="shared" si="403"/>
        <v>0.12704057559427415</v>
      </c>
      <c r="AJ66" s="74">
        <v>0</v>
      </c>
      <c r="AK66" s="81">
        <f t="shared" si="44"/>
        <v>0</v>
      </c>
      <c r="AL66" s="74">
        <v>0</v>
      </c>
      <c r="AM66" s="81">
        <f t="shared" si="45"/>
        <v>0</v>
      </c>
      <c r="AN66" s="74">
        <v>0</v>
      </c>
      <c r="AO66" s="81">
        <f t="shared" si="46"/>
        <v>0</v>
      </c>
      <c r="AP66" s="74">
        <v>0</v>
      </c>
      <c r="AQ66" s="81">
        <f t="shared" si="47"/>
        <v>0</v>
      </c>
      <c r="AR66" s="74">
        <v>135</v>
      </c>
      <c r="AS66" s="81">
        <f t="shared" si="48"/>
        <v>136.14285714285714</v>
      </c>
      <c r="AT66" s="74">
        <v>28</v>
      </c>
      <c r="AU66" s="81">
        <f t="shared" si="49"/>
        <v>33.142857142857146</v>
      </c>
      <c r="AV66" s="74">
        <v>44</v>
      </c>
      <c r="AW66" s="81">
        <f t="shared" si="50"/>
        <v>51.142857142857146</v>
      </c>
      <c r="AX66" s="74">
        <v>33</v>
      </c>
      <c r="AY66" s="81">
        <f t="shared" si="51"/>
        <v>32.142857142857146</v>
      </c>
    </row>
    <row r="67" spans="1:51" x14ac:dyDescent="0.25">
      <c r="A67" s="85">
        <f t="shared" si="19"/>
        <v>45590</v>
      </c>
      <c r="B67" s="74">
        <f t="shared" si="12"/>
        <v>889</v>
      </c>
      <c r="C67" s="81">
        <f t="shared" si="20"/>
        <v>800.75</v>
      </c>
      <c r="D67" s="74">
        <v>388.85479450280013</v>
      </c>
      <c r="E67" s="81">
        <f t="shared" si="20"/>
        <v>364.3273972418001</v>
      </c>
      <c r="F67" s="74">
        <f t="shared" si="13"/>
        <v>2065</v>
      </c>
      <c r="G67" s="81">
        <f t="shared" ref="G67" si="446">AVERAGE(F64:F67)</f>
        <v>2219.25</v>
      </c>
      <c r="H67" s="74">
        <f t="shared" si="14"/>
        <v>889</v>
      </c>
      <c r="I67" s="81">
        <f t="shared" ref="I67" si="447">AVERAGE(H64:H67)</f>
        <v>800.75</v>
      </c>
      <c r="J67" s="74">
        <v>293</v>
      </c>
      <c r="K67" s="81">
        <f t="shared" ref="K67" si="448">AVERAGE(J64:J67)</f>
        <v>249</v>
      </c>
      <c r="L67" s="74">
        <v>596</v>
      </c>
      <c r="M67" s="81">
        <f t="shared" ref="M67" si="449">AVERAGE(L64:L67)</f>
        <v>551.75</v>
      </c>
      <c r="N67" s="74">
        <v>0</v>
      </c>
      <c r="O67" s="81">
        <f t="shared" ref="O67" si="450">AVERAGE(N64:N67)</f>
        <v>0</v>
      </c>
      <c r="P67" s="74">
        <v>96.657534220799974</v>
      </c>
      <c r="Q67" s="81">
        <f t="shared" ref="Q67" si="451">AVERAGE(P64:P67)</f>
        <v>116.00958901579997</v>
      </c>
      <c r="R67" s="74">
        <v>1176</v>
      </c>
      <c r="S67" s="81">
        <f t="shared" ref="S67" si="452">AVERAGE(R64:R67)</f>
        <v>1418.5</v>
      </c>
      <c r="T67" s="74">
        <f t="shared" si="15"/>
        <v>181</v>
      </c>
      <c r="U67" s="81">
        <f t="shared" si="59"/>
        <v>137.71428571428572</v>
      </c>
      <c r="V67" s="74">
        <f t="shared" si="16"/>
        <v>29</v>
      </c>
      <c r="W67" s="81">
        <f t="shared" si="42"/>
        <v>32.285714285714285</v>
      </c>
      <c r="X67" s="74">
        <f t="shared" si="17"/>
        <v>57</v>
      </c>
      <c r="Y67" s="81">
        <f t="shared" si="43"/>
        <v>51.857142857142854</v>
      </c>
      <c r="Z67" s="74">
        <f t="shared" si="18"/>
        <v>26</v>
      </c>
      <c r="AA67" s="81">
        <f t="shared" si="44"/>
        <v>30</v>
      </c>
      <c r="AB67" s="83">
        <f t="shared" si="237"/>
        <v>0.61774744027303752</v>
      </c>
      <c r="AC67" s="83">
        <f t="shared" si="238"/>
        <v>9.8976109215017066E-2</v>
      </c>
      <c r="AD67" s="83">
        <f t="shared" si="239"/>
        <v>0.19453924914675769</v>
      </c>
      <c r="AE67" s="84">
        <f t="shared" si="240"/>
        <v>8.8737201365187715E-2</v>
      </c>
      <c r="AF67" s="83">
        <f t="shared" si="403"/>
        <v>0.54436405760447781</v>
      </c>
      <c r="AG67" s="83">
        <f t="shared" si="403"/>
        <v>0.12847435192610049</v>
      </c>
      <c r="AH67" s="83">
        <f t="shared" si="403"/>
        <v>0.2070991136254707</v>
      </c>
      <c r="AI67" s="84">
        <f t="shared" si="403"/>
        <v>0.12006247684395101</v>
      </c>
      <c r="AJ67" s="74">
        <v>0</v>
      </c>
      <c r="AK67" s="81">
        <f t="shared" si="44"/>
        <v>0</v>
      </c>
      <c r="AL67" s="74">
        <v>0</v>
      </c>
      <c r="AM67" s="81">
        <f t="shared" si="45"/>
        <v>0</v>
      </c>
      <c r="AN67" s="74">
        <v>0</v>
      </c>
      <c r="AO67" s="81">
        <f t="shared" si="46"/>
        <v>0</v>
      </c>
      <c r="AP67" s="74">
        <v>0</v>
      </c>
      <c r="AQ67" s="81">
        <f t="shared" si="47"/>
        <v>0</v>
      </c>
      <c r="AR67" s="74">
        <v>181</v>
      </c>
      <c r="AS67" s="81">
        <f t="shared" si="48"/>
        <v>137.71428571428572</v>
      </c>
      <c r="AT67" s="74">
        <v>29</v>
      </c>
      <c r="AU67" s="81">
        <f t="shared" si="49"/>
        <v>32.285714285714285</v>
      </c>
      <c r="AV67" s="74">
        <v>57</v>
      </c>
      <c r="AW67" s="81">
        <f t="shared" si="50"/>
        <v>51.857142857142854</v>
      </c>
      <c r="AX67" s="74">
        <v>26</v>
      </c>
      <c r="AY67" s="81">
        <f t="shared" si="51"/>
        <v>30</v>
      </c>
    </row>
    <row r="68" spans="1:51" x14ac:dyDescent="0.25">
      <c r="A68" s="85">
        <f t="shared" si="19"/>
        <v>45597</v>
      </c>
      <c r="B68" s="74">
        <f t="shared" si="12"/>
        <v>959</v>
      </c>
      <c r="C68" s="81">
        <f t="shared" si="20"/>
        <v>832.25</v>
      </c>
      <c r="D68" s="74">
        <v>380.38082190919999</v>
      </c>
      <c r="E68" s="81">
        <f t="shared" si="20"/>
        <v>359.70205477600001</v>
      </c>
      <c r="F68" s="74">
        <f t="shared" si="13"/>
        <v>2003</v>
      </c>
      <c r="G68" s="81">
        <f t="shared" ref="G68" si="453">AVERAGE(F65:F68)</f>
        <v>2071</v>
      </c>
      <c r="H68" s="74">
        <f t="shared" si="14"/>
        <v>959</v>
      </c>
      <c r="I68" s="81">
        <f t="shared" ref="I68" si="454">AVERAGE(H65:H68)</f>
        <v>832.25</v>
      </c>
      <c r="J68" s="74">
        <v>296</v>
      </c>
      <c r="K68" s="81">
        <f t="shared" ref="K68" si="455">AVERAGE(J65:J68)</f>
        <v>258.75</v>
      </c>
      <c r="L68" s="74">
        <v>663</v>
      </c>
      <c r="M68" s="81">
        <f t="shared" ref="M68" si="456">AVERAGE(L65:L68)</f>
        <v>573.5</v>
      </c>
      <c r="N68" s="74">
        <v>0</v>
      </c>
      <c r="O68" s="81">
        <f t="shared" ref="O68" si="457">AVERAGE(N65:N68)</f>
        <v>0</v>
      </c>
      <c r="P68" s="74">
        <v>85.191780805199954</v>
      </c>
      <c r="Q68" s="81">
        <f t="shared" ref="Q68" si="458">AVERAGE(P65:P68)</f>
        <v>101.66095887849997</v>
      </c>
      <c r="R68" s="74">
        <v>1044</v>
      </c>
      <c r="S68" s="81">
        <f t="shared" ref="S68" si="459">AVERAGE(R65:R68)</f>
        <v>1238.75</v>
      </c>
      <c r="T68" s="74">
        <f t="shared" si="15"/>
        <v>163</v>
      </c>
      <c r="U68" s="81">
        <f t="shared" si="59"/>
        <v>141.85714285714286</v>
      </c>
      <c r="V68" s="74">
        <f t="shared" si="16"/>
        <v>31</v>
      </c>
      <c r="W68" s="81">
        <f t="shared" si="42"/>
        <v>31.571428571428573</v>
      </c>
      <c r="X68" s="74">
        <f t="shared" si="17"/>
        <v>63</v>
      </c>
      <c r="Y68" s="81">
        <f t="shared" si="43"/>
        <v>52.857142857142854</v>
      </c>
      <c r="Z68" s="74">
        <f t="shared" si="18"/>
        <v>39</v>
      </c>
      <c r="AA68" s="81">
        <f t="shared" si="44"/>
        <v>31.285714285714285</v>
      </c>
      <c r="AB68" s="83">
        <f t="shared" si="237"/>
        <v>0.55067567567567566</v>
      </c>
      <c r="AC68" s="83">
        <f t="shared" si="238"/>
        <v>0.10472972972972973</v>
      </c>
      <c r="AD68" s="83">
        <f t="shared" si="239"/>
        <v>0.21283783783783783</v>
      </c>
      <c r="AE68" s="84">
        <f t="shared" si="240"/>
        <v>0.13175675675675674</v>
      </c>
      <c r="AF68" s="83">
        <f t="shared" si="403"/>
        <v>0.54825522555814576</v>
      </c>
      <c r="AG68" s="83">
        <f t="shared" si="403"/>
        <v>0.12334645617320472</v>
      </c>
      <c r="AH68" s="83">
        <f t="shared" si="403"/>
        <v>0.20625451903087605</v>
      </c>
      <c r="AI68" s="84">
        <f t="shared" si="403"/>
        <v>0.12214379923777341</v>
      </c>
      <c r="AJ68" s="74">
        <v>0</v>
      </c>
      <c r="AK68" s="81">
        <f t="shared" si="44"/>
        <v>0</v>
      </c>
      <c r="AL68" s="74">
        <v>0</v>
      </c>
      <c r="AM68" s="81">
        <f t="shared" si="45"/>
        <v>0</v>
      </c>
      <c r="AN68" s="74">
        <v>0</v>
      </c>
      <c r="AO68" s="81">
        <f t="shared" si="46"/>
        <v>0</v>
      </c>
      <c r="AP68" s="74">
        <v>0</v>
      </c>
      <c r="AQ68" s="81">
        <f t="shared" si="47"/>
        <v>0</v>
      </c>
      <c r="AR68" s="74">
        <v>163</v>
      </c>
      <c r="AS68" s="81">
        <f t="shared" si="48"/>
        <v>141.85714285714286</v>
      </c>
      <c r="AT68" s="74">
        <v>31</v>
      </c>
      <c r="AU68" s="81">
        <f t="shared" si="49"/>
        <v>31.571428571428573</v>
      </c>
      <c r="AV68" s="74">
        <v>63</v>
      </c>
      <c r="AW68" s="81">
        <f t="shared" si="50"/>
        <v>52.857142857142854</v>
      </c>
      <c r="AX68" s="74">
        <v>39</v>
      </c>
      <c r="AY68" s="81">
        <f t="shared" si="51"/>
        <v>31.285714285714285</v>
      </c>
    </row>
    <row r="69" spans="1:51" x14ac:dyDescent="0.25">
      <c r="A69" s="85">
        <f t="shared" si="19"/>
        <v>45604</v>
      </c>
      <c r="B69" s="74">
        <f t="shared" si="12"/>
        <v>786</v>
      </c>
      <c r="C69" s="81">
        <f t="shared" si="20"/>
        <v>857.75</v>
      </c>
      <c r="D69" s="74">
        <v>304.55616439480013</v>
      </c>
      <c r="E69" s="81">
        <f t="shared" si="20"/>
        <v>355.89999999050008</v>
      </c>
      <c r="F69" s="74">
        <f t="shared" si="13"/>
        <v>1657</v>
      </c>
      <c r="G69" s="81">
        <f t="shared" ref="G69" si="460">AVERAGE(F66:F69)</f>
        <v>1966.5</v>
      </c>
      <c r="H69" s="74">
        <f t="shared" si="14"/>
        <v>786</v>
      </c>
      <c r="I69" s="81">
        <f t="shared" ref="I69" si="461">AVERAGE(H66:H69)</f>
        <v>857.75</v>
      </c>
      <c r="J69" s="74">
        <v>236</v>
      </c>
      <c r="K69" s="81">
        <f t="shared" ref="K69" si="462">AVERAGE(J66:J69)</f>
        <v>266.25</v>
      </c>
      <c r="L69" s="74">
        <v>550</v>
      </c>
      <c r="M69" s="81">
        <f t="shared" ref="M69" si="463">AVERAGE(L66:L69)</f>
        <v>591.5</v>
      </c>
      <c r="N69" s="74">
        <v>0</v>
      </c>
      <c r="O69" s="81">
        <f t="shared" ref="O69" si="464">AVERAGE(N66:N69)</f>
        <v>0</v>
      </c>
      <c r="P69" s="74">
        <v>69.202739730800019</v>
      </c>
      <c r="Q69" s="81">
        <f t="shared" ref="Q69" si="465">AVERAGE(P66:P69)</f>
        <v>90.379452037999982</v>
      </c>
      <c r="R69" s="74">
        <v>871</v>
      </c>
      <c r="S69" s="81">
        <f t="shared" ref="S69" si="466">AVERAGE(R66:R69)</f>
        <v>1108.75</v>
      </c>
      <c r="T69" s="74">
        <f t="shared" si="15"/>
        <v>140</v>
      </c>
      <c r="U69" s="81">
        <f t="shared" si="59"/>
        <v>143.14285714285714</v>
      </c>
      <c r="V69" s="74">
        <f t="shared" si="16"/>
        <v>26</v>
      </c>
      <c r="W69" s="81">
        <f t="shared" si="42"/>
        <v>29.428571428571427</v>
      </c>
      <c r="X69" s="74">
        <f t="shared" si="17"/>
        <v>44</v>
      </c>
      <c r="Y69" s="81">
        <f t="shared" si="43"/>
        <v>51.285714285714285</v>
      </c>
      <c r="Z69" s="74">
        <f t="shared" si="18"/>
        <v>26</v>
      </c>
      <c r="AA69" s="81">
        <f t="shared" si="44"/>
        <v>30.142857142857142</v>
      </c>
      <c r="AB69" s="83">
        <f t="shared" ref="AB69:AB100" si="467">T69/SUM($T69,$V69,$X69,$Z69)</f>
        <v>0.59322033898305082</v>
      </c>
      <c r="AC69" s="83">
        <f t="shared" ref="AC69:AC100" si="468">V69/SUM($T69,$V69,$X69,$Z69)</f>
        <v>0.11016949152542373</v>
      </c>
      <c r="AD69" s="83">
        <f t="shared" ref="AD69:AD100" si="469">X69/SUM($T69,$V69,$X69,$Z69)</f>
        <v>0.1864406779661017</v>
      </c>
      <c r="AE69" s="84">
        <f t="shared" ref="AE69:AE100" si="470">Z69/SUM($T69,$V69,$X69,$Z69)</f>
        <v>0.11016949152542373</v>
      </c>
      <c r="AF69" s="83">
        <f t="shared" si="403"/>
        <v>0.56129874415397296</v>
      </c>
      <c r="AG69" s="83">
        <f t="shared" si="403"/>
        <v>0.11664379459035612</v>
      </c>
      <c r="AH69" s="83">
        <f t="shared" si="403"/>
        <v>0.20278490597622501</v>
      </c>
      <c r="AI69" s="84">
        <f t="shared" si="403"/>
        <v>0.11927255527944589</v>
      </c>
      <c r="AJ69" s="74">
        <v>0</v>
      </c>
      <c r="AK69" s="81">
        <f t="shared" si="44"/>
        <v>0</v>
      </c>
      <c r="AL69" s="74">
        <v>0</v>
      </c>
      <c r="AM69" s="81">
        <f t="shared" si="45"/>
        <v>0</v>
      </c>
      <c r="AN69" s="74">
        <v>0</v>
      </c>
      <c r="AO69" s="81">
        <f t="shared" si="46"/>
        <v>0</v>
      </c>
      <c r="AP69" s="74">
        <v>0</v>
      </c>
      <c r="AQ69" s="81">
        <f t="shared" si="47"/>
        <v>0</v>
      </c>
      <c r="AR69" s="74">
        <v>140</v>
      </c>
      <c r="AS69" s="81">
        <f t="shared" si="48"/>
        <v>143.14285714285714</v>
      </c>
      <c r="AT69" s="74">
        <v>26</v>
      </c>
      <c r="AU69" s="81">
        <f t="shared" si="49"/>
        <v>29.428571428571427</v>
      </c>
      <c r="AV69" s="74">
        <v>44</v>
      </c>
      <c r="AW69" s="81">
        <f t="shared" si="50"/>
        <v>51.285714285714285</v>
      </c>
      <c r="AX69" s="74">
        <v>26</v>
      </c>
      <c r="AY69" s="81">
        <f t="shared" si="51"/>
        <v>30.142857142857142</v>
      </c>
    </row>
    <row r="70" spans="1:51" x14ac:dyDescent="0.25">
      <c r="A70" s="85">
        <f t="shared" si="19"/>
        <v>45611</v>
      </c>
      <c r="B70" s="74">
        <f t="shared" ref="B70:B109" si="471">J70+L70+N70</f>
        <v>807</v>
      </c>
      <c r="C70" s="81">
        <f t="shared" si="20"/>
        <v>860.25</v>
      </c>
      <c r="D70" s="74">
        <v>319.66575343640005</v>
      </c>
      <c r="E70" s="81">
        <f t="shared" si="20"/>
        <v>348.36438356080009</v>
      </c>
      <c r="F70" s="74">
        <f t="shared" ref="F70:F109" si="472">J70+L70+R70</f>
        <v>1705</v>
      </c>
      <c r="G70" s="81">
        <f t="shared" ref="G70" si="473">AVERAGE(F67:F70)</f>
        <v>1857.5</v>
      </c>
      <c r="H70" s="74">
        <f t="shared" ref="H70:H109" si="474">J70+L70</f>
        <v>807</v>
      </c>
      <c r="I70" s="81">
        <f t="shared" ref="I70" si="475">AVERAGE(H67:H70)</f>
        <v>860.25</v>
      </c>
      <c r="J70" s="74">
        <v>249</v>
      </c>
      <c r="K70" s="81">
        <f t="shared" ref="K70" si="476">AVERAGE(J67:J70)</f>
        <v>268.5</v>
      </c>
      <c r="L70" s="74">
        <v>558</v>
      </c>
      <c r="M70" s="81">
        <f t="shared" ref="M70" si="477">AVERAGE(L67:L70)</f>
        <v>591.75</v>
      </c>
      <c r="N70" s="74">
        <v>0</v>
      </c>
      <c r="O70" s="81">
        <f t="shared" ref="O70" si="478">AVERAGE(N67:N70)</f>
        <v>0</v>
      </c>
      <c r="P70" s="74">
        <v>71.347945210400013</v>
      </c>
      <c r="Q70" s="81">
        <f t="shared" ref="Q70" si="479">AVERAGE(P67:P70)</f>
        <v>80.59999999179999</v>
      </c>
      <c r="R70" s="74">
        <v>898</v>
      </c>
      <c r="S70" s="81">
        <f t="shared" ref="S70" si="480">AVERAGE(R67:R70)</f>
        <v>997.25</v>
      </c>
      <c r="T70" s="74">
        <f t="shared" ref="T70:T109" si="481">AJ70+AR70</f>
        <v>145</v>
      </c>
      <c r="U70" s="81">
        <f t="shared" si="59"/>
        <v>144.85714285714286</v>
      </c>
      <c r="V70" s="74">
        <f t="shared" ref="V70:V109" si="482">AL70+AT70</f>
        <v>31</v>
      </c>
      <c r="W70" s="81">
        <f t="shared" si="42"/>
        <v>30</v>
      </c>
      <c r="X70" s="74">
        <f t="shared" ref="X70:X109" si="483">AN70+AV70</f>
        <v>50</v>
      </c>
      <c r="Y70" s="81">
        <f t="shared" si="43"/>
        <v>51</v>
      </c>
      <c r="Z70" s="74">
        <f t="shared" ref="Z70:Z109" si="484">AP70+AX70</f>
        <v>23</v>
      </c>
      <c r="AA70" s="81">
        <f t="shared" si="44"/>
        <v>28</v>
      </c>
      <c r="AB70" s="83">
        <f t="shared" si="467"/>
        <v>0.58232931726907633</v>
      </c>
      <c r="AC70" s="83">
        <f t="shared" si="468"/>
        <v>0.12449799196787148</v>
      </c>
      <c r="AD70" s="83">
        <f t="shared" si="469"/>
        <v>0.20080321285140562</v>
      </c>
      <c r="AE70" s="84">
        <f t="shared" si="470"/>
        <v>9.2369477911646583E-2</v>
      </c>
      <c r="AF70" s="83">
        <f t="shared" si="403"/>
        <v>0.56848864662098386</v>
      </c>
      <c r="AG70" s="83">
        <f t="shared" si="403"/>
        <v>0.11900065058576634</v>
      </c>
      <c r="AH70" s="83">
        <f t="shared" si="403"/>
        <v>0.20175679352642586</v>
      </c>
      <c r="AI70" s="84">
        <f t="shared" si="403"/>
        <v>0.11075390926682398</v>
      </c>
      <c r="AJ70" s="74">
        <v>0</v>
      </c>
      <c r="AK70" s="81">
        <f t="shared" si="44"/>
        <v>0</v>
      </c>
      <c r="AL70" s="74">
        <v>0</v>
      </c>
      <c r="AM70" s="81">
        <f t="shared" si="45"/>
        <v>0</v>
      </c>
      <c r="AN70" s="74">
        <v>0</v>
      </c>
      <c r="AO70" s="81">
        <f t="shared" si="46"/>
        <v>0</v>
      </c>
      <c r="AP70" s="74">
        <v>0</v>
      </c>
      <c r="AQ70" s="81">
        <f t="shared" si="47"/>
        <v>0</v>
      </c>
      <c r="AR70" s="74">
        <v>145</v>
      </c>
      <c r="AS70" s="81">
        <f t="shared" si="48"/>
        <v>144.85714285714286</v>
      </c>
      <c r="AT70" s="74">
        <v>31</v>
      </c>
      <c r="AU70" s="81">
        <f t="shared" si="49"/>
        <v>30</v>
      </c>
      <c r="AV70" s="74">
        <v>50</v>
      </c>
      <c r="AW70" s="81">
        <f t="shared" si="50"/>
        <v>51</v>
      </c>
      <c r="AX70" s="74">
        <v>23</v>
      </c>
      <c r="AY70" s="81">
        <f t="shared" si="51"/>
        <v>28</v>
      </c>
    </row>
    <row r="71" spans="1:51" x14ac:dyDescent="0.25">
      <c r="A71" s="85">
        <f t="shared" ref="A71:A109" si="485">A70+7</f>
        <v>45618</v>
      </c>
      <c r="B71" s="74">
        <f t="shared" si="471"/>
        <v>1020</v>
      </c>
      <c r="C71" s="81">
        <f t="shared" si="20"/>
        <v>893</v>
      </c>
      <c r="D71" s="74">
        <v>410.28219179479987</v>
      </c>
      <c r="E71" s="81">
        <f t="shared" si="20"/>
        <v>353.72123288380004</v>
      </c>
      <c r="F71" s="74">
        <f t="shared" si="472"/>
        <v>1841</v>
      </c>
      <c r="G71" s="81">
        <f t="shared" ref="G71" si="486">AVERAGE(F68:F71)</f>
        <v>1801.5</v>
      </c>
      <c r="H71" s="74">
        <f t="shared" si="474"/>
        <v>1020</v>
      </c>
      <c r="I71" s="81">
        <f t="shared" ref="I71" si="487">AVERAGE(H68:H71)</f>
        <v>893</v>
      </c>
      <c r="J71" s="74">
        <v>346</v>
      </c>
      <c r="K71" s="81">
        <f t="shared" ref="K71" si="488">AVERAGE(J68:J71)</f>
        <v>281.75</v>
      </c>
      <c r="L71" s="74">
        <v>674</v>
      </c>
      <c r="M71" s="81">
        <f t="shared" ref="M71" si="489">AVERAGE(L68:L71)</f>
        <v>611.25</v>
      </c>
      <c r="N71" s="74">
        <v>0</v>
      </c>
      <c r="O71" s="81">
        <f t="shared" ref="O71" si="490">AVERAGE(N68:N71)</f>
        <v>0</v>
      </c>
      <c r="P71" s="74">
        <v>65.23013699080002</v>
      </c>
      <c r="Q71" s="81">
        <f t="shared" ref="Q71" si="491">AVERAGE(P68:P71)</f>
        <v>72.743150684299991</v>
      </c>
      <c r="R71" s="74">
        <v>821</v>
      </c>
      <c r="S71" s="81">
        <f t="shared" ref="S71" si="492">AVERAGE(R68:R71)</f>
        <v>908.5</v>
      </c>
      <c r="T71" s="74">
        <f t="shared" si="481"/>
        <v>198</v>
      </c>
      <c r="U71" s="81">
        <f t="shared" si="59"/>
        <v>152.28571428571428</v>
      </c>
      <c r="V71" s="74">
        <f t="shared" si="482"/>
        <v>54</v>
      </c>
      <c r="W71" s="81">
        <f t="shared" si="42"/>
        <v>32.142857142857146</v>
      </c>
      <c r="X71" s="74">
        <f t="shared" si="483"/>
        <v>61</v>
      </c>
      <c r="Y71" s="81">
        <f t="shared" si="43"/>
        <v>52.857142857142854</v>
      </c>
      <c r="Z71" s="74">
        <f t="shared" si="484"/>
        <v>33</v>
      </c>
      <c r="AA71" s="81">
        <f t="shared" si="44"/>
        <v>29.285714285714285</v>
      </c>
      <c r="AB71" s="83">
        <f t="shared" si="467"/>
        <v>0.5722543352601156</v>
      </c>
      <c r="AC71" s="83">
        <f t="shared" si="468"/>
        <v>0.15606936416184972</v>
      </c>
      <c r="AD71" s="83">
        <f t="shared" si="469"/>
        <v>0.17630057803468208</v>
      </c>
      <c r="AE71" s="84">
        <f t="shared" si="470"/>
        <v>9.5375722543352595E-2</v>
      </c>
      <c r="AF71" s="83">
        <f t="shared" si="403"/>
        <v>0.56908306805614217</v>
      </c>
      <c r="AG71" s="83">
        <f t="shared" si="403"/>
        <v>0.11961756364279544</v>
      </c>
      <c r="AH71" s="83">
        <f t="shared" si="403"/>
        <v>0.20026110067201411</v>
      </c>
      <c r="AI71" s="84">
        <f t="shared" si="403"/>
        <v>0.11103826762904832</v>
      </c>
      <c r="AJ71" s="74">
        <v>0</v>
      </c>
      <c r="AK71" s="81">
        <f t="shared" si="44"/>
        <v>0</v>
      </c>
      <c r="AL71" s="74">
        <v>0</v>
      </c>
      <c r="AM71" s="81">
        <f t="shared" si="45"/>
        <v>0</v>
      </c>
      <c r="AN71" s="74">
        <v>0</v>
      </c>
      <c r="AO71" s="81">
        <f t="shared" si="46"/>
        <v>0</v>
      </c>
      <c r="AP71" s="74">
        <v>0</v>
      </c>
      <c r="AQ71" s="81">
        <f t="shared" si="47"/>
        <v>0</v>
      </c>
      <c r="AR71" s="74">
        <v>198</v>
      </c>
      <c r="AS71" s="81">
        <f t="shared" si="48"/>
        <v>152.28571428571428</v>
      </c>
      <c r="AT71" s="74">
        <v>54</v>
      </c>
      <c r="AU71" s="81">
        <f t="shared" si="49"/>
        <v>32.142857142857146</v>
      </c>
      <c r="AV71" s="74">
        <v>61</v>
      </c>
      <c r="AW71" s="81">
        <f t="shared" si="50"/>
        <v>52.857142857142854</v>
      </c>
      <c r="AX71" s="74">
        <v>33</v>
      </c>
      <c r="AY71" s="81">
        <f t="shared" si="51"/>
        <v>29.285714285714285</v>
      </c>
    </row>
    <row r="72" spans="1:51" x14ac:dyDescent="0.25">
      <c r="A72" s="85">
        <f t="shared" si="485"/>
        <v>45625</v>
      </c>
      <c r="B72" s="74">
        <f t="shared" si="471"/>
        <v>1068</v>
      </c>
      <c r="C72" s="81">
        <f t="shared" si="20"/>
        <v>920.25</v>
      </c>
      <c r="D72" s="74">
        <v>350.84657535400009</v>
      </c>
      <c r="E72" s="81">
        <f t="shared" si="20"/>
        <v>346.33767124500008</v>
      </c>
      <c r="F72" s="74">
        <f t="shared" si="472"/>
        <v>1643</v>
      </c>
      <c r="G72" s="81">
        <f t="shared" ref="G72" si="493">AVERAGE(F69:F72)</f>
        <v>1711.5</v>
      </c>
      <c r="H72" s="74">
        <f t="shared" si="474"/>
        <v>1068</v>
      </c>
      <c r="I72" s="81">
        <f t="shared" ref="I72" si="494">AVERAGE(H69:H72)</f>
        <v>920.25</v>
      </c>
      <c r="J72" s="74">
        <v>306</v>
      </c>
      <c r="K72" s="81">
        <f t="shared" ref="K72" si="495">AVERAGE(J69:J72)</f>
        <v>284.25</v>
      </c>
      <c r="L72" s="74">
        <v>762</v>
      </c>
      <c r="M72" s="81">
        <f t="shared" ref="M72" si="496">AVERAGE(L69:L72)</f>
        <v>636</v>
      </c>
      <c r="N72" s="74">
        <v>0</v>
      </c>
      <c r="O72" s="81">
        <f t="shared" ref="O72" si="497">AVERAGE(N69:N72)</f>
        <v>0</v>
      </c>
      <c r="P72" s="74">
        <v>45.684931510000013</v>
      </c>
      <c r="Q72" s="81">
        <f t="shared" ref="Q72" si="498">AVERAGE(P69:P72)</f>
        <v>62.866438360500013</v>
      </c>
      <c r="R72" s="74">
        <v>575</v>
      </c>
      <c r="S72" s="81">
        <f t="shared" ref="S72" si="499">AVERAGE(R69:R72)</f>
        <v>791.25</v>
      </c>
      <c r="T72" s="74">
        <f t="shared" si="481"/>
        <v>181</v>
      </c>
      <c r="U72" s="81">
        <f t="shared" si="59"/>
        <v>163.28571428571428</v>
      </c>
      <c r="V72" s="74">
        <f t="shared" si="482"/>
        <v>40</v>
      </c>
      <c r="W72" s="81">
        <f t="shared" si="42"/>
        <v>34.142857142857146</v>
      </c>
      <c r="X72" s="74">
        <f t="shared" si="483"/>
        <v>54</v>
      </c>
      <c r="Y72" s="81">
        <f t="shared" si="43"/>
        <v>53.285714285714285</v>
      </c>
      <c r="Z72" s="74">
        <f t="shared" si="484"/>
        <v>31</v>
      </c>
      <c r="AA72" s="81">
        <f t="shared" si="44"/>
        <v>30.142857142857142</v>
      </c>
      <c r="AB72" s="83">
        <f t="shared" si="467"/>
        <v>0.59150326797385622</v>
      </c>
      <c r="AC72" s="83">
        <f t="shared" si="468"/>
        <v>0.13071895424836602</v>
      </c>
      <c r="AD72" s="83">
        <f t="shared" si="469"/>
        <v>0.17647058823529413</v>
      </c>
      <c r="AE72" s="84">
        <f t="shared" si="470"/>
        <v>0.10130718954248366</v>
      </c>
      <c r="AF72" s="83">
        <f t="shared" si="403"/>
        <v>0.58146148220497318</v>
      </c>
      <c r="AG72" s="83">
        <f t="shared" si="403"/>
        <v>0.12026118678784634</v>
      </c>
      <c r="AH72" s="83">
        <f t="shared" si="403"/>
        <v>0.19010363962934465</v>
      </c>
      <c r="AI72" s="84">
        <f t="shared" si="403"/>
        <v>0.10817369137783585</v>
      </c>
      <c r="AJ72" s="74">
        <v>0</v>
      </c>
      <c r="AK72" s="81">
        <f t="shared" si="44"/>
        <v>0</v>
      </c>
      <c r="AL72" s="74">
        <v>0</v>
      </c>
      <c r="AM72" s="81">
        <f t="shared" si="45"/>
        <v>0</v>
      </c>
      <c r="AN72" s="74">
        <v>0</v>
      </c>
      <c r="AO72" s="81">
        <f t="shared" si="46"/>
        <v>0</v>
      </c>
      <c r="AP72" s="74">
        <v>0</v>
      </c>
      <c r="AQ72" s="81">
        <f t="shared" si="47"/>
        <v>0</v>
      </c>
      <c r="AR72" s="74">
        <v>181</v>
      </c>
      <c r="AS72" s="81">
        <f t="shared" si="48"/>
        <v>163.28571428571428</v>
      </c>
      <c r="AT72" s="74">
        <v>40</v>
      </c>
      <c r="AU72" s="81">
        <f t="shared" si="49"/>
        <v>34.142857142857146</v>
      </c>
      <c r="AV72" s="74">
        <v>54</v>
      </c>
      <c r="AW72" s="81">
        <f t="shared" si="50"/>
        <v>53.285714285714285</v>
      </c>
      <c r="AX72" s="74">
        <v>31</v>
      </c>
      <c r="AY72" s="81">
        <f t="shared" si="51"/>
        <v>30.142857142857142</v>
      </c>
    </row>
    <row r="73" spans="1:51" x14ac:dyDescent="0.25">
      <c r="A73" s="85">
        <f t="shared" si="485"/>
        <v>45632</v>
      </c>
      <c r="B73" s="74">
        <f t="shared" si="471"/>
        <v>1113</v>
      </c>
      <c r="C73" s="81">
        <f t="shared" ref="C73:E109" si="500">AVERAGE(B70:B73)</f>
        <v>1002</v>
      </c>
      <c r="D73" s="74">
        <v>370.9178082192002</v>
      </c>
      <c r="E73" s="81">
        <f t="shared" si="500"/>
        <v>362.92808220110004</v>
      </c>
      <c r="F73" s="74">
        <f t="shared" si="472"/>
        <v>1712</v>
      </c>
      <c r="G73" s="81">
        <f t="shared" ref="G73" si="501">AVERAGE(F70:F73)</f>
        <v>1725.25</v>
      </c>
      <c r="H73" s="74">
        <f t="shared" si="474"/>
        <v>1113</v>
      </c>
      <c r="I73" s="81">
        <f t="shared" ref="I73" si="502">AVERAGE(H70:H73)</f>
        <v>1002</v>
      </c>
      <c r="J73" s="74">
        <v>323</v>
      </c>
      <c r="K73" s="81">
        <f t="shared" ref="K73" si="503">AVERAGE(J70:J73)</f>
        <v>306</v>
      </c>
      <c r="L73" s="74">
        <v>790</v>
      </c>
      <c r="M73" s="81">
        <f t="shared" ref="M73" si="504">AVERAGE(L70:L73)</f>
        <v>696</v>
      </c>
      <c r="N73" s="74">
        <v>0</v>
      </c>
      <c r="O73" s="81">
        <f t="shared" ref="O73" si="505">AVERAGE(N70:N73)</f>
        <v>0</v>
      </c>
      <c r="P73" s="74">
        <v>48.802739717199977</v>
      </c>
      <c r="Q73" s="81">
        <f t="shared" ref="Q73" si="506">AVERAGE(P70:P73)</f>
        <v>57.766438357100007</v>
      </c>
      <c r="R73" s="74">
        <v>599</v>
      </c>
      <c r="S73" s="81">
        <f t="shared" ref="S73" si="507">AVERAGE(R70:R73)</f>
        <v>723.25</v>
      </c>
      <c r="T73" s="74">
        <f t="shared" si="481"/>
        <v>189</v>
      </c>
      <c r="U73" s="81">
        <f t="shared" si="59"/>
        <v>171</v>
      </c>
      <c r="V73" s="74">
        <f t="shared" si="482"/>
        <v>39</v>
      </c>
      <c r="W73" s="81">
        <f t="shared" si="42"/>
        <v>35.714285714285715</v>
      </c>
      <c r="X73" s="74">
        <f t="shared" si="483"/>
        <v>58</v>
      </c>
      <c r="Y73" s="81">
        <f t="shared" si="43"/>
        <v>55.285714285714285</v>
      </c>
      <c r="Z73" s="74">
        <f t="shared" si="484"/>
        <v>37</v>
      </c>
      <c r="AA73" s="81">
        <f t="shared" si="44"/>
        <v>30.714285714285715</v>
      </c>
      <c r="AB73" s="83">
        <f t="shared" si="467"/>
        <v>0.5851393188854489</v>
      </c>
      <c r="AC73" s="83">
        <f t="shared" si="468"/>
        <v>0.12074303405572756</v>
      </c>
      <c r="AD73" s="83">
        <f t="shared" si="469"/>
        <v>0.17956656346749225</v>
      </c>
      <c r="AE73" s="84">
        <f t="shared" si="470"/>
        <v>0.11455108359133127</v>
      </c>
      <c r="AF73" s="83">
        <f t="shared" si="403"/>
        <v>0.5846956706171802</v>
      </c>
      <c r="AG73" s="83">
        <f t="shared" si="403"/>
        <v>0.12084352498628362</v>
      </c>
      <c r="AH73" s="83">
        <f t="shared" si="403"/>
        <v>0.1895655296485102</v>
      </c>
      <c r="AI73" s="84">
        <f t="shared" si="403"/>
        <v>0.10489527474802604</v>
      </c>
      <c r="AJ73" s="74">
        <v>0</v>
      </c>
      <c r="AK73" s="81">
        <f t="shared" si="44"/>
        <v>0</v>
      </c>
      <c r="AL73" s="74">
        <v>0</v>
      </c>
      <c r="AM73" s="81">
        <f t="shared" si="45"/>
        <v>0</v>
      </c>
      <c r="AN73" s="74">
        <v>0</v>
      </c>
      <c r="AO73" s="81">
        <f t="shared" si="46"/>
        <v>0</v>
      </c>
      <c r="AP73" s="74">
        <v>0</v>
      </c>
      <c r="AQ73" s="81">
        <f t="shared" si="47"/>
        <v>0</v>
      </c>
      <c r="AR73" s="74">
        <v>189</v>
      </c>
      <c r="AS73" s="81">
        <f t="shared" si="48"/>
        <v>171</v>
      </c>
      <c r="AT73" s="74">
        <v>39</v>
      </c>
      <c r="AU73" s="81">
        <f t="shared" si="49"/>
        <v>35.714285714285715</v>
      </c>
      <c r="AV73" s="74">
        <v>58</v>
      </c>
      <c r="AW73" s="81">
        <f t="shared" si="50"/>
        <v>55.285714285714285</v>
      </c>
      <c r="AX73" s="74">
        <v>37</v>
      </c>
      <c r="AY73" s="81">
        <f t="shared" si="51"/>
        <v>30.714285714285715</v>
      </c>
    </row>
    <row r="74" spans="1:51" x14ac:dyDescent="0.25">
      <c r="A74" s="85">
        <f t="shared" si="485"/>
        <v>45639</v>
      </c>
      <c r="B74" s="74">
        <f t="shared" si="471"/>
        <v>984</v>
      </c>
      <c r="C74" s="81">
        <f t="shared" si="500"/>
        <v>1046.25</v>
      </c>
      <c r="D74" s="74">
        <v>345.2493150656</v>
      </c>
      <c r="E74" s="81">
        <f t="shared" si="500"/>
        <v>369.32397260840003</v>
      </c>
      <c r="F74" s="74">
        <f t="shared" si="472"/>
        <v>1496</v>
      </c>
      <c r="G74" s="81">
        <f t="shared" ref="G74" si="508">AVERAGE(F71:F74)</f>
        <v>1673</v>
      </c>
      <c r="H74" s="74">
        <f t="shared" si="474"/>
        <v>984</v>
      </c>
      <c r="I74" s="81">
        <f t="shared" ref="I74" si="509">AVERAGE(H71:H74)</f>
        <v>1046.25</v>
      </c>
      <c r="J74" s="74">
        <v>304</v>
      </c>
      <c r="K74" s="81">
        <f t="shared" ref="K74" si="510">AVERAGE(J71:J74)</f>
        <v>319.75</v>
      </c>
      <c r="L74" s="74">
        <v>680</v>
      </c>
      <c r="M74" s="81">
        <f t="shared" ref="M74" si="511">AVERAGE(L71:L74)</f>
        <v>726.5</v>
      </c>
      <c r="N74" s="74">
        <v>0</v>
      </c>
      <c r="O74" s="81">
        <f t="shared" ref="O74" si="512">AVERAGE(N71:N74)</f>
        <v>0</v>
      </c>
      <c r="P74" s="74">
        <v>42.082191769599994</v>
      </c>
      <c r="Q74" s="81">
        <f t="shared" ref="Q74" si="513">AVERAGE(P71:P74)</f>
        <v>50.449999996900004</v>
      </c>
      <c r="R74" s="74">
        <v>512</v>
      </c>
      <c r="S74" s="81">
        <f t="shared" ref="S74" si="514">AVERAGE(R71:R74)</f>
        <v>626.75</v>
      </c>
      <c r="T74" s="74">
        <f t="shared" si="481"/>
        <v>172</v>
      </c>
      <c r="U74" s="81">
        <f t="shared" si="59"/>
        <v>169.71428571428572</v>
      </c>
      <c r="V74" s="74">
        <f t="shared" si="482"/>
        <v>44</v>
      </c>
      <c r="W74" s="81">
        <f t="shared" si="42"/>
        <v>37.857142857142854</v>
      </c>
      <c r="X74" s="74">
        <f t="shared" si="483"/>
        <v>55</v>
      </c>
      <c r="Y74" s="81">
        <f t="shared" si="43"/>
        <v>55</v>
      </c>
      <c r="Z74" s="74">
        <f t="shared" si="484"/>
        <v>33</v>
      </c>
      <c r="AA74" s="81">
        <f t="shared" si="44"/>
        <v>31.714285714285715</v>
      </c>
      <c r="AB74" s="83">
        <f t="shared" si="467"/>
        <v>0.56578947368421051</v>
      </c>
      <c r="AC74" s="83">
        <f t="shared" si="468"/>
        <v>0.14473684210526316</v>
      </c>
      <c r="AD74" s="83">
        <f t="shared" si="469"/>
        <v>0.18092105263157895</v>
      </c>
      <c r="AE74" s="84">
        <f t="shared" si="470"/>
        <v>0.10855263157894737</v>
      </c>
      <c r="AF74" s="83">
        <f t="shared" si="403"/>
        <v>0.57727310396163356</v>
      </c>
      <c r="AG74" s="83">
        <f t="shared" si="403"/>
        <v>0.12738077254203303</v>
      </c>
      <c r="AH74" s="83">
        <f t="shared" si="403"/>
        <v>0.18762007300348468</v>
      </c>
      <c r="AI74" s="84">
        <f t="shared" si="403"/>
        <v>0.10772605049284885</v>
      </c>
      <c r="AJ74" s="74">
        <v>0</v>
      </c>
      <c r="AK74" s="81">
        <f t="shared" si="44"/>
        <v>0</v>
      </c>
      <c r="AL74" s="74">
        <v>0</v>
      </c>
      <c r="AM74" s="81">
        <f t="shared" si="45"/>
        <v>0</v>
      </c>
      <c r="AN74" s="74">
        <v>0</v>
      </c>
      <c r="AO74" s="81">
        <f t="shared" si="46"/>
        <v>0</v>
      </c>
      <c r="AP74" s="74">
        <v>0</v>
      </c>
      <c r="AQ74" s="81">
        <f t="shared" si="47"/>
        <v>0</v>
      </c>
      <c r="AR74" s="74">
        <v>172</v>
      </c>
      <c r="AS74" s="81">
        <f t="shared" si="48"/>
        <v>169.71428571428572</v>
      </c>
      <c r="AT74" s="74">
        <v>44</v>
      </c>
      <c r="AU74" s="81">
        <f t="shared" si="49"/>
        <v>37.857142857142854</v>
      </c>
      <c r="AV74" s="74">
        <v>55</v>
      </c>
      <c r="AW74" s="81">
        <f t="shared" si="50"/>
        <v>55</v>
      </c>
      <c r="AX74" s="74">
        <v>33</v>
      </c>
      <c r="AY74" s="81">
        <f t="shared" si="51"/>
        <v>31.714285714285715</v>
      </c>
    </row>
    <row r="75" spans="1:51" x14ac:dyDescent="0.25">
      <c r="A75" s="85">
        <f t="shared" si="485"/>
        <v>45646</v>
      </c>
      <c r="B75" s="74">
        <f t="shared" si="471"/>
        <v>969</v>
      </c>
      <c r="C75" s="81">
        <f t="shared" si="500"/>
        <v>1033.5</v>
      </c>
      <c r="D75" s="74">
        <v>316.05479451840012</v>
      </c>
      <c r="E75" s="81">
        <f t="shared" si="500"/>
        <v>345.76712328930012</v>
      </c>
      <c r="F75" s="74">
        <f t="shared" si="472"/>
        <v>1417</v>
      </c>
      <c r="G75" s="81">
        <f t="shared" ref="G75" si="515">AVERAGE(F72:F75)</f>
        <v>1567</v>
      </c>
      <c r="H75" s="74">
        <f t="shared" si="474"/>
        <v>968</v>
      </c>
      <c r="I75" s="81">
        <f t="shared" ref="I75" si="516">AVERAGE(H72:H75)</f>
        <v>1033.25</v>
      </c>
      <c r="J75" s="74">
        <v>279</v>
      </c>
      <c r="K75" s="81">
        <f t="shared" ref="K75" si="517">AVERAGE(J72:J75)</f>
        <v>303</v>
      </c>
      <c r="L75" s="74">
        <v>689</v>
      </c>
      <c r="M75" s="81">
        <f t="shared" ref="M75" si="518">AVERAGE(L72:L75)</f>
        <v>730.25</v>
      </c>
      <c r="N75" s="74">
        <v>1</v>
      </c>
      <c r="O75" s="81">
        <f t="shared" ref="O75" si="519">AVERAGE(N72:N75)</f>
        <v>0.25</v>
      </c>
      <c r="P75" s="74">
        <v>37.8191780724</v>
      </c>
      <c r="Q75" s="81">
        <f t="shared" ref="Q75" si="520">AVERAGE(P72:P75)</f>
        <v>43.597260267300001</v>
      </c>
      <c r="R75" s="74">
        <v>449</v>
      </c>
      <c r="S75" s="81">
        <f t="shared" ref="S75" si="521">AVERAGE(R72:R75)</f>
        <v>533.75</v>
      </c>
      <c r="T75" s="74">
        <f t="shared" si="481"/>
        <v>147</v>
      </c>
      <c r="U75" s="81">
        <f t="shared" si="59"/>
        <v>167.42857142857142</v>
      </c>
      <c r="V75" s="74">
        <f t="shared" si="482"/>
        <v>33</v>
      </c>
      <c r="W75" s="81">
        <f t="shared" ref="W75:W109" si="522">AVERAGE(V69:V75)</f>
        <v>38.142857142857146</v>
      </c>
      <c r="X75" s="74">
        <f t="shared" si="483"/>
        <v>59</v>
      </c>
      <c r="Y75" s="81">
        <f t="shared" ref="Y75:Y109" si="523">AVERAGE(X69:X75)</f>
        <v>54.428571428571431</v>
      </c>
      <c r="Z75" s="74">
        <f t="shared" si="484"/>
        <v>41</v>
      </c>
      <c r="AA75" s="81">
        <f t="shared" ref="AA75:AK109" si="524">AVERAGE(Z69:Z75)</f>
        <v>32</v>
      </c>
      <c r="AB75" s="83">
        <f t="shared" si="467"/>
        <v>0.52500000000000002</v>
      </c>
      <c r="AC75" s="83">
        <f t="shared" si="468"/>
        <v>0.11785714285714285</v>
      </c>
      <c r="AD75" s="83">
        <f t="shared" si="469"/>
        <v>0.21071428571428572</v>
      </c>
      <c r="AE75" s="84">
        <f t="shared" si="470"/>
        <v>0.14642857142857144</v>
      </c>
      <c r="AF75" s="83">
        <f t="shared" si="403"/>
        <v>0.57360515029367976</v>
      </c>
      <c r="AG75" s="83">
        <f t="shared" si="403"/>
        <v>0.12925611727452066</v>
      </c>
      <c r="AH75" s="83">
        <f t="shared" si="403"/>
        <v>0.18731670841440576</v>
      </c>
      <c r="AI75" s="84">
        <f t="shared" si="403"/>
        <v>0.10982202401739381</v>
      </c>
      <c r="AJ75" s="74">
        <v>0</v>
      </c>
      <c r="AK75" s="81">
        <f t="shared" si="524"/>
        <v>0</v>
      </c>
      <c r="AL75" s="74">
        <v>0</v>
      </c>
      <c r="AM75" s="81">
        <f t="shared" ref="AM75:AM109" si="525">AVERAGE(AL69:AL75)</f>
        <v>0</v>
      </c>
      <c r="AN75" s="74">
        <v>1</v>
      </c>
      <c r="AO75" s="81">
        <f t="shared" ref="AO75:AO109" si="526">AVERAGE(AN69:AN75)</f>
        <v>0.14285714285714285</v>
      </c>
      <c r="AP75" s="74">
        <v>0</v>
      </c>
      <c r="AQ75" s="81">
        <f t="shared" ref="AQ75:AQ109" si="527">AVERAGE(AP69:AP75)</f>
        <v>0</v>
      </c>
      <c r="AR75" s="74">
        <v>147</v>
      </c>
      <c r="AS75" s="81">
        <f t="shared" ref="AS75:AS109" si="528">AVERAGE(AR69:AR75)</f>
        <v>167.42857142857142</v>
      </c>
      <c r="AT75" s="74">
        <v>33</v>
      </c>
      <c r="AU75" s="81">
        <f t="shared" ref="AU75:AU109" si="529">AVERAGE(AT69:AT75)</f>
        <v>38.142857142857146</v>
      </c>
      <c r="AV75" s="74">
        <v>58</v>
      </c>
      <c r="AW75" s="81">
        <f t="shared" ref="AW75:AW109" si="530">AVERAGE(AV69:AV75)</f>
        <v>54.285714285714285</v>
      </c>
      <c r="AX75" s="74">
        <v>41</v>
      </c>
      <c r="AY75" s="81">
        <f t="shared" ref="AY75:AY109" si="531">AVERAGE(AX69:AX75)</f>
        <v>32</v>
      </c>
    </row>
    <row r="76" spans="1:51" x14ac:dyDescent="0.25">
      <c r="A76" s="85">
        <f t="shared" si="485"/>
        <v>45653</v>
      </c>
      <c r="B76" s="74">
        <f t="shared" si="471"/>
        <v>761</v>
      </c>
      <c r="C76" s="81">
        <f t="shared" si="500"/>
        <v>956.75</v>
      </c>
      <c r="D76" s="74">
        <v>246.7890410952001</v>
      </c>
      <c r="E76" s="81">
        <f t="shared" si="500"/>
        <v>319.75273972460013</v>
      </c>
      <c r="F76" s="74">
        <f t="shared" si="472"/>
        <v>1070</v>
      </c>
      <c r="G76" s="81">
        <f t="shared" ref="G76" si="532">AVERAGE(F73:F76)</f>
        <v>1423.75</v>
      </c>
      <c r="H76" s="74">
        <f t="shared" si="474"/>
        <v>761</v>
      </c>
      <c r="I76" s="81">
        <f t="shared" ref="I76" si="533">AVERAGE(H73:H76)</f>
        <v>956.5</v>
      </c>
      <c r="J76" s="74">
        <v>222</v>
      </c>
      <c r="K76" s="81">
        <f t="shared" ref="K76" si="534">AVERAGE(J73:J76)</f>
        <v>282</v>
      </c>
      <c r="L76" s="74">
        <v>539</v>
      </c>
      <c r="M76" s="81">
        <f t="shared" ref="M76" si="535">AVERAGE(L73:L76)</f>
        <v>674.5</v>
      </c>
      <c r="N76" s="74">
        <v>0</v>
      </c>
      <c r="O76" s="81">
        <f t="shared" ref="O76" si="536">AVERAGE(N73:N76)</f>
        <v>0.25</v>
      </c>
      <c r="P76" s="74">
        <v>25.397260267199997</v>
      </c>
      <c r="Q76" s="81">
        <f t="shared" ref="Q76" si="537">AVERAGE(P73:P76)</f>
        <v>38.525342456599986</v>
      </c>
      <c r="R76" s="74">
        <v>309</v>
      </c>
      <c r="S76" s="81">
        <f t="shared" ref="S76" si="538">AVERAGE(R73:R76)</f>
        <v>467.25</v>
      </c>
      <c r="T76" s="74">
        <f t="shared" si="481"/>
        <v>132</v>
      </c>
      <c r="U76" s="81">
        <f t="shared" ref="U76:U104" si="539">AVERAGE(T70:T76)</f>
        <v>166.28571428571428</v>
      </c>
      <c r="V76" s="74">
        <f t="shared" si="482"/>
        <v>25</v>
      </c>
      <c r="W76" s="81">
        <f t="shared" si="522"/>
        <v>38</v>
      </c>
      <c r="X76" s="74">
        <f t="shared" si="483"/>
        <v>45</v>
      </c>
      <c r="Y76" s="81">
        <f t="shared" si="523"/>
        <v>54.571428571428569</v>
      </c>
      <c r="Z76" s="74">
        <f t="shared" si="484"/>
        <v>20</v>
      </c>
      <c r="AA76" s="81">
        <f t="shared" si="524"/>
        <v>31.142857142857142</v>
      </c>
      <c r="AB76" s="83">
        <f t="shared" si="467"/>
        <v>0.59459459459459463</v>
      </c>
      <c r="AC76" s="83">
        <f t="shared" si="468"/>
        <v>0.11261261261261261</v>
      </c>
      <c r="AD76" s="83">
        <f t="shared" si="469"/>
        <v>0.20270270270270271</v>
      </c>
      <c r="AE76" s="84">
        <f t="shared" si="470"/>
        <v>9.0090090090090086E-2</v>
      </c>
      <c r="AF76" s="83">
        <f t="shared" ref="AF76:AI91" si="540">AVERAGE(AB70:AB76)</f>
        <v>0.57380147252390035</v>
      </c>
      <c r="AG76" s="83">
        <f t="shared" si="540"/>
        <v>0.12960513457269046</v>
      </c>
      <c r="AH76" s="83">
        <f t="shared" si="540"/>
        <v>0.18963985480534878</v>
      </c>
      <c r="AI76" s="84">
        <f t="shared" si="540"/>
        <v>0.10695353809806042</v>
      </c>
      <c r="AJ76" s="74">
        <v>0</v>
      </c>
      <c r="AK76" s="81">
        <f t="shared" si="524"/>
        <v>0</v>
      </c>
      <c r="AL76" s="74">
        <v>0</v>
      </c>
      <c r="AM76" s="81">
        <f t="shared" si="525"/>
        <v>0</v>
      </c>
      <c r="AN76" s="74">
        <v>0</v>
      </c>
      <c r="AO76" s="81">
        <f t="shared" si="526"/>
        <v>0.14285714285714285</v>
      </c>
      <c r="AP76" s="74">
        <v>0</v>
      </c>
      <c r="AQ76" s="81">
        <f t="shared" si="527"/>
        <v>0</v>
      </c>
      <c r="AR76" s="74">
        <v>132</v>
      </c>
      <c r="AS76" s="81">
        <f t="shared" si="528"/>
        <v>166.28571428571428</v>
      </c>
      <c r="AT76" s="74">
        <v>25</v>
      </c>
      <c r="AU76" s="81">
        <f t="shared" si="529"/>
        <v>38</v>
      </c>
      <c r="AV76" s="74">
        <v>45</v>
      </c>
      <c r="AW76" s="81">
        <f t="shared" si="530"/>
        <v>54.428571428571431</v>
      </c>
      <c r="AX76" s="74">
        <v>20</v>
      </c>
      <c r="AY76" s="81">
        <f t="shared" si="531"/>
        <v>31.142857142857142</v>
      </c>
    </row>
    <row r="77" spans="1:51" x14ac:dyDescent="0.25">
      <c r="A77" s="85">
        <f t="shared" si="485"/>
        <v>45660</v>
      </c>
      <c r="B77" s="74">
        <f t="shared" si="471"/>
        <v>863</v>
      </c>
      <c r="C77" s="81">
        <f t="shared" si="500"/>
        <v>894.25</v>
      </c>
      <c r="D77" s="74">
        <v>222.70684931640005</v>
      </c>
      <c r="E77" s="81">
        <f t="shared" si="500"/>
        <v>282.69999999890007</v>
      </c>
      <c r="F77" s="74">
        <f t="shared" si="472"/>
        <v>1061</v>
      </c>
      <c r="G77" s="81">
        <f t="shared" ref="G77" si="541">AVERAGE(F74:F77)</f>
        <v>1261</v>
      </c>
      <c r="H77" s="74">
        <f t="shared" si="474"/>
        <v>863</v>
      </c>
      <c r="I77" s="81">
        <f t="shared" ref="I77" si="542">AVERAGE(H74:H77)</f>
        <v>894</v>
      </c>
      <c r="J77" s="74">
        <v>207</v>
      </c>
      <c r="K77" s="81">
        <f t="shared" ref="K77" si="543">AVERAGE(J74:J77)</f>
        <v>253</v>
      </c>
      <c r="L77" s="74">
        <v>656</v>
      </c>
      <c r="M77" s="81">
        <f t="shared" ref="M77" si="544">AVERAGE(L74:L77)</f>
        <v>641</v>
      </c>
      <c r="N77" s="74">
        <v>0</v>
      </c>
      <c r="O77" s="81">
        <f t="shared" ref="O77" si="545">AVERAGE(N74:N77)</f>
        <v>0.25</v>
      </c>
      <c r="P77" s="74">
        <v>16.2739725984</v>
      </c>
      <c r="Q77" s="81">
        <f t="shared" ref="Q77" si="546">AVERAGE(P74:P77)</f>
        <v>30.393150676899999</v>
      </c>
      <c r="R77" s="74">
        <v>198</v>
      </c>
      <c r="S77" s="81">
        <f t="shared" ref="S77" si="547">AVERAGE(R74:R77)</f>
        <v>367</v>
      </c>
      <c r="T77" s="74">
        <f t="shared" si="481"/>
        <v>105</v>
      </c>
      <c r="U77" s="81">
        <f t="shared" si="539"/>
        <v>160.57142857142858</v>
      </c>
      <c r="V77" s="74">
        <f t="shared" si="482"/>
        <v>27</v>
      </c>
      <c r="W77" s="81">
        <f t="shared" si="522"/>
        <v>37.428571428571431</v>
      </c>
      <c r="X77" s="74">
        <f t="shared" si="483"/>
        <v>48</v>
      </c>
      <c r="Y77" s="81">
        <f t="shared" si="523"/>
        <v>54.285714285714285</v>
      </c>
      <c r="Z77" s="74">
        <f t="shared" si="484"/>
        <v>27</v>
      </c>
      <c r="AA77" s="81">
        <f t="shared" si="524"/>
        <v>31.714285714285715</v>
      </c>
      <c r="AB77" s="83">
        <f t="shared" si="467"/>
        <v>0.50724637681159424</v>
      </c>
      <c r="AC77" s="83">
        <f t="shared" si="468"/>
        <v>0.13043478260869565</v>
      </c>
      <c r="AD77" s="83">
        <f t="shared" si="469"/>
        <v>0.2318840579710145</v>
      </c>
      <c r="AE77" s="84">
        <f t="shared" si="470"/>
        <v>0.13043478260869565</v>
      </c>
      <c r="AF77" s="83">
        <f t="shared" si="540"/>
        <v>0.5630753381728314</v>
      </c>
      <c r="AG77" s="83">
        <f t="shared" si="540"/>
        <v>0.13045324752137966</v>
      </c>
      <c r="AH77" s="83">
        <f t="shared" si="540"/>
        <v>0.19407997553672146</v>
      </c>
      <c r="AI77" s="84">
        <f t="shared" si="540"/>
        <v>0.11239143876906744</v>
      </c>
      <c r="AJ77" s="74">
        <v>0</v>
      </c>
      <c r="AK77" s="81">
        <f t="shared" si="524"/>
        <v>0</v>
      </c>
      <c r="AL77" s="74">
        <v>0</v>
      </c>
      <c r="AM77" s="81">
        <f t="shared" si="525"/>
        <v>0</v>
      </c>
      <c r="AN77" s="74">
        <v>0</v>
      </c>
      <c r="AO77" s="81">
        <f t="shared" si="526"/>
        <v>0.14285714285714285</v>
      </c>
      <c r="AP77" s="74">
        <v>0</v>
      </c>
      <c r="AQ77" s="81">
        <f t="shared" si="527"/>
        <v>0</v>
      </c>
      <c r="AR77" s="74">
        <v>105</v>
      </c>
      <c r="AS77" s="81">
        <f t="shared" si="528"/>
        <v>160.57142857142858</v>
      </c>
      <c r="AT77" s="74">
        <v>27</v>
      </c>
      <c r="AU77" s="81">
        <f t="shared" si="529"/>
        <v>37.428571428571431</v>
      </c>
      <c r="AV77" s="74">
        <v>48</v>
      </c>
      <c r="AW77" s="81">
        <f t="shared" si="530"/>
        <v>54.142857142857146</v>
      </c>
      <c r="AX77" s="74">
        <v>27</v>
      </c>
      <c r="AY77" s="81">
        <f t="shared" si="531"/>
        <v>31.714285714285715</v>
      </c>
    </row>
    <row r="78" spans="1:51" x14ac:dyDescent="0.25">
      <c r="A78" s="85">
        <f t="shared" si="485"/>
        <v>45667</v>
      </c>
      <c r="B78" s="74">
        <f t="shared" si="471"/>
        <v>998</v>
      </c>
      <c r="C78" s="81">
        <f t="shared" si="500"/>
        <v>897.75</v>
      </c>
      <c r="D78" s="74">
        <v>270.88767123720015</v>
      </c>
      <c r="E78" s="81">
        <f t="shared" si="500"/>
        <v>264.10958904180012</v>
      </c>
      <c r="F78" s="74">
        <f t="shared" si="472"/>
        <v>1127</v>
      </c>
      <c r="G78" s="81">
        <f t="shared" ref="G78" si="548">AVERAGE(F75:F78)</f>
        <v>1168.75</v>
      </c>
      <c r="H78" s="74">
        <f t="shared" si="474"/>
        <v>998</v>
      </c>
      <c r="I78" s="81">
        <f t="shared" ref="I78" si="549">AVERAGE(H75:H78)</f>
        <v>897.5</v>
      </c>
      <c r="J78" s="74">
        <v>261</v>
      </c>
      <c r="K78" s="81">
        <f t="shared" ref="K78" si="550">AVERAGE(J75:J78)</f>
        <v>242.25</v>
      </c>
      <c r="L78" s="74">
        <v>737</v>
      </c>
      <c r="M78" s="81">
        <f t="shared" ref="M78" si="551">AVERAGE(L75:L78)</f>
        <v>655.25</v>
      </c>
      <c r="N78" s="74">
        <v>0</v>
      </c>
      <c r="O78" s="81">
        <f t="shared" ref="O78" si="552">AVERAGE(N75:N78)</f>
        <v>0.25</v>
      </c>
      <c r="P78" s="74">
        <v>10.602739723200001</v>
      </c>
      <c r="Q78" s="81">
        <f t="shared" ref="Q78" si="553">AVERAGE(P75:P78)</f>
        <v>22.5232876653</v>
      </c>
      <c r="R78" s="74">
        <v>129</v>
      </c>
      <c r="S78" s="81">
        <f t="shared" ref="S78" si="554">AVERAGE(R75:R78)</f>
        <v>271.25</v>
      </c>
      <c r="T78" s="74">
        <f t="shared" si="481"/>
        <v>138</v>
      </c>
      <c r="U78" s="81">
        <f t="shared" si="539"/>
        <v>152</v>
      </c>
      <c r="V78" s="74">
        <f t="shared" si="482"/>
        <v>29</v>
      </c>
      <c r="W78" s="81">
        <f t="shared" si="522"/>
        <v>33.857142857142854</v>
      </c>
      <c r="X78" s="74">
        <f t="shared" si="483"/>
        <v>54</v>
      </c>
      <c r="Y78" s="81">
        <f t="shared" si="523"/>
        <v>53.285714285714285</v>
      </c>
      <c r="Z78" s="74">
        <f t="shared" si="484"/>
        <v>40</v>
      </c>
      <c r="AA78" s="81">
        <f t="shared" si="524"/>
        <v>32.714285714285715</v>
      </c>
      <c r="AB78" s="83">
        <f t="shared" si="467"/>
        <v>0.52873563218390807</v>
      </c>
      <c r="AC78" s="83">
        <f t="shared" si="468"/>
        <v>0.1111111111111111</v>
      </c>
      <c r="AD78" s="83">
        <f t="shared" si="469"/>
        <v>0.20689655172413793</v>
      </c>
      <c r="AE78" s="84">
        <f t="shared" si="470"/>
        <v>0.1532567049808429</v>
      </c>
      <c r="AF78" s="83">
        <f t="shared" si="540"/>
        <v>0.55685838059051607</v>
      </c>
      <c r="AG78" s="83">
        <f t="shared" si="540"/>
        <v>0.12403063994270272</v>
      </c>
      <c r="AH78" s="83">
        <f t="shared" si="540"/>
        <v>0.19845082892092947</v>
      </c>
      <c r="AI78" s="84">
        <f t="shared" si="540"/>
        <v>0.12066015054585177</v>
      </c>
      <c r="AJ78" s="74">
        <v>0</v>
      </c>
      <c r="AK78" s="81">
        <f t="shared" si="524"/>
        <v>0</v>
      </c>
      <c r="AL78" s="74">
        <v>0</v>
      </c>
      <c r="AM78" s="81">
        <f t="shared" si="525"/>
        <v>0</v>
      </c>
      <c r="AN78" s="74">
        <v>0</v>
      </c>
      <c r="AO78" s="81">
        <f t="shared" si="526"/>
        <v>0.14285714285714285</v>
      </c>
      <c r="AP78" s="74">
        <v>0</v>
      </c>
      <c r="AQ78" s="81">
        <f t="shared" si="527"/>
        <v>0</v>
      </c>
      <c r="AR78" s="74">
        <v>138</v>
      </c>
      <c r="AS78" s="81">
        <f t="shared" si="528"/>
        <v>152</v>
      </c>
      <c r="AT78" s="74">
        <v>29</v>
      </c>
      <c r="AU78" s="81">
        <f t="shared" si="529"/>
        <v>33.857142857142854</v>
      </c>
      <c r="AV78" s="74">
        <v>54</v>
      </c>
      <c r="AW78" s="81">
        <f t="shared" si="530"/>
        <v>53.142857142857146</v>
      </c>
      <c r="AX78" s="74">
        <v>40</v>
      </c>
      <c r="AY78" s="81">
        <f t="shared" si="531"/>
        <v>32.714285714285715</v>
      </c>
    </row>
    <row r="79" spans="1:51" x14ac:dyDescent="0.25">
      <c r="A79" s="85">
        <f t="shared" si="485"/>
        <v>45674</v>
      </c>
      <c r="B79" s="74">
        <f t="shared" si="471"/>
        <v>981</v>
      </c>
      <c r="C79" s="81">
        <f t="shared" si="500"/>
        <v>900.75</v>
      </c>
      <c r="D79" s="74">
        <v>251.72602740200006</v>
      </c>
      <c r="E79" s="81">
        <f t="shared" si="500"/>
        <v>248.02739726270011</v>
      </c>
      <c r="F79" s="74">
        <f t="shared" si="472"/>
        <v>1071</v>
      </c>
      <c r="G79" s="81">
        <f t="shared" ref="G79" si="555">AVERAGE(F76:F79)</f>
        <v>1082.25</v>
      </c>
      <c r="H79" s="74">
        <f t="shared" si="474"/>
        <v>981</v>
      </c>
      <c r="I79" s="81">
        <f t="shared" ref="I79" si="556">AVERAGE(H76:H79)</f>
        <v>900.75</v>
      </c>
      <c r="J79" s="74">
        <v>245</v>
      </c>
      <c r="K79" s="81">
        <f t="shared" ref="K79" si="557">AVERAGE(J76:J79)</f>
        <v>233.75</v>
      </c>
      <c r="L79" s="74">
        <v>736</v>
      </c>
      <c r="M79" s="81">
        <f t="shared" ref="M79" si="558">AVERAGE(L76:L79)</f>
        <v>667</v>
      </c>
      <c r="N79" s="74">
        <v>0</v>
      </c>
      <c r="O79" s="81">
        <f t="shared" ref="O79" si="559">AVERAGE(N76:N79)</f>
        <v>0</v>
      </c>
      <c r="P79" s="74">
        <v>7.3972602719999978</v>
      </c>
      <c r="Q79" s="81">
        <f t="shared" ref="Q79" si="560">AVERAGE(P76:P79)</f>
        <v>14.917808215199999</v>
      </c>
      <c r="R79" s="74">
        <v>90</v>
      </c>
      <c r="S79" s="81">
        <f t="shared" ref="S79" si="561">AVERAGE(R76:R79)</f>
        <v>181.5</v>
      </c>
      <c r="T79" s="74">
        <f t="shared" si="481"/>
        <v>149</v>
      </c>
      <c r="U79" s="81">
        <f t="shared" si="539"/>
        <v>147.42857142857142</v>
      </c>
      <c r="V79" s="74">
        <f t="shared" si="482"/>
        <v>32</v>
      </c>
      <c r="W79" s="81">
        <f t="shared" si="522"/>
        <v>32.714285714285715</v>
      </c>
      <c r="X79" s="74">
        <f t="shared" si="483"/>
        <v>41</v>
      </c>
      <c r="Y79" s="81">
        <f t="shared" si="523"/>
        <v>51.428571428571431</v>
      </c>
      <c r="Z79" s="74">
        <f t="shared" si="484"/>
        <v>23</v>
      </c>
      <c r="AA79" s="81">
        <f t="shared" si="524"/>
        <v>31.571428571428573</v>
      </c>
      <c r="AB79" s="83">
        <f t="shared" si="467"/>
        <v>0.60816326530612241</v>
      </c>
      <c r="AC79" s="83">
        <f t="shared" si="468"/>
        <v>0.1306122448979592</v>
      </c>
      <c r="AD79" s="83">
        <f t="shared" si="469"/>
        <v>0.16734693877551021</v>
      </c>
      <c r="AE79" s="84">
        <f t="shared" si="470"/>
        <v>9.3877551020408165E-2</v>
      </c>
      <c r="AF79" s="83">
        <f t="shared" si="540"/>
        <v>0.5592383802094113</v>
      </c>
      <c r="AG79" s="83">
        <f t="shared" si="540"/>
        <v>0.12401539574978744</v>
      </c>
      <c r="AH79" s="83">
        <f t="shared" si="540"/>
        <v>0.19714745042667461</v>
      </c>
      <c r="AI79" s="84">
        <f t="shared" si="540"/>
        <v>0.1195987736141267</v>
      </c>
      <c r="AJ79" s="74">
        <v>0</v>
      </c>
      <c r="AK79" s="81">
        <f t="shared" si="524"/>
        <v>0</v>
      </c>
      <c r="AL79" s="74">
        <v>0</v>
      </c>
      <c r="AM79" s="81">
        <f t="shared" si="525"/>
        <v>0</v>
      </c>
      <c r="AN79" s="74">
        <v>0</v>
      </c>
      <c r="AO79" s="81">
        <f t="shared" si="526"/>
        <v>0.14285714285714285</v>
      </c>
      <c r="AP79" s="74">
        <v>0</v>
      </c>
      <c r="AQ79" s="81">
        <f t="shared" si="527"/>
        <v>0</v>
      </c>
      <c r="AR79" s="74">
        <v>149</v>
      </c>
      <c r="AS79" s="81">
        <f t="shared" si="528"/>
        <v>147.42857142857142</v>
      </c>
      <c r="AT79" s="74">
        <v>32</v>
      </c>
      <c r="AU79" s="81">
        <f t="shared" si="529"/>
        <v>32.714285714285715</v>
      </c>
      <c r="AV79" s="74">
        <v>41</v>
      </c>
      <c r="AW79" s="81">
        <f t="shared" si="530"/>
        <v>51.285714285714285</v>
      </c>
      <c r="AX79" s="74">
        <v>23</v>
      </c>
      <c r="AY79" s="81">
        <f t="shared" si="531"/>
        <v>31.571428571428573</v>
      </c>
    </row>
    <row r="80" spans="1:51" x14ac:dyDescent="0.25">
      <c r="A80" s="85">
        <f t="shared" si="485"/>
        <v>45681</v>
      </c>
      <c r="B80" s="74">
        <f t="shared" si="471"/>
        <v>868</v>
      </c>
      <c r="C80" s="81">
        <f t="shared" si="500"/>
        <v>927.5</v>
      </c>
      <c r="D80" s="74">
        <v>195.86301370360002</v>
      </c>
      <c r="E80" s="81">
        <f t="shared" si="500"/>
        <v>235.29589041480006</v>
      </c>
      <c r="F80" s="74">
        <f t="shared" si="472"/>
        <v>885</v>
      </c>
      <c r="G80" s="81">
        <f t="shared" ref="G80" si="562">AVERAGE(F77:F80)</f>
        <v>1036</v>
      </c>
      <c r="H80" s="74">
        <f t="shared" si="474"/>
        <v>868</v>
      </c>
      <c r="I80" s="81">
        <f t="shared" ref="I80" si="563">AVERAGE(H77:H80)</f>
        <v>927.5</v>
      </c>
      <c r="J80" s="74">
        <v>195</v>
      </c>
      <c r="K80" s="81">
        <f t="shared" ref="K80" si="564">AVERAGE(J77:J80)</f>
        <v>227</v>
      </c>
      <c r="L80" s="74">
        <v>673</v>
      </c>
      <c r="M80" s="81">
        <f t="shared" ref="M80" si="565">AVERAGE(L77:L80)</f>
        <v>700.5</v>
      </c>
      <c r="N80" s="74">
        <v>0</v>
      </c>
      <c r="O80" s="81">
        <f t="shared" ref="O80" si="566">AVERAGE(N77:N80)</f>
        <v>0</v>
      </c>
      <c r="P80" s="74">
        <v>1.3972602736000002</v>
      </c>
      <c r="Q80" s="81">
        <f t="shared" ref="Q80" si="567">AVERAGE(P77:P80)</f>
        <v>8.9178082167999992</v>
      </c>
      <c r="R80" s="74">
        <v>17</v>
      </c>
      <c r="S80" s="81">
        <f t="shared" ref="S80" si="568">AVERAGE(R77:R80)</f>
        <v>108.5</v>
      </c>
      <c r="T80" s="74">
        <f t="shared" si="481"/>
        <v>111</v>
      </c>
      <c r="U80" s="81">
        <f t="shared" si="539"/>
        <v>136.28571428571428</v>
      </c>
      <c r="V80" s="74">
        <f t="shared" si="482"/>
        <v>22</v>
      </c>
      <c r="W80" s="81">
        <f t="shared" si="522"/>
        <v>30.285714285714285</v>
      </c>
      <c r="X80" s="74">
        <f t="shared" si="483"/>
        <v>38</v>
      </c>
      <c r="Y80" s="81">
        <f t="shared" si="523"/>
        <v>48.571428571428569</v>
      </c>
      <c r="Z80" s="74">
        <f t="shared" si="484"/>
        <v>24</v>
      </c>
      <c r="AA80" s="81">
        <f t="shared" si="524"/>
        <v>29.714285714285715</v>
      </c>
      <c r="AB80" s="83">
        <f t="shared" si="467"/>
        <v>0.56923076923076921</v>
      </c>
      <c r="AC80" s="83">
        <f t="shared" si="468"/>
        <v>0.11282051282051282</v>
      </c>
      <c r="AD80" s="83">
        <f t="shared" si="469"/>
        <v>0.19487179487179487</v>
      </c>
      <c r="AE80" s="84">
        <f t="shared" si="470"/>
        <v>0.12307692307692308</v>
      </c>
      <c r="AF80" s="83">
        <f t="shared" si="540"/>
        <v>0.55696573025874263</v>
      </c>
      <c r="AG80" s="83">
        <f t="shared" si="540"/>
        <v>0.12288360700189964</v>
      </c>
      <c r="AH80" s="83">
        <f t="shared" si="540"/>
        <v>0.19933391205586068</v>
      </c>
      <c r="AI80" s="84">
        <f t="shared" si="540"/>
        <v>0.12081675068349695</v>
      </c>
      <c r="AJ80" s="74">
        <v>0</v>
      </c>
      <c r="AK80" s="81">
        <f t="shared" si="524"/>
        <v>0</v>
      </c>
      <c r="AL80" s="74">
        <v>0</v>
      </c>
      <c r="AM80" s="81">
        <f t="shared" si="525"/>
        <v>0</v>
      </c>
      <c r="AN80" s="74">
        <v>0</v>
      </c>
      <c r="AO80" s="81">
        <f t="shared" si="526"/>
        <v>0.14285714285714285</v>
      </c>
      <c r="AP80" s="74">
        <v>0</v>
      </c>
      <c r="AQ80" s="81">
        <f t="shared" si="527"/>
        <v>0</v>
      </c>
      <c r="AR80" s="74">
        <v>111</v>
      </c>
      <c r="AS80" s="81">
        <f t="shared" si="528"/>
        <v>136.28571428571428</v>
      </c>
      <c r="AT80" s="74">
        <v>22</v>
      </c>
      <c r="AU80" s="81">
        <f t="shared" si="529"/>
        <v>30.285714285714285</v>
      </c>
      <c r="AV80" s="74">
        <v>38</v>
      </c>
      <c r="AW80" s="81">
        <f t="shared" si="530"/>
        <v>48.428571428571431</v>
      </c>
      <c r="AX80" s="74">
        <v>24</v>
      </c>
      <c r="AY80" s="81">
        <f t="shared" si="531"/>
        <v>29.714285714285715</v>
      </c>
    </row>
    <row r="81" spans="1:51" x14ac:dyDescent="0.25">
      <c r="A81" s="85">
        <f t="shared" si="485"/>
        <v>45688</v>
      </c>
      <c r="B81" s="74">
        <f t="shared" si="471"/>
        <v>1085</v>
      </c>
      <c r="C81" s="81">
        <f t="shared" si="500"/>
        <v>983</v>
      </c>
      <c r="D81" s="74">
        <v>244.41095891080002</v>
      </c>
      <c r="E81" s="81">
        <f t="shared" si="500"/>
        <v>240.72191781340007</v>
      </c>
      <c r="F81" s="74">
        <f t="shared" si="472"/>
        <v>1086</v>
      </c>
      <c r="G81" s="81">
        <f t="shared" ref="G81" si="569">AVERAGE(F78:F81)</f>
        <v>1042.25</v>
      </c>
      <c r="H81" s="74">
        <f t="shared" si="474"/>
        <v>1085</v>
      </c>
      <c r="I81" s="81">
        <f t="shared" ref="I81" si="570">AVERAGE(H78:H81)</f>
        <v>983</v>
      </c>
      <c r="J81" s="74">
        <v>245</v>
      </c>
      <c r="K81" s="81">
        <f t="shared" ref="K81" si="571">AVERAGE(J78:J81)</f>
        <v>236.5</v>
      </c>
      <c r="L81" s="74">
        <v>840</v>
      </c>
      <c r="M81" s="81">
        <f t="shared" ref="M81" si="572">AVERAGE(L78:L81)</f>
        <v>746.5</v>
      </c>
      <c r="N81" s="74">
        <v>0</v>
      </c>
      <c r="O81" s="81">
        <f t="shared" ref="O81" si="573">AVERAGE(N78:N81)</f>
        <v>0</v>
      </c>
      <c r="P81" s="74">
        <v>8.2191780800000003E-2</v>
      </c>
      <c r="Q81" s="81">
        <f t="shared" ref="Q81" si="574">AVERAGE(P78:P81)</f>
        <v>4.8698630123999997</v>
      </c>
      <c r="R81" s="74">
        <v>1</v>
      </c>
      <c r="S81" s="81">
        <f t="shared" ref="S81" si="575">AVERAGE(R78:R81)</f>
        <v>59.25</v>
      </c>
      <c r="T81" s="74">
        <f t="shared" si="481"/>
        <v>140</v>
      </c>
      <c r="U81" s="81">
        <f t="shared" si="539"/>
        <v>131.71428571428572</v>
      </c>
      <c r="V81" s="74">
        <f t="shared" si="482"/>
        <v>27</v>
      </c>
      <c r="W81" s="81">
        <f t="shared" si="522"/>
        <v>27.857142857142858</v>
      </c>
      <c r="X81" s="74">
        <f t="shared" si="483"/>
        <v>48</v>
      </c>
      <c r="Y81" s="81">
        <f t="shared" si="523"/>
        <v>47.571428571428569</v>
      </c>
      <c r="Z81" s="74">
        <f t="shared" si="484"/>
        <v>30</v>
      </c>
      <c r="AA81" s="81">
        <f t="shared" si="524"/>
        <v>29.285714285714285</v>
      </c>
      <c r="AB81" s="83">
        <f t="shared" si="467"/>
        <v>0.5714285714285714</v>
      </c>
      <c r="AC81" s="83">
        <f t="shared" si="468"/>
        <v>0.11020408163265306</v>
      </c>
      <c r="AD81" s="83">
        <f t="shared" si="469"/>
        <v>0.19591836734693877</v>
      </c>
      <c r="AE81" s="84">
        <f t="shared" si="470"/>
        <v>0.12244897959183673</v>
      </c>
      <c r="AF81" s="83">
        <f t="shared" si="540"/>
        <v>0.55777131565079419</v>
      </c>
      <c r="AG81" s="83">
        <f t="shared" si="540"/>
        <v>0.11795035550581247</v>
      </c>
      <c r="AH81" s="83">
        <f t="shared" si="540"/>
        <v>0.20147638558662637</v>
      </c>
      <c r="AI81" s="84">
        <f t="shared" si="540"/>
        <v>0.12280194325676687</v>
      </c>
      <c r="AJ81" s="74">
        <v>0</v>
      </c>
      <c r="AK81" s="81">
        <f t="shared" si="524"/>
        <v>0</v>
      </c>
      <c r="AL81" s="74">
        <v>0</v>
      </c>
      <c r="AM81" s="81">
        <f t="shared" si="525"/>
        <v>0</v>
      </c>
      <c r="AN81" s="74">
        <v>0</v>
      </c>
      <c r="AO81" s="81">
        <f t="shared" si="526"/>
        <v>0.14285714285714285</v>
      </c>
      <c r="AP81" s="74">
        <v>0</v>
      </c>
      <c r="AQ81" s="81">
        <f t="shared" si="527"/>
        <v>0</v>
      </c>
      <c r="AR81" s="74">
        <v>140</v>
      </c>
      <c r="AS81" s="81">
        <f t="shared" si="528"/>
        <v>131.71428571428572</v>
      </c>
      <c r="AT81" s="74">
        <v>27</v>
      </c>
      <c r="AU81" s="81">
        <f t="shared" si="529"/>
        <v>27.857142857142858</v>
      </c>
      <c r="AV81" s="74">
        <v>48</v>
      </c>
      <c r="AW81" s="81">
        <f t="shared" si="530"/>
        <v>47.428571428571431</v>
      </c>
      <c r="AX81" s="74">
        <v>30</v>
      </c>
      <c r="AY81" s="81">
        <f t="shared" si="531"/>
        <v>29.285714285714285</v>
      </c>
    </row>
    <row r="82" spans="1:51" x14ac:dyDescent="0.25">
      <c r="A82" s="85">
        <f t="shared" si="485"/>
        <v>45695</v>
      </c>
      <c r="B82" s="74">
        <f t="shared" si="471"/>
        <v>1012</v>
      </c>
      <c r="C82" s="81">
        <f t="shared" si="500"/>
        <v>986.5</v>
      </c>
      <c r="D82" s="74">
        <v>230.36712329400015</v>
      </c>
      <c r="E82" s="81">
        <f t="shared" si="500"/>
        <v>230.59178082760008</v>
      </c>
      <c r="F82" s="74">
        <f t="shared" si="472"/>
        <v>1012</v>
      </c>
      <c r="G82" s="81">
        <f t="shared" ref="G82" si="576">AVERAGE(F79:F82)</f>
        <v>1013.5</v>
      </c>
      <c r="H82" s="74">
        <f t="shared" si="474"/>
        <v>1012</v>
      </c>
      <c r="I82" s="81">
        <f t="shared" ref="I82" si="577">AVERAGE(H79:H82)</f>
        <v>986.5</v>
      </c>
      <c r="J82" s="74">
        <v>231</v>
      </c>
      <c r="K82" s="81">
        <f t="shared" ref="K82" si="578">AVERAGE(J79:J82)</f>
        <v>229</v>
      </c>
      <c r="L82" s="74">
        <v>781</v>
      </c>
      <c r="M82" s="81">
        <f t="shared" ref="M82" si="579">AVERAGE(L79:L82)</f>
        <v>757.5</v>
      </c>
      <c r="N82" s="74">
        <v>0</v>
      </c>
      <c r="O82" s="81">
        <f t="shared" ref="O82" si="580">AVERAGE(N79:N82)</f>
        <v>0</v>
      </c>
      <c r="P82" s="74">
        <v>0</v>
      </c>
      <c r="Q82" s="81">
        <f t="shared" ref="Q82" si="581">AVERAGE(P79:P82)</f>
        <v>2.2191780815999995</v>
      </c>
      <c r="R82" s="74">
        <v>0</v>
      </c>
      <c r="S82" s="81">
        <f t="shared" ref="S82" si="582">AVERAGE(R79:R82)</f>
        <v>27</v>
      </c>
      <c r="T82" s="74">
        <f t="shared" si="481"/>
        <v>139</v>
      </c>
      <c r="U82" s="81">
        <f t="shared" si="539"/>
        <v>130.57142857142858</v>
      </c>
      <c r="V82" s="74">
        <f t="shared" si="482"/>
        <v>29</v>
      </c>
      <c r="W82" s="81">
        <f t="shared" si="522"/>
        <v>27.285714285714285</v>
      </c>
      <c r="X82" s="74">
        <f t="shared" si="483"/>
        <v>34</v>
      </c>
      <c r="Y82" s="81">
        <f t="shared" si="523"/>
        <v>44</v>
      </c>
      <c r="Z82" s="74">
        <f t="shared" si="484"/>
        <v>29</v>
      </c>
      <c r="AA82" s="81">
        <f t="shared" si="524"/>
        <v>27.571428571428573</v>
      </c>
      <c r="AB82" s="83">
        <f t="shared" si="467"/>
        <v>0.60173160173160178</v>
      </c>
      <c r="AC82" s="83">
        <f t="shared" si="468"/>
        <v>0.12554112554112554</v>
      </c>
      <c r="AD82" s="83">
        <f t="shared" si="469"/>
        <v>0.1471861471861472</v>
      </c>
      <c r="AE82" s="84">
        <f t="shared" si="470"/>
        <v>0.12554112554112554</v>
      </c>
      <c r="AF82" s="83">
        <f t="shared" si="540"/>
        <v>0.5687329730410231</v>
      </c>
      <c r="AG82" s="83">
        <f t="shared" si="540"/>
        <v>0.11904806731780999</v>
      </c>
      <c r="AH82" s="83">
        <f t="shared" si="540"/>
        <v>0.19240093722546373</v>
      </c>
      <c r="AI82" s="84">
        <f t="shared" si="540"/>
        <v>0.11981802241570316</v>
      </c>
      <c r="AJ82" s="74">
        <v>0</v>
      </c>
      <c r="AK82" s="81">
        <f t="shared" si="524"/>
        <v>0</v>
      </c>
      <c r="AL82" s="74">
        <v>0</v>
      </c>
      <c r="AM82" s="81">
        <f t="shared" si="525"/>
        <v>0</v>
      </c>
      <c r="AN82" s="74">
        <v>0</v>
      </c>
      <c r="AO82" s="81">
        <f t="shared" si="526"/>
        <v>0</v>
      </c>
      <c r="AP82" s="74">
        <v>0</v>
      </c>
      <c r="AQ82" s="81">
        <f t="shared" si="527"/>
        <v>0</v>
      </c>
      <c r="AR82" s="74">
        <v>139</v>
      </c>
      <c r="AS82" s="81">
        <f t="shared" si="528"/>
        <v>130.57142857142858</v>
      </c>
      <c r="AT82" s="74">
        <v>29</v>
      </c>
      <c r="AU82" s="81">
        <f t="shared" si="529"/>
        <v>27.285714285714285</v>
      </c>
      <c r="AV82" s="74">
        <v>34</v>
      </c>
      <c r="AW82" s="81">
        <f t="shared" si="530"/>
        <v>44</v>
      </c>
      <c r="AX82" s="74">
        <v>29</v>
      </c>
      <c r="AY82" s="81">
        <f t="shared" si="531"/>
        <v>27.571428571428573</v>
      </c>
    </row>
    <row r="83" spans="1:51" x14ac:dyDescent="0.25">
      <c r="A83" s="85">
        <f t="shared" si="485"/>
        <v>45702</v>
      </c>
      <c r="B83" s="74">
        <f t="shared" si="471"/>
        <v>828</v>
      </c>
      <c r="C83" s="81">
        <f t="shared" si="500"/>
        <v>948.25</v>
      </c>
      <c r="D83" s="74">
        <v>185.49041096400003</v>
      </c>
      <c r="E83" s="81">
        <f t="shared" si="500"/>
        <v>214.03287671810006</v>
      </c>
      <c r="F83" s="74">
        <f t="shared" si="472"/>
        <v>828</v>
      </c>
      <c r="G83" s="81">
        <f t="shared" ref="G83" si="583">AVERAGE(F80:F83)</f>
        <v>952.75</v>
      </c>
      <c r="H83" s="74">
        <f t="shared" si="474"/>
        <v>828</v>
      </c>
      <c r="I83" s="81">
        <f t="shared" ref="I83" si="584">AVERAGE(H80:H83)</f>
        <v>948.25</v>
      </c>
      <c r="J83" s="74">
        <v>186</v>
      </c>
      <c r="K83" s="81">
        <f t="shared" ref="K83" si="585">AVERAGE(J80:J83)</f>
        <v>214.25</v>
      </c>
      <c r="L83" s="74">
        <v>642</v>
      </c>
      <c r="M83" s="81">
        <f t="shared" ref="M83" si="586">AVERAGE(L80:L83)</f>
        <v>734</v>
      </c>
      <c r="N83" s="74">
        <v>0</v>
      </c>
      <c r="O83" s="81">
        <f t="shared" ref="O83" si="587">AVERAGE(N80:N83)</f>
        <v>0</v>
      </c>
      <c r="P83" s="74">
        <v>0</v>
      </c>
      <c r="Q83" s="81">
        <f t="shared" ref="Q83" si="588">AVERAGE(P80:P83)</f>
        <v>0.36986301360000007</v>
      </c>
      <c r="R83" s="74">
        <v>0</v>
      </c>
      <c r="S83" s="81">
        <f t="shared" ref="S83" si="589">AVERAGE(R80:R83)</f>
        <v>4.5</v>
      </c>
      <c r="T83" s="74">
        <f t="shared" si="481"/>
        <v>105</v>
      </c>
      <c r="U83" s="81">
        <f t="shared" si="539"/>
        <v>126.71428571428571</v>
      </c>
      <c r="V83" s="74">
        <f t="shared" si="482"/>
        <v>26</v>
      </c>
      <c r="W83" s="81">
        <f t="shared" si="522"/>
        <v>27.428571428571427</v>
      </c>
      <c r="X83" s="74">
        <f t="shared" si="483"/>
        <v>38</v>
      </c>
      <c r="Y83" s="81">
        <f t="shared" si="523"/>
        <v>43</v>
      </c>
      <c r="Z83" s="74">
        <f t="shared" si="484"/>
        <v>17</v>
      </c>
      <c r="AA83" s="81">
        <f t="shared" si="524"/>
        <v>27.142857142857142</v>
      </c>
      <c r="AB83" s="83">
        <f t="shared" si="467"/>
        <v>0.56451612903225812</v>
      </c>
      <c r="AC83" s="83">
        <f t="shared" si="468"/>
        <v>0.13978494623655913</v>
      </c>
      <c r="AD83" s="83">
        <f t="shared" si="469"/>
        <v>0.20430107526881722</v>
      </c>
      <c r="AE83" s="84">
        <f t="shared" si="470"/>
        <v>9.1397849462365593E-2</v>
      </c>
      <c r="AF83" s="83">
        <f t="shared" si="540"/>
        <v>0.56443604938926073</v>
      </c>
      <c r="AG83" s="83">
        <f t="shared" si="540"/>
        <v>0.12292982926408806</v>
      </c>
      <c r="AH83" s="83">
        <f t="shared" si="540"/>
        <v>0.19262927616348008</v>
      </c>
      <c r="AI83" s="84">
        <f t="shared" si="540"/>
        <v>0.1200048451831711</v>
      </c>
      <c r="AJ83" s="74">
        <v>0</v>
      </c>
      <c r="AK83" s="81">
        <f t="shared" si="524"/>
        <v>0</v>
      </c>
      <c r="AL83" s="74">
        <v>0</v>
      </c>
      <c r="AM83" s="81">
        <f t="shared" si="525"/>
        <v>0</v>
      </c>
      <c r="AN83" s="74">
        <v>0</v>
      </c>
      <c r="AO83" s="81">
        <f t="shared" si="526"/>
        <v>0</v>
      </c>
      <c r="AP83" s="74">
        <v>0</v>
      </c>
      <c r="AQ83" s="81">
        <f t="shared" si="527"/>
        <v>0</v>
      </c>
      <c r="AR83" s="74">
        <v>105</v>
      </c>
      <c r="AS83" s="81">
        <f t="shared" si="528"/>
        <v>126.71428571428571</v>
      </c>
      <c r="AT83" s="74">
        <v>26</v>
      </c>
      <c r="AU83" s="81">
        <f t="shared" si="529"/>
        <v>27.428571428571427</v>
      </c>
      <c r="AV83" s="74">
        <v>38</v>
      </c>
      <c r="AW83" s="81">
        <f t="shared" si="530"/>
        <v>43</v>
      </c>
      <c r="AX83" s="74">
        <v>17</v>
      </c>
      <c r="AY83" s="81">
        <f t="shared" si="531"/>
        <v>27.142857142857142</v>
      </c>
    </row>
    <row r="84" spans="1:51" x14ac:dyDescent="0.25">
      <c r="A84" s="85">
        <f t="shared" si="485"/>
        <v>45709</v>
      </c>
      <c r="B84" s="74">
        <f t="shared" si="471"/>
        <v>772</v>
      </c>
      <c r="C84" s="81">
        <f t="shared" si="500"/>
        <v>924.25</v>
      </c>
      <c r="D84" s="74">
        <v>183.49589041600004</v>
      </c>
      <c r="E84" s="81">
        <f t="shared" si="500"/>
        <v>210.94109589620007</v>
      </c>
      <c r="F84" s="74">
        <f t="shared" si="472"/>
        <v>772</v>
      </c>
      <c r="G84" s="81">
        <f t="shared" ref="G84" si="590">AVERAGE(F81:F84)</f>
        <v>924.5</v>
      </c>
      <c r="H84" s="74">
        <f t="shared" si="474"/>
        <v>772</v>
      </c>
      <c r="I84" s="81">
        <f t="shared" ref="I84" si="591">AVERAGE(H81:H84)</f>
        <v>924.25</v>
      </c>
      <c r="J84" s="74">
        <v>184</v>
      </c>
      <c r="K84" s="81">
        <f t="shared" ref="K84" si="592">AVERAGE(J81:J84)</f>
        <v>211.5</v>
      </c>
      <c r="L84" s="74">
        <v>588</v>
      </c>
      <c r="M84" s="81">
        <f t="shared" ref="M84" si="593">AVERAGE(L81:L84)</f>
        <v>712.75</v>
      </c>
      <c r="N84" s="74">
        <v>0</v>
      </c>
      <c r="O84" s="81">
        <f t="shared" ref="O84" si="594">AVERAGE(N81:N84)</f>
        <v>0</v>
      </c>
      <c r="P84" s="74">
        <v>0</v>
      </c>
      <c r="Q84" s="81">
        <f t="shared" ref="Q84" si="595">AVERAGE(P81:P84)</f>
        <v>2.0547945200000001E-2</v>
      </c>
      <c r="R84" s="74">
        <v>0</v>
      </c>
      <c r="S84" s="81">
        <f t="shared" ref="S84" si="596">AVERAGE(R81:R84)</f>
        <v>0.25</v>
      </c>
      <c r="T84" s="74">
        <f t="shared" si="481"/>
        <v>113</v>
      </c>
      <c r="U84" s="81">
        <f t="shared" si="539"/>
        <v>127.85714285714286</v>
      </c>
      <c r="V84" s="74">
        <f t="shared" si="482"/>
        <v>18</v>
      </c>
      <c r="W84" s="81">
        <f t="shared" si="522"/>
        <v>26.142857142857142</v>
      </c>
      <c r="X84" s="74">
        <f t="shared" si="483"/>
        <v>39</v>
      </c>
      <c r="Y84" s="81">
        <f t="shared" si="523"/>
        <v>41.714285714285715</v>
      </c>
      <c r="Z84" s="74">
        <f t="shared" si="484"/>
        <v>14</v>
      </c>
      <c r="AA84" s="81">
        <f t="shared" si="524"/>
        <v>25.285714285714285</v>
      </c>
      <c r="AB84" s="83">
        <f t="shared" si="467"/>
        <v>0.61413043478260865</v>
      </c>
      <c r="AC84" s="83">
        <f t="shared" si="468"/>
        <v>9.7826086956521743E-2</v>
      </c>
      <c r="AD84" s="83">
        <f t="shared" si="469"/>
        <v>0.21195652173913043</v>
      </c>
      <c r="AE84" s="84">
        <f t="shared" si="470"/>
        <v>7.6086956521739135E-2</v>
      </c>
      <c r="AF84" s="83">
        <f t="shared" si="540"/>
        <v>0.57970520052797714</v>
      </c>
      <c r="AG84" s="83">
        <f t="shared" si="540"/>
        <v>0.11827144417092036</v>
      </c>
      <c r="AH84" s="83">
        <f t="shared" si="540"/>
        <v>0.18978248527321093</v>
      </c>
      <c r="AI84" s="84">
        <f t="shared" si="540"/>
        <v>0.1122408700278916</v>
      </c>
      <c r="AJ84" s="74">
        <v>0</v>
      </c>
      <c r="AK84" s="81">
        <f t="shared" si="524"/>
        <v>0</v>
      </c>
      <c r="AL84" s="74">
        <v>0</v>
      </c>
      <c r="AM84" s="81">
        <f t="shared" si="525"/>
        <v>0</v>
      </c>
      <c r="AN84" s="74">
        <v>0</v>
      </c>
      <c r="AO84" s="81">
        <f t="shared" si="526"/>
        <v>0</v>
      </c>
      <c r="AP84" s="74">
        <v>0</v>
      </c>
      <c r="AQ84" s="81">
        <f t="shared" si="527"/>
        <v>0</v>
      </c>
      <c r="AR84" s="74">
        <v>113</v>
      </c>
      <c r="AS84" s="81">
        <f t="shared" si="528"/>
        <v>127.85714285714286</v>
      </c>
      <c r="AT84" s="74">
        <v>18</v>
      </c>
      <c r="AU84" s="81">
        <f t="shared" si="529"/>
        <v>26.142857142857142</v>
      </c>
      <c r="AV84" s="74">
        <v>39</v>
      </c>
      <c r="AW84" s="81">
        <f t="shared" si="530"/>
        <v>41.714285714285715</v>
      </c>
      <c r="AX84" s="74">
        <v>14</v>
      </c>
      <c r="AY84" s="81">
        <f t="shared" si="531"/>
        <v>25.285714285714285</v>
      </c>
    </row>
    <row r="85" spans="1:51" x14ac:dyDescent="0.25">
      <c r="A85" s="85">
        <f t="shared" si="485"/>
        <v>45716</v>
      </c>
      <c r="B85" s="74">
        <f t="shared" si="471"/>
        <v>975</v>
      </c>
      <c r="C85" s="81">
        <f t="shared" si="500"/>
        <v>896.75</v>
      </c>
      <c r="D85" s="74">
        <v>202.44383562200005</v>
      </c>
      <c r="E85" s="81">
        <f t="shared" si="500"/>
        <v>200.44931507400008</v>
      </c>
      <c r="F85" s="74">
        <f t="shared" si="472"/>
        <v>975</v>
      </c>
      <c r="G85" s="81">
        <f t="shared" ref="G85" si="597">AVERAGE(F82:F85)</f>
        <v>896.75</v>
      </c>
      <c r="H85" s="74">
        <f t="shared" si="474"/>
        <v>975</v>
      </c>
      <c r="I85" s="81">
        <f t="shared" ref="I85" si="598">AVERAGE(H82:H85)</f>
        <v>896.75</v>
      </c>
      <c r="J85" s="74">
        <v>203</v>
      </c>
      <c r="K85" s="81">
        <f t="shared" ref="K85" si="599">AVERAGE(J82:J85)</f>
        <v>201</v>
      </c>
      <c r="L85" s="74">
        <v>772</v>
      </c>
      <c r="M85" s="81">
        <f t="shared" ref="M85" si="600">AVERAGE(L82:L85)</f>
        <v>695.75</v>
      </c>
      <c r="N85" s="74">
        <v>0</v>
      </c>
      <c r="O85" s="81">
        <f t="shared" ref="O85" si="601">AVERAGE(N82:N85)</f>
        <v>0</v>
      </c>
      <c r="P85" s="74">
        <v>0</v>
      </c>
      <c r="Q85" s="81">
        <f t="shared" ref="Q85" si="602">AVERAGE(P82:P85)</f>
        <v>0</v>
      </c>
      <c r="R85" s="74">
        <v>0</v>
      </c>
      <c r="S85" s="81">
        <f t="shared" ref="S85" si="603">AVERAGE(R82:R85)</f>
        <v>0</v>
      </c>
      <c r="T85" s="74">
        <f t="shared" si="481"/>
        <v>125</v>
      </c>
      <c r="U85" s="81">
        <f t="shared" si="539"/>
        <v>126</v>
      </c>
      <c r="V85" s="74">
        <f t="shared" si="482"/>
        <v>26</v>
      </c>
      <c r="W85" s="81">
        <f t="shared" si="522"/>
        <v>25.714285714285715</v>
      </c>
      <c r="X85" s="74">
        <f t="shared" si="483"/>
        <v>31</v>
      </c>
      <c r="Y85" s="81">
        <f t="shared" si="523"/>
        <v>38.428571428571431</v>
      </c>
      <c r="Z85" s="74">
        <f t="shared" si="484"/>
        <v>21</v>
      </c>
      <c r="AA85" s="81">
        <f t="shared" si="524"/>
        <v>22.571428571428573</v>
      </c>
      <c r="AB85" s="83">
        <f t="shared" si="467"/>
        <v>0.61576354679802958</v>
      </c>
      <c r="AC85" s="83">
        <f t="shared" si="468"/>
        <v>0.12807881773399016</v>
      </c>
      <c r="AD85" s="83">
        <f t="shared" si="469"/>
        <v>0.15270935960591134</v>
      </c>
      <c r="AE85" s="84">
        <f t="shared" si="470"/>
        <v>0.10344827586206896</v>
      </c>
      <c r="AF85" s="83">
        <f t="shared" si="540"/>
        <v>0.59213775975856575</v>
      </c>
      <c r="AG85" s="83">
        <f t="shared" si="540"/>
        <v>0.12069540225990309</v>
      </c>
      <c r="AH85" s="83">
        <f t="shared" si="540"/>
        <v>0.18204145782775</v>
      </c>
      <c r="AI85" s="84">
        <f t="shared" si="540"/>
        <v>0.10512538015378103</v>
      </c>
      <c r="AJ85" s="74">
        <v>0</v>
      </c>
      <c r="AK85" s="81">
        <f t="shared" si="524"/>
        <v>0</v>
      </c>
      <c r="AL85" s="74">
        <v>0</v>
      </c>
      <c r="AM85" s="81">
        <f t="shared" si="525"/>
        <v>0</v>
      </c>
      <c r="AN85" s="74">
        <v>0</v>
      </c>
      <c r="AO85" s="81">
        <f t="shared" si="526"/>
        <v>0</v>
      </c>
      <c r="AP85" s="74">
        <v>0</v>
      </c>
      <c r="AQ85" s="81">
        <f t="shared" si="527"/>
        <v>0</v>
      </c>
      <c r="AR85" s="74">
        <v>125</v>
      </c>
      <c r="AS85" s="81">
        <f t="shared" si="528"/>
        <v>126</v>
      </c>
      <c r="AT85" s="74">
        <v>26</v>
      </c>
      <c r="AU85" s="81">
        <f t="shared" si="529"/>
        <v>25.714285714285715</v>
      </c>
      <c r="AV85" s="74">
        <v>31</v>
      </c>
      <c r="AW85" s="81">
        <f t="shared" si="530"/>
        <v>38.428571428571431</v>
      </c>
      <c r="AX85" s="74">
        <v>21</v>
      </c>
      <c r="AY85" s="81">
        <f t="shared" si="531"/>
        <v>22.571428571428573</v>
      </c>
    </row>
    <row r="86" spans="1:51" x14ac:dyDescent="0.25">
      <c r="A86" s="85">
        <f t="shared" si="485"/>
        <v>45723</v>
      </c>
      <c r="B86" s="74">
        <f t="shared" si="471"/>
        <v>967</v>
      </c>
      <c r="C86" s="81">
        <f t="shared" si="500"/>
        <v>885.5</v>
      </c>
      <c r="D86" s="74">
        <v>182.49863014200005</v>
      </c>
      <c r="E86" s="81">
        <f t="shared" si="500"/>
        <v>188.48219178600004</v>
      </c>
      <c r="F86" s="74">
        <f t="shared" si="472"/>
        <v>967</v>
      </c>
      <c r="G86" s="81">
        <f t="shared" ref="G86" si="604">AVERAGE(F83:F86)</f>
        <v>885.5</v>
      </c>
      <c r="H86" s="74">
        <f t="shared" si="474"/>
        <v>967</v>
      </c>
      <c r="I86" s="81">
        <f t="shared" ref="I86" si="605">AVERAGE(H83:H86)</f>
        <v>885.5</v>
      </c>
      <c r="J86" s="74">
        <v>183</v>
      </c>
      <c r="K86" s="81">
        <f t="shared" ref="K86" si="606">AVERAGE(J83:J86)</f>
        <v>189</v>
      </c>
      <c r="L86" s="74">
        <v>784</v>
      </c>
      <c r="M86" s="81">
        <f t="shared" ref="M86" si="607">AVERAGE(L83:L86)</f>
        <v>696.5</v>
      </c>
      <c r="N86" s="74">
        <v>0</v>
      </c>
      <c r="O86" s="81">
        <f t="shared" ref="O86" si="608">AVERAGE(N83:N86)</f>
        <v>0</v>
      </c>
      <c r="P86" s="74">
        <v>0</v>
      </c>
      <c r="Q86" s="81">
        <f t="shared" ref="Q86" si="609">AVERAGE(P83:P86)</f>
        <v>0</v>
      </c>
      <c r="R86" s="74">
        <v>0</v>
      </c>
      <c r="S86" s="81">
        <f t="shared" ref="S86" si="610">AVERAGE(R83:R86)</f>
        <v>0</v>
      </c>
      <c r="T86" s="74">
        <f t="shared" si="481"/>
        <v>105</v>
      </c>
      <c r="U86" s="81">
        <f t="shared" si="539"/>
        <v>119.71428571428571</v>
      </c>
      <c r="V86" s="74">
        <f t="shared" si="482"/>
        <v>24</v>
      </c>
      <c r="W86" s="81">
        <f t="shared" si="522"/>
        <v>24.571428571428573</v>
      </c>
      <c r="X86" s="74">
        <f t="shared" si="483"/>
        <v>38</v>
      </c>
      <c r="Y86" s="81">
        <f t="shared" si="523"/>
        <v>38</v>
      </c>
      <c r="Z86" s="74">
        <f t="shared" si="484"/>
        <v>16</v>
      </c>
      <c r="AA86" s="81">
        <f t="shared" si="524"/>
        <v>21.571428571428573</v>
      </c>
      <c r="AB86" s="83">
        <f t="shared" si="467"/>
        <v>0.57377049180327866</v>
      </c>
      <c r="AC86" s="83">
        <f t="shared" si="468"/>
        <v>0.13114754098360656</v>
      </c>
      <c r="AD86" s="83">
        <f t="shared" si="469"/>
        <v>0.20765027322404372</v>
      </c>
      <c r="AE86" s="84">
        <f t="shared" si="470"/>
        <v>8.7431693989071038E-2</v>
      </c>
      <c r="AF86" s="83">
        <f t="shared" si="540"/>
        <v>0.58722450640101675</v>
      </c>
      <c r="AG86" s="83">
        <f t="shared" si="540"/>
        <v>0.1207718731292813</v>
      </c>
      <c r="AH86" s="83">
        <f t="shared" si="540"/>
        <v>0.18779907703468335</v>
      </c>
      <c r="AI86" s="84">
        <f t="shared" si="540"/>
        <v>0.10420454343501859</v>
      </c>
      <c r="AJ86" s="74">
        <v>0</v>
      </c>
      <c r="AK86" s="81">
        <f t="shared" si="524"/>
        <v>0</v>
      </c>
      <c r="AL86" s="74">
        <v>0</v>
      </c>
      <c r="AM86" s="81">
        <f t="shared" si="525"/>
        <v>0</v>
      </c>
      <c r="AN86" s="74">
        <v>0</v>
      </c>
      <c r="AO86" s="81">
        <f t="shared" si="526"/>
        <v>0</v>
      </c>
      <c r="AP86" s="74">
        <v>0</v>
      </c>
      <c r="AQ86" s="81">
        <f t="shared" si="527"/>
        <v>0</v>
      </c>
      <c r="AR86" s="74">
        <v>105</v>
      </c>
      <c r="AS86" s="81">
        <f t="shared" si="528"/>
        <v>119.71428571428571</v>
      </c>
      <c r="AT86" s="74">
        <v>24</v>
      </c>
      <c r="AU86" s="81">
        <f t="shared" si="529"/>
        <v>24.571428571428573</v>
      </c>
      <c r="AV86" s="74">
        <v>38</v>
      </c>
      <c r="AW86" s="81">
        <f t="shared" si="530"/>
        <v>38</v>
      </c>
      <c r="AX86" s="74">
        <v>16</v>
      </c>
      <c r="AY86" s="81">
        <f t="shared" si="531"/>
        <v>21.571428571428573</v>
      </c>
    </row>
    <row r="87" spans="1:51" x14ac:dyDescent="0.25">
      <c r="A87" s="85">
        <f t="shared" si="485"/>
        <v>45730</v>
      </c>
      <c r="B87" s="74">
        <f t="shared" si="471"/>
        <v>945</v>
      </c>
      <c r="C87" s="81">
        <f t="shared" si="500"/>
        <v>914.75</v>
      </c>
      <c r="D87" s="74">
        <v>195.46301370400008</v>
      </c>
      <c r="E87" s="81">
        <f t="shared" si="500"/>
        <v>190.97534247100006</v>
      </c>
      <c r="F87" s="74">
        <f t="shared" si="472"/>
        <v>945</v>
      </c>
      <c r="G87" s="81">
        <f t="shared" ref="G87" si="611">AVERAGE(F84:F87)</f>
        <v>914.75</v>
      </c>
      <c r="H87" s="74">
        <f t="shared" si="474"/>
        <v>945</v>
      </c>
      <c r="I87" s="81">
        <f t="shared" ref="I87" si="612">AVERAGE(H84:H87)</f>
        <v>914.75</v>
      </c>
      <c r="J87" s="74">
        <v>196</v>
      </c>
      <c r="K87" s="81">
        <f t="shared" ref="K87" si="613">AVERAGE(J84:J87)</f>
        <v>191.5</v>
      </c>
      <c r="L87" s="74">
        <v>749</v>
      </c>
      <c r="M87" s="81">
        <f t="shared" ref="M87" si="614">AVERAGE(L84:L87)</f>
        <v>723.25</v>
      </c>
      <c r="N87" s="74">
        <v>0</v>
      </c>
      <c r="O87" s="81">
        <f t="shared" ref="O87" si="615">AVERAGE(N84:N87)</f>
        <v>0</v>
      </c>
      <c r="P87" s="74">
        <v>0</v>
      </c>
      <c r="Q87" s="81">
        <f t="shared" ref="Q87" si="616">AVERAGE(P84:P87)</f>
        <v>0</v>
      </c>
      <c r="R87" s="74">
        <v>0</v>
      </c>
      <c r="S87" s="81">
        <f t="shared" ref="S87" si="617">AVERAGE(R84:R87)</f>
        <v>0</v>
      </c>
      <c r="T87" s="74">
        <f t="shared" si="481"/>
        <v>113</v>
      </c>
      <c r="U87" s="81">
        <f t="shared" si="539"/>
        <v>120</v>
      </c>
      <c r="V87" s="74">
        <f t="shared" si="482"/>
        <v>33</v>
      </c>
      <c r="W87" s="81">
        <f t="shared" si="522"/>
        <v>26.142857142857142</v>
      </c>
      <c r="X87" s="74">
        <f t="shared" si="483"/>
        <v>34</v>
      </c>
      <c r="Y87" s="81">
        <f t="shared" si="523"/>
        <v>37.428571428571431</v>
      </c>
      <c r="Z87" s="74">
        <f t="shared" si="484"/>
        <v>16</v>
      </c>
      <c r="AA87" s="81">
        <f t="shared" si="524"/>
        <v>20.428571428571427</v>
      </c>
      <c r="AB87" s="83">
        <f t="shared" si="467"/>
        <v>0.57653061224489799</v>
      </c>
      <c r="AC87" s="83">
        <f t="shared" si="468"/>
        <v>0.1683673469387755</v>
      </c>
      <c r="AD87" s="83">
        <f t="shared" si="469"/>
        <v>0.17346938775510204</v>
      </c>
      <c r="AE87" s="84">
        <f t="shared" si="470"/>
        <v>8.1632653061224483E-2</v>
      </c>
      <c r="AF87" s="83">
        <f t="shared" si="540"/>
        <v>0.58826734111732093</v>
      </c>
      <c r="AG87" s="83">
        <f t="shared" si="540"/>
        <v>0.12870713514617596</v>
      </c>
      <c r="AH87" s="83">
        <f t="shared" si="540"/>
        <v>0.18474159030372725</v>
      </c>
      <c r="AI87" s="84">
        <f t="shared" si="540"/>
        <v>9.828393343277593E-2</v>
      </c>
      <c r="AJ87" s="74">
        <v>0</v>
      </c>
      <c r="AK87" s="81">
        <f t="shared" si="524"/>
        <v>0</v>
      </c>
      <c r="AL87" s="74">
        <v>0</v>
      </c>
      <c r="AM87" s="81">
        <f t="shared" si="525"/>
        <v>0</v>
      </c>
      <c r="AN87" s="74">
        <v>0</v>
      </c>
      <c r="AO87" s="81">
        <f t="shared" si="526"/>
        <v>0</v>
      </c>
      <c r="AP87" s="74">
        <v>0</v>
      </c>
      <c r="AQ87" s="81">
        <f t="shared" si="527"/>
        <v>0</v>
      </c>
      <c r="AR87" s="74">
        <v>113</v>
      </c>
      <c r="AS87" s="81">
        <f t="shared" si="528"/>
        <v>120</v>
      </c>
      <c r="AT87" s="74">
        <v>33</v>
      </c>
      <c r="AU87" s="81">
        <f t="shared" si="529"/>
        <v>26.142857142857142</v>
      </c>
      <c r="AV87" s="74">
        <v>34</v>
      </c>
      <c r="AW87" s="81">
        <f t="shared" si="530"/>
        <v>37.428571428571431</v>
      </c>
      <c r="AX87" s="74">
        <v>16</v>
      </c>
      <c r="AY87" s="81">
        <f t="shared" si="531"/>
        <v>20.428571428571427</v>
      </c>
    </row>
    <row r="88" spans="1:51" x14ac:dyDescent="0.25">
      <c r="A88" s="85">
        <f t="shared" si="485"/>
        <v>45737</v>
      </c>
      <c r="B88" s="74">
        <f t="shared" si="471"/>
        <v>991</v>
      </c>
      <c r="C88" s="81">
        <f t="shared" si="500"/>
        <v>969.5</v>
      </c>
      <c r="D88" s="74">
        <v>193.46849315600008</v>
      </c>
      <c r="E88" s="81">
        <f t="shared" si="500"/>
        <v>193.46849315600008</v>
      </c>
      <c r="F88" s="74">
        <f t="shared" si="472"/>
        <v>991</v>
      </c>
      <c r="G88" s="81">
        <f t="shared" ref="G88" si="618">AVERAGE(F85:F88)</f>
        <v>969.5</v>
      </c>
      <c r="H88" s="74">
        <f t="shared" si="474"/>
        <v>991</v>
      </c>
      <c r="I88" s="81">
        <f t="shared" ref="I88" si="619">AVERAGE(H85:H88)</f>
        <v>969.5</v>
      </c>
      <c r="J88" s="74">
        <v>194</v>
      </c>
      <c r="K88" s="81">
        <f t="shared" ref="K88" si="620">AVERAGE(J85:J88)</f>
        <v>194</v>
      </c>
      <c r="L88" s="74">
        <v>797</v>
      </c>
      <c r="M88" s="81">
        <f t="shared" ref="M88" si="621">AVERAGE(L85:L88)</f>
        <v>775.5</v>
      </c>
      <c r="N88" s="74">
        <v>0</v>
      </c>
      <c r="O88" s="81">
        <f t="shared" ref="O88" si="622">AVERAGE(N85:N88)</f>
        <v>0</v>
      </c>
      <c r="P88" s="74">
        <v>0</v>
      </c>
      <c r="Q88" s="81">
        <f t="shared" ref="Q88" si="623">AVERAGE(P85:P88)</f>
        <v>0</v>
      </c>
      <c r="R88" s="74">
        <v>0</v>
      </c>
      <c r="S88" s="81">
        <f t="shared" ref="S88" si="624">AVERAGE(R85:R88)</f>
        <v>0</v>
      </c>
      <c r="T88" s="74">
        <f t="shared" si="481"/>
        <v>119</v>
      </c>
      <c r="U88" s="81">
        <f t="shared" si="539"/>
        <v>117</v>
      </c>
      <c r="V88" s="74">
        <f t="shared" si="482"/>
        <v>20</v>
      </c>
      <c r="W88" s="81">
        <f t="shared" si="522"/>
        <v>25.142857142857142</v>
      </c>
      <c r="X88" s="74">
        <f t="shared" si="483"/>
        <v>36</v>
      </c>
      <c r="Y88" s="81">
        <f t="shared" si="523"/>
        <v>35.714285714285715</v>
      </c>
      <c r="Z88" s="74">
        <f t="shared" si="484"/>
        <v>19</v>
      </c>
      <c r="AA88" s="81">
        <f t="shared" si="524"/>
        <v>18.857142857142858</v>
      </c>
      <c r="AB88" s="83">
        <f t="shared" si="467"/>
        <v>0.61340206185567014</v>
      </c>
      <c r="AC88" s="83">
        <f t="shared" si="468"/>
        <v>0.10309278350515463</v>
      </c>
      <c r="AD88" s="83">
        <f t="shared" si="469"/>
        <v>0.18556701030927836</v>
      </c>
      <c r="AE88" s="84">
        <f t="shared" si="470"/>
        <v>9.7938144329896906E-2</v>
      </c>
      <c r="AF88" s="83">
        <f t="shared" si="540"/>
        <v>0.59426355403547781</v>
      </c>
      <c r="AG88" s="83">
        <f t="shared" si="540"/>
        <v>0.12769123541367616</v>
      </c>
      <c r="AH88" s="83">
        <f t="shared" si="540"/>
        <v>0.18326282501263291</v>
      </c>
      <c r="AI88" s="84">
        <f t="shared" si="540"/>
        <v>9.4782385538213082E-2</v>
      </c>
      <c r="AJ88" s="74">
        <v>0</v>
      </c>
      <c r="AK88" s="81">
        <f t="shared" si="524"/>
        <v>0</v>
      </c>
      <c r="AL88" s="74">
        <v>0</v>
      </c>
      <c r="AM88" s="81">
        <f t="shared" si="525"/>
        <v>0</v>
      </c>
      <c r="AN88" s="74">
        <v>0</v>
      </c>
      <c r="AO88" s="81">
        <f t="shared" si="526"/>
        <v>0</v>
      </c>
      <c r="AP88" s="74">
        <v>0</v>
      </c>
      <c r="AQ88" s="81">
        <f t="shared" si="527"/>
        <v>0</v>
      </c>
      <c r="AR88" s="74">
        <v>119</v>
      </c>
      <c r="AS88" s="81">
        <f t="shared" si="528"/>
        <v>117</v>
      </c>
      <c r="AT88" s="74">
        <v>20</v>
      </c>
      <c r="AU88" s="81">
        <f t="shared" si="529"/>
        <v>25.142857142857142</v>
      </c>
      <c r="AV88" s="74">
        <v>36</v>
      </c>
      <c r="AW88" s="81">
        <f t="shared" si="530"/>
        <v>35.714285714285715</v>
      </c>
      <c r="AX88" s="74">
        <v>19</v>
      </c>
      <c r="AY88" s="81">
        <f t="shared" si="531"/>
        <v>18.857142857142858</v>
      </c>
    </row>
    <row r="89" spans="1:51" x14ac:dyDescent="0.25">
      <c r="A89" s="85">
        <f t="shared" si="485"/>
        <v>45744</v>
      </c>
      <c r="B89" s="74">
        <f t="shared" si="471"/>
        <v>1097</v>
      </c>
      <c r="C89" s="81">
        <f t="shared" si="500"/>
        <v>1000</v>
      </c>
      <c r="D89" s="74">
        <v>209.42465754000008</v>
      </c>
      <c r="E89" s="81">
        <f t="shared" si="500"/>
        <v>195.21369863550009</v>
      </c>
      <c r="F89" s="74">
        <f t="shared" si="472"/>
        <v>1097</v>
      </c>
      <c r="G89" s="81">
        <f t="shared" ref="G89" si="625">AVERAGE(F86:F89)</f>
        <v>1000</v>
      </c>
      <c r="H89" s="74">
        <f t="shared" si="474"/>
        <v>1097</v>
      </c>
      <c r="I89" s="81">
        <f t="shared" ref="I89" si="626">AVERAGE(H86:H89)</f>
        <v>1000</v>
      </c>
      <c r="J89" s="74">
        <v>210</v>
      </c>
      <c r="K89" s="81">
        <f t="shared" ref="K89" si="627">AVERAGE(J86:J89)</f>
        <v>195.75</v>
      </c>
      <c r="L89" s="74">
        <v>887</v>
      </c>
      <c r="M89" s="81">
        <f t="shared" ref="M89" si="628">AVERAGE(L86:L89)</f>
        <v>804.25</v>
      </c>
      <c r="N89" s="74">
        <v>0</v>
      </c>
      <c r="O89" s="81">
        <f t="shared" ref="O89" si="629">AVERAGE(N86:N89)</f>
        <v>0</v>
      </c>
      <c r="P89" s="74">
        <v>0</v>
      </c>
      <c r="Q89" s="81">
        <f t="shared" ref="Q89" si="630">AVERAGE(P86:P89)</f>
        <v>0</v>
      </c>
      <c r="R89" s="74">
        <v>0</v>
      </c>
      <c r="S89" s="81">
        <f t="shared" ref="S89" si="631">AVERAGE(R86:R89)</f>
        <v>0</v>
      </c>
      <c r="T89" s="74">
        <f t="shared" si="481"/>
        <v>119</v>
      </c>
      <c r="U89" s="81">
        <f t="shared" si="539"/>
        <v>114.14285714285714</v>
      </c>
      <c r="V89" s="74">
        <f t="shared" si="482"/>
        <v>21</v>
      </c>
      <c r="W89" s="81">
        <f t="shared" si="522"/>
        <v>24</v>
      </c>
      <c r="X89" s="74">
        <f t="shared" si="483"/>
        <v>41</v>
      </c>
      <c r="Y89" s="81">
        <f t="shared" si="523"/>
        <v>36.714285714285715</v>
      </c>
      <c r="Z89" s="74">
        <f t="shared" si="484"/>
        <v>29</v>
      </c>
      <c r="AA89" s="81">
        <f t="shared" si="524"/>
        <v>18.857142857142858</v>
      </c>
      <c r="AB89" s="83">
        <f t="shared" si="467"/>
        <v>0.56666666666666665</v>
      </c>
      <c r="AC89" s="83">
        <f t="shared" si="468"/>
        <v>0.1</v>
      </c>
      <c r="AD89" s="83">
        <f t="shared" si="469"/>
        <v>0.19523809523809524</v>
      </c>
      <c r="AE89" s="84">
        <f t="shared" si="470"/>
        <v>0.1380952380952381</v>
      </c>
      <c r="AF89" s="83">
        <f t="shared" si="540"/>
        <v>0.58925427759762994</v>
      </c>
      <c r="AG89" s="83">
        <f t="shared" si="540"/>
        <v>0.12404250319351538</v>
      </c>
      <c r="AH89" s="83">
        <f t="shared" si="540"/>
        <v>0.19012738902005405</v>
      </c>
      <c r="AI89" s="84">
        <f t="shared" si="540"/>
        <v>9.6575830188800602E-2</v>
      </c>
      <c r="AJ89" s="74">
        <v>0</v>
      </c>
      <c r="AK89" s="81">
        <f t="shared" si="524"/>
        <v>0</v>
      </c>
      <c r="AL89" s="74">
        <v>0</v>
      </c>
      <c r="AM89" s="81">
        <f t="shared" si="525"/>
        <v>0</v>
      </c>
      <c r="AN89" s="74">
        <v>0</v>
      </c>
      <c r="AO89" s="81">
        <f t="shared" si="526"/>
        <v>0</v>
      </c>
      <c r="AP89" s="74">
        <v>0</v>
      </c>
      <c r="AQ89" s="81">
        <f t="shared" si="527"/>
        <v>0</v>
      </c>
      <c r="AR89" s="74">
        <v>119</v>
      </c>
      <c r="AS89" s="81">
        <f t="shared" si="528"/>
        <v>114.14285714285714</v>
      </c>
      <c r="AT89" s="74">
        <v>21</v>
      </c>
      <c r="AU89" s="81">
        <f t="shared" si="529"/>
        <v>24</v>
      </c>
      <c r="AV89" s="74">
        <v>41</v>
      </c>
      <c r="AW89" s="81">
        <f t="shared" si="530"/>
        <v>36.714285714285715</v>
      </c>
      <c r="AX89" s="74">
        <v>29</v>
      </c>
      <c r="AY89" s="81">
        <f t="shared" si="531"/>
        <v>18.857142857142858</v>
      </c>
    </row>
    <row r="90" spans="1:51" x14ac:dyDescent="0.25">
      <c r="A90" s="85">
        <f t="shared" si="485"/>
        <v>45751</v>
      </c>
      <c r="B90" s="74">
        <f t="shared" si="471"/>
        <v>1149</v>
      </c>
      <c r="C90" s="81">
        <f t="shared" si="500"/>
        <v>1045.5</v>
      </c>
      <c r="D90" s="74">
        <v>226.37808219800007</v>
      </c>
      <c r="E90" s="81">
        <f t="shared" si="500"/>
        <v>206.18356164950006</v>
      </c>
      <c r="F90" s="74">
        <f t="shared" si="472"/>
        <v>1149</v>
      </c>
      <c r="G90" s="81">
        <f t="shared" ref="G90" si="632">AVERAGE(F87:F90)</f>
        <v>1045.5</v>
      </c>
      <c r="H90" s="74">
        <f t="shared" si="474"/>
        <v>1149</v>
      </c>
      <c r="I90" s="81">
        <f t="shared" ref="I90" si="633">AVERAGE(H87:H90)</f>
        <v>1045.5</v>
      </c>
      <c r="J90" s="74">
        <v>227</v>
      </c>
      <c r="K90" s="81">
        <f t="shared" ref="K90" si="634">AVERAGE(J87:J90)</f>
        <v>206.75</v>
      </c>
      <c r="L90" s="74">
        <v>922</v>
      </c>
      <c r="M90" s="81">
        <f t="shared" ref="M90" si="635">AVERAGE(L87:L90)</f>
        <v>838.75</v>
      </c>
      <c r="N90" s="74">
        <v>0</v>
      </c>
      <c r="O90" s="81">
        <f t="shared" ref="O90" si="636">AVERAGE(N87:N90)</f>
        <v>0</v>
      </c>
      <c r="P90" s="74">
        <v>0</v>
      </c>
      <c r="Q90" s="81">
        <f t="shared" ref="Q90" si="637">AVERAGE(P87:P90)</f>
        <v>0</v>
      </c>
      <c r="R90" s="74">
        <v>0</v>
      </c>
      <c r="S90" s="81">
        <f t="shared" ref="S90" si="638">AVERAGE(R87:R90)</f>
        <v>0</v>
      </c>
      <c r="T90" s="74">
        <f t="shared" si="481"/>
        <v>136</v>
      </c>
      <c r="U90" s="81">
        <f t="shared" si="539"/>
        <v>118.57142857142857</v>
      </c>
      <c r="V90" s="74">
        <f t="shared" si="482"/>
        <v>35</v>
      </c>
      <c r="W90" s="81">
        <f t="shared" si="522"/>
        <v>25.285714285714285</v>
      </c>
      <c r="X90" s="74">
        <f t="shared" si="483"/>
        <v>39</v>
      </c>
      <c r="Y90" s="81">
        <f t="shared" si="523"/>
        <v>36.857142857142854</v>
      </c>
      <c r="Z90" s="74">
        <f t="shared" si="484"/>
        <v>17</v>
      </c>
      <c r="AA90" s="81">
        <f t="shared" si="524"/>
        <v>18.857142857142858</v>
      </c>
      <c r="AB90" s="83">
        <f t="shared" si="467"/>
        <v>0.59911894273127753</v>
      </c>
      <c r="AC90" s="83">
        <f t="shared" si="468"/>
        <v>0.15418502202643172</v>
      </c>
      <c r="AD90" s="83">
        <f t="shared" si="469"/>
        <v>0.17180616740088106</v>
      </c>
      <c r="AE90" s="84">
        <f t="shared" si="470"/>
        <v>7.4889867841409691E-2</v>
      </c>
      <c r="AF90" s="83">
        <f t="shared" si="540"/>
        <v>0.59419753669748998</v>
      </c>
      <c r="AG90" s="83">
        <f t="shared" si="540"/>
        <v>0.12609965687778288</v>
      </c>
      <c r="AH90" s="83">
        <f t="shared" si="540"/>
        <v>0.18548525932463458</v>
      </c>
      <c r="AI90" s="84">
        <f t="shared" si="540"/>
        <v>9.42175471000926E-2</v>
      </c>
      <c r="AJ90" s="74">
        <v>0</v>
      </c>
      <c r="AK90" s="81">
        <f t="shared" si="524"/>
        <v>0</v>
      </c>
      <c r="AL90" s="74">
        <v>0</v>
      </c>
      <c r="AM90" s="81">
        <f t="shared" si="525"/>
        <v>0</v>
      </c>
      <c r="AN90" s="74">
        <v>0</v>
      </c>
      <c r="AO90" s="81">
        <f t="shared" si="526"/>
        <v>0</v>
      </c>
      <c r="AP90" s="74">
        <v>0</v>
      </c>
      <c r="AQ90" s="81">
        <f t="shared" si="527"/>
        <v>0</v>
      </c>
      <c r="AR90" s="74">
        <v>136</v>
      </c>
      <c r="AS90" s="81">
        <f t="shared" si="528"/>
        <v>118.57142857142857</v>
      </c>
      <c r="AT90" s="74">
        <v>35</v>
      </c>
      <c r="AU90" s="81">
        <f t="shared" si="529"/>
        <v>25.285714285714285</v>
      </c>
      <c r="AV90" s="74">
        <v>39</v>
      </c>
      <c r="AW90" s="81">
        <f t="shared" si="530"/>
        <v>36.857142857142854</v>
      </c>
      <c r="AX90" s="74">
        <v>17</v>
      </c>
      <c r="AY90" s="81">
        <f t="shared" si="531"/>
        <v>18.857142857142858</v>
      </c>
    </row>
    <row r="91" spans="1:51" x14ac:dyDescent="0.25">
      <c r="A91" s="85">
        <f t="shared" si="485"/>
        <v>45758</v>
      </c>
      <c r="B91" s="74">
        <f t="shared" si="471"/>
        <v>998</v>
      </c>
      <c r="C91" s="81">
        <f t="shared" si="500"/>
        <v>1058.75</v>
      </c>
      <c r="D91" s="74">
        <v>181.5013698680001</v>
      </c>
      <c r="E91" s="81">
        <f t="shared" si="500"/>
        <v>202.69315069050006</v>
      </c>
      <c r="F91" s="74">
        <f t="shared" si="472"/>
        <v>998</v>
      </c>
      <c r="G91" s="81">
        <f t="shared" ref="G91" si="639">AVERAGE(F88:F91)</f>
        <v>1058.75</v>
      </c>
      <c r="H91" s="74">
        <f t="shared" si="474"/>
        <v>998</v>
      </c>
      <c r="I91" s="81">
        <f t="shared" ref="I91" si="640">AVERAGE(H88:H91)</f>
        <v>1058.75</v>
      </c>
      <c r="J91" s="74">
        <v>182</v>
      </c>
      <c r="K91" s="81">
        <f t="shared" ref="K91" si="641">AVERAGE(J88:J91)</f>
        <v>203.25</v>
      </c>
      <c r="L91" s="74">
        <v>816</v>
      </c>
      <c r="M91" s="81">
        <f t="shared" ref="M91" si="642">AVERAGE(L88:L91)</f>
        <v>855.5</v>
      </c>
      <c r="N91" s="74">
        <v>0</v>
      </c>
      <c r="O91" s="81">
        <f t="shared" ref="O91" si="643">AVERAGE(N88:N91)</f>
        <v>0</v>
      </c>
      <c r="P91" s="74">
        <v>0</v>
      </c>
      <c r="Q91" s="81">
        <f t="shared" ref="Q91" si="644">AVERAGE(P88:P91)</f>
        <v>0</v>
      </c>
      <c r="R91" s="74">
        <v>0</v>
      </c>
      <c r="S91" s="81">
        <f t="shared" ref="S91" si="645">AVERAGE(R88:R91)</f>
        <v>0</v>
      </c>
      <c r="T91" s="74">
        <f t="shared" si="481"/>
        <v>101</v>
      </c>
      <c r="U91" s="81">
        <f t="shared" si="539"/>
        <v>116.85714285714286</v>
      </c>
      <c r="V91" s="74">
        <f t="shared" si="482"/>
        <v>18</v>
      </c>
      <c r="W91" s="81">
        <f t="shared" si="522"/>
        <v>25.285714285714285</v>
      </c>
      <c r="X91" s="74">
        <f t="shared" si="483"/>
        <v>41</v>
      </c>
      <c r="Y91" s="81">
        <f t="shared" si="523"/>
        <v>37.142857142857146</v>
      </c>
      <c r="Z91" s="74">
        <f t="shared" si="484"/>
        <v>22</v>
      </c>
      <c r="AA91" s="81">
        <f t="shared" si="524"/>
        <v>20</v>
      </c>
      <c r="AB91" s="83">
        <f t="shared" si="467"/>
        <v>0.55494505494505497</v>
      </c>
      <c r="AC91" s="83">
        <f t="shared" si="468"/>
        <v>9.8901098901098897E-2</v>
      </c>
      <c r="AD91" s="83">
        <f t="shared" si="469"/>
        <v>0.22527472527472528</v>
      </c>
      <c r="AE91" s="84">
        <f t="shared" si="470"/>
        <v>0.12087912087912088</v>
      </c>
      <c r="AF91" s="83">
        <f t="shared" si="540"/>
        <v>0.58574248243498228</v>
      </c>
      <c r="AG91" s="83">
        <f t="shared" si="540"/>
        <v>0.12625323001272248</v>
      </c>
      <c r="AH91" s="83">
        <f t="shared" si="540"/>
        <v>0.18738785982971959</v>
      </c>
      <c r="AI91" s="84">
        <f t="shared" si="540"/>
        <v>0.10061642772257573</v>
      </c>
      <c r="AJ91" s="74">
        <v>0</v>
      </c>
      <c r="AK91" s="81">
        <f t="shared" si="524"/>
        <v>0</v>
      </c>
      <c r="AL91" s="74">
        <v>0</v>
      </c>
      <c r="AM91" s="81">
        <f t="shared" si="525"/>
        <v>0</v>
      </c>
      <c r="AN91" s="74">
        <v>0</v>
      </c>
      <c r="AO91" s="81">
        <f t="shared" si="526"/>
        <v>0</v>
      </c>
      <c r="AP91" s="74">
        <v>0</v>
      </c>
      <c r="AQ91" s="81">
        <f t="shared" si="527"/>
        <v>0</v>
      </c>
      <c r="AR91" s="74">
        <v>101</v>
      </c>
      <c r="AS91" s="81">
        <f t="shared" si="528"/>
        <v>116.85714285714286</v>
      </c>
      <c r="AT91" s="74">
        <v>18</v>
      </c>
      <c r="AU91" s="81">
        <f t="shared" si="529"/>
        <v>25.285714285714285</v>
      </c>
      <c r="AV91" s="74">
        <v>41</v>
      </c>
      <c r="AW91" s="81">
        <f t="shared" si="530"/>
        <v>37.142857142857146</v>
      </c>
      <c r="AX91" s="74">
        <v>22</v>
      </c>
      <c r="AY91" s="81">
        <f t="shared" si="531"/>
        <v>20</v>
      </c>
    </row>
    <row r="92" spans="1:51" x14ac:dyDescent="0.25">
      <c r="A92" s="85">
        <f t="shared" si="485"/>
        <v>45765</v>
      </c>
      <c r="B92" s="74">
        <f t="shared" si="471"/>
        <v>1022</v>
      </c>
      <c r="C92" s="81">
        <f t="shared" si="500"/>
        <v>1066.5</v>
      </c>
      <c r="D92" s="74">
        <v>199.45205480000004</v>
      </c>
      <c r="E92" s="81">
        <f t="shared" si="500"/>
        <v>204.18904110150007</v>
      </c>
      <c r="F92" s="74">
        <f t="shared" si="472"/>
        <v>1022</v>
      </c>
      <c r="G92" s="81">
        <f t="shared" ref="G92" si="646">AVERAGE(F89:F92)</f>
        <v>1066.5</v>
      </c>
      <c r="H92" s="74">
        <f t="shared" si="474"/>
        <v>1022</v>
      </c>
      <c r="I92" s="81">
        <f t="shared" ref="I92" si="647">AVERAGE(H89:H92)</f>
        <v>1066.5</v>
      </c>
      <c r="J92" s="74">
        <v>200</v>
      </c>
      <c r="K92" s="81">
        <f t="shared" ref="K92" si="648">AVERAGE(J89:J92)</f>
        <v>204.75</v>
      </c>
      <c r="L92" s="74">
        <v>822</v>
      </c>
      <c r="M92" s="81">
        <f t="shared" ref="M92" si="649">AVERAGE(L89:L92)</f>
        <v>861.75</v>
      </c>
      <c r="N92" s="74">
        <v>0</v>
      </c>
      <c r="O92" s="81">
        <f t="shared" ref="O92" si="650">AVERAGE(N89:N92)</f>
        <v>0</v>
      </c>
      <c r="P92" s="74">
        <v>0</v>
      </c>
      <c r="Q92" s="81">
        <f t="shared" ref="Q92" si="651">AVERAGE(P89:P92)</f>
        <v>0</v>
      </c>
      <c r="R92" s="74">
        <v>0</v>
      </c>
      <c r="S92" s="81">
        <f t="shared" ref="S92" si="652">AVERAGE(R89:R92)</f>
        <v>0</v>
      </c>
      <c r="T92" s="74">
        <f t="shared" si="481"/>
        <v>130</v>
      </c>
      <c r="U92" s="81">
        <f t="shared" si="539"/>
        <v>117.57142857142857</v>
      </c>
      <c r="V92" s="74">
        <f t="shared" si="482"/>
        <v>20</v>
      </c>
      <c r="W92" s="81">
        <f t="shared" si="522"/>
        <v>24.428571428571427</v>
      </c>
      <c r="X92" s="74">
        <f t="shared" si="483"/>
        <v>31</v>
      </c>
      <c r="Y92" s="81">
        <f t="shared" si="523"/>
        <v>37.142857142857146</v>
      </c>
      <c r="Z92" s="74">
        <f t="shared" si="484"/>
        <v>19</v>
      </c>
      <c r="AA92" s="81">
        <f t="shared" si="524"/>
        <v>19.714285714285715</v>
      </c>
      <c r="AB92" s="83">
        <f t="shared" si="467"/>
        <v>0.65</v>
      </c>
      <c r="AC92" s="83">
        <f t="shared" si="468"/>
        <v>0.1</v>
      </c>
      <c r="AD92" s="83">
        <f t="shared" si="469"/>
        <v>0.155</v>
      </c>
      <c r="AE92" s="84">
        <f t="shared" si="470"/>
        <v>9.5000000000000001E-2</v>
      </c>
      <c r="AF92" s="83">
        <f t="shared" ref="AF92:AI107" si="653">AVERAGE(AB86:AB92)</f>
        <v>0.59063340432097799</v>
      </c>
      <c r="AG92" s="83">
        <f t="shared" si="653"/>
        <v>0.12224197033643817</v>
      </c>
      <c r="AH92" s="83">
        <f t="shared" si="653"/>
        <v>0.18771509417173224</v>
      </c>
      <c r="AI92" s="84">
        <f t="shared" si="653"/>
        <v>9.9409531170851592E-2</v>
      </c>
      <c r="AJ92" s="74">
        <v>0</v>
      </c>
      <c r="AK92" s="81">
        <f t="shared" si="524"/>
        <v>0</v>
      </c>
      <c r="AL92" s="74">
        <v>0</v>
      </c>
      <c r="AM92" s="81">
        <f t="shared" si="525"/>
        <v>0</v>
      </c>
      <c r="AN92" s="74">
        <v>0</v>
      </c>
      <c r="AO92" s="81">
        <f t="shared" si="526"/>
        <v>0</v>
      </c>
      <c r="AP92" s="74">
        <v>0</v>
      </c>
      <c r="AQ92" s="81">
        <f t="shared" si="527"/>
        <v>0</v>
      </c>
      <c r="AR92" s="74">
        <v>130</v>
      </c>
      <c r="AS92" s="81">
        <f t="shared" si="528"/>
        <v>117.57142857142857</v>
      </c>
      <c r="AT92" s="74">
        <v>20</v>
      </c>
      <c r="AU92" s="81">
        <f t="shared" si="529"/>
        <v>24.428571428571427</v>
      </c>
      <c r="AV92" s="74">
        <v>31</v>
      </c>
      <c r="AW92" s="81">
        <f t="shared" si="530"/>
        <v>37.142857142857146</v>
      </c>
      <c r="AX92" s="74">
        <v>19</v>
      </c>
      <c r="AY92" s="81">
        <f t="shared" si="531"/>
        <v>19.714285714285715</v>
      </c>
    </row>
    <row r="93" spans="1:51" x14ac:dyDescent="0.25">
      <c r="A93" s="85">
        <f t="shared" si="485"/>
        <v>45772</v>
      </c>
      <c r="B93" s="74">
        <f t="shared" si="471"/>
        <v>969</v>
      </c>
      <c r="C93" s="81">
        <f t="shared" si="500"/>
        <v>1034.5</v>
      </c>
      <c r="D93" s="74">
        <v>203.44109589599998</v>
      </c>
      <c r="E93" s="81">
        <f t="shared" si="500"/>
        <v>202.69315069050003</v>
      </c>
      <c r="F93" s="74">
        <f t="shared" si="472"/>
        <v>969</v>
      </c>
      <c r="G93" s="81">
        <f t="shared" ref="G93" si="654">AVERAGE(F90:F93)</f>
        <v>1034.5</v>
      </c>
      <c r="H93" s="74">
        <f t="shared" si="474"/>
        <v>969</v>
      </c>
      <c r="I93" s="81">
        <f t="shared" ref="I93" si="655">AVERAGE(H90:H93)</f>
        <v>1034.5</v>
      </c>
      <c r="J93" s="74">
        <v>204</v>
      </c>
      <c r="K93" s="81">
        <f t="shared" ref="K93" si="656">AVERAGE(J90:J93)</f>
        <v>203.25</v>
      </c>
      <c r="L93" s="74">
        <v>765</v>
      </c>
      <c r="M93" s="81">
        <f t="shared" ref="M93" si="657">AVERAGE(L90:L93)</f>
        <v>831.25</v>
      </c>
      <c r="N93" s="74">
        <v>0</v>
      </c>
      <c r="O93" s="81">
        <f t="shared" ref="O93" si="658">AVERAGE(N90:N93)</f>
        <v>0</v>
      </c>
      <c r="P93" s="74">
        <v>0</v>
      </c>
      <c r="Q93" s="81">
        <f t="shared" ref="Q93" si="659">AVERAGE(P90:P93)</f>
        <v>0</v>
      </c>
      <c r="R93" s="74">
        <v>0</v>
      </c>
      <c r="S93" s="81">
        <f t="shared" ref="S93" si="660">AVERAGE(R90:R93)</f>
        <v>0</v>
      </c>
      <c r="T93" s="74">
        <f t="shared" si="481"/>
        <v>123</v>
      </c>
      <c r="U93" s="81">
        <f t="shared" si="539"/>
        <v>120.14285714285714</v>
      </c>
      <c r="V93" s="74">
        <f t="shared" si="482"/>
        <v>18</v>
      </c>
      <c r="W93" s="81">
        <f t="shared" si="522"/>
        <v>23.571428571428573</v>
      </c>
      <c r="X93" s="74">
        <f t="shared" si="483"/>
        <v>39</v>
      </c>
      <c r="Y93" s="81">
        <f t="shared" si="523"/>
        <v>37.285714285714285</v>
      </c>
      <c r="Z93" s="74">
        <f t="shared" si="484"/>
        <v>24</v>
      </c>
      <c r="AA93" s="81">
        <f t="shared" si="524"/>
        <v>20.857142857142858</v>
      </c>
      <c r="AB93" s="83">
        <f t="shared" si="467"/>
        <v>0.6029411764705882</v>
      </c>
      <c r="AC93" s="83">
        <f t="shared" si="468"/>
        <v>8.8235294117647065E-2</v>
      </c>
      <c r="AD93" s="83">
        <f t="shared" si="469"/>
        <v>0.19117647058823528</v>
      </c>
      <c r="AE93" s="84">
        <f t="shared" si="470"/>
        <v>0.11764705882352941</v>
      </c>
      <c r="AF93" s="83">
        <f t="shared" si="653"/>
        <v>0.59480064498773644</v>
      </c>
      <c r="AG93" s="83">
        <f t="shared" si="653"/>
        <v>0.11611164935558682</v>
      </c>
      <c r="AH93" s="83">
        <f t="shared" si="653"/>
        <v>0.18536169379518816</v>
      </c>
      <c r="AI93" s="84">
        <f t="shared" si="653"/>
        <v>0.10372601186148851</v>
      </c>
      <c r="AJ93" s="74">
        <v>0</v>
      </c>
      <c r="AK93" s="81">
        <f t="shared" si="524"/>
        <v>0</v>
      </c>
      <c r="AL93" s="74">
        <v>0</v>
      </c>
      <c r="AM93" s="81">
        <f t="shared" si="525"/>
        <v>0</v>
      </c>
      <c r="AN93" s="74">
        <v>0</v>
      </c>
      <c r="AO93" s="81">
        <f t="shared" si="526"/>
        <v>0</v>
      </c>
      <c r="AP93" s="74">
        <v>0</v>
      </c>
      <c r="AQ93" s="81">
        <f t="shared" si="527"/>
        <v>0</v>
      </c>
      <c r="AR93" s="74">
        <v>123</v>
      </c>
      <c r="AS93" s="81">
        <f t="shared" si="528"/>
        <v>120.14285714285714</v>
      </c>
      <c r="AT93" s="74">
        <v>18</v>
      </c>
      <c r="AU93" s="81">
        <f t="shared" si="529"/>
        <v>23.571428571428573</v>
      </c>
      <c r="AV93" s="74">
        <v>39</v>
      </c>
      <c r="AW93" s="81">
        <f t="shared" si="530"/>
        <v>37.285714285714285</v>
      </c>
      <c r="AX93" s="74">
        <v>24</v>
      </c>
      <c r="AY93" s="81">
        <f t="shared" si="531"/>
        <v>20.857142857142858</v>
      </c>
    </row>
    <row r="94" spans="1:51" x14ac:dyDescent="0.25">
      <c r="A94" s="85">
        <f t="shared" si="485"/>
        <v>45779</v>
      </c>
      <c r="B94" s="74">
        <f t="shared" si="471"/>
        <v>1215</v>
      </c>
      <c r="C94" s="81">
        <f t="shared" si="500"/>
        <v>1051</v>
      </c>
      <c r="D94" s="74">
        <v>252.30684932200006</v>
      </c>
      <c r="E94" s="81">
        <f t="shared" si="500"/>
        <v>209.17534247150004</v>
      </c>
      <c r="F94" s="74">
        <f t="shared" si="472"/>
        <v>1215</v>
      </c>
      <c r="G94" s="81">
        <f t="shared" ref="G94" si="661">AVERAGE(F91:F94)</f>
        <v>1051</v>
      </c>
      <c r="H94" s="74">
        <f t="shared" si="474"/>
        <v>1215</v>
      </c>
      <c r="I94" s="81">
        <f t="shared" ref="I94" si="662">AVERAGE(H91:H94)</f>
        <v>1051</v>
      </c>
      <c r="J94" s="74">
        <v>253</v>
      </c>
      <c r="K94" s="81">
        <f t="shared" ref="K94" si="663">AVERAGE(J91:J94)</f>
        <v>209.75</v>
      </c>
      <c r="L94" s="74">
        <v>962</v>
      </c>
      <c r="M94" s="81">
        <f t="shared" ref="M94" si="664">AVERAGE(L91:L94)</f>
        <v>841.25</v>
      </c>
      <c r="N94" s="74">
        <v>0</v>
      </c>
      <c r="O94" s="81">
        <f t="shared" ref="O94" si="665">AVERAGE(N91:N94)</f>
        <v>0</v>
      </c>
      <c r="P94" s="74">
        <v>0</v>
      </c>
      <c r="Q94" s="81">
        <f t="shared" ref="Q94" si="666">AVERAGE(P91:P94)</f>
        <v>0</v>
      </c>
      <c r="R94" s="74">
        <v>0</v>
      </c>
      <c r="S94" s="81">
        <f t="shared" ref="S94" si="667">AVERAGE(R91:R94)</f>
        <v>0</v>
      </c>
      <c r="T94" s="74">
        <f t="shared" si="481"/>
        <v>147</v>
      </c>
      <c r="U94" s="81">
        <f t="shared" si="539"/>
        <v>125</v>
      </c>
      <c r="V94" s="74">
        <f t="shared" si="482"/>
        <v>23</v>
      </c>
      <c r="W94" s="81">
        <f t="shared" si="522"/>
        <v>22.142857142857142</v>
      </c>
      <c r="X94" s="74">
        <f t="shared" si="483"/>
        <v>53</v>
      </c>
      <c r="Y94" s="81">
        <f t="shared" si="523"/>
        <v>40</v>
      </c>
      <c r="Z94" s="74">
        <f t="shared" si="484"/>
        <v>30</v>
      </c>
      <c r="AA94" s="81">
        <f t="shared" si="524"/>
        <v>22.857142857142858</v>
      </c>
      <c r="AB94" s="83">
        <f t="shared" si="467"/>
        <v>0.5810276679841897</v>
      </c>
      <c r="AC94" s="83">
        <f t="shared" si="468"/>
        <v>9.0909090909090912E-2</v>
      </c>
      <c r="AD94" s="83">
        <f t="shared" si="469"/>
        <v>0.20948616600790515</v>
      </c>
      <c r="AE94" s="84">
        <f t="shared" si="470"/>
        <v>0.11857707509881422</v>
      </c>
      <c r="AF94" s="83">
        <f t="shared" si="653"/>
        <v>0.59544308152192105</v>
      </c>
      <c r="AG94" s="83">
        <f t="shared" si="653"/>
        <v>0.10504618420848903</v>
      </c>
      <c r="AH94" s="83">
        <f t="shared" si="653"/>
        <v>0.1905069478313029</v>
      </c>
      <c r="AI94" s="84">
        <f t="shared" si="653"/>
        <v>0.10900378643828702</v>
      </c>
      <c r="AJ94" s="74">
        <v>0</v>
      </c>
      <c r="AK94" s="81">
        <f t="shared" si="524"/>
        <v>0</v>
      </c>
      <c r="AL94" s="74">
        <v>0</v>
      </c>
      <c r="AM94" s="81">
        <f t="shared" si="525"/>
        <v>0</v>
      </c>
      <c r="AN94" s="74">
        <v>0</v>
      </c>
      <c r="AO94" s="81">
        <f t="shared" si="526"/>
        <v>0</v>
      </c>
      <c r="AP94" s="74">
        <v>0</v>
      </c>
      <c r="AQ94" s="81">
        <f t="shared" si="527"/>
        <v>0</v>
      </c>
      <c r="AR94" s="74">
        <v>147</v>
      </c>
      <c r="AS94" s="81">
        <f t="shared" si="528"/>
        <v>125</v>
      </c>
      <c r="AT94" s="74">
        <v>23</v>
      </c>
      <c r="AU94" s="81">
        <f t="shared" si="529"/>
        <v>22.142857142857142</v>
      </c>
      <c r="AV94" s="74">
        <v>53</v>
      </c>
      <c r="AW94" s="81">
        <f t="shared" si="530"/>
        <v>40</v>
      </c>
      <c r="AX94" s="74">
        <v>30</v>
      </c>
      <c r="AY94" s="81">
        <f t="shared" si="531"/>
        <v>22.857142857142858</v>
      </c>
    </row>
    <row r="95" spans="1:51" x14ac:dyDescent="0.25">
      <c r="A95" s="85">
        <f t="shared" si="485"/>
        <v>45786</v>
      </c>
      <c r="B95" s="74">
        <f t="shared" si="471"/>
        <v>943</v>
      </c>
      <c r="C95" s="81">
        <f t="shared" si="500"/>
        <v>1037.25</v>
      </c>
      <c r="D95" s="74">
        <v>202.44383562200005</v>
      </c>
      <c r="E95" s="81">
        <f t="shared" si="500"/>
        <v>214.41095891000003</v>
      </c>
      <c r="F95" s="74">
        <f t="shared" si="472"/>
        <v>943</v>
      </c>
      <c r="G95" s="81">
        <f t="shared" ref="G95" si="668">AVERAGE(F92:F95)</f>
        <v>1037.25</v>
      </c>
      <c r="H95" s="74">
        <f t="shared" si="474"/>
        <v>943</v>
      </c>
      <c r="I95" s="81">
        <f t="shared" ref="I95" si="669">AVERAGE(H92:H95)</f>
        <v>1037.25</v>
      </c>
      <c r="J95" s="74">
        <v>203</v>
      </c>
      <c r="K95" s="81">
        <f t="shared" ref="K95" si="670">AVERAGE(J92:J95)</f>
        <v>215</v>
      </c>
      <c r="L95" s="74">
        <v>740</v>
      </c>
      <c r="M95" s="81">
        <f t="shared" ref="M95" si="671">AVERAGE(L92:L95)</f>
        <v>822.25</v>
      </c>
      <c r="N95" s="74">
        <v>0</v>
      </c>
      <c r="O95" s="81">
        <f t="shared" ref="O95" si="672">AVERAGE(N92:N95)</f>
        <v>0</v>
      </c>
      <c r="P95" s="74">
        <v>0</v>
      </c>
      <c r="Q95" s="81">
        <f t="shared" ref="Q95" si="673">AVERAGE(P92:P95)</f>
        <v>0</v>
      </c>
      <c r="R95" s="74">
        <v>0</v>
      </c>
      <c r="S95" s="81">
        <f t="shared" ref="S95" si="674">AVERAGE(R92:R95)</f>
        <v>0</v>
      </c>
      <c r="T95" s="74">
        <f t="shared" si="481"/>
        <v>119</v>
      </c>
      <c r="U95" s="81">
        <f t="shared" si="539"/>
        <v>125</v>
      </c>
      <c r="V95" s="74">
        <f t="shared" si="482"/>
        <v>21</v>
      </c>
      <c r="W95" s="81">
        <f t="shared" si="522"/>
        <v>22.285714285714285</v>
      </c>
      <c r="X95" s="74">
        <f t="shared" si="483"/>
        <v>38</v>
      </c>
      <c r="Y95" s="81">
        <f t="shared" si="523"/>
        <v>40.285714285714285</v>
      </c>
      <c r="Z95" s="74">
        <f t="shared" si="484"/>
        <v>25</v>
      </c>
      <c r="AA95" s="81">
        <f t="shared" si="524"/>
        <v>23.714285714285715</v>
      </c>
      <c r="AB95" s="83">
        <f t="shared" si="467"/>
        <v>0.58620689655172409</v>
      </c>
      <c r="AC95" s="83">
        <f t="shared" si="468"/>
        <v>0.10344827586206896</v>
      </c>
      <c r="AD95" s="83">
        <f t="shared" si="469"/>
        <v>0.18719211822660098</v>
      </c>
      <c r="AE95" s="84">
        <f t="shared" si="470"/>
        <v>0.12315270935960591</v>
      </c>
      <c r="AF95" s="83">
        <f t="shared" si="653"/>
        <v>0.59155805790707172</v>
      </c>
      <c r="AG95" s="83">
        <f t="shared" si="653"/>
        <v>0.10509696883090537</v>
      </c>
      <c r="AH95" s="83">
        <f t="shared" si="653"/>
        <v>0.19073910610520614</v>
      </c>
      <c r="AI95" s="84">
        <f t="shared" si="653"/>
        <v>0.11260586715681688</v>
      </c>
      <c r="AJ95" s="74">
        <v>0</v>
      </c>
      <c r="AK95" s="81">
        <f t="shared" si="524"/>
        <v>0</v>
      </c>
      <c r="AL95" s="74">
        <v>0</v>
      </c>
      <c r="AM95" s="81">
        <f t="shared" si="525"/>
        <v>0</v>
      </c>
      <c r="AN95" s="74">
        <v>0</v>
      </c>
      <c r="AO95" s="81">
        <f t="shared" si="526"/>
        <v>0</v>
      </c>
      <c r="AP95" s="74">
        <v>0</v>
      </c>
      <c r="AQ95" s="81">
        <f t="shared" si="527"/>
        <v>0</v>
      </c>
      <c r="AR95" s="74">
        <v>119</v>
      </c>
      <c r="AS95" s="81">
        <f t="shared" si="528"/>
        <v>125</v>
      </c>
      <c r="AT95" s="74">
        <v>21</v>
      </c>
      <c r="AU95" s="81">
        <f t="shared" si="529"/>
        <v>22.285714285714285</v>
      </c>
      <c r="AV95" s="74">
        <v>38</v>
      </c>
      <c r="AW95" s="81">
        <f t="shared" si="530"/>
        <v>40.285714285714285</v>
      </c>
      <c r="AX95" s="74">
        <v>25</v>
      </c>
      <c r="AY95" s="81">
        <f t="shared" si="531"/>
        <v>23.714285714285715</v>
      </c>
    </row>
    <row r="96" spans="1:51" x14ac:dyDescent="0.25">
      <c r="A96" s="85">
        <f t="shared" si="485"/>
        <v>45793</v>
      </c>
      <c r="B96" s="74">
        <f t="shared" si="471"/>
        <v>949</v>
      </c>
      <c r="C96" s="81">
        <f t="shared" si="500"/>
        <v>1019</v>
      </c>
      <c r="D96" s="74">
        <v>201.4465753480001</v>
      </c>
      <c r="E96" s="81">
        <f t="shared" si="500"/>
        <v>214.90958904700005</v>
      </c>
      <c r="F96" s="74">
        <f t="shared" si="472"/>
        <v>949</v>
      </c>
      <c r="G96" s="81">
        <f t="shared" ref="G96" si="675">AVERAGE(F93:F96)</f>
        <v>1019</v>
      </c>
      <c r="H96" s="74">
        <f t="shared" si="474"/>
        <v>949</v>
      </c>
      <c r="I96" s="81">
        <f t="shared" ref="I96" si="676">AVERAGE(H93:H96)</f>
        <v>1019</v>
      </c>
      <c r="J96" s="74">
        <v>202</v>
      </c>
      <c r="K96" s="81">
        <f t="shared" ref="K96" si="677">AVERAGE(J93:J96)</f>
        <v>215.5</v>
      </c>
      <c r="L96" s="74">
        <v>747</v>
      </c>
      <c r="M96" s="81">
        <f t="shared" ref="M96" si="678">AVERAGE(L93:L96)</f>
        <v>803.5</v>
      </c>
      <c r="N96" s="74">
        <v>0</v>
      </c>
      <c r="O96" s="81">
        <f t="shared" ref="O96" si="679">AVERAGE(N93:N96)</f>
        <v>0</v>
      </c>
      <c r="P96" s="74">
        <v>0</v>
      </c>
      <c r="Q96" s="81">
        <f t="shared" ref="Q96" si="680">AVERAGE(P93:P96)</f>
        <v>0</v>
      </c>
      <c r="R96" s="74">
        <v>0</v>
      </c>
      <c r="S96" s="81">
        <f t="shared" ref="S96" si="681">AVERAGE(R93:R96)</f>
        <v>0</v>
      </c>
      <c r="T96" s="74">
        <f t="shared" si="481"/>
        <v>110</v>
      </c>
      <c r="U96" s="81">
        <f t="shared" si="539"/>
        <v>123.71428571428571</v>
      </c>
      <c r="V96" s="74">
        <f t="shared" si="482"/>
        <v>27</v>
      </c>
      <c r="W96" s="81">
        <f t="shared" si="522"/>
        <v>23.142857142857142</v>
      </c>
      <c r="X96" s="74">
        <f t="shared" si="483"/>
        <v>42</v>
      </c>
      <c r="Y96" s="81">
        <f t="shared" si="523"/>
        <v>40.428571428571431</v>
      </c>
      <c r="Z96" s="74">
        <f t="shared" si="484"/>
        <v>23</v>
      </c>
      <c r="AA96" s="81">
        <f t="shared" si="524"/>
        <v>22.857142857142858</v>
      </c>
      <c r="AB96" s="83">
        <f t="shared" si="467"/>
        <v>0.54455445544554459</v>
      </c>
      <c r="AC96" s="83">
        <f t="shared" si="468"/>
        <v>0.13366336633663367</v>
      </c>
      <c r="AD96" s="83">
        <f t="shared" si="469"/>
        <v>0.20792079207920791</v>
      </c>
      <c r="AE96" s="84">
        <f t="shared" si="470"/>
        <v>0.11386138613861387</v>
      </c>
      <c r="AF96" s="83">
        <f t="shared" si="653"/>
        <v>0.58839917058976832</v>
      </c>
      <c r="AG96" s="83">
        <f t="shared" si="653"/>
        <v>0.10990602116471018</v>
      </c>
      <c r="AH96" s="83">
        <f t="shared" si="653"/>
        <v>0.19255091993965082</v>
      </c>
      <c r="AI96" s="84">
        <f t="shared" si="653"/>
        <v>0.10914388830587056</v>
      </c>
      <c r="AJ96" s="74">
        <v>0</v>
      </c>
      <c r="AK96" s="81">
        <f t="shared" si="524"/>
        <v>0</v>
      </c>
      <c r="AL96" s="74">
        <v>0</v>
      </c>
      <c r="AM96" s="81">
        <f t="shared" si="525"/>
        <v>0</v>
      </c>
      <c r="AN96" s="74">
        <v>0</v>
      </c>
      <c r="AO96" s="81">
        <f t="shared" si="526"/>
        <v>0</v>
      </c>
      <c r="AP96" s="74">
        <v>0</v>
      </c>
      <c r="AQ96" s="81">
        <f t="shared" si="527"/>
        <v>0</v>
      </c>
      <c r="AR96" s="74">
        <v>110</v>
      </c>
      <c r="AS96" s="81">
        <f t="shared" si="528"/>
        <v>123.71428571428571</v>
      </c>
      <c r="AT96" s="74">
        <v>27</v>
      </c>
      <c r="AU96" s="81">
        <f t="shared" si="529"/>
        <v>23.142857142857142</v>
      </c>
      <c r="AV96" s="74">
        <v>42</v>
      </c>
      <c r="AW96" s="81">
        <f t="shared" si="530"/>
        <v>40.428571428571431</v>
      </c>
      <c r="AX96" s="74">
        <v>23</v>
      </c>
      <c r="AY96" s="81">
        <f t="shared" si="531"/>
        <v>22.857142857142858</v>
      </c>
    </row>
    <row r="97" spans="1:51" x14ac:dyDescent="0.25">
      <c r="A97" s="85">
        <f t="shared" si="485"/>
        <v>45800</v>
      </c>
      <c r="B97" s="74">
        <f t="shared" si="471"/>
        <v>887</v>
      </c>
      <c r="C97" s="81">
        <f t="shared" si="500"/>
        <v>998.5</v>
      </c>
      <c r="D97" s="74">
        <v>196.460273978</v>
      </c>
      <c r="E97" s="81">
        <f t="shared" si="500"/>
        <v>213.16438356750007</v>
      </c>
      <c r="F97" s="74">
        <f t="shared" si="472"/>
        <v>887</v>
      </c>
      <c r="G97" s="81">
        <f t="shared" ref="G97" si="682">AVERAGE(F94:F97)</f>
        <v>998.5</v>
      </c>
      <c r="H97" s="74">
        <f t="shared" si="474"/>
        <v>887</v>
      </c>
      <c r="I97" s="81">
        <f t="shared" ref="I97" si="683">AVERAGE(H94:H97)</f>
        <v>998.5</v>
      </c>
      <c r="J97" s="74">
        <v>197</v>
      </c>
      <c r="K97" s="81">
        <f t="shared" ref="K97" si="684">AVERAGE(J94:J97)</f>
        <v>213.75</v>
      </c>
      <c r="L97" s="74">
        <v>690</v>
      </c>
      <c r="M97" s="81">
        <f t="shared" ref="M97" si="685">AVERAGE(L94:L97)</f>
        <v>784.75</v>
      </c>
      <c r="N97" s="74">
        <v>0</v>
      </c>
      <c r="O97" s="81">
        <f t="shared" ref="O97" si="686">AVERAGE(N94:N97)</f>
        <v>0</v>
      </c>
      <c r="P97" s="74">
        <v>0</v>
      </c>
      <c r="Q97" s="81">
        <f t="shared" ref="Q97" si="687">AVERAGE(P94:P97)</f>
        <v>0</v>
      </c>
      <c r="R97" s="74">
        <v>0</v>
      </c>
      <c r="S97" s="81">
        <f t="shared" ref="S97" si="688">AVERAGE(R94:R97)</f>
        <v>0</v>
      </c>
      <c r="T97" s="74">
        <f t="shared" si="481"/>
        <v>108</v>
      </c>
      <c r="U97" s="81">
        <f t="shared" si="539"/>
        <v>119.71428571428571</v>
      </c>
      <c r="V97" s="74">
        <f t="shared" si="482"/>
        <v>20</v>
      </c>
      <c r="W97" s="81">
        <f t="shared" si="522"/>
        <v>21</v>
      </c>
      <c r="X97" s="74">
        <f t="shared" si="483"/>
        <v>45</v>
      </c>
      <c r="Y97" s="81">
        <f t="shared" si="523"/>
        <v>41.285714285714285</v>
      </c>
      <c r="Z97" s="74">
        <f t="shared" si="484"/>
        <v>24</v>
      </c>
      <c r="AA97" s="81">
        <f t="shared" si="524"/>
        <v>23.857142857142858</v>
      </c>
      <c r="AB97" s="83">
        <f t="shared" si="467"/>
        <v>0.54822335025380708</v>
      </c>
      <c r="AC97" s="83">
        <f t="shared" si="468"/>
        <v>0.10152284263959391</v>
      </c>
      <c r="AD97" s="83">
        <f t="shared" si="469"/>
        <v>0.22842639593908629</v>
      </c>
      <c r="AE97" s="84">
        <f t="shared" si="470"/>
        <v>0.12182741116751269</v>
      </c>
      <c r="AF97" s="83">
        <f t="shared" si="653"/>
        <v>0.58112837166441556</v>
      </c>
      <c r="AG97" s="83">
        <f t="shared" si="653"/>
        <v>0.1023828526808762</v>
      </c>
      <c r="AH97" s="83">
        <f t="shared" si="653"/>
        <v>0.20063952401653726</v>
      </c>
      <c r="AI97" s="84">
        <f t="shared" si="653"/>
        <v>0.11584925163817099</v>
      </c>
      <c r="AJ97" s="74">
        <v>0</v>
      </c>
      <c r="AK97" s="81">
        <f t="shared" si="524"/>
        <v>0</v>
      </c>
      <c r="AL97" s="74">
        <v>0</v>
      </c>
      <c r="AM97" s="81">
        <f t="shared" si="525"/>
        <v>0</v>
      </c>
      <c r="AN97" s="74">
        <v>0</v>
      </c>
      <c r="AO97" s="81">
        <f t="shared" si="526"/>
        <v>0</v>
      </c>
      <c r="AP97" s="74">
        <v>0</v>
      </c>
      <c r="AQ97" s="81">
        <f t="shared" si="527"/>
        <v>0</v>
      </c>
      <c r="AR97" s="74">
        <v>108</v>
      </c>
      <c r="AS97" s="81">
        <f t="shared" si="528"/>
        <v>119.71428571428571</v>
      </c>
      <c r="AT97" s="74">
        <v>20</v>
      </c>
      <c r="AU97" s="81">
        <f t="shared" si="529"/>
        <v>21</v>
      </c>
      <c r="AV97" s="74">
        <v>45</v>
      </c>
      <c r="AW97" s="81">
        <f t="shared" si="530"/>
        <v>41.285714285714285</v>
      </c>
      <c r="AX97" s="74">
        <v>24</v>
      </c>
      <c r="AY97" s="81">
        <f t="shared" si="531"/>
        <v>23.857142857142858</v>
      </c>
    </row>
    <row r="98" spans="1:51" x14ac:dyDescent="0.25">
      <c r="A98" s="85">
        <f t="shared" si="485"/>
        <v>45807</v>
      </c>
      <c r="B98" s="74">
        <f t="shared" si="471"/>
        <v>988</v>
      </c>
      <c r="C98" s="81">
        <f t="shared" si="500"/>
        <v>941.75</v>
      </c>
      <c r="D98" s="74">
        <v>203.44109589600012</v>
      </c>
      <c r="E98" s="81">
        <f t="shared" si="500"/>
        <v>200.94794521100008</v>
      </c>
      <c r="F98" s="74">
        <f t="shared" si="472"/>
        <v>988</v>
      </c>
      <c r="G98" s="81">
        <f t="shared" ref="G98" si="689">AVERAGE(F95:F98)</f>
        <v>941.75</v>
      </c>
      <c r="H98" s="74">
        <f t="shared" si="474"/>
        <v>988</v>
      </c>
      <c r="I98" s="81">
        <f t="shared" ref="I98" si="690">AVERAGE(H95:H98)</f>
        <v>941.75</v>
      </c>
      <c r="J98" s="74">
        <v>204</v>
      </c>
      <c r="K98" s="81">
        <f t="shared" ref="K98" si="691">AVERAGE(J95:J98)</f>
        <v>201.5</v>
      </c>
      <c r="L98" s="74">
        <v>784</v>
      </c>
      <c r="M98" s="81">
        <f t="shared" ref="M98" si="692">AVERAGE(L95:L98)</f>
        <v>740.25</v>
      </c>
      <c r="N98" s="74">
        <v>0</v>
      </c>
      <c r="O98" s="81">
        <f t="shared" ref="O98" si="693">AVERAGE(N95:N98)</f>
        <v>0</v>
      </c>
      <c r="P98" s="74">
        <v>0</v>
      </c>
      <c r="Q98" s="81">
        <f t="shared" ref="Q98" si="694">AVERAGE(P95:P98)</f>
        <v>0</v>
      </c>
      <c r="R98" s="74">
        <v>0</v>
      </c>
      <c r="S98" s="81">
        <f t="shared" ref="S98" si="695">AVERAGE(R95:R98)</f>
        <v>0</v>
      </c>
      <c r="T98" s="74">
        <f t="shared" si="481"/>
        <v>110</v>
      </c>
      <c r="U98" s="81">
        <f t="shared" si="539"/>
        <v>121</v>
      </c>
      <c r="V98" s="74">
        <f t="shared" si="482"/>
        <v>23</v>
      </c>
      <c r="W98" s="81">
        <f t="shared" si="522"/>
        <v>21.714285714285715</v>
      </c>
      <c r="X98" s="74">
        <f t="shared" si="483"/>
        <v>39</v>
      </c>
      <c r="Y98" s="81">
        <f t="shared" si="523"/>
        <v>41</v>
      </c>
      <c r="Z98" s="74">
        <f t="shared" si="484"/>
        <v>32</v>
      </c>
      <c r="AA98" s="81">
        <f t="shared" si="524"/>
        <v>25.285714285714285</v>
      </c>
      <c r="AB98" s="83">
        <f t="shared" si="467"/>
        <v>0.53921568627450978</v>
      </c>
      <c r="AC98" s="83">
        <f t="shared" si="468"/>
        <v>0.11274509803921569</v>
      </c>
      <c r="AD98" s="83">
        <f t="shared" si="469"/>
        <v>0.19117647058823528</v>
      </c>
      <c r="AE98" s="84">
        <f t="shared" si="470"/>
        <v>0.15686274509803921</v>
      </c>
      <c r="AF98" s="83">
        <f t="shared" si="653"/>
        <v>0.57888131899719475</v>
      </c>
      <c r="AG98" s="83">
        <f t="shared" si="653"/>
        <v>0.10436056684346431</v>
      </c>
      <c r="AH98" s="83">
        <f t="shared" si="653"/>
        <v>0.19576834477561014</v>
      </c>
      <c r="AI98" s="84">
        <f t="shared" si="653"/>
        <v>0.12098976938373077</v>
      </c>
      <c r="AJ98" s="74">
        <v>0</v>
      </c>
      <c r="AK98" s="81">
        <f t="shared" si="524"/>
        <v>0</v>
      </c>
      <c r="AL98" s="74">
        <v>0</v>
      </c>
      <c r="AM98" s="81">
        <f t="shared" si="525"/>
        <v>0</v>
      </c>
      <c r="AN98" s="74">
        <v>0</v>
      </c>
      <c r="AO98" s="81">
        <f t="shared" si="526"/>
        <v>0</v>
      </c>
      <c r="AP98" s="74">
        <v>0</v>
      </c>
      <c r="AQ98" s="81">
        <f t="shared" si="527"/>
        <v>0</v>
      </c>
      <c r="AR98" s="74">
        <v>110</v>
      </c>
      <c r="AS98" s="81">
        <f t="shared" si="528"/>
        <v>121</v>
      </c>
      <c r="AT98" s="74">
        <v>23</v>
      </c>
      <c r="AU98" s="81">
        <f t="shared" si="529"/>
        <v>21.714285714285715</v>
      </c>
      <c r="AV98" s="74">
        <v>39</v>
      </c>
      <c r="AW98" s="81">
        <f t="shared" si="530"/>
        <v>41</v>
      </c>
      <c r="AX98" s="74">
        <v>32</v>
      </c>
      <c r="AY98" s="81">
        <f t="shared" si="531"/>
        <v>25.285714285714285</v>
      </c>
    </row>
    <row r="99" spans="1:51" x14ac:dyDescent="0.25">
      <c r="A99" s="85">
        <f t="shared" si="485"/>
        <v>45814</v>
      </c>
      <c r="B99" s="74">
        <f t="shared" si="471"/>
        <v>985</v>
      </c>
      <c r="C99" s="81">
        <f t="shared" si="500"/>
        <v>952.25</v>
      </c>
      <c r="D99" s="74">
        <v>203.44109589600004</v>
      </c>
      <c r="E99" s="81">
        <f t="shared" si="500"/>
        <v>201.19726027950009</v>
      </c>
      <c r="F99" s="74">
        <f t="shared" si="472"/>
        <v>985</v>
      </c>
      <c r="G99" s="81">
        <f t="shared" ref="G99" si="696">AVERAGE(F96:F99)</f>
        <v>952.25</v>
      </c>
      <c r="H99" s="74">
        <f t="shared" si="474"/>
        <v>985</v>
      </c>
      <c r="I99" s="81">
        <f t="shared" ref="I99" si="697">AVERAGE(H96:H99)</f>
        <v>952.25</v>
      </c>
      <c r="J99" s="74">
        <v>204</v>
      </c>
      <c r="K99" s="81">
        <f t="shared" ref="K99" si="698">AVERAGE(J96:J99)</f>
        <v>201.75</v>
      </c>
      <c r="L99" s="74">
        <v>781</v>
      </c>
      <c r="M99" s="81">
        <f t="shared" ref="M99" si="699">AVERAGE(L96:L99)</f>
        <v>750.5</v>
      </c>
      <c r="N99" s="74">
        <v>0</v>
      </c>
      <c r="O99" s="81">
        <f t="shared" ref="O99" si="700">AVERAGE(N96:N99)</f>
        <v>0</v>
      </c>
      <c r="P99" s="74">
        <v>0</v>
      </c>
      <c r="Q99" s="81">
        <f t="shared" ref="Q99" si="701">AVERAGE(P96:P99)</f>
        <v>0</v>
      </c>
      <c r="R99" s="74">
        <v>0</v>
      </c>
      <c r="S99" s="81">
        <f t="shared" ref="S99" si="702">AVERAGE(R96:R99)</f>
        <v>0</v>
      </c>
      <c r="T99" s="74">
        <f t="shared" si="481"/>
        <v>109</v>
      </c>
      <c r="U99" s="81">
        <f t="shared" si="539"/>
        <v>118</v>
      </c>
      <c r="V99" s="74">
        <f t="shared" si="482"/>
        <v>23</v>
      </c>
      <c r="W99" s="81">
        <f t="shared" si="522"/>
        <v>22.142857142857142</v>
      </c>
      <c r="X99" s="74">
        <f t="shared" si="483"/>
        <v>50</v>
      </c>
      <c r="Y99" s="81">
        <f t="shared" si="523"/>
        <v>43.714285714285715</v>
      </c>
      <c r="Z99" s="74">
        <f t="shared" si="484"/>
        <v>22</v>
      </c>
      <c r="AA99" s="81">
        <f t="shared" si="524"/>
        <v>25.714285714285715</v>
      </c>
      <c r="AB99" s="83">
        <f t="shared" si="467"/>
        <v>0.53431372549019607</v>
      </c>
      <c r="AC99" s="83">
        <f t="shared" si="468"/>
        <v>0.11274509803921569</v>
      </c>
      <c r="AD99" s="83">
        <f t="shared" si="469"/>
        <v>0.24509803921568626</v>
      </c>
      <c r="AE99" s="84">
        <f t="shared" si="470"/>
        <v>0.10784313725490197</v>
      </c>
      <c r="AF99" s="83">
        <f t="shared" si="653"/>
        <v>0.56235470835293699</v>
      </c>
      <c r="AG99" s="83">
        <f t="shared" si="653"/>
        <v>0.10618129513478085</v>
      </c>
      <c r="AH99" s="83">
        <f t="shared" si="653"/>
        <v>0.20863949323499389</v>
      </c>
      <c r="AI99" s="84">
        <f t="shared" si="653"/>
        <v>0.12282450327728818</v>
      </c>
      <c r="AJ99" s="74">
        <v>0</v>
      </c>
      <c r="AK99" s="81">
        <f t="shared" si="524"/>
        <v>0</v>
      </c>
      <c r="AL99" s="74">
        <v>0</v>
      </c>
      <c r="AM99" s="81">
        <f t="shared" si="525"/>
        <v>0</v>
      </c>
      <c r="AN99" s="74">
        <v>0</v>
      </c>
      <c r="AO99" s="81">
        <f t="shared" si="526"/>
        <v>0</v>
      </c>
      <c r="AP99" s="74">
        <v>0</v>
      </c>
      <c r="AQ99" s="81">
        <f t="shared" si="527"/>
        <v>0</v>
      </c>
      <c r="AR99" s="74">
        <v>109</v>
      </c>
      <c r="AS99" s="81">
        <f t="shared" si="528"/>
        <v>118</v>
      </c>
      <c r="AT99" s="74">
        <v>23</v>
      </c>
      <c r="AU99" s="81">
        <f t="shared" si="529"/>
        <v>22.142857142857142</v>
      </c>
      <c r="AV99" s="74">
        <v>50</v>
      </c>
      <c r="AW99" s="81">
        <f t="shared" si="530"/>
        <v>43.714285714285715</v>
      </c>
      <c r="AX99" s="74">
        <v>22</v>
      </c>
      <c r="AY99" s="81">
        <f t="shared" si="531"/>
        <v>25.714285714285715</v>
      </c>
    </row>
    <row r="100" spans="1:51" x14ac:dyDescent="0.25">
      <c r="A100" s="85">
        <f t="shared" si="485"/>
        <v>45821</v>
      </c>
      <c r="B100" s="74">
        <f t="shared" si="471"/>
        <v>875</v>
      </c>
      <c r="C100" s="81">
        <f t="shared" si="500"/>
        <v>933.75</v>
      </c>
      <c r="D100" s="74">
        <v>171.52876712800003</v>
      </c>
      <c r="E100" s="81">
        <f t="shared" si="500"/>
        <v>193.71780822450006</v>
      </c>
      <c r="F100" s="74">
        <f t="shared" si="472"/>
        <v>875</v>
      </c>
      <c r="G100" s="81">
        <f t="shared" ref="G100" si="703">AVERAGE(F97:F100)</f>
        <v>933.75</v>
      </c>
      <c r="H100" s="74">
        <f t="shared" si="474"/>
        <v>875</v>
      </c>
      <c r="I100" s="81">
        <f t="shared" ref="I100" si="704">AVERAGE(H97:H100)</f>
        <v>933.75</v>
      </c>
      <c r="J100" s="74">
        <v>172</v>
      </c>
      <c r="K100" s="81">
        <f t="shared" ref="K100" si="705">AVERAGE(J97:J100)</f>
        <v>194.25</v>
      </c>
      <c r="L100" s="74">
        <v>703</v>
      </c>
      <c r="M100" s="81">
        <f t="shared" ref="M100" si="706">AVERAGE(L97:L100)</f>
        <v>739.5</v>
      </c>
      <c r="N100" s="74">
        <v>0</v>
      </c>
      <c r="O100" s="81">
        <f t="shared" ref="O100" si="707">AVERAGE(N97:N100)</f>
        <v>0</v>
      </c>
      <c r="P100" s="74">
        <v>0</v>
      </c>
      <c r="Q100" s="81">
        <f t="shared" ref="Q100" si="708">AVERAGE(P97:P100)</f>
        <v>0</v>
      </c>
      <c r="R100" s="74">
        <v>0</v>
      </c>
      <c r="S100" s="81">
        <f t="shared" ref="S100" si="709">AVERAGE(R97:R100)</f>
        <v>0</v>
      </c>
      <c r="T100" s="74">
        <f t="shared" si="481"/>
        <v>94</v>
      </c>
      <c r="U100" s="81">
        <f t="shared" si="539"/>
        <v>113.85714285714286</v>
      </c>
      <c r="V100" s="74">
        <f t="shared" si="482"/>
        <v>17</v>
      </c>
      <c r="W100" s="81">
        <f t="shared" si="522"/>
        <v>22</v>
      </c>
      <c r="X100" s="74">
        <f t="shared" si="483"/>
        <v>35</v>
      </c>
      <c r="Y100" s="81">
        <f t="shared" si="523"/>
        <v>43.142857142857146</v>
      </c>
      <c r="Z100" s="74">
        <f t="shared" si="484"/>
        <v>26</v>
      </c>
      <c r="AA100" s="81">
        <f t="shared" si="524"/>
        <v>26</v>
      </c>
      <c r="AB100" s="83">
        <f t="shared" si="467"/>
        <v>0.54651162790697672</v>
      </c>
      <c r="AC100" s="83">
        <f t="shared" si="468"/>
        <v>9.8837209302325577E-2</v>
      </c>
      <c r="AD100" s="83">
        <f t="shared" si="469"/>
        <v>0.20348837209302326</v>
      </c>
      <c r="AE100" s="84">
        <f t="shared" si="470"/>
        <v>0.15116279069767441</v>
      </c>
      <c r="AF100" s="83">
        <f t="shared" si="653"/>
        <v>0.55429334427242105</v>
      </c>
      <c r="AG100" s="83">
        <f t="shared" si="653"/>
        <v>0.10769585444687778</v>
      </c>
      <c r="AH100" s="83">
        <f t="shared" si="653"/>
        <v>0.21039833630710644</v>
      </c>
      <c r="AI100" s="84">
        <f t="shared" si="653"/>
        <v>0.1276124649735946</v>
      </c>
      <c r="AJ100" s="74">
        <v>0</v>
      </c>
      <c r="AK100" s="81">
        <f t="shared" si="524"/>
        <v>0</v>
      </c>
      <c r="AL100" s="74">
        <v>0</v>
      </c>
      <c r="AM100" s="81">
        <f t="shared" si="525"/>
        <v>0</v>
      </c>
      <c r="AN100" s="74">
        <v>0</v>
      </c>
      <c r="AO100" s="81">
        <f t="shared" si="526"/>
        <v>0</v>
      </c>
      <c r="AP100" s="74">
        <v>0</v>
      </c>
      <c r="AQ100" s="81">
        <f t="shared" si="527"/>
        <v>0</v>
      </c>
      <c r="AR100" s="74">
        <v>94</v>
      </c>
      <c r="AS100" s="81">
        <f t="shared" si="528"/>
        <v>113.85714285714286</v>
      </c>
      <c r="AT100" s="74">
        <v>17</v>
      </c>
      <c r="AU100" s="81">
        <f t="shared" si="529"/>
        <v>22</v>
      </c>
      <c r="AV100" s="74">
        <v>35</v>
      </c>
      <c r="AW100" s="81">
        <f t="shared" si="530"/>
        <v>43.142857142857146</v>
      </c>
      <c r="AX100" s="74">
        <v>26</v>
      </c>
      <c r="AY100" s="81">
        <f t="shared" si="531"/>
        <v>26</v>
      </c>
    </row>
    <row r="101" spans="1:51" x14ac:dyDescent="0.25">
      <c r="A101" s="85">
        <f t="shared" si="485"/>
        <v>45828</v>
      </c>
      <c r="B101" s="74">
        <f t="shared" si="471"/>
        <v>811</v>
      </c>
      <c r="C101" s="81">
        <f t="shared" si="500"/>
        <v>914.75</v>
      </c>
      <c r="D101" s="74">
        <v>184.49315069000008</v>
      </c>
      <c r="E101" s="81">
        <f t="shared" si="500"/>
        <v>190.72602740250008</v>
      </c>
      <c r="F101" s="74">
        <f t="shared" si="472"/>
        <v>811</v>
      </c>
      <c r="G101" s="81">
        <f t="shared" ref="G101" si="710">AVERAGE(F98:F101)</f>
        <v>914.75</v>
      </c>
      <c r="H101" s="74">
        <f t="shared" si="474"/>
        <v>811</v>
      </c>
      <c r="I101" s="81">
        <f t="shared" ref="I101" si="711">AVERAGE(H98:H101)</f>
        <v>914.75</v>
      </c>
      <c r="J101" s="74">
        <v>185</v>
      </c>
      <c r="K101" s="81">
        <f t="shared" ref="K101" si="712">AVERAGE(J98:J101)</f>
        <v>191.25</v>
      </c>
      <c r="L101" s="74">
        <v>626</v>
      </c>
      <c r="M101" s="81">
        <f t="shared" ref="M101" si="713">AVERAGE(L98:L101)</f>
        <v>723.5</v>
      </c>
      <c r="N101" s="74">
        <v>0</v>
      </c>
      <c r="O101" s="81">
        <f t="shared" ref="O101" si="714">AVERAGE(N98:N101)</f>
        <v>0</v>
      </c>
      <c r="P101" s="74">
        <v>0</v>
      </c>
      <c r="Q101" s="81">
        <f t="shared" ref="Q101" si="715">AVERAGE(P98:P101)</f>
        <v>0</v>
      </c>
      <c r="R101" s="74">
        <v>0</v>
      </c>
      <c r="S101" s="81">
        <f t="shared" ref="S101" si="716">AVERAGE(R98:R101)</f>
        <v>0</v>
      </c>
      <c r="T101" s="74">
        <f t="shared" si="481"/>
        <v>102</v>
      </c>
      <c r="U101" s="81">
        <f t="shared" si="539"/>
        <v>107.42857142857143</v>
      </c>
      <c r="V101" s="74">
        <f t="shared" si="482"/>
        <v>20</v>
      </c>
      <c r="W101" s="81">
        <f t="shared" si="522"/>
        <v>21.571428571428573</v>
      </c>
      <c r="X101" s="74">
        <f t="shared" si="483"/>
        <v>39</v>
      </c>
      <c r="Y101" s="81">
        <f t="shared" si="523"/>
        <v>41.142857142857146</v>
      </c>
      <c r="Z101" s="74">
        <f t="shared" si="484"/>
        <v>24</v>
      </c>
      <c r="AA101" s="81">
        <f t="shared" si="524"/>
        <v>25.142857142857142</v>
      </c>
      <c r="AB101" s="83">
        <f t="shared" ref="AB101:AB109" si="717">T101/SUM($T101,$V101,$X101,$Z101)</f>
        <v>0.55135135135135138</v>
      </c>
      <c r="AC101" s="83">
        <f t="shared" ref="AC101:AC109" si="718">V101/SUM($T101,$V101,$X101,$Z101)</f>
        <v>0.10810810810810811</v>
      </c>
      <c r="AD101" s="83">
        <f t="shared" ref="AD101:AD109" si="719">X101/SUM($T101,$V101,$X101,$Z101)</f>
        <v>0.21081081081081082</v>
      </c>
      <c r="AE101" s="84">
        <f t="shared" ref="AE101:AE109" si="720">Z101/SUM($T101,$V101,$X101,$Z101)</f>
        <v>0.12972972972972974</v>
      </c>
      <c r="AF101" s="83">
        <f t="shared" si="653"/>
        <v>0.55005387046772991</v>
      </c>
      <c r="AG101" s="83">
        <f t="shared" si="653"/>
        <v>0.11015285690388021</v>
      </c>
      <c r="AH101" s="83">
        <f t="shared" si="653"/>
        <v>0.21058757127895009</v>
      </c>
      <c r="AI101" s="84">
        <f t="shared" si="653"/>
        <v>0.12920570134943968</v>
      </c>
      <c r="AJ101" s="74">
        <v>0</v>
      </c>
      <c r="AK101" s="81">
        <f t="shared" si="524"/>
        <v>0</v>
      </c>
      <c r="AL101" s="74">
        <v>0</v>
      </c>
      <c r="AM101" s="81">
        <f t="shared" si="525"/>
        <v>0</v>
      </c>
      <c r="AN101" s="74">
        <v>0</v>
      </c>
      <c r="AO101" s="81">
        <f t="shared" si="526"/>
        <v>0</v>
      </c>
      <c r="AP101" s="74">
        <v>0</v>
      </c>
      <c r="AQ101" s="81">
        <f t="shared" si="527"/>
        <v>0</v>
      </c>
      <c r="AR101" s="74">
        <v>102</v>
      </c>
      <c r="AS101" s="81">
        <f t="shared" si="528"/>
        <v>107.42857142857143</v>
      </c>
      <c r="AT101" s="74">
        <v>20</v>
      </c>
      <c r="AU101" s="81">
        <f t="shared" si="529"/>
        <v>21.571428571428573</v>
      </c>
      <c r="AV101" s="74">
        <v>39</v>
      </c>
      <c r="AW101" s="81">
        <f t="shared" si="530"/>
        <v>41.142857142857146</v>
      </c>
      <c r="AX101" s="74">
        <v>24</v>
      </c>
      <c r="AY101" s="81">
        <f t="shared" si="531"/>
        <v>25.142857142857142</v>
      </c>
    </row>
    <row r="102" spans="1:51" x14ac:dyDescent="0.25">
      <c r="A102" s="85">
        <f t="shared" si="485"/>
        <v>45835</v>
      </c>
      <c r="B102" s="74">
        <f t="shared" si="471"/>
        <v>849</v>
      </c>
      <c r="C102" s="81">
        <f t="shared" si="500"/>
        <v>880</v>
      </c>
      <c r="D102" s="74">
        <v>171.528767128</v>
      </c>
      <c r="E102" s="81">
        <f t="shared" si="500"/>
        <v>182.74794521050003</v>
      </c>
      <c r="F102" s="74">
        <f t="shared" si="472"/>
        <v>849</v>
      </c>
      <c r="G102" s="81">
        <f t="shared" ref="G102" si="721">AVERAGE(F99:F102)</f>
        <v>880</v>
      </c>
      <c r="H102" s="74">
        <f t="shared" si="474"/>
        <v>849</v>
      </c>
      <c r="I102" s="81">
        <f t="shared" ref="I102" si="722">AVERAGE(H99:H102)</f>
        <v>880</v>
      </c>
      <c r="J102" s="74">
        <v>172</v>
      </c>
      <c r="K102" s="81">
        <f t="shared" ref="K102" si="723">AVERAGE(J99:J102)</f>
        <v>183.25</v>
      </c>
      <c r="L102" s="74">
        <v>677</v>
      </c>
      <c r="M102" s="81">
        <f t="shared" ref="M102" si="724">AVERAGE(L99:L102)</f>
        <v>696.75</v>
      </c>
      <c r="N102" s="74">
        <v>0</v>
      </c>
      <c r="O102" s="81">
        <f t="shared" ref="O102" si="725">AVERAGE(N99:N102)</f>
        <v>0</v>
      </c>
      <c r="P102" s="74">
        <v>0</v>
      </c>
      <c r="Q102" s="81">
        <f t="shared" ref="Q102" si="726">AVERAGE(P99:P102)</f>
        <v>0</v>
      </c>
      <c r="R102" s="74">
        <v>0</v>
      </c>
      <c r="S102" s="81">
        <f t="shared" ref="S102" si="727">AVERAGE(R99:R102)</f>
        <v>0</v>
      </c>
      <c r="T102" s="74">
        <f t="shared" si="481"/>
        <v>100</v>
      </c>
      <c r="U102" s="81">
        <f t="shared" si="539"/>
        <v>104.71428571428571</v>
      </c>
      <c r="V102" s="74">
        <f t="shared" si="482"/>
        <v>17</v>
      </c>
      <c r="W102" s="81">
        <f t="shared" si="522"/>
        <v>21</v>
      </c>
      <c r="X102" s="74">
        <f t="shared" si="483"/>
        <v>30</v>
      </c>
      <c r="Y102" s="81">
        <f t="shared" si="523"/>
        <v>40</v>
      </c>
      <c r="Z102" s="74">
        <f t="shared" si="484"/>
        <v>25</v>
      </c>
      <c r="AA102" s="81">
        <f t="shared" si="524"/>
        <v>25.142857142857142</v>
      </c>
      <c r="AB102" s="83">
        <f t="shared" si="717"/>
        <v>0.58139534883720934</v>
      </c>
      <c r="AC102" s="83">
        <f t="shared" si="718"/>
        <v>9.8837209302325577E-2</v>
      </c>
      <c r="AD102" s="83">
        <f t="shared" si="719"/>
        <v>0.1744186046511628</v>
      </c>
      <c r="AE102" s="84">
        <f t="shared" si="720"/>
        <v>0.14534883720930233</v>
      </c>
      <c r="AF102" s="83">
        <f t="shared" si="653"/>
        <v>0.5493665065085136</v>
      </c>
      <c r="AG102" s="83">
        <f t="shared" si="653"/>
        <v>0.10949413310963117</v>
      </c>
      <c r="AH102" s="83">
        <f t="shared" si="653"/>
        <v>0.20876278362531611</v>
      </c>
      <c r="AI102" s="84">
        <f t="shared" si="653"/>
        <v>0.13237657675653919</v>
      </c>
      <c r="AJ102" s="74">
        <v>0</v>
      </c>
      <c r="AK102" s="81">
        <f t="shared" si="524"/>
        <v>0</v>
      </c>
      <c r="AL102" s="74">
        <v>0</v>
      </c>
      <c r="AM102" s="81">
        <f t="shared" si="525"/>
        <v>0</v>
      </c>
      <c r="AN102" s="74">
        <v>0</v>
      </c>
      <c r="AO102" s="81">
        <f t="shared" si="526"/>
        <v>0</v>
      </c>
      <c r="AP102" s="74">
        <v>0</v>
      </c>
      <c r="AQ102" s="81">
        <f t="shared" si="527"/>
        <v>0</v>
      </c>
      <c r="AR102" s="74">
        <v>100</v>
      </c>
      <c r="AS102" s="81">
        <f t="shared" si="528"/>
        <v>104.71428571428571</v>
      </c>
      <c r="AT102" s="74">
        <v>17</v>
      </c>
      <c r="AU102" s="81">
        <f t="shared" si="529"/>
        <v>21</v>
      </c>
      <c r="AV102" s="74">
        <v>30</v>
      </c>
      <c r="AW102" s="81">
        <f t="shared" si="530"/>
        <v>40</v>
      </c>
      <c r="AX102" s="74">
        <v>25</v>
      </c>
      <c r="AY102" s="81">
        <f t="shared" si="531"/>
        <v>25.142857142857142</v>
      </c>
    </row>
    <row r="103" spans="1:51" x14ac:dyDescent="0.25">
      <c r="A103" s="85">
        <f t="shared" si="485"/>
        <v>45842</v>
      </c>
      <c r="B103" s="74">
        <f t="shared" si="471"/>
        <v>987</v>
      </c>
      <c r="C103" s="81">
        <f t="shared" si="500"/>
        <v>880.5</v>
      </c>
      <c r="D103" s="74">
        <v>203.44109589600001</v>
      </c>
      <c r="E103" s="81">
        <f t="shared" si="500"/>
        <v>182.74794521050003</v>
      </c>
      <c r="F103" s="74">
        <f t="shared" si="472"/>
        <v>987</v>
      </c>
      <c r="G103" s="81">
        <f t="shared" ref="G103" si="728">AVERAGE(F100:F103)</f>
        <v>880.5</v>
      </c>
      <c r="H103" s="74">
        <f t="shared" si="474"/>
        <v>987</v>
      </c>
      <c r="I103" s="81">
        <f t="shared" ref="I103" si="729">AVERAGE(H100:H103)</f>
        <v>880.5</v>
      </c>
      <c r="J103" s="74">
        <v>204</v>
      </c>
      <c r="K103" s="81">
        <f t="shared" ref="K103" si="730">AVERAGE(J100:J103)</f>
        <v>183.25</v>
      </c>
      <c r="L103" s="74">
        <v>783</v>
      </c>
      <c r="M103" s="81">
        <f t="shared" ref="M103" si="731">AVERAGE(L100:L103)</f>
        <v>697.25</v>
      </c>
      <c r="N103" s="74">
        <v>0</v>
      </c>
      <c r="O103" s="81">
        <f t="shared" ref="O103" si="732">AVERAGE(N100:N103)</f>
        <v>0</v>
      </c>
      <c r="P103" s="74">
        <v>0</v>
      </c>
      <c r="Q103" s="81">
        <f t="shared" ref="Q103" si="733">AVERAGE(P100:P103)</f>
        <v>0</v>
      </c>
      <c r="R103" s="74">
        <v>0</v>
      </c>
      <c r="S103" s="81">
        <f t="shared" ref="S103" si="734">AVERAGE(R100:R103)</f>
        <v>0</v>
      </c>
      <c r="T103" s="74">
        <f t="shared" si="481"/>
        <v>120</v>
      </c>
      <c r="U103" s="81">
        <f t="shared" si="539"/>
        <v>106.14285714285714</v>
      </c>
      <c r="V103" s="74">
        <f t="shared" si="482"/>
        <v>15</v>
      </c>
      <c r="W103" s="81">
        <f t="shared" si="522"/>
        <v>19.285714285714285</v>
      </c>
      <c r="X103" s="74">
        <f t="shared" si="483"/>
        <v>43</v>
      </c>
      <c r="Y103" s="81">
        <f t="shared" si="523"/>
        <v>40.142857142857146</v>
      </c>
      <c r="Z103" s="74">
        <f t="shared" si="484"/>
        <v>26</v>
      </c>
      <c r="AA103" s="81">
        <f t="shared" si="524"/>
        <v>25.571428571428573</v>
      </c>
      <c r="AB103" s="83">
        <f t="shared" si="717"/>
        <v>0.58823529411764708</v>
      </c>
      <c r="AC103" s="83">
        <f t="shared" si="718"/>
        <v>7.3529411764705885E-2</v>
      </c>
      <c r="AD103" s="83">
        <f t="shared" si="719"/>
        <v>0.2107843137254902</v>
      </c>
      <c r="AE103" s="84">
        <f t="shared" si="720"/>
        <v>0.12745098039215685</v>
      </c>
      <c r="AF103" s="83">
        <f t="shared" si="653"/>
        <v>0.55560662631881397</v>
      </c>
      <c r="AG103" s="83">
        <f t="shared" si="653"/>
        <v>0.10090356817078434</v>
      </c>
      <c r="AH103" s="83">
        <f t="shared" si="653"/>
        <v>0.20917185814621359</v>
      </c>
      <c r="AI103" s="84">
        <f t="shared" si="653"/>
        <v>0.13431794736418817</v>
      </c>
      <c r="AJ103" s="74">
        <v>0</v>
      </c>
      <c r="AK103" s="81">
        <f t="shared" si="524"/>
        <v>0</v>
      </c>
      <c r="AL103" s="74">
        <v>0</v>
      </c>
      <c r="AM103" s="81">
        <f t="shared" si="525"/>
        <v>0</v>
      </c>
      <c r="AN103" s="74">
        <v>0</v>
      </c>
      <c r="AO103" s="81">
        <f t="shared" si="526"/>
        <v>0</v>
      </c>
      <c r="AP103" s="74">
        <v>0</v>
      </c>
      <c r="AQ103" s="81">
        <f t="shared" si="527"/>
        <v>0</v>
      </c>
      <c r="AR103" s="74">
        <v>120</v>
      </c>
      <c r="AS103" s="81">
        <f t="shared" si="528"/>
        <v>106.14285714285714</v>
      </c>
      <c r="AT103" s="74">
        <v>15</v>
      </c>
      <c r="AU103" s="81">
        <f t="shared" si="529"/>
        <v>19.285714285714285</v>
      </c>
      <c r="AV103" s="74">
        <v>43</v>
      </c>
      <c r="AW103" s="81">
        <f t="shared" si="530"/>
        <v>40.142857142857146</v>
      </c>
      <c r="AX103" s="74">
        <v>26</v>
      </c>
      <c r="AY103" s="81">
        <f t="shared" si="531"/>
        <v>25.571428571428573</v>
      </c>
    </row>
    <row r="104" spans="1:51" x14ac:dyDescent="0.25">
      <c r="A104" s="85">
        <f t="shared" si="485"/>
        <v>45849</v>
      </c>
      <c r="B104" s="74">
        <f t="shared" si="471"/>
        <v>872</v>
      </c>
      <c r="C104" s="81">
        <f t="shared" si="500"/>
        <v>879.75</v>
      </c>
      <c r="D104" s="74">
        <v>190.47671233400004</v>
      </c>
      <c r="E104" s="81">
        <f t="shared" si="500"/>
        <v>187.48493151200003</v>
      </c>
      <c r="F104" s="74">
        <f t="shared" si="472"/>
        <v>872</v>
      </c>
      <c r="G104" s="81">
        <f t="shared" ref="G104" si="735">AVERAGE(F101:F104)</f>
        <v>879.75</v>
      </c>
      <c r="H104" s="74">
        <f t="shared" si="474"/>
        <v>872</v>
      </c>
      <c r="I104" s="81">
        <f t="shared" ref="I104" si="736">AVERAGE(H101:H104)</f>
        <v>879.75</v>
      </c>
      <c r="J104" s="74">
        <v>191</v>
      </c>
      <c r="K104" s="81">
        <f t="shared" ref="K104" si="737">AVERAGE(J101:J104)</f>
        <v>188</v>
      </c>
      <c r="L104" s="74">
        <v>681</v>
      </c>
      <c r="M104" s="81">
        <f t="shared" ref="M104" si="738">AVERAGE(L101:L104)</f>
        <v>691.75</v>
      </c>
      <c r="N104" s="74">
        <v>0</v>
      </c>
      <c r="O104" s="81">
        <f t="shared" ref="O104" si="739">AVERAGE(N101:N104)</f>
        <v>0</v>
      </c>
      <c r="P104" s="74">
        <v>0</v>
      </c>
      <c r="Q104" s="81">
        <f t="shared" ref="Q104" si="740">AVERAGE(P101:P104)</f>
        <v>0</v>
      </c>
      <c r="R104" s="74">
        <v>0</v>
      </c>
      <c r="S104" s="81">
        <f t="shared" ref="S104" si="741">AVERAGE(R101:R104)</f>
        <v>0</v>
      </c>
      <c r="T104" s="74">
        <f t="shared" si="481"/>
        <v>104</v>
      </c>
      <c r="U104" s="81">
        <f t="shared" si="539"/>
        <v>105.57142857142857</v>
      </c>
      <c r="V104" s="74">
        <f t="shared" si="482"/>
        <v>24</v>
      </c>
      <c r="W104" s="81">
        <f t="shared" si="522"/>
        <v>19.857142857142858</v>
      </c>
      <c r="X104" s="74">
        <f t="shared" si="483"/>
        <v>44</v>
      </c>
      <c r="Y104" s="81">
        <f t="shared" si="523"/>
        <v>40</v>
      </c>
      <c r="Z104" s="74">
        <f t="shared" si="484"/>
        <v>19</v>
      </c>
      <c r="AA104" s="81">
        <f t="shared" si="524"/>
        <v>24.857142857142858</v>
      </c>
      <c r="AB104" s="83">
        <f t="shared" si="717"/>
        <v>0.54450261780104714</v>
      </c>
      <c r="AC104" s="83">
        <f t="shared" si="718"/>
        <v>0.1256544502617801</v>
      </c>
      <c r="AD104" s="83">
        <f t="shared" si="719"/>
        <v>0.23036649214659685</v>
      </c>
      <c r="AE104" s="84">
        <f t="shared" si="720"/>
        <v>9.947643979057591E-2</v>
      </c>
      <c r="AF104" s="83">
        <f t="shared" si="653"/>
        <v>0.55507509311127678</v>
      </c>
      <c r="AG104" s="83">
        <f t="shared" si="653"/>
        <v>0.10435094068823951</v>
      </c>
      <c r="AH104" s="83">
        <f t="shared" si="653"/>
        <v>0.2094490147472865</v>
      </c>
      <c r="AI104" s="84">
        <f t="shared" si="653"/>
        <v>0.13112495145319719</v>
      </c>
      <c r="AJ104" s="74">
        <v>0</v>
      </c>
      <c r="AK104" s="81">
        <f t="shared" si="524"/>
        <v>0</v>
      </c>
      <c r="AL104" s="74">
        <v>0</v>
      </c>
      <c r="AM104" s="81">
        <f t="shared" si="525"/>
        <v>0</v>
      </c>
      <c r="AN104" s="74">
        <v>0</v>
      </c>
      <c r="AO104" s="81">
        <f t="shared" si="526"/>
        <v>0</v>
      </c>
      <c r="AP104" s="74">
        <v>0</v>
      </c>
      <c r="AQ104" s="81">
        <f t="shared" si="527"/>
        <v>0</v>
      </c>
      <c r="AR104" s="74">
        <v>104</v>
      </c>
      <c r="AS104" s="81">
        <f t="shared" si="528"/>
        <v>105.57142857142857</v>
      </c>
      <c r="AT104" s="74">
        <v>24</v>
      </c>
      <c r="AU104" s="81">
        <f t="shared" si="529"/>
        <v>19.857142857142858</v>
      </c>
      <c r="AV104" s="74">
        <v>44</v>
      </c>
      <c r="AW104" s="81">
        <f t="shared" si="530"/>
        <v>40</v>
      </c>
      <c r="AX104" s="74">
        <v>19</v>
      </c>
      <c r="AY104" s="81">
        <f t="shared" si="531"/>
        <v>24.857142857142858</v>
      </c>
    </row>
    <row r="105" spans="1:51" x14ac:dyDescent="0.25">
      <c r="A105" s="85">
        <f t="shared" si="485"/>
        <v>45856</v>
      </c>
      <c r="B105" s="74">
        <f t="shared" si="471"/>
        <v>741</v>
      </c>
      <c r="C105" s="81">
        <f t="shared" si="500"/>
        <v>862.25</v>
      </c>
      <c r="D105" s="74">
        <v>153.57808219599994</v>
      </c>
      <c r="E105" s="81">
        <f t="shared" si="500"/>
        <v>179.7561643885</v>
      </c>
      <c r="F105" s="74">
        <f t="shared" si="472"/>
        <v>741</v>
      </c>
      <c r="G105" s="81">
        <f t="shared" ref="G105" si="742">AVERAGE(F102:F105)</f>
        <v>862.25</v>
      </c>
      <c r="H105" s="74">
        <f t="shared" si="474"/>
        <v>741</v>
      </c>
      <c r="I105" s="81">
        <f t="shared" ref="I105" si="743">AVERAGE(H102:H105)</f>
        <v>862.25</v>
      </c>
      <c r="J105" s="74">
        <v>154</v>
      </c>
      <c r="K105" s="81">
        <f t="shared" ref="K105" si="744">AVERAGE(J102:J105)</f>
        <v>180.25</v>
      </c>
      <c r="L105" s="74">
        <v>587</v>
      </c>
      <c r="M105" s="81">
        <f t="shared" ref="M105" si="745">AVERAGE(L102:L105)</f>
        <v>682</v>
      </c>
      <c r="N105" s="74">
        <v>0</v>
      </c>
      <c r="O105" s="81">
        <f t="shared" ref="O105" si="746">AVERAGE(N102:N105)</f>
        <v>0</v>
      </c>
      <c r="P105" s="74">
        <v>0</v>
      </c>
      <c r="Q105" s="81">
        <f t="shared" ref="Q105" si="747">AVERAGE(P102:P105)</f>
        <v>0</v>
      </c>
      <c r="R105" s="74">
        <v>0</v>
      </c>
      <c r="S105" s="81">
        <f t="shared" ref="S105" si="748">AVERAGE(R102:R105)</f>
        <v>0</v>
      </c>
      <c r="T105" s="74">
        <f t="shared" si="481"/>
        <v>81</v>
      </c>
      <c r="U105" s="81">
        <f>AVERAGE(T99:T105)</f>
        <v>101.42857142857143</v>
      </c>
      <c r="V105" s="74">
        <f t="shared" si="482"/>
        <v>17</v>
      </c>
      <c r="W105" s="81">
        <f t="shared" si="522"/>
        <v>19</v>
      </c>
      <c r="X105" s="74">
        <f t="shared" si="483"/>
        <v>35</v>
      </c>
      <c r="Y105" s="81">
        <f t="shared" si="523"/>
        <v>39.428571428571431</v>
      </c>
      <c r="Z105" s="74">
        <f t="shared" si="484"/>
        <v>21</v>
      </c>
      <c r="AA105" s="81">
        <f t="shared" si="524"/>
        <v>23.285714285714285</v>
      </c>
      <c r="AB105" s="83">
        <f t="shared" si="717"/>
        <v>0.52597402597402598</v>
      </c>
      <c r="AC105" s="83">
        <f t="shared" si="718"/>
        <v>0.11038961038961038</v>
      </c>
      <c r="AD105" s="83">
        <f t="shared" si="719"/>
        <v>0.22727272727272727</v>
      </c>
      <c r="AE105" s="84">
        <f t="shared" si="720"/>
        <v>0.13636363636363635</v>
      </c>
      <c r="AF105" s="83">
        <f t="shared" si="653"/>
        <v>0.55318342735406489</v>
      </c>
      <c r="AG105" s="83">
        <f t="shared" si="653"/>
        <v>0.10401444245258162</v>
      </c>
      <c r="AH105" s="83">
        <f t="shared" si="653"/>
        <v>0.21460562284507106</v>
      </c>
      <c r="AI105" s="84">
        <f t="shared" si="653"/>
        <v>0.12819650734828253</v>
      </c>
      <c r="AJ105" s="74">
        <v>0</v>
      </c>
      <c r="AK105" s="81">
        <f t="shared" si="524"/>
        <v>0</v>
      </c>
      <c r="AL105" s="74">
        <v>0</v>
      </c>
      <c r="AM105" s="81">
        <f t="shared" si="525"/>
        <v>0</v>
      </c>
      <c r="AN105" s="74">
        <v>0</v>
      </c>
      <c r="AO105" s="81">
        <f t="shared" si="526"/>
        <v>0</v>
      </c>
      <c r="AP105" s="74">
        <v>0</v>
      </c>
      <c r="AQ105" s="81">
        <f t="shared" si="527"/>
        <v>0</v>
      </c>
      <c r="AR105" s="74">
        <v>81</v>
      </c>
      <c r="AS105" s="81">
        <f t="shared" si="528"/>
        <v>101.42857142857143</v>
      </c>
      <c r="AT105" s="74">
        <v>17</v>
      </c>
      <c r="AU105" s="81">
        <f t="shared" si="529"/>
        <v>19</v>
      </c>
      <c r="AV105" s="74">
        <v>35</v>
      </c>
      <c r="AW105" s="81">
        <f t="shared" si="530"/>
        <v>39.428571428571431</v>
      </c>
      <c r="AX105" s="74">
        <v>21</v>
      </c>
      <c r="AY105" s="81">
        <f t="shared" si="531"/>
        <v>23.285714285714285</v>
      </c>
    </row>
    <row r="106" spans="1:51" x14ac:dyDescent="0.25">
      <c r="A106" s="85">
        <f t="shared" si="485"/>
        <v>45863</v>
      </c>
      <c r="B106" s="74">
        <f t="shared" si="471"/>
        <v>729</v>
      </c>
      <c r="C106" s="81">
        <f t="shared" si="500"/>
        <v>832.25</v>
      </c>
      <c r="D106" s="74">
        <v>159.56164383999999</v>
      </c>
      <c r="E106" s="81">
        <f t="shared" si="500"/>
        <v>176.76438356649999</v>
      </c>
      <c r="F106" s="74">
        <f t="shared" si="472"/>
        <v>729</v>
      </c>
      <c r="G106" s="81">
        <f t="shared" ref="G106" si="749">AVERAGE(F103:F106)</f>
        <v>832.25</v>
      </c>
      <c r="H106" s="74">
        <f t="shared" si="474"/>
        <v>729</v>
      </c>
      <c r="I106" s="81">
        <f t="shared" ref="I106" si="750">AVERAGE(H103:H106)</f>
        <v>832.25</v>
      </c>
      <c r="J106" s="74">
        <v>160</v>
      </c>
      <c r="K106" s="81">
        <f t="shared" ref="K106" si="751">AVERAGE(J103:J106)</f>
        <v>177.25</v>
      </c>
      <c r="L106" s="74">
        <v>569</v>
      </c>
      <c r="M106" s="81">
        <f t="shared" ref="M106" si="752">AVERAGE(L103:L106)</f>
        <v>655</v>
      </c>
      <c r="N106" s="74">
        <v>0</v>
      </c>
      <c r="O106" s="81">
        <f t="shared" ref="O106" si="753">AVERAGE(N103:N106)</f>
        <v>0</v>
      </c>
      <c r="P106" s="74">
        <v>0</v>
      </c>
      <c r="Q106" s="81">
        <f t="shared" ref="Q106" si="754">AVERAGE(P103:P106)</f>
        <v>0</v>
      </c>
      <c r="R106" s="74">
        <v>0</v>
      </c>
      <c r="S106" s="81">
        <f t="shared" ref="S106" si="755">AVERAGE(R103:R106)</f>
        <v>0</v>
      </c>
      <c r="T106" s="74">
        <f t="shared" si="481"/>
        <v>92</v>
      </c>
      <c r="U106" s="86">
        <f>AVERAGE(T100:T106)</f>
        <v>99</v>
      </c>
      <c r="V106" s="74">
        <f t="shared" si="482"/>
        <v>21</v>
      </c>
      <c r="W106" s="86">
        <f t="shared" si="522"/>
        <v>18.714285714285715</v>
      </c>
      <c r="X106" s="74">
        <f t="shared" si="483"/>
        <v>33</v>
      </c>
      <c r="Y106" s="86">
        <f t="shared" si="523"/>
        <v>37</v>
      </c>
      <c r="Z106" s="74">
        <f t="shared" si="484"/>
        <v>14</v>
      </c>
      <c r="AA106" s="86">
        <f t="shared" si="524"/>
        <v>22.142857142857142</v>
      </c>
      <c r="AB106" s="83">
        <f t="shared" si="717"/>
        <v>0.57499999999999996</v>
      </c>
      <c r="AC106" s="83">
        <f t="shared" si="718"/>
        <v>0.13125000000000001</v>
      </c>
      <c r="AD106" s="83">
        <f t="shared" si="719"/>
        <v>0.20624999999999999</v>
      </c>
      <c r="AE106" s="87">
        <f t="shared" si="720"/>
        <v>8.7499999999999994E-2</v>
      </c>
      <c r="AF106" s="83">
        <f t="shared" si="653"/>
        <v>0.55899575228403686</v>
      </c>
      <c r="AG106" s="83">
        <f t="shared" si="653"/>
        <v>0.1066579998755508</v>
      </c>
      <c r="AH106" s="83">
        <f t="shared" si="653"/>
        <v>0.2090559029571159</v>
      </c>
      <c r="AI106" s="87">
        <f t="shared" si="653"/>
        <v>0.12529034488329652</v>
      </c>
      <c r="AJ106" s="74">
        <v>0</v>
      </c>
      <c r="AK106" s="86">
        <f t="shared" si="524"/>
        <v>0</v>
      </c>
      <c r="AL106" s="74">
        <v>0</v>
      </c>
      <c r="AM106" s="86">
        <f t="shared" si="525"/>
        <v>0</v>
      </c>
      <c r="AN106" s="74">
        <v>0</v>
      </c>
      <c r="AO106" s="86">
        <f t="shared" si="526"/>
        <v>0</v>
      </c>
      <c r="AP106" s="74">
        <v>0</v>
      </c>
      <c r="AQ106" s="86">
        <f t="shared" si="527"/>
        <v>0</v>
      </c>
      <c r="AR106" s="74">
        <v>92</v>
      </c>
      <c r="AS106" s="86">
        <f t="shared" si="528"/>
        <v>99</v>
      </c>
      <c r="AT106" s="74">
        <v>21</v>
      </c>
      <c r="AU106" s="86">
        <f t="shared" si="529"/>
        <v>18.714285714285715</v>
      </c>
      <c r="AV106" s="74">
        <v>33</v>
      </c>
      <c r="AW106" s="86">
        <f t="shared" si="530"/>
        <v>37</v>
      </c>
      <c r="AX106" s="74">
        <v>14</v>
      </c>
      <c r="AY106" s="86">
        <f t="shared" si="531"/>
        <v>22.142857142857142</v>
      </c>
    </row>
    <row r="107" spans="1:51" x14ac:dyDescent="0.25">
      <c r="A107" s="85">
        <f t="shared" si="485"/>
        <v>45870</v>
      </c>
      <c r="B107" s="74">
        <f t="shared" si="471"/>
        <v>836</v>
      </c>
      <c r="C107" s="81">
        <f t="shared" si="500"/>
        <v>794.5</v>
      </c>
      <c r="D107" s="74">
        <v>159.56164383999993</v>
      </c>
      <c r="E107" s="81">
        <f t="shared" si="500"/>
        <v>165.79452055249999</v>
      </c>
      <c r="F107" s="74">
        <f t="shared" si="472"/>
        <v>836</v>
      </c>
      <c r="G107" s="81">
        <f t="shared" ref="G107" si="756">AVERAGE(F104:F107)</f>
        <v>794.5</v>
      </c>
      <c r="H107" s="74">
        <f t="shared" si="474"/>
        <v>836</v>
      </c>
      <c r="I107" s="81">
        <f t="shared" ref="I107" si="757">AVERAGE(H104:H107)</f>
        <v>794.5</v>
      </c>
      <c r="J107" s="74">
        <v>160</v>
      </c>
      <c r="K107" s="81">
        <f t="shared" ref="K107" si="758">AVERAGE(J104:J107)</f>
        <v>166.25</v>
      </c>
      <c r="L107" s="74">
        <v>676</v>
      </c>
      <c r="M107" s="81">
        <f t="shared" ref="M107" si="759">AVERAGE(L104:L107)</f>
        <v>628.25</v>
      </c>
      <c r="N107" s="74">
        <v>0</v>
      </c>
      <c r="O107" s="81">
        <f t="shared" ref="O107" si="760">AVERAGE(N104:N107)</f>
        <v>0</v>
      </c>
      <c r="P107" s="74">
        <v>0</v>
      </c>
      <c r="Q107" s="81">
        <f t="shared" ref="Q107" si="761">AVERAGE(P104:P107)</f>
        <v>0</v>
      </c>
      <c r="R107" s="74">
        <v>0</v>
      </c>
      <c r="S107" s="81">
        <f t="shared" ref="S107" si="762">AVERAGE(R104:R107)</f>
        <v>0</v>
      </c>
      <c r="T107" s="74">
        <f t="shared" si="481"/>
        <v>89</v>
      </c>
      <c r="U107" s="75">
        <f t="shared" ref="U107:U109" si="763">AVERAGE(T101:T107)</f>
        <v>98.285714285714292</v>
      </c>
      <c r="V107" s="74">
        <f t="shared" si="482"/>
        <v>12</v>
      </c>
      <c r="W107" s="75">
        <f t="shared" si="522"/>
        <v>18</v>
      </c>
      <c r="X107" s="74">
        <f t="shared" si="483"/>
        <v>39</v>
      </c>
      <c r="Y107" s="75">
        <f t="shared" si="523"/>
        <v>37.571428571428569</v>
      </c>
      <c r="Z107" s="74">
        <f t="shared" si="484"/>
        <v>20</v>
      </c>
      <c r="AA107" s="75">
        <f t="shared" si="524"/>
        <v>21.285714285714285</v>
      </c>
      <c r="AB107" s="83">
        <f t="shared" si="717"/>
        <v>0.55625000000000002</v>
      </c>
      <c r="AC107" s="83">
        <f t="shared" si="718"/>
        <v>7.4999999999999997E-2</v>
      </c>
      <c r="AD107" s="83">
        <f t="shared" si="719"/>
        <v>0.24374999999999999</v>
      </c>
      <c r="AE107" s="88">
        <f t="shared" si="720"/>
        <v>0.125</v>
      </c>
      <c r="AF107" s="83">
        <f t="shared" si="653"/>
        <v>0.56038694829732583</v>
      </c>
      <c r="AG107" s="83">
        <f t="shared" si="653"/>
        <v>0.10325268426093286</v>
      </c>
      <c r="AH107" s="83">
        <f t="shared" si="653"/>
        <v>0.214807564086684</v>
      </c>
      <c r="AI107" s="88">
        <f t="shared" si="653"/>
        <v>0.12155280335505732</v>
      </c>
      <c r="AJ107" s="74">
        <v>0</v>
      </c>
      <c r="AK107" s="75">
        <f t="shared" si="524"/>
        <v>0</v>
      </c>
      <c r="AL107" s="74">
        <v>0</v>
      </c>
      <c r="AM107" s="75">
        <f t="shared" si="525"/>
        <v>0</v>
      </c>
      <c r="AN107" s="74">
        <v>0</v>
      </c>
      <c r="AO107" s="75">
        <f t="shared" si="526"/>
        <v>0</v>
      </c>
      <c r="AP107" s="74">
        <v>0</v>
      </c>
      <c r="AQ107" s="75">
        <f t="shared" si="527"/>
        <v>0</v>
      </c>
      <c r="AR107" s="74">
        <v>89</v>
      </c>
      <c r="AS107" s="75">
        <f t="shared" si="528"/>
        <v>98.285714285714292</v>
      </c>
      <c r="AT107" s="74">
        <v>12</v>
      </c>
      <c r="AU107" s="75">
        <f t="shared" si="529"/>
        <v>18</v>
      </c>
      <c r="AV107" s="74">
        <v>39</v>
      </c>
      <c r="AW107" s="75">
        <f t="shared" si="530"/>
        <v>37.571428571428569</v>
      </c>
      <c r="AX107" s="74">
        <v>20</v>
      </c>
      <c r="AY107" s="75">
        <f t="shared" si="531"/>
        <v>21.285714285714285</v>
      </c>
    </row>
    <row r="108" spans="1:51" x14ac:dyDescent="0.25">
      <c r="A108" s="85">
        <f t="shared" si="485"/>
        <v>45877</v>
      </c>
      <c r="B108" s="74">
        <f t="shared" si="471"/>
        <v>618</v>
      </c>
      <c r="C108" s="81">
        <f t="shared" si="500"/>
        <v>731</v>
      </c>
      <c r="D108" s="74">
        <v>132.63561644199993</v>
      </c>
      <c r="E108" s="81">
        <f t="shared" si="500"/>
        <v>151.33424657949996</v>
      </c>
      <c r="F108" s="74">
        <f t="shared" si="472"/>
        <v>618</v>
      </c>
      <c r="G108" s="81">
        <f t="shared" ref="G108" si="764">AVERAGE(F105:F108)</f>
        <v>731</v>
      </c>
      <c r="H108" s="74">
        <f t="shared" si="474"/>
        <v>618</v>
      </c>
      <c r="I108" s="81">
        <f t="shared" ref="I108" si="765">AVERAGE(H105:H108)</f>
        <v>731</v>
      </c>
      <c r="J108" s="74">
        <v>133</v>
      </c>
      <c r="K108" s="81">
        <f t="shared" ref="K108" si="766">AVERAGE(J105:J108)</f>
        <v>151.75</v>
      </c>
      <c r="L108" s="74">
        <v>485</v>
      </c>
      <c r="M108" s="81">
        <f t="shared" ref="M108" si="767">AVERAGE(L105:L108)</f>
        <v>579.25</v>
      </c>
      <c r="N108" s="74">
        <v>0</v>
      </c>
      <c r="O108" s="81">
        <f t="shared" ref="O108" si="768">AVERAGE(N105:N108)</f>
        <v>0</v>
      </c>
      <c r="P108" s="74">
        <v>0</v>
      </c>
      <c r="Q108" s="81">
        <f t="shared" ref="Q108" si="769">AVERAGE(P105:P108)</f>
        <v>0</v>
      </c>
      <c r="R108" s="74">
        <v>0</v>
      </c>
      <c r="S108" s="81">
        <f t="shared" ref="S108" si="770">AVERAGE(R105:R108)</f>
        <v>0</v>
      </c>
      <c r="T108" s="74">
        <f t="shared" si="481"/>
        <v>65</v>
      </c>
      <c r="U108" s="75">
        <f t="shared" si="763"/>
        <v>93</v>
      </c>
      <c r="V108" s="74">
        <f t="shared" si="482"/>
        <v>15</v>
      </c>
      <c r="W108" s="75">
        <f t="shared" si="522"/>
        <v>17.285714285714285</v>
      </c>
      <c r="X108" s="74">
        <f t="shared" si="483"/>
        <v>33</v>
      </c>
      <c r="Y108" s="75">
        <f t="shared" si="523"/>
        <v>36.714285714285715</v>
      </c>
      <c r="Z108" s="74">
        <f t="shared" si="484"/>
        <v>20</v>
      </c>
      <c r="AA108" s="75">
        <f t="shared" si="524"/>
        <v>20.714285714285715</v>
      </c>
      <c r="AB108" s="83">
        <f t="shared" si="717"/>
        <v>0.48872180451127817</v>
      </c>
      <c r="AC108" s="83">
        <f t="shared" si="718"/>
        <v>0.11278195488721804</v>
      </c>
      <c r="AD108" s="83">
        <f t="shared" si="719"/>
        <v>0.24812030075187969</v>
      </c>
      <c r="AE108" s="88">
        <f t="shared" si="720"/>
        <v>0.15037593984962405</v>
      </c>
      <c r="AF108" s="83">
        <f t="shared" ref="AF108:AI109" si="771">AVERAGE(AB102:AB108)</f>
        <v>0.55143987017731544</v>
      </c>
      <c r="AG108" s="83">
        <f t="shared" si="771"/>
        <v>0.10392037665794855</v>
      </c>
      <c r="AH108" s="83">
        <f t="shared" si="771"/>
        <v>0.22013749122112242</v>
      </c>
      <c r="AI108" s="88">
        <f t="shared" si="771"/>
        <v>0.12450226194361366</v>
      </c>
      <c r="AJ108" s="74">
        <v>0</v>
      </c>
      <c r="AK108" s="75">
        <f t="shared" si="524"/>
        <v>0</v>
      </c>
      <c r="AL108" s="74">
        <v>0</v>
      </c>
      <c r="AM108" s="75">
        <f t="shared" si="525"/>
        <v>0</v>
      </c>
      <c r="AN108" s="74">
        <v>0</v>
      </c>
      <c r="AO108" s="75">
        <f t="shared" si="526"/>
        <v>0</v>
      </c>
      <c r="AP108" s="74">
        <v>0</v>
      </c>
      <c r="AQ108" s="75">
        <f t="shared" si="527"/>
        <v>0</v>
      </c>
      <c r="AR108" s="74">
        <v>65</v>
      </c>
      <c r="AS108" s="75">
        <f t="shared" si="528"/>
        <v>93</v>
      </c>
      <c r="AT108" s="74">
        <v>15</v>
      </c>
      <c r="AU108" s="75">
        <f t="shared" si="529"/>
        <v>17.285714285714285</v>
      </c>
      <c r="AV108" s="74">
        <v>33</v>
      </c>
      <c r="AW108" s="75">
        <f t="shared" si="530"/>
        <v>36.714285714285715</v>
      </c>
      <c r="AX108" s="74">
        <v>20</v>
      </c>
      <c r="AY108" s="75">
        <f t="shared" si="531"/>
        <v>20.714285714285715</v>
      </c>
    </row>
    <row r="109" spans="1:51" x14ac:dyDescent="0.25">
      <c r="A109" s="85">
        <f t="shared" si="485"/>
        <v>45884</v>
      </c>
      <c r="B109" s="74">
        <f t="shared" si="471"/>
        <v>743</v>
      </c>
      <c r="C109" s="81">
        <f t="shared" si="500"/>
        <v>731.5</v>
      </c>
      <c r="D109" s="74">
        <v>163.5506849360001</v>
      </c>
      <c r="E109" s="81">
        <f t="shared" si="500"/>
        <v>153.82739726450001</v>
      </c>
      <c r="F109" s="74">
        <f t="shared" si="472"/>
        <v>743</v>
      </c>
      <c r="G109" s="81">
        <f t="shared" ref="G109" si="772">AVERAGE(F106:F109)</f>
        <v>731.5</v>
      </c>
      <c r="H109" s="74">
        <f t="shared" si="474"/>
        <v>743</v>
      </c>
      <c r="I109" s="81">
        <f t="shared" ref="I109" si="773">AVERAGE(H106:H109)</f>
        <v>731.5</v>
      </c>
      <c r="J109" s="74">
        <v>164</v>
      </c>
      <c r="K109" s="81">
        <f t="shared" ref="K109" si="774">AVERAGE(J106:J109)</f>
        <v>154.25</v>
      </c>
      <c r="L109" s="74">
        <v>579</v>
      </c>
      <c r="M109" s="81">
        <f t="shared" ref="M109" si="775">AVERAGE(L106:L109)</f>
        <v>577.25</v>
      </c>
      <c r="N109" s="74">
        <v>0</v>
      </c>
      <c r="O109" s="81">
        <f t="shared" ref="O109" si="776">AVERAGE(N106:N109)</f>
        <v>0</v>
      </c>
      <c r="P109" s="74">
        <v>0</v>
      </c>
      <c r="Q109" s="81">
        <f t="shared" ref="Q109" si="777">AVERAGE(P106:P109)</f>
        <v>0</v>
      </c>
      <c r="R109" s="74">
        <v>0</v>
      </c>
      <c r="S109" s="81">
        <f t="shared" ref="S109" si="778">AVERAGE(R106:R109)</f>
        <v>0</v>
      </c>
      <c r="T109" s="74">
        <f t="shared" si="481"/>
        <v>95</v>
      </c>
      <c r="U109" s="75">
        <f t="shared" si="763"/>
        <v>92.285714285714292</v>
      </c>
      <c r="V109" s="74">
        <f t="shared" si="482"/>
        <v>21</v>
      </c>
      <c r="W109" s="75">
        <f t="shared" si="522"/>
        <v>17.857142857142858</v>
      </c>
      <c r="X109" s="74">
        <f t="shared" si="483"/>
        <v>34</v>
      </c>
      <c r="Y109" s="75">
        <f t="shared" si="523"/>
        <v>37.285714285714285</v>
      </c>
      <c r="Z109" s="74">
        <f t="shared" si="484"/>
        <v>14</v>
      </c>
      <c r="AA109" s="75">
        <f t="shared" si="524"/>
        <v>19.142857142857142</v>
      </c>
      <c r="AB109" s="83">
        <f t="shared" si="717"/>
        <v>0.57926829268292679</v>
      </c>
      <c r="AC109" s="83">
        <f t="shared" si="718"/>
        <v>0.12804878048780488</v>
      </c>
      <c r="AD109" s="83">
        <f t="shared" si="719"/>
        <v>0.2073170731707317</v>
      </c>
      <c r="AE109" s="88">
        <f t="shared" si="720"/>
        <v>8.5365853658536592E-2</v>
      </c>
      <c r="AF109" s="83">
        <f t="shared" si="771"/>
        <v>0.55113600501241788</v>
      </c>
      <c r="AG109" s="83">
        <f t="shared" si="771"/>
        <v>0.10809345825587417</v>
      </c>
      <c r="AH109" s="83">
        <f t="shared" si="771"/>
        <v>0.22483727243820367</v>
      </c>
      <c r="AI109" s="88">
        <f t="shared" si="771"/>
        <v>0.11593326429350424</v>
      </c>
      <c r="AJ109" s="74">
        <v>0</v>
      </c>
      <c r="AK109" s="75">
        <f t="shared" si="524"/>
        <v>0</v>
      </c>
      <c r="AL109" s="74">
        <v>0</v>
      </c>
      <c r="AM109" s="75">
        <f t="shared" si="525"/>
        <v>0</v>
      </c>
      <c r="AN109" s="74">
        <v>0</v>
      </c>
      <c r="AO109" s="75">
        <f t="shared" si="526"/>
        <v>0</v>
      </c>
      <c r="AP109" s="74">
        <v>0</v>
      </c>
      <c r="AQ109" s="75">
        <f t="shared" si="527"/>
        <v>0</v>
      </c>
      <c r="AR109" s="74">
        <v>95</v>
      </c>
      <c r="AS109" s="75">
        <f t="shared" si="528"/>
        <v>92.285714285714292</v>
      </c>
      <c r="AT109" s="74">
        <v>21</v>
      </c>
      <c r="AU109" s="75">
        <f t="shared" si="529"/>
        <v>17.857142857142858</v>
      </c>
      <c r="AV109" s="74">
        <v>34</v>
      </c>
      <c r="AW109" s="75">
        <f t="shared" si="530"/>
        <v>37.285714285714285</v>
      </c>
      <c r="AX109" s="74">
        <v>14</v>
      </c>
      <c r="AY109" s="75">
        <f t="shared" si="531"/>
        <v>19.142857142857142</v>
      </c>
    </row>
  </sheetData>
  <phoneticPr fontId="13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7BCFB-7D69-444A-9582-34841402A3DD}">
  <sheetPr codeName="Sheet21"/>
  <dimension ref="A1:BQ110"/>
  <sheetViews>
    <sheetView zoomScale="70" zoomScaleNormal="70" workbookViewId="0">
      <selection activeCell="B16" sqref="B16"/>
    </sheetView>
  </sheetViews>
  <sheetFormatPr defaultRowHeight="15" x14ac:dyDescent="0.25"/>
  <cols>
    <col min="1" max="1" width="15.85546875" bestFit="1" customWidth="1"/>
    <col min="2" max="4" width="12.5703125" style="75" customWidth="1"/>
    <col min="5" max="5" width="12.5703125" style="96" customWidth="1"/>
    <col min="6" max="8" width="12.5703125" style="75" customWidth="1"/>
    <col min="9" max="9" width="12.5703125" style="96" customWidth="1"/>
    <col min="10" max="12" width="12.5703125" style="75" customWidth="1"/>
    <col min="13" max="13" width="12.5703125" style="96" customWidth="1"/>
    <col min="14" max="20" width="12.5703125" style="75" customWidth="1"/>
    <col min="21" max="21" width="12.5703125" style="96" customWidth="1"/>
    <col min="22" max="28" width="12.5703125" style="75" customWidth="1"/>
    <col min="29" max="29" width="12.5703125" style="96" customWidth="1"/>
    <col min="30" max="32" width="12.5703125" style="75" customWidth="1"/>
    <col min="33" max="33" width="12.5703125" style="96" customWidth="1"/>
    <col min="34" max="36" width="12.5703125" style="75" customWidth="1"/>
    <col min="37" max="37" width="12.5703125" style="96" customWidth="1"/>
    <col min="38" max="38" width="27.42578125" style="75" bestFit="1" customWidth="1"/>
    <col min="39" max="39" width="28.85546875" style="75" bestFit="1" customWidth="1"/>
    <col min="40" max="40" width="24" bestFit="1" customWidth="1"/>
    <col min="41" max="41" width="25.42578125" bestFit="1" customWidth="1"/>
    <col min="42" max="42" width="23.42578125" bestFit="1" customWidth="1"/>
    <col min="43" max="43" width="25" bestFit="1" customWidth="1"/>
    <col min="44" max="53" width="25" customWidth="1"/>
    <col min="54" max="55" width="25.140625" customWidth="1"/>
    <col min="56" max="69" width="25" customWidth="1"/>
  </cols>
  <sheetData>
    <row r="1" spans="1:69" x14ac:dyDescent="0.25">
      <c r="A1" s="73"/>
      <c r="B1" s="75" t="s">
        <v>76</v>
      </c>
      <c r="D1" s="75" t="s">
        <v>76</v>
      </c>
      <c r="F1" s="108" t="s">
        <v>76</v>
      </c>
      <c r="G1" s="108"/>
      <c r="H1" s="108"/>
      <c r="I1" s="109"/>
      <c r="J1" s="75" t="s">
        <v>77</v>
      </c>
      <c r="N1" s="75" t="s">
        <v>72</v>
      </c>
      <c r="P1" s="75" t="s">
        <v>72</v>
      </c>
      <c r="Q1" s="96"/>
      <c r="R1" s="75" t="s">
        <v>72</v>
      </c>
      <c r="T1" s="75" t="s">
        <v>72</v>
      </c>
      <c r="V1" s="75" t="s">
        <v>353</v>
      </c>
      <c r="X1" s="75" t="s">
        <v>353</v>
      </c>
      <c r="Y1" s="96"/>
      <c r="Z1" s="75" t="s">
        <v>73</v>
      </c>
      <c r="AB1" s="75" t="s">
        <v>73</v>
      </c>
      <c r="AD1" s="75" t="s">
        <v>73</v>
      </c>
      <c r="AF1" s="75" t="s">
        <v>73</v>
      </c>
      <c r="AH1" s="75" t="s">
        <v>73</v>
      </c>
      <c r="AJ1" s="75" t="s">
        <v>73</v>
      </c>
      <c r="AL1" t="s">
        <v>78</v>
      </c>
      <c r="AN1" s="75" t="s">
        <v>79</v>
      </c>
      <c r="AP1" t="s">
        <v>80</v>
      </c>
      <c r="AR1" t="s">
        <v>81</v>
      </c>
      <c r="BB1" t="s">
        <v>78</v>
      </c>
      <c r="BC1" s="75" t="s">
        <v>73</v>
      </c>
      <c r="BD1" s="75" t="s">
        <v>79</v>
      </c>
      <c r="BE1" s="75" t="s">
        <v>73</v>
      </c>
      <c r="BF1" t="s">
        <v>80</v>
      </c>
      <c r="BG1" s="75" t="s">
        <v>73</v>
      </c>
      <c r="BH1" t="s">
        <v>81</v>
      </c>
      <c r="BI1" s="75" t="s">
        <v>73</v>
      </c>
      <c r="BJ1" t="s">
        <v>78</v>
      </c>
      <c r="BK1" s="75" t="s">
        <v>72</v>
      </c>
      <c r="BL1" s="75" t="s">
        <v>79</v>
      </c>
      <c r="BM1" s="75" t="s">
        <v>72</v>
      </c>
      <c r="BN1" t="s">
        <v>80</v>
      </c>
      <c r="BO1" s="75" t="s">
        <v>72</v>
      </c>
      <c r="BP1" t="s">
        <v>81</v>
      </c>
      <c r="BQ1" s="75" t="s">
        <v>72</v>
      </c>
    </row>
    <row r="2" spans="1:69" x14ac:dyDescent="0.25">
      <c r="B2" s="77" t="s">
        <v>83</v>
      </c>
      <c r="C2" s="78"/>
      <c r="D2" s="76"/>
      <c r="E2" s="78"/>
      <c r="F2" s="110" t="s">
        <v>84</v>
      </c>
      <c r="G2" s="111"/>
      <c r="H2" s="112"/>
      <c r="I2" s="111"/>
      <c r="J2" s="77" t="s">
        <v>83</v>
      </c>
      <c r="K2" s="78"/>
      <c r="L2" s="76"/>
      <c r="M2" s="78"/>
      <c r="N2" s="77" t="s">
        <v>83</v>
      </c>
      <c r="O2" s="78"/>
      <c r="P2" s="76"/>
      <c r="Q2" s="78"/>
      <c r="R2" s="77" t="s">
        <v>83</v>
      </c>
      <c r="S2" s="78"/>
      <c r="T2" s="76"/>
      <c r="U2" s="78"/>
      <c r="V2" s="77" t="s">
        <v>83</v>
      </c>
      <c r="W2" s="78"/>
      <c r="X2" s="76"/>
      <c r="Y2" s="78"/>
      <c r="Z2" s="77" t="s">
        <v>83</v>
      </c>
      <c r="AA2" s="78"/>
      <c r="AB2" s="76"/>
      <c r="AC2" s="78"/>
      <c r="AD2" s="77" t="s">
        <v>84</v>
      </c>
      <c r="AE2" s="78"/>
      <c r="AF2" s="76"/>
      <c r="AG2" s="78"/>
      <c r="AH2" s="77" t="s">
        <v>82</v>
      </c>
      <c r="AI2" s="78"/>
      <c r="AJ2" s="76"/>
      <c r="AK2" s="78"/>
      <c r="AL2" t="str">
        <f t="shared" ref="AL2" si="0">"Policy Count ("&amp;AL1&amp;")"</f>
        <v>Policy Count (Standard)</v>
      </c>
      <c r="AM2" t="str">
        <f t="shared" ref="AM2" si="1">"7 Day Average ("&amp;AL1&amp;")"</f>
        <v>7 Day Average (Standard)</v>
      </c>
      <c r="AN2" t="str">
        <f t="shared" ref="AN2" si="2">"Policy Count ("&amp;AN1&amp;")"</f>
        <v>Policy Count (Plus)</v>
      </c>
      <c r="AO2" t="str">
        <f t="shared" ref="AO2" si="3">"7 Day Average ("&amp;AN1&amp;")"</f>
        <v>7 Day Average (Plus)</v>
      </c>
      <c r="AP2" t="str">
        <f t="shared" ref="AP2" si="4">"Policy Count ("&amp;AP1&amp;")"</f>
        <v>Policy Count (Essentials)</v>
      </c>
      <c r="AQ2" t="str">
        <f t="shared" ref="AQ2" si="5">"7 Day Average ("&amp;AP1&amp;")"</f>
        <v>7 Day Average (Essentials)</v>
      </c>
      <c r="AR2" t="str">
        <f t="shared" ref="AR2" si="6">"Policy Count ("&amp;AR1&amp;")"</f>
        <v>Policy Count (Premium)</v>
      </c>
      <c r="AS2" t="str">
        <f t="shared" ref="AS2" si="7">"7 Day Average ("&amp;AR1&amp;")"</f>
        <v>7 Day Average (Premium)</v>
      </c>
      <c r="BB2" t="str">
        <f>"Policy Count ("&amp;BB1&amp;" - Monthly)"</f>
        <v>Policy Count (Standard - Monthly)</v>
      </c>
      <c r="BC2" t="str">
        <f>"7 Day Average ("&amp;BB1&amp;" - Monthly)"</f>
        <v>7 Day Average (Standard - Monthly)</v>
      </c>
      <c r="BD2" t="str">
        <f>"Policy Count ("&amp;BD1&amp;" - Monthly)"</f>
        <v>Policy Count (Plus - Monthly)</v>
      </c>
      <c r="BE2" t="str">
        <f>"7 Day Average ("&amp;BD1&amp;" - Monthly)"</f>
        <v>7 Day Average (Plus - Monthly)</v>
      </c>
      <c r="BF2" t="str">
        <f>"Policy Count ("&amp;BF1&amp;" - Monthly)"</f>
        <v>Policy Count (Essentials - Monthly)</v>
      </c>
      <c r="BG2" t="str">
        <f>"7 Day Average ("&amp;BF1&amp;" - Monthly)"</f>
        <v>7 Day Average (Essentials - Monthly)</v>
      </c>
      <c r="BH2" t="str">
        <f>"Policy Count ("&amp;BH1&amp;" - Monthly)"</f>
        <v>Policy Count (Premium - Monthly)</v>
      </c>
      <c r="BI2" t="str">
        <f>"7 Day Average ("&amp;BH1&amp;" - Monthly)"</f>
        <v>7 Day Average (Premium - Monthly)</v>
      </c>
      <c r="BJ2" t="str">
        <f>"Policy Count ("&amp;BJ1&amp;" - Annual)"</f>
        <v>Policy Count (Standard - Annual)</v>
      </c>
      <c r="BK2" t="str">
        <f>"7 Day Average ("&amp;BJ1&amp;" - Annual)"</f>
        <v>7 Day Average (Standard - Annual)</v>
      </c>
      <c r="BL2" t="str">
        <f>"Policy Count ("&amp;BL1&amp;" - Annual)"</f>
        <v>Policy Count (Plus - Annual)</v>
      </c>
      <c r="BM2" t="str">
        <f>"7 Day Average ("&amp;BL1&amp;" - Annual)"</f>
        <v>7 Day Average (Plus - Annual)</v>
      </c>
      <c r="BN2" t="str">
        <f>"Policy Count ("&amp;BN1&amp;" - Annual)"</f>
        <v>Policy Count (Essentials - Annual)</v>
      </c>
      <c r="BO2" t="str">
        <f>"7 Day Average ("&amp;BN1&amp;" - Annual)"</f>
        <v>7 Day Average (Essentials - Annual)</v>
      </c>
      <c r="BP2" t="str">
        <f>"Policy Count ("&amp;BP1&amp;" - Annual)"</f>
        <v>Policy Count (Premium - Annual)</v>
      </c>
      <c r="BQ2" t="str">
        <f>"7 Day Average ("&amp;BP1&amp;" - Annual)"</f>
        <v>7 Day Average (Premium - Annual)</v>
      </c>
    </row>
    <row r="3" spans="1:69" x14ac:dyDescent="0.25">
      <c r="B3" s="77" t="s">
        <v>153</v>
      </c>
      <c r="C3" s="76"/>
      <c r="D3" s="89" t="s">
        <v>154</v>
      </c>
      <c r="E3" s="90"/>
      <c r="F3" s="110" t="s">
        <v>153</v>
      </c>
      <c r="G3" s="112"/>
      <c r="H3" s="113" t="s">
        <v>154</v>
      </c>
      <c r="I3" s="114"/>
      <c r="J3" s="77" t="s">
        <v>153</v>
      </c>
      <c r="K3" s="76"/>
      <c r="L3" s="89" t="s">
        <v>154</v>
      </c>
      <c r="M3" s="90"/>
      <c r="N3" s="77" t="s">
        <v>153</v>
      </c>
      <c r="O3" s="76"/>
      <c r="P3" s="89" t="s">
        <v>154</v>
      </c>
      <c r="Q3" s="90"/>
      <c r="R3" s="77" t="s">
        <v>153</v>
      </c>
      <c r="S3" s="76"/>
      <c r="T3" s="89" t="s">
        <v>154</v>
      </c>
      <c r="U3" s="90"/>
      <c r="V3" s="77" t="s">
        <v>153</v>
      </c>
      <c r="W3" s="76"/>
      <c r="X3" s="89" t="s">
        <v>154</v>
      </c>
      <c r="Y3" s="90"/>
      <c r="Z3" s="77" t="s">
        <v>153</v>
      </c>
      <c r="AA3" s="76"/>
      <c r="AB3" s="89" t="s">
        <v>154</v>
      </c>
      <c r="AC3" s="90"/>
      <c r="AD3" s="77" t="s">
        <v>153</v>
      </c>
      <c r="AE3" s="76"/>
      <c r="AF3" s="89" t="s">
        <v>154</v>
      </c>
      <c r="AG3" s="90"/>
      <c r="AH3" s="77" t="s">
        <v>153</v>
      </c>
      <c r="AI3" s="76"/>
      <c r="AJ3" s="89" t="s">
        <v>154</v>
      </c>
      <c r="AK3" s="90"/>
      <c r="AM3" s="90"/>
    </row>
    <row r="4" spans="1:69" x14ac:dyDescent="0.25">
      <c r="B4" s="95" t="str">
        <f>B3&amp;" Policy Count ("&amp;B1&amp;")"</f>
        <v>NB Policy Count (Boom (excl monthly rens))</v>
      </c>
      <c r="C4" s="79" t="str">
        <f>B3&amp;" 4 Week Avg ("&amp;B1&amp;")"</f>
        <v>NB 4 Week Avg (Boom (excl monthly rens))</v>
      </c>
      <c r="D4" s="95" t="str">
        <f>D3&amp;" Policy Count ("&amp;D1&amp;")"</f>
        <v>RN Policy Count (Boom (excl monthly rens))</v>
      </c>
      <c r="E4" s="97" t="str">
        <f>D3&amp;" 4 Week Avg ("&amp;D1&amp;")"</f>
        <v>RN 4 Week Avg (Boom (excl monthly rens))</v>
      </c>
      <c r="F4" s="115" t="str">
        <f>F3&amp;" Policy Count ("&amp;F1&amp;")"</f>
        <v>NB Policy Count (Boom (excl monthly rens))</v>
      </c>
      <c r="G4" s="116" t="str">
        <f>F3&amp;" 4 Week Avg ("&amp;F1&amp;")"</f>
        <v>NB 4 Week Avg (Boom (excl monthly rens))</v>
      </c>
      <c r="H4" s="115" t="str">
        <f>H3&amp;" Policy Count ("&amp;H1&amp;")"</f>
        <v>RN Policy Count ()</v>
      </c>
      <c r="I4" s="117" t="str">
        <f>H3&amp;" 4 Week Avg ("&amp;H1&amp;")"</f>
        <v>RN 4 Week Avg ()</v>
      </c>
      <c r="J4" s="95" t="str">
        <f>J3&amp;" Policy Count ("&amp;J1&amp;")"</f>
        <v>NB Policy Count (Boom (incl monthly rens))</v>
      </c>
      <c r="K4" s="79" t="str">
        <f>J3&amp;" 4 Week Avg ("&amp;J1&amp;")"</f>
        <v>NB 4 Week Avg (Boom (incl monthly rens))</v>
      </c>
      <c r="L4" s="95" t="str">
        <f>L3&amp;" Policy Count ("&amp;L1&amp;")"</f>
        <v>RN Policy Count ()</v>
      </c>
      <c r="M4" s="97" t="str">
        <f>L3&amp;" 4 Week Avg ("&amp;L1&amp;")"</f>
        <v>RN 4 Week Avg ()</v>
      </c>
      <c r="N4" s="95" t="str">
        <f>N3&amp;" Policy Count ("&amp;N1&amp;")"</f>
        <v>NB Policy Count (Boom Annual)</v>
      </c>
      <c r="O4" s="79" t="str">
        <f>N3&amp;" 4 Week Avg ("&amp;N1&amp;")"</f>
        <v>NB 4 Week Avg (Boom Annual)</v>
      </c>
      <c r="P4" s="95" t="str">
        <f>P3&amp;" Policy Count ("&amp;P1&amp;")"</f>
        <v>RN Policy Count (Boom Annual)</v>
      </c>
      <c r="Q4" s="97" t="str">
        <f>P3&amp;" 4 Week Avg ("&amp;P1&amp;")"</f>
        <v>RN 4 Week Avg (Boom Annual)</v>
      </c>
      <c r="R4" s="95" t="str">
        <f>R3&amp;" Policy Count ("&amp;R1&amp;")"</f>
        <v>NB Policy Count (Boom Annual)</v>
      </c>
      <c r="S4" s="79" t="str">
        <f>R3&amp;" 4 Week Avg ("&amp;R1&amp;")"</f>
        <v>NB 4 Week Avg (Boom Annual)</v>
      </c>
      <c r="T4" s="95" t="str">
        <f>T3&amp;" Policy Count ("&amp;T1&amp;")"</f>
        <v>RN Policy Count (Boom Annual)</v>
      </c>
      <c r="U4" s="97" t="str">
        <f>T3&amp;" 4 Week Avg ("&amp;T1&amp;")"</f>
        <v>RN 4 Week Avg (Boom Annual)</v>
      </c>
      <c r="V4" s="95" t="str">
        <f>V3&amp;" Policy Count ("&amp;V1&amp;")"</f>
        <v>NB Policy Count (Boom Premium Finance)</v>
      </c>
      <c r="W4" s="79" t="str">
        <f>V3&amp;" 4 Week Avg ("&amp;V1&amp;")"</f>
        <v>NB 4 Week Avg (Boom Premium Finance)</v>
      </c>
      <c r="X4" s="95" t="str">
        <f>X3&amp;" Policy Count ("&amp;X1&amp;")"</f>
        <v>RN Policy Count (Boom Premium Finance)</v>
      </c>
      <c r="Y4" s="97" t="str">
        <f>X3&amp;" 4 Week Avg ("&amp;X1&amp;")"</f>
        <v>RN 4 Week Avg (Boom Premium Finance)</v>
      </c>
      <c r="Z4" s="95" t="str">
        <f>Z3&amp;" Policy Count ("&amp;Z1&amp;")"</f>
        <v>NB Policy Count (Boom Subscription)</v>
      </c>
      <c r="AA4" s="79" t="str">
        <f>Z3&amp;" 4 Week Avg ("&amp;Z1&amp;")"</f>
        <v>NB 4 Week Avg (Boom Subscription)</v>
      </c>
      <c r="AB4" s="95" t="str">
        <f>AB3&amp;" Policy Count ("&amp;AB1&amp;")"</f>
        <v>RN Policy Count (Boom Subscription)</v>
      </c>
      <c r="AC4" s="97" t="str">
        <f>AB3&amp;" 4 Week Avg ("&amp;AB1&amp;")"</f>
        <v>RN 4 Week Avg (Boom Subscription)</v>
      </c>
      <c r="AD4" s="95" t="str">
        <f>AD3&amp;" Policy Count ("&amp;AD1&amp;")"</f>
        <v>NB Policy Count (Boom Subscription)</v>
      </c>
      <c r="AE4" s="79" t="str">
        <f>AD3&amp;" 4 Week Avg ("&amp;AD1&amp;")"</f>
        <v>NB 4 Week Avg (Boom Subscription)</v>
      </c>
      <c r="AF4" s="95" t="str">
        <f>AF3&amp;" Policy Count ("&amp;AF1&amp;")"</f>
        <v>RN Policy Count (Boom Subscription)</v>
      </c>
      <c r="AG4" s="97" t="str">
        <f>AF3&amp;" 4 Week Avg ("&amp;AF1&amp;")"</f>
        <v>RN 4 Week Avg (Boom Subscription)</v>
      </c>
      <c r="AH4" s="95" t="str">
        <f>AH3&amp;" Policy Count ("&amp;AH1&amp;")"</f>
        <v>NB Policy Count (Boom Subscription)</v>
      </c>
      <c r="AI4" s="79" t="str">
        <f>AH3&amp;" 4 Week Avg ("&amp;AH1&amp;")"</f>
        <v>NB 4 Week Avg (Boom Subscription)</v>
      </c>
      <c r="AJ4" s="95" t="str">
        <f>AJ3&amp;" Policy Count ("&amp;AJ1&amp;")"</f>
        <v>RN Policy Count (Boom Subscription)</v>
      </c>
      <c r="AK4" s="97" t="str">
        <f>AJ3&amp;" 4 Week Avg ("&amp;AJ1&amp;")"</f>
        <v>RN 4 Week Avg (Boom Subscription)</v>
      </c>
      <c r="AM4" s="79"/>
      <c r="AN4" s="75"/>
      <c r="AX4" t="s">
        <v>714</v>
      </c>
      <c r="AY4" t="s">
        <v>715</v>
      </c>
      <c r="AZ4" t="s">
        <v>716</v>
      </c>
      <c r="BA4" t="s">
        <v>717</v>
      </c>
    </row>
    <row r="5" spans="1:69" x14ac:dyDescent="0.25">
      <c r="A5" s="80" t="s">
        <v>360</v>
      </c>
      <c r="B5" s="95" t="s">
        <v>155</v>
      </c>
      <c r="C5" s="79" t="s">
        <v>718</v>
      </c>
      <c r="D5" s="95" t="s">
        <v>156</v>
      </c>
      <c r="E5" s="97" t="s">
        <v>719</v>
      </c>
      <c r="F5" s="95" t="s">
        <v>157</v>
      </c>
      <c r="G5" s="79" t="s">
        <v>720</v>
      </c>
      <c r="H5" s="95" t="s">
        <v>158</v>
      </c>
      <c r="I5" s="97" t="s">
        <v>721</v>
      </c>
      <c r="J5" s="95" t="s">
        <v>159</v>
      </c>
      <c r="K5" s="79" t="s">
        <v>722</v>
      </c>
      <c r="L5" s="95" t="s">
        <v>160</v>
      </c>
      <c r="M5" s="97" t="s">
        <v>723</v>
      </c>
      <c r="N5" s="95" t="s">
        <v>361</v>
      </c>
      <c r="O5" s="79" t="s">
        <v>724</v>
      </c>
      <c r="P5" s="95" t="s">
        <v>362</v>
      </c>
      <c r="Q5" s="97" t="s">
        <v>725</v>
      </c>
      <c r="R5" s="95" t="s">
        <v>369</v>
      </c>
      <c r="S5" s="79" t="s">
        <v>726</v>
      </c>
      <c r="T5" s="95" t="s">
        <v>370</v>
      </c>
      <c r="U5" s="97" t="s">
        <v>727</v>
      </c>
      <c r="V5" s="95" t="s">
        <v>371</v>
      </c>
      <c r="W5" s="79" t="s">
        <v>728</v>
      </c>
      <c r="X5" s="95" t="s">
        <v>372</v>
      </c>
      <c r="Y5" s="97" t="s">
        <v>729</v>
      </c>
      <c r="Z5" s="95" t="s">
        <v>363</v>
      </c>
      <c r="AA5" s="79" t="s">
        <v>730</v>
      </c>
      <c r="AB5" s="95" t="s">
        <v>364</v>
      </c>
      <c r="AC5" s="97" t="s">
        <v>731</v>
      </c>
      <c r="AD5" s="95" t="s">
        <v>365</v>
      </c>
      <c r="AE5" s="79" t="s">
        <v>732</v>
      </c>
      <c r="AF5" s="95" t="s">
        <v>366</v>
      </c>
      <c r="AG5" s="97" t="s">
        <v>733</v>
      </c>
      <c r="AH5" s="95" t="s">
        <v>367</v>
      </c>
      <c r="AI5" s="79" t="s">
        <v>734</v>
      </c>
      <c r="AJ5" s="95" t="s">
        <v>368</v>
      </c>
      <c r="AK5" s="97" t="s">
        <v>735</v>
      </c>
      <c r="AL5" t="s">
        <v>93</v>
      </c>
      <c r="AM5" t="s">
        <v>662</v>
      </c>
      <c r="AN5" s="82" t="s">
        <v>94</v>
      </c>
      <c r="AO5" s="82" t="s">
        <v>663</v>
      </c>
      <c r="AP5" s="82" t="s">
        <v>95</v>
      </c>
      <c r="AQ5" s="82" t="s">
        <v>664</v>
      </c>
      <c r="AR5" s="82" t="s">
        <v>96</v>
      </c>
      <c r="AS5" s="82" t="s">
        <v>665</v>
      </c>
      <c r="AT5" s="82" t="s">
        <v>97</v>
      </c>
      <c r="AU5" s="82" t="s">
        <v>98</v>
      </c>
      <c r="AV5" s="82" t="s">
        <v>99</v>
      </c>
      <c r="AW5" s="82" t="s">
        <v>100</v>
      </c>
      <c r="AX5" t="s">
        <v>714</v>
      </c>
      <c r="AY5" t="s">
        <v>715</v>
      </c>
      <c r="AZ5" t="s">
        <v>716</v>
      </c>
      <c r="BA5" s="82" t="s">
        <v>717</v>
      </c>
      <c r="BB5" s="82" t="s">
        <v>101</v>
      </c>
      <c r="BC5" s="82" t="s">
        <v>666</v>
      </c>
      <c r="BD5" s="82" t="s">
        <v>102</v>
      </c>
      <c r="BE5" s="82" t="s">
        <v>667</v>
      </c>
      <c r="BF5" s="82" t="s">
        <v>103</v>
      </c>
      <c r="BG5" s="82" t="s">
        <v>668</v>
      </c>
      <c r="BH5" s="82" t="s">
        <v>104</v>
      </c>
      <c r="BI5" s="82" t="s">
        <v>669</v>
      </c>
      <c r="BJ5" s="82" t="s">
        <v>105</v>
      </c>
      <c r="BK5" s="82" t="s">
        <v>670</v>
      </c>
      <c r="BL5" s="82" t="s">
        <v>106</v>
      </c>
      <c r="BM5" s="82" t="s">
        <v>671</v>
      </c>
      <c r="BN5" s="82" t="s">
        <v>107</v>
      </c>
      <c r="BO5" s="82" t="s">
        <v>672</v>
      </c>
      <c r="BP5" s="82" t="s">
        <v>108</v>
      </c>
      <c r="BQ5" s="82" t="s">
        <v>673</v>
      </c>
    </row>
    <row r="6" spans="1:69" x14ac:dyDescent="0.25">
      <c r="A6" s="73">
        <v>45156</v>
      </c>
      <c r="B6" s="74">
        <f>R6+V6+Z6</f>
        <v>616</v>
      </c>
      <c r="C6" s="81"/>
      <c r="D6" s="74">
        <f>T6+X6+AB6</f>
        <v>36</v>
      </c>
      <c r="E6" s="99"/>
      <c r="F6" s="74">
        <v>250.02732240660001</v>
      </c>
      <c r="G6" s="81"/>
      <c r="H6" s="74">
        <v>218.06010929760001</v>
      </c>
      <c r="I6" s="99"/>
      <c r="J6" s="74">
        <f>R6+V6+AH6</f>
        <v>616</v>
      </c>
      <c r="K6" s="81"/>
      <c r="L6" s="74">
        <f>T6+X6+AJ6</f>
        <v>36</v>
      </c>
      <c r="M6" s="99"/>
      <c r="N6" s="74">
        <f>R6+V6</f>
        <v>218</v>
      </c>
      <c r="O6" s="81"/>
      <c r="P6" s="74">
        <f>T6+X6</f>
        <v>28</v>
      </c>
      <c r="Q6" s="99"/>
      <c r="R6" s="74">
        <v>218</v>
      </c>
      <c r="S6" s="81"/>
      <c r="T6" s="74">
        <v>28</v>
      </c>
      <c r="U6" s="99"/>
      <c r="V6" s="74">
        <v>0</v>
      </c>
      <c r="W6" s="81"/>
      <c r="X6" s="74">
        <v>0</v>
      </c>
      <c r="Y6" s="99"/>
      <c r="Z6" s="74">
        <v>398</v>
      </c>
      <c r="AA6" s="81"/>
      <c r="AB6" s="74">
        <v>8</v>
      </c>
      <c r="AC6" s="99"/>
      <c r="AD6" s="105">
        <v>32.62295081380001</v>
      </c>
      <c r="AE6" s="81"/>
      <c r="AF6" s="105">
        <v>0.65573770480000004</v>
      </c>
      <c r="AG6" s="99"/>
      <c r="AH6" s="74">
        <v>398</v>
      </c>
      <c r="AI6" s="81"/>
      <c r="AJ6" s="74">
        <v>8</v>
      </c>
      <c r="AK6" s="99"/>
      <c r="AL6" s="74">
        <f>BB6+BJ6</f>
        <v>388</v>
      </c>
      <c r="AM6" s="81"/>
      <c r="AN6" s="74">
        <f>BD6+BL6</f>
        <v>84</v>
      </c>
      <c r="AO6" s="81"/>
      <c r="AP6" s="74">
        <f>BF6+BN6</f>
        <v>83</v>
      </c>
      <c r="AQ6" s="81"/>
      <c r="AR6" s="74">
        <f>BH6+BP6</f>
        <v>69</v>
      </c>
      <c r="AS6" s="81"/>
      <c r="AT6" s="83">
        <f t="shared" ref="AT6:AT69" si="8">AL6/SUM($AL6,$AN6,$AP6,$AR6)</f>
        <v>0.62179487179487181</v>
      </c>
      <c r="AU6" s="83">
        <f t="shared" ref="AU6:AU69" si="9">AN6/SUM($AL6,$AN6,$AP6,$AR6)</f>
        <v>0.13461538461538461</v>
      </c>
      <c r="AV6" s="83">
        <f t="shared" ref="AV6:AV69" si="10">AP6/SUM($AL6,$AN6,$AP6,$AR6)</f>
        <v>0.13301282051282051</v>
      </c>
      <c r="AW6" s="84">
        <f t="shared" ref="AW6:AW69" si="11">AR6/SUM($AL6,$AN6,$AP6,$AR6)</f>
        <v>0.11057692307692307</v>
      </c>
      <c r="AX6" s="74"/>
      <c r="AY6" s="74"/>
      <c r="AZ6" s="74"/>
      <c r="BA6" s="84"/>
      <c r="BB6" s="74">
        <v>251</v>
      </c>
      <c r="BC6" s="81"/>
      <c r="BD6" s="74">
        <v>46</v>
      </c>
      <c r="BE6" s="81"/>
      <c r="BF6" s="74">
        <v>66</v>
      </c>
      <c r="BG6" s="81"/>
      <c r="BH6" s="74">
        <v>43</v>
      </c>
      <c r="BI6" s="81"/>
      <c r="BJ6" s="74">
        <v>137</v>
      </c>
      <c r="BK6" s="81"/>
      <c r="BL6" s="74">
        <v>38</v>
      </c>
      <c r="BM6" s="81"/>
      <c r="BN6" s="74">
        <v>17</v>
      </c>
      <c r="BO6" s="81"/>
      <c r="BP6" s="74">
        <v>26</v>
      </c>
      <c r="BQ6" s="81"/>
    </row>
    <row r="7" spans="1:69" x14ac:dyDescent="0.25">
      <c r="A7" s="85">
        <f>A6+7</f>
        <v>45163</v>
      </c>
      <c r="B7" s="74">
        <f t="shared" ref="B7:B70" si="12">R7+V7+Z7</f>
        <v>609</v>
      </c>
      <c r="C7" s="81"/>
      <c r="D7" s="74">
        <f t="shared" ref="D7:D70" si="13">T7+X7+AB7</f>
        <v>30</v>
      </c>
      <c r="E7" s="99"/>
      <c r="F7" s="74">
        <v>249.45355191490012</v>
      </c>
      <c r="G7" s="81"/>
      <c r="H7" s="74">
        <v>218.22404372380009</v>
      </c>
      <c r="I7" s="99"/>
      <c r="J7" s="74">
        <f t="shared" ref="J7:J70" si="14">R7+V7+AH7</f>
        <v>609</v>
      </c>
      <c r="K7" s="81"/>
      <c r="L7" s="74">
        <f t="shared" ref="L7:L70" si="15">T7+X7+AJ7</f>
        <v>30</v>
      </c>
      <c r="M7" s="99"/>
      <c r="N7" s="74">
        <f t="shared" ref="N7:N70" si="16">R7+V7</f>
        <v>218</v>
      </c>
      <c r="O7" s="81"/>
      <c r="P7" s="74">
        <f t="shared" ref="P7:P70" si="17">T7+X7</f>
        <v>20</v>
      </c>
      <c r="Q7" s="99"/>
      <c r="R7" s="74">
        <v>218</v>
      </c>
      <c r="S7" s="81"/>
      <c r="T7" s="74">
        <v>20</v>
      </c>
      <c r="U7" s="99"/>
      <c r="V7" s="74">
        <v>0</v>
      </c>
      <c r="W7" s="81"/>
      <c r="X7" s="74">
        <v>0</v>
      </c>
      <c r="Y7" s="99"/>
      <c r="Z7" s="74">
        <v>391</v>
      </c>
      <c r="AA7" s="81"/>
      <c r="AB7" s="74">
        <v>10</v>
      </c>
      <c r="AC7" s="99"/>
      <c r="AD7" s="105">
        <v>32.049180322100014</v>
      </c>
      <c r="AE7" s="81"/>
      <c r="AF7" s="105">
        <v>0.81967213100000003</v>
      </c>
      <c r="AG7" s="99"/>
      <c r="AH7" s="74">
        <v>391</v>
      </c>
      <c r="AI7" s="81"/>
      <c r="AJ7" s="74">
        <v>10</v>
      </c>
      <c r="AK7" s="99"/>
      <c r="AL7" s="74">
        <f t="shared" ref="AL7:AL70" si="18">BB7+BJ7</f>
        <v>355</v>
      </c>
      <c r="AM7" s="81"/>
      <c r="AN7" s="74">
        <f t="shared" ref="AN7:AN70" si="19">BD7+BL7</f>
        <v>99</v>
      </c>
      <c r="AO7" s="81"/>
      <c r="AP7" s="74">
        <f t="shared" ref="AP7:AP70" si="20">BF7+BN7</f>
        <v>83</v>
      </c>
      <c r="AQ7" s="81"/>
      <c r="AR7" s="74">
        <f t="shared" ref="AR7:AR70" si="21">BH7+BP7</f>
        <v>82</v>
      </c>
      <c r="AS7" s="81"/>
      <c r="AT7" s="83">
        <f t="shared" si="8"/>
        <v>0.57350565428109856</v>
      </c>
      <c r="AU7" s="83">
        <f t="shared" si="9"/>
        <v>0.15993537964458804</v>
      </c>
      <c r="AV7" s="83">
        <f t="shared" si="10"/>
        <v>0.13408723747980614</v>
      </c>
      <c r="AW7" s="84">
        <f t="shared" si="11"/>
        <v>0.13247172859450726</v>
      </c>
      <c r="AX7" s="74"/>
      <c r="AY7" s="74"/>
      <c r="AZ7" s="74"/>
      <c r="BA7" s="84"/>
      <c r="BB7" s="74">
        <v>234</v>
      </c>
      <c r="BC7" s="81"/>
      <c r="BD7" s="74">
        <v>50</v>
      </c>
      <c r="BE7" s="81"/>
      <c r="BF7" s="74">
        <v>64</v>
      </c>
      <c r="BG7" s="81"/>
      <c r="BH7" s="74">
        <v>53</v>
      </c>
      <c r="BI7" s="81"/>
      <c r="BJ7" s="74">
        <v>121</v>
      </c>
      <c r="BK7" s="81"/>
      <c r="BL7" s="74">
        <v>49</v>
      </c>
      <c r="BM7" s="81"/>
      <c r="BN7" s="74">
        <v>19</v>
      </c>
      <c r="BO7" s="81"/>
      <c r="BP7" s="74">
        <v>29</v>
      </c>
      <c r="BQ7" s="81"/>
    </row>
    <row r="8" spans="1:69" x14ac:dyDescent="0.25">
      <c r="A8" s="85">
        <f t="shared" ref="A8:A71" si="22">A7+7</f>
        <v>45170</v>
      </c>
      <c r="B8" s="74">
        <f t="shared" si="12"/>
        <v>580</v>
      </c>
      <c r="C8" s="81"/>
      <c r="D8" s="74">
        <f t="shared" si="13"/>
        <v>29</v>
      </c>
      <c r="E8" s="99"/>
      <c r="F8" s="74">
        <v>241.3032786948001</v>
      </c>
      <c r="G8" s="81"/>
      <c r="H8" s="74">
        <v>211.42076503520011</v>
      </c>
      <c r="I8" s="99"/>
      <c r="J8" s="74">
        <f t="shared" si="14"/>
        <v>580</v>
      </c>
      <c r="K8" s="81"/>
      <c r="L8" s="74">
        <f t="shared" si="15"/>
        <v>29</v>
      </c>
      <c r="M8" s="99"/>
      <c r="N8" s="74">
        <f t="shared" si="16"/>
        <v>212</v>
      </c>
      <c r="O8" s="81"/>
      <c r="P8" s="74">
        <f t="shared" si="17"/>
        <v>29</v>
      </c>
      <c r="Q8" s="99"/>
      <c r="R8" s="74">
        <v>212</v>
      </c>
      <c r="S8" s="81"/>
      <c r="T8" s="74">
        <v>29</v>
      </c>
      <c r="U8" s="99"/>
      <c r="V8" s="74">
        <v>0</v>
      </c>
      <c r="W8" s="81"/>
      <c r="X8" s="74">
        <v>0</v>
      </c>
      <c r="Y8" s="99"/>
      <c r="Z8" s="74">
        <v>368</v>
      </c>
      <c r="AA8" s="81"/>
      <c r="AB8" s="74">
        <v>0</v>
      </c>
      <c r="AC8" s="99"/>
      <c r="AD8" s="105">
        <v>29.882513659600008</v>
      </c>
      <c r="AE8" s="81"/>
      <c r="AF8" s="105">
        <v>0</v>
      </c>
      <c r="AG8" s="99"/>
      <c r="AH8" s="74">
        <v>368</v>
      </c>
      <c r="AI8" s="81"/>
      <c r="AJ8" s="74">
        <v>0</v>
      </c>
      <c r="AK8" s="99"/>
      <c r="AL8" s="74">
        <f t="shared" si="18"/>
        <v>307</v>
      </c>
      <c r="AM8" s="81"/>
      <c r="AN8" s="74">
        <f t="shared" si="19"/>
        <v>92</v>
      </c>
      <c r="AO8" s="81"/>
      <c r="AP8" s="74">
        <f t="shared" si="20"/>
        <v>117</v>
      </c>
      <c r="AQ8" s="81"/>
      <c r="AR8" s="74">
        <f t="shared" si="21"/>
        <v>64</v>
      </c>
      <c r="AS8" s="81"/>
      <c r="AT8" s="83">
        <f t="shared" si="8"/>
        <v>0.52931034482758621</v>
      </c>
      <c r="AU8" s="83">
        <f t="shared" si="9"/>
        <v>0.15862068965517243</v>
      </c>
      <c r="AV8" s="83">
        <f t="shared" si="10"/>
        <v>0.20172413793103447</v>
      </c>
      <c r="AW8" s="84">
        <f t="shared" si="11"/>
        <v>0.1103448275862069</v>
      </c>
      <c r="AX8" s="74"/>
      <c r="AY8" s="74"/>
      <c r="AZ8" s="74"/>
      <c r="BA8" s="84"/>
      <c r="BB8" s="74">
        <v>194</v>
      </c>
      <c r="BC8" s="81"/>
      <c r="BD8" s="74">
        <v>45</v>
      </c>
      <c r="BE8" s="81"/>
      <c r="BF8" s="74">
        <v>85</v>
      </c>
      <c r="BG8" s="81"/>
      <c r="BH8" s="74">
        <v>44</v>
      </c>
      <c r="BI8" s="81"/>
      <c r="BJ8" s="74">
        <v>113</v>
      </c>
      <c r="BK8" s="81"/>
      <c r="BL8" s="74">
        <v>47</v>
      </c>
      <c r="BM8" s="81"/>
      <c r="BN8" s="74">
        <v>32</v>
      </c>
      <c r="BO8" s="81"/>
      <c r="BP8" s="74">
        <v>20</v>
      </c>
      <c r="BQ8" s="81"/>
    </row>
    <row r="9" spans="1:69" x14ac:dyDescent="0.25">
      <c r="A9" s="85">
        <f t="shared" si="22"/>
        <v>45177</v>
      </c>
      <c r="B9" s="74">
        <f t="shared" si="12"/>
        <v>586</v>
      </c>
      <c r="C9" s="81">
        <f>AVERAGE(B6:B9)</f>
        <v>597.75</v>
      </c>
      <c r="D9" s="74">
        <f t="shared" si="13"/>
        <v>23</v>
      </c>
      <c r="E9" s="99">
        <f>AVERAGE(D6:D9)</f>
        <v>29.5</v>
      </c>
      <c r="F9" s="74">
        <v>220.85792351320003</v>
      </c>
      <c r="G9" s="81">
        <f>AVERAGE(F6:F9)</f>
        <v>240.41051913237507</v>
      </c>
      <c r="H9" s="74">
        <v>189.48087432400004</v>
      </c>
      <c r="I9" s="99">
        <f>AVERAGE(H6:H9)</f>
        <v>209.29644809515008</v>
      </c>
      <c r="J9" s="74">
        <f t="shared" si="14"/>
        <v>586</v>
      </c>
      <c r="K9" s="81">
        <f>AVERAGE(J6:J9)</f>
        <v>597.75</v>
      </c>
      <c r="L9" s="74">
        <f t="shared" si="15"/>
        <v>23</v>
      </c>
      <c r="M9" s="99">
        <f>AVERAGE(L6:L9)</f>
        <v>29.5</v>
      </c>
      <c r="N9" s="74">
        <f t="shared" si="16"/>
        <v>190</v>
      </c>
      <c r="O9" s="81">
        <f>AVERAGE(N6:N9)</f>
        <v>209.5</v>
      </c>
      <c r="P9" s="74">
        <f t="shared" si="17"/>
        <v>23</v>
      </c>
      <c r="Q9" s="99">
        <f>AVERAGE(P6:P9)</f>
        <v>25</v>
      </c>
      <c r="R9" s="74">
        <v>190</v>
      </c>
      <c r="S9" s="81">
        <f>AVERAGE(R6:R9)</f>
        <v>209.5</v>
      </c>
      <c r="T9" s="74">
        <v>23</v>
      </c>
      <c r="U9" s="99">
        <f>AVERAGE(T6:T9)</f>
        <v>25</v>
      </c>
      <c r="V9" s="74">
        <v>0</v>
      </c>
      <c r="W9" s="81">
        <f>AVERAGE(V6:V9)</f>
        <v>0</v>
      </c>
      <c r="X9" s="74">
        <v>0</v>
      </c>
      <c r="Y9" s="99">
        <f>AVERAGE(X6:X9)</f>
        <v>0</v>
      </c>
      <c r="Z9" s="74">
        <v>396</v>
      </c>
      <c r="AA9" s="81">
        <f>AVERAGE(Z6:Z9)</f>
        <v>388.25</v>
      </c>
      <c r="AB9" s="74">
        <v>0</v>
      </c>
      <c r="AC9" s="99">
        <f>AVERAGE(AB6:AB9)</f>
        <v>4.5</v>
      </c>
      <c r="AD9" s="105">
        <v>31.377049189200008</v>
      </c>
      <c r="AE9" s="81">
        <f>AVERAGE(AD6:AD9)</f>
        <v>31.482923496175012</v>
      </c>
      <c r="AF9" s="105">
        <v>0</v>
      </c>
      <c r="AG9" s="99">
        <f>AVERAGE(AF6:AF9)</f>
        <v>0.36885245895000002</v>
      </c>
      <c r="AH9" s="74">
        <v>396</v>
      </c>
      <c r="AI9" s="81">
        <f>AVERAGE(AH6:AH9)</f>
        <v>388.25</v>
      </c>
      <c r="AJ9" s="74">
        <v>0</v>
      </c>
      <c r="AK9" s="99">
        <f>AVERAGE(AJ6:AJ9)</f>
        <v>4.5</v>
      </c>
      <c r="AL9" s="74">
        <f t="shared" si="18"/>
        <v>308</v>
      </c>
      <c r="AM9" s="81"/>
      <c r="AN9" s="74">
        <f t="shared" si="19"/>
        <v>81</v>
      </c>
      <c r="AO9" s="81"/>
      <c r="AP9" s="74">
        <f t="shared" si="20"/>
        <v>133</v>
      </c>
      <c r="AQ9" s="81"/>
      <c r="AR9" s="74">
        <f t="shared" si="21"/>
        <v>64</v>
      </c>
      <c r="AS9" s="81"/>
      <c r="AT9" s="83">
        <f t="shared" si="8"/>
        <v>0.52559726962457343</v>
      </c>
      <c r="AU9" s="83">
        <f t="shared" si="9"/>
        <v>0.13822525597269625</v>
      </c>
      <c r="AV9" s="83">
        <f t="shared" si="10"/>
        <v>0.22696245733788395</v>
      </c>
      <c r="AW9" s="84">
        <f t="shared" si="11"/>
        <v>0.10921501706484642</v>
      </c>
      <c r="AX9" s="74"/>
      <c r="AY9" s="74"/>
      <c r="AZ9" s="74"/>
      <c r="BA9" s="84"/>
      <c r="BB9" s="74">
        <v>205</v>
      </c>
      <c r="BC9" s="81"/>
      <c r="BD9" s="74">
        <v>44</v>
      </c>
      <c r="BE9" s="81"/>
      <c r="BF9" s="74">
        <v>103</v>
      </c>
      <c r="BG9" s="81"/>
      <c r="BH9" s="74">
        <v>44</v>
      </c>
      <c r="BI9" s="81"/>
      <c r="BJ9" s="74">
        <v>103</v>
      </c>
      <c r="BK9" s="81"/>
      <c r="BL9" s="74">
        <v>37</v>
      </c>
      <c r="BM9" s="81"/>
      <c r="BN9" s="74">
        <v>30</v>
      </c>
      <c r="BO9" s="81"/>
      <c r="BP9" s="74">
        <v>20</v>
      </c>
      <c r="BQ9" s="81"/>
    </row>
    <row r="10" spans="1:69" x14ac:dyDescent="0.25">
      <c r="A10" s="85">
        <f t="shared" si="22"/>
        <v>45184</v>
      </c>
      <c r="B10" s="74">
        <f t="shared" si="12"/>
        <v>573</v>
      </c>
      <c r="C10" s="81">
        <f t="shared" ref="C10:C73" si="23">AVERAGE(B7:B10)</f>
        <v>587</v>
      </c>
      <c r="D10" s="74">
        <f t="shared" si="13"/>
        <v>25</v>
      </c>
      <c r="E10" s="99">
        <f t="shared" ref="E10:E73" si="24">AVERAGE(D7:D10)</f>
        <v>26.75</v>
      </c>
      <c r="F10" s="74">
        <v>226.25409837640001</v>
      </c>
      <c r="G10" s="81">
        <f t="shared" ref="G10:G73" si="25">AVERAGE(F7:F10)</f>
        <v>234.46721312482504</v>
      </c>
      <c r="H10" s="74">
        <v>196.46174864120002</v>
      </c>
      <c r="I10" s="99">
        <f t="shared" ref="I10:I73" si="26">AVERAGE(H7:H10)</f>
        <v>203.89685793105008</v>
      </c>
      <c r="J10" s="74">
        <f t="shared" si="14"/>
        <v>573</v>
      </c>
      <c r="K10" s="81">
        <f t="shared" ref="K10:K73" si="27">AVERAGE(J7:J10)</f>
        <v>587</v>
      </c>
      <c r="L10" s="74">
        <f t="shared" si="15"/>
        <v>25</v>
      </c>
      <c r="M10" s="99">
        <f t="shared" ref="M10:M73" si="28">AVERAGE(L7:L10)</f>
        <v>26.75</v>
      </c>
      <c r="N10" s="74">
        <f t="shared" si="16"/>
        <v>197</v>
      </c>
      <c r="O10" s="81">
        <f t="shared" ref="O10:O73" si="29">AVERAGE(N7:N10)</f>
        <v>204.25</v>
      </c>
      <c r="P10" s="74">
        <f t="shared" si="17"/>
        <v>25</v>
      </c>
      <c r="Q10" s="99">
        <f t="shared" ref="Q10:Q73" si="30">AVERAGE(P7:P10)</f>
        <v>24.25</v>
      </c>
      <c r="R10" s="74">
        <v>197</v>
      </c>
      <c r="S10" s="81">
        <f t="shared" ref="S10:S73" si="31">AVERAGE(R7:R10)</f>
        <v>204.25</v>
      </c>
      <c r="T10" s="74">
        <v>25</v>
      </c>
      <c r="U10" s="99">
        <f t="shared" ref="U10:U73" si="32">AVERAGE(T7:T10)</f>
        <v>24.25</v>
      </c>
      <c r="V10" s="74">
        <v>0</v>
      </c>
      <c r="W10" s="81">
        <f t="shared" ref="W10:W73" si="33">AVERAGE(V7:V10)</f>
        <v>0</v>
      </c>
      <c r="X10" s="74">
        <v>0</v>
      </c>
      <c r="Y10" s="99">
        <f t="shared" ref="Y10:Y73" si="34">AVERAGE(X7:X10)</f>
        <v>0</v>
      </c>
      <c r="Z10" s="74">
        <v>376</v>
      </c>
      <c r="AA10" s="81">
        <f t="shared" ref="AA10:AA73" si="35">AVERAGE(Z7:Z10)</f>
        <v>382.75</v>
      </c>
      <c r="AB10" s="74">
        <v>0</v>
      </c>
      <c r="AC10" s="99">
        <f t="shared" ref="AC10:AC73" si="36">AVERAGE(AB7:AB10)</f>
        <v>2.5</v>
      </c>
      <c r="AD10" s="105">
        <v>29.792349735200006</v>
      </c>
      <c r="AE10" s="81">
        <f t="shared" ref="AE10:AE73" si="37">AVERAGE(AD7:AD10)</f>
        <v>30.775273226525009</v>
      </c>
      <c r="AF10" s="105">
        <v>0</v>
      </c>
      <c r="AG10" s="99">
        <f t="shared" ref="AG10:AG73" si="38">AVERAGE(AF7:AF10)</f>
        <v>0.20491803275000001</v>
      </c>
      <c r="AH10" s="74">
        <v>376</v>
      </c>
      <c r="AI10" s="81">
        <f t="shared" ref="AI10:AI73" si="39">AVERAGE(AH7:AH10)</f>
        <v>382.75</v>
      </c>
      <c r="AJ10" s="74">
        <v>0</v>
      </c>
      <c r="AK10" s="99">
        <f t="shared" ref="AK10:AK73" si="40">AVERAGE(AJ7:AJ10)</f>
        <v>2.5</v>
      </c>
      <c r="AL10" s="74">
        <f t="shared" si="18"/>
        <v>311</v>
      </c>
      <c r="AM10" s="81"/>
      <c r="AN10" s="74">
        <f t="shared" si="19"/>
        <v>64</v>
      </c>
      <c r="AO10" s="81"/>
      <c r="AP10" s="74">
        <f t="shared" si="20"/>
        <v>135</v>
      </c>
      <c r="AQ10" s="81"/>
      <c r="AR10" s="74">
        <f t="shared" si="21"/>
        <v>63</v>
      </c>
      <c r="AS10" s="81"/>
      <c r="AT10" s="83">
        <f t="shared" si="8"/>
        <v>0.54275741710296688</v>
      </c>
      <c r="AU10" s="83">
        <f t="shared" si="9"/>
        <v>0.11169284467713787</v>
      </c>
      <c r="AV10" s="83">
        <f t="shared" si="10"/>
        <v>0.2356020942408377</v>
      </c>
      <c r="AW10" s="84">
        <f t="shared" si="11"/>
        <v>0.1099476439790576</v>
      </c>
      <c r="AX10" s="74"/>
      <c r="AY10" s="74"/>
      <c r="AZ10" s="74"/>
      <c r="BA10" s="84"/>
      <c r="BB10" s="74">
        <v>197</v>
      </c>
      <c r="BC10" s="81"/>
      <c r="BD10" s="74">
        <v>35</v>
      </c>
      <c r="BE10" s="81"/>
      <c r="BF10" s="74">
        <v>109</v>
      </c>
      <c r="BG10" s="81"/>
      <c r="BH10" s="74">
        <v>35</v>
      </c>
      <c r="BI10" s="81"/>
      <c r="BJ10" s="74">
        <v>114</v>
      </c>
      <c r="BK10" s="81"/>
      <c r="BL10" s="74">
        <v>29</v>
      </c>
      <c r="BM10" s="81"/>
      <c r="BN10" s="74">
        <v>26</v>
      </c>
      <c r="BO10" s="81"/>
      <c r="BP10" s="74">
        <v>28</v>
      </c>
      <c r="BQ10" s="81"/>
    </row>
    <row r="11" spans="1:69" x14ac:dyDescent="0.25">
      <c r="A11" s="85">
        <f t="shared" si="22"/>
        <v>45191</v>
      </c>
      <c r="B11" s="74">
        <f t="shared" si="12"/>
        <v>611</v>
      </c>
      <c r="C11" s="81">
        <f t="shared" si="23"/>
        <v>587.5</v>
      </c>
      <c r="D11" s="74">
        <f t="shared" si="13"/>
        <v>40</v>
      </c>
      <c r="E11" s="99">
        <f t="shared" si="24"/>
        <v>29.25</v>
      </c>
      <c r="F11" s="74">
        <v>217.33060110930003</v>
      </c>
      <c r="G11" s="81">
        <f t="shared" si="25"/>
        <v>226.43647542342504</v>
      </c>
      <c r="H11" s="74">
        <v>183.65573771180001</v>
      </c>
      <c r="I11" s="99">
        <f t="shared" si="26"/>
        <v>195.25478142805005</v>
      </c>
      <c r="J11" s="74">
        <f t="shared" si="14"/>
        <v>611</v>
      </c>
      <c r="K11" s="81">
        <f t="shared" si="27"/>
        <v>587.5</v>
      </c>
      <c r="L11" s="74">
        <f t="shared" si="15"/>
        <v>40</v>
      </c>
      <c r="M11" s="99">
        <f t="shared" si="28"/>
        <v>29.25</v>
      </c>
      <c r="N11" s="74">
        <f t="shared" si="16"/>
        <v>184</v>
      </c>
      <c r="O11" s="81">
        <f t="shared" si="29"/>
        <v>195.75</v>
      </c>
      <c r="P11" s="74">
        <f t="shared" si="17"/>
        <v>38</v>
      </c>
      <c r="Q11" s="99">
        <f t="shared" si="30"/>
        <v>28.75</v>
      </c>
      <c r="R11" s="74">
        <v>184</v>
      </c>
      <c r="S11" s="81">
        <f t="shared" si="31"/>
        <v>195.75</v>
      </c>
      <c r="T11" s="74">
        <v>38</v>
      </c>
      <c r="U11" s="99">
        <f t="shared" si="32"/>
        <v>28.75</v>
      </c>
      <c r="V11" s="74">
        <v>0</v>
      </c>
      <c r="W11" s="81">
        <f t="shared" si="33"/>
        <v>0</v>
      </c>
      <c r="X11" s="74">
        <v>0</v>
      </c>
      <c r="Y11" s="99">
        <f t="shared" si="34"/>
        <v>0</v>
      </c>
      <c r="Z11" s="74">
        <v>427</v>
      </c>
      <c r="AA11" s="81">
        <f t="shared" si="35"/>
        <v>391.75</v>
      </c>
      <c r="AB11" s="74">
        <v>2</v>
      </c>
      <c r="AC11" s="99">
        <f t="shared" si="36"/>
        <v>0.5</v>
      </c>
      <c r="AD11" s="105">
        <v>33.833333342900012</v>
      </c>
      <c r="AE11" s="81">
        <f t="shared" si="37"/>
        <v>31.22131148172501</v>
      </c>
      <c r="AF11" s="105">
        <v>0.15846994540000001</v>
      </c>
      <c r="AG11" s="99">
        <f t="shared" si="38"/>
        <v>3.9617486350000002E-2</v>
      </c>
      <c r="AH11" s="74">
        <v>427</v>
      </c>
      <c r="AI11" s="81">
        <f t="shared" si="39"/>
        <v>391.75</v>
      </c>
      <c r="AJ11" s="74">
        <v>2</v>
      </c>
      <c r="AK11" s="99">
        <f t="shared" si="40"/>
        <v>0.5</v>
      </c>
      <c r="AL11" s="74">
        <f t="shared" si="18"/>
        <v>313</v>
      </c>
      <c r="AM11" s="81"/>
      <c r="AN11" s="74">
        <f t="shared" si="19"/>
        <v>57</v>
      </c>
      <c r="AO11" s="81"/>
      <c r="AP11" s="74">
        <f t="shared" si="20"/>
        <v>167</v>
      </c>
      <c r="AQ11" s="81"/>
      <c r="AR11" s="74">
        <f t="shared" si="21"/>
        <v>76</v>
      </c>
      <c r="AS11" s="81"/>
      <c r="AT11" s="83">
        <f t="shared" si="8"/>
        <v>0.51060358890701463</v>
      </c>
      <c r="AU11" s="83">
        <f t="shared" si="9"/>
        <v>9.2985318107667206E-2</v>
      </c>
      <c r="AV11" s="83">
        <f t="shared" si="10"/>
        <v>0.27243066884176181</v>
      </c>
      <c r="AW11" s="84">
        <f t="shared" si="11"/>
        <v>0.12398042414355628</v>
      </c>
      <c r="AX11" s="74"/>
      <c r="AY11" s="74"/>
      <c r="AZ11" s="74"/>
      <c r="BA11" s="84"/>
      <c r="BB11" s="74">
        <v>216</v>
      </c>
      <c r="BC11" s="81"/>
      <c r="BD11" s="74">
        <v>30</v>
      </c>
      <c r="BE11" s="81"/>
      <c r="BF11" s="74">
        <v>136</v>
      </c>
      <c r="BG11" s="81"/>
      <c r="BH11" s="74">
        <v>47</v>
      </c>
      <c r="BI11" s="81"/>
      <c r="BJ11" s="74">
        <v>97</v>
      </c>
      <c r="BK11" s="81"/>
      <c r="BL11" s="74">
        <v>27</v>
      </c>
      <c r="BM11" s="81"/>
      <c r="BN11" s="74">
        <v>31</v>
      </c>
      <c r="BO11" s="81"/>
      <c r="BP11" s="74">
        <v>29</v>
      </c>
      <c r="BQ11" s="81"/>
    </row>
    <row r="12" spans="1:69" x14ac:dyDescent="0.25">
      <c r="A12" s="85">
        <f t="shared" si="22"/>
        <v>45198</v>
      </c>
      <c r="B12" s="74">
        <f t="shared" si="12"/>
        <v>561</v>
      </c>
      <c r="C12" s="81">
        <f t="shared" si="23"/>
        <v>582.75</v>
      </c>
      <c r="D12" s="74">
        <f t="shared" si="13"/>
        <v>75</v>
      </c>
      <c r="E12" s="99">
        <f t="shared" si="24"/>
        <v>40.75</v>
      </c>
      <c r="F12" s="74">
        <v>196.84426231009999</v>
      </c>
      <c r="G12" s="81">
        <f t="shared" si="25"/>
        <v>215.32172132725003</v>
      </c>
      <c r="H12" s="74">
        <v>168.47814208349999</v>
      </c>
      <c r="I12" s="99">
        <f t="shared" si="26"/>
        <v>184.51912569012501</v>
      </c>
      <c r="J12" s="74">
        <f t="shared" si="14"/>
        <v>561</v>
      </c>
      <c r="K12" s="81">
        <f t="shared" si="27"/>
        <v>582.75</v>
      </c>
      <c r="L12" s="74">
        <f t="shared" si="15"/>
        <v>75</v>
      </c>
      <c r="M12" s="99">
        <f t="shared" si="28"/>
        <v>40.75</v>
      </c>
      <c r="N12" s="74">
        <f t="shared" si="16"/>
        <v>166</v>
      </c>
      <c r="O12" s="81">
        <f t="shared" si="29"/>
        <v>184.25</v>
      </c>
      <c r="P12" s="74">
        <f t="shared" si="17"/>
        <v>38</v>
      </c>
      <c r="Q12" s="99">
        <f t="shared" si="30"/>
        <v>31</v>
      </c>
      <c r="R12" s="74">
        <v>166</v>
      </c>
      <c r="S12" s="81">
        <f t="shared" si="31"/>
        <v>184.25</v>
      </c>
      <c r="T12" s="74">
        <v>38</v>
      </c>
      <c r="U12" s="99">
        <f t="shared" si="32"/>
        <v>31</v>
      </c>
      <c r="V12" s="74">
        <v>0</v>
      </c>
      <c r="W12" s="81">
        <f t="shared" si="33"/>
        <v>0</v>
      </c>
      <c r="X12" s="74">
        <v>0</v>
      </c>
      <c r="Y12" s="99">
        <f t="shared" si="34"/>
        <v>0</v>
      </c>
      <c r="Z12" s="74">
        <v>395</v>
      </c>
      <c r="AA12" s="81">
        <f t="shared" si="35"/>
        <v>398.5</v>
      </c>
      <c r="AB12" s="74">
        <v>37</v>
      </c>
      <c r="AC12" s="99">
        <f t="shared" si="36"/>
        <v>9.75</v>
      </c>
      <c r="AD12" s="105">
        <v>31.297814216500011</v>
      </c>
      <c r="AE12" s="81">
        <f t="shared" si="37"/>
        <v>31.575136620950008</v>
      </c>
      <c r="AF12" s="105">
        <v>2.9316939899000003</v>
      </c>
      <c r="AG12" s="99">
        <f t="shared" si="38"/>
        <v>0.77254098382500003</v>
      </c>
      <c r="AH12" s="74">
        <v>395</v>
      </c>
      <c r="AI12" s="81">
        <f t="shared" si="39"/>
        <v>398.5</v>
      </c>
      <c r="AJ12" s="74">
        <v>37</v>
      </c>
      <c r="AK12" s="99">
        <f t="shared" si="40"/>
        <v>9.75</v>
      </c>
      <c r="AL12" s="74">
        <f t="shared" si="18"/>
        <v>316</v>
      </c>
      <c r="AM12" s="81">
        <f>AVERAGE(AL6:AL12)</f>
        <v>328.28571428571428</v>
      </c>
      <c r="AN12" s="74">
        <f t="shared" si="19"/>
        <v>68</v>
      </c>
      <c r="AO12" s="81">
        <f t="shared" ref="AO12:AO75" si="41">AVERAGE(AN6:AN12)</f>
        <v>77.857142857142861</v>
      </c>
      <c r="AP12" s="74">
        <f t="shared" si="20"/>
        <v>143</v>
      </c>
      <c r="AQ12" s="81">
        <f t="shared" ref="AQ12:AQ75" si="42">AVERAGE(AP6:AP12)</f>
        <v>123</v>
      </c>
      <c r="AR12" s="74">
        <f t="shared" si="21"/>
        <v>71</v>
      </c>
      <c r="AS12" s="81">
        <f t="shared" ref="AS12:BC75" si="43">AVERAGE(AR6:AR12)</f>
        <v>69.857142857142861</v>
      </c>
      <c r="AT12" s="83">
        <f t="shared" si="8"/>
        <v>0.52842809364548493</v>
      </c>
      <c r="AU12" s="83">
        <f t="shared" si="9"/>
        <v>0.11371237458193979</v>
      </c>
      <c r="AV12" s="83">
        <f t="shared" si="10"/>
        <v>0.2391304347826087</v>
      </c>
      <c r="AW12" s="84">
        <f t="shared" si="11"/>
        <v>0.11872909698996656</v>
      </c>
      <c r="AX12" s="83">
        <f>AVERAGE(AT6:AT12)</f>
        <v>0.54742817716908532</v>
      </c>
      <c r="AY12" s="83">
        <f>AVERAGE(AU6:AU12)</f>
        <v>0.12996960675065516</v>
      </c>
      <c r="AZ12" s="83">
        <f>AVERAGE(AV6:AV12)</f>
        <v>0.20613569301810761</v>
      </c>
      <c r="BA12" s="84">
        <f>AVERAGE(AW6:AW12)</f>
        <v>0.11646652306215201</v>
      </c>
      <c r="BB12" s="74">
        <v>232</v>
      </c>
      <c r="BC12" s="81">
        <f t="shared" si="43"/>
        <v>218.42857142857142</v>
      </c>
      <c r="BD12" s="74">
        <v>42</v>
      </c>
      <c r="BE12" s="81">
        <f t="shared" ref="BE12:BE75" si="44">AVERAGE(BD6:BD12)</f>
        <v>41.714285714285715</v>
      </c>
      <c r="BF12" s="74">
        <v>114</v>
      </c>
      <c r="BG12" s="81">
        <f t="shared" ref="BG12:BG75" si="45">AVERAGE(BF6:BF12)</f>
        <v>96.714285714285708</v>
      </c>
      <c r="BH12" s="74">
        <v>44</v>
      </c>
      <c r="BI12" s="81">
        <f t="shared" ref="BI12:BI75" si="46">AVERAGE(BH6:BH12)</f>
        <v>44.285714285714285</v>
      </c>
      <c r="BJ12" s="74">
        <v>84</v>
      </c>
      <c r="BK12" s="81">
        <f t="shared" ref="BK12:BK75" si="47">AVERAGE(BJ6:BJ12)</f>
        <v>109.85714285714286</v>
      </c>
      <c r="BL12" s="74">
        <v>26</v>
      </c>
      <c r="BM12" s="81">
        <f t="shared" ref="BM12:BM75" si="48">AVERAGE(BL6:BL12)</f>
        <v>36.142857142857146</v>
      </c>
      <c r="BN12" s="74">
        <v>29</v>
      </c>
      <c r="BO12" s="81">
        <f t="shared" ref="BO12:BO75" si="49">AVERAGE(BN6:BN12)</f>
        <v>26.285714285714285</v>
      </c>
      <c r="BP12" s="74">
        <v>27</v>
      </c>
      <c r="BQ12" s="81">
        <f t="shared" ref="BQ12:BQ75" si="50">AVERAGE(BP6:BP12)</f>
        <v>25.571428571428573</v>
      </c>
    </row>
    <row r="13" spans="1:69" x14ac:dyDescent="0.25">
      <c r="A13" s="85">
        <f t="shared" si="22"/>
        <v>45205</v>
      </c>
      <c r="B13" s="74">
        <f t="shared" si="12"/>
        <v>508</v>
      </c>
      <c r="C13" s="81">
        <f t="shared" si="23"/>
        <v>563.25</v>
      </c>
      <c r="D13" s="74">
        <f t="shared" si="13"/>
        <v>63</v>
      </c>
      <c r="E13" s="99">
        <f t="shared" si="24"/>
        <v>50.75</v>
      </c>
      <c r="F13" s="74">
        <v>172.34426229750005</v>
      </c>
      <c r="G13" s="81">
        <f t="shared" si="25"/>
        <v>203.19330602332502</v>
      </c>
      <c r="H13" s="74">
        <v>145.29508197230004</v>
      </c>
      <c r="I13" s="99">
        <f t="shared" si="26"/>
        <v>173.47267760220001</v>
      </c>
      <c r="J13" s="74">
        <f t="shared" si="14"/>
        <v>508</v>
      </c>
      <c r="K13" s="81">
        <f t="shared" si="27"/>
        <v>563.25</v>
      </c>
      <c r="L13" s="74">
        <f t="shared" si="15"/>
        <v>63</v>
      </c>
      <c r="M13" s="99">
        <f t="shared" si="28"/>
        <v>50.75</v>
      </c>
      <c r="N13" s="74">
        <f t="shared" si="16"/>
        <v>143</v>
      </c>
      <c r="O13" s="81">
        <f t="shared" si="29"/>
        <v>172.5</v>
      </c>
      <c r="P13" s="74">
        <f t="shared" si="17"/>
        <v>30</v>
      </c>
      <c r="Q13" s="99">
        <f t="shared" si="30"/>
        <v>32.75</v>
      </c>
      <c r="R13" s="74">
        <v>143</v>
      </c>
      <c r="S13" s="81">
        <f t="shared" si="31"/>
        <v>172.5</v>
      </c>
      <c r="T13" s="74">
        <v>30</v>
      </c>
      <c r="U13" s="99">
        <f t="shared" si="32"/>
        <v>32.75</v>
      </c>
      <c r="V13" s="74">
        <v>0</v>
      </c>
      <c r="W13" s="81">
        <f t="shared" si="33"/>
        <v>0</v>
      </c>
      <c r="X13" s="74">
        <v>0</v>
      </c>
      <c r="Y13" s="99">
        <f t="shared" si="34"/>
        <v>0</v>
      </c>
      <c r="Z13" s="74">
        <v>365</v>
      </c>
      <c r="AA13" s="81">
        <f t="shared" si="35"/>
        <v>390.75</v>
      </c>
      <c r="AB13" s="74">
        <v>33</v>
      </c>
      <c r="AC13" s="99">
        <f t="shared" si="36"/>
        <v>18</v>
      </c>
      <c r="AD13" s="105">
        <v>29.73497267470001</v>
      </c>
      <c r="AE13" s="81">
        <f t="shared" si="37"/>
        <v>31.164617492325007</v>
      </c>
      <c r="AF13" s="105">
        <v>2.6857923494999998</v>
      </c>
      <c r="AG13" s="99">
        <f t="shared" si="38"/>
        <v>1.4439890711999999</v>
      </c>
      <c r="AH13" s="74">
        <v>365</v>
      </c>
      <c r="AI13" s="81">
        <f t="shared" si="39"/>
        <v>390.75</v>
      </c>
      <c r="AJ13" s="74">
        <v>33</v>
      </c>
      <c r="AK13" s="99">
        <f t="shared" si="40"/>
        <v>18</v>
      </c>
      <c r="AL13" s="74">
        <f t="shared" si="18"/>
        <v>265</v>
      </c>
      <c r="AM13" s="81">
        <f t="shared" ref="AM13:AM76" si="51">AVERAGE(AL7:AL13)</f>
        <v>310.71428571428572</v>
      </c>
      <c r="AN13" s="74">
        <f t="shared" si="19"/>
        <v>72</v>
      </c>
      <c r="AO13" s="81">
        <f t="shared" si="41"/>
        <v>76.142857142857139</v>
      </c>
      <c r="AP13" s="74">
        <f t="shared" si="20"/>
        <v>145</v>
      </c>
      <c r="AQ13" s="81">
        <f t="shared" si="42"/>
        <v>131.85714285714286</v>
      </c>
      <c r="AR13" s="74">
        <f t="shared" si="21"/>
        <v>59</v>
      </c>
      <c r="AS13" s="81">
        <f t="shared" si="43"/>
        <v>68.428571428571431</v>
      </c>
      <c r="AT13" s="83">
        <f t="shared" si="8"/>
        <v>0.4898336414048059</v>
      </c>
      <c r="AU13" s="83">
        <f t="shared" si="9"/>
        <v>0.13308687615526801</v>
      </c>
      <c r="AV13" s="83">
        <f t="shared" si="10"/>
        <v>0.26802218114602588</v>
      </c>
      <c r="AW13" s="84">
        <f t="shared" si="11"/>
        <v>0.10905730129390019</v>
      </c>
      <c r="AX13" s="83">
        <f t="shared" ref="AX13:BA28" si="52">AVERAGE(AT7:AT13)</f>
        <v>0.52857657282764714</v>
      </c>
      <c r="AY13" s="83">
        <f t="shared" si="52"/>
        <v>0.12975124839920996</v>
      </c>
      <c r="AZ13" s="83">
        <f t="shared" si="52"/>
        <v>0.22542274453713693</v>
      </c>
      <c r="BA13" s="84">
        <f t="shared" si="52"/>
        <v>0.11624943423600589</v>
      </c>
      <c r="BB13" s="74">
        <v>192</v>
      </c>
      <c r="BC13" s="81">
        <f t="shared" si="43"/>
        <v>210</v>
      </c>
      <c r="BD13" s="74">
        <v>51</v>
      </c>
      <c r="BE13" s="81">
        <f t="shared" si="44"/>
        <v>42.428571428571431</v>
      </c>
      <c r="BF13" s="74">
        <v>115</v>
      </c>
      <c r="BG13" s="81">
        <f t="shared" si="45"/>
        <v>103.71428571428571</v>
      </c>
      <c r="BH13" s="74">
        <v>40</v>
      </c>
      <c r="BI13" s="81">
        <f t="shared" si="46"/>
        <v>43.857142857142854</v>
      </c>
      <c r="BJ13" s="74">
        <v>73</v>
      </c>
      <c r="BK13" s="81">
        <f t="shared" si="47"/>
        <v>100.71428571428571</v>
      </c>
      <c r="BL13" s="74">
        <v>21</v>
      </c>
      <c r="BM13" s="81">
        <f t="shared" si="48"/>
        <v>33.714285714285715</v>
      </c>
      <c r="BN13" s="74">
        <v>30</v>
      </c>
      <c r="BO13" s="81">
        <f t="shared" si="49"/>
        <v>28.142857142857142</v>
      </c>
      <c r="BP13" s="74">
        <v>19</v>
      </c>
      <c r="BQ13" s="81">
        <f t="shared" si="50"/>
        <v>24.571428571428573</v>
      </c>
    </row>
    <row r="14" spans="1:69" x14ac:dyDescent="0.25">
      <c r="A14" s="85">
        <f t="shared" si="22"/>
        <v>45212</v>
      </c>
      <c r="B14" s="74">
        <f t="shared" si="12"/>
        <v>695</v>
      </c>
      <c r="C14" s="81">
        <f t="shared" si="23"/>
        <v>593.75</v>
      </c>
      <c r="D14" s="74">
        <f t="shared" si="13"/>
        <v>50</v>
      </c>
      <c r="E14" s="99">
        <f t="shared" si="24"/>
        <v>57</v>
      </c>
      <c r="F14" s="74">
        <v>249.18032786950008</v>
      </c>
      <c r="G14" s="81">
        <f t="shared" si="25"/>
        <v>208.92486339660005</v>
      </c>
      <c r="H14" s="74">
        <v>211.31147541730007</v>
      </c>
      <c r="I14" s="99">
        <f t="shared" si="26"/>
        <v>177.18510929622505</v>
      </c>
      <c r="J14" s="74">
        <f t="shared" si="14"/>
        <v>695</v>
      </c>
      <c r="K14" s="81">
        <f t="shared" si="27"/>
        <v>593.75</v>
      </c>
      <c r="L14" s="74">
        <f t="shared" si="15"/>
        <v>50</v>
      </c>
      <c r="M14" s="99">
        <f t="shared" si="28"/>
        <v>57</v>
      </c>
      <c r="N14" s="74">
        <f t="shared" si="16"/>
        <v>210</v>
      </c>
      <c r="O14" s="81">
        <f t="shared" si="29"/>
        <v>175.75</v>
      </c>
      <c r="P14" s="74">
        <f t="shared" si="17"/>
        <v>27</v>
      </c>
      <c r="Q14" s="99">
        <f t="shared" si="30"/>
        <v>33.25</v>
      </c>
      <c r="R14" s="74">
        <v>210</v>
      </c>
      <c r="S14" s="81">
        <f t="shared" si="31"/>
        <v>175.75</v>
      </c>
      <c r="T14" s="74">
        <v>27</v>
      </c>
      <c r="U14" s="99">
        <f t="shared" si="32"/>
        <v>33.25</v>
      </c>
      <c r="V14" s="74">
        <v>0</v>
      </c>
      <c r="W14" s="81">
        <f t="shared" si="33"/>
        <v>0</v>
      </c>
      <c r="X14" s="74">
        <v>0</v>
      </c>
      <c r="Y14" s="99">
        <f t="shared" si="34"/>
        <v>0</v>
      </c>
      <c r="Z14" s="74">
        <v>485</v>
      </c>
      <c r="AA14" s="81">
        <f t="shared" si="35"/>
        <v>418</v>
      </c>
      <c r="AB14" s="74">
        <v>23</v>
      </c>
      <c r="AC14" s="99">
        <f t="shared" si="36"/>
        <v>23.75</v>
      </c>
      <c r="AD14" s="105">
        <v>39.754098353500012</v>
      </c>
      <c r="AE14" s="81">
        <f t="shared" si="37"/>
        <v>33.655054646900012</v>
      </c>
      <c r="AF14" s="105">
        <v>1.8852459013</v>
      </c>
      <c r="AG14" s="99">
        <f t="shared" si="38"/>
        <v>1.9153005465249999</v>
      </c>
      <c r="AH14" s="74">
        <v>485</v>
      </c>
      <c r="AI14" s="81">
        <f t="shared" si="39"/>
        <v>418</v>
      </c>
      <c r="AJ14" s="74">
        <v>23</v>
      </c>
      <c r="AK14" s="99">
        <f t="shared" si="40"/>
        <v>23.75</v>
      </c>
      <c r="AL14" s="74">
        <f t="shared" si="18"/>
        <v>370</v>
      </c>
      <c r="AM14" s="81">
        <f t="shared" si="51"/>
        <v>312.85714285714283</v>
      </c>
      <c r="AN14" s="74">
        <f t="shared" si="19"/>
        <v>77</v>
      </c>
      <c r="AO14" s="81">
        <f t="shared" si="41"/>
        <v>73</v>
      </c>
      <c r="AP14" s="74">
        <f t="shared" si="20"/>
        <v>200</v>
      </c>
      <c r="AQ14" s="81">
        <f t="shared" si="42"/>
        <v>148.57142857142858</v>
      </c>
      <c r="AR14" s="74">
        <f t="shared" si="21"/>
        <v>71</v>
      </c>
      <c r="AS14" s="81">
        <f t="shared" si="43"/>
        <v>66.857142857142861</v>
      </c>
      <c r="AT14" s="83">
        <f t="shared" si="8"/>
        <v>0.51532033426183843</v>
      </c>
      <c r="AU14" s="83">
        <f t="shared" si="9"/>
        <v>0.10724233983286909</v>
      </c>
      <c r="AV14" s="83">
        <f t="shared" si="10"/>
        <v>0.2785515320334262</v>
      </c>
      <c r="AW14" s="84">
        <f t="shared" si="11"/>
        <v>9.8885793871866301E-2</v>
      </c>
      <c r="AX14" s="83">
        <f t="shared" si="52"/>
        <v>0.52026438425346722</v>
      </c>
      <c r="AY14" s="83">
        <f t="shared" si="52"/>
        <v>0.12222367128325011</v>
      </c>
      <c r="AZ14" s="83">
        <f t="shared" si="52"/>
        <v>0.24606050090193982</v>
      </c>
      <c r="BA14" s="84">
        <f t="shared" si="52"/>
        <v>0.11145144356134289</v>
      </c>
      <c r="BB14" s="74">
        <v>267</v>
      </c>
      <c r="BC14" s="81">
        <f t="shared" si="43"/>
        <v>214.71428571428572</v>
      </c>
      <c r="BD14" s="74">
        <v>48</v>
      </c>
      <c r="BE14" s="81">
        <f t="shared" si="44"/>
        <v>42.142857142857146</v>
      </c>
      <c r="BF14" s="74">
        <v>148</v>
      </c>
      <c r="BG14" s="81">
        <f t="shared" si="45"/>
        <v>115.71428571428571</v>
      </c>
      <c r="BH14" s="74">
        <v>45</v>
      </c>
      <c r="BI14" s="81">
        <f t="shared" si="46"/>
        <v>42.714285714285715</v>
      </c>
      <c r="BJ14" s="74">
        <v>103</v>
      </c>
      <c r="BK14" s="81">
        <f t="shared" si="47"/>
        <v>98.142857142857139</v>
      </c>
      <c r="BL14" s="74">
        <v>29</v>
      </c>
      <c r="BM14" s="81">
        <f t="shared" si="48"/>
        <v>30.857142857142858</v>
      </c>
      <c r="BN14" s="74">
        <v>52</v>
      </c>
      <c r="BO14" s="81">
        <f t="shared" si="49"/>
        <v>32.857142857142854</v>
      </c>
      <c r="BP14" s="74">
        <v>26</v>
      </c>
      <c r="BQ14" s="81">
        <f t="shared" si="50"/>
        <v>24.142857142857142</v>
      </c>
    </row>
    <row r="15" spans="1:69" x14ac:dyDescent="0.25">
      <c r="A15" s="85">
        <f t="shared" si="22"/>
        <v>45219</v>
      </c>
      <c r="B15" s="74">
        <f t="shared" si="12"/>
        <v>946</v>
      </c>
      <c r="C15" s="81">
        <f t="shared" si="23"/>
        <v>677.5</v>
      </c>
      <c r="D15" s="74">
        <f t="shared" si="13"/>
        <v>42</v>
      </c>
      <c r="E15" s="99">
        <f t="shared" si="24"/>
        <v>57.5</v>
      </c>
      <c r="F15" s="74">
        <v>321.92622950810005</v>
      </c>
      <c r="G15" s="81">
        <f t="shared" si="25"/>
        <v>235.07377049630003</v>
      </c>
      <c r="H15" s="74">
        <v>268.23770492760002</v>
      </c>
      <c r="I15" s="99">
        <f t="shared" si="26"/>
        <v>198.33060110017502</v>
      </c>
      <c r="J15" s="74">
        <f t="shared" si="14"/>
        <v>946</v>
      </c>
      <c r="K15" s="81">
        <f t="shared" si="27"/>
        <v>677.5</v>
      </c>
      <c r="L15" s="74">
        <f t="shared" si="15"/>
        <v>42</v>
      </c>
      <c r="M15" s="99">
        <f t="shared" si="28"/>
        <v>57.5</v>
      </c>
      <c r="N15" s="74">
        <f t="shared" si="16"/>
        <v>267</v>
      </c>
      <c r="O15" s="81">
        <f t="shared" si="29"/>
        <v>196.5</v>
      </c>
      <c r="P15" s="74">
        <f t="shared" si="17"/>
        <v>18</v>
      </c>
      <c r="Q15" s="99">
        <f t="shared" si="30"/>
        <v>28.25</v>
      </c>
      <c r="R15" s="74">
        <v>267</v>
      </c>
      <c r="S15" s="81">
        <f t="shared" si="31"/>
        <v>196.5</v>
      </c>
      <c r="T15" s="74">
        <v>18</v>
      </c>
      <c r="U15" s="99">
        <f t="shared" si="32"/>
        <v>28.25</v>
      </c>
      <c r="V15" s="74">
        <v>0</v>
      </c>
      <c r="W15" s="81">
        <f t="shared" si="33"/>
        <v>0</v>
      </c>
      <c r="X15" s="74">
        <v>0</v>
      </c>
      <c r="Y15" s="99">
        <f t="shared" si="34"/>
        <v>0</v>
      </c>
      <c r="Z15" s="74">
        <v>679</v>
      </c>
      <c r="AA15" s="81">
        <f t="shared" si="35"/>
        <v>481</v>
      </c>
      <c r="AB15" s="74">
        <v>24</v>
      </c>
      <c r="AC15" s="99">
        <f t="shared" si="36"/>
        <v>29.25</v>
      </c>
      <c r="AD15" s="105">
        <v>55.655737694900019</v>
      </c>
      <c r="AE15" s="81">
        <f t="shared" si="37"/>
        <v>39.110655734900014</v>
      </c>
      <c r="AF15" s="105">
        <v>1.9672131144</v>
      </c>
      <c r="AG15" s="99">
        <f t="shared" si="38"/>
        <v>2.367486338775</v>
      </c>
      <c r="AH15" s="74">
        <v>679</v>
      </c>
      <c r="AI15" s="81">
        <f t="shared" si="39"/>
        <v>481</v>
      </c>
      <c r="AJ15" s="74">
        <v>24</v>
      </c>
      <c r="AK15" s="99">
        <f t="shared" si="40"/>
        <v>29.25</v>
      </c>
      <c r="AL15" s="74">
        <f t="shared" si="18"/>
        <v>515</v>
      </c>
      <c r="AM15" s="81">
        <f t="shared" si="51"/>
        <v>342.57142857142856</v>
      </c>
      <c r="AN15" s="74">
        <f t="shared" si="19"/>
        <v>117</v>
      </c>
      <c r="AO15" s="81">
        <f t="shared" si="41"/>
        <v>76.571428571428569</v>
      </c>
      <c r="AP15" s="74">
        <f t="shared" si="20"/>
        <v>252</v>
      </c>
      <c r="AQ15" s="81">
        <f t="shared" si="42"/>
        <v>167.85714285714286</v>
      </c>
      <c r="AR15" s="74">
        <f t="shared" si="21"/>
        <v>86</v>
      </c>
      <c r="AS15" s="81">
        <f t="shared" si="43"/>
        <v>70</v>
      </c>
      <c r="AT15" s="83">
        <f t="shared" si="8"/>
        <v>0.53092783505154639</v>
      </c>
      <c r="AU15" s="83">
        <f t="shared" si="9"/>
        <v>0.12061855670103093</v>
      </c>
      <c r="AV15" s="83">
        <f t="shared" si="10"/>
        <v>0.25979381443298971</v>
      </c>
      <c r="AW15" s="84">
        <f t="shared" si="11"/>
        <v>8.8659793814432994E-2</v>
      </c>
      <c r="AX15" s="83">
        <f t="shared" si="52"/>
        <v>0.52049545428546151</v>
      </c>
      <c r="AY15" s="83">
        <f t="shared" si="52"/>
        <v>0.11679479514694416</v>
      </c>
      <c r="AZ15" s="83">
        <f t="shared" si="52"/>
        <v>0.25435616897364771</v>
      </c>
      <c r="BA15" s="84">
        <f t="shared" si="52"/>
        <v>0.10835358159394662</v>
      </c>
      <c r="BB15" s="74">
        <v>355</v>
      </c>
      <c r="BC15" s="81">
        <f t="shared" si="43"/>
        <v>237.71428571428572</v>
      </c>
      <c r="BD15" s="74">
        <v>81</v>
      </c>
      <c r="BE15" s="81">
        <f t="shared" si="44"/>
        <v>47.285714285714285</v>
      </c>
      <c r="BF15" s="74">
        <v>207</v>
      </c>
      <c r="BG15" s="81">
        <f t="shared" si="45"/>
        <v>133.14285714285714</v>
      </c>
      <c r="BH15" s="74">
        <v>60</v>
      </c>
      <c r="BI15" s="81">
        <f t="shared" si="46"/>
        <v>45</v>
      </c>
      <c r="BJ15" s="74">
        <v>160</v>
      </c>
      <c r="BK15" s="81">
        <f t="shared" si="47"/>
        <v>104.85714285714286</v>
      </c>
      <c r="BL15" s="74">
        <v>36</v>
      </c>
      <c r="BM15" s="81">
        <f t="shared" si="48"/>
        <v>29.285714285714285</v>
      </c>
      <c r="BN15" s="74">
        <v>45</v>
      </c>
      <c r="BO15" s="81">
        <f t="shared" si="49"/>
        <v>34.714285714285715</v>
      </c>
      <c r="BP15" s="74">
        <v>26</v>
      </c>
      <c r="BQ15" s="81">
        <f t="shared" si="50"/>
        <v>25</v>
      </c>
    </row>
    <row r="16" spans="1:69" x14ac:dyDescent="0.25">
      <c r="A16" s="85">
        <f t="shared" si="22"/>
        <v>45226</v>
      </c>
      <c r="B16" s="74">
        <f t="shared" si="12"/>
        <v>1028</v>
      </c>
      <c r="C16" s="81">
        <f t="shared" si="23"/>
        <v>794.25</v>
      </c>
      <c r="D16" s="74">
        <f t="shared" si="13"/>
        <v>40</v>
      </c>
      <c r="E16" s="99">
        <f t="shared" si="24"/>
        <v>48.75</v>
      </c>
      <c r="F16" s="74">
        <v>355.1912568308</v>
      </c>
      <c r="G16" s="81">
        <f t="shared" si="25"/>
        <v>274.66051912647504</v>
      </c>
      <c r="H16" s="74">
        <v>296.74863389049995</v>
      </c>
      <c r="I16" s="99">
        <f t="shared" si="26"/>
        <v>230.39822405192501</v>
      </c>
      <c r="J16" s="74">
        <f t="shared" si="14"/>
        <v>1028</v>
      </c>
      <c r="K16" s="81">
        <f t="shared" si="27"/>
        <v>794.25</v>
      </c>
      <c r="L16" s="74">
        <f t="shared" si="15"/>
        <v>40</v>
      </c>
      <c r="M16" s="99">
        <f t="shared" si="28"/>
        <v>48.75</v>
      </c>
      <c r="N16" s="74">
        <f t="shared" si="16"/>
        <v>296</v>
      </c>
      <c r="O16" s="81">
        <f t="shared" si="29"/>
        <v>229</v>
      </c>
      <c r="P16" s="74">
        <f t="shared" si="17"/>
        <v>21</v>
      </c>
      <c r="Q16" s="99">
        <f t="shared" si="30"/>
        <v>24</v>
      </c>
      <c r="R16" s="74">
        <v>296</v>
      </c>
      <c r="S16" s="81">
        <f t="shared" si="31"/>
        <v>229</v>
      </c>
      <c r="T16" s="74">
        <v>21</v>
      </c>
      <c r="U16" s="99">
        <f t="shared" si="32"/>
        <v>24</v>
      </c>
      <c r="V16" s="74">
        <v>0</v>
      </c>
      <c r="W16" s="81">
        <f t="shared" si="33"/>
        <v>0</v>
      </c>
      <c r="X16" s="74">
        <v>0</v>
      </c>
      <c r="Y16" s="99">
        <f t="shared" si="34"/>
        <v>0</v>
      </c>
      <c r="Z16" s="74">
        <v>732</v>
      </c>
      <c r="AA16" s="81">
        <f t="shared" si="35"/>
        <v>565.25</v>
      </c>
      <c r="AB16" s="74">
        <v>19</v>
      </c>
      <c r="AC16" s="99">
        <f t="shared" si="36"/>
        <v>24.75</v>
      </c>
      <c r="AD16" s="105">
        <v>59.99999998920002</v>
      </c>
      <c r="AE16" s="81">
        <f t="shared" si="37"/>
        <v>46.286202178075015</v>
      </c>
      <c r="AF16" s="105">
        <v>1.5573770489000001</v>
      </c>
      <c r="AG16" s="99">
        <f t="shared" si="38"/>
        <v>2.023907103525</v>
      </c>
      <c r="AH16" s="74">
        <v>732</v>
      </c>
      <c r="AI16" s="81">
        <f t="shared" si="39"/>
        <v>565.25</v>
      </c>
      <c r="AJ16" s="74">
        <v>19</v>
      </c>
      <c r="AK16" s="99">
        <f t="shared" si="40"/>
        <v>24.75</v>
      </c>
      <c r="AL16" s="74">
        <f t="shared" si="18"/>
        <v>511</v>
      </c>
      <c r="AM16" s="81">
        <f t="shared" si="51"/>
        <v>371.57142857142856</v>
      </c>
      <c r="AN16" s="74">
        <f t="shared" si="19"/>
        <v>124</v>
      </c>
      <c r="AO16" s="81">
        <f t="shared" si="41"/>
        <v>82.714285714285708</v>
      </c>
      <c r="AP16" s="74">
        <f t="shared" si="20"/>
        <v>303</v>
      </c>
      <c r="AQ16" s="81">
        <f t="shared" si="42"/>
        <v>192.14285714285714</v>
      </c>
      <c r="AR16" s="74">
        <f t="shared" si="21"/>
        <v>109</v>
      </c>
      <c r="AS16" s="81">
        <f t="shared" si="43"/>
        <v>76.428571428571431</v>
      </c>
      <c r="AT16" s="83">
        <f t="shared" si="8"/>
        <v>0.48806112702960841</v>
      </c>
      <c r="AU16" s="83">
        <f t="shared" si="9"/>
        <v>0.11843361986628462</v>
      </c>
      <c r="AV16" s="83">
        <f t="shared" si="10"/>
        <v>0.28939828080229224</v>
      </c>
      <c r="AW16" s="84">
        <f t="shared" si="11"/>
        <v>0.1041069723018147</v>
      </c>
      <c r="AX16" s="83">
        <f t="shared" si="52"/>
        <v>0.51513314820046652</v>
      </c>
      <c r="AY16" s="83">
        <f t="shared" si="52"/>
        <v>0.11396741856031394</v>
      </c>
      <c r="AZ16" s="83">
        <f t="shared" si="52"/>
        <v>0.26327557232570603</v>
      </c>
      <c r="BA16" s="84">
        <f t="shared" si="52"/>
        <v>0.10762386091351352</v>
      </c>
      <c r="BB16" s="74">
        <v>355</v>
      </c>
      <c r="BC16" s="81">
        <f t="shared" si="43"/>
        <v>259.14285714285717</v>
      </c>
      <c r="BD16" s="74">
        <v>81</v>
      </c>
      <c r="BE16" s="81">
        <f t="shared" si="44"/>
        <v>52.571428571428569</v>
      </c>
      <c r="BF16" s="74">
        <v>248</v>
      </c>
      <c r="BG16" s="81">
        <f t="shared" si="45"/>
        <v>153.85714285714286</v>
      </c>
      <c r="BH16" s="74">
        <v>67</v>
      </c>
      <c r="BI16" s="81">
        <f t="shared" si="46"/>
        <v>48.285714285714285</v>
      </c>
      <c r="BJ16" s="74">
        <v>156</v>
      </c>
      <c r="BK16" s="81">
        <f t="shared" si="47"/>
        <v>112.42857142857143</v>
      </c>
      <c r="BL16" s="74">
        <v>43</v>
      </c>
      <c r="BM16" s="81">
        <f t="shared" si="48"/>
        <v>30.142857142857142</v>
      </c>
      <c r="BN16" s="74">
        <v>55</v>
      </c>
      <c r="BO16" s="81">
        <f t="shared" si="49"/>
        <v>38.285714285714285</v>
      </c>
      <c r="BP16" s="74">
        <v>42</v>
      </c>
      <c r="BQ16" s="81">
        <f t="shared" si="50"/>
        <v>28.142857142857142</v>
      </c>
    </row>
    <row r="17" spans="1:69" x14ac:dyDescent="0.25">
      <c r="A17" s="85">
        <f t="shared" si="22"/>
        <v>45233</v>
      </c>
      <c r="B17" s="74">
        <f t="shared" si="12"/>
        <v>1346</v>
      </c>
      <c r="C17" s="81">
        <f t="shared" si="23"/>
        <v>1003.75</v>
      </c>
      <c r="D17" s="74">
        <f t="shared" si="13"/>
        <v>38</v>
      </c>
      <c r="E17" s="99">
        <f t="shared" si="24"/>
        <v>42.5</v>
      </c>
      <c r="F17" s="74">
        <v>523.75683062109999</v>
      </c>
      <c r="G17" s="81">
        <f t="shared" si="25"/>
        <v>362.51366120737498</v>
      </c>
      <c r="H17" s="74">
        <v>453.70218580919993</v>
      </c>
      <c r="I17" s="99">
        <f t="shared" si="26"/>
        <v>307.50000001114995</v>
      </c>
      <c r="J17" s="74">
        <f t="shared" si="14"/>
        <v>1346</v>
      </c>
      <c r="K17" s="81">
        <f t="shared" si="27"/>
        <v>1003.75</v>
      </c>
      <c r="L17" s="74">
        <f t="shared" si="15"/>
        <v>38</v>
      </c>
      <c r="M17" s="99">
        <f t="shared" si="28"/>
        <v>42.5</v>
      </c>
      <c r="N17" s="74">
        <f t="shared" si="16"/>
        <v>453</v>
      </c>
      <c r="O17" s="81">
        <f t="shared" si="29"/>
        <v>306.5</v>
      </c>
      <c r="P17" s="74">
        <f t="shared" si="17"/>
        <v>14</v>
      </c>
      <c r="Q17" s="99">
        <f t="shared" si="30"/>
        <v>20</v>
      </c>
      <c r="R17" s="74">
        <v>453</v>
      </c>
      <c r="S17" s="81">
        <f t="shared" si="31"/>
        <v>306.5</v>
      </c>
      <c r="T17" s="74">
        <v>14</v>
      </c>
      <c r="U17" s="99">
        <f t="shared" si="32"/>
        <v>20</v>
      </c>
      <c r="V17" s="74">
        <v>0</v>
      </c>
      <c r="W17" s="81">
        <f t="shared" si="33"/>
        <v>0</v>
      </c>
      <c r="X17" s="74">
        <v>0</v>
      </c>
      <c r="Y17" s="99">
        <f t="shared" si="34"/>
        <v>0</v>
      </c>
      <c r="Z17" s="74">
        <v>893</v>
      </c>
      <c r="AA17" s="81">
        <f t="shared" si="35"/>
        <v>697.25</v>
      </c>
      <c r="AB17" s="74">
        <v>24</v>
      </c>
      <c r="AC17" s="99">
        <f t="shared" si="36"/>
        <v>22.5</v>
      </c>
      <c r="AD17" s="105">
        <v>71.994535522300026</v>
      </c>
      <c r="AE17" s="81">
        <f t="shared" si="37"/>
        <v>56.851092889975014</v>
      </c>
      <c r="AF17" s="105">
        <v>1.9398907103999998</v>
      </c>
      <c r="AG17" s="99">
        <f t="shared" si="38"/>
        <v>1.8374316937500002</v>
      </c>
      <c r="AH17" s="74">
        <v>893</v>
      </c>
      <c r="AI17" s="81">
        <f t="shared" si="39"/>
        <v>697.25</v>
      </c>
      <c r="AJ17" s="74">
        <v>24</v>
      </c>
      <c r="AK17" s="99">
        <f t="shared" si="40"/>
        <v>22.5</v>
      </c>
      <c r="AL17" s="74">
        <f t="shared" si="18"/>
        <v>687</v>
      </c>
      <c r="AM17" s="81">
        <f t="shared" si="51"/>
        <v>425.28571428571428</v>
      </c>
      <c r="AN17" s="74">
        <f t="shared" si="19"/>
        <v>166</v>
      </c>
      <c r="AO17" s="81">
        <f t="shared" si="41"/>
        <v>97.285714285714292</v>
      </c>
      <c r="AP17" s="74">
        <f t="shared" si="20"/>
        <v>376</v>
      </c>
      <c r="AQ17" s="81">
        <f t="shared" si="42"/>
        <v>226.57142857142858</v>
      </c>
      <c r="AR17" s="74">
        <f t="shared" si="21"/>
        <v>141</v>
      </c>
      <c r="AS17" s="81">
        <f t="shared" si="43"/>
        <v>87.571428571428569</v>
      </c>
      <c r="AT17" s="83">
        <f t="shared" si="8"/>
        <v>0.50145985401459858</v>
      </c>
      <c r="AU17" s="83">
        <f t="shared" si="9"/>
        <v>0.12116788321167883</v>
      </c>
      <c r="AV17" s="83">
        <f t="shared" si="10"/>
        <v>0.27445255474452557</v>
      </c>
      <c r="AW17" s="84">
        <f t="shared" si="11"/>
        <v>0.10291970802919707</v>
      </c>
      <c r="AX17" s="83">
        <f t="shared" si="52"/>
        <v>0.50923349633069959</v>
      </c>
      <c r="AY17" s="83">
        <f t="shared" si="52"/>
        <v>0.11532099549381979</v>
      </c>
      <c r="AZ17" s="83">
        <f t="shared" si="52"/>
        <v>0.26882563811194721</v>
      </c>
      <c r="BA17" s="84">
        <f t="shared" si="52"/>
        <v>0.10661987006353343</v>
      </c>
      <c r="BB17" s="74">
        <v>451</v>
      </c>
      <c r="BC17" s="81">
        <f t="shared" si="43"/>
        <v>295.42857142857144</v>
      </c>
      <c r="BD17" s="74">
        <v>94</v>
      </c>
      <c r="BE17" s="81">
        <f t="shared" si="44"/>
        <v>61</v>
      </c>
      <c r="BF17" s="74">
        <v>278</v>
      </c>
      <c r="BG17" s="81">
        <f t="shared" si="45"/>
        <v>178</v>
      </c>
      <c r="BH17" s="74">
        <v>94</v>
      </c>
      <c r="BI17" s="81">
        <f t="shared" si="46"/>
        <v>56.714285714285715</v>
      </c>
      <c r="BJ17" s="74">
        <v>236</v>
      </c>
      <c r="BK17" s="81">
        <f t="shared" si="47"/>
        <v>129.85714285714286</v>
      </c>
      <c r="BL17" s="74">
        <v>72</v>
      </c>
      <c r="BM17" s="81">
        <f t="shared" si="48"/>
        <v>36.285714285714285</v>
      </c>
      <c r="BN17" s="74">
        <v>98</v>
      </c>
      <c r="BO17" s="81">
        <f t="shared" si="49"/>
        <v>48.571428571428569</v>
      </c>
      <c r="BP17" s="74">
        <v>47</v>
      </c>
      <c r="BQ17" s="81">
        <f t="shared" si="50"/>
        <v>30.857142857142858</v>
      </c>
    </row>
    <row r="18" spans="1:69" x14ac:dyDescent="0.25">
      <c r="A18" s="85">
        <f t="shared" si="22"/>
        <v>45240</v>
      </c>
      <c r="B18" s="74">
        <f t="shared" si="12"/>
        <v>1139</v>
      </c>
      <c r="C18" s="81">
        <f t="shared" si="23"/>
        <v>1114.75</v>
      </c>
      <c r="D18" s="74">
        <f t="shared" si="13"/>
        <v>42</v>
      </c>
      <c r="E18" s="99">
        <f t="shared" si="24"/>
        <v>40.5</v>
      </c>
      <c r="F18" s="74">
        <v>427.16666669759985</v>
      </c>
      <c r="G18" s="81">
        <f t="shared" si="25"/>
        <v>407.0102459144</v>
      </c>
      <c r="H18" s="74">
        <v>367.81967214529982</v>
      </c>
      <c r="I18" s="99">
        <f t="shared" si="26"/>
        <v>346.6270491931499</v>
      </c>
      <c r="J18" s="74">
        <f t="shared" si="14"/>
        <v>1139</v>
      </c>
      <c r="K18" s="81">
        <f t="shared" si="27"/>
        <v>1114.75</v>
      </c>
      <c r="L18" s="74">
        <f t="shared" si="15"/>
        <v>42</v>
      </c>
      <c r="M18" s="99">
        <f t="shared" si="28"/>
        <v>40.5</v>
      </c>
      <c r="N18" s="74">
        <f t="shared" si="16"/>
        <v>367</v>
      </c>
      <c r="O18" s="81">
        <f t="shared" si="29"/>
        <v>345.75</v>
      </c>
      <c r="P18" s="74">
        <f t="shared" si="17"/>
        <v>19</v>
      </c>
      <c r="Q18" s="99">
        <f t="shared" si="30"/>
        <v>18</v>
      </c>
      <c r="R18" s="74">
        <v>367</v>
      </c>
      <c r="S18" s="81">
        <f t="shared" si="31"/>
        <v>345.75</v>
      </c>
      <c r="T18" s="74">
        <v>19</v>
      </c>
      <c r="U18" s="99">
        <f t="shared" si="32"/>
        <v>18</v>
      </c>
      <c r="V18" s="74">
        <v>0</v>
      </c>
      <c r="W18" s="81">
        <f t="shared" si="33"/>
        <v>0</v>
      </c>
      <c r="X18" s="74">
        <v>0</v>
      </c>
      <c r="Y18" s="99">
        <f t="shared" si="34"/>
        <v>0</v>
      </c>
      <c r="Z18" s="74">
        <v>772</v>
      </c>
      <c r="AA18" s="81">
        <f t="shared" si="35"/>
        <v>769</v>
      </c>
      <c r="AB18" s="74">
        <v>23</v>
      </c>
      <c r="AC18" s="99">
        <f t="shared" si="36"/>
        <v>22.5</v>
      </c>
      <c r="AD18" s="105">
        <v>61.169398924400014</v>
      </c>
      <c r="AE18" s="81">
        <f t="shared" si="37"/>
        <v>62.204918032700022</v>
      </c>
      <c r="AF18" s="105">
        <v>1.8224043720999998</v>
      </c>
      <c r="AG18" s="99">
        <f t="shared" si="38"/>
        <v>1.8217213114499997</v>
      </c>
      <c r="AH18" s="74">
        <v>772</v>
      </c>
      <c r="AI18" s="81">
        <f t="shared" si="39"/>
        <v>769</v>
      </c>
      <c r="AJ18" s="74">
        <v>23</v>
      </c>
      <c r="AK18" s="99">
        <f t="shared" si="40"/>
        <v>22.5</v>
      </c>
      <c r="AL18" s="74">
        <f t="shared" si="18"/>
        <v>610</v>
      </c>
      <c r="AM18" s="81">
        <f t="shared" si="51"/>
        <v>467.71428571428572</v>
      </c>
      <c r="AN18" s="74">
        <f t="shared" si="19"/>
        <v>129</v>
      </c>
      <c r="AO18" s="81">
        <f t="shared" si="41"/>
        <v>107.57142857142857</v>
      </c>
      <c r="AP18" s="74">
        <f t="shared" si="20"/>
        <v>296</v>
      </c>
      <c r="AQ18" s="81">
        <f t="shared" si="42"/>
        <v>245</v>
      </c>
      <c r="AR18" s="74">
        <f t="shared" si="21"/>
        <v>127</v>
      </c>
      <c r="AS18" s="81">
        <f t="shared" si="43"/>
        <v>94.857142857142861</v>
      </c>
      <c r="AT18" s="83">
        <f t="shared" si="8"/>
        <v>0.52495697074010328</v>
      </c>
      <c r="AU18" s="83">
        <f t="shared" si="9"/>
        <v>0.11101549053356283</v>
      </c>
      <c r="AV18" s="83">
        <f t="shared" si="10"/>
        <v>0.25473321858864029</v>
      </c>
      <c r="AW18" s="84">
        <f t="shared" si="11"/>
        <v>0.10929432013769363</v>
      </c>
      <c r="AX18" s="83">
        <f t="shared" si="52"/>
        <v>0.51128397944971227</v>
      </c>
      <c r="AY18" s="83">
        <f t="shared" si="52"/>
        <v>0.11789673441180488</v>
      </c>
      <c r="AZ18" s="83">
        <f t="shared" si="52"/>
        <v>0.26629743093292985</v>
      </c>
      <c r="BA18" s="84">
        <f t="shared" si="52"/>
        <v>0.10452185520555306</v>
      </c>
      <c r="BB18" s="74">
        <v>406</v>
      </c>
      <c r="BC18" s="81">
        <f t="shared" si="43"/>
        <v>322.57142857142856</v>
      </c>
      <c r="BD18" s="74">
        <v>72</v>
      </c>
      <c r="BE18" s="81">
        <f t="shared" si="44"/>
        <v>67</v>
      </c>
      <c r="BF18" s="74">
        <v>239</v>
      </c>
      <c r="BG18" s="81">
        <f t="shared" si="45"/>
        <v>192.71428571428572</v>
      </c>
      <c r="BH18" s="74">
        <v>78</v>
      </c>
      <c r="BI18" s="81">
        <f t="shared" si="46"/>
        <v>61.142857142857146</v>
      </c>
      <c r="BJ18" s="74">
        <v>204</v>
      </c>
      <c r="BK18" s="81">
        <f t="shared" si="47"/>
        <v>145.14285714285714</v>
      </c>
      <c r="BL18" s="74">
        <v>57</v>
      </c>
      <c r="BM18" s="81">
        <f t="shared" si="48"/>
        <v>40.571428571428569</v>
      </c>
      <c r="BN18" s="74">
        <v>57</v>
      </c>
      <c r="BO18" s="81">
        <f t="shared" si="49"/>
        <v>52.285714285714285</v>
      </c>
      <c r="BP18" s="74">
        <v>49</v>
      </c>
      <c r="BQ18" s="81">
        <f t="shared" si="50"/>
        <v>33.714285714285715</v>
      </c>
    </row>
    <row r="19" spans="1:69" x14ac:dyDescent="0.25">
      <c r="A19" s="85">
        <f t="shared" si="22"/>
        <v>45247</v>
      </c>
      <c r="B19" s="74">
        <f t="shared" si="12"/>
        <v>1169</v>
      </c>
      <c r="C19" s="81">
        <f t="shared" si="23"/>
        <v>1170.5</v>
      </c>
      <c r="D19" s="74">
        <f t="shared" si="13"/>
        <v>87</v>
      </c>
      <c r="E19" s="99">
        <f t="shared" si="24"/>
        <v>51.75</v>
      </c>
      <c r="F19" s="74">
        <v>435.05191259999998</v>
      </c>
      <c r="G19" s="81">
        <f t="shared" si="25"/>
        <v>435.29166668737491</v>
      </c>
      <c r="H19" s="74">
        <v>374.59562842989999</v>
      </c>
      <c r="I19" s="99">
        <f t="shared" si="26"/>
        <v>373.21653006872492</v>
      </c>
      <c r="J19" s="74">
        <f t="shared" si="14"/>
        <v>1169</v>
      </c>
      <c r="K19" s="81">
        <f t="shared" si="27"/>
        <v>1170.5</v>
      </c>
      <c r="L19" s="74">
        <f t="shared" si="15"/>
        <v>87</v>
      </c>
      <c r="M19" s="99">
        <f t="shared" si="28"/>
        <v>51.75</v>
      </c>
      <c r="N19" s="74">
        <f t="shared" si="16"/>
        <v>373</v>
      </c>
      <c r="O19" s="81">
        <f t="shared" si="29"/>
        <v>372.25</v>
      </c>
      <c r="P19" s="74">
        <f t="shared" si="17"/>
        <v>54</v>
      </c>
      <c r="Q19" s="99">
        <f t="shared" si="30"/>
        <v>27</v>
      </c>
      <c r="R19" s="74">
        <v>373</v>
      </c>
      <c r="S19" s="81">
        <f t="shared" si="31"/>
        <v>372.25</v>
      </c>
      <c r="T19" s="74">
        <v>54</v>
      </c>
      <c r="U19" s="99">
        <f t="shared" si="32"/>
        <v>27</v>
      </c>
      <c r="V19" s="74">
        <v>0</v>
      </c>
      <c r="W19" s="81">
        <f t="shared" si="33"/>
        <v>0</v>
      </c>
      <c r="X19" s="74">
        <v>0</v>
      </c>
      <c r="Y19" s="99">
        <f t="shared" si="34"/>
        <v>0</v>
      </c>
      <c r="Z19" s="74">
        <v>796</v>
      </c>
      <c r="AA19" s="81">
        <f t="shared" si="35"/>
        <v>798.25</v>
      </c>
      <c r="AB19" s="74">
        <v>33</v>
      </c>
      <c r="AC19" s="99">
        <f t="shared" si="36"/>
        <v>24.75</v>
      </c>
      <c r="AD19" s="105">
        <v>63.071038269200024</v>
      </c>
      <c r="AE19" s="81">
        <f t="shared" si="37"/>
        <v>64.058743176275016</v>
      </c>
      <c r="AF19" s="105">
        <v>2.6147540990999998</v>
      </c>
      <c r="AG19" s="99">
        <f t="shared" si="38"/>
        <v>1.9836065576249997</v>
      </c>
      <c r="AH19" s="74">
        <v>796</v>
      </c>
      <c r="AI19" s="81">
        <f t="shared" si="39"/>
        <v>798.25</v>
      </c>
      <c r="AJ19" s="74">
        <v>33</v>
      </c>
      <c r="AK19" s="99">
        <f t="shared" si="40"/>
        <v>24.75</v>
      </c>
      <c r="AL19" s="74">
        <f t="shared" si="18"/>
        <v>644</v>
      </c>
      <c r="AM19" s="81">
        <f t="shared" si="51"/>
        <v>514.57142857142856</v>
      </c>
      <c r="AN19" s="74">
        <f t="shared" si="19"/>
        <v>146</v>
      </c>
      <c r="AO19" s="81">
        <f t="shared" si="41"/>
        <v>118.71428571428571</v>
      </c>
      <c r="AP19" s="74">
        <f t="shared" si="20"/>
        <v>291</v>
      </c>
      <c r="AQ19" s="81">
        <f t="shared" si="42"/>
        <v>266.14285714285717</v>
      </c>
      <c r="AR19" s="74">
        <f t="shared" si="21"/>
        <v>121</v>
      </c>
      <c r="AS19" s="81">
        <f t="shared" si="43"/>
        <v>102</v>
      </c>
      <c r="AT19" s="83">
        <f t="shared" si="8"/>
        <v>0.53577371048252909</v>
      </c>
      <c r="AU19" s="83">
        <f t="shared" si="9"/>
        <v>0.12146422628951747</v>
      </c>
      <c r="AV19" s="83">
        <f t="shared" si="10"/>
        <v>0.24209650582362729</v>
      </c>
      <c r="AW19" s="84">
        <f t="shared" si="11"/>
        <v>0.10066555740432612</v>
      </c>
      <c r="AX19" s="83">
        <f t="shared" si="52"/>
        <v>0.51233335328357577</v>
      </c>
      <c r="AY19" s="83">
        <f t="shared" si="52"/>
        <v>0.11900414179860168</v>
      </c>
      <c r="AZ19" s="83">
        <f t="shared" si="52"/>
        <v>0.26672115536736102</v>
      </c>
      <c r="BA19" s="84">
        <f t="shared" si="52"/>
        <v>0.10194134955046157</v>
      </c>
      <c r="BB19" s="74">
        <v>441</v>
      </c>
      <c r="BC19" s="81">
        <f t="shared" si="43"/>
        <v>352.42857142857144</v>
      </c>
      <c r="BD19" s="74">
        <v>90</v>
      </c>
      <c r="BE19" s="81">
        <f t="shared" si="44"/>
        <v>73.857142857142861</v>
      </c>
      <c r="BF19" s="74">
        <v>223</v>
      </c>
      <c r="BG19" s="81">
        <f t="shared" si="45"/>
        <v>208.28571428571428</v>
      </c>
      <c r="BH19" s="74">
        <v>75</v>
      </c>
      <c r="BI19" s="81">
        <f t="shared" si="46"/>
        <v>65.571428571428569</v>
      </c>
      <c r="BJ19" s="74">
        <v>203</v>
      </c>
      <c r="BK19" s="81">
        <f t="shared" si="47"/>
        <v>162.14285714285714</v>
      </c>
      <c r="BL19" s="74">
        <v>56</v>
      </c>
      <c r="BM19" s="81">
        <f t="shared" si="48"/>
        <v>44.857142857142854</v>
      </c>
      <c r="BN19" s="74">
        <v>68</v>
      </c>
      <c r="BO19" s="81">
        <f t="shared" si="49"/>
        <v>57.857142857142854</v>
      </c>
      <c r="BP19" s="74">
        <v>46</v>
      </c>
      <c r="BQ19" s="81">
        <f t="shared" si="50"/>
        <v>36.428571428571431</v>
      </c>
    </row>
    <row r="20" spans="1:69" x14ac:dyDescent="0.25">
      <c r="A20" s="85">
        <f t="shared" si="22"/>
        <v>45254</v>
      </c>
      <c r="B20" s="74">
        <f t="shared" si="12"/>
        <v>1070</v>
      </c>
      <c r="C20" s="81">
        <f t="shared" si="23"/>
        <v>1181</v>
      </c>
      <c r="D20" s="74">
        <f t="shared" si="13"/>
        <v>110</v>
      </c>
      <c r="E20" s="99">
        <f t="shared" si="24"/>
        <v>69.25</v>
      </c>
      <c r="F20" s="74">
        <v>457.50273227039997</v>
      </c>
      <c r="G20" s="81">
        <f t="shared" si="25"/>
        <v>460.86953554727495</v>
      </c>
      <c r="H20" s="74">
        <v>407.66393444209996</v>
      </c>
      <c r="I20" s="99">
        <f t="shared" si="26"/>
        <v>400.94535520662498</v>
      </c>
      <c r="J20" s="74">
        <f t="shared" si="14"/>
        <v>1070</v>
      </c>
      <c r="K20" s="81">
        <f t="shared" si="27"/>
        <v>1181</v>
      </c>
      <c r="L20" s="74">
        <f t="shared" si="15"/>
        <v>110</v>
      </c>
      <c r="M20" s="99">
        <f t="shared" si="28"/>
        <v>69.25</v>
      </c>
      <c r="N20" s="74">
        <f t="shared" si="16"/>
        <v>406</v>
      </c>
      <c r="O20" s="81">
        <f t="shared" si="29"/>
        <v>399.75</v>
      </c>
      <c r="P20" s="74">
        <f t="shared" si="17"/>
        <v>75</v>
      </c>
      <c r="Q20" s="99">
        <f t="shared" si="30"/>
        <v>40.5</v>
      </c>
      <c r="R20" s="74">
        <v>406</v>
      </c>
      <c r="S20" s="81">
        <f t="shared" si="31"/>
        <v>399.75</v>
      </c>
      <c r="T20" s="74">
        <v>75</v>
      </c>
      <c r="U20" s="99">
        <f t="shared" si="32"/>
        <v>40.5</v>
      </c>
      <c r="V20" s="74">
        <v>0</v>
      </c>
      <c r="W20" s="81">
        <f t="shared" si="33"/>
        <v>0</v>
      </c>
      <c r="X20" s="74">
        <v>0</v>
      </c>
      <c r="Y20" s="99">
        <f t="shared" si="34"/>
        <v>0</v>
      </c>
      <c r="Z20" s="74">
        <v>664</v>
      </c>
      <c r="AA20" s="81">
        <f t="shared" si="35"/>
        <v>781.25</v>
      </c>
      <c r="AB20" s="74">
        <v>35</v>
      </c>
      <c r="AC20" s="99">
        <f t="shared" si="36"/>
        <v>28.75</v>
      </c>
      <c r="AD20" s="105">
        <v>52.612021872800014</v>
      </c>
      <c r="AE20" s="81">
        <f t="shared" si="37"/>
        <v>62.211748647175014</v>
      </c>
      <c r="AF20" s="105">
        <v>2.7732240444999996</v>
      </c>
      <c r="AG20" s="99">
        <f t="shared" si="38"/>
        <v>2.2875683065249999</v>
      </c>
      <c r="AH20" s="74">
        <v>664</v>
      </c>
      <c r="AI20" s="81">
        <f t="shared" si="39"/>
        <v>781.25</v>
      </c>
      <c r="AJ20" s="74">
        <v>35</v>
      </c>
      <c r="AK20" s="99">
        <f t="shared" si="40"/>
        <v>28.75</v>
      </c>
      <c r="AL20" s="74">
        <f t="shared" si="18"/>
        <v>579</v>
      </c>
      <c r="AM20" s="81">
        <f t="shared" si="51"/>
        <v>559.42857142857144</v>
      </c>
      <c r="AN20" s="74">
        <f t="shared" si="19"/>
        <v>153</v>
      </c>
      <c r="AO20" s="81">
        <f t="shared" si="41"/>
        <v>130.28571428571428</v>
      </c>
      <c r="AP20" s="74">
        <f t="shared" si="20"/>
        <v>256</v>
      </c>
      <c r="AQ20" s="81">
        <f t="shared" si="42"/>
        <v>282</v>
      </c>
      <c r="AR20" s="74">
        <f t="shared" si="21"/>
        <v>117</v>
      </c>
      <c r="AS20" s="81">
        <f t="shared" si="43"/>
        <v>110.28571428571429</v>
      </c>
      <c r="AT20" s="83">
        <f t="shared" si="8"/>
        <v>0.52398190045248871</v>
      </c>
      <c r="AU20" s="83">
        <f t="shared" si="9"/>
        <v>0.13846153846153847</v>
      </c>
      <c r="AV20" s="83">
        <f t="shared" si="10"/>
        <v>0.23167420814479639</v>
      </c>
      <c r="AW20" s="84">
        <f t="shared" si="11"/>
        <v>0.10588235294117647</v>
      </c>
      <c r="AX20" s="83">
        <f t="shared" si="52"/>
        <v>0.51721167600467333</v>
      </c>
      <c r="AY20" s="83">
        <f t="shared" si="52"/>
        <v>0.11977195069949745</v>
      </c>
      <c r="AZ20" s="83">
        <f t="shared" si="52"/>
        <v>0.26152858779575683</v>
      </c>
      <c r="BA20" s="84">
        <f t="shared" si="52"/>
        <v>0.10148778550007247</v>
      </c>
      <c r="BB20" s="74">
        <v>363</v>
      </c>
      <c r="BC20" s="81">
        <f t="shared" si="43"/>
        <v>376.85714285714283</v>
      </c>
      <c r="BD20" s="74">
        <v>80</v>
      </c>
      <c r="BE20" s="81">
        <f t="shared" si="44"/>
        <v>78</v>
      </c>
      <c r="BF20" s="74">
        <v>186</v>
      </c>
      <c r="BG20" s="81">
        <f t="shared" si="45"/>
        <v>218.42857142857142</v>
      </c>
      <c r="BH20" s="74">
        <v>70</v>
      </c>
      <c r="BI20" s="81">
        <f t="shared" si="46"/>
        <v>69.857142857142861</v>
      </c>
      <c r="BJ20" s="74">
        <v>216</v>
      </c>
      <c r="BK20" s="81">
        <f t="shared" si="47"/>
        <v>182.57142857142858</v>
      </c>
      <c r="BL20" s="74">
        <v>73</v>
      </c>
      <c r="BM20" s="81">
        <f t="shared" si="48"/>
        <v>52.285714285714285</v>
      </c>
      <c r="BN20" s="74">
        <v>70</v>
      </c>
      <c r="BO20" s="81">
        <f t="shared" si="49"/>
        <v>63.571428571428569</v>
      </c>
      <c r="BP20" s="74">
        <v>47</v>
      </c>
      <c r="BQ20" s="81">
        <f t="shared" si="50"/>
        <v>40.428571428571431</v>
      </c>
    </row>
    <row r="21" spans="1:69" x14ac:dyDescent="0.25">
      <c r="A21" s="85">
        <f t="shared" si="22"/>
        <v>45261</v>
      </c>
      <c r="B21" s="74">
        <f t="shared" si="12"/>
        <v>1348</v>
      </c>
      <c r="C21" s="81">
        <f t="shared" si="23"/>
        <v>1181.5</v>
      </c>
      <c r="D21" s="74">
        <f t="shared" si="13"/>
        <v>148</v>
      </c>
      <c r="E21" s="99">
        <f t="shared" si="24"/>
        <v>96.75</v>
      </c>
      <c r="F21" s="74">
        <v>566.31147544080011</v>
      </c>
      <c r="G21" s="81">
        <f t="shared" si="25"/>
        <v>471.50819675219998</v>
      </c>
      <c r="H21" s="74">
        <v>503.57923499220004</v>
      </c>
      <c r="I21" s="99">
        <f t="shared" si="26"/>
        <v>413.41461750237494</v>
      </c>
      <c r="J21" s="74">
        <f t="shared" si="14"/>
        <v>1348</v>
      </c>
      <c r="K21" s="81">
        <f t="shared" si="27"/>
        <v>1181.5</v>
      </c>
      <c r="L21" s="74">
        <f t="shared" si="15"/>
        <v>148</v>
      </c>
      <c r="M21" s="99">
        <f t="shared" si="28"/>
        <v>96.75</v>
      </c>
      <c r="N21" s="74">
        <f t="shared" si="16"/>
        <v>500</v>
      </c>
      <c r="O21" s="81">
        <f t="shared" si="29"/>
        <v>411.5</v>
      </c>
      <c r="P21" s="74">
        <f t="shared" si="17"/>
        <v>86</v>
      </c>
      <c r="Q21" s="99">
        <f t="shared" si="30"/>
        <v>58.5</v>
      </c>
      <c r="R21" s="74">
        <v>500</v>
      </c>
      <c r="S21" s="81">
        <f t="shared" si="31"/>
        <v>411.5</v>
      </c>
      <c r="T21" s="74">
        <v>86</v>
      </c>
      <c r="U21" s="99">
        <f t="shared" si="32"/>
        <v>58.5</v>
      </c>
      <c r="V21" s="74">
        <v>0</v>
      </c>
      <c r="W21" s="81">
        <f t="shared" si="33"/>
        <v>0</v>
      </c>
      <c r="X21" s="74">
        <v>0</v>
      </c>
      <c r="Y21" s="99">
        <f t="shared" si="34"/>
        <v>0</v>
      </c>
      <c r="Z21" s="74">
        <v>848</v>
      </c>
      <c r="AA21" s="81">
        <f t="shared" si="35"/>
        <v>770</v>
      </c>
      <c r="AB21" s="74">
        <v>62</v>
      </c>
      <c r="AC21" s="99">
        <f t="shared" si="36"/>
        <v>38.25</v>
      </c>
      <c r="AD21" s="105">
        <v>67.677595640800021</v>
      </c>
      <c r="AE21" s="81">
        <f t="shared" si="37"/>
        <v>61.132513676800016</v>
      </c>
      <c r="AF21" s="105">
        <v>4.9453551922000001</v>
      </c>
      <c r="AG21" s="99">
        <f t="shared" si="38"/>
        <v>3.0389344269749996</v>
      </c>
      <c r="AH21" s="74">
        <v>848</v>
      </c>
      <c r="AI21" s="81">
        <f t="shared" si="39"/>
        <v>770</v>
      </c>
      <c r="AJ21" s="74">
        <v>62</v>
      </c>
      <c r="AK21" s="99">
        <f t="shared" si="40"/>
        <v>38.25</v>
      </c>
      <c r="AL21" s="74">
        <f t="shared" si="18"/>
        <v>732</v>
      </c>
      <c r="AM21" s="81">
        <f t="shared" si="51"/>
        <v>611.14285714285711</v>
      </c>
      <c r="AN21" s="74">
        <f t="shared" si="19"/>
        <v>185</v>
      </c>
      <c r="AO21" s="81">
        <f t="shared" si="41"/>
        <v>145.71428571428572</v>
      </c>
      <c r="AP21" s="74">
        <f t="shared" si="20"/>
        <v>333</v>
      </c>
      <c r="AQ21" s="81">
        <f t="shared" si="42"/>
        <v>301</v>
      </c>
      <c r="AR21" s="74">
        <f t="shared" si="21"/>
        <v>160</v>
      </c>
      <c r="AS21" s="81">
        <f t="shared" si="43"/>
        <v>123</v>
      </c>
      <c r="AT21" s="83">
        <f t="shared" si="8"/>
        <v>0.51914893617021274</v>
      </c>
      <c r="AU21" s="83">
        <f t="shared" si="9"/>
        <v>0.13120567375886524</v>
      </c>
      <c r="AV21" s="83">
        <f t="shared" si="10"/>
        <v>0.23617021276595745</v>
      </c>
      <c r="AW21" s="84">
        <f t="shared" si="11"/>
        <v>0.11347517730496454</v>
      </c>
      <c r="AX21" s="83">
        <f t="shared" si="52"/>
        <v>0.51775861913444099</v>
      </c>
      <c r="AY21" s="83">
        <f t="shared" si="52"/>
        <v>0.12319528411749692</v>
      </c>
      <c r="AZ21" s="83">
        <f t="shared" si="52"/>
        <v>0.25547411361468991</v>
      </c>
      <c r="BA21" s="84">
        <f t="shared" si="52"/>
        <v>0.10357198313337222</v>
      </c>
      <c r="BB21" s="74">
        <v>468</v>
      </c>
      <c r="BC21" s="81">
        <f t="shared" si="43"/>
        <v>405.57142857142856</v>
      </c>
      <c r="BD21" s="74">
        <v>95</v>
      </c>
      <c r="BE21" s="81">
        <f t="shared" si="44"/>
        <v>84.714285714285708</v>
      </c>
      <c r="BF21" s="74">
        <v>249</v>
      </c>
      <c r="BG21" s="81">
        <f t="shared" si="45"/>
        <v>232.85714285714286</v>
      </c>
      <c r="BH21" s="74">
        <v>98</v>
      </c>
      <c r="BI21" s="81">
        <f t="shared" si="46"/>
        <v>77.428571428571431</v>
      </c>
      <c r="BJ21" s="74">
        <v>264</v>
      </c>
      <c r="BK21" s="81">
        <f t="shared" si="47"/>
        <v>205.57142857142858</v>
      </c>
      <c r="BL21" s="74">
        <v>90</v>
      </c>
      <c r="BM21" s="81">
        <f t="shared" si="48"/>
        <v>61</v>
      </c>
      <c r="BN21" s="74">
        <v>84</v>
      </c>
      <c r="BO21" s="81">
        <f t="shared" si="49"/>
        <v>68.142857142857139</v>
      </c>
      <c r="BP21" s="74">
        <v>62</v>
      </c>
      <c r="BQ21" s="81">
        <f t="shared" si="50"/>
        <v>45.571428571428569</v>
      </c>
    </row>
    <row r="22" spans="1:69" x14ac:dyDescent="0.25">
      <c r="A22" s="85">
        <f t="shared" si="22"/>
        <v>45268</v>
      </c>
      <c r="B22" s="74">
        <f t="shared" si="12"/>
        <v>1030</v>
      </c>
      <c r="C22" s="81">
        <f t="shared" si="23"/>
        <v>1154.25</v>
      </c>
      <c r="D22" s="74">
        <f t="shared" si="13"/>
        <v>85</v>
      </c>
      <c r="E22" s="99">
        <f t="shared" si="24"/>
        <v>107.5</v>
      </c>
      <c r="F22" s="74">
        <v>396.54371584950007</v>
      </c>
      <c r="G22" s="81">
        <f t="shared" si="25"/>
        <v>463.85245904017506</v>
      </c>
      <c r="H22" s="74">
        <v>342.36338799040004</v>
      </c>
      <c r="I22" s="99">
        <f t="shared" si="26"/>
        <v>407.05054646364999</v>
      </c>
      <c r="J22" s="74">
        <f t="shared" si="14"/>
        <v>1030</v>
      </c>
      <c r="K22" s="81">
        <f t="shared" si="27"/>
        <v>1154.25</v>
      </c>
      <c r="L22" s="74">
        <f t="shared" si="15"/>
        <v>85</v>
      </c>
      <c r="M22" s="99">
        <f t="shared" si="28"/>
        <v>107.5</v>
      </c>
      <c r="N22" s="74">
        <f t="shared" si="16"/>
        <v>341</v>
      </c>
      <c r="O22" s="81">
        <f t="shared" si="29"/>
        <v>405</v>
      </c>
      <c r="P22" s="74">
        <f t="shared" si="17"/>
        <v>57</v>
      </c>
      <c r="Q22" s="99">
        <f t="shared" si="30"/>
        <v>68</v>
      </c>
      <c r="R22" s="74">
        <v>341</v>
      </c>
      <c r="S22" s="81">
        <f t="shared" si="31"/>
        <v>405</v>
      </c>
      <c r="T22" s="74">
        <v>57</v>
      </c>
      <c r="U22" s="99">
        <f t="shared" si="32"/>
        <v>68</v>
      </c>
      <c r="V22" s="74">
        <v>0</v>
      </c>
      <c r="W22" s="81">
        <f t="shared" si="33"/>
        <v>0</v>
      </c>
      <c r="X22" s="74">
        <v>0</v>
      </c>
      <c r="Y22" s="99">
        <f t="shared" si="34"/>
        <v>0</v>
      </c>
      <c r="Z22" s="74">
        <v>689</v>
      </c>
      <c r="AA22" s="81">
        <f t="shared" si="35"/>
        <v>749.25</v>
      </c>
      <c r="AB22" s="74">
        <v>28</v>
      </c>
      <c r="AC22" s="99">
        <f t="shared" si="36"/>
        <v>39.5</v>
      </c>
      <c r="AD22" s="105">
        <v>56.475409825900023</v>
      </c>
      <c r="AE22" s="81">
        <f t="shared" si="37"/>
        <v>59.959016402175017</v>
      </c>
      <c r="AF22" s="105">
        <v>2.2950819668000002</v>
      </c>
      <c r="AG22" s="99">
        <f t="shared" si="38"/>
        <v>3.1571038256499997</v>
      </c>
      <c r="AH22" s="74">
        <v>689</v>
      </c>
      <c r="AI22" s="81">
        <f t="shared" si="39"/>
        <v>749.25</v>
      </c>
      <c r="AJ22" s="74">
        <v>28</v>
      </c>
      <c r="AK22" s="99">
        <f t="shared" si="40"/>
        <v>39.5</v>
      </c>
      <c r="AL22" s="74">
        <f t="shared" si="18"/>
        <v>549</v>
      </c>
      <c r="AM22" s="81">
        <f t="shared" si="51"/>
        <v>616</v>
      </c>
      <c r="AN22" s="74">
        <f t="shared" si="19"/>
        <v>139</v>
      </c>
      <c r="AO22" s="81">
        <f t="shared" si="41"/>
        <v>148.85714285714286</v>
      </c>
      <c r="AP22" s="74">
        <f t="shared" si="20"/>
        <v>250</v>
      </c>
      <c r="AQ22" s="81">
        <f t="shared" si="42"/>
        <v>300.71428571428572</v>
      </c>
      <c r="AR22" s="74">
        <f t="shared" si="21"/>
        <v>120</v>
      </c>
      <c r="AS22" s="81">
        <f t="shared" si="43"/>
        <v>127.85714285714286</v>
      </c>
      <c r="AT22" s="83">
        <f t="shared" si="8"/>
        <v>0.51890359168241962</v>
      </c>
      <c r="AU22" s="83">
        <f t="shared" si="9"/>
        <v>0.13137996219281664</v>
      </c>
      <c r="AV22" s="83">
        <f t="shared" si="10"/>
        <v>0.23629489603024575</v>
      </c>
      <c r="AW22" s="84">
        <f t="shared" si="11"/>
        <v>0.11342155009451796</v>
      </c>
      <c r="AX22" s="83">
        <f t="shared" si="52"/>
        <v>0.51604087008170862</v>
      </c>
      <c r="AY22" s="83">
        <f t="shared" si="52"/>
        <v>0.12473262775918059</v>
      </c>
      <c r="AZ22" s="83">
        <f t="shared" si="52"/>
        <v>0.25211712527144076</v>
      </c>
      <c r="BA22" s="84">
        <f t="shared" si="52"/>
        <v>0.10710937688767005</v>
      </c>
      <c r="BB22" s="74">
        <v>350</v>
      </c>
      <c r="BC22" s="81">
        <f t="shared" si="43"/>
        <v>404.85714285714283</v>
      </c>
      <c r="BD22" s="74">
        <v>84</v>
      </c>
      <c r="BE22" s="81">
        <f t="shared" si="44"/>
        <v>85.142857142857139</v>
      </c>
      <c r="BF22" s="74">
        <v>203</v>
      </c>
      <c r="BG22" s="81">
        <f t="shared" si="45"/>
        <v>232.28571428571428</v>
      </c>
      <c r="BH22" s="74">
        <v>80</v>
      </c>
      <c r="BI22" s="81">
        <f t="shared" si="46"/>
        <v>80.285714285714292</v>
      </c>
      <c r="BJ22" s="74">
        <v>199</v>
      </c>
      <c r="BK22" s="81">
        <f t="shared" si="47"/>
        <v>211.14285714285714</v>
      </c>
      <c r="BL22" s="74">
        <v>55</v>
      </c>
      <c r="BM22" s="81">
        <f t="shared" si="48"/>
        <v>63.714285714285715</v>
      </c>
      <c r="BN22" s="74">
        <v>47</v>
      </c>
      <c r="BO22" s="81">
        <f t="shared" si="49"/>
        <v>68.428571428571431</v>
      </c>
      <c r="BP22" s="74">
        <v>40</v>
      </c>
      <c r="BQ22" s="81">
        <f t="shared" si="50"/>
        <v>47.571428571428569</v>
      </c>
    </row>
    <row r="23" spans="1:69" x14ac:dyDescent="0.25">
      <c r="A23" s="85">
        <f t="shared" si="22"/>
        <v>45275</v>
      </c>
      <c r="B23" s="74">
        <f t="shared" si="12"/>
        <v>1033</v>
      </c>
      <c r="C23" s="81">
        <f t="shared" si="23"/>
        <v>1120.25</v>
      </c>
      <c r="D23" s="74">
        <f t="shared" si="13"/>
        <v>116</v>
      </c>
      <c r="E23" s="99">
        <f t="shared" si="24"/>
        <v>114.75</v>
      </c>
      <c r="F23" s="74">
        <v>423.33333333730002</v>
      </c>
      <c r="G23" s="81">
        <f t="shared" si="25"/>
        <v>460.92281422450003</v>
      </c>
      <c r="H23" s="74">
        <v>372.51366121529998</v>
      </c>
      <c r="I23" s="99">
        <f t="shared" si="26"/>
        <v>406.53005466000002</v>
      </c>
      <c r="J23" s="74">
        <f t="shared" si="14"/>
        <v>1033</v>
      </c>
      <c r="K23" s="81">
        <f t="shared" si="27"/>
        <v>1120.25</v>
      </c>
      <c r="L23" s="74">
        <f t="shared" si="15"/>
        <v>116</v>
      </c>
      <c r="M23" s="99">
        <f t="shared" si="28"/>
        <v>114.75</v>
      </c>
      <c r="N23" s="74">
        <f t="shared" si="16"/>
        <v>370</v>
      </c>
      <c r="O23" s="81">
        <f t="shared" si="29"/>
        <v>404.25</v>
      </c>
      <c r="P23" s="74">
        <f t="shared" si="17"/>
        <v>73</v>
      </c>
      <c r="Q23" s="99">
        <f t="shared" si="30"/>
        <v>72.75</v>
      </c>
      <c r="R23" s="74">
        <v>370</v>
      </c>
      <c r="S23" s="81">
        <f t="shared" si="31"/>
        <v>404.25</v>
      </c>
      <c r="T23" s="74">
        <v>73</v>
      </c>
      <c r="U23" s="99">
        <f t="shared" si="32"/>
        <v>72.75</v>
      </c>
      <c r="V23" s="74">
        <v>0</v>
      </c>
      <c r="W23" s="81">
        <f t="shared" si="33"/>
        <v>0</v>
      </c>
      <c r="X23" s="74">
        <v>0</v>
      </c>
      <c r="Y23" s="99">
        <f t="shared" si="34"/>
        <v>0</v>
      </c>
      <c r="Z23" s="74">
        <v>663</v>
      </c>
      <c r="AA23" s="81">
        <f t="shared" si="35"/>
        <v>716</v>
      </c>
      <c r="AB23" s="74">
        <v>43</v>
      </c>
      <c r="AC23" s="99">
        <f t="shared" si="36"/>
        <v>42</v>
      </c>
      <c r="AD23" s="105">
        <v>54.344262285300019</v>
      </c>
      <c r="AE23" s="81">
        <f t="shared" si="37"/>
        <v>57.777322406200014</v>
      </c>
      <c r="AF23" s="105">
        <v>3.5245901633000001</v>
      </c>
      <c r="AG23" s="99">
        <f t="shared" si="38"/>
        <v>3.3845628417000002</v>
      </c>
      <c r="AH23" s="74">
        <v>663</v>
      </c>
      <c r="AI23" s="81">
        <f t="shared" si="39"/>
        <v>716</v>
      </c>
      <c r="AJ23" s="74">
        <v>43</v>
      </c>
      <c r="AK23" s="99">
        <f t="shared" si="40"/>
        <v>42</v>
      </c>
      <c r="AL23" s="74">
        <f t="shared" si="18"/>
        <v>537</v>
      </c>
      <c r="AM23" s="81">
        <f t="shared" si="51"/>
        <v>619.71428571428567</v>
      </c>
      <c r="AN23" s="74">
        <f t="shared" si="19"/>
        <v>150</v>
      </c>
      <c r="AO23" s="81">
        <f t="shared" si="41"/>
        <v>152.57142857142858</v>
      </c>
      <c r="AP23" s="74">
        <f t="shared" si="20"/>
        <v>283</v>
      </c>
      <c r="AQ23" s="81">
        <f t="shared" si="42"/>
        <v>297.85714285714283</v>
      </c>
      <c r="AR23" s="74">
        <f t="shared" si="21"/>
        <v>106</v>
      </c>
      <c r="AS23" s="81">
        <f t="shared" si="43"/>
        <v>127.42857142857143</v>
      </c>
      <c r="AT23" s="83">
        <f t="shared" si="8"/>
        <v>0.49907063197026025</v>
      </c>
      <c r="AU23" s="83">
        <f t="shared" si="9"/>
        <v>0.13940520446096655</v>
      </c>
      <c r="AV23" s="83">
        <f t="shared" si="10"/>
        <v>0.26301115241635686</v>
      </c>
      <c r="AW23" s="84">
        <f t="shared" si="11"/>
        <v>9.8513011152416355E-2</v>
      </c>
      <c r="AX23" s="83">
        <f t="shared" si="52"/>
        <v>0.5176136565018018</v>
      </c>
      <c r="AY23" s="83">
        <f t="shared" si="52"/>
        <v>0.12772856841556374</v>
      </c>
      <c r="AZ23" s="83">
        <f t="shared" si="52"/>
        <v>0.2483475355020214</v>
      </c>
      <c r="BA23" s="84">
        <f t="shared" si="52"/>
        <v>0.10631023958061317</v>
      </c>
      <c r="BB23" s="74">
        <v>353</v>
      </c>
      <c r="BC23" s="81">
        <f t="shared" si="43"/>
        <v>404.57142857142856</v>
      </c>
      <c r="BD23" s="74">
        <v>87</v>
      </c>
      <c r="BE23" s="81">
        <f t="shared" si="44"/>
        <v>86</v>
      </c>
      <c r="BF23" s="74">
        <v>212</v>
      </c>
      <c r="BG23" s="81">
        <f t="shared" si="45"/>
        <v>227.14285714285714</v>
      </c>
      <c r="BH23" s="74">
        <v>54</v>
      </c>
      <c r="BI23" s="81">
        <f t="shared" si="46"/>
        <v>78.428571428571431</v>
      </c>
      <c r="BJ23" s="74">
        <v>184</v>
      </c>
      <c r="BK23" s="81">
        <f t="shared" si="47"/>
        <v>215.14285714285714</v>
      </c>
      <c r="BL23" s="74">
        <v>63</v>
      </c>
      <c r="BM23" s="81">
        <f t="shared" si="48"/>
        <v>66.571428571428569</v>
      </c>
      <c r="BN23" s="74">
        <v>71</v>
      </c>
      <c r="BO23" s="81">
        <f t="shared" si="49"/>
        <v>70.714285714285708</v>
      </c>
      <c r="BP23" s="74">
        <v>52</v>
      </c>
      <c r="BQ23" s="81">
        <f t="shared" si="50"/>
        <v>49</v>
      </c>
    </row>
    <row r="24" spans="1:69" x14ac:dyDescent="0.25">
      <c r="A24" s="85">
        <f t="shared" si="22"/>
        <v>45282</v>
      </c>
      <c r="B24" s="74">
        <f t="shared" si="12"/>
        <v>1027</v>
      </c>
      <c r="C24" s="81">
        <f t="shared" si="23"/>
        <v>1109.5</v>
      </c>
      <c r="D24" s="74">
        <f t="shared" si="13"/>
        <v>124</v>
      </c>
      <c r="E24" s="99">
        <f t="shared" si="24"/>
        <v>118.25</v>
      </c>
      <c r="F24" s="74">
        <v>416.43442623320004</v>
      </c>
      <c r="G24" s="81">
        <f t="shared" si="25"/>
        <v>450.65573771520008</v>
      </c>
      <c r="H24" s="74">
        <v>366.18852460290003</v>
      </c>
      <c r="I24" s="99">
        <f t="shared" si="26"/>
        <v>396.16120220020002</v>
      </c>
      <c r="J24" s="74">
        <f t="shared" si="14"/>
        <v>1027</v>
      </c>
      <c r="K24" s="81">
        <f t="shared" si="27"/>
        <v>1109.5</v>
      </c>
      <c r="L24" s="74">
        <f t="shared" si="15"/>
        <v>124</v>
      </c>
      <c r="M24" s="99">
        <f t="shared" si="28"/>
        <v>118.25</v>
      </c>
      <c r="N24" s="74">
        <f t="shared" si="16"/>
        <v>363</v>
      </c>
      <c r="O24" s="81">
        <f t="shared" si="29"/>
        <v>393.5</v>
      </c>
      <c r="P24" s="74">
        <f t="shared" si="17"/>
        <v>73</v>
      </c>
      <c r="Q24" s="99">
        <f t="shared" si="30"/>
        <v>72.25</v>
      </c>
      <c r="R24" s="74">
        <v>363</v>
      </c>
      <c r="S24" s="81">
        <f t="shared" si="31"/>
        <v>393.5</v>
      </c>
      <c r="T24" s="74">
        <v>73</v>
      </c>
      <c r="U24" s="99">
        <f t="shared" si="32"/>
        <v>72.25</v>
      </c>
      <c r="V24" s="74">
        <v>0</v>
      </c>
      <c r="W24" s="81">
        <f t="shared" si="33"/>
        <v>0</v>
      </c>
      <c r="X24" s="74">
        <v>0</v>
      </c>
      <c r="Y24" s="99">
        <f t="shared" si="34"/>
        <v>0</v>
      </c>
      <c r="Z24" s="74">
        <v>664</v>
      </c>
      <c r="AA24" s="81">
        <f t="shared" si="35"/>
        <v>716</v>
      </c>
      <c r="AB24" s="74">
        <v>51</v>
      </c>
      <c r="AC24" s="99">
        <f t="shared" si="36"/>
        <v>46</v>
      </c>
      <c r="AD24" s="105">
        <v>54.426229498400012</v>
      </c>
      <c r="AE24" s="81">
        <f t="shared" si="37"/>
        <v>58.230874312600022</v>
      </c>
      <c r="AF24" s="105">
        <v>4.1803278681</v>
      </c>
      <c r="AG24" s="99">
        <f t="shared" si="38"/>
        <v>3.7363387976000002</v>
      </c>
      <c r="AH24" s="74">
        <v>664</v>
      </c>
      <c r="AI24" s="81">
        <f t="shared" si="39"/>
        <v>716</v>
      </c>
      <c r="AJ24" s="74">
        <v>51</v>
      </c>
      <c r="AK24" s="99">
        <f t="shared" si="40"/>
        <v>46</v>
      </c>
      <c r="AL24" s="74">
        <f t="shared" si="18"/>
        <v>600</v>
      </c>
      <c r="AM24" s="81">
        <f t="shared" si="51"/>
        <v>607.28571428571433</v>
      </c>
      <c r="AN24" s="74">
        <f t="shared" si="19"/>
        <v>115</v>
      </c>
      <c r="AO24" s="81">
        <f t="shared" si="41"/>
        <v>145.28571428571428</v>
      </c>
      <c r="AP24" s="74">
        <f t="shared" si="20"/>
        <v>240</v>
      </c>
      <c r="AQ24" s="81">
        <f t="shared" si="42"/>
        <v>278.42857142857144</v>
      </c>
      <c r="AR24" s="74">
        <f t="shared" si="21"/>
        <v>123</v>
      </c>
      <c r="AS24" s="81">
        <f t="shared" si="43"/>
        <v>124.85714285714286</v>
      </c>
      <c r="AT24" s="83">
        <f t="shared" si="8"/>
        <v>0.5565862708719852</v>
      </c>
      <c r="AU24" s="83">
        <f t="shared" si="9"/>
        <v>0.10667903525046382</v>
      </c>
      <c r="AV24" s="83">
        <f t="shared" si="10"/>
        <v>0.22263450834879406</v>
      </c>
      <c r="AW24" s="84">
        <f t="shared" si="11"/>
        <v>0.11410018552875696</v>
      </c>
      <c r="AX24" s="83">
        <f t="shared" si="52"/>
        <v>0.52548885890999986</v>
      </c>
      <c r="AY24" s="83">
        <f t="shared" si="52"/>
        <v>0.125658732992533</v>
      </c>
      <c r="AZ24" s="83">
        <f t="shared" si="52"/>
        <v>0.2409449574454883</v>
      </c>
      <c r="BA24" s="84">
        <f t="shared" si="52"/>
        <v>0.10790745065197886</v>
      </c>
      <c r="BB24" s="74">
        <v>400</v>
      </c>
      <c r="BC24" s="81">
        <f t="shared" si="43"/>
        <v>397.28571428571428</v>
      </c>
      <c r="BD24" s="74">
        <v>69</v>
      </c>
      <c r="BE24" s="81">
        <f t="shared" si="44"/>
        <v>82.428571428571431</v>
      </c>
      <c r="BF24" s="74">
        <v>170</v>
      </c>
      <c r="BG24" s="81">
        <f t="shared" si="45"/>
        <v>211.71428571428572</v>
      </c>
      <c r="BH24" s="74">
        <v>76</v>
      </c>
      <c r="BI24" s="81">
        <f t="shared" si="46"/>
        <v>75.857142857142861</v>
      </c>
      <c r="BJ24" s="74">
        <v>200</v>
      </c>
      <c r="BK24" s="81">
        <f t="shared" si="47"/>
        <v>210</v>
      </c>
      <c r="BL24" s="74">
        <v>46</v>
      </c>
      <c r="BM24" s="81">
        <f t="shared" si="48"/>
        <v>62.857142857142854</v>
      </c>
      <c r="BN24" s="74">
        <v>70</v>
      </c>
      <c r="BO24" s="81">
        <f t="shared" si="49"/>
        <v>66.714285714285708</v>
      </c>
      <c r="BP24" s="74">
        <v>47</v>
      </c>
      <c r="BQ24" s="81">
        <f t="shared" si="50"/>
        <v>49</v>
      </c>
    </row>
    <row r="25" spans="1:69" x14ac:dyDescent="0.25">
      <c r="A25" s="85">
        <f t="shared" si="22"/>
        <v>45289</v>
      </c>
      <c r="B25" s="74">
        <f t="shared" si="12"/>
        <v>803</v>
      </c>
      <c r="C25" s="81">
        <f t="shared" si="23"/>
        <v>973.25</v>
      </c>
      <c r="D25" s="74">
        <f t="shared" si="13"/>
        <v>83</v>
      </c>
      <c r="E25" s="99">
        <f t="shared" si="24"/>
        <v>102</v>
      </c>
      <c r="F25" s="74">
        <v>323.93442623230015</v>
      </c>
      <c r="G25" s="81">
        <f t="shared" si="25"/>
        <v>390.06147541307507</v>
      </c>
      <c r="H25" s="74">
        <v>284.18032787880014</v>
      </c>
      <c r="I25" s="99">
        <f t="shared" si="26"/>
        <v>341.31147542185005</v>
      </c>
      <c r="J25" s="74">
        <f t="shared" si="14"/>
        <v>803</v>
      </c>
      <c r="K25" s="81">
        <f t="shared" si="27"/>
        <v>973.25</v>
      </c>
      <c r="L25" s="74">
        <f t="shared" si="15"/>
        <v>83</v>
      </c>
      <c r="M25" s="99">
        <f t="shared" si="28"/>
        <v>102</v>
      </c>
      <c r="N25" s="74">
        <f t="shared" si="16"/>
        <v>282</v>
      </c>
      <c r="O25" s="81">
        <f t="shared" si="29"/>
        <v>339</v>
      </c>
      <c r="P25" s="74">
        <f t="shared" si="17"/>
        <v>47</v>
      </c>
      <c r="Q25" s="99">
        <f t="shared" si="30"/>
        <v>62.5</v>
      </c>
      <c r="R25" s="74">
        <v>282</v>
      </c>
      <c r="S25" s="81">
        <f t="shared" si="31"/>
        <v>339</v>
      </c>
      <c r="T25" s="74">
        <v>47</v>
      </c>
      <c r="U25" s="99">
        <f t="shared" si="32"/>
        <v>62.5</v>
      </c>
      <c r="V25" s="74">
        <v>0</v>
      </c>
      <c r="W25" s="81">
        <f t="shared" si="33"/>
        <v>0</v>
      </c>
      <c r="X25" s="74">
        <v>0</v>
      </c>
      <c r="Y25" s="99">
        <f t="shared" si="34"/>
        <v>0</v>
      </c>
      <c r="Z25" s="74">
        <v>521</v>
      </c>
      <c r="AA25" s="81">
        <f t="shared" si="35"/>
        <v>634.25</v>
      </c>
      <c r="AB25" s="74">
        <v>36</v>
      </c>
      <c r="AC25" s="99">
        <f t="shared" si="36"/>
        <v>39.5</v>
      </c>
      <c r="AD25" s="105">
        <v>42.704918025100014</v>
      </c>
      <c r="AE25" s="81">
        <f t="shared" si="37"/>
        <v>51.987704908675013</v>
      </c>
      <c r="AF25" s="105">
        <v>2.9508196716000001</v>
      </c>
      <c r="AG25" s="99">
        <f t="shared" si="38"/>
        <v>3.2377049174499999</v>
      </c>
      <c r="AH25" s="74">
        <v>521</v>
      </c>
      <c r="AI25" s="81">
        <f t="shared" si="39"/>
        <v>634.25</v>
      </c>
      <c r="AJ25" s="74">
        <v>36</v>
      </c>
      <c r="AK25" s="99">
        <f t="shared" si="40"/>
        <v>39.5</v>
      </c>
      <c r="AL25" s="74">
        <f t="shared" si="18"/>
        <v>444</v>
      </c>
      <c r="AM25" s="81">
        <f t="shared" si="51"/>
        <v>583.57142857142856</v>
      </c>
      <c r="AN25" s="74">
        <f t="shared" si="19"/>
        <v>110</v>
      </c>
      <c r="AO25" s="81">
        <f t="shared" si="41"/>
        <v>142.57142857142858</v>
      </c>
      <c r="AP25" s="74">
        <f t="shared" si="20"/>
        <v>177</v>
      </c>
      <c r="AQ25" s="81">
        <f t="shared" si="42"/>
        <v>261.42857142857144</v>
      </c>
      <c r="AR25" s="74">
        <f t="shared" si="21"/>
        <v>108</v>
      </c>
      <c r="AS25" s="81">
        <f t="shared" si="43"/>
        <v>122.14285714285714</v>
      </c>
      <c r="AT25" s="83">
        <f t="shared" si="8"/>
        <v>0.52920143027413591</v>
      </c>
      <c r="AU25" s="83">
        <f t="shared" si="9"/>
        <v>0.13110846245530394</v>
      </c>
      <c r="AV25" s="83">
        <f t="shared" si="10"/>
        <v>0.21096543504171633</v>
      </c>
      <c r="AW25" s="84">
        <f t="shared" si="11"/>
        <v>0.12872467222884387</v>
      </c>
      <c r="AX25" s="83">
        <f t="shared" si="52"/>
        <v>0.52609521027200457</v>
      </c>
      <c r="AY25" s="83">
        <f t="shared" si="52"/>
        <v>0.12852915755278174</v>
      </c>
      <c r="AZ25" s="83">
        <f t="shared" si="52"/>
        <v>0.23469241693878487</v>
      </c>
      <c r="BA25" s="84">
        <f t="shared" si="52"/>
        <v>0.11068321523642891</v>
      </c>
      <c r="BB25" s="74">
        <v>299</v>
      </c>
      <c r="BC25" s="81">
        <f t="shared" si="43"/>
        <v>382</v>
      </c>
      <c r="BD25" s="74">
        <v>57</v>
      </c>
      <c r="BE25" s="81">
        <f t="shared" si="44"/>
        <v>80.285714285714292</v>
      </c>
      <c r="BF25" s="74">
        <v>136</v>
      </c>
      <c r="BG25" s="81">
        <f t="shared" si="45"/>
        <v>197</v>
      </c>
      <c r="BH25" s="74">
        <v>65</v>
      </c>
      <c r="BI25" s="81">
        <f t="shared" si="46"/>
        <v>74</v>
      </c>
      <c r="BJ25" s="74">
        <v>145</v>
      </c>
      <c r="BK25" s="81">
        <f t="shared" si="47"/>
        <v>201.57142857142858</v>
      </c>
      <c r="BL25" s="74">
        <v>53</v>
      </c>
      <c r="BM25" s="81">
        <f t="shared" si="48"/>
        <v>62.285714285714285</v>
      </c>
      <c r="BN25" s="74">
        <v>41</v>
      </c>
      <c r="BO25" s="81">
        <f t="shared" si="49"/>
        <v>64.428571428571431</v>
      </c>
      <c r="BP25" s="74">
        <v>43</v>
      </c>
      <c r="BQ25" s="81">
        <f t="shared" si="50"/>
        <v>48.142857142857146</v>
      </c>
    </row>
    <row r="26" spans="1:69" x14ac:dyDescent="0.25">
      <c r="A26" s="85">
        <f t="shared" si="22"/>
        <v>45296</v>
      </c>
      <c r="B26" s="74">
        <f t="shared" si="12"/>
        <v>881</v>
      </c>
      <c r="C26" s="81">
        <f t="shared" si="23"/>
        <v>936</v>
      </c>
      <c r="D26" s="74">
        <f t="shared" si="13"/>
        <v>73</v>
      </c>
      <c r="E26" s="99">
        <f t="shared" si="24"/>
        <v>99</v>
      </c>
      <c r="F26" s="74">
        <v>337.65027322610001</v>
      </c>
      <c r="G26" s="81">
        <f t="shared" si="25"/>
        <v>375.33811475722507</v>
      </c>
      <c r="H26" s="74">
        <v>291.58469946389999</v>
      </c>
      <c r="I26" s="99">
        <f t="shared" si="26"/>
        <v>328.61680329022505</v>
      </c>
      <c r="J26" s="74">
        <f t="shared" si="14"/>
        <v>881</v>
      </c>
      <c r="K26" s="81">
        <f t="shared" si="27"/>
        <v>936</v>
      </c>
      <c r="L26" s="74">
        <f t="shared" si="15"/>
        <v>73</v>
      </c>
      <c r="M26" s="99">
        <f t="shared" si="28"/>
        <v>99</v>
      </c>
      <c r="N26" s="74">
        <f t="shared" si="16"/>
        <v>290</v>
      </c>
      <c r="O26" s="81">
        <f t="shared" si="29"/>
        <v>326.25</v>
      </c>
      <c r="P26" s="74">
        <f t="shared" si="17"/>
        <v>44</v>
      </c>
      <c r="Q26" s="99">
        <f t="shared" si="30"/>
        <v>59.25</v>
      </c>
      <c r="R26" s="74">
        <v>290</v>
      </c>
      <c r="S26" s="81">
        <f t="shared" si="31"/>
        <v>326.25</v>
      </c>
      <c r="T26" s="74">
        <v>44</v>
      </c>
      <c r="U26" s="99">
        <f t="shared" si="32"/>
        <v>59.25</v>
      </c>
      <c r="V26" s="74">
        <v>0</v>
      </c>
      <c r="W26" s="81">
        <f t="shared" si="33"/>
        <v>0</v>
      </c>
      <c r="X26" s="74">
        <v>0</v>
      </c>
      <c r="Y26" s="99">
        <f t="shared" si="34"/>
        <v>0</v>
      </c>
      <c r="Z26" s="74">
        <v>591</v>
      </c>
      <c r="AA26" s="81">
        <f t="shared" si="35"/>
        <v>609.75</v>
      </c>
      <c r="AB26" s="74">
        <v>29</v>
      </c>
      <c r="AC26" s="99">
        <f t="shared" si="36"/>
        <v>39.75</v>
      </c>
      <c r="AD26" s="105">
        <v>48.442622942100002</v>
      </c>
      <c r="AE26" s="81">
        <f t="shared" si="37"/>
        <v>49.979508187725017</v>
      </c>
      <c r="AF26" s="105">
        <v>2.3770491799000002</v>
      </c>
      <c r="AG26" s="99">
        <f t="shared" si="38"/>
        <v>3.258196720725</v>
      </c>
      <c r="AH26" s="74">
        <v>591</v>
      </c>
      <c r="AI26" s="81">
        <f t="shared" si="39"/>
        <v>609.75</v>
      </c>
      <c r="AJ26" s="74">
        <v>29</v>
      </c>
      <c r="AK26" s="99">
        <f t="shared" si="40"/>
        <v>39.75</v>
      </c>
      <c r="AL26" s="74">
        <f t="shared" si="18"/>
        <v>462</v>
      </c>
      <c r="AM26" s="81">
        <f t="shared" si="51"/>
        <v>557.57142857142856</v>
      </c>
      <c r="AN26" s="74">
        <f t="shared" si="19"/>
        <v>122</v>
      </c>
      <c r="AO26" s="81">
        <f t="shared" si="41"/>
        <v>139.14285714285714</v>
      </c>
      <c r="AP26" s="74">
        <f t="shared" si="20"/>
        <v>212</v>
      </c>
      <c r="AQ26" s="81">
        <f t="shared" si="42"/>
        <v>250.14285714285714</v>
      </c>
      <c r="AR26" s="74">
        <f t="shared" si="21"/>
        <v>114</v>
      </c>
      <c r="AS26" s="81">
        <f t="shared" si="43"/>
        <v>121.14285714285714</v>
      </c>
      <c r="AT26" s="83">
        <f t="shared" si="8"/>
        <v>0.50769230769230766</v>
      </c>
      <c r="AU26" s="83">
        <f t="shared" si="9"/>
        <v>0.13406593406593406</v>
      </c>
      <c r="AV26" s="83">
        <f t="shared" si="10"/>
        <v>0.23296703296703297</v>
      </c>
      <c r="AW26" s="84">
        <f t="shared" si="11"/>
        <v>0.12527472527472527</v>
      </c>
      <c r="AX26" s="83">
        <f t="shared" si="52"/>
        <v>0.52208358130197285</v>
      </c>
      <c r="AY26" s="83">
        <f t="shared" si="52"/>
        <v>0.13032940152084124</v>
      </c>
      <c r="AZ26" s="83">
        <f t="shared" si="52"/>
        <v>0.2333882065307</v>
      </c>
      <c r="BA26" s="84">
        <f t="shared" si="52"/>
        <v>0.11419881064648592</v>
      </c>
      <c r="BB26" s="74">
        <v>315</v>
      </c>
      <c r="BC26" s="81">
        <f t="shared" si="43"/>
        <v>364</v>
      </c>
      <c r="BD26" s="74">
        <v>77</v>
      </c>
      <c r="BE26" s="81">
        <f t="shared" si="44"/>
        <v>78.428571428571431</v>
      </c>
      <c r="BF26" s="74">
        <v>163</v>
      </c>
      <c r="BG26" s="81">
        <f t="shared" si="45"/>
        <v>188.42857142857142</v>
      </c>
      <c r="BH26" s="74">
        <v>65</v>
      </c>
      <c r="BI26" s="81">
        <f t="shared" si="46"/>
        <v>72.571428571428569</v>
      </c>
      <c r="BJ26" s="74">
        <v>147</v>
      </c>
      <c r="BK26" s="81">
        <f t="shared" si="47"/>
        <v>193.57142857142858</v>
      </c>
      <c r="BL26" s="74">
        <v>45</v>
      </c>
      <c r="BM26" s="81">
        <f t="shared" si="48"/>
        <v>60.714285714285715</v>
      </c>
      <c r="BN26" s="74">
        <v>49</v>
      </c>
      <c r="BO26" s="81">
        <f t="shared" si="49"/>
        <v>61.714285714285715</v>
      </c>
      <c r="BP26" s="74">
        <v>49</v>
      </c>
      <c r="BQ26" s="81">
        <f t="shared" si="50"/>
        <v>48.571428571428569</v>
      </c>
    </row>
    <row r="27" spans="1:69" x14ac:dyDescent="0.25">
      <c r="A27" s="85">
        <f t="shared" si="22"/>
        <v>45303</v>
      </c>
      <c r="B27" s="74">
        <f t="shared" si="12"/>
        <v>1001</v>
      </c>
      <c r="C27" s="81">
        <f t="shared" si="23"/>
        <v>928</v>
      </c>
      <c r="D27" s="74">
        <f t="shared" si="13"/>
        <v>88</v>
      </c>
      <c r="E27" s="99">
        <f t="shared" si="24"/>
        <v>92</v>
      </c>
      <c r="F27" s="74">
        <v>416.13387978560002</v>
      </c>
      <c r="G27" s="81">
        <f t="shared" si="25"/>
        <v>373.53825136930004</v>
      </c>
      <c r="H27" s="74">
        <v>365.96994536840003</v>
      </c>
      <c r="I27" s="99">
        <f t="shared" si="26"/>
        <v>326.98087432850002</v>
      </c>
      <c r="J27" s="74">
        <f t="shared" si="14"/>
        <v>1001</v>
      </c>
      <c r="K27" s="81">
        <f t="shared" si="27"/>
        <v>928</v>
      </c>
      <c r="L27" s="74">
        <f t="shared" si="15"/>
        <v>88</v>
      </c>
      <c r="M27" s="99">
        <f t="shared" si="28"/>
        <v>92</v>
      </c>
      <c r="N27" s="74">
        <f t="shared" si="16"/>
        <v>365</v>
      </c>
      <c r="O27" s="81">
        <f t="shared" si="29"/>
        <v>325</v>
      </c>
      <c r="P27" s="74">
        <f t="shared" si="17"/>
        <v>64</v>
      </c>
      <c r="Q27" s="99">
        <f t="shared" si="30"/>
        <v>57</v>
      </c>
      <c r="R27" s="74">
        <v>365</v>
      </c>
      <c r="S27" s="81">
        <f t="shared" si="31"/>
        <v>325</v>
      </c>
      <c r="T27" s="74">
        <v>64</v>
      </c>
      <c r="U27" s="99">
        <f t="shared" si="32"/>
        <v>57</v>
      </c>
      <c r="V27" s="74">
        <v>0</v>
      </c>
      <c r="W27" s="81">
        <f t="shared" si="33"/>
        <v>0</v>
      </c>
      <c r="X27" s="74">
        <v>0</v>
      </c>
      <c r="Y27" s="99">
        <f t="shared" si="34"/>
        <v>0</v>
      </c>
      <c r="Z27" s="74">
        <v>636</v>
      </c>
      <c r="AA27" s="81">
        <f t="shared" si="35"/>
        <v>603</v>
      </c>
      <c r="AB27" s="74">
        <v>24</v>
      </c>
      <c r="AC27" s="99">
        <f t="shared" si="36"/>
        <v>35</v>
      </c>
      <c r="AD27" s="105">
        <v>52.131147531600021</v>
      </c>
      <c r="AE27" s="81">
        <f t="shared" si="37"/>
        <v>49.426229499300014</v>
      </c>
      <c r="AF27" s="105">
        <v>1.9672131144</v>
      </c>
      <c r="AG27" s="99">
        <f t="shared" si="38"/>
        <v>2.8688524585000001</v>
      </c>
      <c r="AH27" s="74">
        <v>636</v>
      </c>
      <c r="AI27" s="81">
        <f t="shared" si="39"/>
        <v>603</v>
      </c>
      <c r="AJ27" s="74">
        <v>24</v>
      </c>
      <c r="AK27" s="99">
        <f t="shared" si="40"/>
        <v>35</v>
      </c>
      <c r="AL27" s="74">
        <f t="shared" si="18"/>
        <v>538</v>
      </c>
      <c r="AM27" s="81">
        <f t="shared" si="51"/>
        <v>551.71428571428567</v>
      </c>
      <c r="AN27" s="74">
        <f t="shared" si="19"/>
        <v>151</v>
      </c>
      <c r="AO27" s="81">
        <f t="shared" si="41"/>
        <v>138.85714285714286</v>
      </c>
      <c r="AP27" s="74">
        <f t="shared" si="20"/>
        <v>223</v>
      </c>
      <c r="AQ27" s="81">
        <f t="shared" si="42"/>
        <v>245.42857142857142</v>
      </c>
      <c r="AR27" s="74">
        <f t="shared" si="21"/>
        <v>113</v>
      </c>
      <c r="AS27" s="81">
        <f t="shared" si="43"/>
        <v>120.57142857142857</v>
      </c>
      <c r="AT27" s="83">
        <f t="shared" si="8"/>
        <v>0.52487804878048783</v>
      </c>
      <c r="AU27" s="83">
        <f t="shared" si="9"/>
        <v>0.1473170731707317</v>
      </c>
      <c r="AV27" s="83">
        <f t="shared" si="10"/>
        <v>0.2175609756097561</v>
      </c>
      <c r="AW27" s="84">
        <f t="shared" si="11"/>
        <v>0.11024390243902439</v>
      </c>
      <c r="AX27" s="83">
        <f t="shared" si="52"/>
        <v>0.52221160249168697</v>
      </c>
      <c r="AY27" s="83">
        <f t="shared" si="52"/>
        <v>0.13159447790786885</v>
      </c>
      <c r="AZ27" s="83">
        <f t="shared" si="52"/>
        <v>0.23137203045426566</v>
      </c>
      <c r="BA27" s="84">
        <f t="shared" si="52"/>
        <v>0.11482188914617848</v>
      </c>
      <c r="BB27" s="74">
        <v>339</v>
      </c>
      <c r="BC27" s="81">
        <f t="shared" si="43"/>
        <v>360.57142857142856</v>
      </c>
      <c r="BD27" s="74">
        <v>79</v>
      </c>
      <c r="BE27" s="81">
        <f t="shared" si="44"/>
        <v>78.285714285714292</v>
      </c>
      <c r="BF27" s="74">
        <v>168</v>
      </c>
      <c r="BG27" s="81">
        <f t="shared" si="45"/>
        <v>185.85714285714286</v>
      </c>
      <c r="BH27" s="74">
        <v>74</v>
      </c>
      <c r="BI27" s="81">
        <f t="shared" si="46"/>
        <v>73.142857142857139</v>
      </c>
      <c r="BJ27" s="74">
        <v>199</v>
      </c>
      <c r="BK27" s="81">
        <f t="shared" si="47"/>
        <v>191.14285714285714</v>
      </c>
      <c r="BL27" s="74">
        <v>72</v>
      </c>
      <c r="BM27" s="81">
        <f t="shared" si="48"/>
        <v>60.571428571428569</v>
      </c>
      <c r="BN27" s="74">
        <v>55</v>
      </c>
      <c r="BO27" s="81">
        <f t="shared" si="49"/>
        <v>59.571428571428569</v>
      </c>
      <c r="BP27" s="74">
        <v>39</v>
      </c>
      <c r="BQ27" s="81">
        <f t="shared" si="50"/>
        <v>47.428571428571431</v>
      </c>
    </row>
    <row r="28" spans="1:69" x14ac:dyDescent="0.25">
      <c r="A28" s="85">
        <f t="shared" si="22"/>
        <v>45310</v>
      </c>
      <c r="B28" s="74">
        <f t="shared" si="12"/>
        <v>1008</v>
      </c>
      <c r="C28" s="81">
        <f t="shared" si="23"/>
        <v>923.25</v>
      </c>
      <c r="D28" s="74">
        <f t="shared" si="13"/>
        <v>78</v>
      </c>
      <c r="E28" s="99">
        <f t="shared" si="24"/>
        <v>80.5</v>
      </c>
      <c r="F28" s="74">
        <v>401.14754098680004</v>
      </c>
      <c r="G28" s="81">
        <f t="shared" si="25"/>
        <v>369.71653005770003</v>
      </c>
      <c r="H28" s="74">
        <v>349.09836066830002</v>
      </c>
      <c r="I28" s="99">
        <f t="shared" si="26"/>
        <v>322.70833334485008</v>
      </c>
      <c r="J28" s="74">
        <f t="shared" si="14"/>
        <v>1008</v>
      </c>
      <c r="K28" s="81">
        <f t="shared" si="27"/>
        <v>923.25</v>
      </c>
      <c r="L28" s="74">
        <f t="shared" si="15"/>
        <v>78</v>
      </c>
      <c r="M28" s="99">
        <f t="shared" si="28"/>
        <v>80.5</v>
      </c>
      <c r="N28" s="74">
        <f t="shared" si="16"/>
        <v>348</v>
      </c>
      <c r="O28" s="81">
        <f t="shared" si="29"/>
        <v>321.25</v>
      </c>
      <c r="P28" s="74">
        <f t="shared" si="17"/>
        <v>53</v>
      </c>
      <c r="Q28" s="99">
        <f t="shared" si="30"/>
        <v>52</v>
      </c>
      <c r="R28" s="74">
        <v>348</v>
      </c>
      <c r="S28" s="81">
        <f t="shared" si="31"/>
        <v>321.25</v>
      </c>
      <c r="T28" s="74">
        <v>53</v>
      </c>
      <c r="U28" s="99">
        <f t="shared" si="32"/>
        <v>52</v>
      </c>
      <c r="V28" s="74">
        <v>0</v>
      </c>
      <c r="W28" s="81">
        <f t="shared" si="33"/>
        <v>0</v>
      </c>
      <c r="X28" s="74">
        <v>0</v>
      </c>
      <c r="Y28" s="99">
        <f t="shared" si="34"/>
        <v>0</v>
      </c>
      <c r="Z28" s="74">
        <v>660</v>
      </c>
      <c r="AA28" s="81">
        <f t="shared" si="35"/>
        <v>602</v>
      </c>
      <c r="AB28" s="74">
        <v>25</v>
      </c>
      <c r="AC28" s="99">
        <f t="shared" si="36"/>
        <v>28.5</v>
      </c>
      <c r="AD28" s="105">
        <v>54.09836064600001</v>
      </c>
      <c r="AE28" s="81">
        <f t="shared" si="37"/>
        <v>49.344262286200006</v>
      </c>
      <c r="AF28" s="105">
        <v>2.0491803275000002</v>
      </c>
      <c r="AG28" s="99">
        <f t="shared" si="38"/>
        <v>2.33606557335</v>
      </c>
      <c r="AH28" s="74">
        <v>660</v>
      </c>
      <c r="AI28" s="81">
        <f t="shared" si="39"/>
        <v>602</v>
      </c>
      <c r="AJ28" s="74">
        <v>25</v>
      </c>
      <c r="AK28" s="99">
        <f t="shared" si="40"/>
        <v>28.5</v>
      </c>
      <c r="AL28" s="74">
        <f t="shared" si="18"/>
        <v>529</v>
      </c>
      <c r="AM28" s="81">
        <f t="shared" si="51"/>
        <v>522.71428571428567</v>
      </c>
      <c r="AN28" s="74">
        <f t="shared" si="19"/>
        <v>141</v>
      </c>
      <c r="AO28" s="81">
        <f t="shared" si="41"/>
        <v>132.57142857142858</v>
      </c>
      <c r="AP28" s="74">
        <f t="shared" si="20"/>
        <v>261</v>
      </c>
      <c r="AQ28" s="81">
        <f t="shared" si="42"/>
        <v>235.14285714285714</v>
      </c>
      <c r="AR28" s="74">
        <f t="shared" si="21"/>
        <v>102</v>
      </c>
      <c r="AS28" s="81">
        <f t="shared" si="43"/>
        <v>112.28571428571429</v>
      </c>
      <c r="AT28" s="83">
        <f t="shared" si="8"/>
        <v>0.51210067763794775</v>
      </c>
      <c r="AU28" s="83">
        <f t="shared" si="9"/>
        <v>0.13649564375605033</v>
      </c>
      <c r="AV28" s="83">
        <f t="shared" si="10"/>
        <v>0.25266214908034851</v>
      </c>
      <c r="AW28" s="84">
        <f t="shared" si="11"/>
        <v>9.8741529525653432E-2</v>
      </c>
      <c r="AX28" s="83">
        <f t="shared" si="52"/>
        <v>0.52120470841564914</v>
      </c>
      <c r="AY28" s="83">
        <f t="shared" si="52"/>
        <v>0.13235018790746672</v>
      </c>
      <c r="AZ28" s="83">
        <f t="shared" si="52"/>
        <v>0.23372802135632151</v>
      </c>
      <c r="BA28" s="84">
        <f t="shared" si="52"/>
        <v>0.11271708232056261</v>
      </c>
      <c r="BB28" s="74">
        <v>332</v>
      </c>
      <c r="BC28" s="81">
        <f t="shared" si="43"/>
        <v>341.14285714285717</v>
      </c>
      <c r="BD28" s="74">
        <v>82</v>
      </c>
      <c r="BE28" s="81">
        <f t="shared" si="44"/>
        <v>76.428571428571431</v>
      </c>
      <c r="BF28" s="74">
        <v>206</v>
      </c>
      <c r="BG28" s="81">
        <f t="shared" si="45"/>
        <v>179.71428571428572</v>
      </c>
      <c r="BH28" s="74">
        <v>65</v>
      </c>
      <c r="BI28" s="81">
        <f t="shared" si="46"/>
        <v>68.428571428571431</v>
      </c>
      <c r="BJ28" s="74">
        <v>197</v>
      </c>
      <c r="BK28" s="81">
        <f t="shared" si="47"/>
        <v>181.57142857142858</v>
      </c>
      <c r="BL28" s="74">
        <v>59</v>
      </c>
      <c r="BM28" s="81">
        <f t="shared" si="48"/>
        <v>56.142857142857146</v>
      </c>
      <c r="BN28" s="74">
        <v>55</v>
      </c>
      <c r="BO28" s="81">
        <f t="shared" si="49"/>
        <v>55.428571428571431</v>
      </c>
      <c r="BP28" s="74">
        <v>37</v>
      </c>
      <c r="BQ28" s="81">
        <f t="shared" si="50"/>
        <v>43.857142857142854</v>
      </c>
    </row>
    <row r="29" spans="1:69" x14ac:dyDescent="0.25">
      <c r="A29" s="85">
        <f t="shared" si="22"/>
        <v>45317</v>
      </c>
      <c r="B29" s="74">
        <f t="shared" si="12"/>
        <v>991</v>
      </c>
      <c r="C29" s="81">
        <f t="shared" si="23"/>
        <v>970.25</v>
      </c>
      <c r="D29" s="74">
        <f t="shared" si="13"/>
        <v>101</v>
      </c>
      <c r="E29" s="99">
        <f t="shared" si="24"/>
        <v>85</v>
      </c>
      <c r="F29" s="74">
        <v>416.98087432399996</v>
      </c>
      <c r="G29" s="81">
        <f t="shared" si="25"/>
        <v>392.97814208062505</v>
      </c>
      <c r="H29" s="74">
        <v>381.40710383859994</v>
      </c>
      <c r="I29" s="99">
        <f t="shared" si="26"/>
        <v>347.01502733480004</v>
      </c>
      <c r="J29" s="74">
        <f t="shared" si="14"/>
        <v>991</v>
      </c>
      <c r="K29" s="81">
        <f t="shared" si="27"/>
        <v>970.25</v>
      </c>
      <c r="L29" s="74">
        <f t="shared" si="15"/>
        <v>101</v>
      </c>
      <c r="M29" s="99">
        <f t="shared" si="28"/>
        <v>85</v>
      </c>
      <c r="N29" s="74">
        <f t="shared" si="16"/>
        <v>515</v>
      </c>
      <c r="O29" s="81">
        <f t="shared" si="29"/>
        <v>379.5</v>
      </c>
      <c r="P29" s="74">
        <f t="shared" si="17"/>
        <v>59</v>
      </c>
      <c r="Q29" s="99">
        <f t="shared" si="30"/>
        <v>55</v>
      </c>
      <c r="R29" s="74">
        <v>379</v>
      </c>
      <c r="S29" s="81">
        <f t="shared" si="31"/>
        <v>345.5</v>
      </c>
      <c r="T29" s="74">
        <v>59</v>
      </c>
      <c r="U29" s="99">
        <f t="shared" si="32"/>
        <v>55</v>
      </c>
      <c r="V29" s="74">
        <v>136</v>
      </c>
      <c r="W29" s="81">
        <f t="shared" si="33"/>
        <v>34</v>
      </c>
      <c r="X29" s="74">
        <v>0</v>
      </c>
      <c r="Y29" s="99">
        <f t="shared" si="34"/>
        <v>0</v>
      </c>
      <c r="Z29" s="74">
        <v>476</v>
      </c>
      <c r="AA29" s="81">
        <f t="shared" si="35"/>
        <v>590.75</v>
      </c>
      <c r="AB29" s="74">
        <v>42</v>
      </c>
      <c r="AC29" s="99">
        <f t="shared" si="36"/>
        <v>30</v>
      </c>
      <c r="AD29" s="105">
        <v>39.016393435600008</v>
      </c>
      <c r="AE29" s="81">
        <f t="shared" si="37"/>
        <v>48.422131138825009</v>
      </c>
      <c r="AF29" s="105">
        <v>3.4426229502000001</v>
      </c>
      <c r="AG29" s="99">
        <f t="shared" si="38"/>
        <v>2.4590163930000002</v>
      </c>
      <c r="AH29" s="74">
        <v>476</v>
      </c>
      <c r="AI29" s="81">
        <f t="shared" si="39"/>
        <v>590.75</v>
      </c>
      <c r="AJ29" s="74">
        <v>42</v>
      </c>
      <c r="AK29" s="99">
        <f t="shared" si="40"/>
        <v>30</v>
      </c>
      <c r="AL29" s="74">
        <f t="shared" si="18"/>
        <v>467</v>
      </c>
      <c r="AM29" s="81">
        <f t="shared" si="51"/>
        <v>511</v>
      </c>
      <c r="AN29" s="74">
        <f t="shared" si="19"/>
        <v>103</v>
      </c>
      <c r="AO29" s="81">
        <f t="shared" si="41"/>
        <v>127.42857142857143</v>
      </c>
      <c r="AP29" s="74">
        <f t="shared" si="20"/>
        <v>203</v>
      </c>
      <c r="AQ29" s="81">
        <f t="shared" si="42"/>
        <v>228.42857142857142</v>
      </c>
      <c r="AR29" s="74">
        <f t="shared" si="21"/>
        <v>124</v>
      </c>
      <c r="AS29" s="81">
        <f t="shared" si="43"/>
        <v>112.85714285714286</v>
      </c>
      <c r="AT29" s="83">
        <f t="shared" si="8"/>
        <v>0.52062430323299891</v>
      </c>
      <c r="AU29" s="83">
        <f t="shared" si="9"/>
        <v>0.11482720178372352</v>
      </c>
      <c r="AV29" s="83">
        <f t="shared" si="10"/>
        <v>0.22630992196209587</v>
      </c>
      <c r="AW29" s="84">
        <f t="shared" si="11"/>
        <v>0.13823857302118173</v>
      </c>
      <c r="AX29" s="83">
        <f t="shared" ref="AX29:BA44" si="53">AVERAGE(AT23:AT29)</f>
        <v>0.52145052435144623</v>
      </c>
      <c r="AY29" s="83">
        <f t="shared" si="53"/>
        <v>0.12998550784902485</v>
      </c>
      <c r="AZ29" s="83">
        <f t="shared" si="53"/>
        <v>0.23230159648944296</v>
      </c>
      <c r="BA29" s="84">
        <f t="shared" si="53"/>
        <v>0.11626237131008599</v>
      </c>
      <c r="BB29" s="74">
        <v>253</v>
      </c>
      <c r="BC29" s="81">
        <f t="shared" si="43"/>
        <v>327.28571428571428</v>
      </c>
      <c r="BD29" s="74">
        <v>53</v>
      </c>
      <c r="BE29" s="81">
        <f t="shared" si="44"/>
        <v>72</v>
      </c>
      <c r="BF29" s="74">
        <v>144</v>
      </c>
      <c r="BG29" s="81">
        <f t="shared" si="45"/>
        <v>171.28571428571428</v>
      </c>
      <c r="BH29" s="74">
        <v>68</v>
      </c>
      <c r="BI29" s="81">
        <f t="shared" si="46"/>
        <v>66.714285714285708</v>
      </c>
      <c r="BJ29" s="74">
        <v>214</v>
      </c>
      <c r="BK29" s="81">
        <f t="shared" si="47"/>
        <v>183.71428571428572</v>
      </c>
      <c r="BL29" s="74">
        <v>50</v>
      </c>
      <c r="BM29" s="81">
        <f t="shared" si="48"/>
        <v>55.428571428571431</v>
      </c>
      <c r="BN29" s="74">
        <v>59</v>
      </c>
      <c r="BO29" s="81">
        <f t="shared" si="49"/>
        <v>57.142857142857146</v>
      </c>
      <c r="BP29" s="74">
        <v>56</v>
      </c>
      <c r="BQ29" s="81">
        <f t="shared" si="50"/>
        <v>46.142857142857146</v>
      </c>
    </row>
    <row r="30" spans="1:69" x14ac:dyDescent="0.25">
      <c r="A30" s="85">
        <f t="shared" si="22"/>
        <v>45324</v>
      </c>
      <c r="B30" s="74">
        <f t="shared" si="12"/>
        <v>1145</v>
      </c>
      <c r="C30" s="81">
        <f t="shared" si="23"/>
        <v>1036.25</v>
      </c>
      <c r="D30" s="74">
        <f t="shared" si="13"/>
        <v>104</v>
      </c>
      <c r="E30" s="99">
        <f t="shared" si="24"/>
        <v>92.75</v>
      </c>
      <c r="F30" s="74">
        <v>463.01092897270001</v>
      </c>
      <c r="G30" s="81">
        <f t="shared" si="25"/>
        <v>424.31830601727501</v>
      </c>
      <c r="H30" s="74">
        <v>443.59016395000003</v>
      </c>
      <c r="I30" s="99">
        <f t="shared" si="26"/>
        <v>385.01639345632503</v>
      </c>
      <c r="J30" s="74">
        <f t="shared" si="14"/>
        <v>1145</v>
      </c>
      <c r="K30" s="81">
        <f t="shared" si="27"/>
        <v>1036.25</v>
      </c>
      <c r="L30" s="74">
        <f t="shared" si="15"/>
        <v>104</v>
      </c>
      <c r="M30" s="99">
        <f t="shared" si="28"/>
        <v>92.75</v>
      </c>
      <c r="N30" s="74">
        <f t="shared" si="16"/>
        <v>854</v>
      </c>
      <c r="O30" s="81">
        <f t="shared" si="29"/>
        <v>520.5</v>
      </c>
      <c r="P30" s="74">
        <f t="shared" si="17"/>
        <v>57</v>
      </c>
      <c r="Q30" s="99">
        <f t="shared" si="30"/>
        <v>58.25</v>
      </c>
      <c r="R30" s="74">
        <v>441</v>
      </c>
      <c r="S30" s="81">
        <f t="shared" si="31"/>
        <v>383.25</v>
      </c>
      <c r="T30" s="74">
        <v>57</v>
      </c>
      <c r="U30" s="99">
        <f t="shared" si="32"/>
        <v>58.25</v>
      </c>
      <c r="V30" s="74">
        <v>413</v>
      </c>
      <c r="W30" s="81">
        <f t="shared" si="33"/>
        <v>137.25</v>
      </c>
      <c r="X30" s="74">
        <v>0</v>
      </c>
      <c r="Y30" s="99">
        <f t="shared" si="34"/>
        <v>0</v>
      </c>
      <c r="Z30" s="74">
        <v>291</v>
      </c>
      <c r="AA30" s="81">
        <f t="shared" si="35"/>
        <v>515.75</v>
      </c>
      <c r="AB30" s="74">
        <v>47</v>
      </c>
      <c r="AC30" s="99">
        <f t="shared" si="36"/>
        <v>34.5</v>
      </c>
      <c r="AD30" s="105">
        <v>23.215846989100008</v>
      </c>
      <c r="AE30" s="81">
        <f t="shared" si="37"/>
        <v>42.115437150575012</v>
      </c>
      <c r="AF30" s="105">
        <v>3.7950819663999997</v>
      </c>
      <c r="AG30" s="99">
        <f t="shared" si="38"/>
        <v>2.8135245896250001</v>
      </c>
      <c r="AH30" s="74">
        <v>291</v>
      </c>
      <c r="AI30" s="81">
        <f t="shared" si="39"/>
        <v>515.75</v>
      </c>
      <c r="AJ30" s="74">
        <v>47</v>
      </c>
      <c r="AK30" s="99">
        <f t="shared" si="40"/>
        <v>34.5</v>
      </c>
      <c r="AL30" s="74">
        <f t="shared" si="18"/>
        <v>413</v>
      </c>
      <c r="AM30" s="81">
        <f t="shared" si="51"/>
        <v>493.28571428571428</v>
      </c>
      <c r="AN30" s="74">
        <f t="shared" si="19"/>
        <v>116</v>
      </c>
      <c r="AO30" s="81">
        <f t="shared" si="41"/>
        <v>122.57142857142857</v>
      </c>
      <c r="AP30" s="74">
        <f t="shared" si="20"/>
        <v>135</v>
      </c>
      <c r="AQ30" s="81">
        <f t="shared" si="42"/>
        <v>207.28571428571428</v>
      </c>
      <c r="AR30" s="74">
        <f t="shared" si="21"/>
        <v>115</v>
      </c>
      <c r="AS30" s="81">
        <f t="shared" si="43"/>
        <v>114.14285714285714</v>
      </c>
      <c r="AT30" s="83">
        <f t="shared" si="8"/>
        <v>0.53016688061617456</v>
      </c>
      <c r="AU30" s="83">
        <f t="shared" si="9"/>
        <v>0.14890885750962773</v>
      </c>
      <c r="AV30" s="83">
        <f t="shared" si="10"/>
        <v>0.17329910141206675</v>
      </c>
      <c r="AW30" s="84">
        <f t="shared" si="11"/>
        <v>0.14762516046213095</v>
      </c>
      <c r="AX30" s="83">
        <f t="shared" si="53"/>
        <v>0.52589284558657678</v>
      </c>
      <c r="AY30" s="83">
        <f t="shared" si="53"/>
        <v>0.13134317257026215</v>
      </c>
      <c r="AZ30" s="83">
        <f t="shared" si="53"/>
        <v>0.21948558920311581</v>
      </c>
      <c r="BA30" s="84">
        <f t="shared" si="53"/>
        <v>0.12327839264004523</v>
      </c>
      <c r="BB30" s="74">
        <v>174</v>
      </c>
      <c r="BC30" s="81">
        <f t="shared" si="43"/>
        <v>301.71428571428572</v>
      </c>
      <c r="BD30" s="74">
        <v>50</v>
      </c>
      <c r="BE30" s="81">
        <f t="shared" si="44"/>
        <v>66.714285714285708</v>
      </c>
      <c r="BF30" s="74">
        <v>62</v>
      </c>
      <c r="BG30" s="81">
        <f t="shared" si="45"/>
        <v>149.85714285714286</v>
      </c>
      <c r="BH30" s="74">
        <v>52</v>
      </c>
      <c r="BI30" s="81">
        <f t="shared" si="46"/>
        <v>66.428571428571431</v>
      </c>
      <c r="BJ30" s="74">
        <v>239</v>
      </c>
      <c r="BK30" s="81">
        <f t="shared" si="47"/>
        <v>191.57142857142858</v>
      </c>
      <c r="BL30" s="74">
        <v>66</v>
      </c>
      <c r="BM30" s="81">
        <f t="shared" si="48"/>
        <v>55.857142857142854</v>
      </c>
      <c r="BN30" s="74">
        <v>73</v>
      </c>
      <c r="BO30" s="81">
        <f t="shared" si="49"/>
        <v>57.428571428571431</v>
      </c>
      <c r="BP30" s="74">
        <v>63</v>
      </c>
      <c r="BQ30" s="81">
        <f t="shared" si="50"/>
        <v>47.714285714285715</v>
      </c>
    </row>
    <row r="31" spans="1:69" x14ac:dyDescent="0.25">
      <c r="A31" s="85">
        <f t="shared" si="22"/>
        <v>45331</v>
      </c>
      <c r="B31" s="74">
        <f t="shared" si="12"/>
        <v>796</v>
      </c>
      <c r="C31" s="81">
        <f t="shared" si="23"/>
        <v>985</v>
      </c>
      <c r="D31" s="74">
        <f t="shared" si="13"/>
        <v>92</v>
      </c>
      <c r="E31" s="99">
        <f t="shared" si="24"/>
        <v>93.75</v>
      </c>
      <c r="F31" s="74">
        <v>312.19398907699997</v>
      </c>
      <c r="G31" s="81">
        <f t="shared" si="25"/>
        <v>398.33333334012497</v>
      </c>
      <c r="H31" s="74">
        <v>305.38524591119995</v>
      </c>
      <c r="I31" s="99">
        <f t="shared" si="26"/>
        <v>369.87021859202497</v>
      </c>
      <c r="J31" s="74">
        <f t="shared" si="14"/>
        <v>796</v>
      </c>
      <c r="K31" s="81">
        <f t="shared" si="27"/>
        <v>985</v>
      </c>
      <c r="L31" s="74">
        <f t="shared" si="15"/>
        <v>92</v>
      </c>
      <c r="M31" s="99">
        <f t="shared" si="28"/>
        <v>93.75</v>
      </c>
      <c r="N31" s="74">
        <f t="shared" si="16"/>
        <v>665</v>
      </c>
      <c r="O31" s="81">
        <f t="shared" si="29"/>
        <v>595.5</v>
      </c>
      <c r="P31" s="74">
        <f t="shared" si="17"/>
        <v>50</v>
      </c>
      <c r="Q31" s="99">
        <f t="shared" si="30"/>
        <v>54.75</v>
      </c>
      <c r="R31" s="74">
        <v>303</v>
      </c>
      <c r="S31" s="81">
        <f t="shared" si="31"/>
        <v>367.75</v>
      </c>
      <c r="T31" s="74">
        <v>50</v>
      </c>
      <c r="U31" s="99">
        <f t="shared" si="32"/>
        <v>54.75</v>
      </c>
      <c r="V31" s="74">
        <v>362</v>
      </c>
      <c r="W31" s="81">
        <f t="shared" si="33"/>
        <v>227.75</v>
      </c>
      <c r="X31" s="74">
        <v>0</v>
      </c>
      <c r="Y31" s="99">
        <f t="shared" si="34"/>
        <v>0</v>
      </c>
      <c r="Z31" s="74">
        <v>131</v>
      </c>
      <c r="AA31" s="81">
        <f t="shared" si="35"/>
        <v>389.5</v>
      </c>
      <c r="AB31" s="74">
        <v>42</v>
      </c>
      <c r="AC31" s="99">
        <f t="shared" si="36"/>
        <v>39</v>
      </c>
      <c r="AD31" s="105">
        <v>10.021857918199997</v>
      </c>
      <c r="AE31" s="81">
        <f t="shared" si="37"/>
        <v>31.588114747225006</v>
      </c>
      <c r="AF31" s="105">
        <v>3.2131147523999997</v>
      </c>
      <c r="AG31" s="99">
        <f t="shared" si="38"/>
        <v>3.1249999991249999</v>
      </c>
      <c r="AH31" s="74">
        <v>131</v>
      </c>
      <c r="AI31" s="81">
        <f t="shared" si="39"/>
        <v>389.5</v>
      </c>
      <c r="AJ31" s="74">
        <v>42</v>
      </c>
      <c r="AK31" s="99">
        <f t="shared" si="40"/>
        <v>39</v>
      </c>
      <c r="AL31" s="74">
        <f t="shared" si="18"/>
        <v>257</v>
      </c>
      <c r="AM31" s="81">
        <f t="shared" si="51"/>
        <v>444.28571428571428</v>
      </c>
      <c r="AN31" s="74">
        <f t="shared" si="19"/>
        <v>96</v>
      </c>
      <c r="AO31" s="81">
        <f t="shared" si="41"/>
        <v>119.85714285714286</v>
      </c>
      <c r="AP31" s="74">
        <f t="shared" si="20"/>
        <v>69</v>
      </c>
      <c r="AQ31" s="81">
        <f t="shared" si="42"/>
        <v>182.85714285714286</v>
      </c>
      <c r="AR31" s="74">
        <f t="shared" si="21"/>
        <v>54</v>
      </c>
      <c r="AS31" s="81">
        <f t="shared" si="43"/>
        <v>104.28571428571429</v>
      </c>
      <c r="AT31" s="83">
        <f t="shared" si="8"/>
        <v>0.53991596638655459</v>
      </c>
      <c r="AU31" s="83">
        <f t="shared" si="9"/>
        <v>0.20168067226890757</v>
      </c>
      <c r="AV31" s="83">
        <f t="shared" si="10"/>
        <v>0.14495798319327732</v>
      </c>
      <c r="AW31" s="84">
        <f t="shared" si="11"/>
        <v>0.1134453781512605</v>
      </c>
      <c r="AX31" s="83">
        <f t="shared" si="53"/>
        <v>0.52351137351722954</v>
      </c>
      <c r="AY31" s="83">
        <f t="shared" si="53"/>
        <v>0.1449148350014684</v>
      </c>
      <c r="AZ31" s="83">
        <f t="shared" si="53"/>
        <v>0.20838894275232769</v>
      </c>
      <c r="BA31" s="84">
        <f t="shared" si="53"/>
        <v>0.1231848487289743</v>
      </c>
      <c r="BB31" s="74">
        <v>92</v>
      </c>
      <c r="BC31" s="81">
        <f t="shared" si="43"/>
        <v>257.71428571428572</v>
      </c>
      <c r="BD31" s="74">
        <v>38</v>
      </c>
      <c r="BE31" s="81">
        <f t="shared" si="44"/>
        <v>62.285714285714285</v>
      </c>
      <c r="BF31" s="74">
        <v>29</v>
      </c>
      <c r="BG31" s="81">
        <f t="shared" si="45"/>
        <v>129.71428571428572</v>
      </c>
      <c r="BH31" s="74">
        <v>14</v>
      </c>
      <c r="BI31" s="81">
        <f t="shared" si="46"/>
        <v>57.571428571428569</v>
      </c>
      <c r="BJ31" s="74">
        <v>165</v>
      </c>
      <c r="BK31" s="81">
        <f t="shared" si="47"/>
        <v>186.57142857142858</v>
      </c>
      <c r="BL31" s="74">
        <v>58</v>
      </c>
      <c r="BM31" s="81">
        <f t="shared" si="48"/>
        <v>57.571428571428569</v>
      </c>
      <c r="BN31" s="74">
        <v>40</v>
      </c>
      <c r="BO31" s="81">
        <f t="shared" si="49"/>
        <v>53.142857142857146</v>
      </c>
      <c r="BP31" s="74">
        <v>40</v>
      </c>
      <c r="BQ31" s="81">
        <f t="shared" si="50"/>
        <v>46.714285714285715</v>
      </c>
    </row>
    <row r="32" spans="1:69" x14ac:dyDescent="0.25">
      <c r="A32" s="85">
        <f t="shared" si="22"/>
        <v>45338</v>
      </c>
      <c r="B32" s="74">
        <f t="shared" si="12"/>
        <v>819</v>
      </c>
      <c r="C32" s="81">
        <f t="shared" si="23"/>
        <v>937.75</v>
      </c>
      <c r="D32" s="74">
        <f t="shared" si="13"/>
        <v>107</v>
      </c>
      <c r="E32" s="99">
        <f t="shared" si="24"/>
        <v>101</v>
      </c>
      <c r="F32" s="74">
        <v>329.46174864200003</v>
      </c>
      <c r="G32" s="81">
        <f t="shared" si="25"/>
        <v>380.41188525392499</v>
      </c>
      <c r="H32" s="74">
        <v>325.94262296080007</v>
      </c>
      <c r="I32" s="99">
        <f t="shared" si="26"/>
        <v>364.08128416514995</v>
      </c>
      <c r="J32" s="74">
        <f t="shared" si="14"/>
        <v>819</v>
      </c>
      <c r="K32" s="81">
        <f t="shared" si="27"/>
        <v>937.75</v>
      </c>
      <c r="L32" s="74">
        <f t="shared" si="15"/>
        <v>107</v>
      </c>
      <c r="M32" s="99">
        <f t="shared" si="28"/>
        <v>101</v>
      </c>
      <c r="N32" s="74">
        <f t="shared" si="16"/>
        <v>723</v>
      </c>
      <c r="O32" s="81">
        <f t="shared" si="29"/>
        <v>689.25</v>
      </c>
      <c r="P32" s="74">
        <f t="shared" si="17"/>
        <v>57</v>
      </c>
      <c r="Q32" s="99">
        <f t="shared" si="30"/>
        <v>55.75</v>
      </c>
      <c r="R32" s="74">
        <v>323</v>
      </c>
      <c r="S32" s="81">
        <f t="shared" si="31"/>
        <v>361.5</v>
      </c>
      <c r="T32" s="74">
        <v>57</v>
      </c>
      <c r="U32" s="99">
        <f t="shared" si="32"/>
        <v>55.75</v>
      </c>
      <c r="V32" s="74">
        <v>400</v>
      </c>
      <c r="W32" s="81">
        <f t="shared" si="33"/>
        <v>327.75</v>
      </c>
      <c r="X32" s="74">
        <v>0</v>
      </c>
      <c r="Y32" s="99">
        <f t="shared" si="34"/>
        <v>0</v>
      </c>
      <c r="Z32" s="74">
        <v>96</v>
      </c>
      <c r="AA32" s="81">
        <f t="shared" si="35"/>
        <v>248.5</v>
      </c>
      <c r="AB32" s="74">
        <v>50</v>
      </c>
      <c r="AC32" s="99">
        <f t="shared" si="36"/>
        <v>45.25</v>
      </c>
      <c r="AD32" s="105">
        <v>7.344262291199998</v>
      </c>
      <c r="AE32" s="81">
        <f t="shared" si="37"/>
        <v>19.899590158525001</v>
      </c>
      <c r="AF32" s="105">
        <v>3.825136609999999</v>
      </c>
      <c r="AG32" s="99">
        <f t="shared" si="38"/>
        <v>3.5689890697499997</v>
      </c>
      <c r="AH32" s="74">
        <v>96</v>
      </c>
      <c r="AI32" s="81">
        <f t="shared" si="39"/>
        <v>248.5</v>
      </c>
      <c r="AJ32" s="74">
        <v>50</v>
      </c>
      <c r="AK32" s="99">
        <f t="shared" si="40"/>
        <v>45.25</v>
      </c>
      <c r="AL32" s="74">
        <f t="shared" si="18"/>
        <v>254</v>
      </c>
      <c r="AM32" s="81">
        <f t="shared" si="51"/>
        <v>417.14285714285717</v>
      </c>
      <c r="AN32" s="74">
        <f t="shared" si="19"/>
        <v>87</v>
      </c>
      <c r="AO32" s="81">
        <f t="shared" si="41"/>
        <v>116.57142857142857</v>
      </c>
      <c r="AP32" s="74">
        <f t="shared" si="20"/>
        <v>81</v>
      </c>
      <c r="AQ32" s="81">
        <f t="shared" si="42"/>
        <v>169.14285714285714</v>
      </c>
      <c r="AR32" s="74">
        <f t="shared" si="21"/>
        <v>47</v>
      </c>
      <c r="AS32" s="81">
        <f t="shared" si="43"/>
        <v>95.571428571428569</v>
      </c>
      <c r="AT32" s="83">
        <f t="shared" si="8"/>
        <v>0.54157782515991471</v>
      </c>
      <c r="AU32" s="83">
        <f t="shared" si="9"/>
        <v>0.18550106609808104</v>
      </c>
      <c r="AV32" s="83">
        <f t="shared" si="10"/>
        <v>0.17270788912579957</v>
      </c>
      <c r="AW32" s="84">
        <f t="shared" si="11"/>
        <v>0.10021321961620469</v>
      </c>
      <c r="AX32" s="83">
        <f t="shared" si="53"/>
        <v>0.52527942992948373</v>
      </c>
      <c r="AY32" s="83">
        <f t="shared" si="53"/>
        <v>0.15268520695043655</v>
      </c>
      <c r="AZ32" s="83">
        <f t="shared" si="53"/>
        <v>0.20292357905005387</v>
      </c>
      <c r="BA32" s="84">
        <f t="shared" si="53"/>
        <v>0.11911178407002584</v>
      </c>
      <c r="BB32" s="74">
        <v>83</v>
      </c>
      <c r="BC32" s="81">
        <f t="shared" si="43"/>
        <v>226.85714285714286</v>
      </c>
      <c r="BD32" s="74">
        <v>23</v>
      </c>
      <c r="BE32" s="81">
        <f t="shared" si="44"/>
        <v>57.428571428571431</v>
      </c>
      <c r="BF32" s="74">
        <v>30</v>
      </c>
      <c r="BG32" s="81">
        <f t="shared" si="45"/>
        <v>114.57142857142857</v>
      </c>
      <c r="BH32" s="74">
        <v>10</v>
      </c>
      <c r="BI32" s="81">
        <f t="shared" si="46"/>
        <v>49.714285714285715</v>
      </c>
      <c r="BJ32" s="74">
        <v>171</v>
      </c>
      <c r="BK32" s="81">
        <f t="shared" si="47"/>
        <v>190.28571428571428</v>
      </c>
      <c r="BL32" s="74">
        <v>64</v>
      </c>
      <c r="BM32" s="81">
        <f t="shared" si="48"/>
        <v>59.142857142857146</v>
      </c>
      <c r="BN32" s="74">
        <v>51</v>
      </c>
      <c r="BO32" s="81">
        <f t="shared" si="49"/>
        <v>54.571428571428569</v>
      </c>
      <c r="BP32" s="74">
        <v>37</v>
      </c>
      <c r="BQ32" s="81">
        <f t="shared" si="50"/>
        <v>45.857142857142854</v>
      </c>
    </row>
    <row r="33" spans="1:69" x14ac:dyDescent="0.25">
      <c r="A33" s="85">
        <f t="shared" si="22"/>
        <v>45345</v>
      </c>
      <c r="B33" s="74">
        <f t="shared" si="12"/>
        <v>968</v>
      </c>
      <c r="C33" s="81">
        <f t="shared" si="23"/>
        <v>932</v>
      </c>
      <c r="D33" s="74">
        <f t="shared" si="13"/>
        <v>92</v>
      </c>
      <c r="E33" s="99">
        <f t="shared" si="24"/>
        <v>98.75</v>
      </c>
      <c r="F33" s="74">
        <v>345.89344263480001</v>
      </c>
      <c r="G33" s="81">
        <f t="shared" si="25"/>
        <v>362.64002733162499</v>
      </c>
      <c r="H33" s="74">
        <v>346.12295083139998</v>
      </c>
      <c r="I33" s="99">
        <f t="shared" si="26"/>
        <v>355.26024591334999</v>
      </c>
      <c r="J33" s="74">
        <f t="shared" si="14"/>
        <v>968</v>
      </c>
      <c r="K33" s="81">
        <f t="shared" si="27"/>
        <v>932</v>
      </c>
      <c r="L33" s="74">
        <f t="shared" si="15"/>
        <v>92</v>
      </c>
      <c r="M33" s="99">
        <f t="shared" si="28"/>
        <v>98.75</v>
      </c>
      <c r="N33" s="74">
        <f t="shared" si="16"/>
        <v>944</v>
      </c>
      <c r="O33" s="81">
        <f t="shared" si="29"/>
        <v>796.5</v>
      </c>
      <c r="P33" s="74">
        <f t="shared" si="17"/>
        <v>65</v>
      </c>
      <c r="Q33" s="99">
        <f t="shared" si="30"/>
        <v>57.25</v>
      </c>
      <c r="R33" s="74">
        <v>345</v>
      </c>
      <c r="S33" s="81">
        <f t="shared" si="31"/>
        <v>353</v>
      </c>
      <c r="T33" s="74">
        <v>65</v>
      </c>
      <c r="U33" s="99">
        <f t="shared" si="32"/>
        <v>57.25</v>
      </c>
      <c r="V33" s="74">
        <v>599</v>
      </c>
      <c r="W33" s="81">
        <f t="shared" si="33"/>
        <v>443.5</v>
      </c>
      <c r="X33" s="74">
        <v>0</v>
      </c>
      <c r="Y33" s="99">
        <f t="shared" si="34"/>
        <v>0</v>
      </c>
      <c r="Z33" s="74">
        <v>24</v>
      </c>
      <c r="AA33" s="81">
        <f t="shared" si="35"/>
        <v>135.5</v>
      </c>
      <c r="AB33" s="74">
        <v>27</v>
      </c>
      <c r="AC33" s="99">
        <f t="shared" si="36"/>
        <v>41.5</v>
      </c>
      <c r="AD33" s="105">
        <v>1.8360655728000004</v>
      </c>
      <c r="AE33" s="81">
        <f t="shared" si="37"/>
        <v>10.604508192825001</v>
      </c>
      <c r="AF33" s="105">
        <v>2.0655737694000003</v>
      </c>
      <c r="AG33" s="99">
        <f t="shared" si="38"/>
        <v>3.2247267745499997</v>
      </c>
      <c r="AH33" s="74">
        <v>24</v>
      </c>
      <c r="AI33" s="81">
        <f t="shared" si="39"/>
        <v>135.5</v>
      </c>
      <c r="AJ33" s="74">
        <v>27</v>
      </c>
      <c r="AK33" s="99">
        <f t="shared" si="40"/>
        <v>41.5</v>
      </c>
      <c r="AL33" s="74">
        <f t="shared" si="18"/>
        <v>202</v>
      </c>
      <c r="AM33" s="81">
        <f t="shared" si="51"/>
        <v>380</v>
      </c>
      <c r="AN33" s="74">
        <f t="shared" si="19"/>
        <v>65</v>
      </c>
      <c r="AO33" s="81">
        <f t="shared" si="41"/>
        <v>108.42857142857143</v>
      </c>
      <c r="AP33" s="74">
        <f t="shared" si="20"/>
        <v>72</v>
      </c>
      <c r="AQ33" s="81">
        <f t="shared" si="42"/>
        <v>149.14285714285714</v>
      </c>
      <c r="AR33" s="74">
        <f t="shared" si="21"/>
        <v>57</v>
      </c>
      <c r="AS33" s="81">
        <f t="shared" si="43"/>
        <v>87.428571428571431</v>
      </c>
      <c r="AT33" s="83">
        <f t="shared" si="8"/>
        <v>0.51010101010101006</v>
      </c>
      <c r="AU33" s="83">
        <f t="shared" si="9"/>
        <v>0.16414141414141414</v>
      </c>
      <c r="AV33" s="83">
        <f t="shared" si="10"/>
        <v>0.18181818181818182</v>
      </c>
      <c r="AW33" s="84">
        <f t="shared" si="11"/>
        <v>0.14393939393939395</v>
      </c>
      <c r="AX33" s="83">
        <f t="shared" si="53"/>
        <v>0.52562353027358399</v>
      </c>
      <c r="AY33" s="83">
        <f t="shared" si="53"/>
        <v>0.15698170410407655</v>
      </c>
      <c r="AZ33" s="83">
        <f t="shared" si="53"/>
        <v>0.1956166003145037</v>
      </c>
      <c r="BA33" s="84">
        <f t="shared" si="53"/>
        <v>0.12177816530783567</v>
      </c>
      <c r="BB33" s="74">
        <v>31</v>
      </c>
      <c r="BC33" s="81">
        <f t="shared" si="43"/>
        <v>186.28571428571428</v>
      </c>
      <c r="BD33" s="74">
        <v>9</v>
      </c>
      <c r="BE33" s="81">
        <f t="shared" si="44"/>
        <v>47.714285714285715</v>
      </c>
      <c r="BF33" s="74">
        <v>5</v>
      </c>
      <c r="BG33" s="81">
        <f t="shared" si="45"/>
        <v>92</v>
      </c>
      <c r="BH33" s="74">
        <v>6</v>
      </c>
      <c r="BI33" s="81">
        <f t="shared" si="46"/>
        <v>41.285714285714285</v>
      </c>
      <c r="BJ33" s="74">
        <v>171</v>
      </c>
      <c r="BK33" s="81">
        <f t="shared" si="47"/>
        <v>193.71428571428572</v>
      </c>
      <c r="BL33" s="74">
        <v>56</v>
      </c>
      <c r="BM33" s="81">
        <f t="shared" si="48"/>
        <v>60.714285714285715</v>
      </c>
      <c r="BN33" s="74">
        <v>67</v>
      </c>
      <c r="BO33" s="81">
        <f t="shared" si="49"/>
        <v>57.142857142857146</v>
      </c>
      <c r="BP33" s="74">
        <v>51</v>
      </c>
      <c r="BQ33" s="81">
        <f t="shared" si="50"/>
        <v>46.142857142857146</v>
      </c>
    </row>
    <row r="34" spans="1:69" x14ac:dyDescent="0.25">
      <c r="A34" s="85">
        <f t="shared" si="22"/>
        <v>45352</v>
      </c>
      <c r="B34" s="74">
        <f t="shared" si="12"/>
        <v>1278</v>
      </c>
      <c r="C34" s="81">
        <f t="shared" si="23"/>
        <v>965.25</v>
      </c>
      <c r="D34" s="74">
        <f t="shared" si="13"/>
        <v>79</v>
      </c>
      <c r="E34" s="99">
        <f t="shared" si="24"/>
        <v>92.5</v>
      </c>
      <c r="F34" s="74">
        <v>377.95010855210006</v>
      </c>
      <c r="G34" s="81">
        <f t="shared" si="25"/>
        <v>341.37482222647503</v>
      </c>
      <c r="H34" s="74">
        <v>377.87360581990004</v>
      </c>
      <c r="I34" s="99">
        <f t="shared" si="26"/>
        <v>338.83110638082496</v>
      </c>
      <c r="J34" s="74">
        <f t="shared" si="14"/>
        <v>1278</v>
      </c>
      <c r="K34" s="81">
        <f t="shared" si="27"/>
        <v>965.25</v>
      </c>
      <c r="L34" s="74">
        <f t="shared" si="15"/>
        <v>79</v>
      </c>
      <c r="M34" s="99">
        <f t="shared" si="28"/>
        <v>92.5</v>
      </c>
      <c r="N34" s="74">
        <f t="shared" si="16"/>
        <v>1277</v>
      </c>
      <c r="O34" s="81">
        <f t="shared" si="29"/>
        <v>902.25</v>
      </c>
      <c r="P34" s="74">
        <f t="shared" si="17"/>
        <v>79</v>
      </c>
      <c r="Q34" s="99">
        <f t="shared" si="30"/>
        <v>62.75</v>
      </c>
      <c r="R34" s="74">
        <v>379</v>
      </c>
      <c r="S34" s="81">
        <f t="shared" si="31"/>
        <v>337.5</v>
      </c>
      <c r="T34" s="74">
        <v>79</v>
      </c>
      <c r="U34" s="99">
        <f t="shared" si="32"/>
        <v>62.75</v>
      </c>
      <c r="V34" s="74">
        <v>898</v>
      </c>
      <c r="W34" s="81">
        <f t="shared" si="33"/>
        <v>564.75</v>
      </c>
      <c r="X34" s="74">
        <v>0</v>
      </c>
      <c r="Y34" s="99">
        <f t="shared" si="34"/>
        <v>0</v>
      </c>
      <c r="Z34" s="74">
        <v>1</v>
      </c>
      <c r="AA34" s="81">
        <f t="shared" si="35"/>
        <v>63</v>
      </c>
      <c r="AB34" s="74">
        <v>0</v>
      </c>
      <c r="AC34" s="99">
        <f t="shared" si="36"/>
        <v>29.75</v>
      </c>
      <c r="AD34" s="105">
        <v>7.6502732200000007E-2</v>
      </c>
      <c r="AE34" s="81">
        <f t="shared" si="37"/>
        <v>4.8196721285999988</v>
      </c>
      <c r="AF34" s="105">
        <v>0</v>
      </c>
      <c r="AG34" s="99">
        <f t="shared" si="38"/>
        <v>2.2759562829499997</v>
      </c>
      <c r="AH34" s="74">
        <v>1</v>
      </c>
      <c r="AI34" s="81">
        <f t="shared" si="39"/>
        <v>63</v>
      </c>
      <c r="AJ34" s="74">
        <v>0</v>
      </c>
      <c r="AK34" s="99">
        <f t="shared" si="40"/>
        <v>29.75</v>
      </c>
      <c r="AL34" s="74">
        <f t="shared" si="18"/>
        <v>213</v>
      </c>
      <c r="AM34" s="81">
        <f t="shared" si="51"/>
        <v>333.57142857142856</v>
      </c>
      <c r="AN34" s="74">
        <f t="shared" si="19"/>
        <v>60</v>
      </c>
      <c r="AO34" s="81">
        <f t="shared" si="41"/>
        <v>95.428571428571431</v>
      </c>
      <c r="AP34" s="74">
        <f t="shared" si="20"/>
        <v>67</v>
      </c>
      <c r="AQ34" s="81">
        <f t="shared" si="42"/>
        <v>126.85714285714286</v>
      </c>
      <c r="AR34" s="74">
        <f t="shared" si="21"/>
        <v>40</v>
      </c>
      <c r="AS34" s="81">
        <f t="shared" si="43"/>
        <v>77</v>
      </c>
      <c r="AT34" s="83">
        <f t="shared" si="8"/>
        <v>0.56052631578947365</v>
      </c>
      <c r="AU34" s="83">
        <f t="shared" si="9"/>
        <v>0.15789473684210525</v>
      </c>
      <c r="AV34" s="83">
        <f t="shared" si="10"/>
        <v>0.1763157894736842</v>
      </c>
      <c r="AW34" s="84">
        <f t="shared" si="11"/>
        <v>0.10526315789473684</v>
      </c>
      <c r="AX34" s="83">
        <f t="shared" si="53"/>
        <v>0.53071613984629629</v>
      </c>
      <c r="AY34" s="83">
        <f t="shared" si="53"/>
        <v>0.15849279891427279</v>
      </c>
      <c r="AZ34" s="83">
        <f t="shared" si="53"/>
        <v>0.18972443086649343</v>
      </c>
      <c r="BA34" s="84">
        <f t="shared" si="53"/>
        <v>0.12106663037293744</v>
      </c>
      <c r="BB34" s="74">
        <v>0</v>
      </c>
      <c r="BC34" s="81">
        <f t="shared" si="43"/>
        <v>137.85714285714286</v>
      </c>
      <c r="BD34" s="74">
        <v>0</v>
      </c>
      <c r="BE34" s="81">
        <f t="shared" si="44"/>
        <v>36.428571428571431</v>
      </c>
      <c r="BF34" s="74">
        <v>0</v>
      </c>
      <c r="BG34" s="81">
        <f t="shared" si="45"/>
        <v>68</v>
      </c>
      <c r="BH34" s="74">
        <v>1</v>
      </c>
      <c r="BI34" s="81">
        <f t="shared" si="46"/>
        <v>30.857142857142858</v>
      </c>
      <c r="BJ34" s="74">
        <v>213</v>
      </c>
      <c r="BK34" s="81">
        <f t="shared" si="47"/>
        <v>195.71428571428572</v>
      </c>
      <c r="BL34" s="74">
        <v>60</v>
      </c>
      <c r="BM34" s="81">
        <f t="shared" si="48"/>
        <v>59</v>
      </c>
      <c r="BN34" s="74">
        <v>67</v>
      </c>
      <c r="BO34" s="81">
        <f t="shared" si="49"/>
        <v>58.857142857142854</v>
      </c>
      <c r="BP34" s="74">
        <v>39</v>
      </c>
      <c r="BQ34" s="81">
        <f t="shared" si="50"/>
        <v>46.142857142857146</v>
      </c>
    </row>
    <row r="35" spans="1:69" x14ac:dyDescent="0.25">
      <c r="A35" s="85">
        <f t="shared" si="22"/>
        <v>45359</v>
      </c>
      <c r="B35" s="74">
        <f t="shared" si="12"/>
        <v>1161</v>
      </c>
      <c r="C35" s="81">
        <f t="shared" si="23"/>
        <v>1056.5</v>
      </c>
      <c r="D35" s="74">
        <f t="shared" si="13"/>
        <v>70</v>
      </c>
      <c r="E35" s="99">
        <f t="shared" si="24"/>
        <v>87</v>
      </c>
      <c r="F35" s="74">
        <v>358.01643836599982</v>
      </c>
      <c r="G35" s="81">
        <f t="shared" si="25"/>
        <v>352.83043454872501</v>
      </c>
      <c r="H35" s="74">
        <v>358.01643836599982</v>
      </c>
      <c r="I35" s="99">
        <f t="shared" si="26"/>
        <v>351.98890449452495</v>
      </c>
      <c r="J35" s="74">
        <f t="shared" si="14"/>
        <v>1161</v>
      </c>
      <c r="K35" s="81">
        <f t="shared" si="27"/>
        <v>1056.5</v>
      </c>
      <c r="L35" s="74">
        <f t="shared" si="15"/>
        <v>70</v>
      </c>
      <c r="M35" s="99">
        <f t="shared" si="28"/>
        <v>87</v>
      </c>
      <c r="N35" s="74">
        <f t="shared" si="16"/>
        <v>1161</v>
      </c>
      <c r="O35" s="81">
        <f t="shared" si="29"/>
        <v>1026.25</v>
      </c>
      <c r="P35" s="74">
        <f t="shared" si="17"/>
        <v>70</v>
      </c>
      <c r="Q35" s="99">
        <f t="shared" si="30"/>
        <v>67.75</v>
      </c>
      <c r="R35" s="74">
        <v>359</v>
      </c>
      <c r="S35" s="81">
        <f t="shared" si="31"/>
        <v>351.5</v>
      </c>
      <c r="T35" s="74">
        <v>70</v>
      </c>
      <c r="U35" s="99">
        <f t="shared" si="32"/>
        <v>67.75</v>
      </c>
      <c r="V35" s="74">
        <v>802</v>
      </c>
      <c r="W35" s="81">
        <f t="shared" si="33"/>
        <v>674.75</v>
      </c>
      <c r="X35" s="74">
        <v>0</v>
      </c>
      <c r="Y35" s="99">
        <f t="shared" si="34"/>
        <v>0</v>
      </c>
      <c r="Z35" s="74">
        <v>0</v>
      </c>
      <c r="AA35" s="81">
        <f t="shared" si="35"/>
        <v>30.25</v>
      </c>
      <c r="AB35" s="74">
        <v>0</v>
      </c>
      <c r="AC35" s="99">
        <f t="shared" si="36"/>
        <v>19.25</v>
      </c>
      <c r="AD35" s="105">
        <v>0</v>
      </c>
      <c r="AE35" s="81">
        <f t="shared" si="37"/>
        <v>2.3142076490499996</v>
      </c>
      <c r="AF35" s="105">
        <v>0</v>
      </c>
      <c r="AG35" s="99">
        <f t="shared" si="38"/>
        <v>1.4726775948499999</v>
      </c>
      <c r="AH35" s="74">
        <v>0</v>
      </c>
      <c r="AI35" s="81">
        <f t="shared" si="39"/>
        <v>30.25</v>
      </c>
      <c r="AJ35" s="74">
        <v>0</v>
      </c>
      <c r="AK35" s="99">
        <f t="shared" si="40"/>
        <v>19.25</v>
      </c>
      <c r="AL35" s="74">
        <f t="shared" si="18"/>
        <v>203</v>
      </c>
      <c r="AM35" s="81">
        <f t="shared" si="51"/>
        <v>287</v>
      </c>
      <c r="AN35" s="74">
        <f t="shared" si="19"/>
        <v>43</v>
      </c>
      <c r="AO35" s="81">
        <f t="shared" si="41"/>
        <v>81.428571428571431</v>
      </c>
      <c r="AP35" s="74">
        <f t="shared" si="20"/>
        <v>67</v>
      </c>
      <c r="AQ35" s="81">
        <f t="shared" si="42"/>
        <v>99.142857142857139</v>
      </c>
      <c r="AR35" s="74">
        <f t="shared" si="21"/>
        <v>46</v>
      </c>
      <c r="AS35" s="81">
        <f t="shared" si="43"/>
        <v>69</v>
      </c>
      <c r="AT35" s="83">
        <f t="shared" si="8"/>
        <v>0.56545961002785516</v>
      </c>
      <c r="AU35" s="83">
        <f t="shared" si="9"/>
        <v>0.11977715877437325</v>
      </c>
      <c r="AV35" s="83">
        <f t="shared" si="10"/>
        <v>0.18662952646239556</v>
      </c>
      <c r="AW35" s="84">
        <f t="shared" si="11"/>
        <v>0.12813370473537605</v>
      </c>
      <c r="AX35" s="83">
        <f t="shared" si="53"/>
        <v>0.53833884447342595</v>
      </c>
      <c r="AY35" s="83">
        <f t="shared" si="53"/>
        <v>0.15610444391689035</v>
      </c>
      <c r="AZ35" s="83">
        <f t="shared" si="53"/>
        <v>0.18029119906392874</v>
      </c>
      <c r="BA35" s="84">
        <f t="shared" si="53"/>
        <v>0.12526551254575494</v>
      </c>
      <c r="BB35" s="74">
        <v>0</v>
      </c>
      <c r="BC35" s="81">
        <f t="shared" si="43"/>
        <v>90.428571428571431</v>
      </c>
      <c r="BD35" s="74">
        <v>0</v>
      </c>
      <c r="BE35" s="81">
        <f t="shared" si="44"/>
        <v>24.714285714285715</v>
      </c>
      <c r="BF35" s="74">
        <v>0</v>
      </c>
      <c r="BG35" s="81">
        <f t="shared" si="45"/>
        <v>38.571428571428569</v>
      </c>
      <c r="BH35" s="74">
        <v>0</v>
      </c>
      <c r="BI35" s="81">
        <f t="shared" si="46"/>
        <v>21.571428571428573</v>
      </c>
      <c r="BJ35" s="74">
        <v>203</v>
      </c>
      <c r="BK35" s="81">
        <f t="shared" si="47"/>
        <v>196.57142857142858</v>
      </c>
      <c r="BL35" s="74">
        <v>43</v>
      </c>
      <c r="BM35" s="81">
        <f t="shared" si="48"/>
        <v>56.714285714285715</v>
      </c>
      <c r="BN35" s="74">
        <v>67</v>
      </c>
      <c r="BO35" s="81">
        <f t="shared" si="49"/>
        <v>60.571428571428569</v>
      </c>
      <c r="BP35" s="74">
        <v>46</v>
      </c>
      <c r="BQ35" s="81">
        <f t="shared" si="50"/>
        <v>47.428571428571431</v>
      </c>
    </row>
    <row r="36" spans="1:69" x14ac:dyDescent="0.25">
      <c r="A36" s="85">
        <f t="shared" si="22"/>
        <v>45366</v>
      </c>
      <c r="B36" s="74">
        <f t="shared" si="12"/>
        <v>1161</v>
      </c>
      <c r="C36" s="81">
        <f t="shared" si="23"/>
        <v>1142</v>
      </c>
      <c r="D36" s="74">
        <f t="shared" si="13"/>
        <v>82</v>
      </c>
      <c r="E36" s="99">
        <f t="shared" si="24"/>
        <v>80.75</v>
      </c>
      <c r="F36" s="74">
        <v>408.8767123400001</v>
      </c>
      <c r="G36" s="81">
        <f t="shared" si="25"/>
        <v>372.68417547322497</v>
      </c>
      <c r="H36" s="74">
        <v>408.8767123400001</v>
      </c>
      <c r="I36" s="99">
        <f t="shared" si="26"/>
        <v>372.72242683932495</v>
      </c>
      <c r="J36" s="74">
        <f t="shared" si="14"/>
        <v>1161</v>
      </c>
      <c r="K36" s="81">
        <f t="shared" si="27"/>
        <v>1142</v>
      </c>
      <c r="L36" s="74">
        <f t="shared" si="15"/>
        <v>82</v>
      </c>
      <c r="M36" s="99">
        <f t="shared" si="28"/>
        <v>80.75</v>
      </c>
      <c r="N36" s="74">
        <f t="shared" si="16"/>
        <v>1161</v>
      </c>
      <c r="O36" s="81">
        <f t="shared" si="29"/>
        <v>1135.75</v>
      </c>
      <c r="P36" s="74">
        <f t="shared" si="17"/>
        <v>82</v>
      </c>
      <c r="Q36" s="99">
        <f t="shared" si="30"/>
        <v>74</v>
      </c>
      <c r="R36" s="74">
        <v>410</v>
      </c>
      <c r="S36" s="81">
        <f t="shared" si="31"/>
        <v>373.25</v>
      </c>
      <c r="T36" s="74">
        <v>82</v>
      </c>
      <c r="U36" s="99">
        <f t="shared" si="32"/>
        <v>74</v>
      </c>
      <c r="V36" s="74">
        <v>751</v>
      </c>
      <c r="W36" s="81">
        <f t="shared" si="33"/>
        <v>762.5</v>
      </c>
      <c r="X36" s="74">
        <v>0</v>
      </c>
      <c r="Y36" s="99">
        <f t="shared" si="34"/>
        <v>0</v>
      </c>
      <c r="Z36" s="74">
        <v>0</v>
      </c>
      <c r="AA36" s="81">
        <f t="shared" si="35"/>
        <v>6.25</v>
      </c>
      <c r="AB36" s="74">
        <v>0</v>
      </c>
      <c r="AC36" s="99">
        <f t="shared" si="36"/>
        <v>6.75</v>
      </c>
      <c r="AD36" s="105">
        <v>0</v>
      </c>
      <c r="AE36" s="81">
        <f t="shared" si="37"/>
        <v>0.4781420762500001</v>
      </c>
      <c r="AF36" s="105">
        <v>0</v>
      </c>
      <c r="AG36" s="99">
        <f t="shared" si="38"/>
        <v>0.51639344235000006</v>
      </c>
      <c r="AH36" s="74">
        <v>0</v>
      </c>
      <c r="AI36" s="81">
        <f t="shared" si="39"/>
        <v>6.25</v>
      </c>
      <c r="AJ36" s="74">
        <v>0</v>
      </c>
      <c r="AK36" s="99">
        <f t="shared" si="40"/>
        <v>6.75</v>
      </c>
      <c r="AL36" s="74">
        <f t="shared" si="18"/>
        <v>228</v>
      </c>
      <c r="AM36" s="81">
        <f t="shared" si="51"/>
        <v>252.85714285714286</v>
      </c>
      <c r="AN36" s="74">
        <f t="shared" si="19"/>
        <v>64</v>
      </c>
      <c r="AO36" s="81">
        <f t="shared" si="41"/>
        <v>75.857142857142861</v>
      </c>
      <c r="AP36" s="74">
        <f t="shared" si="20"/>
        <v>70</v>
      </c>
      <c r="AQ36" s="81">
        <f t="shared" si="42"/>
        <v>80.142857142857139</v>
      </c>
      <c r="AR36" s="74">
        <f t="shared" si="21"/>
        <v>48</v>
      </c>
      <c r="AS36" s="81">
        <f t="shared" si="43"/>
        <v>58.142857142857146</v>
      </c>
      <c r="AT36" s="83">
        <f t="shared" si="8"/>
        <v>0.55609756097560981</v>
      </c>
      <c r="AU36" s="83">
        <f t="shared" si="9"/>
        <v>0.15609756097560976</v>
      </c>
      <c r="AV36" s="83">
        <f t="shared" si="10"/>
        <v>0.17073170731707318</v>
      </c>
      <c r="AW36" s="84">
        <f t="shared" si="11"/>
        <v>0.11707317073170732</v>
      </c>
      <c r="AX36" s="83">
        <f t="shared" si="53"/>
        <v>0.54340645272237031</v>
      </c>
      <c r="AY36" s="83">
        <f t="shared" si="53"/>
        <v>0.16200020951573121</v>
      </c>
      <c r="AZ36" s="83">
        <f t="shared" si="53"/>
        <v>0.17235145411463978</v>
      </c>
      <c r="BA36" s="84">
        <f t="shared" si="53"/>
        <v>0.1222418836472586</v>
      </c>
      <c r="BB36" s="74">
        <v>0</v>
      </c>
      <c r="BC36" s="81">
        <f t="shared" si="43"/>
        <v>54.285714285714285</v>
      </c>
      <c r="BD36" s="74">
        <v>0</v>
      </c>
      <c r="BE36" s="81">
        <f t="shared" si="44"/>
        <v>17.142857142857142</v>
      </c>
      <c r="BF36" s="74">
        <v>0</v>
      </c>
      <c r="BG36" s="81">
        <f t="shared" si="45"/>
        <v>18</v>
      </c>
      <c r="BH36" s="74">
        <v>0</v>
      </c>
      <c r="BI36" s="81">
        <f t="shared" si="46"/>
        <v>11.857142857142858</v>
      </c>
      <c r="BJ36" s="74">
        <v>228</v>
      </c>
      <c r="BK36" s="81">
        <f t="shared" si="47"/>
        <v>198.57142857142858</v>
      </c>
      <c r="BL36" s="74">
        <v>64</v>
      </c>
      <c r="BM36" s="81">
        <f t="shared" si="48"/>
        <v>58.714285714285715</v>
      </c>
      <c r="BN36" s="74">
        <v>70</v>
      </c>
      <c r="BO36" s="81">
        <f t="shared" si="49"/>
        <v>62.142857142857146</v>
      </c>
      <c r="BP36" s="74">
        <v>48</v>
      </c>
      <c r="BQ36" s="81">
        <f t="shared" si="50"/>
        <v>46.285714285714285</v>
      </c>
    </row>
    <row r="37" spans="1:69" x14ac:dyDescent="0.25">
      <c r="A37" s="85">
        <f t="shared" si="22"/>
        <v>45373</v>
      </c>
      <c r="B37" s="74">
        <f t="shared" si="12"/>
        <v>1252</v>
      </c>
      <c r="C37" s="81">
        <f t="shared" si="23"/>
        <v>1213</v>
      </c>
      <c r="D37" s="74">
        <f t="shared" si="13"/>
        <v>79</v>
      </c>
      <c r="E37" s="99">
        <f t="shared" si="24"/>
        <v>77.5</v>
      </c>
      <c r="F37" s="74">
        <v>386.93698631199999</v>
      </c>
      <c r="G37" s="81">
        <f t="shared" si="25"/>
        <v>382.94506139252502</v>
      </c>
      <c r="H37" s="74">
        <v>386.93698631199999</v>
      </c>
      <c r="I37" s="99">
        <f t="shared" si="26"/>
        <v>382.92593570947497</v>
      </c>
      <c r="J37" s="74">
        <f t="shared" si="14"/>
        <v>1252</v>
      </c>
      <c r="K37" s="81">
        <f t="shared" si="27"/>
        <v>1213</v>
      </c>
      <c r="L37" s="74">
        <f t="shared" si="15"/>
        <v>79</v>
      </c>
      <c r="M37" s="99">
        <f t="shared" si="28"/>
        <v>77.5</v>
      </c>
      <c r="N37" s="74">
        <f t="shared" si="16"/>
        <v>1252</v>
      </c>
      <c r="O37" s="81">
        <f t="shared" si="29"/>
        <v>1212.75</v>
      </c>
      <c r="P37" s="74">
        <f t="shared" si="17"/>
        <v>79</v>
      </c>
      <c r="Q37" s="99">
        <f t="shared" si="30"/>
        <v>77.5</v>
      </c>
      <c r="R37" s="74">
        <v>388</v>
      </c>
      <c r="S37" s="81">
        <f t="shared" si="31"/>
        <v>384</v>
      </c>
      <c r="T37" s="74">
        <v>79</v>
      </c>
      <c r="U37" s="99">
        <f t="shared" si="32"/>
        <v>77.5</v>
      </c>
      <c r="V37" s="74">
        <v>864</v>
      </c>
      <c r="W37" s="81">
        <f t="shared" si="33"/>
        <v>828.75</v>
      </c>
      <c r="X37" s="74">
        <v>0</v>
      </c>
      <c r="Y37" s="99">
        <f t="shared" si="34"/>
        <v>0</v>
      </c>
      <c r="Z37" s="74">
        <v>0</v>
      </c>
      <c r="AA37" s="81">
        <f t="shared" si="35"/>
        <v>0.25</v>
      </c>
      <c r="AB37" s="74">
        <v>0</v>
      </c>
      <c r="AC37" s="99">
        <f t="shared" si="36"/>
        <v>0</v>
      </c>
      <c r="AD37" s="105">
        <v>0</v>
      </c>
      <c r="AE37" s="81">
        <f t="shared" si="37"/>
        <v>1.9125683050000002E-2</v>
      </c>
      <c r="AF37" s="105">
        <v>0</v>
      </c>
      <c r="AG37" s="99">
        <f t="shared" si="38"/>
        <v>0</v>
      </c>
      <c r="AH37" s="74">
        <v>0</v>
      </c>
      <c r="AI37" s="81">
        <f t="shared" si="39"/>
        <v>0.25</v>
      </c>
      <c r="AJ37" s="74">
        <v>0</v>
      </c>
      <c r="AK37" s="99">
        <f t="shared" si="40"/>
        <v>0</v>
      </c>
      <c r="AL37" s="74">
        <f t="shared" si="18"/>
        <v>214</v>
      </c>
      <c r="AM37" s="81">
        <f t="shared" si="51"/>
        <v>224.42857142857142</v>
      </c>
      <c r="AN37" s="74">
        <f t="shared" si="19"/>
        <v>54</v>
      </c>
      <c r="AO37" s="81">
        <f t="shared" si="41"/>
        <v>67</v>
      </c>
      <c r="AP37" s="74">
        <f t="shared" si="20"/>
        <v>68</v>
      </c>
      <c r="AQ37" s="81">
        <f t="shared" si="42"/>
        <v>70.571428571428569</v>
      </c>
      <c r="AR37" s="74">
        <f t="shared" si="21"/>
        <v>52</v>
      </c>
      <c r="AS37" s="81">
        <f t="shared" si="43"/>
        <v>49.142857142857146</v>
      </c>
      <c r="AT37" s="83">
        <f t="shared" si="8"/>
        <v>0.55154639175257736</v>
      </c>
      <c r="AU37" s="83">
        <f t="shared" si="9"/>
        <v>0.13917525773195877</v>
      </c>
      <c r="AV37" s="83">
        <f t="shared" si="10"/>
        <v>0.17525773195876287</v>
      </c>
      <c r="AW37" s="84">
        <f t="shared" si="11"/>
        <v>0.13402061855670103</v>
      </c>
      <c r="AX37" s="83">
        <f t="shared" si="53"/>
        <v>0.54646066859899922</v>
      </c>
      <c r="AY37" s="83">
        <f t="shared" si="53"/>
        <v>0.16060969526177857</v>
      </c>
      <c r="AZ37" s="83">
        <f t="shared" si="53"/>
        <v>0.17263125847845351</v>
      </c>
      <c r="BA37" s="84">
        <f t="shared" si="53"/>
        <v>0.12029837766076863</v>
      </c>
      <c r="BB37" s="74">
        <v>0</v>
      </c>
      <c r="BC37" s="81">
        <f t="shared" si="43"/>
        <v>29.428571428571427</v>
      </c>
      <c r="BD37" s="74">
        <v>0</v>
      </c>
      <c r="BE37" s="81">
        <f t="shared" si="44"/>
        <v>10</v>
      </c>
      <c r="BF37" s="74">
        <v>0</v>
      </c>
      <c r="BG37" s="81">
        <f t="shared" si="45"/>
        <v>9.1428571428571423</v>
      </c>
      <c r="BH37" s="74">
        <v>0</v>
      </c>
      <c r="BI37" s="81">
        <f t="shared" si="46"/>
        <v>4.4285714285714288</v>
      </c>
      <c r="BJ37" s="74">
        <v>214</v>
      </c>
      <c r="BK37" s="81">
        <f t="shared" si="47"/>
        <v>195</v>
      </c>
      <c r="BL37" s="74">
        <v>54</v>
      </c>
      <c r="BM37" s="81">
        <f t="shared" si="48"/>
        <v>57</v>
      </c>
      <c r="BN37" s="74">
        <v>68</v>
      </c>
      <c r="BO37" s="81">
        <f t="shared" si="49"/>
        <v>61.428571428571431</v>
      </c>
      <c r="BP37" s="74">
        <v>52</v>
      </c>
      <c r="BQ37" s="81">
        <f t="shared" si="50"/>
        <v>44.714285714285715</v>
      </c>
    </row>
    <row r="38" spans="1:69" x14ac:dyDescent="0.25">
      <c r="A38" s="85">
        <f t="shared" si="22"/>
        <v>45380</v>
      </c>
      <c r="B38" s="74">
        <f t="shared" si="12"/>
        <v>1470</v>
      </c>
      <c r="C38" s="81">
        <f t="shared" si="23"/>
        <v>1261</v>
      </c>
      <c r="D38" s="74">
        <f t="shared" si="13"/>
        <v>62</v>
      </c>
      <c r="E38" s="99">
        <f t="shared" si="24"/>
        <v>73.25</v>
      </c>
      <c r="F38" s="74">
        <v>424.83287672400002</v>
      </c>
      <c r="G38" s="81">
        <f t="shared" si="25"/>
        <v>394.66575343549999</v>
      </c>
      <c r="H38" s="74">
        <v>424.83287672400002</v>
      </c>
      <c r="I38" s="99">
        <f t="shared" si="26"/>
        <v>394.66575343549999</v>
      </c>
      <c r="J38" s="74">
        <f t="shared" si="14"/>
        <v>1470</v>
      </c>
      <c r="K38" s="81">
        <f t="shared" si="27"/>
        <v>1261</v>
      </c>
      <c r="L38" s="74">
        <f t="shared" si="15"/>
        <v>62</v>
      </c>
      <c r="M38" s="99">
        <f t="shared" si="28"/>
        <v>73.25</v>
      </c>
      <c r="N38" s="74">
        <f t="shared" si="16"/>
        <v>1470</v>
      </c>
      <c r="O38" s="81">
        <f t="shared" si="29"/>
        <v>1261</v>
      </c>
      <c r="P38" s="74">
        <f t="shared" si="17"/>
        <v>62</v>
      </c>
      <c r="Q38" s="99">
        <f t="shared" si="30"/>
        <v>73.25</v>
      </c>
      <c r="R38" s="74">
        <v>426</v>
      </c>
      <c r="S38" s="81">
        <f t="shared" si="31"/>
        <v>395.75</v>
      </c>
      <c r="T38" s="74">
        <v>62</v>
      </c>
      <c r="U38" s="99">
        <f t="shared" si="32"/>
        <v>73.25</v>
      </c>
      <c r="V38" s="74">
        <v>1044</v>
      </c>
      <c r="W38" s="81">
        <f t="shared" si="33"/>
        <v>865.25</v>
      </c>
      <c r="X38" s="74">
        <v>0</v>
      </c>
      <c r="Y38" s="99">
        <f t="shared" si="34"/>
        <v>0</v>
      </c>
      <c r="Z38" s="74">
        <v>0</v>
      </c>
      <c r="AA38" s="81">
        <f t="shared" si="35"/>
        <v>0</v>
      </c>
      <c r="AB38" s="74">
        <v>0</v>
      </c>
      <c r="AC38" s="99">
        <f t="shared" si="36"/>
        <v>0</v>
      </c>
      <c r="AD38" s="105">
        <v>0</v>
      </c>
      <c r="AE38" s="81">
        <f t="shared" si="37"/>
        <v>0</v>
      </c>
      <c r="AF38" s="105">
        <v>0</v>
      </c>
      <c r="AG38" s="99">
        <f t="shared" si="38"/>
        <v>0</v>
      </c>
      <c r="AH38" s="74">
        <v>0</v>
      </c>
      <c r="AI38" s="81">
        <f t="shared" si="39"/>
        <v>0</v>
      </c>
      <c r="AJ38" s="74">
        <v>0</v>
      </c>
      <c r="AK38" s="99">
        <f t="shared" si="40"/>
        <v>0</v>
      </c>
      <c r="AL38" s="74">
        <f t="shared" si="18"/>
        <v>235</v>
      </c>
      <c r="AM38" s="81">
        <f t="shared" si="51"/>
        <v>221.28571428571428</v>
      </c>
      <c r="AN38" s="74">
        <f t="shared" si="19"/>
        <v>69</v>
      </c>
      <c r="AO38" s="81">
        <f t="shared" si="41"/>
        <v>63.142857142857146</v>
      </c>
      <c r="AP38" s="74">
        <f t="shared" si="20"/>
        <v>68</v>
      </c>
      <c r="AQ38" s="81">
        <f t="shared" si="42"/>
        <v>70.428571428571431</v>
      </c>
      <c r="AR38" s="74">
        <f t="shared" si="21"/>
        <v>54</v>
      </c>
      <c r="AS38" s="81">
        <f t="shared" si="43"/>
        <v>49.142857142857146</v>
      </c>
      <c r="AT38" s="83">
        <f t="shared" si="8"/>
        <v>0.55164319248826288</v>
      </c>
      <c r="AU38" s="83">
        <f t="shared" si="9"/>
        <v>0.1619718309859155</v>
      </c>
      <c r="AV38" s="83">
        <f t="shared" si="10"/>
        <v>0.15962441314553991</v>
      </c>
      <c r="AW38" s="84">
        <f t="shared" si="11"/>
        <v>0.12676056338028169</v>
      </c>
      <c r="AX38" s="83">
        <f t="shared" si="53"/>
        <v>0.54813598661352902</v>
      </c>
      <c r="AY38" s="83">
        <f t="shared" si="53"/>
        <v>0.15493700364992252</v>
      </c>
      <c r="AZ38" s="83">
        <f t="shared" si="53"/>
        <v>0.17472646275734816</v>
      </c>
      <c r="BA38" s="84">
        <f t="shared" si="53"/>
        <v>0.12220054697920021</v>
      </c>
      <c r="BB38" s="74">
        <v>0</v>
      </c>
      <c r="BC38" s="81">
        <f t="shared" si="43"/>
        <v>16.285714285714285</v>
      </c>
      <c r="BD38" s="74">
        <v>0</v>
      </c>
      <c r="BE38" s="81">
        <f t="shared" si="44"/>
        <v>4.5714285714285712</v>
      </c>
      <c r="BF38" s="74">
        <v>0</v>
      </c>
      <c r="BG38" s="81">
        <f t="shared" si="45"/>
        <v>5</v>
      </c>
      <c r="BH38" s="74">
        <v>0</v>
      </c>
      <c r="BI38" s="81">
        <f t="shared" si="46"/>
        <v>2.4285714285714284</v>
      </c>
      <c r="BJ38" s="74">
        <v>235</v>
      </c>
      <c r="BK38" s="81">
        <f t="shared" si="47"/>
        <v>205</v>
      </c>
      <c r="BL38" s="74">
        <v>69</v>
      </c>
      <c r="BM38" s="81">
        <f t="shared" si="48"/>
        <v>58.571428571428569</v>
      </c>
      <c r="BN38" s="74">
        <v>68</v>
      </c>
      <c r="BO38" s="81">
        <f t="shared" si="49"/>
        <v>65.428571428571431</v>
      </c>
      <c r="BP38" s="74">
        <v>54</v>
      </c>
      <c r="BQ38" s="81">
        <f t="shared" si="50"/>
        <v>46.714285714285715</v>
      </c>
    </row>
    <row r="39" spans="1:69" x14ac:dyDescent="0.25">
      <c r="A39" s="85">
        <f t="shared" si="22"/>
        <v>45387</v>
      </c>
      <c r="B39" s="74">
        <f t="shared" si="12"/>
        <v>1442</v>
      </c>
      <c r="C39" s="81">
        <f t="shared" si="23"/>
        <v>1331.25</v>
      </c>
      <c r="D39" s="74">
        <f t="shared" si="13"/>
        <v>70</v>
      </c>
      <c r="E39" s="99">
        <f t="shared" si="24"/>
        <v>73.25</v>
      </c>
      <c r="F39" s="74">
        <v>449.76438357399985</v>
      </c>
      <c r="G39" s="81">
        <f t="shared" si="25"/>
        <v>417.60273973749997</v>
      </c>
      <c r="H39" s="74">
        <v>449.76438357399985</v>
      </c>
      <c r="I39" s="99">
        <f t="shared" si="26"/>
        <v>417.60273973749997</v>
      </c>
      <c r="J39" s="74">
        <f t="shared" si="14"/>
        <v>1442</v>
      </c>
      <c r="K39" s="81">
        <f t="shared" si="27"/>
        <v>1331.25</v>
      </c>
      <c r="L39" s="74">
        <f t="shared" si="15"/>
        <v>70</v>
      </c>
      <c r="M39" s="99">
        <f t="shared" si="28"/>
        <v>73.25</v>
      </c>
      <c r="N39" s="74">
        <f t="shared" si="16"/>
        <v>1442</v>
      </c>
      <c r="O39" s="81">
        <f t="shared" si="29"/>
        <v>1331.25</v>
      </c>
      <c r="P39" s="74">
        <f t="shared" si="17"/>
        <v>70</v>
      </c>
      <c r="Q39" s="99">
        <f t="shared" si="30"/>
        <v>73.25</v>
      </c>
      <c r="R39" s="74">
        <v>451</v>
      </c>
      <c r="S39" s="81">
        <f t="shared" si="31"/>
        <v>418.75</v>
      </c>
      <c r="T39" s="74">
        <v>70</v>
      </c>
      <c r="U39" s="99">
        <f t="shared" si="32"/>
        <v>73.25</v>
      </c>
      <c r="V39" s="74">
        <v>991</v>
      </c>
      <c r="W39" s="81">
        <f t="shared" si="33"/>
        <v>912.5</v>
      </c>
      <c r="X39" s="74">
        <v>0</v>
      </c>
      <c r="Y39" s="99">
        <f t="shared" si="34"/>
        <v>0</v>
      </c>
      <c r="Z39" s="74">
        <v>0</v>
      </c>
      <c r="AA39" s="81">
        <f t="shared" si="35"/>
        <v>0</v>
      </c>
      <c r="AB39" s="74">
        <v>0</v>
      </c>
      <c r="AC39" s="99">
        <f t="shared" si="36"/>
        <v>0</v>
      </c>
      <c r="AD39" s="105">
        <v>0</v>
      </c>
      <c r="AE39" s="81">
        <f t="shared" si="37"/>
        <v>0</v>
      </c>
      <c r="AF39" s="105">
        <v>0</v>
      </c>
      <c r="AG39" s="99">
        <f t="shared" si="38"/>
        <v>0</v>
      </c>
      <c r="AH39" s="74">
        <v>0</v>
      </c>
      <c r="AI39" s="81">
        <f t="shared" si="39"/>
        <v>0</v>
      </c>
      <c r="AJ39" s="74">
        <v>0</v>
      </c>
      <c r="AK39" s="99">
        <f t="shared" si="40"/>
        <v>0</v>
      </c>
      <c r="AL39" s="74">
        <f t="shared" si="18"/>
        <v>245</v>
      </c>
      <c r="AM39" s="81">
        <f t="shared" si="51"/>
        <v>220</v>
      </c>
      <c r="AN39" s="74">
        <f t="shared" si="19"/>
        <v>72</v>
      </c>
      <c r="AO39" s="81">
        <f t="shared" si="41"/>
        <v>61</v>
      </c>
      <c r="AP39" s="74">
        <f t="shared" si="20"/>
        <v>84</v>
      </c>
      <c r="AQ39" s="81">
        <f t="shared" si="42"/>
        <v>70.857142857142861</v>
      </c>
      <c r="AR39" s="74">
        <f t="shared" si="21"/>
        <v>50</v>
      </c>
      <c r="AS39" s="81">
        <f t="shared" si="43"/>
        <v>49.571428571428569</v>
      </c>
      <c r="AT39" s="83">
        <f t="shared" si="8"/>
        <v>0.5432372505543237</v>
      </c>
      <c r="AU39" s="83">
        <f t="shared" si="9"/>
        <v>0.15964523281596452</v>
      </c>
      <c r="AV39" s="83">
        <f t="shared" si="10"/>
        <v>0.18625277161862527</v>
      </c>
      <c r="AW39" s="84">
        <f t="shared" si="11"/>
        <v>0.11086474501108648</v>
      </c>
      <c r="AX39" s="83">
        <f t="shared" si="53"/>
        <v>0.54837304738415893</v>
      </c>
      <c r="AY39" s="83">
        <f t="shared" si="53"/>
        <v>0.15124331318104875</v>
      </c>
      <c r="AZ39" s="83">
        <f t="shared" si="53"/>
        <v>0.17666144597060901</v>
      </c>
      <c r="BA39" s="84">
        <f t="shared" si="53"/>
        <v>0.12372219346418332</v>
      </c>
      <c r="BB39" s="74">
        <v>0</v>
      </c>
      <c r="BC39" s="81">
        <f t="shared" si="43"/>
        <v>4.4285714285714288</v>
      </c>
      <c r="BD39" s="74">
        <v>0</v>
      </c>
      <c r="BE39" s="81">
        <f t="shared" si="44"/>
        <v>1.2857142857142858</v>
      </c>
      <c r="BF39" s="74">
        <v>0</v>
      </c>
      <c r="BG39" s="81">
        <f t="shared" si="45"/>
        <v>0.7142857142857143</v>
      </c>
      <c r="BH39" s="74">
        <v>0</v>
      </c>
      <c r="BI39" s="81">
        <f t="shared" si="46"/>
        <v>1</v>
      </c>
      <c r="BJ39" s="74">
        <v>245</v>
      </c>
      <c r="BK39" s="81">
        <f t="shared" si="47"/>
        <v>215.57142857142858</v>
      </c>
      <c r="BL39" s="74">
        <v>72</v>
      </c>
      <c r="BM39" s="81">
        <f t="shared" si="48"/>
        <v>59.714285714285715</v>
      </c>
      <c r="BN39" s="74">
        <v>84</v>
      </c>
      <c r="BO39" s="81">
        <f t="shared" si="49"/>
        <v>70.142857142857139</v>
      </c>
      <c r="BP39" s="74">
        <v>50</v>
      </c>
      <c r="BQ39" s="81">
        <f t="shared" si="50"/>
        <v>48.571428571428569</v>
      </c>
    </row>
    <row r="40" spans="1:69" x14ac:dyDescent="0.25">
      <c r="A40" s="85">
        <f t="shared" si="22"/>
        <v>45394</v>
      </c>
      <c r="B40" s="74">
        <f t="shared" si="12"/>
        <v>1286</v>
      </c>
      <c r="C40" s="81">
        <f t="shared" si="23"/>
        <v>1362.5</v>
      </c>
      <c r="D40" s="74">
        <f t="shared" si="13"/>
        <v>56</v>
      </c>
      <c r="E40" s="99">
        <f t="shared" si="24"/>
        <v>66.75</v>
      </c>
      <c r="F40" s="74">
        <v>408.87671234000021</v>
      </c>
      <c r="G40" s="81">
        <f t="shared" si="25"/>
        <v>417.60273973750003</v>
      </c>
      <c r="H40" s="74">
        <v>408.87671234000021</v>
      </c>
      <c r="I40" s="99">
        <f t="shared" si="26"/>
        <v>417.60273973750003</v>
      </c>
      <c r="J40" s="74">
        <f t="shared" si="14"/>
        <v>1286</v>
      </c>
      <c r="K40" s="81">
        <f t="shared" si="27"/>
        <v>1362.5</v>
      </c>
      <c r="L40" s="74">
        <f t="shared" si="15"/>
        <v>56</v>
      </c>
      <c r="M40" s="99">
        <f t="shared" si="28"/>
        <v>66.75</v>
      </c>
      <c r="N40" s="74">
        <f t="shared" si="16"/>
        <v>1286</v>
      </c>
      <c r="O40" s="81">
        <f t="shared" si="29"/>
        <v>1362.5</v>
      </c>
      <c r="P40" s="74">
        <f t="shared" si="17"/>
        <v>56</v>
      </c>
      <c r="Q40" s="99">
        <f t="shared" si="30"/>
        <v>66.75</v>
      </c>
      <c r="R40" s="74">
        <v>410</v>
      </c>
      <c r="S40" s="81">
        <f t="shared" si="31"/>
        <v>418.75</v>
      </c>
      <c r="T40" s="74">
        <v>56</v>
      </c>
      <c r="U40" s="99">
        <f t="shared" si="32"/>
        <v>66.75</v>
      </c>
      <c r="V40" s="74">
        <v>876</v>
      </c>
      <c r="W40" s="81">
        <f t="shared" si="33"/>
        <v>943.75</v>
      </c>
      <c r="X40" s="74">
        <v>0</v>
      </c>
      <c r="Y40" s="99">
        <f t="shared" si="34"/>
        <v>0</v>
      </c>
      <c r="Z40" s="74">
        <v>0</v>
      </c>
      <c r="AA40" s="81">
        <f t="shared" si="35"/>
        <v>0</v>
      </c>
      <c r="AB40" s="74">
        <v>0</v>
      </c>
      <c r="AC40" s="99">
        <f t="shared" si="36"/>
        <v>0</v>
      </c>
      <c r="AD40" s="105">
        <v>0</v>
      </c>
      <c r="AE40" s="81">
        <f t="shared" si="37"/>
        <v>0</v>
      </c>
      <c r="AF40" s="105">
        <v>0</v>
      </c>
      <c r="AG40" s="99">
        <f t="shared" si="38"/>
        <v>0</v>
      </c>
      <c r="AH40" s="74">
        <v>0</v>
      </c>
      <c r="AI40" s="81">
        <f t="shared" si="39"/>
        <v>0</v>
      </c>
      <c r="AJ40" s="74">
        <v>0</v>
      </c>
      <c r="AK40" s="99">
        <f t="shared" si="40"/>
        <v>0</v>
      </c>
      <c r="AL40" s="74">
        <f t="shared" si="18"/>
        <v>214</v>
      </c>
      <c r="AM40" s="81">
        <f t="shared" si="51"/>
        <v>221.71428571428572</v>
      </c>
      <c r="AN40" s="74">
        <f t="shared" si="19"/>
        <v>52</v>
      </c>
      <c r="AO40" s="81">
        <f t="shared" si="41"/>
        <v>59.142857142857146</v>
      </c>
      <c r="AP40" s="74">
        <f t="shared" si="20"/>
        <v>82</v>
      </c>
      <c r="AQ40" s="81">
        <f t="shared" si="42"/>
        <v>72.285714285714292</v>
      </c>
      <c r="AR40" s="74">
        <f t="shared" si="21"/>
        <v>62</v>
      </c>
      <c r="AS40" s="81">
        <f t="shared" si="43"/>
        <v>50.285714285714285</v>
      </c>
      <c r="AT40" s="83">
        <f t="shared" si="8"/>
        <v>0.52195121951219514</v>
      </c>
      <c r="AU40" s="83">
        <f t="shared" si="9"/>
        <v>0.12682926829268293</v>
      </c>
      <c r="AV40" s="83">
        <f t="shared" si="10"/>
        <v>0.2</v>
      </c>
      <c r="AW40" s="84">
        <f t="shared" si="11"/>
        <v>0.15121951219512195</v>
      </c>
      <c r="AX40" s="83">
        <f t="shared" si="53"/>
        <v>0.55006593444289964</v>
      </c>
      <c r="AY40" s="83">
        <f t="shared" si="53"/>
        <v>0.14591300663123002</v>
      </c>
      <c r="AZ40" s="83">
        <f t="shared" si="53"/>
        <v>0.17925884856801155</v>
      </c>
      <c r="BA40" s="84">
        <f t="shared" si="53"/>
        <v>0.12476221035785877</v>
      </c>
      <c r="BB40" s="74">
        <v>0</v>
      </c>
      <c r="BC40" s="81">
        <f t="shared" si="43"/>
        <v>0</v>
      </c>
      <c r="BD40" s="74">
        <v>0</v>
      </c>
      <c r="BE40" s="81">
        <f t="shared" si="44"/>
        <v>0</v>
      </c>
      <c r="BF40" s="74">
        <v>0</v>
      </c>
      <c r="BG40" s="81">
        <f t="shared" si="45"/>
        <v>0</v>
      </c>
      <c r="BH40" s="74">
        <v>0</v>
      </c>
      <c r="BI40" s="81">
        <f t="shared" si="46"/>
        <v>0.14285714285714285</v>
      </c>
      <c r="BJ40" s="74">
        <v>214</v>
      </c>
      <c r="BK40" s="81">
        <f t="shared" si="47"/>
        <v>221.71428571428572</v>
      </c>
      <c r="BL40" s="74">
        <v>52</v>
      </c>
      <c r="BM40" s="81">
        <f t="shared" si="48"/>
        <v>59.142857142857146</v>
      </c>
      <c r="BN40" s="74">
        <v>82</v>
      </c>
      <c r="BO40" s="81">
        <f t="shared" si="49"/>
        <v>72.285714285714292</v>
      </c>
      <c r="BP40" s="74">
        <v>62</v>
      </c>
      <c r="BQ40" s="81">
        <f t="shared" si="50"/>
        <v>50.142857142857146</v>
      </c>
    </row>
    <row r="41" spans="1:69" x14ac:dyDescent="0.25">
      <c r="A41" s="85">
        <f t="shared" si="22"/>
        <v>45401</v>
      </c>
      <c r="B41" s="74">
        <f t="shared" si="12"/>
        <v>1269</v>
      </c>
      <c r="C41" s="81">
        <f t="shared" si="23"/>
        <v>1366.75</v>
      </c>
      <c r="D41" s="74">
        <f t="shared" si="13"/>
        <v>39</v>
      </c>
      <c r="E41" s="99">
        <f t="shared" si="24"/>
        <v>56.75</v>
      </c>
      <c r="F41" s="74">
        <v>379.95616439399981</v>
      </c>
      <c r="G41" s="81">
        <f t="shared" si="25"/>
        <v>415.85753425799999</v>
      </c>
      <c r="H41" s="74">
        <v>379.95616439399981</v>
      </c>
      <c r="I41" s="99">
        <f t="shared" si="26"/>
        <v>415.85753425799999</v>
      </c>
      <c r="J41" s="74">
        <f t="shared" si="14"/>
        <v>1269</v>
      </c>
      <c r="K41" s="81">
        <f t="shared" si="27"/>
        <v>1366.75</v>
      </c>
      <c r="L41" s="74">
        <f t="shared" si="15"/>
        <v>39</v>
      </c>
      <c r="M41" s="99">
        <f t="shared" si="28"/>
        <v>56.75</v>
      </c>
      <c r="N41" s="74">
        <f t="shared" si="16"/>
        <v>1269</v>
      </c>
      <c r="O41" s="81">
        <f t="shared" si="29"/>
        <v>1366.75</v>
      </c>
      <c r="P41" s="74">
        <f t="shared" si="17"/>
        <v>39</v>
      </c>
      <c r="Q41" s="99">
        <f t="shared" si="30"/>
        <v>56.75</v>
      </c>
      <c r="R41" s="74">
        <v>381</v>
      </c>
      <c r="S41" s="81">
        <f t="shared" si="31"/>
        <v>417</v>
      </c>
      <c r="T41" s="74">
        <v>39</v>
      </c>
      <c r="U41" s="99">
        <f t="shared" si="32"/>
        <v>56.75</v>
      </c>
      <c r="V41" s="74">
        <v>888</v>
      </c>
      <c r="W41" s="81">
        <f t="shared" si="33"/>
        <v>949.75</v>
      </c>
      <c r="X41" s="74">
        <v>0</v>
      </c>
      <c r="Y41" s="99">
        <f t="shared" si="34"/>
        <v>0</v>
      </c>
      <c r="Z41" s="74">
        <v>0</v>
      </c>
      <c r="AA41" s="81">
        <f t="shared" si="35"/>
        <v>0</v>
      </c>
      <c r="AB41" s="74">
        <v>0</v>
      </c>
      <c r="AC41" s="99">
        <f t="shared" si="36"/>
        <v>0</v>
      </c>
      <c r="AD41" s="105">
        <v>0</v>
      </c>
      <c r="AE41" s="81">
        <f t="shared" si="37"/>
        <v>0</v>
      </c>
      <c r="AF41" s="105">
        <v>0</v>
      </c>
      <c r="AG41" s="99">
        <f t="shared" si="38"/>
        <v>0</v>
      </c>
      <c r="AH41" s="74">
        <v>0</v>
      </c>
      <c r="AI41" s="81">
        <f t="shared" si="39"/>
        <v>0</v>
      </c>
      <c r="AJ41" s="74">
        <v>0</v>
      </c>
      <c r="AK41" s="99">
        <f t="shared" si="40"/>
        <v>0</v>
      </c>
      <c r="AL41" s="74">
        <f t="shared" si="18"/>
        <v>230</v>
      </c>
      <c r="AM41" s="81">
        <f t="shared" si="51"/>
        <v>224.14285714285714</v>
      </c>
      <c r="AN41" s="74">
        <f t="shared" si="19"/>
        <v>37</v>
      </c>
      <c r="AO41" s="81">
        <f t="shared" si="41"/>
        <v>55.857142857142854</v>
      </c>
      <c r="AP41" s="74">
        <f t="shared" si="20"/>
        <v>58</v>
      </c>
      <c r="AQ41" s="81">
        <f t="shared" si="42"/>
        <v>71</v>
      </c>
      <c r="AR41" s="74">
        <f t="shared" si="21"/>
        <v>56</v>
      </c>
      <c r="AS41" s="81">
        <f t="shared" si="43"/>
        <v>52.571428571428569</v>
      </c>
      <c r="AT41" s="83">
        <f t="shared" si="8"/>
        <v>0.60367454068241466</v>
      </c>
      <c r="AU41" s="83">
        <f t="shared" si="9"/>
        <v>9.711286089238845E-2</v>
      </c>
      <c r="AV41" s="83">
        <f t="shared" si="10"/>
        <v>0.15223097112860892</v>
      </c>
      <c r="AW41" s="84">
        <f t="shared" si="11"/>
        <v>0.14698162729658792</v>
      </c>
      <c r="AX41" s="83">
        <f t="shared" si="53"/>
        <v>0.55622996657046264</v>
      </c>
      <c r="AY41" s="83">
        <f t="shared" si="53"/>
        <v>0.13722988149555618</v>
      </c>
      <c r="AZ41" s="83">
        <f t="shared" si="53"/>
        <v>0.17581816023300084</v>
      </c>
      <c r="BA41" s="84">
        <f t="shared" si="53"/>
        <v>0.13072199170098034</v>
      </c>
      <c r="BB41" s="74">
        <v>0</v>
      </c>
      <c r="BC41" s="81">
        <f t="shared" si="43"/>
        <v>0</v>
      </c>
      <c r="BD41" s="74">
        <v>0</v>
      </c>
      <c r="BE41" s="81">
        <f t="shared" si="44"/>
        <v>0</v>
      </c>
      <c r="BF41" s="74">
        <v>0</v>
      </c>
      <c r="BG41" s="81">
        <f t="shared" si="45"/>
        <v>0</v>
      </c>
      <c r="BH41" s="74">
        <v>0</v>
      </c>
      <c r="BI41" s="81">
        <f t="shared" si="46"/>
        <v>0</v>
      </c>
      <c r="BJ41" s="74">
        <v>230</v>
      </c>
      <c r="BK41" s="81">
        <f t="shared" si="47"/>
        <v>224.14285714285714</v>
      </c>
      <c r="BL41" s="74">
        <v>37</v>
      </c>
      <c r="BM41" s="81">
        <f t="shared" si="48"/>
        <v>55.857142857142854</v>
      </c>
      <c r="BN41" s="74">
        <v>58</v>
      </c>
      <c r="BO41" s="81">
        <f t="shared" si="49"/>
        <v>71</v>
      </c>
      <c r="BP41" s="74">
        <v>56</v>
      </c>
      <c r="BQ41" s="81">
        <f t="shared" si="50"/>
        <v>52.571428571428569</v>
      </c>
    </row>
    <row r="42" spans="1:69" x14ac:dyDescent="0.25">
      <c r="A42" s="85">
        <f t="shared" si="22"/>
        <v>45408</v>
      </c>
      <c r="B42" s="74">
        <f t="shared" si="12"/>
        <v>1498</v>
      </c>
      <c r="C42" s="81">
        <f t="shared" si="23"/>
        <v>1373.75</v>
      </c>
      <c r="D42" s="74">
        <f t="shared" si="13"/>
        <v>38</v>
      </c>
      <c r="E42" s="99">
        <f t="shared" si="24"/>
        <v>50.75</v>
      </c>
      <c r="F42" s="74">
        <v>425.830136998</v>
      </c>
      <c r="G42" s="81">
        <f t="shared" si="25"/>
        <v>416.10684932649997</v>
      </c>
      <c r="H42" s="74">
        <v>425.830136998</v>
      </c>
      <c r="I42" s="99">
        <f t="shared" si="26"/>
        <v>416.10684932649997</v>
      </c>
      <c r="J42" s="74">
        <f t="shared" si="14"/>
        <v>1498</v>
      </c>
      <c r="K42" s="81">
        <f t="shared" si="27"/>
        <v>1373.75</v>
      </c>
      <c r="L42" s="74">
        <f t="shared" si="15"/>
        <v>38</v>
      </c>
      <c r="M42" s="99">
        <f t="shared" si="28"/>
        <v>50.75</v>
      </c>
      <c r="N42" s="74">
        <f t="shared" si="16"/>
        <v>1498</v>
      </c>
      <c r="O42" s="81">
        <f t="shared" si="29"/>
        <v>1373.75</v>
      </c>
      <c r="P42" s="74">
        <f t="shared" si="17"/>
        <v>38</v>
      </c>
      <c r="Q42" s="99">
        <f t="shared" si="30"/>
        <v>50.75</v>
      </c>
      <c r="R42" s="74">
        <v>427</v>
      </c>
      <c r="S42" s="81">
        <f t="shared" si="31"/>
        <v>417.25</v>
      </c>
      <c r="T42" s="74">
        <v>38</v>
      </c>
      <c r="U42" s="99">
        <f t="shared" si="32"/>
        <v>50.75</v>
      </c>
      <c r="V42" s="74">
        <v>1071</v>
      </c>
      <c r="W42" s="81">
        <f t="shared" si="33"/>
        <v>956.5</v>
      </c>
      <c r="X42" s="74">
        <v>0</v>
      </c>
      <c r="Y42" s="99">
        <f t="shared" si="34"/>
        <v>0</v>
      </c>
      <c r="Z42" s="74">
        <v>0</v>
      </c>
      <c r="AA42" s="81">
        <f t="shared" si="35"/>
        <v>0</v>
      </c>
      <c r="AB42" s="74">
        <v>0</v>
      </c>
      <c r="AC42" s="99">
        <f t="shared" si="36"/>
        <v>0</v>
      </c>
      <c r="AD42" s="105">
        <v>0</v>
      </c>
      <c r="AE42" s="81">
        <f t="shared" si="37"/>
        <v>0</v>
      </c>
      <c r="AF42" s="105">
        <v>0</v>
      </c>
      <c r="AG42" s="99">
        <f t="shared" si="38"/>
        <v>0</v>
      </c>
      <c r="AH42" s="74">
        <v>0</v>
      </c>
      <c r="AI42" s="81">
        <f t="shared" si="39"/>
        <v>0</v>
      </c>
      <c r="AJ42" s="74">
        <v>0</v>
      </c>
      <c r="AK42" s="99">
        <f t="shared" si="40"/>
        <v>0</v>
      </c>
      <c r="AL42" s="74">
        <f t="shared" si="18"/>
        <v>249</v>
      </c>
      <c r="AM42" s="81">
        <f t="shared" si="51"/>
        <v>230.71428571428572</v>
      </c>
      <c r="AN42" s="74">
        <f t="shared" si="19"/>
        <v>48</v>
      </c>
      <c r="AO42" s="81">
        <f t="shared" si="41"/>
        <v>56.571428571428569</v>
      </c>
      <c r="AP42" s="74">
        <f t="shared" si="20"/>
        <v>87</v>
      </c>
      <c r="AQ42" s="81">
        <f t="shared" si="42"/>
        <v>73.857142857142861</v>
      </c>
      <c r="AR42" s="74">
        <f t="shared" si="21"/>
        <v>43</v>
      </c>
      <c r="AS42" s="81">
        <f t="shared" si="43"/>
        <v>52.142857142857146</v>
      </c>
      <c r="AT42" s="83">
        <f t="shared" si="8"/>
        <v>0.58313817330210771</v>
      </c>
      <c r="AU42" s="83">
        <f t="shared" si="9"/>
        <v>0.11241217798594848</v>
      </c>
      <c r="AV42" s="83">
        <f t="shared" si="10"/>
        <v>0.20374707259953162</v>
      </c>
      <c r="AW42" s="84">
        <f t="shared" si="11"/>
        <v>0.10070257611241218</v>
      </c>
      <c r="AX42" s="83">
        <f t="shared" si="53"/>
        <v>0.55875547560964167</v>
      </c>
      <c r="AY42" s="83">
        <f t="shared" si="53"/>
        <v>0.13617774138292407</v>
      </c>
      <c r="AZ42" s="83">
        <f t="shared" si="53"/>
        <v>0.17826352396687742</v>
      </c>
      <c r="BA42" s="84">
        <f t="shared" si="53"/>
        <v>0.12680325904055695</v>
      </c>
      <c r="BB42" s="74">
        <v>0</v>
      </c>
      <c r="BC42" s="81">
        <f t="shared" si="43"/>
        <v>0</v>
      </c>
      <c r="BD42" s="74">
        <v>0</v>
      </c>
      <c r="BE42" s="81">
        <f t="shared" si="44"/>
        <v>0</v>
      </c>
      <c r="BF42" s="74">
        <v>0</v>
      </c>
      <c r="BG42" s="81">
        <f t="shared" si="45"/>
        <v>0</v>
      </c>
      <c r="BH42" s="74">
        <v>0</v>
      </c>
      <c r="BI42" s="81">
        <f t="shared" si="46"/>
        <v>0</v>
      </c>
      <c r="BJ42" s="74">
        <v>249</v>
      </c>
      <c r="BK42" s="81">
        <f t="shared" si="47"/>
        <v>230.71428571428572</v>
      </c>
      <c r="BL42" s="74">
        <v>48</v>
      </c>
      <c r="BM42" s="81">
        <f t="shared" si="48"/>
        <v>56.571428571428569</v>
      </c>
      <c r="BN42" s="74">
        <v>87</v>
      </c>
      <c r="BO42" s="81">
        <f t="shared" si="49"/>
        <v>73.857142857142861</v>
      </c>
      <c r="BP42" s="74">
        <v>43</v>
      </c>
      <c r="BQ42" s="81">
        <f t="shared" si="50"/>
        <v>52.142857142857146</v>
      </c>
    </row>
    <row r="43" spans="1:69" x14ac:dyDescent="0.25">
      <c r="A43" s="85">
        <f t="shared" si="22"/>
        <v>45415</v>
      </c>
      <c r="B43" s="74">
        <f t="shared" si="12"/>
        <v>1542</v>
      </c>
      <c r="C43" s="81">
        <f t="shared" si="23"/>
        <v>1398.75</v>
      </c>
      <c r="D43" s="74">
        <f t="shared" si="13"/>
        <v>47</v>
      </c>
      <c r="E43" s="99">
        <f t="shared" si="24"/>
        <v>45</v>
      </c>
      <c r="F43" s="74">
        <v>499.62739727400003</v>
      </c>
      <c r="G43" s="81">
        <f t="shared" si="25"/>
        <v>428.57260275150003</v>
      </c>
      <c r="H43" s="74">
        <v>499.62739727400003</v>
      </c>
      <c r="I43" s="99">
        <f t="shared" si="26"/>
        <v>428.57260275150003</v>
      </c>
      <c r="J43" s="74">
        <f t="shared" si="14"/>
        <v>1542</v>
      </c>
      <c r="K43" s="81">
        <f t="shared" si="27"/>
        <v>1398.75</v>
      </c>
      <c r="L43" s="74">
        <f t="shared" si="15"/>
        <v>47</v>
      </c>
      <c r="M43" s="99">
        <f t="shared" si="28"/>
        <v>45</v>
      </c>
      <c r="N43" s="74">
        <f t="shared" si="16"/>
        <v>1542</v>
      </c>
      <c r="O43" s="81">
        <f t="shared" si="29"/>
        <v>1398.75</v>
      </c>
      <c r="P43" s="74">
        <f t="shared" si="17"/>
        <v>47</v>
      </c>
      <c r="Q43" s="99">
        <f t="shared" si="30"/>
        <v>45</v>
      </c>
      <c r="R43" s="74">
        <v>501</v>
      </c>
      <c r="S43" s="81">
        <f t="shared" si="31"/>
        <v>429.75</v>
      </c>
      <c r="T43" s="74">
        <v>47</v>
      </c>
      <c r="U43" s="99">
        <f t="shared" si="32"/>
        <v>45</v>
      </c>
      <c r="V43" s="74">
        <v>1041</v>
      </c>
      <c r="W43" s="81">
        <f t="shared" si="33"/>
        <v>969</v>
      </c>
      <c r="X43" s="74">
        <v>0</v>
      </c>
      <c r="Y43" s="99">
        <f t="shared" si="34"/>
        <v>0</v>
      </c>
      <c r="Z43" s="74">
        <v>0</v>
      </c>
      <c r="AA43" s="81">
        <f t="shared" si="35"/>
        <v>0</v>
      </c>
      <c r="AB43" s="74">
        <v>0</v>
      </c>
      <c r="AC43" s="99">
        <f t="shared" si="36"/>
        <v>0</v>
      </c>
      <c r="AD43" s="105">
        <v>0</v>
      </c>
      <c r="AE43" s="81">
        <f t="shared" si="37"/>
        <v>0</v>
      </c>
      <c r="AF43" s="105">
        <v>0</v>
      </c>
      <c r="AG43" s="99">
        <f t="shared" si="38"/>
        <v>0</v>
      </c>
      <c r="AH43" s="74">
        <v>0</v>
      </c>
      <c r="AI43" s="81">
        <f t="shared" si="39"/>
        <v>0</v>
      </c>
      <c r="AJ43" s="74">
        <v>0</v>
      </c>
      <c r="AK43" s="99">
        <f t="shared" si="40"/>
        <v>0</v>
      </c>
      <c r="AL43" s="74">
        <f t="shared" si="18"/>
        <v>266</v>
      </c>
      <c r="AM43" s="81">
        <f t="shared" si="51"/>
        <v>236.14285714285714</v>
      </c>
      <c r="AN43" s="74">
        <f t="shared" si="19"/>
        <v>75</v>
      </c>
      <c r="AO43" s="81">
        <f t="shared" si="41"/>
        <v>58.142857142857146</v>
      </c>
      <c r="AP43" s="74">
        <f t="shared" si="20"/>
        <v>105</v>
      </c>
      <c r="AQ43" s="81">
        <f t="shared" si="42"/>
        <v>78.857142857142861</v>
      </c>
      <c r="AR43" s="74">
        <f t="shared" si="21"/>
        <v>55</v>
      </c>
      <c r="AS43" s="81">
        <f t="shared" si="43"/>
        <v>53.142857142857146</v>
      </c>
      <c r="AT43" s="83">
        <f t="shared" si="8"/>
        <v>0.53093812375249505</v>
      </c>
      <c r="AU43" s="83">
        <f t="shared" si="9"/>
        <v>0.1497005988023952</v>
      </c>
      <c r="AV43" s="83">
        <f t="shared" si="10"/>
        <v>0.20958083832335328</v>
      </c>
      <c r="AW43" s="84">
        <f t="shared" si="11"/>
        <v>0.10978043912175649</v>
      </c>
      <c r="AX43" s="83">
        <f t="shared" si="53"/>
        <v>0.55516127029205375</v>
      </c>
      <c r="AY43" s="83">
        <f t="shared" si="53"/>
        <v>0.13526388964389341</v>
      </c>
      <c r="AZ43" s="83">
        <f t="shared" si="53"/>
        <v>0.18381339982491743</v>
      </c>
      <c r="BA43" s="84">
        <f t="shared" si="53"/>
        <v>0.12576144023913541</v>
      </c>
      <c r="BB43" s="74">
        <v>0</v>
      </c>
      <c r="BC43" s="81">
        <f t="shared" si="43"/>
        <v>0</v>
      </c>
      <c r="BD43" s="74">
        <v>0</v>
      </c>
      <c r="BE43" s="81">
        <f t="shared" si="44"/>
        <v>0</v>
      </c>
      <c r="BF43" s="74">
        <v>0</v>
      </c>
      <c r="BG43" s="81">
        <f t="shared" si="45"/>
        <v>0</v>
      </c>
      <c r="BH43" s="74">
        <v>0</v>
      </c>
      <c r="BI43" s="81">
        <f t="shared" si="46"/>
        <v>0</v>
      </c>
      <c r="BJ43" s="74">
        <v>266</v>
      </c>
      <c r="BK43" s="81">
        <f t="shared" si="47"/>
        <v>236.14285714285714</v>
      </c>
      <c r="BL43" s="74">
        <v>75</v>
      </c>
      <c r="BM43" s="81">
        <f t="shared" si="48"/>
        <v>58.142857142857146</v>
      </c>
      <c r="BN43" s="74">
        <v>105</v>
      </c>
      <c r="BO43" s="81">
        <f t="shared" si="49"/>
        <v>78.857142857142861</v>
      </c>
      <c r="BP43" s="74">
        <v>55</v>
      </c>
      <c r="BQ43" s="81">
        <f t="shared" si="50"/>
        <v>53.142857142857146</v>
      </c>
    </row>
    <row r="44" spans="1:69" x14ac:dyDescent="0.25">
      <c r="A44" s="85">
        <f t="shared" si="22"/>
        <v>45422</v>
      </c>
      <c r="B44" s="74">
        <f t="shared" si="12"/>
        <v>1256</v>
      </c>
      <c r="C44" s="81">
        <f t="shared" si="23"/>
        <v>1391.25</v>
      </c>
      <c r="D44" s="74">
        <f t="shared" si="13"/>
        <v>42</v>
      </c>
      <c r="E44" s="99">
        <f t="shared" si="24"/>
        <v>41.5</v>
      </c>
      <c r="F44" s="74">
        <v>404.88767124399988</v>
      </c>
      <c r="G44" s="81">
        <f t="shared" si="25"/>
        <v>427.57534247749993</v>
      </c>
      <c r="H44" s="74">
        <v>404.88767124399988</v>
      </c>
      <c r="I44" s="99">
        <f t="shared" si="26"/>
        <v>427.57534247749993</v>
      </c>
      <c r="J44" s="74">
        <f t="shared" si="14"/>
        <v>1256</v>
      </c>
      <c r="K44" s="81">
        <f t="shared" si="27"/>
        <v>1391.25</v>
      </c>
      <c r="L44" s="74">
        <f t="shared" si="15"/>
        <v>42</v>
      </c>
      <c r="M44" s="99">
        <f t="shared" si="28"/>
        <v>41.5</v>
      </c>
      <c r="N44" s="74">
        <f t="shared" si="16"/>
        <v>1256</v>
      </c>
      <c r="O44" s="81">
        <f t="shared" si="29"/>
        <v>1391.25</v>
      </c>
      <c r="P44" s="74">
        <f t="shared" si="17"/>
        <v>42</v>
      </c>
      <c r="Q44" s="99">
        <f t="shared" si="30"/>
        <v>41.5</v>
      </c>
      <c r="R44" s="74">
        <v>406</v>
      </c>
      <c r="S44" s="81">
        <f t="shared" si="31"/>
        <v>428.75</v>
      </c>
      <c r="T44" s="74">
        <v>42</v>
      </c>
      <c r="U44" s="99">
        <f t="shared" si="32"/>
        <v>41.5</v>
      </c>
      <c r="V44" s="74">
        <v>850</v>
      </c>
      <c r="W44" s="81">
        <f t="shared" si="33"/>
        <v>962.5</v>
      </c>
      <c r="X44" s="74">
        <v>0</v>
      </c>
      <c r="Y44" s="99">
        <f t="shared" si="34"/>
        <v>0</v>
      </c>
      <c r="Z44" s="74">
        <v>0</v>
      </c>
      <c r="AA44" s="81">
        <f t="shared" si="35"/>
        <v>0</v>
      </c>
      <c r="AB44" s="74">
        <v>0</v>
      </c>
      <c r="AC44" s="99">
        <f t="shared" si="36"/>
        <v>0</v>
      </c>
      <c r="AD44" s="105">
        <v>0</v>
      </c>
      <c r="AE44" s="81">
        <f t="shared" si="37"/>
        <v>0</v>
      </c>
      <c r="AF44" s="105">
        <v>0</v>
      </c>
      <c r="AG44" s="99">
        <f t="shared" si="38"/>
        <v>0</v>
      </c>
      <c r="AH44" s="74">
        <v>0</v>
      </c>
      <c r="AI44" s="81">
        <f t="shared" si="39"/>
        <v>0</v>
      </c>
      <c r="AJ44" s="74">
        <v>0</v>
      </c>
      <c r="AK44" s="99">
        <f t="shared" si="40"/>
        <v>0</v>
      </c>
      <c r="AL44" s="74">
        <f t="shared" si="18"/>
        <v>232</v>
      </c>
      <c r="AM44" s="81">
        <f t="shared" si="51"/>
        <v>238.71428571428572</v>
      </c>
      <c r="AN44" s="74">
        <f t="shared" si="19"/>
        <v>36</v>
      </c>
      <c r="AO44" s="81">
        <f t="shared" si="41"/>
        <v>55.571428571428569</v>
      </c>
      <c r="AP44" s="74">
        <f t="shared" si="20"/>
        <v>80</v>
      </c>
      <c r="AQ44" s="81">
        <f t="shared" si="42"/>
        <v>80.571428571428569</v>
      </c>
      <c r="AR44" s="74">
        <f t="shared" si="21"/>
        <v>58</v>
      </c>
      <c r="AS44" s="81">
        <f t="shared" si="43"/>
        <v>54</v>
      </c>
      <c r="AT44" s="83">
        <f t="shared" si="8"/>
        <v>0.5714285714285714</v>
      </c>
      <c r="AU44" s="83">
        <f t="shared" si="9"/>
        <v>8.8669950738916259E-2</v>
      </c>
      <c r="AV44" s="83">
        <f t="shared" si="10"/>
        <v>0.19704433497536947</v>
      </c>
      <c r="AW44" s="84">
        <f t="shared" si="11"/>
        <v>0.14285714285714285</v>
      </c>
      <c r="AX44" s="83">
        <f t="shared" si="53"/>
        <v>0.55800158167433866</v>
      </c>
      <c r="AY44" s="83">
        <f t="shared" si="53"/>
        <v>0.12804884578774448</v>
      </c>
      <c r="AZ44" s="83">
        <f t="shared" si="53"/>
        <v>0.18692577168443264</v>
      </c>
      <c r="BA44" s="84">
        <f t="shared" si="53"/>
        <v>0.12702380085348425</v>
      </c>
      <c r="BB44" s="74">
        <v>0</v>
      </c>
      <c r="BC44" s="81">
        <f t="shared" si="43"/>
        <v>0</v>
      </c>
      <c r="BD44" s="74">
        <v>0</v>
      </c>
      <c r="BE44" s="81">
        <f t="shared" si="44"/>
        <v>0</v>
      </c>
      <c r="BF44" s="74">
        <v>0</v>
      </c>
      <c r="BG44" s="81">
        <f t="shared" si="45"/>
        <v>0</v>
      </c>
      <c r="BH44" s="74">
        <v>0</v>
      </c>
      <c r="BI44" s="81">
        <f t="shared" si="46"/>
        <v>0</v>
      </c>
      <c r="BJ44" s="74">
        <v>232</v>
      </c>
      <c r="BK44" s="81">
        <f t="shared" si="47"/>
        <v>238.71428571428572</v>
      </c>
      <c r="BL44" s="74">
        <v>36</v>
      </c>
      <c r="BM44" s="81">
        <f t="shared" si="48"/>
        <v>55.571428571428569</v>
      </c>
      <c r="BN44" s="74">
        <v>80</v>
      </c>
      <c r="BO44" s="81">
        <f t="shared" si="49"/>
        <v>80.571428571428569</v>
      </c>
      <c r="BP44" s="74">
        <v>58</v>
      </c>
      <c r="BQ44" s="81">
        <f t="shared" si="50"/>
        <v>54</v>
      </c>
    </row>
    <row r="45" spans="1:69" x14ac:dyDescent="0.25">
      <c r="A45" s="85">
        <f t="shared" si="22"/>
        <v>45429</v>
      </c>
      <c r="B45" s="74">
        <f t="shared" si="12"/>
        <v>1179</v>
      </c>
      <c r="C45" s="81">
        <f t="shared" si="23"/>
        <v>1368.75</v>
      </c>
      <c r="D45" s="74">
        <f t="shared" si="13"/>
        <v>58</v>
      </c>
      <c r="E45" s="99">
        <f t="shared" si="24"/>
        <v>46.25</v>
      </c>
      <c r="F45" s="74">
        <v>386.9369863120001</v>
      </c>
      <c r="G45" s="81">
        <f t="shared" si="25"/>
        <v>429.32054795699997</v>
      </c>
      <c r="H45" s="74">
        <v>386.9369863120001</v>
      </c>
      <c r="I45" s="99">
        <f t="shared" si="26"/>
        <v>429.32054795699997</v>
      </c>
      <c r="J45" s="74">
        <f t="shared" si="14"/>
        <v>1179</v>
      </c>
      <c r="K45" s="81">
        <f t="shared" si="27"/>
        <v>1368.75</v>
      </c>
      <c r="L45" s="74">
        <f t="shared" si="15"/>
        <v>58</v>
      </c>
      <c r="M45" s="99">
        <f t="shared" si="28"/>
        <v>46.25</v>
      </c>
      <c r="N45" s="74">
        <f t="shared" si="16"/>
        <v>1179</v>
      </c>
      <c r="O45" s="81">
        <f t="shared" si="29"/>
        <v>1368.75</v>
      </c>
      <c r="P45" s="74">
        <f t="shared" si="17"/>
        <v>58</v>
      </c>
      <c r="Q45" s="99">
        <f t="shared" si="30"/>
        <v>46.25</v>
      </c>
      <c r="R45" s="74">
        <v>388</v>
      </c>
      <c r="S45" s="81">
        <f t="shared" si="31"/>
        <v>430.5</v>
      </c>
      <c r="T45" s="74">
        <v>58</v>
      </c>
      <c r="U45" s="99">
        <f t="shared" si="32"/>
        <v>46.25</v>
      </c>
      <c r="V45" s="74">
        <v>791</v>
      </c>
      <c r="W45" s="81">
        <f t="shared" si="33"/>
        <v>938.25</v>
      </c>
      <c r="X45" s="74">
        <v>0</v>
      </c>
      <c r="Y45" s="99">
        <f t="shared" si="34"/>
        <v>0</v>
      </c>
      <c r="Z45" s="74">
        <v>0</v>
      </c>
      <c r="AA45" s="81">
        <f t="shared" si="35"/>
        <v>0</v>
      </c>
      <c r="AB45" s="74">
        <v>0</v>
      </c>
      <c r="AC45" s="99">
        <f t="shared" si="36"/>
        <v>0</v>
      </c>
      <c r="AD45" s="105">
        <v>0</v>
      </c>
      <c r="AE45" s="81">
        <f t="shared" si="37"/>
        <v>0</v>
      </c>
      <c r="AF45" s="105">
        <v>0</v>
      </c>
      <c r="AG45" s="99">
        <f t="shared" si="38"/>
        <v>0</v>
      </c>
      <c r="AH45" s="74">
        <v>0</v>
      </c>
      <c r="AI45" s="81">
        <f t="shared" si="39"/>
        <v>0</v>
      </c>
      <c r="AJ45" s="74">
        <v>0</v>
      </c>
      <c r="AK45" s="99">
        <f t="shared" si="40"/>
        <v>0</v>
      </c>
      <c r="AL45" s="74">
        <f t="shared" si="18"/>
        <v>206</v>
      </c>
      <c r="AM45" s="81">
        <f t="shared" si="51"/>
        <v>234.57142857142858</v>
      </c>
      <c r="AN45" s="74">
        <f t="shared" si="19"/>
        <v>46</v>
      </c>
      <c r="AO45" s="81">
        <f t="shared" si="41"/>
        <v>52.285714285714285</v>
      </c>
      <c r="AP45" s="74">
        <f t="shared" si="20"/>
        <v>81</v>
      </c>
      <c r="AQ45" s="81">
        <f t="shared" si="42"/>
        <v>82.428571428571431</v>
      </c>
      <c r="AR45" s="74">
        <f t="shared" si="21"/>
        <v>55</v>
      </c>
      <c r="AS45" s="81">
        <f t="shared" si="43"/>
        <v>54.142857142857146</v>
      </c>
      <c r="AT45" s="83">
        <f t="shared" si="8"/>
        <v>0.53092783505154639</v>
      </c>
      <c r="AU45" s="83">
        <f t="shared" si="9"/>
        <v>0.11855670103092783</v>
      </c>
      <c r="AV45" s="83">
        <f t="shared" si="10"/>
        <v>0.20876288659793815</v>
      </c>
      <c r="AW45" s="84">
        <f t="shared" si="11"/>
        <v>0.14175257731958762</v>
      </c>
      <c r="AX45" s="83">
        <f t="shared" ref="AX45:BA60" si="54">AVERAGE(AT39:AT45)</f>
        <v>0.55504224489766485</v>
      </c>
      <c r="AY45" s="83">
        <f t="shared" si="54"/>
        <v>0.12184668436560339</v>
      </c>
      <c r="AZ45" s="83">
        <f t="shared" si="54"/>
        <v>0.1939455536062038</v>
      </c>
      <c r="BA45" s="84">
        <f t="shared" si="54"/>
        <v>0.12916551713052793</v>
      </c>
      <c r="BB45" s="74">
        <v>0</v>
      </c>
      <c r="BC45" s="81">
        <f t="shared" si="43"/>
        <v>0</v>
      </c>
      <c r="BD45" s="74">
        <v>0</v>
      </c>
      <c r="BE45" s="81">
        <f t="shared" si="44"/>
        <v>0</v>
      </c>
      <c r="BF45" s="74">
        <v>0</v>
      </c>
      <c r="BG45" s="81">
        <f t="shared" si="45"/>
        <v>0</v>
      </c>
      <c r="BH45" s="74">
        <v>0</v>
      </c>
      <c r="BI45" s="81">
        <f t="shared" si="46"/>
        <v>0</v>
      </c>
      <c r="BJ45" s="74">
        <v>206</v>
      </c>
      <c r="BK45" s="81">
        <f t="shared" si="47"/>
        <v>234.57142857142858</v>
      </c>
      <c r="BL45" s="74">
        <v>46</v>
      </c>
      <c r="BM45" s="81">
        <f t="shared" si="48"/>
        <v>52.285714285714285</v>
      </c>
      <c r="BN45" s="74">
        <v>81</v>
      </c>
      <c r="BO45" s="81">
        <f t="shared" si="49"/>
        <v>82.428571428571431</v>
      </c>
      <c r="BP45" s="74">
        <v>55</v>
      </c>
      <c r="BQ45" s="81">
        <f t="shared" si="50"/>
        <v>54.142857142857146</v>
      </c>
    </row>
    <row r="46" spans="1:69" x14ac:dyDescent="0.25">
      <c r="A46" s="85">
        <f t="shared" si="22"/>
        <v>45436</v>
      </c>
      <c r="B46" s="74">
        <f t="shared" si="12"/>
        <v>1310</v>
      </c>
      <c r="C46" s="81">
        <f t="shared" si="23"/>
        <v>1321.75</v>
      </c>
      <c r="D46" s="74">
        <f t="shared" si="13"/>
        <v>57</v>
      </c>
      <c r="E46" s="99">
        <f t="shared" si="24"/>
        <v>51</v>
      </c>
      <c r="F46" s="74">
        <v>417.85205480600007</v>
      </c>
      <c r="G46" s="81">
        <f t="shared" si="25"/>
        <v>427.32602740900001</v>
      </c>
      <c r="H46" s="74">
        <v>417.85205480600007</v>
      </c>
      <c r="I46" s="99">
        <f t="shared" si="26"/>
        <v>427.32602740900001</v>
      </c>
      <c r="J46" s="74">
        <f t="shared" si="14"/>
        <v>1310</v>
      </c>
      <c r="K46" s="81">
        <f t="shared" si="27"/>
        <v>1321.75</v>
      </c>
      <c r="L46" s="74">
        <f t="shared" si="15"/>
        <v>57</v>
      </c>
      <c r="M46" s="99">
        <f t="shared" si="28"/>
        <v>51</v>
      </c>
      <c r="N46" s="74">
        <f t="shared" si="16"/>
        <v>1310</v>
      </c>
      <c r="O46" s="81">
        <f t="shared" si="29"/>
        <v>1321.75</v>
      </c>
      <c r="P46" s="74">
        <f t="shared" si="17"/>
        <v>57</v>
      </c>
      <c r="Q46" s="99">
        <f t="shared" si="30"/>
        <v>51</v>
      </c>
      <c r="R46" s="74">
        <v>419</v>
      </c>
      <c r="S46" s="81">
        <f t="shared" si="31"/>
        <v>428.5</v>
      </c>
      <c r="T46" s="74">
        <v>57</v>
      </c>
      <c r="U46" s="99">
        <f t="shared" si="32"/>
        <v>51</v>
      </c>
      <c r="V46" s="74">
        <v>891</v>
      </c>
      <c r="W46" s="81">
        <f t="shared" si="33"/>
        <v>893.25</v>
      </c>
      <c r="X46" s="74">
        <v>0</v>
      </c>
      <c r="Y46" s="99">
        <f t="shared" si="34"/>
        <v>0</v>
      </c>
      <c r="Z46" s="74">
        <v>0</v>
      </c>
      <c r="AA46" s="81">
        <f t="shared" si="35"/>
        <v>0</v>
      </c>
      <c r="AB46" s="74">
        <v>0</v>
      </c>
      <c r="AC46" s="99">
        <f t="shared" si="36"/>
        <v>0</v>
      </c>
      <c r="AD46" s="105">
        <v>0</v>
      </c>
      <c r="AE46" s="81">
        <f t="shared" si="37"/>
        <v>0</v>
      </c>
      <c r="AF46" s="105">
        <v>0</v>
      </c>
      <c r="AG46" s="99">
        <f t="shared" si="38"/>
        <v>0</v>
      </c>
      <c r="AH46" s="74">
        <v>0</v>
      </c>
      <c r="AI46" s="81">
        <f t="shared" si="39"/>
        <v>0</v>
      </c>
      <c r="AJ46" s="74">
        <v>0</v>
      </c>
      <c r="AK46" s="99">
        <f t="shared" si="40"/>
        <v>0</v>
      </c>
      <c r="AL46" s="74">
        <f t="shared" si="18"/>
        <v>234</v>
      </c>
      <c r="AM46" s="81">
        <f t="shared" si="51"/>
        <v>233</v>
      </c>
      <c r="AN46" s="74">
        <f t="shared" si="19"/>
        <v>48</v>
      </c>
      <c r="AO46" s="81">
        <f t="shared" si="41"/>
        <v>48.857142857142854</v>
      </c>
      <c r="AP46" s="74">
        <f t="shared" si="20"/>
        <v>80</v>
      </c>
      <c r="AQ46" s="81">
        <f t="shared" si="42"/>
        <v>81.857142857142861</v>
      </c>
      <c r="AR46" s="74">
        <f t="shared" si="21"/>
        <v>57</v>
      </c>
      <c r="AS46" s="81">
        <f t="shared" si="43"/>
        <v>55.142857142857146</v>
      </c>
      <c r="AT46" s="83">
        <f t="shared" si="8"/>
        <v>0.55847255369928406</v>
      </c>
      <c r="AU46" s="83">
        <f t="shared" si="9"/>
        <v>0.11455847255369929</v>
      </c>
      <c r="AV46" s="83">
        <f t="shared" si="10"/>
        <v>0.1909307875894988</v>
      </c>
      <c r="AW46" s="84">
        <f t="shared" si="11"/>
        <v>0.13603818615751789</v>
      </c>
      <c r="AX46" s="83">
        <f t="shared" si="54"/>
        <v>0.55721871677551627</v>
      </c>
      <c r="AY46" s="83">
        <f t="shared" si="54"/>
        <v>0.11540571861385121</v>
      </c>
      <c r="AZ46" s="83">
        <f t="shared" si="54"/>
        <v>0.19461384160204287</v>
      </c>
      <c r="BA46" s="84">
        <f t="shared" si="54"/>
        <v>0.13276172300858957</v>
      </c>
      <c r="BB46" s="74">
        <v>0</v>
      </c>
      <c r="BC46" s="81">
        <f t="shared" si="43"/>
        <v>0</v>
      </c>
      <c r="BD46" s="74">
        <v>0</v>
      </c>
      <c r="BE46" s="81">
        <f t="shared" si="44"/>
        <v>0</v>
      </c>
      <c r="BF46" s="74">
        <v>0</v>
      </c>
      <c r="BG46" s="81">
        <f t="shared" si="45"/>
        <v>0</v>
      </c>
      <c r="BH46" s="74">
        <v>0</v>
      </c>
      <c r="BI46" s="81">
        <f t="shared" si="46"/>
        <v>0</v>
      </c>
      <c r="BJ46" s="74">
        <v>234</v>
      </c>
      <c r="BK46" s="81">
        <f t="shared" si="47"/>
        <v>233</v>
      </c>
      <c r="BL46" s="74">
        <v>48</v>
      </c>
      <c r="BM46" s="81">
        <f t="shared" si="48"/>
        <v>48.857142857142854</v>
      </c>
      <c r="BN46" s="74">
        <v>80</v>
      </c>
      <c r="BO46" s="81">
        <f t="shared" si="49"/>
        <v>81.857142857142861</v>
      </c>
      <c r="BP46" s="74">
        <v>57</v>
      </c>
      <c r="BQ46" s="81">
        <f t="shared" si="50"/>
        <v>55.142857142857146</v>
      </c>
    </row>
    <row r="47" spans="1:69" x14ac:dyDescent="0.25">
      <c r="A47" s="85">
        <f t="shared" si="22"/>
        <v>45443</v>
      </c>
      <c r="B47" s="74">
        <f t="shared" si="12"/>
        <v>1274</v>
      </c>
      <c r="C47" s="81">
        <f t="shared" si="23"/>
        <v>1254.75</v>
      </c>
      <c r="D47" s="74">
        <f t="shared" si="13"/>
        <v>60</v>
      </c>
      <c r="E47" s="99">
        <f t="shared" si="24"/>
        <v>54.25</v>
      </c>
      <c r="F47" s="74">
        <v>364.00000001000012</v>
      </c>
      <c r="G47" s="81">
        <f t="shared" si="25"/>
        <v>393.41917809300003</v>
      </c>
      <c r="H47" s="74">
        <v>364.00000001000012</v>
      </c>
      <c r="I47" s="99">
        <f t="shared" si="26"/>
        <v>393.41917809300003</v>
      </c>
      <c r="J47" s="74">
        <f t="shared" si="14"/>
        <v>1274</v>
      </c>
      <c r="K47" s="81">
        <f t="shared" si="27"/>
        <v>1254.75</v>
      </c>
      <c r="L47" s="74">
        <f t="shared" si="15"/>
        <v>60</v>
      </c>
      <c r="M47" s="99">
        <f t="shared" si="28"/>
        <v>54.25</v>
      </c>
      <c r="N47" s="74">
        <f t="shared" si="16"/>
        <v>1274</v>
      </c>
      <c r="O47" s="81">
        <f t="shared" si="29"/>
        <v>1254.75</v>
      </c>
      <c r="P47" s="74">
        <f t="shared" si="17"/>
        <v>60</v>
      </c>
      <c r="Q47" s="99">
        <f t="shared" si="30"/>
        <v>54.25</v>
      </c>
      <c r="R47" s="74">
        <v>365</v>
      </c>
      <c r="S47" s="81">
        <f t="shared" si="31"/>
        <v>394.5</v>
      </c>
      <c r="T47" s="74">
        <v>60</v>
      </c>
      <c r="U47" s="99">
        <f t="shared" si="32"/>
        <v>54.25</v>
      </c>
      <c r="V47" s="74">
        <v>909</v>
      </c>
      <c r="W47" s="81">
        <f t="shared" si="33"/>
        <v>860.25</v>
      </c>
      <c r="X47" s="74">
        <v>0</v>
      </c>
      <c r="Y47" s="99">
        <f t="shared" si="34"/>
        <v>0</v>
      </c>
      <c r="Z47" s="74">
        <v>0</v>
      </c>
      <c r="AA47" s="81">
        <f t="shared" si="35"/>
        <v>0</v>
      </c>
      <c r="AB47" s="74">
        <v>0</v>
      </c>
      <c r="AC47" s="99">
        <f t="shared" si="36"/>
        <v>0</v>
      </c>
      <c r="AD47" s="105">
        <v>0</v>
      </c>
      <c r="AE47" s="81">
        <f t="shared" si="37"/>
        <v>0</v>
      </c>
      <c r="AF47" s="105">
        <v>0</v>
      </c>
      <c r="AG47" s="99">
        <f t="shared" si="38"/>
        <v>0</v>
      </c>
      <c r="AH47" s="74">
        <v>0</v>
      </c>
      <c r="AI47" s="81">
        <f t="shared" si="39"/>
        <v>0</v>
      </c>
      <c r="AJ47" s="74">
        <v>0</v>
      </c>
      <c r="AK47" s="99">
        <f t="shared" si="40"/>
        <v>0</v>
      </c>
      <c r="AL47" s="74">
        <f t="shared" si="18"/>
        <v>190</v>
      </c>
      <c r="AM47" s="81">
        <f t="shared" si="51"/>
        <v>229.57142857142858</v>
      </c>
      <c r="AN47" s="74">
        <f t="shared" si="19"/>
        <v>57</v>
      </c>
      <c r="AO47" s="81">
        <f t="shared" si="41"/>
        <v>49.571428571428569</v>
      </c>
      <c r="AP47" s="74">
        <f t="shared" si="20"/>
        <v>65</v>
      </c>
      <c r="AQ47" s="81">
        <f t="shared" si="42"/>
        <v>79.428571428571431</v>
      </c>
      <c r="AR47" s="74">
        <f t="shared" si="21"/>
        <v>53</v>
      </c>
      <c r="AS47" s="81">
        <f t="shared" si="43"/>
        <v>53.857142857142854</v>
      </c>
      <c r="AT47" s="83">
        <f t="shared" si="8"/>
        <v>0.52054794520547942</v>
      </c>
      <c r="AU47" s="83">
        <f t="shared" si="9"/>
        <v>0.15616438356164383</v>
      </c>
      <c r="AV47" s="83">
        <f t="shared" si="10"/>
        <v>0.17808219178082191</v>
      </c>
      <c r="AW47" s="84">
        <f t="shared" si="11"/>
        <v>0.14520547945205478</v>
      </c>
      <c r="AX47" s="83">
        <f t="shared" si="54"/>
        <v>0.55701824901741415</v>
      </c>
      <c r="AY47" s="83">
        <f t="shared" si="54"/>
        <v>0.11959644936655991</v>
      </c>
      <c r="AZ47" s="83">
        <f t="shared" si="54"/>
        <v>0.19148272614216033</v>
      </c>
      <c r="BA47" s="84">
        <f t="shared" si="54"/>
        <v>0.13190257547386566</v>
      </c>
      <c r="BB47" s="74">
        <v>0</v>
      </c>
      <c r="BC47" s="81">
        <f t="shared" si="43"/>
        <v>0</v>
      </c>
      <c r="BD47" s="74">
        <v>0</v>
      </c>
      <c r="BE47" s="81">
        <f t="shared" si="44"/>
        <v>0</v>
      </c>
      <c r="BF47" s="74">
        <v>0</v>
      </c>
      <c r="BG47" s="81">
        <f t="shared" si="45"/>
        <v>0</v>
      </c>
      <c r="BH47" s="74">
        <v>0</v>
      </c>
      <c r="BI47" s="81">
        <f t="shared" si="46"/>
        <v>0</v>
      </c>
      <c r="BJ47" s="74">
        <v>190</v>
      </c>
      <c r="BK47" s="81">
        <f t="shared" si="47"/>
        <v>229.57142857142858</v>
      </c>
      <c r="BL47" s="74">
        <v>57</v>
      </c>
      <c r="BM47" s="81">
        <f t="shared" si="48"/>
        <v>49.571428571428569</v>
      </c>
      <c r="BN47" s="74">
        <v>65</v>
      </c>
      <c r="BO47" s="81">
        <f t="shared" si="49"/>
        <v>79.428571428571431</v>
      </c>
      <c r="BP47" s="74">
        <v>53</v>
      </c>
      <c r="BQ47" s="81">
        <f t="shared" si="50"/>
        <v>53.857142857142854</v>
      </c>
    </row>
    <row r="48" spans="1:69" x14ac:dyDescent="0.25">
      <c r="A48" s="85">
        <f t="shared" si="22"/>
        <v>45450</v>
      </c>
      <c r="B48" s="74">
        <f t="shared" si="12"/>
        <v>1220</v>
      </c>
      <c r="C48" s="81">
        <f t="shared" si="23"/>
        <v>1245.75</v>
      </c>
      <c r="D48" s="74">
        <f t="shared" si="13"/>
        <v>48</v>
      </c>
      <c r="E48" s="99">
        <f t="shared" si="24"/>
        <v>55.75</v>
      </c>
      <c r="F48" s="74">
        <v>371.978082202</v>
      </c>
      <c r="G48" s="81">
        <f t="shared" si="25"/>
        <v>385.19178083250006</v>
      </c>
      <c r="H48" s="74">
        <v>371.978082202</v>
      </c>
      <c r="I48" s="99">
        <f t="shared" si="26"/>
        <v>385.19178083250006</v>
      </c>
      <c r="J48" s="74">
        <f t="shared" si="14"/>
        <v>1220</v>
      </c>
      <c r="K48" s="81">
        <f t="shared" si="27"/>
        <v>1245.75</v>
      </c>
      <c r="L48" s="74">
        <f t="shared" si="15"/>
        <v>48</v>
      </c>
      <c r="M48" s="99">
        <f t="shared" si="28"/>
        <v>55.75</v>
      </c>
      <c r="N48" s="74">
        <f t="shared" si="16"/>
        <v>1220</v>
      </c>
      <c r="O48" s="81">
        <f t="shared" si="29"/>
        <v>1245.75</v>
      </c>
      <c r="P48" s="74">
        <f t="shared" si="17"/>
        <v>48</v>
      </c>
      <c r="Q48" s="99">
        <f t="shared" si="30"/>
        <v>55.75</v>
      </c>
      <c r="R48" s="74">
        <v>373</v>
      </c>
      <c r="S48" s="81">
        <f t="shared" si="31"/>
        <v>386.25</v>
      </c>
      <c r="T48" s="74">
        <v>48</v>
      </c>
      <c r="U48" s="99">
        <f t="shared" si="32"/>
        <v>55.75</v>
      </c>
      <c r="V48" s="74">
        <v>847</v>
      </c>
      <c r="W48" s="81">
        <f t="shared" si="33"/>
        <v>859.5</v>
      </c>
      <c r="X48" s="74">
        <v>0</v>
      </c>
      <c r="Y48" s="99">
        <f t="shared" si="34"/>
        <v>0</v>
      </c>
      <c r="Z48" s="74">
        <v>0</v>
      </c>
      <c r="AA48" s="81">
        <f t="shared" si="35"/>
        <v>0</v>
      </c>
      <c r="AB48" s="74">
        <v>0</v>
      </c>
      <c r="AC48" s="99">
        <f t="shared" si="36"/>
        <v>0</v>
      </c>
      <c r="AD48" s="105">
        <v>0</v>
      </c>
      <c r="AE48" s="81">
        <f t="shared" si="37"/>
        <v>0</v>
      </c>
      <c r="AF48" s="105">
        <v>0</v>
      </c>
      <c r="AG48" s="99">
        <f t="shared" si="38"/>
        <v>0</v>
      </c>
      <c r="AH48" s="74">
        <v>0</v>
      </c>
      <c r="AI48" s="81">
        <f t="shared" si="39"/>
        <v>0</v>
      </c>
      <c r="AJ48" s="74">
        <v>0</v>
      </c>
      <c r="AK48" s="99">
        <f t="shared" si="40"/>
        <v>0</v>
      </c>
      <c r="AL48" s="74">
        <f t="shared" si="18"/>
        <v>213</v>
      </c>
      <c r="AM48" s="81">
        <f t="shared" si="51"/>
        <v>227.14285714285714</v>
      </c>
      <c r="AN48" s="74">
        <f t="shared" si="19"/>
        <v>37</v>
      </c>
      <c r="AO48" s="81">
        <f t="shared" si="41"/>
        <v>49.571428571428569</v>
      </c>
      <c r="AP48" s="74">
        <f t="shared" si="20"/>
        <v>73</v>
      </c>
      <c r="AQ48" s="81">
        <f t="shared" si="42"/>
        <v>81.571428571428569</v>
      </c>
      <c r="AR48" s="74">
        <f t="shared" si="21"/>
        <v>50</v>
      </c>
      <c r="AS48" s="81">
        <f t="shared" si="43"/>
        <v>53</v>
      </c>
      <c r="AT48" s="83">
        <f t="shared" si="8"/>
        <v>0.57104557640750675</v>
      </c>
      <c r="AU48" s="83">
        <f t="shared" si="9"/>
        <v>9.9195710455764072E-2</v>
      </c>
      <c r="AV48" s="83">
        <f t="shared" si="10"/>
        <v>0.19571045576407506</v>
      </c>
      <c r="AW48" s="84">
        <f t="shared" si="11"/>
        <v>0.13404825737265416</v>
      </c>
      <c r="AX48" s="83">
        <f t="shared" si="54"/>
        <v>0.55235696840671289</v>
      </c>
      <c r="AY48" s="83">
        <f t="shared" si="54"/>
        <v>0.119893999304185</v>
      </c>
      <c r="AZ48" s="83">
        <f t="shared" si="54"/>
        <v>0.19769408109008405</v>
      </c>
      <c r="BA48" s="84">
        <f t="shared" si="54"/>
        <v>0.130054951199018</v>
      </c>
      <c r="BB48" s="74">
        <v>0</v>
      </c>
      <c r="BC48" s="81">
        <f t="shared" si="43"/>
        <v>0</v>
      </c>
      <c r="BD48" s="74">
        <v>0</v>
      </c>
      <c r="BE48" s="81">
        <f t="shared" si="44"/>
        <v>0</v>
      </c>
      <c r="BF48" s="74">
        <v>0</v>
      </c>
      <c r="BG48" s="81">
        <f t="shared" si="45"/>
        <v>0</v>
      </c>
      <c r="BH48" s="74">
        <v>0</v>
      </c>
      <c r="BI48" s="81">
        <f t="shared" si="46"/>
        <v>0</v>
      </c>
      <c r="BJ48" s="74">
        <v>213</v>
      </c>
      <c r="BK48" s="81">
        <f t="shared" si="47"/>
        <v>227.14285714285714</v>
      </c>
      <c r="BL48" s="74">
        <v>37</v>
      </c>
      <c r="BM48" s="81">
        <f t="shared" si="48"/>
        <v>49.571428571428569</v>
      </c>
      <c r="BN48" s="74">
        <v>73</v>
      </c>
      <c r="BO48" s="81">
        <f t="shared" si="49"/>
        <v>81.571428571428569</v>
      </c>
      <c r="BP48" s="74">
        <v>50</v>
      </c>
      <c r="BQ48" s="81">
        <f t="shared" si="50"/>
        <v>53</v>
      </c>
    </row>
    <row r="49" spans="1:69" x14ac:dyDescent="0.25">
      <c r="A49" s="85">
        <f t="shared" si="22"/>
        <v>45457</v>
      </c>
      <c r="B49" s="74">
        <f t="shared" si="12"/>
        <v>1119</v>
      </c>
      <c r="C49" s="81">
        <f t="shared" si="23"/>
        <v>1230.75</v>
      </c>
      <c r="D49" s="74">
        <f t="shared" si="13"/>
        <v>40</v>
      </c>
      <c r="E49" s="99">
        <f t="shared" si="24"/>
        <v>51.25</v>
      </c>
      <c r="F49" s="74">
        <v>350.038356174</v>
      </c>
      <c r="G49" s="81">
        <f t="shared" si="25"/>
        <v>375.96712329800005</v>
      </c>
      <c r="H49" s="74">
        <v>350.038356174</v>
      </c>
      <c r="I49" s="99">
        <f t="shared" si="26"/>
        <v>375.96712329800005</v>
      </c>
      <c r="J49" s="74">
        <f t="shared" si="14"/>
        <v>1119</v>
      </c>
      <c r="K49" s="81">
        <f t="shared" si="27"/>
        <v>1230.75</v>
      </c>
      <c r="L49" s="74">
        <f t="shared" si="15"/>
        <v>40</v>
      </c>
      <c r="M49" s="99">
        <f t="shared" si="28"/>
        <v>51.25</v>
      </c>
      <c r="N49" s="74">
        <f t="shared" si="16"/>
        <v>1119</v>
      </c>
      <c r="O49" s="81">
        <f t="shared" si="29"/>
        <v>1230.75</v>
      </c>
      <c r="P49" s="74">
        <f t="shared" si="17"/>
        <v>40</v>
      </c>
      <c r="Q49" s="99">
        <f t="shared" si="30"/>
        <v>51.25</v>
      </c>
      <c r="R49" s="74">
        <v>351</v>
      </c>
      <c r="S49" s="81">
        <f t="shared" si="31"/>
        <v>377</v>
      </c>
      <c r="T49" s="74">
        <v>40</v>
      </c>
      <c r="U49" s="99">
        <f t="shared" si="32"/>
        <v>51.25</v>
      </c>
      <c r="V49" s="74">
        <v>768</v>
      </c>
      <c r="W49" s="81">
        <f t="shared" si="33"/>
        <v>853.75</v>
      </c>
      <c r="X49" s="74">
        <v>0</v>
      </c>
      <c r="Y49" s="99">
        <f t="shared" si="34"/>
        <v>0</v>
      </c>
      <c r="Z49" s="74">
        <v>0</v>
      </c>
      <c r="AA49" s="81">
        <f t="shared" si="35"/>
        <v>0</v>
      </c>
      <c r="AB49" s="74">
        <v>0</v>
      </c>
      <c r="AC49" s="99">
        <f t="shared" si="36"/>
        <v>0</v>
      </c>
      <c r="AD49" s="105">
        <v>0</v>
      </c>
      <c r="AE49" s="81">
        <f t="shared" si="37"/>
        <v>0</v>
      </c>
      <c r="AF49" s="105">
        <v>0</v>
      </c>
      <c r="AG49" s="99">
        <f t="shared" si="38"/>
        <v>0</v>
      </c>
      <c r="AH49" s="74">
        <v>0</v>
      </c>
      <c r="AI49" s="81">
        <f t="shared" si="39"/>
        <v>0</v>
      </c>
      <c r="AJ49" s="74">
        <v>0</v>
      </c>
      <c r="AK49" s="99">
        <f t="shared" si="40"/>
        <v>0</v>
      </c>
      <c r="AL49" s="74">
        <f t="shared" si="18"/>
        <v>187</v>
      </c>
      <c r="AM49" s="81">
        <f t="shared" si="51"/>
        <v>218.28571428571428</v>
      </c>
      <c r="AN49" s="74">
        <f t="shared" si="19"/>
        <v>46</v>
      </c>
      <c r="AO49" s="81">
        <f t="shared" si="41"/>
        <v>49.285714285714285</v>
      </c>
      <c r="AP49" s="74">
        <f t="shared" si="20"/>
        <v>65</v>
      </c>
      <c r="AQ49" s="81">
        <f t="shared" si="42"/>
        <v>78.428571428571431</v>
      </c>
      <c r="AR49" s="74">
        <f t="shared" si="21"/>
        <v>53</v>
      </c>
      <c r="AS49" s="81">
        <f t="shared" si="43"/>
        <v>54.428571428571431</v>
      </c>
      <c r="AT49" s="83">
        <f t="shared" si="8"/>
        <v>0.53276353276353272</v>
      </c>
      <c r="AU49" s="83">
        <f t="shared" si="9"/>
        <v>0.13105413105413105</v>
      </c>
      <c r="AV49" s="83">
        <f t="shared" si="10"/>
        <v>0.18518518518518517</v>
      </c>
      <c r="AW49" s="84">
        <f t="shared" si="11"/>
        <v>0.150997150997151</v>
      </c>
      <c r="AX49" s="83">
        <f t="shared" si="54"/>
        <v>0.54516059118691651</v>
      </c>
      <c r="AY49" s="83">
        <f t="shared" si="54"/>
        <v>0.12255713545678248</v>
      </c>
      <c r="AZ49" s="83">
        <f t="shared" si="54"/>
        <v>0.19504238288803452</v>
      </c>
      <c r="BA49" s="84">
        <f t="shared" si="54"/>
        <v>0.13723989046826637</v>
      </c>
      <c r="BB49" s="74">
        <v>0</v>
      </c>
      <c r="BC49" s="81">
        <f t="shared" si="43"/>
        <v>0</v>
      </c>
      <c r="BD49" s="74">
        <v>0</v>
      </c>
      <c r="BE49" s="81">
        <f t="shared" si="44"/>
        <v>0</v>
      </c>
      <c r="BF49" s="74">
        <v>0</v>
      </c>
      <c r="BG49" s="81">
        <f t="shared" si="45"/>
        <v>0</v>
      </c>
      <c r="BH49" s="74">
        <v>0</v>
      </c>
      <c r="BI49" s="81">
        <f t="shared" si="46"/>
        <v>0</v>
      </c>
      <c r="BJ49" s="74">
        <v>187</v>
      </c>
      <c r="BK49" s="81">
        <f t="shared" si="47"/>
        <v>218.28571428571428</v>
      </c>
      <c r="BL49" s="74">
        <v>46</v>
      </c>
      <c r="BM49" s="81">
        <f t="shared" si="48"/>
        <v>49.285714285714285</v>
      </c>
      <c r="BN49" s="74">
        <v>65</v>
      </c>
      <c r="BO49" s="81">
        <f t="shared" si="49"/>
        <v>78.428571428571431</v>
      </c>
      <c r="BP49" s="74">
        <v>53</v>
      </c>
      <c r="BQ49" s="81">
        <f t="shared" si="50"/>
        <v>54.428571428571431</v>
      </c>
    </row>
    <row r="50" spans="1:69" x14ac:dyDescent="0.25">
      <c r="A50" s="85">
        <f t="shared" si="22"/>
        <v>45464</v>
      </c>
      <c r="B50" s="74">
        <f t="shared" si="12"/>
        <v>1118</v>
      </c>
      <c r="C50" s="81">
        <f t="shared" si="23"/>
        <v>1182.75</v>
      </c>
      <c r="D50" s="74">
        <f t="shared" si="13"/>
        <v>38</v>
      </c>
      <c r="E50" s="99">
        <f t="shared" si="24"/>
        <v>46.5</v>
      </c>
      <c r="F50" s="74">
        <v>381.95068494200001</v>
      </c>
      <c r="G50" s="81">
        <f t="shared" si="25"/>
        <v>366.99178083200002</v>
      </c>
      <c r="H50" s="74">
        <v>380.95342466800003</v>
      </c>
      <c r="I50" s="99">
        <f t="shared" si="26"/>
        <v>366.74246576350004</v>
      </c>
      <c r="J50" s="74">
        <f t="shared" si="14"/>
        <v>1118</v>
      </c>
      <c r="K50" s="81">
        <f t="shared" si="27"/>
        <v>1182.75</v>
      </c>
      <c r="L50" s="74">
        <f t="shared" si="15"/>
        <v>38</v>
      </c>
      <c r="M50" s="99">
        <f t="shared" si="28"/>
        <v>46.5</v>
      </c>
      <c r="N50" s="74">
        <f t="shared" si="16"/>
        <v>1117</v>
      </c>
      <c r="O50" s="81">
        <f t="shared" si="29"/>
        <v>1182.5</v>
      </c>
      <c r="P50" s="74">
        <f t="shared" si="17"/>
        <v>38</v>
      </c>
      <c r="Q50" s="99">
        <f t="shared" si="30"/>
        <v>46.5</v>
      </c>
      <c r="R50" s="74">
        <v>382</v>
      </c>
      <c r="S50" s="81">
        <f t="shared" si="31"/>
        <v>367.75</v>
      </c>
      <c r="T50" s="74">
        <v>38</v>
      </c>
      <c r="U50" s="99">
        <f t="shared" si="32"/>
        <v>46.5</v>
      </c>
      <c r="V50" s="74">
        <v>735</v>
      </c>
      <c r="W50" s="81">
        <f t="shared" si="33"/>
        <v>814.75</v>
      </c>
      <c r="X50" s="74">
        <v>0</v>
      </c>
      <c r="Y50" s="99">
        <f t="shared" si="34"/>
        <v>0</v>
      </c>
      <c r="Z50" s="74">
        <v>1</v>
      </c>
      <c r="AA50" s="81">
        <f t="shared" si="35"/>
        <v>0.25</v>
      </c>
      <c r="AB50" s="74">
        <v>0</v>
      </c>
      <c r="AC50" s="99">
        <f t="shared" si="36"/>
        <v>0</v>
      </c>
      <c r="AD50" s="105">
        <v>0.99726027399999995</v>
      </c>
      <c r="AE50" s="81">
        <f t="shared" si="37"/>
        <v>0.24931506849999999</v>
      </c>
      <c r="AF50" s="105">
        <v>0</v>
      </c>
      <c r="AG50" s="99">
        <f t="shared" si="38"/>
        <v>0</v>
      </c>
      <c r="AH50" s="74">
        <v>1</v>
      </c>
      <c r="AI50" s="81">
        <f t="shared" si="39"/>
        <v>0.25</v>
      </c>
      <c r="AJ50" s="74">
        <v>0</v>
      </c>
      <c r="AK50" s="99">
        <f t="shared" si="40"/>
        <v>0</v>
      </c>
      <c r="AL50" s="74">
        <f t="shared" si="18"/>
        <v>222</v>
      </c>
      <c r="AM50" s="81">
        <f t="shared" si="51"/>
        <v>212</v>
      </c>
      <c r="AN50" s="74">
        <f t="shared" si="19"/>
        <v>46</v>
      </c>
      <c r="AO50" s="81">
        <f t="shared" si="41"/>
        <v>45.142857142857146</v>
      </c>
      <c r="AP50" s="74">
        <f t="shared" si="20"/>
        <v>72</v>
      </c>
      <c r="AQ50" s="81">
        <f t="shared" si="42"/>
        <v>73.714285714285708</v>
      </c>
      <c r="AR50" s="74">
        <f t="shared" si="21"/>
        <v>43</v>
      </c>
      <c r="AS50" s="81">
        <f t="shared" si="43"/>
        <v>52.714285714285715</v>
      </c>
      <c r="AT50" s="83">
        <f t="shared" si="8"/>
        <v>0.57963446475195823</v>
      </c>
      <c r="AU50" s="83">
        <f t="shared" si="9"/>
        <v>0.12010443864229765</v>
      </c>
      <c r="AV50" s="83">
        <f t="shared" si="10"/>
        <v>0.18798955613577023</v>
      </c>
      <c r="AW50" s="84">
        <f t="shared" si="11"/>
        <v>0.1122715404699739</v>
      </c>
      <c r="AX50" s="83">
        <f t="shared" si="54"/>
        <v>0.55211721132969704</v>
      </c>
      <c r="AY50" s="83">
        <f t="shared" si="54"/>
        <v>0.11832911257676856</v>
      </c>
      <c r="AZ50" s="83">
        <f t="shared" si="54"/>
        <v>0.19195791400409412</v>
      </c>
      <c r="BA50" s="84">
        <f t="shared" si="54"/>
        <v>0.13759576208944033</v>
      </c>
      <c r="BB50" s="74">
        <v>1</v>
      </c>
      <c r="BC50" s="81">
        <f t="shared" si="43"/>
        <v>0.14285714285714285</v>
      </c>
      <c r="BD50" s="74">
        <v>0</v>
      </c>
      <c r="BE50" s="81">
        <f t="shared" si="44"/>
        <v>0</v>
      </c>
      <c r="BF50" s="74">
        <v>0</v>
      </c>
      <c r="BG50" s="81">
        <f t="shared" si="45"/>
        <v>0</v>
      </c>
      <c r="BH50" s="74">
        <v>0</v>
      </c>
      <c r="BI50" s="81">
        <f t="shared" si="46"/>
        <v>0</v>
      </c>
      <c r="BJ50" s="74">
        <v>221</v>
      </c>
      <c r="BK50" s="81">
        <f t="shared" si="47"/>
        <v>211.85714285714286</v>
      </c>
      <c r="BL50" s="74">
        <v>46</v>
      </c>
      <c r="BM50" s="81">
        <f t="shared" si="48"/>
        <v>45.142857142857146</v>
      </c>
      <c r="BN50" s="74">
        <v>72</v>
      </c>
      <c r="BO50" s="81">
        <f t="shared" si="49"/>
        <v>73.714285714285708</v>
      </c>
      <c r="BP50" s="74">
        <v>43</v>
      </c>
      <c r="BQ50" s="81">
        <f t="shared" si="50"/>
        <v>52.714285714285715</v>
      </c>
    </row>
    <row r="51" spans="1:69" x14ac:dyDescent="0.25">
      <c r="A51" s="85">
        <f t="shared" si="22"/>
        <v>45471</v>
      </c>
      <c r="B51" s="74">
        <f t="shared" si="12"/>
        <v>1151</v>
      </c>
      <c r="C51" s="81">
        <f t="shared" si="23"/>
        <v>1152</v>
      </c>
      <c r="D51" s="74">
        <f t="shared" si="13"/>
        <v>24</v>
      </c>
      <c r="E51" s="99">
        <f t="shared" si="24"/>
        <v>37.5</v>
      </c>
      <c r="F51" s="74">
        <v>320.12054795400013</v>
      </c>
      <c r="G51" s="81">
        <f t="shared" si="25"/>
        <v>356.02191781800002</v>
      </c>
      <c r="H51" s="74">
        <v>320.12054795400013</v>
      </c>
      <c r="I51" s="99">
        <f t="shared" si="26"/>
        <v>355.77260274950004</v>
      </c>
      <c r="J51" s="74">
        <f t="shared" si="14"/>
        <v>1151</v>
      </c>
      <c r="K51" s="81">
        <f t="shared" si="27"/>
        <v>1152</v>
      </c>
      <c r="L51" s="74">
        <f t="shared" si="15"/>
        <v>24</v>
      </c>
      <c r="M51" s="99">
        <f t="shared" si="28"/>
        <v>37.5</v>
      </c>
      <c r="N51" s="74">
        <f t="shared" si="16"/>
        <v>1151</v>
      </c>
      <c r="O51" s="81">
        <f t="shared" si="29"/>
        <v>1151.75</v>
      </c>
      <c r="P51" s="74">
        <f t="shared" si="17"/>
        <v>24</v>
      </c>
      <c r="Q51" s="99">
        <f t="shared" si="30"/>
        <v>37.5</v>
      </c>
      <c r="R51" s="74">
        <v>321</v>
      </c>
      <c r="S51" s="81">
        <f t="shared" si="31"/>
        <v>356.75</v>
      </c>
      <c r="T51" s="74">
        <v>24</v>
      </c>
      <c r="U51" s="99">
        <f t="shared" si="32"/>
        <v>37.5</v>
      </c>
      <c r="V51" s="74">
        <v>830</v>
      </c>
      <c r="W51" s="81">
        <f t="shared" si="33"/>
        <v>795</v>
      </c>
      <c r="X51" s="74">
        <v>0</v>
      </c>
      <c r="Y51" s="99">
        <f t="shared" si="34"/>
        <v>0</v>
      </c>
      <c r="Z51" s="74">
        <v>0</v>
      </c>
      <c r="AA51" s="81">
        <f t="shared" si="35"/>
        <v>0.25</v>
      </c>
      <c r="AB51" s="74">
        <v>0</v>
      </c>
      <c r="AC51" s="99">
        <f t="shared" si="36"/>
        <v>0</v>
      </c>
      <c r="AD51" s="105">
        <v>0</v>
      </c>
      <c r="AE51" s="81">
        <f t="shared" si="37"/>
        <v>0.24931506849999999</v>
      </c>
      <c r="AF51" s="105">
        <v>0</v>
      </c>
      <c r="AG51" s="99">
        <f t="shared" si="38"/>
        <v>0</v>
      </c>
      <c r="AH51" s="74">
        <v>0</v>
      </c>
      <c r="AI51" s="81">
        <f t="shared" si="39"/>
        <v>0.25</v>
      </c>
      <c r="AJ51" s="74">
        <v>0</v>
      </c>
      <c r="AK51" s="99">
        <f t="shared" si="40"/>
        <v>0</v>
      </c>
      <c r="AL51" s="74">
        <f t="shared" si="18"/>
        <v>165</v>
      </c>
      <c r="AM51" s="81">
        <f t="shared" si="51"/>
        <v>202.42857142857142</v>
      </c>
      <c r="AN51" s="74">
        <f t="shared" si="19"/>
        <v>53</v>
      </c>
      <c r="AO51" s="81">
        <f t="shared" si="41"/>
        <v>47.571428571428569</v>
      </c>
      <c r="AP51" s="74">
        <f t="shared" si="20"/>
        <v>55</v>
      </c>
      <c r="AQ51" s="81">
        <f t="shared" si="42"/>
        <v>70.142857142857139</v>
      </c>
      <c r="AR51" s="74">
        <f t="shared" si="21"/>
        <v>48</v>
      </c>
      <c r="AS51" s="81">
        <f t="shared" si="43"/>
        <v>51.285714285714285</v>
      </c>
      <c r="AT51" s="83">
        <f t="shared" si="8"/>
        <v>0.51401869158878499</v>
      </c>
      <c r="AU51" s="83">
        <f t="shared" si="9"/>
        <v>0.16510903426791276</v>
      </c>
      <c r="AV51" s="83">
        <f t="shared" si="10"/>
        <v>0.17133956386292834</v>
      </c>
      <c r="AW51" s="84">
        <f t="shared" si="11"/>
        <v>0.14953271028037382</v>
      </c>
      <c r="AX51" s="83">
        <f t="shared" si="54"/>
        <v>0.54391579992401318</v>
      </c>
      <c r="AY51" s="83">
        <f t="shared" si="54"/>
        <v>0.1292489816523395</v>
      </c>
      <c r="AZ51" s="83">
        <f t="shared" si="54"/>
        <v>0.18828580384517396</v>
      </c>
      <c r="BA51" s="84">
        <f t="shared" si="54"/>
        <v>0.13854941457847331</v>
      </c>
      <c r="BB51" s="74">
        <v>0</v>
      </c>
      <c r="BC51" s="81">
        <f t="shared" si="43"/>
        <v>0.14285714285714285</v>
      </c>
      <c r="BD51" s="74">
        <v>0</v>
      </c>
      <c r="BE51" s="81">
        <f t="shared" si="44"/>
        <v>0</v>
      </c>
      <c r="BF51" s="74">
        <v>0</v>
      </c>
      <c r="BG51" s="81">
        <f t="shared" si="45"/>
        <v>0</v>
      </c>
      <c r="BH51" s="74">
        <v>0</v>
      </c>
      <c r="BI51" s="81">
        <f t="shared" si="46"/>
        <v>0</v>
      </c>
      <c r="BJ51" s="74">
        <v>165</v>
      </c>
      <c r="BK51" s="81">
        <f t="shared" si="47"/>
        <v>202.28571428571428</v>
      </c>
      <c r="BL51" s="74">
        <v>53</v>
      </c>
      <c r="BM51" s="81">
        <f t="shared" si="48"/>
        <v>47.571428571428569</v>
      </c>
      <c r="BN51" s="74">
        <v>55</v>
      </c>
      <c r="BO51" s="81">
        <f t="shared" si="49"/>
        <v>70.142857142857139</v>
      </c>
      <c r="BP51" s="74">
        <v>48</v>
      </c>
      <c r="BQ51" s="81">
        <f t="shared" si="50"/>
        <v>51.285714285714285</v>
      </c>
    </row>
    <row r="52" spans="1:69" x14ac:dyDescent="0.25">
      <c r="A52" s="85">
        <f t="shared" si="22"/>
        <v>45478</v>
      </c>
      <c r="B52" s="74">
        <f t="shared" si="12"/>
        <v>1118</v>
      </c>
      <c r="C52" s="81">
        <f t="shared" si="23"/>
        <v>1126.5</v>
      </c>
      <c r="D52" s="74">
        <f t="shared" si="13"/>
        <v>36</v>
      </c>
      <c r="E52" s="99">
        <f t="shared" si="24"/>
        <v>34.5</v>
      </c>
      <c r="F52" s="74">
        <v>333.08493151599998</v>
      </c>
      <c r="G52" s="81">
        <f t="shared" si="25"/>
        <v>346.29863014650005</v>
      </c>
      <c r="H52" s="74">
        <v>333.08493151599998</v>
      </c>
      <c r="I52" s="99">
        <f t="shared" si="26"/>
        <v>346.04931507800006</v>
      </c>
      <c r="J52" s="74">
        <f t="shared" si="14"/>
        <v>1118</v>
      </c>
      <c r="K52" s="81">
        <f t="shared" si="27"/>
        <v>1126.5</v>
      </c>
      <c r="L52" s="74">
        <f t="shared" si="15"/>
        <v>36</v>
      </c>
      <c r="M52" s="99">
        <f t="shared" si="28"/>
        <v>34.5</v>
      </c>
      <c r="N52" s="74">
        <f t="shared" si="16"/>
        <v>1118</v>
      </c>
      <c r="O52" s="81">
        <f t="shared" si="29"/>
        <v>1126.25</v>
      </c>
      <c r="P52" s="74">
        <f t="shared" si="17"/>
        <v>36</v>
      </c>
      <c r="Q52" s="99">
        <f t="shared" si="30"/>
        <v>34.5</v>
      </c>
      <c r="R52" s="74">
        <v>334</v>
      </c>
      <c r="S52" s="81">
        <f t="shared" si="31"/>
        <v>347</v>
      </c>
      <c r="T52" s="74">
        <v>36</v>
      </c>
      <c r="U52" s="99">
        <f t="shared" si="32"/>
        <v>34.5</v>
      </c>
      <c r="V52" s="74">
        <v>784</v>
      </c>
      <c r="W52" s="81">
        <f t="shared" si="33"/>
        <v>779.25</v>
      </c>
      <c r="X52" s="74">
        <v>0</v>
      </c>
      <c r="Y52" s="99">
        <f t="shared" si="34"/>
        <v>0</v>
      </c>
      <c r="Z52" s="74">
        <v>0</v>
      </c>
      <c r="AA52" s="81">
        <f t="shared" si="35"/>
        <v>0.25</v>
      </c>
      <c r="AB52" s="74">
        <v>0</v>
      </c>
      <c r="AC52" s="99">
        <f t="shared" si="36"/>
        <v>0</v>
      </c>
      <c r="AD52" s="105">
        <v>0</v>
      </c>
      <c r="AE52" s="81">
        <f t="shared" si="37"/>
        <v>0.24931506849999999</v>
      </c>
      <c r="AF52" s="105">
        <v>0</v>
      </c>
      <c r="AG52" s="99">
        <f t="shared" si="38"/>
        <v>0</v>
      </c>
      <c r="AH52" s="74">
        <v>0</v>
      </c>
      <c r="AI52" s="81">
        <f t="shared" si="39"/>
        <v>0.25</v>
      </c>
      <c r="AJ52" s="74">
        <v>0</v>
      </c>
      <c r="AK52" s="99">
        <f t="shared" si="40"/>
        <v>0</v>
      </c>
      <c r="AL52" s="74">
        <f t="shared" si="18"/>
        <v>180</v>
      </c>
      <c r="AM52" s="81">
        <f t="shared" si="51"/>
        <v>198.71428571428572</v>
      </c>
      <c r="AN52" s="74">
        <f t="shared" si="19"/>
        <v>49</v>
      </c>
      <c r="AO52" s="81">
        <f t="shared" si="41"/>
        <v>48</v>
      </c>
      <c r="AP52" s="74">
        <f t="shared" si="20"/>
        <v>64</v>
      </c>
      <c r="AQ52" s="81">
        <f t="shared" si="42"/>
        <v>67.714285714285708</v>
      </c>
      <c r="AR52" s="74">
        <f t="shared" si="21"/>
        <v>41</v>
      </c>
      <c r="AS52" s="81">
        <f t="shared" si="43"/>
        <v>49.285714285714285</v>
      </c>
      <c r="AT52" s="83">
        <f t="shared" si="8"/>
        <v>0.53892215568862278</v>
      </c>
      <c r="AU52" s="83">
        <f t="shared" si="9"/>
        <v>0.1467065868263473</v>
      </c>
      <c r="AV52" s="83">
        <f t="shared" si="10"/>
        <v>0.19161676646706588</v>
      </c>
      <c r="AW52" s="84">
        <f t="shared" si="11"/>
        <v>0.12275449101796407</v>
      </c>
      <c r="AX52" s="83">
        <f t="shared" si="54"/>
        <v>0.54505784572930982</v>
      </c>
      <c r="AY52" s="83">
        <f t="shared" si="54"/>
        <v>0.133270393908828</v>
      </c>
      <c r="AZ52" s="83">
        <f t="shared" si="54"/>
        <v>0.18583635811219221</v>
      </c>
      <c r="BA52" s="84">
        <f t="shared" si="54"/>
        <v>0.13583540224966995</v>
      </c>
      <c r="BB52" s="74">
        <v>0</v>
      </c>
      <c r="BC52" s="81">
        <f t="shared" si="43"/>
        <v>0.14285714285714285</v>
      </c>
      <c r="BD52" s="74">
        <v>0</v>
      </c>
      <c r="BE52" s="81">
        <f t="shared" si="44"/>
        <v>0</v>
      </c>
      <c r="BF52" s="74">
        <v>0</v>
      </c>
      <c r="BG52" s="81">
        <f t="shared" si="45"/>
        <v>0</v>
      </c>
      <c r="BH52" s="74">
        <v>0</v>
      </c>
      <c r="BI52" s="81">
        <f t="shared" si="46"/>
        <v>0</v>
      </c>
      <c r="BJ52" s="74">
        <v>180</v>
      </c>
      <c r="BK52" s="81">
        <f t="shared" si="47"/>
        <v>198.57142857142858</v>
      </c>
      <c r="BL52" s="74">
        <v>49</v>
      </c>
      <c r="BM52" s="81">
        <f t="shared" si="48"/>
        <v>48</v>
      </c>
      <c r="BN52" s="74">
        <v>64</v>
      </c>
      <c r="BO52" s="81">
        <f t="shared" si="49"/>
        <v>67.714285714285708</v>
      </c>
      <c r="BP52" s="74">
        <v>41</v>
      </c>
      <c r="BQ52" s="81">
        <f t="shared" si="50"/>
        <v>49.285714285714285</v>
      </c>
    </row>
    <row r="53" spans="1:69" x14ac:dyDescent="0.25">
      <c r="A53" s="85">
        <f t="shared" si="22"/>
        <v>45485</v>
      </c>
      <c r="B53" s="74">
        <f t="shared" si="12"/>
        <v>960</v>
      </c>
      <c r="C53" s="81">
        <f t="shared" si="23"/>
        <v>1086.75</v>
      </c>
      <c r="D53" s="74">
        <f t="shared" si="13"/>
        <v>19</v>
      </c>
      <c r="E53" s="99">
        <f t="shared" si="24"/>
        <v>29.25</v>
      </c>
      <c r="F53" s="74">
        <v>299.17808220000018</v>
      </c>
      <c r="G53" s="81">
        <f t="shared" si="25"/>
        <v>333.58356165300006</v>
      </c>
      <c r="H53" s="74">
        <v>299.17808220000018</v>
      </c>
      <c r="I53" s="99">
        <f t="shared" si="26"/>
        <v>333.33424658450008</v>
      </c>
      <c r="J53" s="74">
        <f t="shared" si="14"/>
        <v>960</v>
      </c>
      <c r="K53" s="81">
        <f t="shared" si="27"/>
        <v>1086.75</v>
      </c>
      <c r="L53" s="74">
        <f t="shared" si="15"/>
        <v>19</v>
      </c>
      <c r="M53" s="99">
        <f t="shared" si="28"/>
        <v>29.25</v>
      </c>
      <c r="N53" s="74">
        <f t="shared" si="16"/>
        <v>960</v>
      </c>
      <c r="O53" s="81">
        <f t="shared" si="29"/>
        <v>1086.5</v>
      </c>
      <c r="P53" s="74">
        <f t="shared" si="17"/>
        <v>19</v>
      </c>
      <c r="Q53" s="99">
        <f t="shared" si="30"/>
        <v>29.25</v>
      </c>
      <c r="R53" s="74">
        <v>300</v>
      </c>
      <c r="S53" s="81">
        <f t="shared" si="31"/>
        <v>334.25</v>
      </c>
      <c r="T53" s="74">
        <v>19</v>
      </c>
      <c r="U53" s="99">
        <f t="shared" si="32"/>
        <v>29.25</v>
      </c>
      <c r="V53" s="74">
        <v>660</v>
      </c>
      <c r="W53" s="81">
        <f t="shared" si="33"/>
        <v>752.25</v>
      </c>
      <c r="X53" s="74">
        <v>0</v>
      </c>
      <c r="Y53" s="99">
        <f t="shared" si="34"/>
        <v>0</v>
      </c>
      <c r="Z53" s="74">
        <v>0</v>
      </c>
      <c r="AA53" s="81">
        <f t="shared" si="35"/>
        <v>0.25</v>
      </c>
      <c r="AB53" s="74">
        <v>0</v>
      </c>
      <c r="AC53" s="99">
        <f t="shared" si="36"/>
        <v>0</v>
      </c>
      <c r="AD53" s="105">
        <v>0</v>
      </c>
      <c r="AE53" s="81">
        <f t="shared" si="37"/>
        <v>0.24931506849999999</v>
      </c>
      <c r="AF53" s="105">
        <v>0</v>
      </c>
      <c r="AG53" s="99">
        <f t="shared" si="38"/>
        <v>0</v>
      </c>
      <c r="AH53" s="74">
        <v>0</v>
      </c>
      <c r="AI53" s="81">
        <f t="shared" si="39"/>
        <v>0.25</v>
      </c>
      <c r="AJ53" s="74">
        <v>0</v>
      </c>
      <c r="AK53" s="99">
        <f t="shared" si="40"/>
        <v>0</v>
      </c>
      <c r="AL53" s="74">
        <f t="shared" si="18"/>
        <v>164</v>
      </c>
      <c r="AM53" s="81">
        <f t="shared" si="51"/>
        <v>188.71428571428572</v>
      </c>
      <c r="AN53" s="74">
        <f t="shared" si="19"/>
        <v>40</v>
      </c>
      <c r="AO53" s="81">
        <f t="shared" si="41"/>
        <v>46.857142857142854</v>
      </c>
      <c r="AP53" s="74">
        <f t="shared" si="20"/>
        <v>54</v>
      </c>
      <c r="AQ53" s="81">
        <f t="shared" si="42"/>
        <v>64</v>
      </c>
      <c r="AR53" s="74">
        <f t="shared" si="21"/>
        <v>42</v>
      </c>
      <c r="AS53" s="81">
        <f t="shared" si="43"/>
        <v>47.142857142857146</v>
      </c>
      <c r="AT53" s="83">
        <f t="shared" si="8"/>
        <v>0.54666666666666663</v>
      </c>
      <c r="AU53" s="83">
        <f t="shared" si="9"/>
        <v>0.13333333333333333</v>
      </c>
      <c r="AV53" s="83">
        <f t="shared" si="10"/>
        <v>0.18</v>
      </c>
      <c r="AW53" s="84">
        <f t="shared" si="11"/>
        <v>0.14000000000000001</v>
      </c>
      <c r="AX53" s="83">
        <f t="shared" si="54"/>
        <v>0.54337129043893595</v>
      </c>
      <c r="AY53" s="83">
        <f t="shared" si="54"/>
        <v>0.13595251687734713</v>
      </c>
      <c r="AZ53" s="83">
        <f t="shared" si="54"/>
        <v>0.18427481702797807</v>
      </c>
      <c r="BA53" s="84">
        <f t="shared" si="54"/>
        <v>0.13640137565573882</v>
      </c>
      <c r="BB53" s="74">
        <v>0</v>
      </c>
      <c r="BC53" s="81">
        <f t="shared" si="43"/>
        <v>0.14285714285714285</v>
      </c>
      <c r="BD53" s="74">
        <v>0</v>
      </c>
      <c r="BE53" s="81">
        <f t="shared" si="44"/>
        <v>0</v>
      </c>
      <c r="BF53" s="74">
        <v>0</v>
      </c>
      <c r="BG53" s="81">
        <f t="shared" si="45"/>
        <v>0</v>
      </c>
      <c r="BH53" s="74">
        <v>0</v>
      </c>
      <c r="BI53" s="81">
        <f t="shared" si="46"/>
        <v>0</v>
      </c>
      <c r="BJ53" s="74">
        <v>164</v>
      </c>
      <c r="BK53" s="81">
        <f t="shared" si="47"/>
        <v>188.57142857142858</v>
      </c>
      <c r="BL53" s="74">
        <v>40</v>
      </c>
      <c r="BM53" s="81">
        <f t="shared" si="48"/>
        <v>46.857142857142854</v>
      </c>
      <c r="BN53" s="74">
        <v>54</v>
      </c>
      <c r="BO53" s="81">
        <f t="shared" si="49"/>
        <v>64</v>
      </c>
      <c r="BP53" s="74">
        <v>42</v>
      </c>
      <c r="BQ53" s="81">
        <f t="shared" si="50"/>
        <v>47.142857142857146</v>
      </c>
    </row>
    <row r="54" spans="1:69" x14ac:dyDescent="0.25">
      <c r="A54" s="85">
        <f t="shared" si="22"/>
        <v>45492</v>
      </c>
      <c r="B54" s="74">
        <f t="shared" si="12"/>
        <v>888</v>
      </c>
      <c r="C54" s="81">
        <f t="shared" si="23"/>
        <v>1029.25</v>
      </c>
      <c r="D54" s="74">
        <f t="shared" si="13"/>
        <v>31</v>
      </c>
      <c r="E54" s="99">
        <f t="shared" si="24"/>
        <v>27.5</v>
      </c>
      <c r="F54" s="74">
        <v>259.28767124000001</v>
      </c>
      <c r="G54" s="81">
        <f t="shared" si="25"/>
        <v>302.91780822750007</v>
      </c>
      <c r="H54" s="74">
        <v>259.28767124000001</v>
      </c>
      <c r="I54" s="99">
        <f t="shared" si="26"/>
        <v>302.91780822750007</v>
      </c>
      <c r="J54" s="74">
        <f t="shared" si="14"/>
        <v>888</v>
      </c>
      <c r="K54" s="81">
        <f t="shared" si="27"/>
        <v>1029.25</v>
      </c>
      <c r="L54" s="74">
        <f t="shared" si="15"/>
        <v>31</v>
      </c>
      <c r="M54" s="99">
        <f t="shared" si="28"/>
        <v>27.5</v>
      </c>
      <c r="N54" s="74">
        <f t="shared" si="16"/>
        <v>888</v>
      </c>
      <c r="O54" s="81">
        <f t="shared" si="29"/>
        <v>1029.25</v>
      </c>
      <c r="P54" s="74">
        <f t="shared" si="17"/>
        <v>31</v>
      </c>
      <c r="Q54" s="99">
        <f t="shared" si="30"/>
        <v>27.5</v>
      </c>
      <c r="R54" s="74">
        <v>260</v>
      </c>
      <c r="S54" s="81">
        <f t="shared" si="31"/>
        <v>303.75</v>
      </c>
      <c r="T54" s="74">
        <v>31</v>
      </c>
      <c r="U54" s="99">
        <f t="shared" si="32"/>
        <v>27.5</v>
      </c>
      <c r="V54" s="74">
        <v>628</v>
      </c>
      <c r="W54" s="81">
        <f t="shared" si="33"/>
        <v>725.5</v>
      </c>
      <c r="X54" s="74">
        <v>0</v>
      </c>
      <c r="Y54" s="99">
        <f t="shared" si="34"/>
        <v>0</v>
      </c>
      <c r="Z54" s="74">
        <v>0</v>
      </c>
      <c r="AA54" s="81">
        <f t="shared" si="35"/>
        <v>0</v>
      </c>
      <c r="AB54" s="74">
        <v>0</v>
      </c>
      <c r="AC54" s="99">
        <f t="shared" si="36"/>
        <v>0</v>
      </c>
      <c r="AD54" s="105">
        <v>0</v>
      </c>
      <c r="AE54" s="81">
        <f t="shared" si="37"/>
        <v>0</v>
      </c>
      <c r="AF54" s="105">
        <v>0</v>
      </c>
      <c r="AG54" s="99">
        <f t="shared" si="38"/>
        <v>0</v>
      </c>
      <c r="AH54" s="74">
        <v>0</v>
      </c>
      <c r="AI54" s="81">
        <f t="shared" si="39"/>
        <v>0</v>
      </c>
      <c r="AJ54" s="74">
        <v>0</v>
      </c>
      <c r="AK54" s="99">
        <f t="shared" si="40"/>
        <v>0</v>
      </c>
      <c r="AL54" s="74">
        <f t="shared" si="18"/>
        <v>146</v>
      </c>
      <c r="AM54" s="81">
        <f t="shared" si="51"/>
        <v>182.42857142857142</v>
      </c>
      <c r="AN54" s="74">
        <f t="shared" si="19"/>
        <v>27</v>
      </c>
      <c r="AO54" s="81">
        <f t="shared" si="41"/>
        <v>42.571428571428569</v>
      </c>
      <c r="AP54" s="74">
        <f t="shared" si="20"/>
        <v>46</v>
      </c>
      <c r="AQ54" s="81">
        <f t="shared" si="42"/>
        <v>61.285714285714285</v>
      </c>
      <c r="AR54" s="74">
        <f t="shared" si="21"/>
        <v>41</v>
      </c>
      <c r="AS54" s="81">
        <f t="shared" si="43"/>
        <v>45.428571428571431</v>
      </c>
      <c r="AT54" s="83">
        <f t="shared" si="8"/>
        <v>0.56153846153846154</v>
      </c>
      <c r="AU54" s="83">
        <f t="shared" si="9"/>
        <v>0.10384615384615385</v>
      </c>
      <c r="AV54" s="83">
        <f t="shared" si="10"/>
        <v>0.17692307692307693</v>
      </c>
      <c r="AW54" s="84">
        <f t="shared" si="11"/>
        <v>0.15769230769230769</v>
      </c>
      <c r="AX54" s="83">
        <f t="shared" si="54"/>
        <v>0.54922707848650476</v>
      </c>
      <c r="AY54" s="83">
        <f t="shared" si="54"/>
        <v>0.12847848406084855</v>
      </c>
      <c r="AZ54" s="83">
        <f t="shared" si="54"/>
        <v>0.18410922919115738</v>
      </c>
      <c r="BA54" s="84">
        <f t="shared" si="54"/>
        <v>0.13818520826148925</v>
      </c>
      <c r="BB54" s="74">
        <v>0</v>
      </c>
      <c r="BC54" s="81">
        <f t="shared" si="43"/>
        <v>0.14285714285714285</v>
      </c>
      <c r="BD54" s="74">
        <v>0</v>
      </c>
      <c r="BE54" s="81">
        <f t="shared" si="44"/>
        <v>0</v>
      </c>
      <c r="BF54" s="74">
        <v>0</v>
      </c>
      <c r="BG54" s="81">
        <f t="shared" si="45"/>
        <v>0</v>
      </c>
      <c r="BH54" s="74">
        <v>0</v>
      </c>
      <c r="BI54" s="81">
        <f t="shared" si="46"/>
        <v>0</v>
      </c>
      <c r="BJ54" s="74">
        <v>146</v>
      </c>
      <c r="BK54" s="81">
        <f t="shared" si="47"/>
        <v>182.28571428571428</v>
      </c>
      <c r="BL54" s="74">
        <v>27</v>
      </c>
      <c r="BM54" s="81">
        <f t="shared" si="48"/>
        <v>42.571428571428569</v>
      </c>
      <c r="BN54" s="74">
        <v>46</v>
      </c>
      <c r="BO54" s="81">
        <f t="shared" si="49"/>
        <v>61.285714285714285</v>
      </c>
      <c r="BP54" s="74">
        <v>41</v>
      </c>
      <c r="BQ54" s="81">
        <f t="shared" si="50"/>
        <v>45.428571428571431</v>
      </c>
    </row>
    <row r="55" spans="1:69" x14ac:dyDescent="0.25">
      <c r="A55" s="85">
        <f t="shared" si="22"/>
        <v>45499</v>
      </c>
      <c r="B55" s="74">
        <f t="shared" si="12"/>
        <v>908</v>
      </c>
      <c r="C55" s="81">
        <f t="shared" si="23"/>
        <v>968.5</v>
      </c>
      <c r="D55" s="74">
        <f t="shared" si="13"/>
        <v>46</v>
      </c>
      <c r="E55" s="99">
        <f t="shared" si="24"/>
        <v>33</v>
      </c>
      <c r="F55" s="74">
        <v>251.30958904800008</v>
      </c>
      <c r="G55" s="81">
        <f t="shared" si="25"/>
        <v>285.71506850100008</v>
      </c>
      <c r="H55" s="74">
        <v>251.30958904800008</v>
      </c>
      <c r="I55" s="99">
        <f t="shared" si="26"/>
        <v>285.71506850100008</v>
      </c>
      <c r="J55" s="74">
        <f t="shared" si="14"/>
        <v>908</v>
      </c>
      <c r="K55" s="81">
        <f t="shared" si="27"/>
        <v>968.5</v>
      </c>
      <c r="L55" s="74">
        <f t="shared" si="15"/>
        <v>46</v>
      </c>
      <c r="M55" s="99">
        <f t="shared" si="28"/>
        <v>33</v>
      </c>
      <c r="N55" s="74">
        <f t="shared" si="16"/>
        <v>908</v>
      </c>
      <c r="O55" s="81">
        <f t="shared" si="29"/>
        <v>968.5</v>
      </c>
      <c r="P55" s="74">
        <f t="shared" si="17"/>
        <v>46</v>
      </c>
      <c r="Q55" s="99">
        <f t="shared" si="30"/>
        <v>33</v>
      </c>
      <c r="R55" s="74">
        <v>252</v>
      </c>
      <c r="S55" s="81">
        <f t="shared" si="31"/>
        <v>286.5</v>
      </c>
      <c r="T55" s="74">
        <v>46</v>
      </c>
      <c r="U55" s="99">
        <f t="shared" si="32"/>
        <v>33</v>
      </c>
      <c r="V55" s="74">
        <v>656</v>
      </c>
      <c r="W55" s="81">
        <f t="shared" si="33"/>
        <v>682</v>
      </c>
      <c r="X55" s="74">
        <v>0</v>
      </c>
      <c r="Y55" s="99">
        <f t="shared" si="34"/>
        <v>0</v>
      </c>
      <c r="Z55" s="74">
        <v>0</v>
      </c>
      <c r="AA55" s="81">
        <f t="shared" si="35"/>
        <v>0</v>
      </c>
      <c r="AB55" s="74">
        <v>0</v>
      </c>
      <c r="AC55" s="99">
        <f t="shared" si="36"/>
        <v>0</v>
      </c>
      <c r="AD55" s="105">
        <v>0</v>
      </c>
      <c r="AE55" s="81">
        <f t="shared" si="37"/>
        <v>0</v>
      </c>
      <c r="AF55" s="105">
        <v>0</v>
      </c>
      <c r="AG55" s="99">
        <f t="shared" si="38"/>
        <v>0</v>
      </c>
      <c r="AH55" s="74">
        <v>0</v>
      </c>
      <c r="AI55" s="81">
        <f t="shared" si="39"/>
        <v>0</v>
      </c>
      <c r="AJ55" s="74">
        <v>0</v>
      </c>
      <c r="AK55" s="99">
        <f t="shared" si="40"/>
        <v>0</v>
      </c>
      <c r="AL55" s="74">
        <f t="shared" si="18"/>
        <v>147</v>
      </c>
      <c r="AM55" s="81">
        <f t="shared" si="51"/>
        <v>173</v>
      </c>
      <c r="AN55" s="74">
        <f t="shared" si="19"/>
        <v>21</v>
      </c>
      <c r="AO55" s="81">
        <f t="shared" si="41"/>
        <v>40.285714285714285</v>
      </c>
      <c r="AP55" s="74">
        <f t="shared" si="20"/>
        <v>50</v>
      </c>
      <c r="AQ55" s="81">
        <f t="shared" si="42"/>
        <v>58</v>
      </c>
      <c r="AR55" s="74">
        <f t="shared" si="21"/>
        <v>34</v>
      </c>
      <c r="AS55" s="81">
        <f t="shared" si="43"/>
        <v>43.142857142857146</v>
      </c>
      <c r="AT55" s="83">
        <f t="shared" si="8"/>
        <v>0.58333333333333337</v>
      </c>
      <c r="AU55" s="83">
        <f t="shared" si="9"/>
        <v>8.3333333333333329E-2</v>
      </c>
      <c r="AV55" s="83">
        <f t="shared" si="10"/>
        <v>0.1984126984126984</v>
      </c>
      <c r="AW55" s="84">
        <f t="shared" si="11"/>
        <v>0.13492063492063491</v>
      </c>
      <c r="AX55" s="83">
        <f t="shared" si="54"/>
        <v>0.55098247233305153</v>
      </c>
      <c r="AY55" s="83">
        <f t="shared" si="54"/>
        <v>0.12621243018621561</v>
      </c>
      <c r="AZ55" s="83">
        <f t="shared" si="54"/>
        <v>0.18449526385524642</v>
      </c>
      <c r="BA55" s="84">
        <f t="shared" si="54"/>
        <v>0.13830983362548649</v>
      </c>
      <c r="BB55" s="74">
        <v>0</v>
      </c>
      <c r="BC55" s="81">
        <f t="shared" si="43"/>
        <v>0.14285714285714285</v>
      </c>
      <c r="BD55" s="74">
        <v>0</v>
      </c>
      <c r="BE55" s="81">
        <f t="shared" si="44"/>
        <v>0</v>
      </c>
      <c r="BF55" s="74">
        <v>0</v>
      </c>
      <c r="BG55" s="81">
        <f t="shared" si="45"/>
        <v>0</v>
      </c>
      <c r="BH55" s="74">
        <v>0</v>
      </c>
      <c r="BI55" s="81">
        <f t="shared" si="46"/>
        <v>0</v>
      </c>
      <c r="BJ55" s="74">
        <v>147</v>
      </c>
      <c r="BK55" s="81">
        <f t="shared" si="47"/>
        <v>172.85714285714286</v>
      </c>
      <c r="BL55" s="74">
        <v>21</v>
      </c>
      <c r="BM55" s="81">
        <f t="shared" si="48"/>
        <v>40.285714285714285</v>
      </c>
      <c r="BN55" s="74">
        <v>50</v>
      </c>
      <c r="BO55" s="81">
        <f t="shared" si="49"/>
        <v>58</v>
      </c>
      <c r="BP55" s="74">
        <v>34</v>
      </c>
      <c r="BQ55" s="81">
        <f t="shared" si="50"/>
        <v>43.142857142857146</v>
      </c>
    </row>
    <row r="56" spans="1:69" x14ac:dyDescent="0.25">
      <c r="A56" s="85">
        <f t="shared" si="22"/>
        <v>45506</v>
      </c>
      <c r="B56" s="74">
        <f t="shared" si="12"/>
        <v>1004</v>
      </c>
      <c r="C56" s="81">
        <f t="shared" si="23"/>
        <v>940</v>
      </c>
      <c r="D56" s="74">
        <f t="shared" si="13"/>
        <v>32</v>
      </c>
      <c r="E56" s="99">
        <f t="shared" si="24"/>
        <v>32</v>
      </c>
      <c r="F56" s="74">
        <v>285.21643836400006</v>
      </c>
      <c r="G56" s="81">
        <f t="shared" si="25"/>
        <v>273.74794521300009</v>
      </c>
      <c r="H56" s="74">
        <v>285.21643836400006</v>
      </c>
      <c r="I56" s="99">
        <f t="shared" si="26"/>
        <v>273.74794521300009</v>
      </c>
      <c r="J56" s="74">
        <f t="shared" si="14"/>
        <v>1004</v>
      </c>
      <c r="K56" s="81">
        <f t="shared" si="27"/>
        <v>940</v>
      </c>
      <c r="L56" s="74">
        <f t="shared" si="15"/>
        <v>32</v>
      </c>
      <c r="M56" s="99">
        <f t="shared" si="28"/>
        <v>32</v>
      </c>
      <c r="N56" s="74">
        <f t="shared" si="16"/>
        <v>1004</v>
      </c>
      <c r="O56" s="81">
        <f t="shared" si="29"/>
        <v>940</v>
      </c>
      <c r="P56" s="74">
        <f t="shared" si="17"/>
        <v>32</v>
      </c>
      <c r="Q56" s="99">
        <f t="shared" si="30"/>
        <v>32</v>
      </c>
      <c r="R56" s="74">
        <v>286</v>
      </c>
      <c r="S56" s="81">
        <f t="shared" si="31"/>
        <v>274.5</v>
      </c>
      <c r="T56" s="74">
        <v>32</v>
      </c>
      <c r="U56" s="99">
        <f t="shared" si="32"/>
        <v>32</v>
      </c>
      <c r="V56" s="74">
        <v>718</v>
      </c>
      <c r="W56" s="81">
        <f t="shared" si="33"/>
        <v>665.5</v>
      </c>
      <c r="X56" s="74">
        <v>0</v>
      </c>
      <c r="Y56" s="99">
        <f t="shared" si="34"/>
        <v>0</v>
      </c>
      <c r="Z56" s="74">
        <v>0</v>
      </c>
      <c r="AA56" s="81">
        <f t="shared" si="35"/>
        <v>0</v>
      </c>
      <c r="AB56" s="74">
        <v>0</v>
      </c>
      <c r="AC56" s="99">
        <f t="shared" si="36"/>
        <v>0</v>
      </c>
      <c r="AD56" s="105">
        <v>0</v>
      </c>
      <c r="AE56" s="81">
        <f t="shared" si="37"/>
        <v>0</v>
      </c>
      <c r="AF56" s="105">
        <v>0</v>
      </c>
      <c r="AG56" s="99">
        <f t="shared" si="38"/>
        <v>0</v>
      </c>
      <c r="AH56" s="74">
        <v>0</v>
      </c>
      <c r="AI56" s="81">
        <f t="shared" si="39"/>
        <v>0</v>
      </c>
      <c r="AJ56" s="74">
        <v>0</v>
      </c>
      <c r="AK56" s="99">
        <f t="shared" si="40"/>
        <v>0</v>
      </c>
      <c r="AL56" s="74">
        <f t="shared" si="18"/>
        <v>159</v>
      </c>
      <c r="AM56" s="81">
        <f t="shared" si="51"/>
        <v>169</v>
      </c>
      <c r="AN56" s="74">
        <f t="shared" si="19"/>
        <v>33</v>
      </c>
      <c r="AO56" s="81">
        <f t="shared" si="41"/>
        <v>38.428571428571431</v>
      </c>
      <c r="AP56" s="74">
        <f t="shared" si="20"/>
        <v>47</v>
      </c>
      <c r="AQ56" s="81">
        <f t="shared" si="42"/>
        <v>55.428571428571431</v>
      </c>
      <c r="AR56" s="74">
        <f t="shared" si="21"/>
        <v>47</v>
      </c>
      <c r="AS56" s="81">
        <f t="shared" si="43"/>
        <v>42.285714285714285</v>
      </c>
      <c r="AT56" s="83">
        <f t="shared" si="8"/>
        <v>0.55594405594405594</v>
      </c>
      <c r="AU56" s="83">
        <f t="shared" si="9"/>
        <v>0.11538461538461539</v>
      </c>
      <c r="AV56" s="83">
        <f t="shared" si="10"/>
        <v>0.16433566433566432</v>
      </c>
      <c r="AW56" s="84">
        <f t="shared" si="11"/>
        <v>0.16433566433566432</v>
      </c>
      <c r="AX56" s="83">
        <f t="shared" si="54"/>
        <v>0.55429397564455474</v>
      </c>
      <c r="AY56" s="83">
        <f t="shared" si="54"/>
        <v>0.12397392794771338</v>
      </c>
      <c r="AZ56" s="83">
        <f t="shared" si="54"/>
        <v>0.18151676087674343</v>
      </c>
      <c r="BA56" s="84">
        <f t="shared" si="54"/>
        <v>0.14021533553098839</v>
      </c>
      <c r="BB56" s="74">
        <v>0</v>
      </c>
      <c r="BC56" s="81">
        <f t="shared" si="43"/>
        <v>0.14285714285714285</v>
      </c>
      <c r="BD56" s="74">
        <v>0</v>
      </c>
      <c r="BE56" s="81">
        <f t="shared" si="44"/>
        <v>0</v>
      </c>
      <c r="BF56" s="74">
        <v>0</v>
      </c>
      <c r="BG56" s="81">
        <f t="shared" si="45"/>
        <v>0</v>
      </c>
      <c r="BH56" s="74">
        <v>0</v>
      </c>
      <c r="BI56" s="81">
        <f t="shared" si="46"/>
        <v>0</v>
      </c>
      <c r="BJ56" s="74">
        <v>159</v>
      </c>
      <c r="BK56" s="81">
        <f t="shared" si="47"/>
        <v>168.85714285714286</v>
      </c>
      <c r="BL56" s="74">
        <v>33</v>
      </c>
      <c r="BM56" s="81">
        <f t="shared" si="48"/>
        <v>38.428571428571431</v>
      </c>
      <c r="BN56" s="74">
        <v>47</v>
      </c>
      <c r="BO56" s="81">
        <f t="shared" si="49"/>
        <v>55.428571428571431</v>
      </c>
      <c r="BP56" s="74">
        <v>47</v>
      </c>
      <c r="BQ56" s="81">
        <f t="shared" si="50"/>
        <v>42.285714285714285</v>
      </c>
    </row>
    <row r="57" spans="1:69" x14ac:dyDescent="0.25">
      <c r="A57" s="85">
        <f t="shared" si="22"/>
        <v>45513</v>
      </c>
      <c r="B57" s="74">
        <f t="shared" si="12"/>
        <v>806</v>
      </c>
      <c r="C57" s="81">
        <f t="shared" si="23"/>
        <v>901.5</v>
      </c>
      <c r="D57" s="74">
        <f t="shared" si="13"/>
        <v>30</v>
      </c>
      <c r="E57" s="99">
        <f t="shared" si="24"/>
        <v>34.75</v>
      </c>
      <c r="F57" s="74">
        <v>206.43287671800002</v>
      </c>
      <c r="G57" s="81">
        <f t="shared" si="25"/>
        <v>250.56164384250002</v>
      </c>
      <c r="H57" s="74">
        <v>206.43287671800002</v>
      </c>
      <c r="I57" s="99">
        <f t="shared" si="26"/>
        <v>250.56164384250002</v>
      </c>
      <c r="J57" s="74">
        <f t="shared" si="14"/>
        <v>806</v>
      </c>
      <c r="K57" s="81">
        <f t="shared" si="27"/>
        <v>901.5</v>
      </c>
      <c r="L57" s="74">
        <f t="shared" si="15"/>
        <v>30</v>
      </c>
      <c r="M57" s="99">
        <f t="shared" si="28"/>
        <v>34.75</v>
      </c>
      <c r="N57" s="74">
        <f t="shared" si="16"/>
        <v>806</v>
      </c>
      <c r="O57" s="81">
        <f t="shared" si="29"/>
        <v>901.5</v>
      </c>
      <c r="P57" s="74">
        <f t="shared" si="17"/>
        <v>30</v>
      </c>
      <c r="Q57" s="99">
        <f t="shared" si="30"/>
        <v>34.75</v>
      </c>
      <c r="R57" s="74">
        <v>207</v>
      </c>
      <c r="S57" s="81">
        <f t="shared" si="31"/>
        <v>251.25</v>
      </c>
      <c r="T57" s="74">
        <v>30</v>
      </c>
      <c r="U57" s="99">
        <f t="shared" si="32"/>
        <v>34.75</v>
      </c>
      <c r="V57" s="74">
        <v>599</v>
      </c>
      <c r="W57" s="81">
        <f t="shared" si="33"/>
        <v>650.25</v>
      </c>
      <c r="X57" s="74">
        <v>0</v>
      </c>
      <c r="Y57" s="99">
        <f t="shared" si="34"/>
        <v>0</v>
      </c>
      <c r="Z57" s="74">
        <v>0</v>
      </c>
      <c r="AA57" s="81">
        <f t="shared" si="35"/>
        <v>0</v>
      </c>
      <c r="AB57" s="74">
        <v>0</v>
      </c>
      <c r="AC57" s="99">
        <f t="shared" si="36"/>
        <v>0</v>
      </c>
      <c r="AD57" s="105">
        <v>0</v>
      </c>
      <c r="AE57" s="81">
        <f t="shared" si="37"/>
        <v>0</v>
      </c>
      <c r="AF57" s="105">
        <v>0</v>
      </c>
      <c r="AG57" s="99">
        <f t="shared" si="38"/>
        <v>0</v>
      </c>
      <c r="AH57" s="74">
        <v>0</v>
      </c>
      <c r="AI57" s="81">
        <f t="shared" si="39"/>
        <v>0</v>
      </c>
      <c r="AJ57" s="74">
        <v>0</v>
      </c>
      <c r="AK57" s="99">
        <f t="shared" si="40"/>
        <v>0</v>
      </c>
      <c r="AL57" s="74">
        <f t="shared" si="18"/>
        <v>119</v>
      </c>
      <c r="AM57" s="81">
        <f t="shared" si="51"/>
        <v>154.28571428571428</v>
      </c>
      <c r="AN57" s="74">
        <f t="shared" si="19"/>
        <v>23</v>
      </c>
      <c r="AO57" s="81">
        <f t="shared" si="41"/>
        <v>35.142857142857146</v>
      </c>
      <c r="AP57" s="74">
        <f t="shared" si="20"/>
        <v>38</v>
      </c>
      <c r="AQ57" s="81">
        <f t="shared" si="42"/>
        <v>50.571428571428569</v>
      </c>
      <c r="AR57" s="74">
        <f t="shared" si="21"/>
        <v>27</v>
      </c>
      <c r="AS57" s="81">
        <f t="shared" si="43"/>
        <v>40</v>
      </c>
      <c r="AT57" s="83">
        <f t="shared" si="8"/>
        <v>0.5748792270531401</v>
      </c>
      <c r="AU57" s="83">
        <f t="shared" si="9"/>
        <v>0.1111111111111111</v>
      </c>
      <c r="AV57" s="83">
        <f t="shared" si="10"/>
        <v>0.18357487922705315</v>
      </c>
      <c r="AW57" s="84">
        <f t="shared" si="11"/>
        <v>0.13043478260869565</v>
      </c>
      <c r="AX57" s="83">
        <f t="shared" si="54"/>
        <v>0.55361465597329507</v>
      </c>
      <c r="AY57" s="83">
        <f t="shared" si="54"/>
        <v>0.12268916687182958</v>
      </c>
      <c r="AZ57" s="83">
        <f t="shared" si="54"/>
        <v>0.18088609274692671</v>
      </c>
      <c r="BA57" s="84">
        <f t="shared" si="54"/>
        <v>0.14281008440794865</v>
      </c>
      <c r="BB57" s="74">
        <v>0</v>
      </c>
      <c r="BC57" s="81">
        <f t="shared" si="43"/>
        <v>0</v>
      </c>
      <c r="BD57" s="74">
        <v>0</v>
      </c>
      <c r="BE57" s="81">
        <f t="shared" si="44"/>
        <v>0</v>
      </c>
      <c r="BF57" s="74">
        <v>0</v>
      </c>
      <c r="BG57" s="81">
        <f t="shared" si="45"/>
        <v>0</v>
      </c>
      <c r="BH57" s="74">
        <v>0</v>
      </c>
      <c r="BI57" s="81">
        <f t="shared" si="46"/>
        <v>0</v>
      </c>
      <c r="BJ57" s="74">
        <v>119</v>
      </c>
      <c r="BK57" s="81">
        <f t="shared" si="47"/>
        <v>154.28571428571428</v>
      </c>
      <c r="BL57" s="74">
        <v>23</v>
      </c>
      <c r="BM57" s="81">
        <f t="shared" si="48"/>
        <v>35.142857142857146</v>
      </c>
      <c r="BN57" s="74">
        <v>38</v>
      </c>
      <c r="BO57" s="81">
        <f t="shared" si="49"/>
        <v>50.571428571428569</v>
      </c>
      <c r="BP57" s="74">
        <v>27</v>
      </c>
      <c r="BQ57" s="81">
        <f t="shared" si="50"/>
        <v>40</v>
      </c>
    </row>
    <row r="58" spans="1:69" x14ac:dyDescent="0.25">
      <c r="A58" s="85">
        <f t="shared" si="22"/>
        <v>45520</v>
      </c>
      <c r="B58" s="74">
        <f t="shared" si="12"/>
        <v>769</v>
      </c>
      <c r="C58" s="81">
        <f t="shared" si="23"/>
        <v>871.75</v>
      </c>
      <c r="D58" s="74">
        <f t="shared" si="13"/>
        <v>38</v>
      </c>
      <c r="E58" s="99">
        <f t="shared" si="24"/>
        <v>36.5</v>
      </c>
      <c r="F58" s="74">
        <v>215.40821918400005</v>
      </c>
      <c r="G58" s="81">
        <f t="shared" si="25"/>
        <v>239.59178082850002</v>
      </c>
      <c r="H58" s="74">
        <v>215.40821918400005</v>
      </c>
      <c r="I58" s="99">
        <f t="shared" si="26"/>
        <v>239.59178082850002</v>
      </c>
      <c r="J58" s="74">
        <f t="shared" si="14"/>
        <v>769</v>
      </c>
      <c r="K58" s="81">
        <f t="shared" si="27"/>
        <v>871.75</v>
      </c>
      <c r="L58" s="74">
        <f t="shared" si="15"/>
        <v>38</v>
      </c>
      <c r="M58" s="99">
        <f t="shared" si="28"/>
        <v>36.5</v>
      </c>
      <c r="N58" s="74">
        <f t="shared" si="16"/>
        <v>769</v>
      </c>
      <c r="O58" s="81">
        <f t="shared" si="29"/>
        <v>871.75</v>
      </c>
      <c r="P58" s="74">
        <f t="shared" si="17"/>
        <v>38</v>
      </c>
      <c r="Q58" s="99">
        <f t="shared" si="30"/>
        <v>36.5</v>
      </c>
      <c r="R58" s="74">
        <v>216</v>
      </c>
      <c r="S58" s="81">
        <f t="shared" si="31"/>
        <v>240.25</v>
      </c>
      <c r="T58" s="74">
        <v>38</v>
      </c>
      <c r="U58" s="99">
        <f t="shared" si="32"/>
        <v>36.5</v>
      </c>
      <c r="V58" s="74">
        <v>553</v>
      </c>
      <c r="W58" s="81">
        <f t="shared" si="33"/>
        <v>631.5</v>
      </c>
      <c r="X58" s="74">
        <v>0</v>
      </c>
      <c r="Y58" s="99">
        <f t="shared" si="34"/>
        <v>0</v>
      </c>
      <c r="Z58" s="74">
        <v>0</v>
      </c>
      <c r="AA58" s="81">
        <f t="shared" si="35"/>
        <v>0</v>
      </c>
      <c r="AB58" s="74">
        <v>0</v>
      </c>
      <c r="AC58" s="99">
        <f t="shared" si="36"/>
        <v>0</v>
      </c>
      <c r="AD58" s="105">
        <v>0</v>
      </c>
      <c r="AE58" s="81">
        <f t="shared" si="37"/>
        <v>0</v>
      </c>
      <c r="AF58" s="105">
        <v>0</v>
      </c>
      <c r="AG58" s="99">
        <f t="shared" si="38"/>
        <v>0</v>
      </c>
      <c r="AH58" s="74">
        <v>0</v>
      </c>
      <c r="AI58" s="81">
        <f t="shared" si="39"/>
        <v>0</v>
      </c>
      <c r="AJ58" s="74">
        <v>0</v>
      </c>
      <c r="AK58" s="99">
        <f t="shared" si="40"/>
        <v>0</v>
      </c>
      <c r="AL58" s="74">
        <f t="shared" si="18"/>
        <v>117</v>
      </c>
      <c r="AM58" s="81">
        <f t="shared" si="51"/>
        <v>147.42857142857142</v>
      </c>
      <c r="AN58" s="74">
        <f t="shared" si="19"/>
        <v>30</v>
      </c>
      <c r="AO58" s="81">
        <f t="shared" si="41"/>
        <v>31.857142857142858</v>
      </c>
      <c r="AP58" s="74">
        <f t="shared" si="20"/>
        <v>42</v>
      </c>
      <c r="AQ58" s="81">
        <f t="shared" si="42"/>
        <v>48.714285714285715</v>
      </c>
      <c r="AR58" s="74">
        <f t="shared" si="21"/>
        <v>27</v>
      </c>
      <c r="AS58" s="81">
        <f t="shared" si="43"/>
        <v>37</v>
      </c>
      <c r="AT58" s="83">
        <f t="shared" si="8"/>
        <v>0.54166666666666663</v>
      </c>
      <c r="AU58" s="83">
        <f t="shared" si="9"/>
        <v>0.1388888888888889</v>
      </c>
      <c r="AV58" s="83">
        <f t="shared" si="10"/>
        <v>0.19444444444444445</v>
      </c>
      <c r="AW58" s="84">
        <f t="shared" si="11"/>
        <v>0.125</v>
      </c>
      <c r="AX58" s="83">
        <f t="shared" si="54"/>
        <v>0.55756436669870668</v>
      </c>
      <c r="AY58" s="83">
        <f t="shared" si="54"/>
        <v>0.11894343181768331</v>
      </c>
      <c r="AZ58" s="83">
        <f t="shared" si="54"/>
        <v>0.18418678997285756</v>
      </c>
      <c r="BA58" s="84">
        <f t="shared" si="54"/>
        <v>0.1393054115107524</v>
      </c>
      <c r="BB58" s="74">
        <v>0</v>
      </c>
      <c r="BC58" s="81">
        <f t="shared" si="43"/>
        <v>0</v>
      </c>
      <c r="BD58" s="74">
        <v>0</v>
      </c>
      <c r="BE58" s="81">
        <f t="shared" si="44"/>
        <v>0</v>
      </c>
      <c r="BF58" s="74">
        <v>0</v>
      </c>
      <c r="BG58" s="81">
        <f t="shared" si="45"/>
        <v>0</v>
      </c>
      <c r="BH58" s="74">
        <v>0</v>
      </c>
      <c r="BI58" s="81">
        <f t="shared" si="46"/>
        <v>0</v>
      </c>
      <c r="BJ58" s="74">
        <v>117</v>
      </c>
      <c r="BK58" s="81">
        <f t="shared" si="47"/>
        <v>147.42857142857142</v>
      </c>
      <c r="BL58" s="74">
        <v>30</v>
      </c>
      <c r="BM58" s="81">
        <f t="shared" si="48"/>
        <v>31.857142857142858</v>
      </c>
      <c r="BN58" s="74">
        <v>42</v>
      </c>
      <c r="BO58" s="81">
        <f t="shared" si="49"/>
        <v>48.714285714285715</v>
      </c>
      <c r="BP58" s="74">
        <v>27</v>
      </c>
      <c r="BQ58" s="81">
        <f t="shared" si="50"/>
        <v>37</v>
      </c>
    </row>
    <row r="59" spans="1:69" x14ac:dyDescent="0.25">
      <c r="A59" s="85">
        <f t="shared" si="22"/>
        <v>45527</v>
      </c>
      <c r="B59" s="74">
        <f t="shared" si="12"/>
        <v>799</v>
      </c>
      <c r="C59" s="81">
        <f t="shared" si="23"/>
        <v>844.5</v>
      </c>
      <c r="D59" s="74">
        <f t="shared" si="13"/>
        <v>48</v>
      </c>
      <c r="E59" s="99">
        <f t="shared" si="24"/>
        <v>37</v>
      </c>
      <c r="F59" s="74">
        <v>239.3424657600001</v>
      </c>
      <c r="G59" s="81">
        <f t="shared" si="25"/>
        <v>236.60000000650004</v>
      </c>
      <c r="H59" s="74">
        <v>239.3424657600001</v>
      </c>
      <c r="I59" s="99">
        <f t="shared" si="26"/>
        <v>236.60000000650004</v>
      </c>
      <c r="J59" s="74">
        <f t="shared" si="14"/>
        <v>799</v>
      </c>
      <c r="K59" s="81">
        <f t="shared" si="27"/>
        <v>844.5</v>
      </c>
      <c r="L59" s="74">
        <f t="shared" si="15"/>
        <v>48</v>
      </c>
      <c r="M59" s="99">
        <f t="shared" si="28"/>
        <v>37</v>
      </c>
      <c r="N59" s="74">
        <f t="shared" si="16"/>
        <v>799</v>
      </c>
      <c r="O59" s="81">
        <f t="shared" si="29"/>
        <v>844.5</v>
      </c>
      <c r="P59" s="74">
        <f t="shared" si="17"/>
        <v>48</v>
      </c>
      <c r="Q59" s="99">
        <f t="shared" si="30"/>
        <v>37</v>
      </c>
      <c r="R59" s="74">
        <v>240</v>
      </c>
      <c r="S59" s="81">
        <f t="shared" si="31"/>
        <v>237.25</v>
      </c>
      <c r="T59" s="74">
        <v>48</v>
      </c>
      <c r="U59" s="99">
        <f t="shared" si="32"/>
        <v>37</v>
      </c>
      <c r="V59" s="74">
        <v>559</v>
      </c>
      <c r="W59" s="81">
        <f t="shared" si="33"/>
        <v>607.25</v>
      </c>
      <c r="X59" s="74">
        <v>0</v>
      </c>
      <c r="Y59" s="99">
        <f t="shared" si="34"/>
        <v>0</v>
      </c>
      <c r="Z59" s="74">
        <v>0</v>
      </c>
      <c r="AA59" s="81">
        <f t="shared" si="35"/>
        <v>0</v>
      </c>
      <c r="AB59" s="74">
        <v>0</v>
      </c>
      <c r="AC59" s="99">
        <f t="shared" si="36"/>
        <v>0</v>
      </c>
      <c r="AD59" s="105">
        <v>0</v>
      </c>
      <c r="AE59" s="81">
        <f t="shared" si="37"/>
        <v>0</v>
      </c>
      <c r="AF59" s="105">
        <v>0</v>
      </c>
      <c r="AG59" s="99">
        <f t="shared" si="38"/>
        <v>0</v>
      </c>
      <c r="AH59" s="74">
        <v>0</v>
      </c>
      <c r="AI59" s="81">
        <f t="shared" si="39"/>
        <v>0</v>
      </c>
      <c r="AJ59" s="74">
        <v>0</v>
      </c>
      <c r="AK59" s="99">
        <f t="shared" si="40"/>
        <v>0</v>
      </c>
      <c r="AL59" s="74">
        <f t="shared" si="18"/>
        <v>131</v>
      </c>
      <c r="AM59" s="81">
        <f t="shared" si="51"/>
        <v>140.42857142857142</v>
      </c>
      <c r="AN59" s="74">
        <f t="shared" si="19"/>
        <v>26</v>
      </c>
      <c r="AO59" s="81">
        <f t="shared" si="41"/>
        <v>28.571428571428573</v>
      </c>
      <c r="AP59" s="74">
        <f t="shared" si="20"/>
        <v>45</v>
      </c>
      <c r="AQ59" s="81">
        <f t="shared" si="42"/>
        <v>46</v>
      </c>
      <c r="AR59" s="74">
        <f t="shared" si="21"/>
        <v>38</v>
      </c>
      <c r="AS59" s="81">
        <f t="shared" si="43"/>
        <v>36.571428571428569</v>
      </c>
      <c r="AT59" s="83">
        <f t="shared" si="8"/>
        <v>0.54583333333333328</v>
      </c>
      <c r="AU59" s="83">
        <f t="shared" si="9"/>
        <v>0.10833333333333334</v>
      </c>
      <c r="AV59" s="83">
        <f t="shared" si="10"/>
        <v>0.1875</v>
      </c>
      <c r="AW59" s="84">
        <f t="shared" si="11"/>
        <v>0.15833333333333333</v>
      </c>
      <c r="AX59" s="83">
        <f t="shared" si="54"/>
        <v>0.55855167779080817</v>
      </c>
      <c r="AY59" s="83">
        <f t="shared" si="54"/>
        <v>0.11346153846153847</v>
      </c>
      <c r="AZ59" s="83">
        <f t="shared" si="54"/>
        <v>0.18359868047756248</v>
      </c>
      <c r="BA59" s="84">
        <f t="shared" si="54"/>
        <v>0.14438810327009086</v>
      </c>
      <c r="BB59" s="74">
        <v>0</v>
      </c>
      <c r="BC59" s="81">
        <f t="shared" si="43"/>
        <v>0</v>
      </c>
      <c r="BD59" s="74">
        <v>0</v>
      </c>
      <c r="BE59" s="81">
        <f t="shared" si="44"/>
        <v>0</v>
      </c>
      <c r="BF59" s="74">
        <v>0</v>
      </c>
      <c r="BG59" s="81">
        <f t="shared" si="45"/>
        <v>0</v>
      </c>
      <c r="BH59" s="74">
        <v>0</v>
      </c>
      <c r="BI59" s="81">
        <f t="shared" si="46"/>
        <v>0</v>
      </c>
      <c r="BJ59" s="74">
        <v>131</v>
      </c>
      <c r="BK59" s="81">
        <f t="shared" si="47"/>
        <v>140.42857142857142</v>
      </c>
      <c r="BL59" s="74">
        <v>26</v>
      </c>
      <c r="BM59" s="81">
        <f t="shared" si="48"/>
        <v>28.571428571428573</v>
      </c>
      <c r="BN59" s="74">
        <v>45</v>
      </c>
      <c r="BO59" s="81">
        <f t="shared" si="49"/>
        <v>46</v>
      </c>
      <c r="BP59" s="74">
        <v>38</v>
      </c>
      <c r="BQ59" s="81">
        <f t="shared" si="50"/>
        <v>36.571428571428569</v>
      </c>
    </row>
    <row r="60" spans="1:69" x14ac:dyDescent="0.25">
      <c r="A60" s="85">
        <f t="shared" si="22"/>
        <v>45534</v>
      </c>
      <c r="B60" s="74">
        <f t="shared" si="12"/>
        <v>746</v>
      </c>
      <c r="C60" s="81">
        <f t="shared" si="23"/>
        <v>780</v>
      </c>
      <c r="D60" s="74">
        <f t="shared" si="13"/>
        <v>46</v>
      </c>
      <c r="E60" s="99">
        <f t="shared" si="24"/>
        <v>40.5</v>
      </c>
      <c r="F60" s="74">
        <v>193.46849315599999</v>
      </c>
      <c r="G60" s="81">
        <f t="shared" si="25"/>
        <v>213.66301370450003</v>
      </c>
      <c r="H60" s="74">
        <v>193.46849315599999</v>
      </c>
      <c r="I60" s="99">
        <f t="shared" si="26"/>
        <v>213.66301370450003</v>
      </c>
      <c r="J60" s="74">
        <f t="shared" si="14"/>
        <v>746</v>
      </c>
      <c r="K60" s="81">
        <f t="shared" si="27"/>
        <v>780</v>
      </c>
      <c r="L60" s="74">
        <f t="shared" si="15"/>
        <v>46</v>
      </c>
      <c r="M60" s="99">
        <f t="shared" si="28"/>
        <v>40.5</v>
      </c>
      <c r="N60" s="74">
        <f t="shared" si="16"/>
        <v>746</v>
      </c>
      <c r="O60" s="81">
        <f t="shared" si="29"/>
        <v>780</v>
      </c>
      <c r="P60" s="74">
        <f t="shared" si="17"/>
        <v>46</v>
      </c>
      <c r="Q60" s="99">
        <f t="shared" si="30"/>
        <v>40.5</v>
      </c>
      <c r="R60" s="74">
        <v>194</v>
      </c>
      <c r="S60" s="81">
        <f t="shared" si="31"/>
        <v>214.25</v>
      </c>
      <c r="T60" s="74">
        <v>46</v>
      </c>
      <c r="U60" s="99">
        <f t="shared" si="32"/>
        <v>40.5</v>
      </c>
      <c r="V60" s="74">
        <v>552</v>
      </c>
      <c r="W60" s="81">
        <f t="shared" si="33"/>
        <v>565.75</v>
      </c>
      <c r="X60" s="74">
        <v>0</v>
      </c>
      <c r="Y60" s="99">
        <f t="shared" si="34"/>
        <v>0</v>
      </c>
      <c r="Z60" s="74">
        <v>0</v>
      </c>
      <c r="AA60" s="81">
        <f t="shared" si="35"/>
        <v>0</v>
      </c>
      <c r="AB60" s="74">
        <v>0</v>
      </c>
      <c r="AC60" s="99">
        <f t="shared" si="36"/>
        <v>0</v>
      </c>
      <c r="AD60" s="105">
        <v>0</v>
      </c>
      <c r="AE60" s="81">
        <f t="shared" si="37"/>
        <v>0</v>
      </c>
      <c r="AF60" s="105">
        <v>0</v>
      </c>
      <c r="AG60" s="99">
        <f t="shared" si="38"/>
        <v>0</v>
      </c>
      <c r="AH60" s="74">
        <v>0</v>
      </c>
      <c r="AI60" s="81">
        <f t="shared" si="39"/>
        <v>0</v>
      </c>
      <c r="AJ60" s="74">
        <v>0</v>
      </c>
      <c r="AK60" s="99">
        <f t="shared" si="40"/>
        <v>0</v>
      </c>
      <c r="AL60" s="74">
        <f t="shared" si="18"/>
        <v>109</v>
      </c>
      <c r="AM60" s="81">
        <f t="shared" si="51"/>
        <v>132.57142857142858</v>
      </c>
      <c r="AN60" s="74">
        <f t="shared" si="19"/>
        <v>22</v>
      </c>
      <c r="AO60" s="81">
        <f t="shared" si="41"/>
        <v>26</v>
      </c>
      <c r="AP60" s="74">
        <f t="shared" si="20"/>
        <v>40</v>
      </c>
      <c r="AQ60" s="81">
        <f t="shared" si="42"/>
        <v>44</v>
      </c>
      <c r="AR60" s="74">
        <f t="shared" si="21"/>
        <v>23</v>
      </c>
      <c r="AS60" s="81">
        <f t="shared" si="43"/>
        <v>33.857142857142854</v>
      </c>
      <c r="AT60" s="83">
        <f t="shared" si="8"/>
        <v>0.56185567010309279</v>
      </c>
      <c r="AU60" s="83">
        <f t="shared" si="9"/>
        <v>0.1134020618556701</v>
      </c>
      <c r="AV60" s="83">
        <f t="shared" si="10"/>
        <v>0.20618556701030927</v>
      </c>
      <c r="AW60" s="84">
        <f t="shared" si="11"/>
        <v>0.11855670103092783</v>
      </c>
      <c r="AX60" s="83">
        <f t="shared" si="54"/>
        <v>0.56072153542458325</v>
      </c>
      <c r="AY60" s="83">
        <f t="shared" si="54"/>
        <v>0.11061421396472945</v>
      </c>
      <c r="AZ60" s="83">
        <f t="shared" si="54"/>
        <v>0.18733947576474949</v>
      </c>
      <c r="BA60" s="84">
        <f t="shared" si="54"/>
        <v>0.14132477484593767</v>
      </c>
      <c r="BB60" s="74">
        <v>0</v>
      </c>
      <c r="BC60" s="81">
        <f t="shared" si="43"/>
        <v>0</v>
      </c>
      <c r="BD60" s="74">
        <v>0</v>
      </c>
      <c r="BE60" s="81">
        <f t="shared" si="44"/>
        <v>0</v>
      </c>
      <c r="BF60" s="74">
        <v>0</v>
      </c>
      <c r="BG60" s="81">
        <f t="shared" si="45"/>
        <v>0</v>
      </c>
      <c r="BH60" s="74">
        <v>0</v>
      </c>
      <c r="BI60" s="81">
        <f t="shared" si="46"/>
        <v>0</v>
      </c>
      <c r="BJ60" s="74">
        <v>109</v>
      </c>
      <c r="BK60" s="81">
        <f t="shared" si="47"/>
        <v>132.57142857142858</v>
      </c>
      <c r="BL60" s="74">
        <v>22</v>
      </c>
      <c r="BM60" s="81">
        <f t="shared" si="48"/>
        <v>26</v>
      </c>
      <c r="BN60" s="74">
        <v>40</v>
      </c>
      <c r="BO60" s="81">
        <f t="shared" si="49"/>
        <v>44</v>
      </c>
      <c r="BP60" s="74">
        <v>23</v>
      </c>
      <c r="BQ60" s="81">
        <f t="shared" si="50"/>
        <v>33.857142857142854</v>
      </c>
    </row>
    <row r="61" spans="1:69" x14ac:dyDescent="0.25">
      <c r="A61" s="85">
        <f t="shared" si="22"/>
        <v>45541</v>
      </c>
      <c r="B61" s="74">
        <f t="shared" si="12"/>
        <v>890</v>
      </c>
      <c r="C61" s="81">
        <f t="shared" si="23"/>
        <v>801</v>
      </c>
      <c r="D61" s="74">
        <f t="shared" si="13"/>
        <v>50</v>
      </c>
      <c r="E61" s="99">
        <f t="shared" si="24"/>
        <v>45.5</v>
      </c>
      <c r="F61" s="74">
        <v>247.32054795200003</v>
      </c>
      <c r="G61" s="81">
        <f t="shared" si="25"/>
        <v>223.88493151300003</v>
      </c>
      <c r="H61" s="74">
        <v>247.32054795200003</v>
      </c>
      <c r="I61" s="99">
        <f t="shared" si="26"/>
        <v>223.88493151300003</v>
      </c>
      <c r="J61" s="74">
        <f t="shared" si="14"/>
        <v>890</v>
      </c>
      <c r="K61" s="81">
        <f t="shared" si="27"/>
        <v>801</v>
      </c>
      <c r="L61" s="74">
        <f t="shared" si="15"/>
        <v>50</v>
      </c>
      <c r="M61" s="99">
        <f t="shared" si="28"/>
        <v>45.5</v>
      </c>
      <c r="N61" s="74">
        <f t="shared" si="16"/>
        <v>890</v>
      </c>
      <c r="O61" s="81">
        <f t="shared" si="29"/>
        <v>801</v>
      </c>
      <c r="P61" s="74">
        <f t="shared" si="17"/>
        <v>50</v>
      </c>
      <c r="Q61" s="99">
        <f t="shared" si="30"/>
        <v>45.5</v>
      </c>
      <c r="R61" s="74">
        <v>248</v>
      </c>
      <c r="S61" s="81">
        <f t="shared" si="31"/>
        <v>224.5</v>
      </c>
      <c r="T61" s="74">
        <v>50</v>
      </c>
      <c r="U61" s="99">
        <f t="shared" si="32"/>
        <v>45.5</v>
      </c>
      <c r="V61" s="74">
        <v>642</v>
      </c>
      <c r="W61" s="81">
        <f t="shared" si="33"/>
        <v>576.5</v>
      </c>
      <c r="X61" s="74">
        <v>0</v>
      </c>
      <c r="Y61" s="99">
        <f t="shared" si="34"/>
        <v>0</v>
      </c>
      <c r="Z61" s="74">
        <v>0</v>
      </c>
      <c r="AA61" s="81">
        <f t="shared" si="35"/>
        <v>0</v>
      </c>
      <c r="AB61" s="74">
        <v>0</v>
      </c>
      <c r="AC61" s="99">
        <f t="shared" si="36"/>
        <v>0</v>
      </c>
      <c r="AD61" s="105">
        <v>0</v>
      </c>
      <c r="AE61" s="81">
        <f t="shared" si="37"/>
        <v>0</v>
      </c>
      <c r="AF61" s="105">
        <v>0</v>
      </c>
      <c r="AG61" s="99">
        <f t="shared" si="38"/>
        <v>0</v>
      </c>
      <c r="AH61" s="74">
        <v>0</v>
      </c>
      <c r="AI61" s="81">
        <f t="shared" si="39"/>
        <v>0</v>
      </c>
      <c r="AJ61" s="74">
        <v>0</v>
      </c>
      <c r="AK61" s="99">
        <f t="shared" si="40"/>
        <v>0</v>
      </c>
      <c r="AL61" s="74">
        <f t="shared" si="18"/>
        <v>142</v>
      </c>
      <c r="AM61" s="81">
        <f t="shared" si="51"/>
        <v>132</v>
      </c>
      <c r="AN61" s="74">
        <f t="shared" si="19"/>
        <v>26</v>
      </c>
      <c r="AO61" s="81">
        <f t="shared" si="41"/>
        <v>25.857142857142858</v>
      </c>
      <c r="AP61" s="74">
        <f t="shared" si="20"/>
        <v>45</v>
      </c>
      <c r="AQ61" s="81">
        <f t="shared" si="42"/>
        <v>43.857142857142854</v>
      </c>
      <c r="AR61" s="74">
        <f t="shared" si="21"/>
        <v>35</v>
      </c>
      <c r="AS61" s="81">
        <f t="shared" si="43"/>
        <v>33</v>
      </c>
      <c r="AT61" s="83">
        <f t="shared" si="8"/>
        <v>0.57258064516129037</v>
      </c>
      <c r="AU61" s="83">
        <f t="shared" si="9"/>
        <v>0.10483870967741936</v>
      </c>
      <c r="AV61" s="83">
        <f t="shared" si="10"/>
        <v>0.18145161290322581</v>
      </c>
      <c r="AW61" s="84">
        <f t="shared" si="11"/>
        <v>0.14112903225806453</v>
      </c>
      <c r="AX61" s="83">
        <f t="shared" ref="AX61:BA76" si="55">AVERAGE(AT55:AT61)</f>
        <v>0.56229899022784458</v>
      </c>
      <c r="AY61" s="83">
        <f t="shared" si="55"/>
        <v>0.11075600765491023</v>
      </c>
      <c r="AZ61" s="83">
        <f t="shared" si="55"/>
        <v>0.18798640947619935</v>
      </c>
      <c r="BA61" s="84">
        <f t="shared" si="55"/>
        <v>0.13895859264104579</v>
      </c>
      <c r="BB61" s="74">
        <v>0</v>
      </c>
      <c r="BC61" s="81">
        <f t="shared" si="43"/>
        <v>0</v>
      </c>
      <c r="BD61" s="74">
        <v>0</v>
      </c>
      <c r="BE61" s="81">
        <f t="shared" si="44"/>
        <v>0</v>
      </c>
      <c r="BF61" s="74">
        <v>0</v>
      </c>
      <c r="BG61" s="81">
        <f t="shared" si="45"/>
        <v>0</v>
      </c>
      <c r="BH61" s="74">
        <v>0</v>
      </c>
      <c r="BI61" s="81">
        <f t="shared" si="46"/>
        <v>0</v>
      </c>
      <c r="BJ61" s="74">
        <v>142</v>
      </c>
      <c r="BK61" s="81">
        <f t="shared" si="47"/>
        <v>132</v>
      </c>
      <c r="BL61" s="74">
        <v>26</v>
      </c>
      <c r="BM61" s="81">
        <f t="shared" si="48"/>
        <v>25.857142857142858</v>
      </c>
      <c r="BN61" s="74">
        <v>45</v>
      </c>
      <c r="BO61" s="81">
        <f t="shared" si="49"/>
        <v>43.857142857142854</v>
      </c>
      <c r="BP61" s="74">
        <v>35</v>
      </c>
      <c r="BQ61" s="81">
        <f t="shared" si="50"/>
        <v>33</v>
      </c>
    </row>
    <row r="62" spans="1:69" x14ac:dyDescent="0.25">
      <c r="A62" s="85">
        <f t="shared" si="22"/>
        <v>45548</v>
      </c>
      <c r="B62" s="74">
        <f t="shared" si="12"/>
        <v>725</v>
      </c>
      <c r="C62" s="81">
        <f t="shared" si="23"/>
        <v>790</v>
      </c>
      <c r="D62" s="74">
        <f t="shared" si="13"/>
        <v>45</v>
      </c>
      <c r="E62" s="99">
        <f t="shared" si="24"/>
        <v>47.25</v>
      </c>
      <c r="F62" s="74">
        <v>210.42191781399998</v>
      </c>
      <c r="G62" s="81">
        <f t="shared" si="25"/>
        <v>222.6383561705</v>
      </c>
      <c r="H62" s="74">
        <v>210.42191781399998</v>
      </c>
      <c r="I62" s="99">
        <f t="shared" si="26"/>
        <v>222.6383561705</v>
      </c>
      <c r="J62" s="74">
        <f t="shared" si="14"/>
        <v>725</v>
      </c>
      <c r="K62" s="81">
        <f t="shared" si="27"/>
        <v>790</v>
      </c>
      <c r="L62" s="74">
        <f t="shared" si="15"/>
        <v>45</v>
      </c>
      <c r="M62" s="99">
        <f t="shared" si="28"/>
        <v>47.25</v>
      </c>
      <c r="N62" s="74">
        <f t="shared" si="16"/>
        <v>725</v>
      </c>
      <c r="O62" s="81">
        <f t="shared" si="29"/>
        <v>790</v>
      </c>
      <c r="P62" s="74">
        <f t="shared" si="17"/>
        <v>45</v>
      </c>
      <c r="Q62" s="99">
        <f t="shared" si="30"/>
        <v>47.25</v>
      </c>
      <c r="R62" s="74">
        <v>211</v>
      </c>
      <c r="S62" s="81">
        <f t="shared" si="31"/>
        <v>223.25</v>
      </c>
      <c r="T62" s="74">
        <v>45</v>
      </c>
      <c r="U62" s="99">
        <f t="shared" si="32"/>
        <v>47.25</v>
      </c>
      <c r="V62" s="74">
        <v>514</v>
      </c>
      <c r="W62" s="81">
        <f t="shared" si="33"/>
        <v>566.75</v>
      </c>
      <c r="X62" s="74">
        <v>0</v>
      </c>
      <c r="Y62" s="99">
        <f t="shared" si="34"/>
        <v>0</v>
      </c>
      <c r="Z62" s="74">
        <v>0</v>
      </c>
      <c r="AA62" s="81">
        <f t="shared" si="35"/>
        <v>0</v>
      </c>
      <c r="AB62" s="74">
        <v>0</v>
      </c>
      <c r="AC62" s="99">
        <f t="shared" si="36"/>
        <v>0</v>
      </c>
      <c r="AD62" s="105">
        <v>0</v>
      </c>
      <c r="AE62" s="81">
        <f t="shared" si="37"/>
        <v>0</v>
      </c>
      <c r="AF62" s="105">
        <v>0</v>
      </c>
      <c r="AG62" s="99">
        <f t="shared" si="38"/>
        <v>0</v>
      </c>
      <c r="AH62" s="74">
        <v>0</v>
      </c>
      <c r="AI62" s="81">
        <f t="shared" si="39"/>
        <v>0</v>
      </c>
      <c r="AJ62" s="74">
        <v>0</v>
      </c>
      <c r="AK62" s="99">
        <f t="shared" si="40"/>
        <v>0</v>
      </c>
      <c r="AL62" s="74">
        <f t="shared" si="18"/>
        <v>113</v>
      </c>
      <c r="AM62" s="81">
        <f t="shared" si="51"/>
        <v>127.14285714285714</v>
      </c>
      <c r="AN62" s="74">
        <f t="shared" si="19"/>
        <v>23</v>
      </c>
      <c r="AO62" s="81">
        <f t="shared" si="41"/>
        <v>26.142857142857142</v>
      </c>
      <c r="AP62" s="74">
        <f t="shared" si="20"/>
        <v>51</v>
      </c>
      <c r="AQ62" s="81">
        <f t="shared" si="42"/>
        <v>44</v>
      </c>
      <c r="AR62" s="74">
        <f t="shared" si="21"/>
        <v>24</v>
      </c>
      <c r="AS62" s="81">
        <f t="shared" si="43"/>
        <v>31.571428571428573</v>
      </c>
      <c r="AT62" s="83">
        <f t="shared" si="8"/>
        <v>0.53554502369668244</v>
      </c>
      <c r="AU62" s="83">
        <f t="shared" si="9"/>
        <v>0.10900473933649289</v>
      </c>
      <c r="AV62" s="83">
        <f t="shared" si="10"/>
        <v>0.24170616113744076</v>
      </c>
      <c r="AW62" s="84">
        <f t="shared" si="11"/>
        <v>0.11374407582938388</v>
      </c>
      <c r="AX62" s="83">
        <f t="shared" si="55"/>
        <v>0.55547208885118027</v>
      </c>
      <c r="AY62" s="83">
        <f t="shared" si="55"/>
        <v>0.11442335136964731</v>
      </c>
      <c r="AZ62" s="83">
        <f t="shared" si="55"/>
        <v>0.19417118986544821</v>
      </c>
      <c r="BA62" s="84">
        <f t="shared" si="55"/>
        <v>0.13593336991372421</v>
      </c>
      <c r="BB62" s="74">
        <v>0</v>
      </c>
      <c r="BC62" s="81">
        <f t="shared" si="43"/>
        <v>0</v>
      </c>
      <c r="BD62" s="74">
        <v>0</v>
      </c>
      <c r="BE62" s="81">
        <f t="shared" si="44"/>
        <v>0</v>
      </c>
      <c r="BF62" s="74">
        <v>0</v>
      </c>
      <c r="BG62" s="81">
        <f t="shared" si="45"/>
        <v>0</v>
      </c>
      <c r="BH62" s="74">
        <v>0</v>
      </c>
      <c r="BI62" s="81">
        <f t="shared" si="46"/>
        <v>0</v>
      </c>
      <c r="BJ62" s="74">
        <v>113</v>
      </c>
      <c r="BK62" s="81">
        <f t="shared" si="47"/>
        <v>127.14285714285714</v>
      </c>
      <c r="BL62" s="74">
        <v>23</v>
      </c>
      <c r="BM62" s="81">
        <f t="shared" si="48"/>
        <v>26.142857142857142</v>
      </c>
      <c r="BN62" s="74">
        <v>51</v>
      </c>
      <c r="BO62" s="81">
        <f t="shared" si="49"/>
        <v>44</v>
      </c>
      <c r="BP62" s="74">
        <v>24</v>
      </c>
      <c r="BQ62" s="81">
        <f t="shared" si="50"/>
        <v>31.571428571428573</v>
      </c>
    </row>
    <row r="63" spans="1:69" x14ac:dyDescent="0.25">
      <c r="A63" s="85">
        <f t="shared" si="22"/>
        <v>45555</v>
      </c>
      <c r="B63" s="74">
        <f t="shared" si="12"/>
        <v>771</v>
      </c>
      <c r="C63" s="81">
        <f t="shared" si="23"/>
        <v>783</v>
      </c>
      <c r="D63" s="74">
        <f t="shared" si="13"/>
        <v>38</v>
      </c>
      <c r="E63" s="99">
        <f t="shared" si="24"/>
        <v>44.75</v>
      </c>
      <c r="F63" s="74">
        <v>222.38904110200005</v>
      </c>
      <c r="G63" s="81">
        <f t="shared" si="25"/>
        <v>218.400000006</v>
      </c>
      <c r="H63" s="74">
        <v>222.38904110200005</v>
      </c>
      <c r="I63" s="99">
        <f t="shared" si="26"/>
        <v>218.400000006</v>
      </c>
      <c r="J63" s="74">
        <f t="shared" si="14"/>
        <v>771</v>
      </c>
      <c r="K63" s="81">
        <f t="shared" si="27"/>
        <v>783</v>
      </c>
      <c r="L63" s="74">
        <f t="shared" si="15"/>
        <v>38</v>
      </c>
      <c r="M63" s="99">
        <f t="shared" si="28"/>
        <v>44.75</v>
      </c>
      <c r="N63" s="74">
        <f t="shared" si="16"/>
        <v>771</v>
      </c>
      <c r="O63" s="81">
        <f t="shared" si="29"/>
        <v>783</v>
      </c>
      <c r="P63" s="74">
        <f t="shared" si="17"/>
        <v>38</v>
      </c>
      <c r="Q63" s="99">
        <f t="shared" si="30"/>
        <v>44.75</v>
      </c>
      <c r="R63" s="74">
        <v>223</v>
      </c>
      <c r="S63" s="81">
        <f t="shared" si="31"/>
        <v>219</v>
      </c>
      <c r="T63" s="74">
        <v>38</v>
      </c>
      <c r="U63" s="99">
        <f t="shared" si="32"/>
        <v>44.75</v>
      </c>
      <c r="V63" s="74">
        <v>548</v>
      </c>
      <c r="W63" s="81">
        <f t="shared" si="33"/>
        <v>564</v>
      </c>
      <c r="X63" s="74">
        <v>0</v>
      </c>
      <c r="Y63" s="99">
        <f t="shared" si="34"/>
        <v>0</v>
      </c>
      <c r="Z63" s="74">
        <v>0</v>
      </c>
      <c r="AA63" s="81">
        <f t="shared" si="35"/>
        <v>0</v>
      </c>
      <c r="AB63" s="74">
        <v>0</v>
      </c>
      <c r="AC63" s="99">
        <f t="shared" si="36"/>
        <v>0</v>
      </c>
      <c r="AD63" s="105">
        <v>0</v>
      </c>
      <c r="AE63" s="81">
        <f t="shared" si="37"/>
        <v>0</v>
      </c>
      <c r="AF63" s="105">
        <v>0</v>
      </c>
      <c r="AG63" s="99">
        <f t="shared" si="38"/>
        <v>0</v>
      </c>
      <c r="AH63" s="74">
        <v>0</v>
      </c>
      <c r="AI63" s="81">
        <f t="shared" si="39"/>
        <v>0</v>
      </c>
      <c r="AJ63" s="74">
        <v>0</v>
      </c>
      <c r="AK63" s="99">
        <f t="shared" si="40"/>
        <v>0</v>
      </c>
      <c r="AL63" s="74">
        <f t="shared" si="18"/>
        <v>107</v>
      </c>
      <c r="AM63" s="81">
        <f t="shared" si="51"/>
        <v>119.71428571428571</v>
      </c>
      <c r="AN63" s="74">
        <f t="shared" si="19"/>
        <v>33</v>
      </c>
      <c r="AO63" s="81">
        <f t="shared" si="41"/>
        <v>26.142857142857142</v>
      </c>
      <c r="AP63" s="74">
        <f t="shared" si="20"/>
        <v>51</v>
      </c>
      <c r="AQ63" s="81">
        <f t="shared" si="42"/>
        <v>44.571428571428569</v>
      </c>
      <c r="AR63" s="74">
        <f t="shared" si="21"/>
        <v>32</v>
      </c>
      <c r="AS63" s="81">
        <f t="shared" si="43"/>
        <v>29.428571428571427</v>
      </c>
      <c r="AT63" s="83">
        <f t="shared" si="8"/>
        <v>0.47982062780269058</v>
      </c>
      <c r="AU63" s="83">
        <f t="shared" si="9"/>
        <v>0.14798206278026907</v>
      </c>
      <c r="AV63" s="83">
        <f t="shared" si="10"/>
        <v>0.22869955156950672</v>
      </c>
      <c r="AW63" s="84">
        <f t="shared" si="11"/>
        <v>0.14349775784753363</v>
      </c>
      <c r="AX63" s="83">
        <f t="shared" si="55"/>
        <v>0.54459731340241369</v>
      </c>
      <c r="AY63" s="83">
        <f t="shared" si="55"/>
        <v>0.11908012956902639</v>
      </c>
      <c r="AZ63" s="83">
        <f t="shared" si="55"/>
        <v>0.2033660308988543</v>
      </c>
      <c r="BA63" s="84">
        <f t="shared" si="55"/>
        <v>0.13295652612970554</v>
      </c>
      <c r="BB63" s="74">
        <v>0</v>
      </c>
      <c r="BC63" s="81">
        <f t="shared" si="43"/>
        <v>0</v>
      </c>
      <c r="BD63" s="74">
        <v>0</v>
      </c>
      <c r="BE63" s="81">
        <f t="shared" si="44"/>
        <v>0</v>
      </c>
      <c r="BF63" s="74">
        <v>0</v>
      </c>
      <c r="BG63" s="81">
        <f t="shared" si="45"/>
        <v>0</v>
      </c>
      <c r="BH63" s="74">
        <v>0</v>
      </c>
      <c r="BI63" s="81">
        <f t="shared" si="46"/>
        <v>0</v>
      </c>
      <c r="BJ63" s="74">
        <v>107</v>
      </c>
      <c r="BK63" s="81">
        <f t="shared" si="47"/>
        <v>119.71428571428571</v>
      </c>
      <c r="BL63" s="74">
        <v>33</v>
      </c>
      <c r="BM63" s="81">
        <f t="shared" si="48"/>
        <v>26.142857142857142</v>
      </c>
      <c r="BN63" s="74">
        <v>51</v>
      </c>
      <c r="BO63" s="81">
        <f t="shared" si="49"/>
        <v>44.571428571428569</v>
      </c>
      <c r="BP63" s="74">
        <v>32</v>
      </c>
      <c r="BQ63" s="81">
        <f t="shared" si="50"/>
        <v>29.428571428571427</v>
      </c>
    </row>
    <row r="64" spans="1:69" x14ac:dyDescent="0.25">
      <c r="A64" s="85">
        <f t="shared" si="22"/>
        <v>45562</v>
      </c>
      <c r="B64" s="74">
        <f t="shared" si="12"/>
        <v>835</v>
      </c>
      <c r="C64" s="81">
        <f t="shared" si="23"/>
        <v>805.25</v>
      </c>
      <c r="D64" s="74">
        <f t="shared" si="13"/>
        <v>41</v>
      </c>
      <c r="E64" s="99">
        <f t="shared" si="24"/>
        <v>43.5</v>
      </c>
      <c r="F64" s="74">
        <v>208.42739726599999</v>
      </c>
      <c r="G64" s="81">
        <f t="shared" si="25"/>
        <v>222.13972603350001</v>
      </c>
      <c r="H64" s="74">
        <v>208.42739726599999</v>
      </c>
      <c r="I64" s="99">
        <f t="shared" si="26"/>
        <v>222.13972603350001</v>
      </c>
      <c r="J64" s="74">
        <f t="shared" si="14"/>
        <v>835</v>
      </c>
      <c r="K64" s="81">
        <f t="shared" si="27"/>
        <v>805.25</v>
      </c>
      <c r="L64" s="74">
        <f t="shared" si="15"/>
        <v>41</v>
      </c>
      <c r="M64" s="99">
        <f t="shared" si="28"/>
        <v>43.5</v>
      </c>
      <c r="N64" s="74">
        <f t="shared" si="16"/>
        <v>835</v>
      </c>
      <c r="O64" s="81">
        <f t="shared" si="29"/>
        <v>805.25</v>
      </c>
      <c r="P64" s="74">
        <f t="shared" si="17"/>
        <v>41</v>
      </c>
      <c r="Q64" s="99">
        <f t="shared" si="30"/>
        <v>43.5</v>
      </c>
      <c r="R64" s="74">
        <v>209</v>
      </c>
      <c r="S64" s="81">
        <f t="shared" si="31"/>
        <v>222.75</v>
      </c>
      <c r="T64" s="74">
        <v>41</v>
      </c>
      <c r="U64" s="99">
        <f t="shared" si="32"/>
        <v>43.5</v>
      </c>
      <c r="V64" s="74">
        <v>626</v>
      </c>
      <c r="W64" s="81">
        <f t="shared" si="33"/>
        <v>582.5</v>
      </c>
      <c r="X64" s="74">
        <v>0</v>
      </c>
      <c r="Y64" s="99">
        <f t="shared" si="34"/>
        <v>0</v>
      </c>
      <c r="Z64" s="74">
        <v>0</v>
      </c>
      <c r="AA64" s="81">
        <f t="shared" si="35"/>
        <v>0</v>
      </c>
      <c r="AB64" s="74">
        <v>0</v>
      </c>
      <c r="AC64" s="99">
        <f t="shared" si="36"/>
        <v>0</v>
      </c>
      <c r="AD64" s="105">
        <v>0</v>
      </c>
      <c r="AE64" s="81">
        <f t="shared" si="37"/>
        <v>0</v>
      </c>
      <c r="AF64" s="105">
        <v>0</v>
      </c>
      <c r="AG64" s="99">
        <f t="shared" si="38"/>
        <v>0</v>
      </c>
      <c r="AH64" s="74">
        <v>0</v>
      </c>
      <c r="AI64" s="81">
        <f t="shared" si="39"/>
        <v>0</v>
      </c>
      <c r="AJ64" s="74">
        <v>0</v>
      </c>
      <c r="AK64" s="99">
        <f t="shared" si="40"/>
        <v>0</v>
      </c>
      <c r="AL64" s="74">
        <f t="shared" si="18"/>
        <v>112</v>
      </c>
      <c r="AM64" s="81">
        <f t="shared" si="51"/>
        <v>118.71428571428571</v>
      </c>
      <c r="AN64" s="74">
        <f t="shared" si="19"/>
        <v>22</v>
      </c>
      <c r="AO64" s="81">
        <f t="shared" si="41"/>
        <v>26</v>
      </c>
      <c r="AP64" s="74">
        <f t="shared" si="20"/>
        <v>45</v>
      </c>
      <c r="AQ64" s="81">
        <f t="shared" si="42"/>
        <v>45.571428571428569</v>
      </c>
      <c r="AR64" s="74">
        <f t="shared" si="21"/>
        <v>30</v>
      </c>
      <c r="AS64" s="81">
        <f t="shared" si="43"/>
        <v>29.857142857142858</v>
      </c>
      <c r="AT64" s="83">
        <f t="shared" si="8"/>
        <v>0.53588516746411485</v>
      </c>
      <c r="AU64" s="83">
        <f t="shared" si="9"/>
        <v>0.10526315789473684</v>
      </c>
      <c r="AV64" s="83">
        <f t="shared" si="10"/>
        <v>0.21531100478468901</v>
      </c>
      <c r="AW64" s="84">
        <f t="shared" si="11"/>
        <v>0.14354066985645933</v>
      </c>
      <c r="AX64" s="83">
        <f t="shared" si="55"/>
        <v>0.5390267334611244</v>
      </c>
      <c r="AY64" s="83">
        <f t="shared" si="55"/>
        <v>0.11824470768097292</v>
      </c>
      <c r="AZ64" s="83">
        <f t="shared" si="55"/>
        <v>0.20789976312137368</v>
      </c>
      <c r="BA64" s="84">
        <f t="shared" si="55"/>
        <v>0.13482879573652892</v>
      </c>
      <c r="BB64" s="74">
        <v>0</v>
      </c>
      <c r="BC64" s="81">
        <f t="shared" si="43"/>
        <v>0</v>
      </c>
      <c r="BD64" s="74">
        <v>0</v>
      </c>
      <c r="BE64" s="81">
        <f t="shared" si="44"/>
        <v>0</v>
      </c>
      <c r="BF64" s="74">
        <v>0</v>
      </c>
      <c r="BG64" s="81">
        <f t="shared" si="45"/>
        <v>0</v>
      </c>
      <c r="BH64" s="74">
        <v>0</v>
      </c>
      <c r="BI64" s="81">
        <f t="shared" si="46"/>
        <v>0</v>
      </c>
      <c r="BJ64" s="74">
        <v>112</v>
      </c>
      <c r="BK64" s="81">
        <f t="shared" si="47"/>
        <v>118.71428571428571</v>
      </c>
      <c r="BL64" s="74">
        <v>22</v>
      </c>
      <c r="BM64" s="81">
        <f t="shared" si="48"/>
        <v>26</v>
      </c>
      <c r="BN64" s="74">
        <v>45</v>
      </c>
      <c r="BO64" s="81">
        <f t="shared" si="49"/>
        <v>45.571428571428569</v>
      </c>
      <c r="BP64" s="74">
        <v>30</v>
      </c>
      <c r="BQ64" s="81">
        <f t="shared" si="50"/>
        <v>29.857142857142858</v>
      </c>
    </row>
    <row r="65" spans="1:69" x14ac:dyDescent="0.25">
      <c r="A65" s="85">
        <f t="shared" si="22"/>
        <v>45569</v>
      </c>
      <c r="B65" s="74">
        <f t="shared" si="12"/>
        <v>794</v>
      </c>
      <c r="C65" s="81">
        <f t="shared" si="23"/>
        <v>781.25</v>
      </c>
      <c r="D65" s="74">
        <f t="shared" si="13"/>
        <v>39</v>
      </c>
      <c r="E65" s="99">
        <f t="shared" si="24"/>
        <v>40.75</v>
      </c>
      <c r="F65" s="74">
        <v>217.40273973200007</v>
      </c>
      <c r="G65" s="81">
        <f t="shared" si="25"/>
        <v>214.66027397850002</v>
      </c>
      <c r="H65" s="74">
        <v>217.40273973200007</v>
      </c>
      <c r="I65" s="99">
        <f t="shared" si="26"/>
        <v>214.66027397850002</v>
      </c>
      <c r="J65" s="74">
        <f t="shared" si="14"/>
        <v>794</v>
      </c>
      <c r="K65" s="81">
        <f t="shared" si="27"/>
        <v>781.25</v>
      </c>
      <c r="L65" s="74">
        <f t="shared" si="15"/>
        <v>39</v>
      </c>
      <c r="M65" s="99">
        <f t="shared" si="28"/>
        <v>40.75</v>
      </c>
      <c r="N65" s="74">
        <f t="shared" si="16"/>
        <v>794</v>
      </c>
      <c r="O65" s="81">
        <f t="shared" si="29"/>
        <v>781.25</v>
      </c>
      <c r="P65" s="74">
        <f t="shared" si="17"/>
        <v>39</v>
      </c>
      <c r="Q65" s="99">
        <f t="shared" si="30"/>
        <v>40.75</v>
      </c>
      <c r="R65" s="74">
        <v>218</v>
      </c>
      <c r="S65" s="81">
        <f t="shared" si="31"/>
        <v>215.25</v>
      </c>
      <c r="T65" s="74">
        <v>39</v>
      </c>
      <c r="U65" s="99">
        <f t="shared" si="32"/>
        <v>40.75</v>
      </c>
      <c r="V65" s="74">
        <v>576</v>
      </c>
      <c r="W65" s="81">
        <f t="shared" si="33"/>
        <v>566</v>
      </c>
      <c r="X65" s="74">
        <v>0</v>
      </c>
      <c r="Y65" s="99">
        <f t="shared" si="34"/>
        <v>0</v>
      </c>
      <c r="Z65" s="74">
        <v>0</v>
      </c>
      <c r="AA65" s="81">
        <f t="shared" si="35"/>
        <v>0</v>
      </c>
      <c r="AB65" s="74">
        <v>0</v>
      </c>
      <c r="AC65" s="99">
        <f t="shared" si="36"/>
        <v>0</v>
      </c>
      <c r="AD65" s="105">
        <v>0</v>
      </c>
      <c r="AE65" s="81">
        <f t="shared" si="37"/>
        <v>0</v>
      </c>
      <c r="AF65" s="105">
        <v>0</v>
      </c>
      <c r="AG65" s="99">
        <f t="shared" si="38"/>
        <v>0</v>
      </c>
      <c r="AH65" s="74">
        <v>0</v>
      </c>
      <c r="AI65" s="81">
        <f t="shared" si="39"/>
        <v>0</v>
      </c>
      <c r="AJ65" s="74">
        <v>0</v>
      </c>
      <c r="AK65" s="99">
        <f t="shared" si="40"/>
        <v>0</v>
      </c>
      <c r="AL65" s="74">
        <f t="shared" si="18"/>
        <v>125</v>
      </c>
      <c r="AM65" s="81">
        <f t="shared" si="51"/>
        <v>119.85714285714286</v>
      </c>
      <c r="AN65" s="74">
        <f t="shared" si="19"/>
        <v>30</v>
      </c>
      <c r="AO65" s="81">
        <f t="shared" si="41"/>
        <v>26</v>
      </c>
      <c r="AP65" s="74">
        <f t="shared" si="20"/>
        <v>44</v>
      </c>
      <c r="AQ65" s="81">
        <f t="shared" si="42"/>
        <v>45.857142857142854</v>
      </c>
      <c r="AR65" s="74">
        <f t="shared" si="21"/>
        <v>19</v>
      </c>
      <c r="AS65" s="81">
        <f t="shared" si="43"/>
        <v>28.714285714285715</v>
      </c>
      <c r="AT65" s="83">
        <f t="shared" si="8"/>
        <v>0.57339449541284404</v>
      </c>
      <c r="AU65" s="83">
        <f t="shared" si="9"/>
        <v>0.13761467889908258</v>
      </c>
      <c r="AV65" s="83">
        <f t="shared" si="10"/>
        <v>0.20183486238532111</v>
      </c>
      <c r="AW65" s="84">
        <f t="shared" si="11"/>
        <v>8.7155963302752298E-2</v>
      </c>
      <c r="AX65" s="83">
        <f t="shared" si="55"/>
        <v>0.54355928042486401</v>
      </c>
      <c r="AY65" s="83">
        <f t="shared" si="55"/>
        <v>0.11806267768242917</v>
      </c>
      <c r="AZ65" s="83">
        <f t="shared" si="55"/>
        <v>0.20895553711292753</v>
      </c>
      <c r="BA65" s="84">
        <f t="shared" si="55"/>
        <v>0.12942250477977926</v>
      </c>
      <c r="BB65" s="74">
        <v>0</v>
      </c>
      <c r="BC65" s="81">
        <f t="shared" si="43"/>
        <v>0</v>
      </c>
      <c r="BD65" s="74">
        <v>0</v>
      </c>
      <c r="BE65" s="81">
        <f t="shared" si="44"/>
        <v>0</v>
      </c>
      <c r="BF65" s="74">
        <v>0</v>
      </c>
      <c r="BG65" s="81">
        <f t="shared" si="45"/>
        <v>0</v>
      </c>
      <c r="BH65" s="74">
        <v>0</v>
      </c>
      <c r="BI65" s="81">
        <f t="shared" si="46"/>
        <v>0</v>
      </c>
      <c r="BJ65" s="74">
        <v>125</v>
      </c>
      <c r="BK65" s="81">
        <f t="shared" si="47"/>
        <v>119.85714285714286</v>
      </c>
      <c r="BL65" s="74">
        <v>30</v>
      </c>
      <c r="BM65" s="81">
        <f t="shared" si="48"/>
        <v>26</v>
      </c>
      <c r="BN65" s="74">
        <v>44</v>
      </c>
      <c r="BO65" s="81">
        <f t="shared" si="49"/>
        <v>45.857142857142854</v>
      </c>
      <c r="BP65" s="74">
        <v>19</v>
      </c>
      <c r="BQ65" s="81">
        <f t="shared" si="50"/>
        <v>28.714285714285715</v>
      </c>
    </row>
    <row r="66" spans="1:69" x14ac:dyDescent="0.25">
      <c r="A66" s="85">
        <f t="shared" si="22"/>
        <v>45576</v>
      </c>
      <c r="B66" s="74">
        <f t="shared" si="12"/>
        <v>648</v>
      </c>
      <c r="C66" s="81">
        <f t="shared" si="23"/>
        <v>762</v>
      </c>
      <c r="D66" s="74">
        <f t="shared" si="13"/>
        <v>36</v>
      </c>
      <c r="E66" s="99">
        <f t="shared" si="24"/>
        <v>38.5</v>
      </c>
      <c r="F66" s="74">
        <v>169.53424658000003</v>
      </c>
      <c r="G66" s="81">
        <f t="shared" si="25"/>
        <v>204.43835617000005</v>
      </c>
      <c r="H66" s="74">
        <v>169.53424658000003</v>
      </c>
      <c r="I66" s="99">
        <f t="shared" si="26"/>
        <v>204.43835617000005</v>
      </c>
      <c r="J66" s="74">
        <f t="shared" si="14"/>
        <v>648</v>
      </c>
      <c r="K66" s="81">
        <f t="shared" si="27"/>
        <v>762</v>
      </c>
      <c r="L66" s="74">
        <f t="shared" si="15"/>
        <v>36</v>
      </c>
      <c r="M66" s="99">
        <f t="shared" si="28"/>
        <v>38.5</v>
      </c>
      <c r="N66" s="74">
        <f t="shared" si="16"/>
        <v>648</v>
      </c>
      <c r="O66" s="81">
        <f t="shared" si="29"/>
        <v>762</v>
      </c>
      <c r="P66" s="74">
        <f t="shared" si="17"/>
        <v>36</v>
      </c>
      <c r="Q66" s="99">
        <f t="shared" si="30"/>
        <v>38.5</v>
      </c>
      <c r="R66" s="74">
        <v>170</v>
      </c>
      <c r="S66" s="81">
        <f t="shared" si="31"/>
        <v>205</v>
      </c>
      <c r="T66" s="74">
        <v>36</v>
      </c>
      <c r="U66" s="99">
        <f t="shared" si="32"/>
        <v>38.5</v>
      </c>
      <c r="V66" s="74">
        <v>478</v>
      </c>
      <c r="W66" s="81">
        <f t="shared" si="33"/>
        <v>557</v>
      </c>
      <c r="X66" s="74">
        <v>0</v>
      </c>
      <c r="Y66" s="99">
        <f t="shared" si="34"/>
        <v>0</v>
      </c>
      <c r="Z66" s="74">
        <v>0</v>
      </c>
      <c r="AA66" s="81">
        <f t="shared" si="35"/>
        <v>0</v>
      </c>
      <c r="AB66" s="74">
        <v>0</v>
      </c>
      <c r="AC66" s="99">
        <f t="shared" si="36"/>
        <v>0</v>
      </c>
      <c r="AD66" s="105">
        <v>0</v>
      </c>
      <c r="AE66" s="81">
        <f t="shared" si="37"/>
        <v>0</v>
      </c>
      <c r="AF66" s="105">
        <v>0</v>
      </c>
      <c r="AG66" s="99">
        <f t="shared" si="38"/>
        <v>0</v>
      </c>
      <c r="AH66" s="74">
        <v>0</v>
      </c>
      <c r="AI66" s="81">
        <f t="shared" si="39"/>
        <v>0</v>
      </c>
      <c r="AJ66" s="74">
        <v>0</v>
      </c>
      <c r="AK66" s="99">
        <f t="shared" si="40"/>
        <v>0</v>
      </c>
      <c r="AL66" s="74">
        <f t="shared" si="18"/>
        <v>87</v>
      </c>
      <c r="AM66" s="81">
        <f t="shared" si="51"/>
        <v>113.57142857142857</v>
      </c>
      <c r="AN66" s="74">
        <f t="shared" si="19"/>
        <v>21</v>
      </c>
      <c r="AO66" s="81">
        <f t="shared" si="41"/>
        <v>25.285714285714285</v>
      </c>
      <c r="AP66" s="74">
        <f t="shared" si="20"/>
        <v>43</v>
      </c>
      <c r="AQ66" s="81">
        <f t="shared" si="42"/>
        <v>45.571428571428569</v>
      </c>
      <c r="AR66" s="74">
        <f t="shared" si="21"/>
        <v>19</v>
      </c>
      <c r="AS66" s="81">
        <f t="shared" si="43"/>
        <v>26</v>
      </c>
      <c r="AT66" s="83">
        <f t="shared" si="8"/>
        <v>0.5117647058823529</v>
      </c>
      <c r="AU66" s="83">
        <f t="shared" si="9"/>
        <v>0.12352941176470589</v>
      </c>
      <c r="AV66" s="83">
        <f t="shared" si="10"/>
        <v>0.25294117647058822</v>
      </c>
      <c r="AW66" s="84">
        <f t="shared" si="11"/>
        <v>0.11176470588235295</v>
      </c>
      <c r="AX66" s="83">
        <f t="shared" si="55"/>
        <v>0.53869233364615254</v>
      </c>
      <c r="AY66" s="83">
        <f t="shared" si="55"/>
        <v>0.1202335460297681</v>
      </c>
      <c r="AZ66" s="83">
        <f t="shared" si="55"/>
        <v>0.21830427660872584</v>
      </c>
      <c r="BA66" s="84">
        <f t="shared" si="55"/>
        <v>0.1227698437153535</v>
      </c>
      <c r="BB66" s="74">
        <v>0</v>
      </c>
      <c r="BC66" s="81">
        <f t="shared" si="43"/>
        <v>0</v>
      </c>
      <c r="BD66" s="74">
        <v>0</v>
      </c>
      <c r="BE66" s="81">
        <f t="shared" si="44"/>
        <v>0</v>
      </c>
      <c r="BF66" s="74">
        <v>0</v>
      </c>
      <c r="BG66" s="81">
        <f t="shared" si="45"/>
        <v>0</v>
      </c>
      <c r="BH66" s="74">
        <v>0</v>
      </c>
      <c r="BI66" s="81">
        <f t="shared" si="46"/>
        <v>0</v>
      </c>
      <c r="BJ66" s="74">
        <v>87</v>
      </c>
      <c r="BK66" s="81">
        <f t="shared" si="47"/>
        <v>113.57142857142857</v>
      </c>
      <c r="BL66" s="74">
        <v>21</v>
      </c>
      <c r="BM66" s="81">
        <f t="shared" si="48"/>
        <v>25.285714285714285</v>
      </c>
      <c r="BN66" s="74">
        <v>43</v>
      </c>
      <c r="BO66" s="81">
        <f t="shared" si="49"/>
        <v>45.571428571428569</v>
      </c>
      <c r="BP66" s="74">
        <v>19</v>
      </c>
      <c r="BQ66" s="81">
        <f t="shared" si="50"/>
        <v>26</v>
      </c>
    </row>
    <row r="67" spans="1:69" x14ac:dyDescent="0.25">
      <c r="A67" s="85">
        <f t="shared" si="22"/>
        <v>45583</v>
      </c>
      <c r="B67" s="74">
        <f t="shared" si="12"/>
        <v>751</v>
      </c>
      <c r="C67" s="81">
        <f t="shared" si="23"/>
        <v>757</v>
      </c>
      <c r="D67" s="74">
        <f t="shared" si="13"/>
        <v>46</v>
      </c>
      <c r="E67" s="99">
        <f t="shared" si="24"/>
        <v>40.5</v>
      </c>
      <c r="F67" s="74">
        <v>193.46849315599999</v>
      </c>
      <c r="G67" s="81">
        <f t="shared" si="25"/>
        <v>197.20821918350003</v>
      </c>
      <c r="H67" s="74">
        <v>193.46849315599999</v>
      </c>
      <c r="I67" s="99">
        <f t="shared" si="26"/>
        <v>197.20821918350003</v>
      </c>
      <c r="J67" s="74">
        <f t="shared" si="14"/>
        <v>751</v>
      </c>
      <c r="K67" s="81">
        <f t="shared" si="27"/>
        <v>757</v>
      </c>
      <c r="L67" s="74">
        <f t="shared" si="15"/>
        <v>46</v>
      </c>
      <c r="M67" s="99">
        <f t="shared" si="28"/>
        <v>40.5</v>
      </c>
      <c r="N67" s="74">
        <f t="shared" si="16"/>
        <v>751</v>
      </c>
      <c r="O67" s="81">
        <f t="shared" si="29"/>
        <v>757</v>
      </c>
      <c r="P67" s="74">
        <f t="shared" si="17"/>
        <v>46</v>
      </c>
      <c r="Q67" s="99">
        <f t="shared" si="30"/>
        <v>40.5</v>
      </c>
      <c r="R67" s="74">
        <v>194</v>
      </c>
      <c r="S67" s="81">
        <f t="shared" si="31"/>
        <v>197.75</v>
      </c>
      <c r="T67" s="74">
        <v>46</v>
      </c>
      <c r="U67" s="99">
        <f t="shared" si="32"/>
        <v>40.5</v>
      </c>
      <c r="V67" s="74">
        <v>557</v>
      </c>
      <c r="W67" s="81">
        <f t="shared" si="33"/>
        <v>559.25</v>
      </c>
      <c r="X67" s="74">
        <v>0</v>
      </c>
      <c r="Y67" s="99">
        <f t="shared" si="34"/>
        <v>0</v>
      </c>
      <c r="Z67" s="74">
        <v>0</v>
      </c>
      <c r="AA67" s="81">
        <f t="shared" si="35"/>
        <v>0</v>
      </c>
      <c r="AB67" s="74">
        <v>0</v>
      </c>
      <c r="AC67" s="99">
        <f t="shared" si="36"/>
        <v>0</v>
      </c>
      <c r="AD67" s="105">
        <v>0</v>
      </c>
      <c r="AE67" s="81">
        <f t="shared" si="37"/>
        <v>0</v>
      </c>
      <c r="AF67" s="105">
        <v>0</v>
      </c>
      <c r="AG67" s="99">
        <f t="shared" si="38"/>
        <v>0</v>
      </c>
      <c r="AH67" s="74">
        <v>0</v>
      </c>
      <c r="AI67" s="81">
        <f t="shared" si="39"/>
        <v>0</v>
      </c>
      <c r="AJ67" s="74">
        <v>0</v>
      </c>
      <c r="AK67" s="99">
        <f t="shared" si="40"/>
        <v>0</v>
      </c>
      <c r="AL67" s="74">
        <f t="shared" si="18"/>
        <v>108</v>
      </c>
      <c r="AM67" s="81">
        <f t="shared" si="51"/>
        <v>113.42857142857143</v>
      </c>
      <c r="AN67" s="74">
        <f t="shared" si="19"/>
        <v>21</v>
      </c>
      <c r="AO67" s="81">
        <f t="shared" si="41"/>
        <v>25.142857142857142</v>
      </c>
      <c r="AP67" s="74">
        <f t="shared" si="20"/>
        <v>38</v>
      </c>
      <c r="AQ67" s="81">
        <f t="shared" si="42"/>
        <v>45.285714285714285</v>
      </c>
      <c r="AR67" s="74">
        <f t="shared" si="21"/>
        <v>27</v>
      </c>
      <c r="AS67" s="81">
        <f t="shared" si="43"/>
        <v>26.571428571428573</v>
      </c>
      <c r="AT67" s="83">
        <f t="shared" si="8"/>
        <v>0.55670103092783507</v>
      </c>
      <c r="AU67" s="83">
        <f t="shared" si="9"/>
        <v>0.10824742268041238</v>
      </c>
      <c r="AV67" s="83">
        <f t="shared" si="10"/>
        <v>0.19587628865979381</v>
      </c>
      <c r="AW67" s="84">
        <f t="shared" si="11"/>
        <v>0.13917525773195877</v>
      </c>
      <c r="AX67" s="83">
        <f t="shared" si="55"/>
        <v>0.53795595662111573</v>
      </c>
      <c r="AY67" s="83">
        <f t="shared" si="55"/>
        <v>0.11949716900473129</v>
      </c>
      <c r="AZ67" s="83">
        <f t="shared" si="55"/>
        <v>0.21683152255865218</v>
      </c>
      <c r="BA67" s="84">
        <f t="shared" si="55"/>
        <v>0.12571535181550078</v>
      </c>
      <c r="BB67" s="74">
        <v>0</v>
      </c>
      <c r="BC67" s="81">
        <f t="shared" si="43"/>
        <v>0</v>
      </c>
      <c r="BD67" s="74">
        <v>0</v>
      </c>
      <c r="BE67" s="81">
        <f t="shared" si="44"/>
        <v>0</v>
      </c>
      <c r="BF67" s="74">
        <v>0</v>
      </c>
      <c r="BG67" s="81">
        <f t="shared" si="45"/>
        <v>0</v>
      </c>
      <c r="BH67" s="74">
        <v>0</v>
      </c>
      <c r="BI67" s="81">
        <f t="shared" si="46"/>
        <v>0</v>
      </c>
      <c r="BJ67" s="74">
        <v>108</v>
      </c>
      <c r="BK67" s="81">
        <f t="shared" si="47"/>
        <v>113.42857142857143</v>
      </c>
      <c r="BL67" s="74">
        <v>21</v>
      </c>
      <c r="BM67" s="81">
        <f t="shared" si="48"/>
        <v>25.142857142857142</v>
      </c>
      <c r="BN67" s="74">
        <v>38</v>
      </c>
      <c r="BO67" s="81">
        <f t="shared" si="49"/>
        <v>45.285714285714285</v>
      </c>
      <c r="BP67" s="74">
        <v>27</v>
      </c>
      <c r="BQ67" s="81">
        <f t="shared" si="50"/>
        <v>26.571428571428573</v>
      </c>
    </row>
    <row r="68" spans="1:69" x14ac:dyDescent="0.25">
      <c r="A68" s="85">
        <f t="shared" si="22"/>
        <v>45590</v>
      </c>
      <c r="B68" s="74">
        <f t="shared" si="12"/>
        <v>823</v>
      </c>
      <c r="C68" s="81">
        <f t="shared" si="23"/>
        <v>754</v>
      </c>
      <c r="D68" s="74">
        <f t="shared" si="13"/>
        <v>66</v>
      </c>
      <c r="E68" s="99">
        <f t="shared" si="24"/>
        <v>46.75</v>
      </c>
      <c r="F68" s="74">
        <v>226.37808219799999</v>
      </c>
      <c r="G68" s="81">
        <f t="shared" si="25"/>
        <v>201.69589041650002</v>
      </c>
      <c r="H68" s="74">
        <v>226.37808219799999</v>
      </c>
      <c r="I68" s="99">
        <f t="shared" si="26"/>
        <v>201.69589041650002</v>
      </c>
      <c r="J68" s="74">
        <f t="shared" si="14"/>
        <v>823</v>
      </c>
      <c r="K68" s="81">
        <f t="shared" si="27"/>
        <v>754</v>
      </c>
      <c r="L68" s="74">
        <f t="shared" si="15"/>
        <v>66</v>
      </c>
      <c r="M68" s="99">
        <f t="shared" si="28"/>
        <v>46.75</v>
      </c>
      <c r="N68" s="74">
        <f t="shared" si="16"/>
        <v>823</v>
      </c>
      <c r="O68" s="81">
        <f t="shared" si="29"/>
        <v>754</v>
      </c>
      <c r="P68" s="74">
        <f t="shared" si="17"/>
        <v>66</v>
      </c>
      <c r="Q68" s="99">
        <f t="shared" si="30"/>
        <v>46.75</v>
      </c>
      <c r="R68" s="74">
        <v>227</v>
      </c>
      <c r="S68" s="81">
        <f t="shared" si="31"/>
        <v>202.25</v>
      </c>
      <c r="T68" s="74">
        <v>66</v>
      </c>
      <c r="U68" s="99">
        <f t="shared" si="32"/>
        <v>46.75</v>
      </c>
      <c r="V68" s="74">
        <v>596</v>
      </c>
      <c r="W68" s="81">
        <f t="shared" si="33"/>
        <v>551.75</v>
      </c>
      <c r="X68" s="74">
        <v>0</v>
      </c>
      <c r="Y68" s="99">
        <f t="shared" si="34"/>
        <v>0</v>
      </c>
      <c r="Z68" s="74">
        <v>0</v>
      </c>
      <c r="AA68" s="81">
        <f t="shared" si="35"/>
        <v>0</v>
      </c>
      <c r="AB68" s="74">
        <v>0</v>
      </c>
      <c r="AC68" s="99">
        <f t="shared" si="36"/>
        <v>0</v>
      </c>
      <c r="AD68" s="105">
        <v>0</v>
      </c>
      <c r="AE68" s="81">
        <f t="shared" si="37"/>
        <v>0</v>
      </c>
      <c r="AF68" s="105">
        <v>0</v>
      </c>
      <c r="AG68" s="99">
        <f t="shared" si="38"/>
        <v>0</v>
      </c>
      <c r="AH68" s="74">
        <v>0</v>
      </c>
      <c r="AI68" s="81">
        <f t="shared" si="39"/>
        <v>0</v>
      </c>
      <c r="AJ68" s="74">
        <v>0</v>
      </c>
      <c r="AK68" s="99">
        <f t="shared" si="40"/>
        <v>0</v>
      </c>
      <c r="AL68" s="74">
        <f t="shared" si="18"/>
        <v>141</v>
      </c>
      <c r="AM68" s="81">
        <f t="shared" si="51"/>
        <v>113.28571428571429</v>
      </c>
      <c r="AN68" s="74">
        <f t="shared" si="19"/>
        <v>21</v>
      </c>
      <c r="AO68" s="81">
        <f t="shared" si="41"/>
        <v>24.428571428571427</v>
      </c>
      <c r="AP68" s="74">
        <f t="shared" si="20"/>
        <v>48</v>
      </c>
      <c r="AQ68" s="81">
        <f t="shared" si="42"/>
        <v>45.714285714285715</v>
      </c>
      <c r="AR68" s="74">
        <f t="shared" si="21"/>
        <v>17</v>
      </c>
      <c r="AS68" s="81">
        <f t="shared" si="43"/>
        <v>24</v>
      </c>
      <c r="AT68" s="83">
        <f t="shared" si="8"/>
        <v>0.62114537444933926</v>
      </c>
      <c r="AU68" s="83">
        <f t="shared" si="9"/>
        <v>9.2511013215859028E-2</v>
      </c>
      <c r="AV68" s="83">
        <f t="shared" si="10"/>
        <v>0.21145374449339208</v>
      </c>
      <c r="AW68" s="84">
        <f t="shared" si="11"/>
        <v>7.4889867841409691E-2</v>
      </c>
      <c r="AX68" s="83">
        <f t="shared" si="55"/>
        <v>0.54489377509083703</v>
      </c>
      <c r="AY68" s="83">
        <f t="shared" si="55"/>
        <v>0.11773606951022268</v>
      </c>
      <c r="AZ68" s="83">
        <f t="shared" si="55"/>
        <v>0.22111754135724743</v>
      </c>
      <c r="BA68" s="84">
        <f t="shared" si="55"/>
        <v>0.11625261404169296</v>
      </c>
      <c r="BB68" s="74">
        <v>0</v>
      </c>
      <c r="BC68" s="81">
        <f t="shared" si="43"/>
        <v>0</v>
      </c>
      <c r="BD68" s="74">
        <v>0</v>
      </c>
      <c r="BE68" s="81">
        <f t="shared" si="44"/>
        <v>0</v>
      </c>
      <c r="BF68" s="74">
        <v>0</v>
      </c>
      <c r="BG68" s="81">
        <f t="shared" si="45"/>
        <v>0</v>
      </c>
      <c r="BH68" s="74">
        <v>0</v>
      </c>
      <c r="BI68" s="81">
        <f t="shared" si="46"/>
        <v>0</v>
      </c>
      <c r="BJ68" s="74">
        <v>141</v>
      </c>
      <c r="BK68" s="81">
        <f t="shared" si="47"/>
        <v>113.28571428571429</v>
      </c>
      <c r="BL68" s="74">
        <v>21</v>
      </c>
      <c r="BM68" s="81">
        <f t="shared" si="48"/>
        <v>24.428571428571427</v>
      </c>
      <c r="BN68" s="74">
        <v>48</v>
      </c>
      <c r="BO68" s="81">
        <f t="shared" si="49"/>
        <v>45.714285714285715</v>
      </c>
      <c r="BP68" s="74">
        <v>17</v>
      </c>
      <c r="BQ68" s="81">
        <f t="shared" si="50"/>
        <v>24</v>
      </c>
    </row>
    <row r="69" spans="1:69" x14ac:dyDescent="0.25">
      <c r="A69" s="85">
        <f t="shared" si="22"/>
        <v>45597</v>
      </c>
      <c r="B69" s="74">
        <f t="shared" si="12"/>
        <v>880</v>
      </c>
      <c r="C69" s="81">
        <f t="shared" si="23"/>
        <v>775.5</v>
      </c>
      <c r="D69" s="74">
        <f t="shared" si="13"/>
        <v>79</v>
      </c>
      <c r="E69" s="99">
        <f t="shared" si="24"/>
        <v>56.75</v>
      </c>
      <c r="F69" s="74">
        <v>216.405479458</v>
      </c>
      <c r="G69" s="81">
        <f t="shared" si="25"/>
        <v>201.44657534800001</v>
      </c>
      <c r="H69" s="74">
        <v>216.405479458</v>
      </c>
      <c r="I69" s="99">
        <f t="shared" si="26"/>
        <v>201.44657534800001</v>
      </c>
      <c r="J69" s="74">
        <f t="shared" si="14"/>
        <v>880</v>
      </c>
      <c r="K69" s="81">
        <f t="shared" si="27"/>
        <v>775.5</v>
      </c>
      <c r="L69" s="74">
        <f t="shared" si="15"/>
        <v>79</v>
      </c>
      <c r="M69" s="99">
        <f t="shared" si="28"/>
        <v>56.75</v>
      </c>
      <c r="N69" s="74">
        <f t="shared" si="16"/>
        <v>880</v>
      </c>
      <c r="O69" s="81">
        <f t="shared" si="29"/>
        <v>775.5</v>
      </c>
      <c r="P69" s="74">
        <f t="shared" si="17"/>
        <v>79</v>
      </c>
      <c r="Q69" s="99">
        <f t="shared" si="30"/>
        <v>56.75</v>
      </c>
      <c r="R69" s="74">
        <v>217</v>
      </c>
      <c r="S69" s="81">
        <f t="shared" si="31"/>
        <v>202</v>
      </c>
      <c r="T69" s="74">
        <v>79</v>
      </c>
      <c r="U69" s="99">
        <f t="shared" si="32"/>
        <v>56.75</v>
      </c>
      <c r="V69" s="74">
        <v>663</v>
      </c>
      <c r="W69" s="81">
        <f t="shared" si="33"/>
        <v>573.5</v>
      </c>
      <c r="X69" s="74">
        <v>0</v>
      </c>
      <c r="Y69" s="99">
        <f t="shared" si="34"/>
        <v>0</v>
      </c>
      <c r="Z69" s="74">
        <v>0</v>
      </c>
      <c r="AA69" s="81">
        <f t="shared" si="35"/>
        <v>0</v>
      </c>
      <c r="AB69" s="74">
        <v>0</v>
      </c>
      <c r="AC69" s="99">
        <f t="shared" si="36"/>
        <v>0</v>
      </c>
      <c r="AD69" s="105">
        <v>0</v>
      </c>
      <c r="AE69" s="81">
        <f t="shared" si="37"/>
        <v>0</v>
      </c>
      <c r="AF69" s="105">
        <v>0</v>
      </c>
      <c r="AG69" s="99">
        <f t="shared" si="38"/>
        <v>0</v>
      </c>
      <c r="AH69" s="74">
        <v>0</v>
      </c>
      <c r="AI69" s="81">
        <f t="shared" si="39"/>
        <v>0</v>
      </c>
      <c r="AJ69" s="74">
        <v>0</v>
      </c>
      <c r="AK69" s="99">
        <f t="shared" si="40"/>
        <v>0</v>
      </c>
      <c r="AL69" s="74">
        <f t="shared" si="18"/>
        <v>117</v>
      </c>
      <c r="AM69" s="81">
        <f t="shared" si="51"/>
        <v>113.85714285714286</v>
      </c>
      <c r="AN69" s="74">
        <f t="shared" si="19"/>
        <v>22</v>
      </c>
      <c r="AO69" s="81">
        <f t="shared" si="41"/>
        <v>24.285714285714285</v>
      </c>
      <c r="AP69" s="74">
        <f t="shared" si="20"/>
        <v>49</v>
      </c>
      <c r="AQ69" s="81">
        <f t="shared" si="42"/>
        <v>45.428571428571431</v>
      </c>
      <c r="AR69" s="74">
        <f t="shared" si="21"/>
        <v>29</v>
      </c>
      <c r="AS69" s="81">
        <f t="shared" si="43"/>
        <v>24.714285714285715</v>
      </c>
      <c r="AT69" s="83">
        <f t="shared" si="8"/>
        <v>0.53917050691244239</v>
      </c>
      <c r="AU69" s="83">
        <f t="shared" si="9"/>
        <v>0.10138248847926268</v>
      </c>
      <c r="AV69" s="83">
        <f t="shared" si="10"/>
        <v>0.22580645161290322</v>
      </c>
      <c r="AW69" s="84">
        <f t="shared" si="11"/>
        <v>0.13364055299539171</v>
      </c>
      <c r="AX69" s="83">
        <f t="shared" si="55"/>
        <v>0.54541170126451699</v>
      </c>
      <c r="AY69" s="83">
        <f t="shared" si="55"/>
        <v>0.11664717653061836</v>
      </c>
      <c r="AZ69" s="83">
        <f t="shared" si="55"/>
        <v>0.21884615428231347</v>
      </c>
      <c r="BA69" s="84">
        <f t="shared" si="55"/>
        <v>0.11909496792255118</v>
      </c>
      <c r="BB69" s="74">
        <v>0</v>
      </c>
      <c r="BC69" s="81">
        <f t="shared" si="43"/>
        <v>0</v>
      </c>
      <c r="BD69" s="74">
        <v>0</v>
      </c>
      <c r="BE69" s="81">
        <f t="shared" si="44"/>
        <v>0</v>
      </c>
      <c r="BF69" s="74">
        <v>0</v>
      </c>
      <c r="BG69" s="81">
        <f t="shared" si="45"/>
        <v>0</v>
      </c>
      <c r="BH69" s="74">
        <v>0</v>
      </c>
      <c r="BI69" s="81">
        <f t="shared" si="46"/>
        <v>0</v>
      </c>
      <c r="BJ69" s="74">
        <v>117</v>
      </c>
      <c r="BK69" s="81">
        <f t="shared" si="47"/>
        <v>113.85714285714286</v>
      </c>
      <c r="BL69" s="74">
        <v>22</v>
      </c>
      <c r="BM69" s="81">
        <f t="shared" si="48"/>
        <v>24.285714285714285</v>
      </c>
      <c r="BN69" s="74">
        <v>49</v>
      </c>
      <c r="BO69" s="81">
        <f t="shared" si="49"/>
        <v>45.428571428571431</v>
      </c>
      <c r="BP69" s="74">
        <v>29</v>
      </c>
      <c r="BQ69" s="81">
        <f t="shared" si="50"/>
        <v>24.714285714285715</v>
      </c>
    </row>
    <row r="70" spans="1:69" x14ac:dyDescent="0.25">
      <c r="A70" s="85">
        <f t="shared" si="22"/>
        <v>45604</v>
      </c>
      <c r="B70" s="74">
        <f t="shared" si="12"/>
        <v>728</v>
      </c>
      <c r="C70" s="81">
        <f t="shared" si="23"/>
        <v>795.5</v>
      </c>
      <c r="D70" s="74">
        <f t="shared" si="13"/>
        <v>58</v>
      </c>
      <c r="E70" s="99">
        <f t="shared" si="24"/>
        <v>62.25</v>
      </c>
      <c r="F70" s="74">
        <v>177.51232877200002</v>
      </c>
      <c r="G70" s="81">
        <f t="shared" si="25"/>
        <v>203.44109589600001</v>
      </c>
      <c r="H70" s="74">
        <v>177.51232877200002</v>
      </c>
      <c r="I70" s="99">
        <f t="shared" si="26"/>
        <v>203.44109589600001</v>
      </c>
      <c r="J70" s="74">
        <f t="shared" si="14"/>
        <v>728</v>
      </c>
      <c r="K70" s="81">
        <f t="shared" si="27"/>
        <v>795.5</v>
      </c>
      <c r="L70" s="74">
        <f t="shared" si="15"/>
        <v>58</v>
      </c>
      <c r="M70" s="99">
        <f t="shared" si="28"/>
        <v>62.25</v>
      </c>
      <c r="N70" s="74">
        <f t="shared" si="16"/>
        <v>728</v>
      </c>
      <c r="O70" s="81">
        <f t="shared" si="29"/>
        <v>795.5</v>
      </c>
      <c r="P70" s="74">
        <f t="shared" si="17"/>
        <v>58</v>
      </c>
      <c r="Q70" s="99">
        <f t="shared" si="30"/>
        <v>62.25</v>
      </c>
      <c r="R70" s="74">
        <v>178</v>
      </c>
      <c r="S70" s="81">
        <f t="shared" si="31"/>
        <v>204</v>
      </c>
      <c r="T70" s="74">
        <v>58</v>
      </c>
      <c r="U70" s="99">
        <f t="shared" si="32"/>
        <v>62.25</v>
      </c>
      <c r="V70" s="74">
        <v>550</v>
      </c>
      <c r="W70" s="81">
        <f t="shared" si="33"/>
        <v>591.5</v>
      </c>
      <c r="X70" s="74">
        <v>0</v>
      </c>
      <c r="Y70" s="99">
        <f t="shared" si="34"/>
        <v>0</v>
      </c>
      <c r="Z70" s="74">
        <v>0</v>
      </c>
      <c r="AA70" s="81">
        <f t="shared" si="35"/>
        <v>0</v>
      </c>
      <c r="AB70" s="74">
        <v>0</v>
      </c>
      <c r="AC70" s="99">
        <f t="shared" si="36"/>
        <v>0</v>
      </c>
      <c r="AD70" s="105">
        <v>0</v>
      </c>
      <c r="AE70" s="81">
        <f t="shared" si="37"/>
        <v>0</v>
      </c>
      <c r="AF70" s="105">
        <v>0</v>
      </c>
      <c r="AG70" s="99">
        <f t="shared" si="38"/>
        <v>0</v>
      </c>
      <c r="AH70" s="74">
        <v>0</v>
      </c>
      <c r="AI70" s="81">
        <f t="shared" si="39"/>
        <v>0</v>
      </c>
      <c r="AJ70" s="74">
        <v>0</v>
      </c>
      <c r="AK70" s="99">
        <f t="shared" si="40"/>
        <v>0</v>
      </c>
      <c r="AL70" s="74">
        <f t="shared" si="18"/>
        <v>105</v>
      </c>
      <c r="AM70" s="81">
        <f t="shared" si="51"/>
        <v>113.57142857142857</v>
      </c>
      <c r="AN70" s="74">
        <f t="shared" si="19"/>
        <v>15</v>
      </c>
      <c r="AO70" s="81">
        <f t="shared" si="41"/>
        <v>21.714285714285715</v>
      </c>
      <c r="AP70" s="74">
        <f t="shared" si="20"/>
        <v>38</v>
      </c>
      <c r="AQ70" s="81">
        <f t="shared" si="42"/>
        <v>43.571428571428569</v>
      </c>
      <c r="AR70" s="74">
        <f t="shared" si="21"/>
        <v>20</v>
      </c>
      <c r="AS70" s="81">
        <f t="shared" si="43"/>
        <v>23</v>
      </c>
      <c r="AT70" s="83">
        <f t="shared" ref="AT70:AT110" si="56">AL70/SUM($AL70,$AN70,$AP70,$AR70)</f>
        <v>0.5898876404494382</v>
      </c>
      <c r="AU70" s="83">
        <f t="shared" ref="AU70:AU110" si="57">AN70/SUM($AL70,$AN70,$AP70,$AR70)</f>
        <v>8.4269662921348312E-2</v>
      </c>
      <c r="AV70" s="83">
        <f t="shared" ref="AV70:AV110" si="58">AP70/SUM($AL70,$AN70,$AP70,$AR70)</f>
        <v>0.21348314606741572</v>
      </c>
      <c r="AW70" s="84">
        <f t="shared" ref="AW70:AW110" si="59">AR70/SUM($AL70,$AN70,$AP70,$AR70)</f>
        <v>0.11235955056179775</v>
      </c>
      <c r="AX70" s="83">
        <f t="shared" si="55"/>
        <v>0.56113556021405242</v>
      </c>
      <c r="AY70" s="83">
        <f t="shared" si="55"/>
        <v>0.10754540512220111</v>
      </c>
      <c r="AZ70" s="83">
        <f t="shared" si="55"/>
        <v>0.21667238206772904</v>
      </c>
      <c r="BA70" s="84">
        <f t="shared" si="55"/>
        <v>0.1146466525960175</v>
      </c>
      <c r="BB70" s="74">
        <v>0</v>
      </c>
      <c r="BC70" s="81">
        <f t="shared" si="43"/>
        <v>0</v>
      </c>
      <c r="BD70" s="74">
        <v>0</v>
      </c>
      <c r="BE70" s="81">
        <f t="shared" si="44"/>
        <v>0</v>
      </c>
      <c r="BF70" s="74">
        <v>0</v>
      </c>
      <c r="BG70" s="81">
        <f t="shared" si="45"/>
        <v>0</v>
      </c>
      <c r="BH70" s="74">
        <v>0</v>
      </c>
      <c r="BI70" s="81">
        <f t="shared" si="46"/>
        <v>0</v>
      </c>
      <c r="BJ70" s="74">
        <v>105</v>
      </c>
      <c r="BK70" s="81">
        <f t="shared" si="47"/>
        <v>113.57142857142857</v>
      </c>
      <c r="BL70" s="74">
        <v>15</v>
      </c>
      <c r="BM70" s="81">
        <f t="shared" si="48"/>
        <v>21.714285714285715</v>
      </c>
      <c r="BN70" s="74">
        <v>38</v>
      </c>
      <c r="BO70" s="81">
        <f t="shared" si="49"/>
        <v>43.571428571428569</v>
      </c>
      <c r="BP70" s="74">
        <v>20</v>
      </c>
      <c r="BQ70" s="81">
        <f t="shared" si="50"/>
        <v>23</v>
      </c>
    </row>
    <row r="71" spans="1:69" x14ac:dyDescent="0.25">
      <c r="A71" s="85">
        <f t="shared" si="22"/>
        <v>45611</v>
      </c>
      <c r="B71" s="74">
        <f t="shared" ref="B71:B110" si="60">R71+V71+Z71</f>
        <v>743</v>
      </c>
      <c r="C71" s="81">
        <f t="shared" si="23"/>
        <v>793.5</v>
      </c>
      <c r="D71" s="74">
        <f t="shared" ref="D71:D110" si="61">T71+X71+AB71</f>
        <v>64</v>
      </c>
      <c r="E71" s="99">
        <f t="shared" si="24"/>
        <v>66.75</v>
      </c>
      <c r="F71" s="74">
        <v>184.49315068999999</v>
      </c>
      <c r="G71" s="81">
        <f t="shared" si="25"/>
        <v>201.1972602795</v>
      </c>
      <c r="H71" s="74">
        <v>184.49315068999999</v>
      </c>
      <c r="I71" s="99">
        <f t="shared" si="26"/>
        <v>201.1972602795</v>
      </c>
      <c r="J71" s="74">
        <f t="shared" ref="J71:J110" si="62">R71+V71+AH71</f>
        <v>743</v>
      </c>
      <c r="K71" s="81">
        <f t="shared" si="27"/>
        <v>793.5</v>
      </c>
      <c r="L71" s="74">
        <f t="shared" ref="L71:L110" si="63">T71+X71+AJ71</f>
        <v>64</v>
      </c>
      <c r="M71" s="99">
        <f t="shared" si="28"/>
        <v>66.75</v>
      </c>
      <c r="N71" s="74">
        <f t="shared" ref="N71:N110" si="64">R71+V71</f>
        <v>743</v>
      </c>
      <c r="O71" s="81">
        <f t="shared" si="29"/>
        <v>793.5</v>
      </c>
      <c r="P71" s="74">
        <f t="shared" ref="P71:P110" si="65">T71+X71</f>
        <v>64</v>
      </c>
      <c r="Q71" s="99">
        <f t="shared" si="30"/>
        <v>66.75</v>
      </c>
      <c r="R71" s="74">
        <v>185</v>
      </c>
      <c r="S71" s="81">
        <f t="shared" si="31"/>
        <v>201.75</v>
      </c>
      <c r="T71" s="74">
        <v>64</v>
      </c>
      <c r="U71" s="99">
        <f t="shared" si="32"/>
        <v>66.75</v>
      </c>
      <c r="V71" s="74">
        <v>558</v>
      </c>
      <c r="W71" s="81">
        <f t="shared" si="33"/>
        <v>591.75</v>
      </c>
      <c r="X71" s="74">
        <v>0</v>
      </c>
      <c r="Y71" s="99">
        <f t="shared" si="34"/>
        <v>0</v>
      </c>
      <c r="Z71" s="74">
        <v>0</v>
      </c>
      <c r="AA71" s="81">
        <f t="shared" si="35"/>
        <v>0</v>
      </c>
      <c r="AB71" s="74">
        <v>0</v>
      </c>
      <c r="AC71" s="99">
        <f t="shared" si="36"/>
        <v>0</v>
      </c>
      <c r="AD71" s="105">
        <v>0</v>
      </c>
      <c r="AE71" s="81">
        <f t="shared" si="37"/>
        <v>0</v>
      </c>
      <c r="AF71" s="105">
        <v>0</v>
      </c>
      <c r="AG71" s="99">
        <f t="shared" si="38"/>
        <v>0</v>
      </c>
      <c r="AH71" s="74">
        <v>0</v>
      </c>
      <c r="AI71" s="81">
        <f t="shared" si="39"/>
        <v>0</v>
      </c>
      <c r="AJ71" s="74">
        <v>0</v>
      </c>
      <c r="AK71" s="99">
        <f t="shared" si="40"/>
        <v>0</v>
      </c>
      <c r="AL71" s="74">
        <f t="shared" ref="AL71:AL110" si="66">BB71+BJ71</f>
        <v>111</v>
      </c>
      <c r="AM71" s="81">
        <f t="shared" si="51"/>
        <v>113.42857142857143</v>
      </c>
      <c r="AN71" s="74">
        <f t="shared" ref="AN71:AN110" si="67">BD71+BL71</f>
        <v>19</v>
      </c>
      <c r="AO71" s="81">
        <f t="shared" si="41"/>
        <v>21.285714285714285</v>
      </c>
      <c r="AP71" s="74">
        <f t="shared" ref="AP71:AP110" si="68">BF71+BN71</f>
        <v>40</v>
      </c>
      <c r="AQ71" s="81">
        <f t="shared" si="42"/>
        <v>42.857142857142854</v>
      </c>
      <c r="AR71" s="74">
        <f t="shared" ref="AR71:AR110" si="69">BH71+BP71</f>
        <v>15</v>
      </c>
      <c r="AS71" s="81">
        <f t="shared" si="43"/>
        <v>20.857142857142858</v>
      </c>
      <c r="AT71" s="83">
        <f t="shared" si="56"/>
        <v>0.6</v>
      </c>
      <c r="AU71" s="83">
        <f t="shared" si="57"/>
        <v>0.10270270270270271</v>
      </c>
      <c r="AV71" s="83">
        <f t="shared" si="58"/>
        <v>0.21621621621621623</v>
      </c>
      <c r="AW71" s="84">
        <f t="shared" si="59"/>
        <v>8.1081081081081086E-2</v>
      </c>
      <c r="AX71" s="83">
        <f t="shared" si="55"/>
        <v>0.57029482200489323</v>
      </c>
      <c r="AY71" s="83">
        <f t="shared" si="55"/>
        <v>0.10717962580905335</v>
      </c>
      <c r="AZ71" s="83">
        <f t="shared" si="55"/>
        <v>0.21680169798651863</v>
      </c>
      <c r="BA71" s="84">
        <f t="shared" si="55"/>
        <v>0.10572385419953489</v>
      </c>
      <c r="BB71" s="74">
        <v>0</v>
      </c>
      <c r="BC71" s="81">
        <f t="shared" si="43"/>
        <v>0</v>
      </c>
      <c r="BD71" s="74">
        <v>0</v>
      </c>
      <c r="BE71" s="81">
        <f t="shared" si="44"/>
        <v>0</v>
      </c>
      <c r="BF71" s="74">
        <v>0</v>
      </c>
      <c r="BG71" s="81">
        <f t="shared" si="45"/>
        <v>0</v>
      </c>
      <c r="BH71" s="74">
        <v>0</v>
      </c>
      <c r="BI71" s="81">
        <f t="shared" si="46"/>
        <v>0</v>
      </c>
      <c r="BJ71" s="74">
        <v>111</v>
      </c>
      <c r="BK71" s="81">
        <f t="shared" si="47"/>
        <v>113.42857142857143</v>
      </c>
      <c r="BL71" s="74">
        <v>19</v>
      </c>
      <c r="BM71" s="81">
        <f t="shared" si="48"/>
        <v>21.285714285714285</v>
      </c>
      <c r="BN71" s="74">
        <v>40</v>
      </c>
      <c r="BO71" s="81">
        <f t="shared" si="49"/>
        <v>42.857142857142854</v>
      </c>
      <c r="BP71" s="74">
        <v>15</v>
      </c>
      <c r="BQ71" s="81">
        <f t="shared" si="50"/>
        <v>20.857142857142858</v>
      </c>
    </row>
    <row r="72" spans="1:69" x14ac:dyDescent="0.25">
      <c r="A72" s="85">
        <f t="shared" ref="A72:A110" si="70">A71+7</f>
        <v>45618</v>
      </c>
      <c r="B72" s="74">
        <f t="shared" si="60"/>
        <v>907</v>
      </c>
      <c r="C72" s="81">
        <f t="shared" si="23"/>
        <v>814.5</v>
      </c>
      <c r="D72" s="74">
        <f t="shared" si="61"/>
        <v>113</v>
      </c>
      <c r="E72" s="99">
        <f t="shared" si="24"/>
        <v>78.5</v>
      </c>
      <c r="F72" s="74">
        <v>232.36164384200012</v>
      </c>
      <c r="G72" s="81">
        <f t="shared" si="25"/>
        <v>202.69315069050003</v>
      </c>
      <c r="H72" s="74">
        <v>232.36164384200012</v>
      </c>
      <c r="I72" s="99">
        <f t="shared" si="26"/>
        <v>202.69315069050003</v>
      </c>
      <c r="J72" s="74">
        <f t="shared" si="62"/>
        <v>907</v>
      </c>
      <c r="K72" s="81">
        <f t="shared" si="27"/>
        <v>814.5</v>
      </c>
      <c r="L72" s="74">
        <f t="shared" si="63"/>
        <v>113</v>
      </c>
      <c r="M72" s="99">
        <f t="shared" si="28"/>
        <v>78.5</v>
      </c>
      <c r="N72" s="74">
        <f t="shared" si="64"/>
        <v>907</v>
      </c>
      <c r="O72" s="81">
        <f t="shared" si="29"/>
        <v>814.5</v>
      </c>
      <c r="P72" s="74">
        <f t="shared" si="65"/>
        <v>113</v>
      </c>
      <c r="Q72" s="99">
        <f t="shared" si="30"/>
        <v>78.5</v>
      </c>
      <c r="R72" s="74">
        <v>233</v>
      </c>
      <c r="S72" s="81">
        <f t="shared" si="31"/>
        <v>203.25</v>
      </c>
      <c r="T72" s="74">
        <v>113</v>
      </c>
      <c r="U72" s="99">
        <f t="shared" si="32"/>
        <v>78.5</v>
      </c>
      <c r="V72" s="74">
        <v>674</v>
      </c>
      <c r="W72" s="81">
        <f t="shared" si="33"/>
        <v>611.25</v>
      </c>
      <c r="X72" s="74">
        <v>0</v>
      </c>
      <c r="Y72" s="99">
        <f t="shared" si="34"/>
        <v>0</v>
      </c>
      <c r="Z72" s="74">
        <v>0</v>
      </c>
      <c r="AA72" s="81">
        <f t="shared" si="35"/>
        <v>0</v>
      </c>
      <c r="AB72" s="74">
        <v>0</v>
      </c>
      <c r="AC72" s="99">
        <f t="shared" si="36"/>
        <v>0</v>
      </c>
      <c r="AD72" s="105">
        <v>0</v>
      </c>
      <c r="AE72" s="81">
        <f t="shared" si="37"/>
        <v>0</v>
      </c>
      <c r="AF72" s="105">
        <v>0</v>
      </c>
      <c r="AG72" s="99">
        <f t="shared" si="38"/>
        <v>0</v>
      </c>
      <c r="AH72" s="74">
        <v>0</v>
      </c>
      <c r="AI72" s="81">
        <f t="shared" si="39"/>
        <v>0</v>
      </c>
      <c r="AJ72" s="74">
        <v>0</v>
      </c>
      <c r="AK72" s="99">
        <f t="shared" si="40"/>
        <v>0</v>
      </c>
      <c r="AL72" s="74">
        <f t="shared" si="66"/>
        <v>131</v>
      </c>
      <c r="AM72" s="81">
        <f t="shared" si="51"/>
        <v>114.28571428571429</v>
      </c>
      <c r="AN72" s="74">
        <f t="shared" si="67"/>
        <v>33</v>
      </c>
      <c r="AO72" s="81">
        <f t="shared" si="41"/>
        <v>21.714285714285715</v>
      </c>
      <c r="AP72" s="74">
        <f t="shared" si="68"/>
        <v>46</v>
      </c>
      <c r="AQ72" s="81">
        <f t="shared" si="42"/>
        <v>43.142857142857146</v>
      </c>
      <c r="AR72" s="74">
        <f t="shared" si="69"/>
        <v>23</v>
      </c>
      <c r="AS72" s="81">
        <f t="shared" si="43"/>
        <v>21.428571428571427</v>
      </c>
      <c r="AT72" s="83">
        <f t="shared" si="56"/>
        <v>0.5622317596566524</v>
      </c>
      <c r="AU72" s="83">
        <f t="shared" si="57"/>
        <v>0.14163090128755365</v>
      </c>
      <c r="AV72" s="83">
        <f t="shared" si="58"/>
        <v>0.19742489270386265</v>
      </c>
      <c r="AW72" s="84">
        <f t="shared" si="59"/>
        <v>9.8712446351931327E-2</v>
      </c>
      <c r="AX72" s="83">
        <f t="shared" si="55"/>
        <v>0.56870014546829428</v>
      </c>
      <c r="AY72" s="83">
        <f t="shared" si="55"/>
        <v>0.10775337186454924</v>
      </c>
      <c r="AZ72" s="83">
        <f t="shared" si="55"/>
        <v>0.21617170231773883</v>
      </c>
      <c r="BA72" s="84">
        <f t="shared" si="55"/>
        <v>0.10737478034941761</v>
      </c>
      <c r="BB72" s="74">
        <v>0</v>
      </c>
      <c r="BC72" s="81">
        <f t="shared" si="43"/>
        <v>0</v>
      </c>
      <c r="BD72" s="74">
        <v>0</v>
      </c>
      <c r="BE72" s="81">
        <f t="shared" si="44"/>
        <v>0</v>
      </c>
      <c r="BF72" s="74">
        <v>0</v>
      </c>
      <c r="BG72" s="81">
        <f t="shared" si="45"/>
        <v>0</v>
      </c>
      <c r="BH72" s="74">
        <v>0</v>
      </c>
      <c r="BI72" s="81">
        <f t="shared" si="46"/>
        <v>0</v>
      </c>
      <c r="BJ72" s="74">
        <v>131</v>
      </c>
      <c r="BK72" s="81">
        <f t="shared" si="47"/>
        <v>114.28571428571429</v>
      </c>
      <c r="BL72" s="74">
        <v>33</v>
      </c>
      <c r="BM72" s="81">
        <f t="shared" si="48"/>
        <v>21.714285714285715</v>
      </c>
      <c r="BN72" s="74">
        <v>46</v>
      </c>
      <c r="BO72" s="81">
        <f t="shared" si="49"/>
        <v>43.142857142857146</v>
      </c>
      <c r="BP72" s="74">
        <v>23</v>
      </c>
      <c r="BQ72" s="81">
        <f t="shared" si="50"/>
        <v>21.428571428571427</v>
      </c>
    </row>
    <row r="73" spans="1:69" x14ac:dyDescent="0.25">
      <c r="A73" s="85">
        <f t="shared" si="70"/>
        <v>45625</v>
      </c>
      <c r="B73" s="74">
        <f t="shared" si="60"/>
        <v>964</v>
      </c>
      <c r="C73" s="81">
        <f t="shared" si="23"/>
        <v>835.5</v>
      </c>
      <c r="D73" s="74">
        <f t="shared" si="61"/>
        <v>104</v>
      </c>
      <c r="E73" s="99">
        <f t="shared" si="24"/>
        <v>84.75</v>
      </c>
      <c r="F73" s="74">
        <v>201.44657534800007</v>
      </c>
      <c r="G73" s="81">
        <f t="shared" si="25"/>
        <v>198.95342466300008</v>
      </c>
      <c r="H73" s="74">
        <v>201.44657534800007</v>
      </c>
      <c r="I73" s="99">
        <f t="shared" si="26"/>
        <v>198.95342466300008</v>
      </c>
      <c r="J73" s="74">
        <f t="shared" si="62"/>
        <v>964</v>
      </c>
      <c r="K73" s="81">
        <f t="shared" si="27"/>
        <v>835.5</v>
      </c>
      <c r="L73" s="74">
        <f t="shared" si="63"/>
        <v>104</v>
      </c>
      <c r="M73" s="99">
        <f t="shared" si="28"/>
        <v>84.75</v>
      </c>
      <c r="N73" s="74">
        <f t="shared" si="64"/>
        <v>964</v>
      </c>
      <c r="O73" s="81">
        <f t="shared" si="29"/>
        <v>835.5</v>
      </c>
      <c r="P73" s="74">
        <f t="shared" si="65"/>
        <v>104</v>
      </c>
      <c r="Q73" s="99">
        <f t="shared" si="30"/>
        <v>84.75</v>
      </c>
      <c r="R73" s="74">
        <v>202</v>
      </c>
      <c r="S73" s="81">
        <f t="shared" si="31"/>
        <v>199.5</v>
      </c>
      <c r="T73" s="74">
        <v>104</v>
      </c>
      <c r="U73" s="99">
        <f t="shared" si="32"/>
        <v>84.75</v>
      </c>
      <c r="V73" s="74">
        <v>762</v>
      </c>
      <c r="W73" s="81">
        <f t="shared" si="33"/>
        <v>636</v>
      </c>
      <c r="X73" s="74">
        <v>0</v>
      </c>
      <c r="Y73" s="99">
        <f t="shared" si="34"/>
        <v>0</v>
      </c>
      <c r="Z73" s="74">
        <v>0</v>
      </c>
      <c r="AA73" s="81">
        <f t="shared" si="35"/>
        <v>0</v>
      </c>
      <c r="AB73" s="74">
        <v>0</v>
      </c>
      <c r="AC73" s="99">
        <f t="shared" si="36"/>
        <v>0</v>
      </c>
      <c r="AD73" s="105">
        <v>0</v>
      </c>
      <c r="AE73" s="81">
        <f t="shared" si="37"/>
        <v>0</v>
      </c>
      <c r="AF73" s="105">
        <v>0</v>
      </c>
      <c r="AG73" s="99">
        <f t="shared" si="38"/>
        <v>0</v>
      </c>
      <c r="AH73" s="74">
        <v>0</v>
      </c>
      <c r="AI73" s="81">
        <f t="shared" si="39"/>
        <v>0</v>
      </c>
      <c r="AJ73" s="74">
        <v>0</v>
      </c>
      <c r="AK73" s="99">
        <f t="shared" si="40"/>
        <v>0</v>
      </c>
      <c r="AL73" s="74">
        <f t="shared" si="66"/>
        <v>118</v>
      </c>
      <c r="AM73" s="81">
        <f t="shared" si="51"/>
        <v>118.71428571428571</v>
      </c>
      <c r="AN73" s="74">
        <f t="shared" si="67"/>
        <v>21</v>
      </c>
      <c r="AO73" s="81">
        <f t="shared" si="41"/>
        <v>21.714285714285715</v>
      </c>
      <c r="AP73" s="74">
        <f t="shared" si="68"/>
        <v>42</v>
      </c>
      <c r="AQ73" s="81">
        <f t="shared" si="42"/>
        <v>43</v>
      </c>
      <c r="AR73" s="74">
        <f t="shared" si="69"/>
        <v>21</v>
      </c>
      <c r="AS73" s="81">
        <f t="shared" si="43"/>
        <v>21.714285714285715</v>
      </c>
      <c r="AT73" s="83">
        <f t="shared" si="56"/>
        <v>0.58415841584158412</v>
      </c>
      <c r="AU73" s="83">
        <f t="shared" si="57"/>
        <v>0.10396039603960396</v>
      </c>
      <c r="AV73" s="83">
        <f t="shared" si="58"/>
        <v>0.20792079207920791</v>
      </c>
      <c r="AW73" s="84">
        <f t="shared" si="59"/>
        <v>0.10396039603960396</v>
      </c>
      <c r="AX73" s="83">
        <f t="shared" si="55"/>
        <v>0.57904210403389877</v>
      </c>
      <c r="AY73" s="83">
        <f t="shared" si="55"/>
        <v>0.10495779818953467</v>
      </c>
      <c r="AZ73" s="83">
        <f t="shared" si="55"/>
        <v>0.20974021883325594</v>
      </c>
      <c r="BA73" s="84">
        <f t="shared" si="55"/>
        <v>0.1062598789433106</v>
      </c>
      <c r="BB73" s="74">
        <v>0</v>
      </c>
      <c r="BC73" s="81">
        <f t="shared" si="43"/>
        <v>0</v>
      </c>
      <c r="BD73" s="74">
        <v>0</v>
      </c>
      <c r="BE73" s="81">
        <f t="shared" si="44"/>
        <v>0</v>
      </c>
      <c r="BF73" s="74">
        <v>0</v>
      </c>
      <c r="BG73" s="81">
        <f t="shared" si="45"/>
        <v>0</v>
      </c>
      <c r="BH73" s="74">
        <v>0</v>
      </c>
      <c r="BI73" s="81">
        <f t="shared" si="46"/>
        <v>0</v>
      </c>
      <c r="BJ73" s="74">
        <v>118</v>
      </c>
      <c r="BK73" s="81">
        <f t="shared" si="47"/>
        <v>118.71428571428571</v>
      </c>
      <c r="BL73" s="74">
        <v>21</v>
      </c>
      <c r="BM73" s="81">
        <f t="shared" si="48"/>
        <v>21.714285714285715</v>
      </c>
      <c r="BN73" s="74">
        <v>42</v>
      </c>
      <c r="BO73" s="81">
        <f t="shared" si="49"/>
        <v>43</v>
      </c>
      <c r="BP73" s="74">
        <v>21</v>
      </c>
      <c r="BQ73" s="81">
        <f t="shared" si="50"/>
        <v>21.714285714285715</v>
      </c>
    </row>
    <row r="74" spans="1:69" x14ac:dyDescent="0.25">
      <c r="A74" s="85">
        <f t="shared" si="70"/>
        <v>45632</v>
      </c>
      <c r="B74" s="74">
        <f t="shared" si="60"/>
        <v>1037</v>
      </c>
      <c r="C74" s="81">
        <f t="shared" ref="C74:C110" si="71">AVERAGE(B71:B74)</f>
        <v>912.75</v>
      </c>
      <c r="D74" s="74">
        <f t="shared" si="61"/>
        <v>76</v>
      </c>
      <c r="E74" s="99">
        <f t="shared" ref="E74:E110" si="72">AVERAGE(D71:D74)</f>
        <v>89.25</v>
      </c>
      <c r="F74" s="74">
        <v>246.32328767800001</v>
      </c>
      <c r="G74" s="81">
        <f t="shared" ref="G74:G110" si="73">AVERAGE(F71:F74)</f>
        <v>216.15616438950008</v>
      </c>
      <c r="H74" s="74">
        <v>246.32328767800001</v>
      </c>
      <c r="I74" s="99">
        <f t="shared" ref="I74:I110" si="74">AVERAGE(H71:H74)</f>
        <v>216.15616438950008</v>
      </c>
      <c r="J74" s="74">
        <f t="shared" si="62"/>
        <v>1037</v>
      </c>
      <c r="K74" s="81">
        <f t="shared" ref="K74:K110" si="75">AVERAGE(J71:J74)</f>
        <v>912.75</v>
      </c>
      <c r="L74" s="74">
        <f t="shared" si="63"/>
        <v>76</v>
      </c>
      <c r="M74" s="99">
        <f t="shared" ref="M74:M110" si="76">AVERAGE(L71:L74)</f>
        <v>89.25</v>
      </c>
      <c r="N74" s="74">
        <f t="shared" si="64"/>
        <v>1037</v>
      </c>
      <c r="O74" s="81">
        <f t="shared" ref="O74:O110" si="77">AVERAGE(N71:N74)</f>
        <v>912.75</v>
      </c>
      <c r="P74" s="74">
        <f t="shared" si="65"/>
        <v>76</v>
      </c>
      <c r="Q74" s="99">
        <f t="shared" ref="Q74:Q110" si="78">AVERAGE(P71:P74)</f>
        <v>89.25</v>
      </c>
      <c r="R74" s="74">
        <v>247</v>
      </c>
      <c r="S74" s="81">
        <f t="shared" ref="S74:S110" si="79">AVERAGE(R71:R74)</f>
        <v>216.75</v>
      </c>
      <c r="T74" s="74">
        <v>76</v>
      </c>
      <c r="U74" s="99">
        <f t="shared" ref="U74:U110" si="80">AVERAGE(T71:T74)</f>
        <v>89.25</v>
      </c>
      <c r="V74" s="74">
        <v>790</v>
      </c>
      <c r="W74" s="81">
        <f t="shared" ref="W74:W110" si="81">AVERAGE(V71:V74)</f>
        <v>696</v>
      </c>
      <c r="X74" s="74">
        <v>0</v>
      </c>
      <c r="Y74" s="99">
        <f t="shared" ref="Y74:Y110" si="82">AVERAGE(X71:X74)</f>
        <v>0</v>
      </c>
      <c r="Z74" s="74">
        <v>0</v>
      </c>
      <c r="AA74" s="81">
        <f t="shared" ref="AA74:AA110" si="83">AVERAGE(Z71:Z74)</f>
        <v>0</v>
      </c>
      <c r="AB74" s="74">
        <v>0</v>
      </c>
      <c r="AC74" s="99">
        <f t="shared" ref="AC74:AC110" si="84">AVERAGE(AB71:AB74)</f>
        <v>0</v>
      </c>
      <c r="AD74" s="105">
        <v>0</v>
      </c>
      <c r="AE74" s="81">
        <f t="shared" ref="AE74:AE110" si="85">AVERAGE(AD71:AD74)</f>
        <v>0</v>
      </c>
      <c r="AF74" s="105">
        <v>0</v>
      </c>
      <c r="AG74" s="99">
        <f t="shared" ref="AG74:AG110" si="86">AVERAGE(AF71:AF74)</f>
        <v>0</v>
      </c>
      <c r="AH74" s="74">
        <v>0</v>
      </c>
      <c r="AI74" s="81">
        <f t="shared" ref="AI74:AI110" si="87">AVERAGE(AH71:AH74)</f>
        <v>0</v>
      </c>
      <c r="AJ74" s="74">
        <v>0</v>
      </c>
      <c r="AK74" s="99">
        <f t="shared" ref="AK74:AK110" si="88">AVERAGE(AJ71:AJ74)</f>
        <v>0</v>
      </c>
      <c r="AL74" s="74">
        <f t="shared" si="66"/>
        <v>149</v>
      </c>
      <c r="AM74" s="81">
        <f t="shared" si="51"/>
        <v>124.57142857142857</v>
      </c>
      <c r="AN74" s="74">
        <f t="shared" si="67"/>
        <v>22</v>
      </c>
      <c r="AO74" s="81">
        <f t="shared" si="41"/>
        <v>21.857142857142858</v>
      </c>
      <c r="AP74" s="74">
        <f t="shared" si="68"/>
        <v>52</v>
      </c>
      <c r="AQ74" s="81">
        <f t="shared" si="42"/>
        <v>45</v>
      </c>
      <c r="AR74" s="74">
        <f t="shared" si="69"/>
        <v>24</v>
      </c>
      <c r="AS74" s="81">
        <f t="shared" si="43"/>
        <v>21.285714285714285</v>
      </c>
      <c r="AT74" s="83">
        <f t="shared" si="56"/>
        <v>0.60323886639676116</v>
      </c>
      <c r="AU74" s="83">
        <f t="shared" si="57"/>
        <v>8.9068825910931168E-2</v>
      </c>
      <c r="AV74" s="83">
        <f t="shared" si="58"/>
        <v>0.21052631578947367</v>
      </c>
      <c r="AW74" s="84">
        <f t="shared" si="59"/>
        <v>9.7165991902834009E-2</v>
      </c>
      <c r="AX74" s="83">
        <f t="shared" si="55"/>
        <v>0.58569036624374526</v>
      </c>
      <c r="AY74" s="83">
        <f t="shared" si="55"/>
        <v>0.10221799865103734</v>
      </c>
      <c r="AZ74" s="83">
        <f t="shared" si="55"/>
        <v>0.21183307985178162</v>
      </c>
      <c r="BA74" s="84">
        <f t="shared" si="55"/>
        <v>0.10025855525343565</v>
      </c>
      <c r="BB74" s="74">
        <v>0</v>
      </c>
      <c r="BC74" s="81">
        <f t="shared" si="43"/>
        <v>0</v>
      </c>
      <c r="BD74" s="74">
        <v>0</v>
      </c>
      <c r="BE74" s="81">
        <f t="shared" si="44"/>
        <v>0</v>
      </c>
      <c r="BF74" s="74">
        <v>0</v>
      </c>
      <c r="BG74" s="81">
        <f t="shared" si="45"/>
        <v>0</v>
      </c>
      <c r="BH74" s="74">
        <v>0</v>
      </c>
      <c r="BI74" s="81">
        <f t="shared" si="46"/>
        <v>0</v>
      </c>
      <c r="BJ74" s="74">
        <v>149</v>
      </c>
      <c r="BK74" s="81">
        <f t="shared" si="47"/>
        <v>124.57142857142857</v>
      </c>
      <c r="BL74" s="74">
        <v>22</v>
      </c>
      <c r="BM74" s="81">
        <f t="shared" si="48"/>
        <v>21.857142857142858</v>
      </c>
      <c r="BN74" s="74">
        <v>52</v>
      </c>
      <c r="BO74" s="81">
        <f t="shared" si="49"/>
        <v>45</v>
      </c>
      <c r="BP74" s="74">
        <v>24</v>
      </c>
      <c r="BQ74" s="81">
        <f t="shared" si="50"/>
        <v>21.285714285714285</v>
      </c>
    </row>
    <row r="75" spans="1:69" x14ac:dyDescent="0.25">
      <c r="A75" s="85">
        <f t="shared" si="70"/>
        <v>45639</v>
      </c>
      <c r="B75" s="74">
        <f t="shared" si="60"/>
        <v>914</v>
      </c>
      <c r="C75" s="81">
        <f t="shared" si="71"/>
        <v>955.5</v>
      </c>
      <c r="D75" s="74">
        <f t="shared" si="61"/>
        <v>70</v>
      </c>
      <c r="E75" s="99">
        <f t="shared" si="72"/>
        <v>90.75</v>
      </c>
      <c r="F75" s="74">
        <v>233.35890411600002</v>
      </c>
      <c r="G75" s="81">
        <f t="shared" si="73"/>
        <v>228.37260274600004</v>
      </c>
      <c r="H75" s="74">
        <v>233.35890411600002</v>
      </c>
      <c r="I75" s="99">
        <f t="shared" si="74"/>
        <v>228.37260274600004</v>
      </c>
      <c r="J75" s="74">
        <f t="shared" si="62"/>
        <v>914</v>
      </c>
      <c r="K75" s="81">
        <f t="shared" si="75"/>
        <v>955.5</v>
      </c>
      <c r="L75" s="74">
        <f t="shared" si="63"/>
        <v>70</v>
      </c>
      <c r="M75" s="99">
        <f t="shared" si="76"/>
        <v>90.75</v>
      </c>
      <c r="N75" s="74">
        <f t="shared" si="64"/>
        <v>914</v>
      </c>
      <c r="O75" s="81">
        <f t="shared" si="77"/>
        <v>955.5</v>
      </c>
      <c r="P75" s="74">
        <f t="shared" si="65"/>
        <v>70</v>
      </c>
      <c r="Q75" s="99">
        <f t="shared" si="78"/>
        <v>90.75</v>
      </c>
      <c r="R75" s="74">
        <v>234</v>
      </c>
      <c r="S75" s="81">
        <f t="shared" si="79"/>
        <v>229</v>
      </c>
      <c r="T75" s="74">
        <v>70</v>
      </c>
      <c r="U75" s="99">
        <f t="shared" si="80"/>
        <v>90.75</v>
      </c>
      <c r="V75" s="74">
        <v>680</v>
      </c>
      <c r="W75" s="81">
        <f t="shared" si="81"/>
        <v>726.5</v>
      </c>
      <c r="X75" s="74">
        <v>0</v>
      </c>
      <c r="Y75" s="99">
        <f t="shared" si="82"/>
        <v>0</v>
      </c>
      <c r="Z75" s="74">
        <v>0</v>
      </c>
      <c r="AA75" s="81">
        <f t="shared" si="83"/>
        <v>0</v>
      </c>
      <c r="AB75" s="74">
        <v>0</v>
      </c>
      <c r="AC75" s="99">
        <f t="shared" si="84"/>
        <v>0</v>
      </c>
      <c r="AD75" s="105">
        <v>0</v>
      </c>
      <c r="AE75" s="81">
        <f t="shared" si="85"/>
        <v>0</v>
      </c>
      <c r="AF75" s="105">
        <v>0</v>
      </c>
      <c r="AG75" s="99">
        <f t="shared" si="86"/>
        <v>0</v>
      </c>
      <c r="AH75" s="74">
        <v>0</v>
      </c>
      <c r="AI75" s="81">
        <f t="shared" si="87"/>
        <v>0</v>
      </c>
      <c r="AJ75" s="74">
        <v>0</v>
      </c>
      <c r="AK75" s="99">
        <f t="shared" si="88"/>
        <v>0</v>
      </c>
      <c r="AL75" s="74">
        <f t="shared" si="66"/>
        <v>139</v>
      </c>
      <c r="AM75" s="81">
        <f t="shared" si="51"/>
        <v>124.28571428571429</v>
      </c>
      <c r="AN75" s="74">
        <f t="shared" si="67"/>
        <v>28</v>
      </c>
      <c r="AO75" s="81">
        <f t="shared" si="41"/>
        <v>22.857142857142858</v>
      </c>
      <c r="AP75" s="74">
        <f t="shared" si="68"/>
        <v>44</v>
      </c>
      <c r="AQ75" s="81">
        <f t="shared" si="42"/>
        <v>44.428571428571431</v>
      </c>
      <c r="AR75" s="74">
        <f t="shared" si="69"/>
        <v>23</v>
      </c>
      <c r="AS75" s="81">
        <f t="shared" si="43"/>
        <v>22.142857142857142</v>
      </c>
      <c r="AT75" s="83">
        <f t="shared" si="56"/>
        <v>0.59401709401709402</v>
      </c>
      <c r="AU75" s="83">
        <f t="shared" si="57"/>
        <v>0.11965811965811966</v>
      </c>
      <c r="AV75" s="83">
        <f t="shared" si="58"/>
        <v>0.18803418803418803</v>
      </c>
      <c r="AW75" s="84">
        <f t="shared" si="59"/>
        <v>9.8290598290598288E-2</v>
      </c>
      <c r="AX75" s="83">
        <f t="shared" si="55"/>
        <v>0.58181489761056748</v>
      </c>
      <c r="AY75" s="83">
        <f t="shared" si="55"/>
        <v>0.10609615671421745</v>
      </c>
      <c r="AZ75" s="83">
        <f t="shared" si="55"/>
        <v>0.20848742892903821</v>
      </c>
      <c r="BA75" s="84">
        <f t="shared" si="55"/>
        <v>0.10360151674617687</v>
      </c>
      <c r="BB75" s="74">
        <v>0</v>
      </c>
      <c r="BC75" s="81">
        <f t="shared" si="43"/>
        <v>0</v>
      </c>
      <c r="BD75" s="74">
        <v>0</v>
      </c>
      <c r="BE75" s="81">
        <f t="shared" si="44"/>
        <v>0</v>
      </c>
      <c r="BF75" s="74">
        <v>0</v>
      </c>
      <c r="BG75" s="81">
        <f t="shared" si="45"/>
        <v>0</v>
      </c>
      <c r="BH75" s="74">
        <v>0</v>
      </c>
      <c r="BI75" s="81">
        <f t="shared" si="46"/>
        <v>0</v>
      </c>
      <c r="BJ75" s="74">
        <v>139</v>
      </c>
      <c r="BK75" s="81">
        <f t="shared" si="47"/>
        <v>124.28571428571429</v>
      </c>
      <c r="BL75" s="74">
        <v>28</v>
      </c>
      <c r="BM75" s="81">
        <f t="shared" si="48"/>
        <v>22.857142857142858</v>
      </c>
      <c r="BN75" s="74">
        <v>44</v>
      </c>
      <c r="BO75" s="81">
        <f t="shared" si="49"/>
        <v>44.428571428571431</v>
      </c>
      <c r="BP75" s="74">
        <v>23</v>
      </c>
      <c r="BQ75" s="81">
        <f t="shared" si="50"/>
        <v>22.142857142857142</v>
      </c>
    </row>
    <row r="76" spans="1:69" x14ac:dyDescent="0.25">
      <c r="A76" s="85">
        <f t="shared" si="70"/>
        <v>45646</v>
      </c>
      <c r="B76" s="74">
        <f t="shared" si="60"/>
        <v>893</v>
      </c>
      <c r="C76" s="81">
        <f t="shared" si="71"/>
        <v>952</v>
      </c>
      <c r="D76" s="74">
        <f t="shared" si="61"/>
        <v>76</v>
      </c>
      <c r="E76" s="99">
        <f t="shared" si="72"/>
        <v>81.5</v>
      </c>
      <c r="F76" s="74">
        <v>203.44109589600006</v>
      </c>
      <c r="G76" s="81">
        <f t="shared" si="73"/>
        <v>221.14246575950003</v>
      </c>
      <c r="H76" s="74">
        <v>204.43835617000008</v>
      </c>
      <c r="I76" s="99">
        <f t="shared" si="74"/>
        <v>221.39178082800004</v>
      </c>
      <c r="J76" s="74">
        <f t="shared" si="62"/>
        <v>893</v>
      </c>
      <c r="K76" s="81">
        <f t="shared" si="75"/>
        <v>952</v>
      </c>
      <c r="L76" s="74">
        <f t="shared" si="63"/>
        <v>76</v>
      </c>
      <c r="M76" s="99">
        <f t="shared" si="76"/>
        <v>81.5</v>
      </c>
      <c r="N76" s="74">
        <f t="shared" si="64"/>
        <v>893</v>
      </c>
      <c r="O76" s="81">
        <f t="shared" si="77"/>
        <v>952</v>
      </c>
      <c r="P76" s="74">
        <f t="shared" si="65"/>
        <v>75</v>
      </c>
      <c r="Q76" s="99">
        <f t="shared" si="78"/>
        <v>81.25</v>
      </c>
      <c r="R76" s="74">
        <v>204</v>
      </c>
      <c r="S76" s="81">
        <f t="shared" si="79"/>
        <v>221.75</v>
      </c>
      <c r="T76" s="74">
        <v>75</v>
      </c>
      <c r="U76" s="99">
        <f t="shared" si="80"/>
        <v>81.25</v>
      </c>
      <c r="V76" s="74">
        <v>689</v>
      </c>
      <c r="W76" s="81">
        <f t="shared" si="81"/>
        <v>730.25</v>
      </c>
      <c r="X76" s="74">
        <v>0</v>
      </c>
      <c r="Y76" s="99">
        <f t="shared" si="82"/>
        <v>0</v>
      </c>
      <c r="Z76" s="74">
        <v>0</v>
      </c>
      <c r="AA76" s="81">
        <f t="shared" si="83"/>
        <v>0</v>
      </c>
      <c r="AB76" s="74">
        <v>1</v>
      </c>
      <c r="AC76" s="99">
        <f t="shared" si="84"/>
        <v>0.25</v>
      </c>
      <c r="AD76" s="105">
        <v>0</v>
      </c>
      <c r="AE76" s="81">
        <f t="shared" si="85"/>
        <v>0</v>
      </c>
      <c r="AF76" s="105">
        <v>0.99726027399999995</v>
      </c>
      <c r="AG76" s="99">
        <f t="shared" si="86"/>
        <v>0.24931506849999999</v>
      </c>
      <c r="AH76" s="74">
        <v>0</v>
      </c>
      <c r="AI76" s="81">
        <f t="shared" si="87"/>
        <v>0</v>
      </c>
      <c r="AJ76" s="74">
        <v>1</v>
      </c>
      <c r="AK76" s="99">
        <f t="shared" si="88"/>
        <v>0.25</v>
      </c>
      <c r="AL76" s="74">
        <f t="shared" si="66"/>
        <v>109</v>
      </c>
      <c r="AM76" s="81">
        <f t="shared" si="51"/>
        <v>123.14285714285714</v>
      </c>
      <c r="AN76" s="74">
        <f t="shared" si="67"/>
        <v>20</v>
      </c>
      <c r="AO76" s="81">
        <f t="shared" ref="AO76:AO110" si="89">AVERAGE(AN70:AN76)</f>
        <v>22.571428571428573</v>
      </c>
      <c r="AP76" s="74">
        <f t="shared" si="68"/>
        <v>43</v>
      </c>
      <c r="AQ76" s="81">
        <f t="shared" ref="AQ76:AQ110" si="90">AVERAGE(AP70:AP76)</f>
        <v>43.571428571428569</v>
      </c>
      <c r="AR76" s="74">
        <f t="shared" si="69"/>
        <v>33</v>
      </c>
      <c r="AS76" s="81">
        <f t="shared" ref="AS76:BC110" si="91">AVERAGE(AR70:AR76)</f>
        <v>22.714285714285715</v>
      </c>
      <c r="AT76" s="83">
        <f t="shared" si="56"/>
        <v>0.53170731707317076</v>
      </c>
      <c r="AU76" s="83">
        <f t="shared" si="57"/>
        <v>9.7560975609756101E-2</v>
      </c>
      <c r="AV76" s="83">
        <f t="shared" si="58"/>
        <v>0.2097560975609756</v>
      </c>
      <c r="AW76" s="84">
        <f t="shared" si="59"/>
        <v>0.16097560975609757</v>
      </c>
      <c r="AX76" s="83">
        <f t="shared" si="55"/>
        <v>0.58074872763352858</v>
      </c>
      <c r="AY76" s="83">
        <f t="shared" si="55"/>
        <v>0.10555022630428793</v>
      </c>
      <c r="AZ76" s="83">
        <f t="shared" si="55"/>
        <v>0.20619452120733422</v>
      </c>
      <c r="BA76" s="84">
        <f t="shared" si="55"/>
        <v>0.10750652485484914</v>
      </c>
      <c r="BB76" s="74">
        <v>0</v>
      </c>
      <c r="BC76" s="81">
        <f t="shared" si="91"/>
        <v>0</v>
      </c>
      <c r="BD76" s="74">
        <v>0</v>
      </c>
      <c r="BE76" s="81">
        <f t="shared" ref="BE76:BE110" si="92">AVERAGE(BD70:BD76)</f>
        <v>0</v>
      </c>
      <c r="BF76" s="74">
        <v>1</v>
      </c>
      <c r="BG76" s="81">
        <f t="shared" ref="BG76:BG110" si="93">AVERAGE(BF70:BF76)</f>
        <v>0.14285714285714285</v>
      </c>
      <c r="BH76" s="74">
        <v>0</v>
      </c>
      <c r="BI76" s="81">
        <f t="shared" ref="BI76:BI110" si="94">AVERAGE(BH70:BH76)</f>
        <v>0</v>
      </c>
      <c r="BJ76" s="74">
        <v>109</v>
      </c>
      <c r="BK76" s="81">
        <f t="shared" ref="BK76:BK110" si="95">AVERAGE(BJ70:BJ76)</f>
        <v>123.14285714285714</v>
      </c>
      <c r="BL76" s="74">
        <v>20</v>
      </c>
      <c r="BM76" s="81">
        <f t="shared" ref="BM76:BM110" si="96">AVERAGE(BL70:BL76)</f>
        <v>22.571428571428573</v>
      </c>
      <c r="BN76" s="74">
        <v>42</v>
      </c>
      <c r="BO76" s="81">
        <f t="shared" ref="BO76:BO110" si="97">AVERAGE(BN70:BN76)</f>
        <v>43.428571428571431</v>
      </c>
      <c r="BP76" s="74">
        <v>33</v>
      </c>
      <c r="BQ76" s="81">
        <f t="shared" ref="BQ76:BQ110" si="98">AVERAGE(BP70:BP76)</f>
        <v>22.714285714285715</v>
      </c>
    </row>
    <row r="77" spans="1:69" x14ac:dyDescent="0.25">
      <c r="A77" s="85">
        <f t="shared" si="70"/>
        <v>45653</v>
      </c>
      <c r="B77" s="74">
        <f t="shared" si="60"/>
        <v>681</v>
      </c>
      <c r="C77" s="81">
        <f t="shared" si="71"/>
        <v>881.25</v>
      </c>
      <c r="D77" s="74">
        <f t="shared" si="61"/>
        <v>80</v>
      </c>
      <c r="E77" s="99">
        <f t="shared" si="72"/>
        <v>75.5</v>
      </c>
      <c r="F77" s="74">
        <v>141.61095890800001</v>
      </c>
      <c r="G77" s="81">
        <f t="shared" si="73"/>
        <v>206.18356164950004</v>
      </c>
      <c r="H77" s="74">
        <v>141.61095890800001</v>
      </c>
      <c r="I77" s="99">
        <f t="shared" si="74"/>
        <v>206.43287671800002</v>
      </c>
      <c r="J77" s="74">
        <f t="shared" si="62"/>
        <v>681</v>
      </c>
      <c r="K77" s="81">
        <f t="shared" si="75"/>
        <v>881.25</v>
      </c>
      <c r="L77" s="74">
        <f t="shared" si="63"/>
        <v>80</v>
      </c>
      <c r="M77" s="99">
        <f t="shared" si="76"/>
        <v>75.5</v>
      </c>
      <c r="N77" s="74">
        <f t="shared" si="64"/>
        <v>681</v>
      </c>
      <c r="O77" s="81">
        <f t="shared" si="77"/>
        <v>881.25</v>
      </c>
      <c r="P77" s="74">
        <f t="shared" si="65"/>
        <v>80</v>
      </c>
      <c r="Q77" s="99">
        <f t="shared" si="78"/>
        <v>75.25</v>
      </c>
      <c r="R77" s="74">
        <v>142</v>
      </c>
      <c r="S77" s="81">
        <f t="shared" si="79"/>
        <v>206.75</v>
      </c>
      <c r="T77" s="74">
        <v>80</v>
      </c>
      <c r="U77" s="99">
        <f t="shared" si="80"/>
        <v>75.25</v>
      </c>
      <c r="V77" s="74">
        <v>539</v>
      </c>
      <c r="W77" s="81">
        <f t="shared" si="81"/>
        <v>674.5</v>
      </c>
      <c r="X77" s="74">
        <v>0</v>
      </c>
      <c r="Y77" s="99">
        <f t="shared" si="82"/>
        <v>0</v>
      </c>
      <c r="Z77" s="74">
        <v>0</v>
      </c>
      <c r="AA77" s="81">
        <f t="shared" si="83"/>
        <v>0</v>
      </c>
      <c r="AB77" s="74">
        <v>0</v>
      </c>
      <c r="AC77" s="99">
        <f t="shared" si="84"/>
        <v>0.25</v>
      </c>
      <c r="AD77" s="105">
        <v>0</v>
      </c>
      <c r="AE77" s="81">
        <f t="shared" si="85"/>
        <v>0</v>
      </c>
      <c r="AF77" s="105">
        <v>0</v>
      </c>
      <c r="AG77" s="99">
        <f t="shared" si="86"/>
        <v>0.24931506849999999</v>
      </c>
      <c r="AH77" s="74">
        <v>0</v>
      </c>
      <c r="AI77" s="81">
        <f t="shared" si="87"/>
        <v>0</v>
      </c>
      <c r="AJ77" s="74">
        <v>0</v>
      </c>
      <c r="AK77" s="99">
        <f t="shared" si="88"/>
        <v>0.25</v>
      </c>
      <c r="AL77" s="74">
        <f t="shared" si="66"/>
        <v>81</v>
      </c>
      <c r="AM77" s="81">
        <f t="shared" ref="AM77:AM105" si="99">AVERAGE(AL71:AL77)</f>
        <v>119.71428571428571</v>
      </c>
      <c r="AN77" s="74">
        <f t="shared" si="67"/>
        <v>11</v>
      </c>
      <c r="AO77" s="81">
        <f t="shared" si="89"/>
        <v>22</v>
      </c>
      <c r="AP77" s="74">
        <f t="shared" si="68"/>
        <v>36</v>
      </c>
      <c r="AQ77" s="81">
        <f t="shared" si="90"/>
        <v>43.285714285714285</v>
      </c>
      <c r="AR77" s="74">
        <f t="shared" si="69"/>
        <v>14</v>
      </c>
      <c r="AS77" s="81">
        <f t="shared" si="91"/>
        <v>21.857142857142858</v>
      </c>
      <c r="AT77" s="83">
        <f t="shared" si="56"/>
        <v>0.57042253521126762</v>
      </c>
      <c r="AU77" s="83">
        <f t="shared" si="57"/>
        <v>7.746478873239436E-2</v>
      </c>
      <c r="AV77" s="83">
        <f t="shared" si="58"/>
        <v>0.25352112676056338</v>
      </c>
      <c r="AW77" s="84">
        <f t="shared" si="59"/>
        <v>9.8591549295774641E-2</v>
      </c>
      <c r="AX77" s="83">
        <f t="shared" ref="AX77:BA92" si="100">AVERAGE(AT71:AT77)</f>
        <v>0.57796799831379009</v>
      </c>
      <c r="AY77" s="83">
        <f t="shared" si="100"/>
        <v>0.10457810142015166</v>
      </c>
      <c r="AZ77" s="83">
        <f t="shared" si="100"/>
        <v>0.21191423273492679</v>
      </c>
      <c r="BA77" s="84">
        <f t="shared" si="100"/>
        <v>0.10553966753113155</v>
      </c>
      <c r="BB77" s="74">
        <v>0</v>
      </c>
      <c r="BC77" s="81">
        <f t="shared" si="91"/>
        <v>0</v>
      </c>
      <c r="BD77" s="74">
        <v>0</v>
      </c>
      <c r="BE77" s="81">
        <f t="shared" si="92"/>
        <v>0</v>
      </c>
      <c r="BF77" s="74">
        <v>0</v>
      </c>
      <c r="BG77" s="81">
        <f t="shared" si="93"/>
        <v>0.14285714285714285</v>
      </c>
      <c r="BH77" s="74">
        <v>0</v>
      </c>
      <c r="BI77" s="81">
        <f t="shared" si="94"/>
        <v>0</v>
      </c>
      <c r="BJ77" s="74">
        <v>81</v>
      </c>
      <c r="BK77" s="81">
        <f t="shared" si="95"/>
        <v>119.71428571428571</v>
      </c>
      <c r="BL77" s="74">
        <v>11</v>
      </c>
      <c r="BM77" s="81">
        <f t="shared" si="96"/>
        <v>22</v>
      </c>
      <c r="BN77" s="74">
        <v>36</v>
      </c>
      <c r="BO77" s="81">
        <f t="shared" si="97"/>
        <v>43.142857142857146</v>
      </c>
      <c r="BP77" s="74">
        <v>14</v>
      </c>
      <c r="BQ77" s="81">
        <f t="shared" si="98"/>
        <v>21.857142857142858</v>
      </c>
    </row>
    <row r="78" spans="1:69" x14ac:dyDescent="0.25">
      <c r="A78" s="85">
        <f t="shared" si="70"/>
        <v>45660</v>
      </c>
      <c r="B78" s="74">
        <f t="shared" si="60"/>
        <v>805</v>
      </c>
      <c r="C78" s="81">
        <f t="shared" si="71"/>
        <v>823.25</v>
      </c>
      <c r="D78" s="74">
        <f t="shared" si="61"/>
        <v>58</v>
      </c>
      <c r="E78" s="99">
        <f t="shared" si="72"/>
        <v>71</v>
      </c>
      <c r="F78" s="74">
        <v>148.59178082599996</v>
      </c>
      <c r="G78" s="81">
        <f t="shared" si="73"/>
        <v>181.75068493650002</v>
      </c>
      <c r="H78" s="74">
        <v>148.59178082599996</v>
      </c>
      <c r="I78" s="99">
        <f t="shared" si="74"/>
        <v>182.00000000500003</v>
      </c>
      <c r="J78" s="74">
        <f t="shared" si="62"/>
        <v>805</v>
      </c>
      <c r="K78" s="81">
        <f t="shared" si="75"/>
        <v>823.25</v>
      </c>
      <c r="L78" s="74">
        <f t="shared" si="63"/>
        <v>58</v>
      </c>
      <c r="M78" s="99">
        <f t="shared" si="76"/>
        <v>71</v>
      </c>
      <c r="N78" s="74">
        <f t="shared" si="64"/>
        <v>805</v>
      </c>
      <c r="O78" s="81">
        <f t="shared" si="77"/>
        <v>823.25</v>
      </c>
      <c r="P78" s="74">
        <f t="shared" si="65"/>
        <v>58</v>
      </c>
      <c r="Q78" s="99">
        <f t="shared" si="78"/>
        <v>70.75</v>
      </c>
      <c r="R78" s="74">
        <v>149</v>
      </c>
      <c r="S78" s="81">
        <f t="shared" si="79"/>
        <v>182.25</v>
      </c>
      <c r="T78" s="74">
        <v>58</v>
      </c>
      <c r="U78" s="99">
        <f t="shared" si="80"/>
        <v>70.75</v>
      </c>
      <c r="V78" s="74">
        <v>656</v>
      </c>
      <c r="W78" s="81">
        <f t="shared" si="81"/>
        <v>641</v>
      </c>
      <c r="X78" s="74">
        <v>0</v>
      </c>
      <c r="Y78" s="99">
        <f t="shared" si="82"/>
        <v>0</v>
      </c>
      <c r="Z78" s="74">
        <v>0</v>
      </c>
      <c r="AA78" s="81">
        <f t="shared" si="83"/>
        <v>0</v>
      </c>
      <c r="AB78" s="74">
        <v>0</v>
      </c>
      <c r="AC78" s="99">
        <f t="shared" si="84"/>
        <v>0.25</v>
      </c>
      <c r="AD78" s="105">
        <v>0</v>
      </c>
      <c r="AE78" s="81">
        <f t="shared" si="85"/>
        <v>0</v>
      </c>
      <c r="AF78" s="105">
        <v>0</v>
      </c>
      <c r="AG78" s="99">
        <f t="shared" si="86"/>
        <v>0.24931506849999999</v>
      </c>
      <c r="AH78" s="74">
        <v>0</v>
      </c>
      <c r="AI78" s="81">
        <f t="shared" si="87"/>
        <v>0</v>
      </c>
      <c r="AJ78" s="74">
        <v>0</v>
      </c>
      <c r="AK78" s="99">
        <f t="shared" si="88"/>
        <v>0.25</v>
      </c>
      <c r="AL78" s="74">
        <f t="shared" si="66"/>
        <v>79</v>
      </c>
      <c r="AM78" s="81">
        <f t="shared" si="99"/>
        <v>115.14285714285714</v>
      </c>
      <c r="AN78" s="74">
        <f t="shared" si="67"/>
        <v>13</v>
      </c>
      <c r="AO78" s="81">
        <f t="shared" si="89"/>
        <v>21.142857142857142</v>
      </c>
      <c r="AP78" s="74">
        <f t="shared" si="68"/>
        <v>39</v>
      </c>
      <c r="AQ78" s="81">
        <f t="shared" si="90"/>
        <v>43.142857142857146</v>
      </c>
      <c r="AR78" s="74">
        <f t="shared" si="69"/>
        <v>18</v>
      </c>
      <c r="AS78" s="81">
        <f t="shared" si="91"/>
        <v>22.285714285714285</v>
      </c>
      <c r="AT78" s="83">
        <f t="shared" si="56"/>
        <v>0.53020134228187921</v>
      </c>
      <c r="AU78" s="83">
        <f t="shared" si="57"/>
        <v>8.7248322147651006E-2</v>
      </c>
      <c r="AV78" s="83">
        <f t="shared" si="58"/>
        <v>0.26174496644295303</v>
      </c>
      <c r="AW78" s="84">
        <f t="shared" si="59"/>
        <v>0.12080536912751678</v>
      </c>
      <c r="AX78" s="83">
        <f t="shared" si="100"/>
        <v>0.56799676149691558</v>
      </c>
      <c r="AY78" s="83">
        <f t="shared" si="100"/>
        <v>0.10237033276942999</v>
      </c>
      <c r="AZ78" s="83">
        <f t="shared" si="100"/>
        <v>0.2184183399101749</v>
      </c>
      <c r="BA78" s="84">
        <f t="shared" si="100"/>
        <v>0.11121456582347952</v>
      </c>
      <c r="BB78" s="74">
        <v>0</v>
      </c>
      <c r="BC78" s="81">
        <f t="shared" si="91"/>
        <v>0</v>
      </c>
      <c r="BD78" s="74">
        <v>0</v>
      </c>
      <c r="BE78" s="81">
        <f t="shared" si="92"/>
        <v>0</v>
      </c>
      <c r="BF78" s="74">
        <v>0</v>
      </c>
      <c r="BG78" s="81">
        <f t="shared" si="93"/>
        <v>0.14285714285714285</v>
      </c>
      <c r="BH78" s="74">
        <v>0</v>
      </c>
      <c r="BI78" s="81">
        <f t="shared" si="94"/>
        <v>0</v>
      </c>
      <c r="BJ78" s="74">
        <v>79</v>
      </c>
      <c r="BK78" s="81">
        <f t="shared" si="95"/>
        <v>115.14285714285714</v>
      </c>
      <c r="BL78" s="74">
        <v>13</v>
      </c>
      <c r="BM78" s="81">
        <f t="shared" si="96"/>
        <v>21.142857142857142</v>
      </c>
      <c r="BN78" s="74">
        <v>39</v>
      </c>
      <c r="BO78" s="81">
        <f t="shared" si="97"/>
        <v>43</v>
      </c>
      <c r="BP78" s="74">
        <v>18</v>
      </c>
      <c r="BQ78" s="81">
        <f t="shared" si="98"/>
        <v>22.285714285714285</v>
      </c>
    </row>
    <row r="79" spans="1:69" x14ac:dyDescent="0.25">
      <c r="A79" s="85">
        <f t="shared" si="70"/>
        <v>45667</v>
      </c>
      <c r="B79" s="74">
        <f t="shared" si="60"/>
        <v>915</v>
      </c>
      <c r="C79" s="81">
        <f t="shared" si="71"/>
        <v>823.5</v>
      </c>
      <c r="D79" s="74">
        <f t="shared" si="61"/>
        <v>83</v>
      </c>
      <c r="E79" s="99">
        <f t="shared" si="72"/>
        <v>74.25</v>
      </c>
      <c r="F79" s="74">
        <v>177.51232877200002</v>
      </c>
      <c r="G79" s="81">
        <f t="shared" si="73"/>
        <v>167.78904110050001</v>
      </c>
      <c r="H79" s="74">
        <v>177.51232877200002</v>
      </c>
      <c r="I79" s="99">
        <f t="shared" si="74"/>
        <v>168.03835616900002</v>
      </c>
      <c r="J79" s="74">
        <f t="shared" si="62"/>
        <v>915</v>
      </c>
      <c r="K79" s="81">
        <f t="shared" si="75"/>
        <v>823.5</v>
      </c>
      <c r="L79" s="74">
        <f t="shared" si="63"/>
        <v>83</v>
      </c>
      <c r="M79" s="99">
        <f t="shared" si="76"/>
        <v>74.25</v>
      </c>
      <c r="N79" s="74">
        <f t="shared" si="64"/>
        <v>915</v>
      </c>
      <c r="O79" s="81">
        <f t="shared" si="77"/>
        <v>823.5</v>
      </c>
      <c r="P79" s="74">
        <f t="shared" si="65"/>
        <v>83</v>
      </c>
      <c r="Q79" s="99">
        <f t="shared" si="78"/>
        <v>74</v>
      </c>
      <c r="R79" s="74">
        <v>178</v>
      </c>
      <c r="S79" s="81">
        <f t="shared" si="79"/>
        <v>168.25</v>
      </c>
      <c r="T79" s="74">
        <v>83</v>
      </c>
      <c r="U79" s="99">
        <f t="shared" si="80"/>
        <v>74</v>
      </c>
      <c r="V79" s="74">
        <v>737</v>
      </c>
      <c r="W79" s="81">
        <f t="shared" si="81"/>
        <v>655.25</v>
      </c>
      <c r="X79" s="74">
        <v>0</v>
      </c>
      <c r="Y79" s="99">
        <f t="shared" si="82"/>
        <v>0</v>
      </c>
      <c r="Z79" s="74">
        <v>0</v>
      </c>
      <c r="AA79" s="81">
        <f t="shared" si="83"/>
        <v>0</v>
      </c>
      <c r="AB79" s="74">
        <v>0</v>
      </c>
      <c r="AC79" s="99">
        <f t="shared" si="84"/>
        <v>0.25</v>
      </c>
      <c r="AD79" s="105">
        <v>0</v>
      </c>
      <c r="AE79" s="81">
        <f t="shared" si="85"/>
        <v>0</v>
      </c>
      <c r="AF79" s="105">
        <v>0</v>
      </c>
      <c r="AG79" s="99">
        <f t="shared" si="86"/>
        <v>0.24931506849999999</v>
      </c>
      <c r="AH79" s="74">
        <v>0</v>
      </c>
      <c r="AI79" s="81">
        <f t="shared" si="87"/>
        <v>0</v>
      </c>
      <c r="AJ79" s="74">
        <v>0</v>
      </c>
      <c r="AK79" s="99">
        <f t="shared" si="88"/>
        <v>0.25</v>
      </c>
      <c r="AL79" s="74">
        <f t="shared" si="66"/>
        <v>99</v>
      </c>
      <c r="AM79" s="81">
        <f t="shared" si="99"/>
        <v>110.57142857142857</v>
      </c>
      <c r="AN79" s="74">
        <f t="shared" si="67"/>
        <v>12</v>
      </c>
      <c r="AO79" s="81">
        <f t="shared" si="89"/>
        <v>18.142857142857142</v>
      </c>
      <c r="AP79" s="74">
        <f t="shared" si="68"/>
        <v>46</v>
      </c>
      <c r="AQ79" s="81">
        <f t="shared" si="90"/>
        <v>43.142857142857146</v>
      </c>
      <c r="AR79" s="74">
        <f t="shared" si="69"/>
        <v>21</v>
      </c>
      <c r="AS79" s="81">
        <f t="shared" si="91"/>
        <v>22</v>
      </c>
      <c r="AT79" s="83">
        <f t="shared" si="56"/>
        <v>0.5561797752808989</v>
      </c>
      <c r="AU79" s="83">
        <f t="shared" si="57"/>
        <v>6.741573033707865E-2</v>
      </c>
      <c r="AV79" s="83">
        <f t="shared" si="58"/>
        <v>0.25842696629213485</v>
      </c>
      <c r="AW79" s="84">
        <f t="shared" si="59"/>
        <v>0.11797752808988764</v>
      </c>
      <c r="AX79" s="83">
        <f t="shared" si="100"/>
        <v>0.56713219230037937</v>
      </c>
      <c r="AY79" s="83">
        <f t="shared" si="100"/>
        <v>9.1768165490790699E-2</v>
      </c>
      <c r="AZ79" s="83">
        <f t="shared" si="100"/>
        <v>0.22713292185135664</v>
      </c>
      <c r="BA79" s="84">
        <f t="shared" si="100"/>
        <v>0.11396672035747327</v>
      </c>
      <c r="BB79" s="74">
        <v>0</v>
      </c>
      <c r="BC79" s="81">
        <f t="shared" si="91"/>
        <v>0</v>
      </c>
      <c r="BD79" s="74">
        <v>0</v>
      </c>
      <c r="BE79" s="81">
        <f t="shared" si="92"/>
        <v>0</v>
      </c>
      <c r="BF79" s="74">
        <v>0</v>
      </c>
      <c r="BG79" s="81">
        <f t="shared" si="93"/>
        <v>0.14285714285714285</v>
      </c>
      <c r="BH79" s="74">
        <v>0</v>
      </c>
      <c r="BI79" s="81">
        <f t="shared" si="94"/>
        <v>0</v>
      </c>
      <c r="BJ79" s="74">
        <v>99</v>
      </c>
      <c r="BK79" s="81">
        <f t="shared" si="95"/>
        <v>110.57142857142857</v>
      </c>
      <c r="BL79" s="74">
        <v>12</v>
      </c>
      <c r="BM79" s="81">
        <f t="shared" si="96"/>
        <v>18.142857142857142</v>
      </c>
      <c r="BN79" s="74">
        <v>46</v>
      </c>
      <c r="BO79" s="81">
        <f t="shared" si="97"/>
        <v>43</v>
      </c>
      <c r="BP79" s="74">
        <v>21</v>
      </c>
      <c r="BQ79" s="81">
        <f t="shared" si="98"/>
        <v>22</v>
      </c>
    </row>
    <row r="80" spans="1:69" x14ac:dyDescent="0.25">
      <c r="A80" s="85">
        <f t="shared" si="70"/>
        <v>45674</v>
      </c>
      <c r="B80" s="74">
        <f t="shared" si="60"/>
        <v>894</v>
      </c>
      <c r="C80" s="81">
        <f t="shared" si="71"/>
        <v>823.75</v>
      </c>
      <c r="D80" s="74">
        <f t="shared" si="61"/>
        <v>87</v>
      </c>
      <c r="E80" s="99">
        <f t="shared" si="72"/>
        <v>77</v>
      </c>
      <c r="F80" s="74">
        <v>157.56712329199999</v>
      </c>
      <c r="G80" s="81">
        <f t="shared" si="73"/>
        <v>156.3205479495</v>
      </c>
      <c r="H80" s="74">
        <v>157.56712329199999</v>
      </c>
      <c r="I80" s="99">
        <f t="shared" si="74"/>
        <v>156.3205479495</v>
      </c>
      <c r="J80" s="74">
        <f t="shared" si="62"/>
        <v>894</v>
      </c>
      <c r="K80" s="81">
        <f t="shared" si="75"/>
        <v>823.75</v>
      </c>
      <c r="L80" s="74">
        <f t="shared" si="63"/>
        <v>87</v>
      </c>
      <c r="M80" s="99">
        <f t="shared" si="76"/>
        <v>77</v>
      </c>
      <c r="N80" s="74">
        <f t="shared" si="64"/>
        <v>894</v>
      </c>
      <c r="O80" s="81">
        <f t="shared" si="77"/>
        <v>823.75</v>
      </c>
      <c r="P80" s="74">
        <f t="shared" si="65"/>
        <v>87</v>
      </c>
      <c r="Q80" s="99">
        <f t="shared" si="78"/>
        <v>77</v>
      </c>
      <c r="R80" s="74">
        <v>158</v>
      </c>
      <c r="S80" s="81">
        <f t="shared" si="79"/>
        <v>156.75</v>
      </c>
      <c r="T80" s="74">
        <v>87</v>
      </c>
      <c r="U80" s="99">
        <f t="shared" si="80"/>
        <v>77</v>
      </c>
      <c r="V80" s="74">
        <v>736</v>
      </c>
      <c r="W80" s="81">
        <f t="shared" si="81"/>
        <v>667</v>
      </c>
      <c r="X80" s="74">
        <v>0</v>
      </c>
      <c r="Y80" s="99">
        <f t="shared" si="82"/>
        <v>0</v>
      </c>
      <c r="Z80" s="74">
        <v>0</v>
      </c>
      <c r="AA80" s="81">
        <f t="shared" si="83"/>
        <v>0</v>
      </c>
      <c r="AB80" s="74">
        <v>0</v>
      </c>
      <c r="AC80" s="99">
        <f t="shared" si="84"/>
        <v>0</v>
      </c>
      <c r="AD80" s="105">
        <v>0</v>
      </c>
      <c r="AE80" s="81">
        <f t="shared" si="85"/>
        <v>0</v>
      </c>
      <c r="AF80" s="105">
        <v>0</v>
      </c>
      <c r="AG80" s="99">
        <f t="shared" si="86"/>
        <v>0</v>
      </c>
      <c r="AH80" s="74">
        <v>0</v>
      </c>
      <c r="AI80" s="81">
        <f t="shared" si="87"/>
        <v>0</v>
      </c>
      <c r="AJ80" s="74">
        <v>0</v>
      </c>
      <c r="AK80" s="99">
        <f t="shared" si="88"/>
        <v>0</v>
      </c>
      <c r="AL80" s="74">
        <f t="shared" si="66"/>
        <v>98</v>
      </c>
      <c r="AM80" s="81">
        <f t="shared" si="99"/>
        <v>107.71428571428571</v>
      </c>
      <c r="AN80" s="74">
        <f t="shared" si="67"/>
        <v>18</v>
      </c>
      <c r="AO80" s="81">
        <f t="shared" si="89"/>
        <v>17.714285714285715</v>
      </c>
      <c r="AP80" s="74">
        <f t="shared" si="68"/>
        <v>25</v>
      </c>
      <c r="AQ80" s="81">
        <f t="shared" si="90"/>
        <v>40.714285714285715</v>
      </c>
      <c r="AR80" s="74">
        <f t="shared" si="69"/>
        <v>17</v>
      </c>
      <c r="AS80" s="81">
        <f t="shared" si="91"/>
        <v>21.428571428571427</v>
      </c>
      <c r="AT80" s="83">
        <f t="shared" si="56"/>
        <v>0.620253164556962</v>
      </c>
      <c r="AU80" s="83">
        <f t="shared" si="57"/>
        <v>0.11392405063291139</v>
      </c>
      <c r="AV80" s="83">
        <f t="shared" si="58"/>
        <v>0.15822784810126583</v>
      </c>
      <c r="AW80" s="84">
        <f t="shared" si="59"/>
        <v>0.10759493670886076</v>
      </c>
      <c r="AX80" s="83">
        <f t="shared" si="100"/>
        <v>0.57228858497400481</v>
      </c>
      <c r="AY80" s="83">
        <f t="shared" si="100"/>
        <v>9.3191544718406058E-2</v>
      </c>
      <c r="AZ80" s="83">
        <f t="shared" si="100"/>
        <v>0.22003392985450776</v>
      </c>
      <c r="BA80" s="84">
        <f t="shared" si="100"/>
        <v>0.11448594045308139</v>
      </c>
      <c r="BB80" s="74">
        <v>0</v>
      </c>
      <c r="BC80" s="81">
        <f t="shared" si="91"/>
        <v>0</v>
      </c>
      <c r="BD80" s="74">
        <v>0</v>
      </c>
      <c r="BE80" s="81">
        <f t="shared" si="92"/>
        <v>0</v>
      </c>
      <c r="BF80" s="74">
        <v>0</v>
      </c>
      <c r="BG80" s="81">
        <f t="shared" si="93"/>
        <v>0.14285714285714285</v>
      </c>
      <c r="BH80" s="74">
        <v>0</v>
      </c>
      <c r="BI80" s="81">
        <f t="shared" si="94"/>
        <v>0</v>
      </c>
      <c r="BJ80" s="74">
        <v>98</v>
      </c>
      <c r="BK80" s="81">
        <f t="shared" si="95"/>
        <v>107.71428571428571</v>
      </c>
      <c r="BL80" s="74">
        <v>18</v>
      </c>
      <c r="BM80" s="81">
        <f t="shared" si="96"/>
        <v>17.714285714285715</v>
      </c>
      <c r="BN80" s="74">
        <v>25</v>
      </c>
      <c r="BO80" s="81">
        <f t="shared" si="97"/>
        <v>40.571428571428569</v>
      </c>
      <c r="BP80" s="74">
        <v>17</v>
      </c>
      <c r="BQ80" s="81">
        <f t="shared" si="98"/>
        <v>21.428571428571427</v>
      </c>
    </row>
    <row r="81" spans="1:69" x14ac:dyDescent="0.25">
      <c r="A81" s="85">
        <f t="shared" si="70"/>
        <v>45681</v>
      </c>
      <c r="B81" s="74">
        <f t="shared" si="60"/>
        <v>801</v>
      </c>
      <c r="C81" s="81">
        <f t="shared" si="71"/>
        <v>853.75</v>
      </c>
      <c r="D81" s="74">
        <f t="shared" si="61"/>
        <v>67</v>
      </c>
      <c r="E81" s="99">
        <f t="shared" si="72"/>
        <v>73.75</v>
      </c>
      <c r="F81" s="74">
        <v>132.63561644199993</v>
      </c>
      <c r="G81" s="81">
        <f t="shared" si="73"/>
        <v>154.07671233299996</v>
      </c>
      <c r="H81" s="74">
        <v>132.63561644199993</v>
      </c>
      <c r="I81" s="99">
        <f t="shared" si="74"/>
        <v>154.07671233299996</v>
      </c>
      <c r="J81" s="74">
        <f t="shared" si="62"/>
        <v>801</v>
      </c>
      <c r="K81" s="81">
        <f t="shared" si="75"/>
        <v>853.75</v>
      </c>
      <c r="L81" s="74">
        <f t="shared" si="63"/>
        <v>67</v>
      </c>
      <c r="M81" s="99">
        <f t="shared" si="76"/>
        <v>73.75</v>
      </c>
      <c r="N81" s="74">
        <f t="shared" si="64"/>
        <v>801</v>
      </c>
      <c r="O81" s="81">
        <f t="shared" si="77"/>
        <v>853.75</v>
      </c>
      <c r="P81" s="74">
        <f t="shared" si="65"/>
        <v>67</v>
      </c>
      <c r="Q81" s="99">
        <f t="shared" si="78"/>
        <v>73.75</v>
      </c>
      <c r="R81" s="74">
        <v>133</v>
      </c>
      <c r="S81" s="81">
        <f t="shared" si="79"/>
        <v>154.5</v>
      </c>
      <c r="T81" s="74">
        <v>62</v>
      </c>
      <c r="U81" s="99">
        <f t="shared" si="80"/>
        <v>72.5</v>
      </c>
      <c r="V81" s="74">
        <v>668</v>
      </c>
      <c r="W81" s="81">
        <f t="shared" si="81"/>
        <v>699.25</v>
      </c>
      <c r="X81" s="74">
        <v>5</v>
      </c>
      <c r="Y81" s="99">
        <f t="shared" si="82"/>
        <v>1.25</v>
      </c>
      <c r="Z81" s="74">
        <v>0</v>
      </c>
      <c r="AA81" s="81">
        <f t="shared" si="83"/>
        <v>0</v>
      </c>
      <c r="AB81" s="74">
        <v>0</v>
      </c>
      <c r="AC81" s="99">
        <f t="shared" si="84"/>
        <v>0</v>
      </c>
      <c r="AD81" s="105">
        <v>0</v>
      </c>
      <c r="AE81" s="81">
        <f t="shared" si="85"/>
        <v>0</v>
      </c>
      <c r="AF81" s="105">
        <v>0</v>
      </c>
      <c r="AG81" s="99">
        <f t="shared" si="86"/>
        <v>0</v>
      </c>
      <c r="AH81" s="74">
        <v>0</v>
      </c>
      <c r="AI81" s="81">
        <f t="shared" si="87"/>
        <v>0</v>
      </c>
      <c r="AJ81" s="74">
        <v>0</v>
      </c>
      <c r="AK81" s="99">
        <f t="shared" si="88"/>
        <v>0</v>
      </c>
      <c r="AL81" s="74">
        <f t="shared" si="66"/>
        <v>73</v>
      </c>
      <c r="AM81" s="81">
        <f t="shared" si="99"/>
        <v>96.857142857142861</v>
      </c>
      <c r="AN81" s="74">
        <f t="shared" si="67"/>
        <v>14</v>
      </c>
      <c r="AO81" s="81">
        <f t="shared" si="89"/>
        <v>16.571428571428573</v>
      </c>
      <c r="AP81" s="74">
        <f t="shared" si="68"/>
        <v>28</v>
      </c>
      <c r="AQ81" s="81">
        <f t="shared" si="90"/>
        <v>37.285714285714285</v>
      </c>
      <c r="AR81" s="74">
        <f t="shared" si="69"/>
        <v>18</v>
      </c>
      <c r="AS81" s="81">
        <f t="shared" si="91"/>
        <v>20.571428571428573</v>
      </c>
      <c r="AT81" s="83">
        <f t="shared" si="56"/>
        <v>0.54887218045112784</v>
      </c>
      <c r="AU81" s="83">
        <f t="shared" si="57"/>
        <v>0.10526315789473684</v>
      </c>
      <c r="AV81" s="83">
        <f t="shared" si="58"/>
        <v>0.21052631578947367</v>
      </c>
      <c r="AW81" s="84">
        <f t="shared" si="59"/>
        <v>0.13533834586466165</v>
      </c>
      <c r="AX81" s="83">
        <f t="shared" si="100"/>
        <v>0.56452191555320008</v>
      </c>
      <c r="AY81" s="83">
        <f t="shared" si="100"/>
        <v>9.550502071609257E-2</v>
      </c>
      <c r="AZ81" s="83">
        <f t="shared" si="100"/>
        <v>0.22003392985450776</v>
      </c>
      <c r="BA81" s="84">
        <f t="shared" si="100"/>
        <v>0.11993913387619962</v>
      </c>
      <c r="BB81" s="74">
        <v>0</v>
      </c>
      <c r="BC81" s="81">
        <f t="shared" si="91"/>
        <v>0</v>
      </c>
      <c r="BD81" s="74">
        <v>0</v>
      </c>
      <c r="BE81" s="81">
        <f t="shared" si="92"/>
        <v>0</v>
      </c>
      <c r="BF81" s="74">
        <v>0</v>
      </c>
      <c r="BG81" s="81">
        <f t="shared" si="93"/>
        <v>0.14285714285714285</v>
      </c>
      <c r="BH81" s="74">
        <v>0</v>
      </c>
      <c r="BI81" s="81">
        <f t="shared" si="94"/>
        <v>0</v>
      </c>
      <c r="BJ81" s="74">
        <v>73</v>
      </c>
      <c r="BK81" s="81">
        <f t="shared" si="95"/>
        <v>96.857142857142861</v>
      </c>
      <c r="BL81" s="74">
        <v>14</v>
      </c>
      <c r="BM81" s="81">
        <f t="shared" si="96"/>
        <v>16.571428571428573</v>
      </c>
      <c r="BN81" s="74">
        <v>28</v>
      </c>
      <c r="BO81" s="81">
        <f t="shared" si="97"/>
        <v>37.142857142857146</v>
      </c>
      <c r="BP81" s="74">
        <v>18</v>
      </c>
      <c r="BQ81" s="81">
        <f t="shared" si="98"/>
        <v>20.571428571428573</v>
      </c>
    </row>
    <row r="82" spans="1:69" x14ac:dyDescent="0.25">
      <c r="A82" s="85">
        <f t="shared" si="70"/>
        <v>45688</v>
      </c>
      <c r="B82" s="74">
        <f t="shared" si="60"/>
        <v>977</v>
      </c>
      <c r="C82" s="81">
        <f t="shared" si="71"/>
        <v>896.75</v>
      </c>
      <c r="D82" s="74">
        <f t="shared" si="61"/>
        <v>108</v>
      </c>
      <c r="E82" s="99">
        <f t="shared" si="72"/>
        <v>86.25</v>
      </c>
      <c r="F82" s="74">
        <v>176.51506849799998</v>
      </c>
      <c r="G82" s="81">
        <f t="shared" si="73"/>
        <v>161.05753425099999</v>
      </c>
      <c r="H82" s="74">
        <v>176.51506849799998</v>
      </c>
      <c r="I82" s="99">
        <f t="shared" si="74"/>
        <v>161.05753425099999</v>
      </c>
      <c r="J82" s="74">
        <f t="shared" si="62"/>
        <v>977</v>
      </c>
      <c r="K82" s="81">
        <f t="shared" si="75"/>
        <v>896.75</v>
      </c>
      <c r="L82" s="74">
        <f t="shared" si="63"/>
        <v>108</v>
      </c>
      <c r="M82" s="99">
        <f t="shared" si="76"/>
        <v>86.25</v>
      </c>
      <c r="N82" s="74">
        <f t="shared" si="64"/>
        <v>977</v>
      </c>
      <c r="O82" s="81">
        <f t="shared" si="77"/>
        <v>896.75</v>
      </c>
      <c r="P82" s="74">
        <f t="shared" si="65"/>
        <v>108</v>
      </c>
      <c r="Q82" s="99">
        <f t="shared" si="78"/>
        <v>86.25</v>
      </c>
      <c r="R82" s="74">
        <v>177</v>
      </c>
      <c r="S82" s="81">
        <f t="shared" si="79"/>
        <v>161.5</v>
      </c>
      <c r="T82" s="74">
        <v>68</v>
      </c>
      <c r="U82" s="99">
        <f t="shared" si="80"/>
        <v>75</v>
      </c>
      <c r="V82" s="74">
        <v>800</v>
      </c>
      <c r="W82" s="81">
        <f t="shared" si="81"/>
        <v>735.25</v>
      </c>
      <c r="X82" s="74">
        <v>40</v>
      </c>
      <c r="Y82" s="99">
        <f t="shared" si="82"/>
        <v>11.25</v>
      </c>
      <c r="Z82" s="74">
        <v>0</v>
      </c>
      <c r="AA82" s="81">
        <f t="shared" si="83"/>
        <v>0</v>
      </c>
      <c r="AB82" s="74">
        <v>0</v>
      </c>
      <c r="AC82" s="99">
        <f t="shared" si="84"/>
        <v>0</v>
      </c>
      <c r="AD82" s="105">
        <v>0</v>
      </c>
      <c r="AE82" s="81">
        <f t="shared" si="85"/>
        <v>0</v>
      </c>
      <c r="AF82" s="105">
        <v>0</v>
      </c>
      <c r="AG82" s="99">
        <f t="shared" si="86"/>
        <v>0</v>
      </c>
      <c r="AH82" s="74">
        <v>0</v>
      </c>
      <c r="AI82" s="81">
        <f t="shared" si="87"/>
        <v>0</v>
      </c>
      <c r="AJ82" s="74">
        <v>0</v>
      </c>
      <c r="AK82" s="99">
        <f t="shared" si="88"/>
        <v>0</v>
      </c>
      <c r="AL82" s="74">
        <f t="shared" si="66"/>
        <v>106</v>
      </c>
      <c r="AM82" s="81">
        <f t="shared" si="99"/>
        <v>92.142857142857139</v>
      </c>
      <c r="AN82" s="74">
        <f t="shared" si="67"/>
        <v>15</v>
      </c>
      <c r="AO82" s="81">
        <f t="shared" si="89"/>
        <v>14.714285714285714</v>
      </c>
      <c r="AP82" s="74">
        <f t="shared" si="68"/>
        <v>35</v>
      </c>
      <c r="AQ82" s="81">
        <f t="shared" si="90"/>
        <v>36</v>
      </c>
      <c r="AR82" s="74">
        <f t="shared" si="69"/>
        <v>21</v>
      </c>
      <c r="AS82" s="81">
        <f t="shared" si="91"/>
        <v>20.285714285714285</v>
      </c>
      <c r="AT82" s="83">
        <f t="shared" si="56"/>
        <v>0.59887005649717517</v>
      </c>
      <c r="AU82" s="83">
        <f t="shared" si="57"/>
        <v>8.4745762711864403E-2</v>
      </c>
      <c r="AV82" s="83">
        <f t="shared" si="58"/>
        <v>0.19774011299435029</v>
      </c>
      <c r="AW82" s="84">
        <f t="shared" si="59"/>
        <v>0.11864406779661017</v>
      </c>
      <c r="AX82" s="83">
        <f t="shared" si="100"/>
        <v>0.56521519590749736</v>
      </c>
      <c r="AY82" s="83">
        <f t="shared" si="100"/>
        <v>9.0517541152341813E-2</v>
      </c>
      <c r="AZ82" s="83">
        <f t="shared" si="100"/>
        <v>0.22142049056310237</v>
      </c>
      <c r="BA82" s="84">
        <f t="shared" si="100"/>
        <v>0.12284677237705846</v>
      </c>
      <c r="BB82" s="74">
        <v>0</v>
      </c>
      <c r="BC82" s="81">
        <f t="shared" si="91"/>
        <v>0</v>
      </c>
      <c r="BD82" s="74">
        <v>0</v>
      </c>
      <c r="BE82" s="81">
        <f t="shared" si="92"/>
        <v>0</v>
      </c>
      <c r="BF82" s="74">
        <v>0</v>
      </c>
      <c r="BG82" s="81">
        <f t="shared" si="93"/>
        <v>0.14285714285714285</v>
      </c>
      <c r="BH82" s="74">
        <v>0</v>
      </c>
      <c r="BI82" s="81">
        <f t="shared" si="94"/>
        <v>0</v>
      </c>
      <c r="BJ82" s="74">
        <v>106</v>
      </c>
      <c r="BK82" s="81">
        <f t="shared" si="95"/>
        <v>92.142857142857139</v>
      </c>
      <c r="BL82" s="74">
        <v>15</v>
      </c>
      <c r="BM82" s="81">
        <f t="shared" si="96"/>
        <v>14.714285714285714</v>
      </c>
      <c r="BN82" s="74">
        <v>35</v>
      </c>
      <c r="BO82" s="81">
        <f t="shared" si="97"/>
        <v>35.857142857142854</v>
      </c>
      <c r="BP82" s="74">
        <v>21</v>
      </c>
      <c r="BQ82" s="81">
        <f t="shared" si="98"/>
        <v>20.285714285714285</v>
      </c>
    </row>
    <row r="83" spans="1:69" x14ac:dyDescent="0.25">
      <c r="A83" s="85">
        <f t="shared" si="70"/>
        <v>45695</v>
      </c>
      <c r="B83" s="74">
        <f t="shared" si="60"/>
        <v>889</v>
      </c>
      <c r="C83" s="81">
        <f t="shared" si="71"/>
        <v>890.25</v>
      </c>
      <c r="D83" s="74">
        <f t="shared" si="61"/>
        <v>123</v>
      </c>
      <c r="E83" s="99">
        <f t="shared" si="72"/>
        <v>96.25</v>
      </c>
      <c r="F83" s="74">
        <v>155.57260274400005</v>
      </c>
      <c r="G83" s="81">
        <f t="shared" si="73"/>
        <v>155.57260274399999</v>
      </c>
      <c r="H83" s="74">
        <v>155.57260274400005</v>
      </c>
      <c r="I83" s="99">
        <f t="shared" si="74"/>
        <v>155.57260274399999</v>
      </c>
      <c r="J83" s="74">
        <f t="shared" si="62"/>
        <v>889</v>
      </c>
      <c r="K83" s="81">
        <f t="shared" si="75"/>
        <v>890.25</v>
      </c>
      <c r="L83" s="74">
        <f t="shared" si="63"/>
        <v>123</v>
      </c>
      <c r="M83" s="99">
        <f t="shared" si="76"/>
        <v>96.25</v>
      </c>
      <c r="N83" s="74">
        <f t="shared" si="64"/>
        <v>889</v>
      </c>
      <c r="O83" s="81">
        <f t="shared" si="77"/>
        <v>890.25</v>
      </c>
      <c r="P83" s="74">
        <f t="shared" si="65"/>
        <v>123</v>
      </c>
      <c r="Q83" s="99">
        <f t="shared" si="78"/>
        <v>96.25</v>
      </c>
      <c r="R83" s="74">
        <v>156</v>
      </c>
      <c r="S83" s="81">
        <f t="shared" si="79"/>
        <v>156</v>
      </c>
      <c r="T83" s="74">
        <v>75</v>
      </c>
      <c r="U83" s="99">
        <f t="shared" si="80"/>
        <v>73</v>
      </c>
      <c r="V83" s="74">
        <v>733</v>
      </c>
      <c r="W83" s="81">
        <f t="shared" si="81"/>
        <v>734.25</v>
      </c>
      <c r="X83" s="74">
        <v>48</v>
      </c>
      <c r="Y83" s="99">
        <f t="shared" si="82"/>
        <v>23.25</v>
      </c>
      <c r="Z83" s="74">
        <v>0</v>
      </c>
      <c r="AA83" s="81">
        <f t="shared" si="83"/>
        <v>0</v>
      </c>
      <c r="AB83" s="74">
        <v>0</v>
      </c>
      <c r="AC83" s="99">
        <f t="shared" si="84"/>
        <v>0</v>
      </c>
      <c r="AD83" s="105">
        <v>0</v>
      </c>
      <c r="AE83" s="81">
        <f t="shared" si="85"/>
        <v>0</v>
      </c>
      <c r="AF83" s="105">
        <v>0</v>
      </c>
      <c r="AG83" s="99">
        <f t="shared" si="86"/>
        <v>0</v>
      </c>
      <c r="AH83" s="74">
        <v>0</v>
      </c>
      <c r="AI83" s="81">
        <f t="shared" si="87"/>
        <v>0</v>
      </c>
      <c r="AJ83" s="74">
        <v>0</v>
      </c>
      <c r="AK83" s="99">
        <f t="shared" si="88"/>
        <v>0</v>
      </c>
      <c r="AL83" s="74">
        <f t="shared" si="66"/>
        <v>97</v>
      </c>
      <c r="AM83" s="81">
        <f t="shared" si="99"/>
        <v>90.428571428571431</v>
      </c>
      <c r="AN83" s="74">
        <f t="shared" si="67"/>
        <v>10</v>
      </c>
      <c r="AO83" s="81">
        <f t="shared" si="89"/>
        <v>13.285714285714286</v>
      </c>
      <c r="AP83" s="74">
        <f t="shared" si="68"/>
        <v>27</v>
      </c>
      <c r="AQ83" s="81">
        <f t="shared" si="90"/>
        <v>33.714285714285715</v>
      </c>
      <c r="AR83" s="74">
        <f t="shared" si="69"/>
        <v>22</v>
      </c>
      <c r="AS83" s="81">
        <f t="shared" si="91"/>
        <v>18.714285714285715</v>
      </c>
      <c r="AT83" s="83">
        <f t="shared" si="56"/>
        <v>0.62179487179487181</v>
      </c>
      <c r="AU83" s="83">
        <f t="shared" si="57"/>
        <v>6.4102564102564097E-2</v>
      </c>
      <c r="AV83" s="83">
        <f t="shared" si="58"/>
        <v>0.17307692307692307</v>
      </c>
      <c r="AW83" s="84">
        <f t="shared" si="59"/>
        <v>0.14102564102564102</v>
      </c>
      <c r="AX83" s="83">
        <f t="shared" si="100"/>
        <v>0.57808484658202608</v>
      </c>
      <c r="AY83" s="83">
        <f t="shared" si="100"/>
        <v>8.5737768079885826E-2</v>
      </c>
      <c r="AZ83" s="83">
        <f t="shared" si="100"/>
        <v>0.21618060849395201</v>
      </c>
      <c r="BA83" s="84">
        <f t="shared" si="100"/>
        <v>0.11999677684413609</v>
      </c>
      <c r="BB83" s="74">
        <v>0</v>
      </c>
      <c r="BC83" s="81">
        <f t="shared" si="91"/>
        <v>0</v>
      </c>
      <c r="BD83" s="74">
        <v>0</v>
      </c>
      <c r="BE83" s="81">
        <f t="shared" si="92"/>
        <v>0</v>
      </c>
      <c r="BF83" s="74">
        <v>0</v>
      </c>
      <c r="BG83" s="81">
        <f t="shared" si="93"/>
        <v>0</v>
      </c>
      <c r="BH83" s="74">
        <v>0</v>
      </c>
      <c r="BI83" s="81">
        <f t="shared" si="94"/>
        <v>0</v>
      </c>
      <c r="BJ83" s="74">
        <v>97</v>
      </c>
      <c r="BK83" s="81">
        <f t="shared" si="95"/>
        <v>90.428571428571431</v>
      </c>
      <c r="BL83" s="74">
        <v>10</v>
      </c>
      <c r="BM83" s="81">
        <f t="shared" si="96"/>
        <v>13.285714285714286</v>
      </c>
      <c r="BN83" s="74">
        <v>27</v>
      </c>
      <c r="BO83" s="81">
        <f t="shared" si="97"/>
        <v>33.714285714285715</v>
      </c>
      <c r="BP83" s="74">
        <v>22</v>
      </c>
      <c r="BQ83" s="81">
        <f t="shared" si="98"/>
        <v>18.714285714285715</v>
      </c>
    </row>
    <row r="84" spans="1:69" x14ac:dyDescent="0.25">
      <c r="A84" s="85">
        <f t="shared" si="70"/>
        <v>45702</v>
      </c>
      <c r="B84" s="74">
        <f t="shared" si="60"/>
        <v>712</v>
      </c>
      <c r="C84" s="81">
        <f t="shared" si="71"/>
        <v>844.75</v>
      </c>
      <c r="D84" s="74">
        <f t="shared" si="61"/>
        <v>116</v>
      </c>
      <c r="E84" s="99">
        <f t="shared" si="72"/>
        <v>103.5</v>
      </c>
      <c r="F84" s="74">
        <v>125.65479452399995</v>
      </c>
      <c r="G84" s="81">
        <f t="shared" si="73"/>
        <v>147.59452055199998</v>
      </c>
      <c r="H84" s="74">
        <v>125.65479452399995</v>
      </c>
      <c r="I84" s="99">
        <f t="shared" si="74"/>
        <v>147.59452055199998</v>
      </c>
      <c r="J84" s="74">
        <f t="shared" si="62"/>
        <v>712</v>
      </c>
      <c r="K84" s="81">
        <f t="shared" si="75"/>
        <v>844.75</v>
      </c>
      <c r="L84" s="74">
        <f t="shared" si="63"/>
        <v>116</v>
      </c>
      <c r="M84" s="99">
        <f t="shared" si="76"/>
        <v>103.5</v>
      </c>
      <c r="N84" s="74">
        <f t="shared" si="64"/>
        <v>712</v>
      </c>
      <c r="O84" s="81">
        <f t="shared" si="77"/>
        <v>844.75</v>
      </c>
      <c r="P84" s="74">
        <f t="shared" si="65"/>
        <v>116</v>
      </c>
      <c r="Q84" s="99">
        <f t="shared" si="78"/>
        <v>103.5</v>
      </c>
      <c r="R84" s="74">
        <v>126</v>
      </c>
      <c r="S84" s="81">
        <f t="shared" si="79"/>
        <v>148</v>
      </c>
      <c r="T84" s="74">
        <v>60</v>
      </c>
      <c r="U84" s="99">
        <f t="shared" si="80"/>
        <v>66.25</v>
      </c>
      <c r="V84" s="74">
        <v>586</v>
      </c>
      <c r="W84" s="81">
        <f t="shared" si="81"/>
        <v>696.75</v>
      </c>
      <c r="X84" s="74">
        <v>56</v>
      </c>
      <c r="Y84" s="99">
        <f t="shared" si="82"/>
        <v>37.25</v>
      </c>
      <c r="Z84" s="74">
        <v>0</v>
      </c>
      <c r="AA84" s="81">
        <f t="shared" si="83"/>
        <v>0</v>
      </c>
      <c r="AB84" s="74">
        <v>0</v>
      </c>
      <c r="AC84" s="99">
        <f t="shared" si="84"/>
        <v>0</v>
      </c>
      <c r="AD84" s="105">
        <v>0</v>
      </c>
      <c r="AE84" s="81">
        <f t="shared" si="85"/>
        <v>0</v>
      </c>
      <c r="AF84" s="105">
        <v>0</v>
      </c>
      <c r="AG84" s="99">
        <f t="shared" si="86"/>
        <v>0</v>
      </c>
      <c r="AH84" s="74">
        <v>0</v>
      </c>
      <c r="AI84" s="81">
        <f t="shared" si="87"/>
        <v>0</v>
      </c>
      <c r="AJ84" s="74">
        <v>0</v>
      </c>
      <c r="AK84" s="99">
        <f t="shared" si="88"/>
        <v>0</v>
      </c>
      <c r="AL84" s="74">
        <f t="shared" si="66"/>
        <v>70</v>
      </c>
      <c r="AM84" s="81">
        <f t="shared" si="99"/>
        <v>88.857142857142861</v>
      </c>
      <c r="AN84" s="74">
        <f t="shared" si="67"/>
        <v>12</v>
      </c>
      <c r="AO84" s="81">
        <f t="shared" si="89"/>
        <v>13.428571428571429</v>
      </c>
      <c r="AP84" s="74">
        <f t="shared" si="68"/>
        <v>33</v>
      </c>
      <c r="AQ84" s="81">
        <f t="shared" si="90"/>
        <v>33.285714285714285</v>
      </c>
      <c r="AR84" s="74">
        <f t="shared" si="69"/>
        <v>11</v>
      </c>
      <c r="AS84" s="81">
        <f t="shared" si="91"/>
        <v>18.285714285714285</v>
      </c>
      <c r="AT84" s="83">
        <f t="shared" si="56"/>
        <v>0.55555555555555558</v>
      </c>
      <c r="AU84" s="83">
        <f t="shared" si="57"/>
        <v>9.5238095238095233E-2</v>
      </c>
      <c r="AV84" s="83">
        <f t="shared" si="58"/>
        <v>0.26190476190476192</v>
      </c>
      <c r="AW84" s="84">
        <f t="shared" si="59"/>
        <v>8.7301587301587297E-2</v>
      </c>
      <c r="AX84" s="83">
        <f t="shared" si="100"/>
        <v>0.5759609923454958</v>
      </c>
      <c r="AY84" s="83">
        <f t="shared" si="100"/>
        <v>8.827681186641452E-2</v>
      </c>
      <c r="AZ84" s="83">
        <f t="shared" si="100"/>
        <v>0.21737827065740897</v>
      </c>
      <c r="BA84" s="84">
        <f t="shared" si="100"/>
        <v>0.11838392513068077</v>
      </c>
      <c r="BB84" s="74">
        <v>0</v>
      </c>
      <c r="BC84" s="81">
        <f t="shared" si="91"/>
        <v>0</v>
      </c>
      <c r="BD84" s="74">
        <v>0</v>
      </c>
      <c r="BE84" s="81">
        <f t="shared" si="92"/>
        <v>0</v>
      </c>
      <c r="BF84" s="74">
        <v>0</v>
      </c>
      <c r="BG84" s="81">
        <f t="shared" si="93"/>
        <v>0</v>
      </c>
      <c r="BH84" s="74">
        <v>0</v>
      </c>
      <c r="BI84" s="81">
        <f t="shared" si="94"/>
        <v>0</v>
      </c>
      <c r="BJ84" s="74">
        <v>70</v>
      </c>
      <c r="BK84" s="81">
        <f t="shared" si="95"/>
        <v>88.857142857142861</v>
      </c>
      <c r="BL84" s="74">
        <v>12</v>
      </c>
      <c r="BM84" s="81">
        <f t="shared" si="96"/>
        <v>13.428571428571429</v>
      </c>
      <c r="BN84" s="74">
        <v>33</v>
      </c>
      <c r="BO84" s="81">
        <f t="shared" si="97"/>
        <v>33.285714285714285</v>
      </c>
      <c r="BP84" s="74">
        <v>11</v>
      </c>
      <c r="BQ84" s="81">
        <f t="shared" si="98"/>
        <v>18.285714285714285</v>
      </c>
    </row>
    <row r="85" spans="1:69" x14ac:dyDescent="0.25">
      <c r="A85" s="85">
        <f t="shared" si="70"/>
        <v>45709</v>
      </c>
      <c r="B85" s="74">
        <f t="shared" si="60"/>
        <v>654</v>
      </c>
      <c r="C85" s="81">
        <f t="shared" si="71"/>
        <v>808</v>
      </c>
      <c r="D85" s="74">
        <f t="shared" si="61"/>
        <v>118</v>
      </c>
      <c r="E85" s="99">
        <f t="shared" si="72"/>
        <v>116.25</v>
      </c>
      <c r="F85" s="74">
        <v>132.63561644199993</v>
      </c>
      <c r="G85" s="81">
        <f t="shared" si="73"/>
        <v>147.59452055199998</v>
      </c>
      <c r="H85" s="74">
        <v>132.63561644199993</v>
      </c>
      <c r="I85" s="99">
        <f t="shared" si="74"/>
        <v>147.59452055199998</v>
      </c>
      <c r="J85" s="74">
        <f t="shared" si="62"/>
        <v>654</v>
      </c>
      <c r="K85" s="81">
        <f t="shared" si="75"/>
        <v>808</v>
      </c>
      <c r="L85" s="74">
        <f t="shared" si="63"/>
        <v>118</v>
      </c>
      <c r="M85" s="99">
        <f t="shared" si="76"/>
        <v>116.25</v>
      </c>
      <c r="N85" s="74">
        <f t="shared" si="64"/>
        <v>654</v>
      </c>
      <c r="O85" s="81">
        <f t="shared" si="77"/>
        <v>808</v>
      </c>
      <c r="P85" s="74">
        <f t="shared" si="65"/>
        <v>118</v>
      </c>
      <c r="Q85" s="99">
        <f t="shared" si="78"/>
        <v>116.25</v>
      </c>
      <c r="R85" s="74">
        <v>133</v>
      </c>
      <c r="S85" s="81">
        <f t="shared" si="79"/>
        <v>148</v>
      </c>
      <c r="T85" s="74">
        <v>51</v>
      </c>
      <c r="U85" s="99">
        <f t="shared" si="80"/>
        <v>63.5</v>
      </c>
      <c r="V85" s="74">
        <v>521</v>
      </c>
      <c r="W85" s="81">
        <f t="shared" si="81"/>
        <v>660</v>
      </c>
      <c r="X85" s="74">
        <v>67</v>
      </c>
      <c r="Y85" s="99">
        <f t="shared" si="82"/>
        <v>52.75</v>
      </c>
      <c r="Z85" s="74">
        <v>0</v>
      </c>
      <c r="AA85" s="81">
        <f t="shared" si="83"/>
        <v>0</v>
      </c>
      <c r="AB85" s="74">
        <v>0</v>
      </c>
      <c r="AC85" s="99">
        <f t="shared" si="84"/>
        <v>0</v>
      </c>
      <c r="AD85" s="105">
        <v>0</v>
      </c>
      <c r="AE85" s="81">
        <f t="shared" si="85"/>
        <v>0</v>
      </c>
      <c r="AF85" s="105">
        <v>0</v>
      </c>
      <c r="AG85" s="99">
        <f t="shared" si="86"/>
        <v>0</v>
      </c>
      <c r="AH85" s="74">
        <v>0</v>
      </c>
      <c r="AI85" s="81">
        <f t="shared" si="87"/>
        <v>0</v>
      </c>
      <c r="AJ85" s="74">
        <v>0</v>
      </c>
      <c r="AK85" s="99">
        <f t="shared" si="88"/>
        <v>0</v>
      </c>
      <c r="AL85" s="74">
        <f t="shared" si="66"/>
        <v>83</v>
      </c>
      <c r="AM85" s="81">
        <f t="shared" si="99"/>
        <v>89.428571428571431</v>
      </c>
      <c r="AN85" s="74">
        <f t="shared" si="67"/>
        <v>11</v>
      </c>
      <c r="AO85" s="81">
        <f t="shared" si="89"/>
        <v>13.142857142857142</v>
      </c>
      <c r="AP85" s="74">
        <f t="shared" si="68"/>
        <v>31</v>
      </c>
      <c r="AQ85" s="81">
        <f t="shared" si="90"/>
        <v>32.142857142857146</v>
      </c>
      <c r="AR85" s="74">
        <f t="shared" si="69"/>
        <v>8</v>
      </c>
      <c r="AS85" s="81">
        <f t="shared" si="91"/>
        <v>16.857142857142858</v>
      </c>
      <c r="AT85" s="83">
        <f t="shared" si="56"/>
        <v>0.62406015037593987</v>
      </c>
      <c r="AU85" s="83">
        <f t="shared" si="57"/>
        <v>8.2706766917293228E-2</v>
      </c>
      <c r="AV85" s="83">
        <f t="shared" si="58"/>
        <v>0.23308270676691728</v>
      </c>
      <c r="AW85" s="84">
        <f t="shared" si="59"/>
        <v>6.0150375939849621E-2</v>
      </c>
      <c r="AX85" s="83">
        <f t="shared" si="100"/>
        <v>0.58936939350179018</v>
      </c>
      <c r="AY85" s="83">
        <f t="shared" si="100"/>
        <v>8.7628018262077695E-2</v>
      </c>
      <c r="AZ85" s="83">
        <f t="shared" si="100"/>
        <v>0.21328366213226096</v>
      </c>
      <c r="BA85" s="84">
        <f t="shared" si="100"/>
        <v>0.10971892610387117</v>
      </c>
      <c r="BB85" s="74">
        <v>0</v>
      </c>
      <c r="BC85" s="81">
        <f t="shared" si="91"/>
        <v>0</v>
      </c>
      <c r="BD85" s="74">
        <v>0</v>
      </c>
      <c r="BE85" s="81">
        <f t="shared" si="92"/>
        <v>0</v>
      </c>
      <c r="BF85" s="74">
        <v>0</v>
      </c>
      <c r="BG85" s="81">
        <f t="shared" si="93"/>
        <v>0</v>
      </c>
      <c r="BH85" s="74">
        <v>0</v>
      </c>
      <c r="BI85" s="81">
        <f t="shared" si="94"/>
        <v>0</v>
      </c>
      <c r="BJ85" s="74">
        <v>83</v>
      </c>
      <c r="BK85" s="81">
        <f t="shared" si="95"/>
        <v>89.428571428571431</v>
      </c>
      <c r="BL85" s="74">
        <v>11</v>
      </c>
      <c r="BM85" s="81">
        <f t="shared" si="96"/>
        <v>13.142857142857142</v>
      </c>
      <c r="BN85" s="74">
        <v>31</v>
      </c>
      <c r="BO85" s="81">
        <f t="shared" si="97"/>
        <v>32.142857142857146</v>
      </c>
      <c r="BP85" s="74">
        <v>8</v>
      </c>
      <c r="BQ85" s="81">
        <f t="shared" si="98"/>
        <v>16.857142857142858</v>
      </c>
    </row>
    <row r="86" spans="1:69" x14ac:dyDescent="0.25">
      <c r="A86" s="85">
        <f t="shared" si="70"/>
        <v>45716</v>
      </c>
      <c r="B86" s="74">
        <f t="shared" si="60"/>
        <v>783</v>
      </c>
      <c r="C86" s="81">
        <f t="shared" si="71"/>
        <v>759.5</v>
      </c>
      <c r="D86" s="74">
        <f t="shared" si="61"/>
        <v>192</v>
      </c>
      <c r="E86" s="99">
        <f t="shared" si="72"/>
        <v>137.25</v>
      </c>
      <c r="F86" s="74">
        <v>131.63835616799994</v>
      </c>
      <c r="G86" s="81">
        <f t="shared" si="73"/>
        <v>136.37534246949997</v>
      </c>
      <c r="H86" s="74">
        <v>131.63835616799994</v>
      </c>
      <c r="I86" s="99">
        <f t="shared" si="74"/>
        <v>136.37534246949997</v>
      </c>
      <c r="J86" s="74">
        <f t="shared" si="62"/>
        <v>783</v>
      </c>
      <c r="K86" s="81">
        <f t="shared" si="75"/>
        <v>759.5</v>
      </c>
      <c r="L86" s="74">
        <f t="shared" si="63"/>
        <v>192</v>
      </c>
      <c r="M86" s="99">
        <f t="shared" si="76"/>
        <v>137.25</v>
      </c>
      <c r="N86" s="74">
        <f t="shared" si="64"/>
        <v>783</v>
      </c>
      <c r="O86" s="81">
        <f t="shared" si="77"/>
        <v>759.5</v>
      </c>
      <c r="P86" s="74">
        <f t="shared" si="65"/>
        <v>192</v>
      </c>
      <c r="Q86" s="99">
        <f t="shared" si="78"/>
        <v>137.25</v>
      </c>
      <c r="R86" s="74">
        <v>132</v>
      </c>
      <c r="S86" s="81">
        <f t="shared" si="79"/>
        <v>136.75</v>
      </c>
      <c r="T86" s="74">
        <v>71</v>
      </c>
      <c r="U86" s="99">
        <f t="shared" si="80"/>
        <v>64.25</v>
      </c>
      <c r="V86" s="74">
        <v>651</v>
      </c>
      <c r="W86" s="81">
        <f t="shared" si="81"/>
        <v>622.75</v>
      </c>
      <c r="X86" s="74">
        <v>121</v>
      </c>
      <c r="Y86" s="99">
        <f t="shared" si="82"/>
        <v>73</v>
      </c>
      <c r="Z86" s="74">
        <v>0</v>
      </c>
      <c r="AA86" s="81">
        <f t="shared" si="83"/>
        <v>0</v>
      </c>
      <c r="AB86" s="74">
        <v>0</v>
      </c>
      <c r="AC86" s="99">
        <f t="shared" si="84"/>
        <v>0</v>
      </c>
      <c r="AD86" s="105">
        <v>0</v>
      </c>
      <c r="AE86" s="81">
        <f t="shared" si="85"/>
        <v>0</v>
      </c>
      <c r="AF86" s="105">
        <v>0</v>
      </c>
      <c r="AG86" s="99">
        <f t="shared" si="86"/>
        <v>0</v>
      </c>
      <c r="AH86" s="74">
        <v>0</v>
      </c>
      <c r="AI86" s="81">
        <f t="shared" si="87"/>
        <v>0</v>
      </c>
      <c r="AJ86" s="74">
        <v>0</v>
      </c>
      <c r="AK86" s="99">
        <f t="shared" si="88"/>
        <v>0</v>
      </c>
      <c r="AL86" s="74">
        <f t="shared" si="66"/>
        <v>84</v>
      </c>
      <c r="AM86" s="81">
        <f t="shared" si="99"/>
        <v>87.285714285714292</v>
      </c>
      <c r="AN86" s="74">
        <f t="shared" si="67"/>
        <v>6</v>
      </c>
      <c r="AO86" s="81">
        <f t="shared" si="89"/>
        <v>12.285714285714286</v>
      </c>
      <c r="AP86" s="74">
        <f t="shared" si="68"/>
        <v>26</v>
      </c>
      <c r="AQ86" s="81">
        <f t="shared" si="90"/>
        <v>29.285714285714285</v>
      </c>
      <c r="AR86" s="74">
        <f t="shared" si="69"/>
        <v>16</v>
      </c>
      <c r="AS86" s="81">
        <f t="shared" si="91"/>
        <v>16.142857142857142</v>
      </c>
      <c r="AT86" s="83">
        <f t="shared" si="56"/>
        <v>0.63636363636363635</v>
      </c>
      <c r="AU86" s="83">
        <f t="shared" si="57"/>
        <v>4.5454545454545456E-2</v>
      </c>
      <c r="AV86" s="83">
        <f t="shared" si="58"/>
        <v>0.19696969696969696</v>
      </c>
      <c r="AW86" s="84">
        <f t="shared" si="59"/>
        <v>0.12121212121212122</v>
      </c>
      <c r="AX86" s="83">
        <f t="shared" si="100"/>
        <v>0.60082423079932401</v>
      </c>
      <c r="AY86" s="83">
        <f t="shared" si="100"/>
        <v>8.4490706136001514E-2</v>
      </c>
      <c r="AZ86" s="83">
        <f t="shared" si="100"/>
        <v>0.20450405222905557</v>
      </c>
      <c r="BA86" s="84">
        <f t="shared" si="100"/>
        <v>0.11018101083561883</v>
      </c>
      <c r="BB86" s="74">
        <v>0</v>
      </c>
      <c r="BC86" s="81">
        <f t="shared" si="91"/>
        <v>0</v>
      </c>
      <c r="BD86" s="74">
        <v>0</v>
      </c>
      <c r="BE86" s="81">
        <f t="shared" si="92"/>
        <v>0</v>
      </c>
      <c r="BF86" s="74">
        <v>0</v>
      </c>
      <c r="BG86" s="81">
        <f t="shared" si="93"/>
        <v>0</v>
      </c>
      <c r="BH86" s="74">
        <v>0</v>
      </c>
      <c r="BI86" s="81">
        <f t="shared" si="94"/>
        <v>0</v>
      </c>
      <c r="BJ86" s="74">
        <v>84</v>
      </c>
      <c r="BK86" s="81">
        <f t="shared" si="95"/>
        <v>87.285714285714292</v>
      </c>
      <c r="BL86" s="74">
        <v>6</v>
      </c>
      <c r="BM86" s="81">
        <f t="shared" si="96"/>
        <v>12.285714285714286</v>
      </c>
      <c r="BN86" s="74">
        <v>26</v>
      </c>
      <c r="BO86" s="81">
        <f t="shared" si="97"/>
        <v>29.285714285714285</v>
      </c>
      <c r="BP86" s="74">
        <v>16</v>
      </c>
      <c r="BQ86" s="81">
        <f t="shared" si="98"/>
        <v>16.142857142857142</v>
      </c>
    </row>
    <row r="87" spans="1:69" x14ac:dyDescent="0.25">
      <c r="A87" s="85">
        <f t="shared" si="70"/>
        <v>45723</v>
      </c>
      <c r="B87" s="74">
        <f t="shared" si="60"/>
        <v>785</v>
      </c>
      <c r="C87" s="81">
        <f t="shared" si="71"/>
        <v>733.5</v>
      </c>
      <c r="D87" s="74">
        <f t="shared" si="61"/>
        <v>182</v>
      </c>
      <c r="E87" s="99">
        <f t="shared" si="72"/>
        <v>152</v>
      </c>
      <c r="F87" s="74">
        <v>121.66575342799995</v>
      </c>
      <c r="G87" s="81">
        <f t="shared" si="73"/>
        <v>127.89863014049995</v>
      </c>
      <c r="H87" s="74">
        <v>121.66575342799995</v>
      </c>
      <c r="I87" s="99">
        <f t="shared" si="74"/>
        <v>127.89863014049995</v>
      </c>
      <c r="J87" s="74">
        <f t="shared" si="62"/>
        <v>785</v>
      </c>
      <c r="K87" s="81">
        <f t="shared" si="75"/>
        <v>733.5</v>
      </c>
      <c r="L87" s="74">
        <f t="shared" si="63"/>
        <v>182</v>
      </c>
      <c r="M87" s="99">
        <f t="shared" si="76"/>
        <v>152</v>
      </c>
      <c r="N87" s="74">
        <f t="shared" si="64"/>
        <v>785</v>
      </c>
      <c r="O87" s="81">
        <f t="shared" si="77"/>
        <v>733.5</v>
      </c>
      <c r="P87" s="74">
        <f t="shared" si="65"/>
        <v>182</v>
      </c>
      <c r="Q87" s="99">
        <f t="shared" si="78"/>
        <v>152</v>
      </c>
      <c r="R87" s="74">
        <v>122</v>
      </c>
      <c r="S87" s="81">
        <f t="shared" si="79"/>
        <v>128.25</v>
      </c>
      <c r="T87" s="74">
        <v>61</v>
      </c>
      <c r="U87" s="99">
        <f t="shared" si="80"/>
        <v>60.75</v>
      </c>
      <c r="V87" s="74">
        <v>663</v>
      </c>
      <c r="W87" s="81">
        <f t="shared" si="81"/>
        <v>605.25</v>
      </c>
      <c r="X87" s="74">
        <v>121</v>
      </c>
      <c r="Y87" s="99">
        <f t="shared" si="82"/>
        <v>91.25</v>
      </c>
      <c r="Z87" s="74">
        <v>0</v>
      </c>
      <c r="AA87" s="81">
        <f t="shared" si="83"/>
        <v>0</v>
      </c>
      <c r="AB87" s="74">
        <v>0</v>
      </c>
      <c r="AC87" s="99">
        <f t="shared" si="84"/>
        <v>0</v>
      </c>
      <c r="AD87" s="105">
        <v>0</v>
      </c>
      <c r="AE87" s="81">
        <f t="shared" si="85"/>
        <v>0</v>
      </c>
      <c r="AF87" s="105">
        <v>0</v>
      </c>
      <c r="AG87" s="99">
        <f t="shared" si="86"/>
        <v>0</v>
      </c>
      <c r="AH87" s="74">
        <v>0</v>
      </c>
      <c r="AI87" s="81">
        <f t="shared" si="87"/>
        <v>0</v>
      </c>
      <c r="AJ87" s="74">
        <v>0</v>
      </c>
      <c r="AK87" s="99">
        <f t="shared" si="88"/>
        <v>0</v>
      </c>
      <c r="AL87" s="74">
        <f t="shared" si="66"/>
        <v>66</v>
      </c>
      <c r="AM87" s="81">
        <f t="shared" si="99"/>
        <v>82.714285714285708</v>
      </c>
      <c r="AN87" s="74">
        <f t="shared" si="67"/>
        <v>18</v>
      </c>
      <c r="AO87" s="81">
        <f t="shared" si="89"/>
        <v>12.285714285714286</v>
      </c>
      <c r="AP87" s="74">
        <f t="shared" si="68"/>
        <v>27</v>
      </c>
      <c r="AQ87" s="81">
        <f t="shared" si="90"/>
        <v>29.571428571428573</v>
      </c>
      <c r="AR87" s="74">
        <f t="shared" si="69"/>
        <v>11</v>
      </c>
      <c r="AS87" s="81">
        <f t="shared" si="91"/>
        <v>15.285714285714286</v>
      </c>
      <c r="AT87" s="83">
        <f t="shared" si="56"/>
        <v>0.54098360655737709</v>
      </c>
      <c r="AU87" s="83">
        <f t="shared" si="57"/>
        <v>0.14754098360655737</v>
      </c>
      <c r="AV87" s="83">
        <f t="shared" si="58"/>
        <v>0.22131147540983606</v>
      </c>
      <c r="AW87" s="84">
        <f t="shared" si="59"/>
        <v>9.0163934426229511E-2</v>
      </c>
      <c r="AX87" s="83">
        <f t="shared" si="100"/>
        <v>0.58950000822795479</v>
      </c>
      <c r="AY87" s="83">
        <f t="shared" si="100"/>
        <v>8.9293125132236667E-2</v>
      </c>
      <c r="AZ87" s="83">
        <f t="shared" si="100"/>
        <v>0.21351599898742274</v>
      </c>
      <c r="BA87" s="84">
        <f t="shared" si="100"/>
        <v>0.10769086765238578</v>
      </c>
      <c r="BB87" s="74">
        <v>0</v>
      </c>
      <c r="BC87" s="81">
        <f t="shared" si="91"/>
        <v>0</v>
      </c>
      <c r="BD87" s="74">
        <v>0</v>
      </c>
      <c r="BE87" s="81">
        <f t="shared" si="92"/>
        <v>0</v>
      </c>
      <c r="BF87" s="74">
        <v>0</v>
      </c>
      <c r="BG87" s="81">
        <f t="shared" si="93"/>
        <v>0</v>
      </c>
      <c r="BH87" s="74">
        <v>0</v>
      </c>
      <c r="BI87" s="81">
        <f t="shared" si="94"/>
        <v>0</v>
      </c>
      <c r="BJ87" s="74">
        <v>66</v>
      </c>
      <c r="BK87" s="81">
        <f t="shared" si="95"/>
        <v>82.714285714285708</v>
      </c>
      <c r="BL87" s="74">
        <v>18</v>
      </c>
      <c r="BM87" s="81">
        <f t="shared" si="96"/>
        <v>12.285714285714286</v>
      </c>
      <c r="BN87" s="74">
        <v>27</v>
      </c>
      <c r="BO87" s="81">
        <f t="shared" si="97"/>
        <v>29.571428571428573</v>
      </c>
      <c r="BP87" s="74">
        <v>11</v>
      </c>
      <c r="BQ87" s="81">
        <f t="shared" si="98"/>
        <v>15.285714285714286</v>
      </c>
    </row>
    <row r="88" spans="1:69" x14ac:dyDescent="0.25">
      <c r="A88" s="85">
        <f t="shared" si="70"/>
        <v>45730</v>
      </c>
      <c r="B88" s="74">
        <f t="shared" si="60"/>
        <v>745</v>
      </c>
      <c r="C88" s="81">
        <f t="shared" si="71"/>
        <v>741.75</v>
      </c>
      <c r="D88" s="74">
        <f t="shared" si="61"/>
        <v>200</v>
      </c>
      <c r="E88" s="99">
        <f t="shared" si="72"/>
        <v>173</v>
      </c>
      <c r="F88" s="74">
        <v>125.65479452399993</v>
      </c>
      <c r="G88" s="81">
        <f t="shared" si="73"/>
        <v>127.89863014049993</v>
      </c>
      <c r="H88" s="74">
        <v>125.65479452399993</v>
      </c>
      <c r="I88" s="99">
        <f t="shared" si="74"/>
        <v>127.89863014049993</v>
      </c>
      <c r="J88" s="74">
        <f t="shared" si="62"/>
        <v>745</v>
      </c>
      <c r="K88" s="81">
        <f t="shared" si="75"/>
        <v>741.75</v>
      </c>
      <c r="L88" s="74">
        <f t="shared" si="63"/>
        <v>200</v>
      </c>
      <c r="M88" s="99">
        <f t="shared" si="76"/>
        <v>173</v>
      </c>
      <c r="N88" s="74">
        <f t="shared" si="64"/>
        <v>745</v>
      </c>
      <c r="O88" s="81">
        <f t="shared" si="77"/>
        <v>741.75</v>
      </c>
      <c r="P88" s="74">
        <f t="shared" si="65"/>
        <v>200</v>
      </c>
      <c r="Q88" s="99">
        <f t="shared" si="78"/>
        <v>173</v>
      </c>
      <c r="R88" s="74">
        <v>126</v>
      </c>
      <c r="S88" s="81">
        <f t="shared" si="79"/>
        <v>128.25</v>
      </c>
      <c r="T88" s="74">
        <v>70</v>
      </c>
      <c r="U88" s="99">
        <f t="shared" si="80"/>
        <v>63.25</v>
      </c>
      <c r="V88" s="74">
        <v>619</v>
      </c>
      <c r="W88" s="81">
        <f t="shared" si="81"/>
        <v>613.5</v>
      </c>
      <c r="X88" s="74">
        <v>130</v>
      </c>
      <c r="Y88" s="99">
        <f t="shared" si="82"/>
        <v>109.75</v>
      </c>
      <c r="Z88" s="74">
        <v>0</v>
      </c>
      <c r="AA88" s="81">
        <f t="shared" si="83"/>
        <v>0</v>
      </c>
      <c r="AB88" s="74">
        <v>0</v>
      </c>
      <c r="AC88" s="99">
        <f t="shared" si="84"/>
        <v>0</v>
      </c>
      <c r="AD88" s="105">
        <v>0</v>
      </c>
      <c r="AE88" s="81">
        <f t="shared" si="85"/>
        <v>0</v>
      </c>
      <c r="AF88" s="105">
        <v>0</v>
      </c>
      <c r="AG88" s="99">
        <f t="shared" si="86"/>
        <v>0</v>
      </c>
      <c r="AH88" s="74">
        <v>0</v>
      </c>
      <c r="AI88" s="81">
        <f t="shared" si="87"/>
        <v>0</v>
      </c>
      <c r="AJ88" s="74">
        <v>0</v>
      </c>
      <c r="AK88" s="99">
        <f t="shared" si="88"/>
        <v>0</v>
      </c>
      <c r="AL88" s="74">
        <f t="shared" si="66"/>
        <v>67</v>
      </c>
      <c r="AM88" s="81">
        <f t="shared" si="99"/>
        <v>81.857142857142861</v>
      </c>
      <c r="AN88" s="74">
        <f t="shared" si="67"/>
        <v>18</v>
      </c>
      <c r="AO88" s="81">
        <f t="shared" si="89"/>
        <v>12.857142857142858</v>
      </c>
      <c r="AP88" s="74">
        <f t="shared" si="68"/>
        <v>30</v>
      </c>
      <c r="AQ88" s="81">
        <f t="shared" si="90"/>
        <v>29.857142857142858</v>
      </c>
      <c r="AR88" s="74">
        <f t="shared" si="69"/>
        <v>11</v>
      </c>
      <c r="AS88" s="81">
        <f t="shared" si="91"/>
        <v>14.285714285714286</v>
      </c>
      <c r="AT88" s="83">
        <f t="shared" si="56"/>
        <v>0.53174603174603174</v>
      </c>
      <c r="AU88" s="83">
        <f t="shared" si="57"/>
        <v>0.14285714285714285</v>
      </c>
      <c r="AV88" s="83">
        <f t="shared" si="58"/>
        <v>0.23809523809523808</v>
      </c>
      <c r="AW88" s="84">
        <f t="shared" si="59"/>
        <v>8.7301587301587297E-2</v>
      </c>
      <c r="AX88" s="83">
        <f t="shared" si="100"/>
        <v>0.58705341555579815</v>
      </c>
      <c r="AY88" s="83">
        <f t="shared" si="100"/>
        <v>9.4663694412580365E-2</v>
      </c>
      <c r="AZ88" s="83">
        <f t="shared" si="100"/>
        <v>0.21745441645967481</v>
      </c>
      <c r="BA88" s="84">
        <f t="shared" si="100"/>
        <v>0.10082847357194659</v>
      </c>
      <c r="BB88" s="74">
        <v>0</v>
      </c>
      <c r="BC88" s="81">
        <f t="shared" si="91"/>
        <v>0</v>
      </c>
      <c r="BD88" s="74">
        <v>0</v>
      </c>
      <c r="BE88" s="81">
        <f t="shared" si="92"/>
        <v>0</v>
      </c>
      <c r="BF88" s="74">
        <v>0</v>
      </c>
      <c r="BG88" s="81">
        <f t="shared" si="93"/>
        <v>0</v>
      </c>
      <c r="BH88" s="74">
        <v>0</v>
      </c>
      <c r="BI88" s="81">
        <f t="shared" si="94"/>
        <v>0</v>
      </c>
      <c r="BJ88" s="74">
        <v>67</v>
      </c>
      <c r="BK88" s="81">
        <f t="shared" si="95"/>
        <v>81.857142857142861</v>
      </c>
      <c r="BL88" s="74">
        <v>18</v>
      </c>
      <c r="BM88" s="81">
        <f t="shared" si="96"/>
        <v>12.857142857142858</v>
      </c>
      <c r="BN88" s="74">
        <v>30</v>
      </c>
      <c r="BO88" s="81">
        <f t="shared" si="97"/>
        <v>29.857142857142858</v>
      </c>
      <c r="BP88" s="74">
        <v>11</v>
      </c>
      <c r="BQ88" s="81">
        <f t="shared" si="98"/>
        <v>14.285714285714286</v>
      </c>
    </row>
    <row r="89" spans="1:69" x14ac:dyDescent="0.25">
      <c r="A89" s="85">
        <f t="shared" si="70"/>
        <v>45737</v>
      </c>
      <c r="B89" s="74">
        <f t="shared" si="60"/>
        <v>768</v>
      </c>
      <c r="C89" s="81">
        <f t="shared" si="71"/>
        <v>770.25</v>
      </c>
      <c r="D89" s="74">
        <f t="shared" si="61"/>
        <v>223</v>
      </c>
      <c r="E89" s="99">
        <f t="shared" si="72"/>
        <v>199.25</v>
      </c>
      <c r="F89" s="74">
        <v>120.66849315399999</v>
      </c>
      <c r="G89" s="81">
        <f t="shared" si="73"/>
        <v>124.90684931849995</v>
      </c>
      <c r="H89" s="74">
        <v>120.66849315399999</v>
      </c>
      <c r="I89" s="99">
        <f t="shared" si="74"/>
        <v>124.90684931849995</v>
      </c>
      <c r="J89" s="74">
        <f t="shared" si="62"/>
        <v>768</v>
      </c>
      <c r="K89" s="81">
        <f t="shared" si="75"/>
        <v>770.25</v>
      </c>
      <c r="L89" s="74">
        <f t="shared" si="63"/>
        <v>223</v>
      </c>
      <c r="M89" s="99">
        <f t="shared" si="76"/>
        <v>199.25</v>
      </c>
      <c r="N89" s="74">
        <f t="shared" si="64"/>
        <v>768</v>
      </c>
      <c r="O89" s="81">
        <f t="shared" si="77"/>
        <v>770.25</v>
      </c>
      <c r="P89" s="74">
        <f t="shared" si="65"/>
        <v>223</v>
      </c>
      <c r="Q89" s="99">
        <f t="shared" si="78"/>
        <v>199.25</v>
      </c>
      <c r="R89" s="74">
        <v>121</v>
      </c>
      <c r="S89" s="81">
        <f t="shared" si="79"/>
        <v>125.25</v>
      </c>
      <c r="T89" s="74">
        <v>73</v>
      </c>
      <c r="U89" s="99">
        <f t="shared" si="80"/>
        <v>68.75</v>
      </c>
      <c r="V89" s="74">
        <v>647</v>
      </c>
      <c r="W89" s="81">
        <f t="shared" si="81"/>
        <v>645</v>
      </c>
      <c r="X89" s="74">
        <v>150</v>
      </c>
      <c r="Y89" s="99">
        <f t="shared" si="82"/>
        <v>130.5</v>
      </c>
      <c r="Z89" s="74">
        <v>0</v>
      </c>
      <c r="AA89" s="81">
        <f t="shared" si="83"/>
        <v>0</v>
      </c>
      <c r="AB89" s="74">
        <v>0</v>
      </c>
      <c r="AC89" s="99">
        <f t="shared" si="84"/>
        <v>0</v>
      </c>
      <c r="AD89" s="105">
        <v>0</v>
      </c>
      <c r="AE89" s="81">
        <f t="shared" si="85"/>
        <v>0</v>
      </c>
      <c r="AF89" s="105">
        <v>0</v>
      </c>
      <c r="AG89" s="99">
        <f t="shared" si="86"/>
        <v>0</v>
      </c>
      <c r="AH89" s="74">
        <v>0</v>
      </c>
      <c r="AI89" s="81">
        <f t="shared" si="87"/>
        <v>0</v>
      </c>
      <c r="AJ89" s="74">
        <v>0</v>
      </c>
      <c r="AK89" s="99">
        <f t="shared" si="88"/>
        <v>0</v>
      </c>
      <c r="AL89" s="74">
        <f t="shared" si="66"/>
        <v>74</v>
      </c>
      <c r="AM89" s="81">
        <f t="shared" si="99"/>
        <v>77.285714285714292</v>
      </c>
      <c r="AN89" s="74">
        <f t="shared" si="67"/>
        <v>7</v>
      </c>
      <c r="AO89" s="81">
        <f t="shared" si="89"/>
        <v>11.714285714285714</v>
      </c>
      <c r="AP89" s="74">
        <f t="shared" si="68"/>
        <v>27</v>
      </c>
      <c r="AQ89" s="81">
        <f t="shared" si="90"/>
        <v>28.714285714285715</v>
      </c>
      <c r="AR89" s="74">
        <f t="shared" si="69"/>
        <v>13</v>
      </c>
      <c r="AS89" s="81">
        <f t="shared" si="91"/>
        <v>13.142857142857142</v>
      </c>
      <c r="AT89" s="83">
        <f t="shared" si="56"/>
        <v>0.61157024793388426</v>
      </c>
      <c r="AU89" s="83">
        <f t="shared" si="57"/>
        <v>5.7851239669421489E-2</v>
      </c>
      <c r="AV89" s="83">
        <f t="shared" si="58"/>
        <v>0.2231404958677686</v>
      </c>
      <c r="AW89" s="84">
        <f t="shared" si="59"/>
        <v>0.10743801652892562</v>
      </c>
      <c r="AX89" s="83">
        <f t="shared" si="100"/>
        <v>0.58886772861818515</v>
      </c>
      <c r="AY89" s="83">
        <f t="shared" si="100"/>
        <v>9.082161969223139E-2</v>
      </c>
      <c r="AZ89" s="83">
        <f t="shared" si="100"/>
        <v>0.22108304258444883</v>
      </c>
      <c r="BA89" s="84">
        <f t="shared" si="100"/>
        <v>9.9227609105134507E-2</v>
      </c>
      <c r="BB89" s="74">
        <v>0</v>
      </c>
      <c r="BC89" s="81">
        <f t="shared" si="91"/>
        <v>0</v>
      </c>
      <c r="BD89" s="74">
        <v>0</v>
      </c>
      <c r="BE89" s="81">
        <f t="shared" si="92"/>
        <v>0</v>
      </c>
      <c r="BF89" s="74">
        <v>0</v>
      </c>
      <c r="BG89" s="81">
        <f t="shared" si="93"/>
        <v>0</v>
      </c>
      <c r="BH89" s="74">
        <v>0</v>
      </c>
      <c r="BI89" s="81">
        <f t="shared" si="94"/>
        <v>0</v>
      </c>
      <c r="BJ89" s="74">
        <v>74</v>
      </c>
      <c r="BK89" s="81">
        <f t="shared" si="95"/>
        <v>77.285714285714292</v>
      </c>
      <c r="BL89" s="74">
        <v>7</v>
      </c>
      <c r="BM89" s="81">
        <f t="shared" si="96"/>
        <v>11.714285714285714</v>
      </c>
      <c r="BN89" s="74">
        <v>27</v>
      </c>
      <c r="BO89" s="81">
        <f t="shared" si="97"/>
        <v>28.714285714285715</v>
      </c>
      <c r="BP89" s="74">
        <v>13</v>
      </c>
      <c r="BQ89" s="81">
        <f t="shared" si="98"/>
        <v>13.142857142857142</v>
      </c>
    </row>
    <row r="90" spans="1:69" x14ac:dyDescent="0.25">
      <c r="A90" s="85">
        <f t="shared" si="70"/>
        <v>45744</v>
      </c>
      <c r="B90" s="74">
        <f t="shared" si="60"/>
        <v>847</v>
      </c>
      <c r="C90" s="81">
        <f t="shared" si="71"/>
        <v>786.25</v>
      </c>
      <c r="D90" s="74">
        <f t="shared" si="61"/>
        <v>250</v>
      </c>
      <c r="E90" s="99">
        <f t="shared" si="72"/>
        <v>213.75</v>
      </c>
      <c r="F90" s="74">
        <v>133.63287671599997</v>
      </c>
      <c r="G90" s="81">
        <f t="shared" si="73"/>
        <v>125.40547945549994</v>
      </c>
      <c r="H90" s="74">
        <v>133.63287671599997</v>
      </c>
      <c r="I90" s="99">
        <f t="shared" si="74"/>
        <v>125.40547945549994</v>
      </c>
      <c r="J90" s="74">
        <f t="shared" si="62"/>
        <v>847</v>
      </c>
      <c r="K90" s="81">
        <f t="shared" si="75"/>
        <v>786.25</v>
      </c>
      <c r="L90" s="74">
        <f t="shared" si="63"/>
        <v>250</v>
      </c>
      <c r="M90" s="99">
        <f t="shared" si="76"/>
        <v>213.75</v>
      </c>
      <c r="N90" s="74">
        <f t="shared" si="64"/>
        <v>847</v>
      </c>
      <c r="O90" s="81">
        <f t="shared" si="77"/>
        <v>786.25</v>
      </c>
      <c r="P90" s="74">
        <f t="shared" si="65"/>
        <v>250</v>
      </c>
      <c r="Q90" s="99">
        <f t="shared" si="78"/>
        <v>213.75</v>
      </c>
      <c r="R90" s="74">
        <v>134</v>
      </c>
      <c r="S90" s="81">
        <f t="shared" si="79"/>
        <v>125.75</v>
      </c>
      <c r="T90" s="74">
        <v>76</v>
      </c>
      <c r="U90" s="99">
        <f t="shared" si="80"/>
        <v>70</v>
      </c>
      <c r="V90" s="74">
        <v>713</v>
      </c>
      <c r="W90" s="81">
        <f t="shared" si="81"/>
        <v>660.5</v>
      </c>
      <c r="X90" s="74">
        <v>174</v>
      </c>
      <c r="Y90" s="99">
        <f t="shared" si="82"/>
        <v>143.75</v>
      </c>
      <c r="Z90" s="74">
        <v>0</v>
      </c>
      <c r="AA90" s="81">
        <f t="shared" si="83"/>
        <v>0</v>
      </c>
      <c r="AB90" s="74">
        <v>0</v>
      </c>
      <c r="AC90" s="99">
        <f t="shared" si="84"/>
        <v>0</v>
      </c>
      <c r="AD90" s="105">
        <v>0</v>
      </c>
      <c r="AE90" s="81">
        <f t="shared" si="85"/>
        <v>0</v>
      </c>
      <c r="AF90" s="105">
        <v>0</v>
      </c>
      <c r="AG90" s="99">
        <f t="shared" si="86"/>
        <v>0</v>
      </c>
      <c r="AH90" s="74">
        <v>0</v>
      </c>
      <c r="AI90" s="81">
        <f t="shared" si="87"/>
        <v>0</v>
      </c>
      <c r="AJ90" s="74">
        <v>0</v>
      </c>
      <c r="AK90" s="99">
        <f t="shared" si="88"/>
        <v>0</v>
      </c>
      <c r="AL90" s="74">
        <f t="shared" si="66"/>
        <v>77</v>
      </c>
      <c r="AM90" s="81">
        <f t="shared" si="99"/>
        <v>74.428571428571431</v>
      </c>
      <c r="AN90" s="74">
        <f t="shared" si="67"/>
        <v>10</v>
      </c>
      <c r="AO90" s="81">
        <f t="shared" si="89"/>
        <v>11.714285714285714</v>
      </c>
      <c r="AP90" s="74">
        <f t="shared" si="68"/>
        <v>28</v>
      </c>
      <c r="AQ90" s="81">
        <f t="shared" si="90"/>
        <v>28.857142857142858</v>
      </c>
      <c r="AR90" s="74">
        <f t="shared" si="69"/>
        <v>19</v>
      </c>
      <c r="AS90" s="81">
        <f t="shared" si="91"/>
        <v>12.714285714285714</v>
      </c>
      <c r="AT90" s="83">
        <f t="shared" si="56"/>
        <v>0.57462686567164178</v>
      </c>
      <c r="AU90" s="83">
        <f t="shared" si="57"/>
        <v>7.4626865671641784E-2</v>
      </c>
      <c r="AV90" s="83">
        <f t="shared" si="58"/>
        <v>0.20895522388059701</v>
      </c>
      <c r="AW90" s="84">
        <f t="shared" si="59"/>
        <v>0.1417910447761194</v>
      </c>
      <c r="AX90" s="83">
        <f t="shared" si="100"/>
        <v>0.5821294420291524</v>
      </c>
      <c r="AY90" s="83">
        <f t="shared" si="100"/>
        <v>9.2325091344956783E-2</v>
      </c>
      <c r="AZ90" s="83">
        <f t="shared" si="100"/>
        <v>0.2262085141278308</v>
      </c>
      <c r="BA90" s="84">
        <f t="shared" si="100"/>
        <v>9.9336952498059988E-2</v>
      </c>
      <c r="BB90" s="74">
        <v>0</v>
      </c>
      <c r="BC90" s="81">
        <f t="shared" si="91"/>
        <v>0</v>
      </c>
      <c r="BD90" s="74">
        <v>0</v>
      </c>
      <c r="BE90" s="81">
        <f t="shared" si="92"/>
        <v>0</v>
      </c>
      <c r="BF90" s="74">
        <v>0</v>
      </c>
      <c r="BG90" s="81">
        <f t="shared" si="93"/>
        <v>0</v>
      </c>
      <c r="BH90" s="74">
        <v>0</v>
      </c>
      <c r="BI90" s="81">
        <f t="shared" si="94"/>
        <v>0</v>
      </c>
      <c r="BJ90" s="74">
        <v>77</v>
      </c>
      <c r="BK90" s="81">
        <f t="shared" si="95"/>
        <v>74.428571428571431</v>
      </c>
      <c r="BL90" s="74">
        <v>10</v>
      </c>
      <c r="BM90" s="81">
        <f t="shared" si="96"/>
        <v>11.714285714285714</v>
      </c>
      <c r="BN90" s="74">
        <v>28</v>
      </c>
      <c r="BO90" s="81">
        <f t="shared" si="97"/>
        <v>28.857142857142858</v>
      </c>
      <c r="BP90" s="74">
        <v>19</v>
      </c>
      <c r="BQ90" s="81">
        <f t="shared" si="98"/>
        <v>12.714285714285714</v>
      </c>
    </row>
    <row r="91" spans="1:69" x14ac:dyDescent="0.25">
      <c r="A91" s="85">
        <f t="shared" si="70"/>
        <v>45751</v>
      </c>
      <c r="B91" s="74">
        <f t="shared" si="60"/>
        <v>902</v>
      </c>
      <c r="C91" s="81">
        <f t="shared" si="71"/>
        <v>815.5</v>
      </c>
      <c r="D91" s="74">
        <f t="shared" si="61"/>
        <v>247</v>
      </c>
      <c r="E91" s="99">
        <f t="shared" si="72"/>
        <v>230</v>
      </c>
      <c r="F91" s="74">
        <v>149.5890411</v>
      </c>
      <c r="G91" s="81">
        <f t="shared" si="73"/>
        <v>132.38630137349998</v>
      </c>
      <c r="H91" s="74">
        <v>149.5890411</v>
      </c>
      <c r="I91" s="99">
        <f t="shared" si="74"/>
        <v>132.38630137349998</v>
      </c>
      <c r="J91" s="74">
        <f t="shared" si="62"/>
        <v>902</v>
      </c>
      <c r="K91" s="81">
        <f t="shared" si="75"/>
        <v>815.5</v>
      </c>
      <c r="L91" s="74">
        <f t="shared" si="63"/>
        <v>247</v>
      </c>
      <c r="M91" s="99">
        <f t="shared" si="76"/>
        <v>230</v>
      </c>
      <c r="N91" s="74">
        <f t="shared" si="64"/>
        <v>902</v>
      </c>
      <c r="O91" s="81">
        <f t="shared" si="77"/>
        <v>815.5</v>
      </c>
      <c r="P91" s="74">
        <f t="shared" si="65"/>
        <v>247</v>
      </c>
      <c r="Q91" s="99">
        <f t="shared" si="78"/>
        <v>230</v>
      </c>
      <c r="R91" s="74">
        <v>150</v>
      </c>
      <c r="S91" s="81">
        <f t="shared" si="79"/>
        <v>132.75</v>
      </c>
      <c r="T91" s="74">
        <v>77</v>
      </c>
      <c r="U91" s="99">
        <f t="shared" si="80"/>
        <v>74</v>
      </c>
      <c r="V91" s="74">
        <v>752</v>
      </c>
      <c r="W91" s="81">
        <f t="shared" si="81"/>
        <v>682.75</v>
      </c>
      <c r="X91" s="74">
        <v>170</v>
      </c>
      <c r="Y91" s="99">
        <f t="shared" si="82"/>
        <v>156</v>
      </c>
      <c r="Z91" s="74">
        <v>0</v>
      </c>
      <c r="AA91" s="81">
        <f t="shared" si="83"/>
        <v>0</v>
      </c>
      <c r="AB91" s="74">
        <v>0</v>
      </c>
      <c r="AC91" s="99">
        <f t="shared" si="84"/>
        <v>0</v>
      </c>
      <c r="AD91" s="105">
        <v>0</v>
      </c>
      <c r="AE91" s="81">
        <f t="shared" si="85"/>
        <v>0</v>
      </c>
      <c r="AF91" s="105">
        <v>0</v>
      </c>
      <c r="AG91" s="99">
        <f t="shared" si="86"/>
        <v>0</v>
      </c>
      <c r="AH91" s="74">
        <v>0</v>
      </c>
      <c r="AI91" s="81">
        <f t="shared" si="87"/>
        <v>0</v>
      </c>
      <c r="AJ91" s="74">
        <v>0</v>
      </c>
      <c r="AK91" s="99">
        <f t="shared" si="88"/>
        <v>0</v>
      </c>
      <c r="AL91" s="74">
        <f t="shared" si="66"/>
        <v>90</v>
      </c>
      <c r="AM91" s="81">
        <f t="shared" si="99"/>
        <v>77.285714285714292</v>
      </c>
      <c r="AN91" s="74">
        <f t="shared" si="67"/>
        <v>22</v>
      </c>
      <c r="AO91" s="81">
        <f t="shared" si="89"/>
        <v>13.142857142857142</v>
      </c>
      <c r="AP91" s="74">
        <f t="shared" si="68"/>
        <v>30</v>
      </c>
      <c r="AQ91" s="81">
        <f t="shared" si="90"/>
        <v>28.428571428571427</v>
      </c>
      <c r="AR91" s="74">
        <f t="shared" si="69"/>
        <v>8</v>
      </c>
      <c r="AS91" s="81">
        <f t="shared" si="91"/>
        <v>12.285714285714286</v>
      </c>
      <c r="AT91" s="83">
        <f t="shared" si="56"/>
        <v>0.6</v>
      </c>
      <c r="AU91" s="83">
        <f t="shared" si="57"/>
        <v>0.14666666666666667</v>
      </c>
      <c r="AV91" s="83">
        <f t="shared" si="58"/>
        <v>0.2</v>
      </c>
      <c r="AW91" s="84">
        <f t="shared" si="59"/>
        <v>5.3333333333333337E-2</v>
      </c>
      <c r="AX91" s="83">
        <f t="shared" si="100"/>
        <v>0.58847864837835873</v>
      </c>
      <c r="AY91" s="83">
        <f t="shared" si="100"/>
        <v>9.9672030120466992E-2</v>
      </c>
      <c r="AZ91" s="83">
        <f t="shared" si="100"/>
        <v>0.21736497671286484</v>
      </c>
      <c r="BA91" s="84">
        <f t="shared" si="100"/>
        <v>9.448434478830943E-2</v>
      </c>
      <c r="BB91" s="74">
        <v>0</v>
      </c>
      <c r="BC91" s="81">
        <f t="shared" si="91"/>
        <v>0</v>
      </c>
      <c r="BD91" s="74">
        <v>0</v>
      </c>
      <c r="BE91" s="81">
        <f t="shared" si="92"/>
        <v>0</v>
      </c>
      <c r="BF91" s="74">
        <v>0</v>
      </c>
      <c r="BG91" s="81">
        <f t="shared" si="93"/>
        <v>0</v>
      </c>
      <c r="BH91" s="74">
        <v>0</v>
      </c>
      <c r="BI91" s="81">
        <f t="shared" si="94"/>
        <v>0</v>
      </c>
      <c r="BJ91" s="74">
        <v>90</v>
      </c>
      <c r="BK91" s="81">
        <f t="shared" si="95"/>
        <v>77.285714285714292</v>
      </c>
      <c r="BL91" s="74">
        <v>22</v>
      </c>
      <c r="BM91" s="81">
        <f t="shared" si="96"/>
        <v>13.142857142857142</v>
      </c>
      <c r="BN91" s="74">
        <v>30</v>
      </c>
      <c r="BO91" s="81">
        <f t="shared" si="97"/>
        <v>28.428571428571427</v>
      </c>
      <c r="BP91" s="74">
        <v>8</v>
      </c>
      <c r="BQ91" s="81">
        <f t="shared" si="98"/>
        <v>12.285714285714286</v>
      </c>
    </row>
    <row r="92" spans="1:69" x14ac:dyDescent="0.25">
      <c r="A92" s="85">
        <f t="shared" si="70"/>
        <v>45758</v>
      </c>
      <c r="B92" s="74">
        <f t="shared" si="60"/>
        <v>773</v>
      </c>
      <c r="C92" s="81">
        <f t="shared" si="71"/>
        <v>822.5</v>
      </c>
      <c r="D92" s="74">
        <f t="shared" si="61"/>
        <v>225</v>
      </c>
      <c r="E92" s="99">
        <f t="shared" si="72"/>
        <v>236.25</v>
      </c>
      <c r="F92" s="74">
        <v>116.67945205799995</v>
      </c>
      <c r="G92" s="81">
        <f t="shared" si="73"/>
        <v>130.14246575699997</v>
      </c>
      <c r="H92" s="74">
        <v>116.67945205799995</v>
      </c>
      <c r="I92" s="99">
        <f t="shared" si="74"/>
        <v>130.14246575699997</v>
      </c>
      <c r="J92" s="74">
        <f t="shared" si="62"/>
        <v>773</v>
      </c>
      <c r="K92" s="81">
        <f t="shared" si="75"/>
        <v>822.5</v>
      </c>
      <c r="L92" s="74">
        <f t="shared" si="63"/>
        <v>225</v>
      </c>
      <c r="M92" s="99">
        <f t="shared" si="76"/>
        <v>236.25</v>
      </c>
      <c r="N92" s="74">
        <f t="shared" si="64"/>
        <v>773</v>
      </c>
      <c r="O92" s="81">
        <f t="shared" si="77"/>
        <v>822.5</v>
      </c>
      <c r="P92" s="74">
        <f t="shared" si="65"/>
        <v>225</v>
      </c>
      <c r="Q92" s="99">
        <f t="shared" si="78"/>
        <v>236.25</v>
      </c>
      <c r="R92" s="74">
        <v>117</v>
      </c>
      <c r="S92" s="81">
        <f t="shared" si="79"/>
        <v>130.5</v>
      </c>
      <c r="T92" s="74">
        <v>65</v>
      </c>
      <c r="U92" s="99">
        <f t="shared" si="80"/>
        <v>72.75</v>
      </c>
      <c r="V92" s="74">
        <v>656</v>
      </c>
      <c r="W92" s="81">
        <f t="shared" si="81"/>
        <v>692</v>
      </c>
      <c r="X92" s="74">
        <v>160</v>
      </c>
      <c r="Y92" s="99">
        <f t="shared" si="82"/>
        <v>163.5</v>
      </c>
      <c r="Z92" s="74">
        <v>0</v>
      </c>
      <c r="AA92" s="81">
        <f t="shared" si="83"/>
        <v>0</v>
      </c>
      <c r="AB92" s="74">
        <v>0</v>
      </c>
      <c r="AC92" s="99">
        <f t="shared" si="84"/>
        <v>0</v>
      </c>
      <c r="AD92" s="105">
        <v>0</v>
      </c>
      <c r="AE92" s="81">
        <f t="shared" si="85"/>
        <v>0</v>
      </c>
      <c r="AF92" s="105">
        <v>0</v>
      </c>
      <c r="AG92" s="99">
        <f t="shared" si="86"/>
        <v>0</v>
      </c>
      <c r="AH92" s="74">
        <v>0</v>
      </c>
      <c r="AI92" s="81">
        <f t="shared" si="87"/>
        <v>0</v>
      </c>
      <c r="AJ92" s="74">
        <v>0</v>
      </c>
      <c r="AK92" s="99">
        <f t="shared" si="88"/>
        <v>0</v>
      </c>
      <c r="AL92" s="74">
        <f t="shared" si="66"/>
        <v>65</v>
      </c>
      <c r="AM92" s="81">
        <f t="shared" si="99"/>
        <v>74.714285714285708</v>
      </c>
      <c r="AN92" s="74">
        <f t="shared" si="67"/>
        <v>14</v>
      </c>
      <c r="AO92" s="81">
        <f t="shared" si="89"/>
        <v>13.571428571428571</v>
      </c>
      <c r="AP92" s="74">
        <f t="shared" si="68"/>
        <v>25</v>
      </c>
      <c r="AQ92" s="81">
        <f t="shared" si="90"/>
        <v>27.571428571428573</v>
      </c>
      <c r="AR92" s="74">
        <f t="shared" si="69"/>
        <v>13</v>
      </c>
      <c r="AS92" s="81">
        <f t="shared" si="91"/>
        <v>13</v>
      </c>
      <c r="AT92" s="83">
        <f t="shared" si="56"/>
        <v>0.55555555555555558</v>
      </c>
      <c r="AU92" s="83">
        <f t="shared" si="57"/>
        <v>0.11965811965811966</v>
      </c>
      <c r="AV92" s="83">
        <f t="shared" si="58"/>
        <v>0.21367521367521367</v>
      </c>
      <c r="AW92" s="84">
        <f t="shared" si="59"/>
        <v>0.1111111111111111</v>
      </c>
      <c r="AX92" s="83">
        <f t="shared" si="100"/>
        <v>0.57869227768973241</v>
      </c>
      <c r="AY92" s="83">
        <f t="shared" si="100"/>
        <v>0.10495079479772788</v>
      </c>
      <c r="AZ92" s="83">
        <f t="shared" si="100"/>
        <v>0.21459247769976433</v>
      </c>
      <c r="BA92" s="84">
        <f t="shared" si="100"/>
        <v>0.10176444981277534</v>
      </c>
      <c r="BB92" s="74">
        <v>0</v>
      </c>
      <c r="BC92" s="81">
        <f t="shared" si="91"/>
        <v>0</v>
      </c>
      <c r="BD92" s="74">
        <v>0</v>
      </c>
      <c r="BE92" s="81">
        <f t="shared" si="92"/>
        <v>0</v>
      </c>
      <c r="BF92" s="74">
        <v>0</v>
      </c>
      <c r="BG92" s="81">
        <f t="shared" si="93"/>
        <v>0</v>
      </c>
      <c r="BH92" s="74">
        <v>0</v>
      </c>
      <c r="BI92" s="81">
        <f t="shared" si="94"/>
        <v>0</v>
      </c>
      <c r="BJ92" s="74">
        <v>65</v>
      </c>
      <c r="BK92" s="81">
        <f t="shared" si="95"/>
        <v>74.714285714285708</v>
      </c>
      <c r="BL92" s="74">
        <v>14</v>
      </c>
      <c r="BM92" s="81">
        <f t="shared" si="96"/>
        <v>13.571428571428571</v>
      </c>
      <c r="BN92" s="74">
        <v>25</v>
      </c>
      <c r="BO92" s="81">
        <f t="shared" si="97"/>
        <v>27.571428571428573</v>
      </c>
      <c r="BP92" s="74">
        <v>13</v>
      </c>
      <c r="BQ92" s="81">
        <f t="shared" si="98"/>
        <v>13</v>
      </c>
    </row>
    <row r="93" spans="1:69" x14ac:dyDescent="0.25">
      <c r="A93" s="85">
        <f t="shared" si="70"/>
        <v>45765</v>
      </c>
      <c r="B93" s="74">
        <f t="shared" si="60"/>
        <v>787</v>
      </c>
      <c r="C93" s="81">
        <f t="shared" si="71"/>
        <v>827.25</v>
      </c>
      <c r="D93" s="74">
        <f t="shared" si="61"/>
        <v>235</v>
      </c>
      <c r="E93" s="99">
        <f t="shared" si="72"/>
        <v>239.25</v>
      </c>
      <c r="F93" s="74">
        <v>111.69315068799995</v>
      </c>
      <c r="G93" s="81">
        <f t="shared" si="73"/>
        <v>127.89863014049996</v>
      </c>
      <c r="H93" s="74">
        <v>111.69315068799995</v>
      </c>
      <c r="I93" s="99">
        <f t="shared" si="74"/>
        <v>127.89863014049996</v>
      </c>
      <c r="J93" s="74">
        <f t="shared" si="62"/>
        <v>787</v>
      </c>
      <c r="K93" s="81">
        <f t="shared" si="75"/>
        <v>827.25</v>
      </c>
      <c r="L93" s="74">
        <f t="shared" si="63"/>
        <v>235</v>
      </c>
      <c r="M93" s="99">
        <f t="shared" si="76"/>
        <v>239.25</v>
      </c>
      <c r="N93" s="74">
        <f t="shared" si="64"/>
        <v>787</v>
      </c>
      <c r="O93" s="81">
        <f t="shared" si="77"/>
        <v>827.25</v>
      </c>
      <c r="P93" s="74">
        <f t="shared" si="65"/>
        <v>235</v>
      </c>
      <c r="Q93" s="99">
        <f t="shared" si="78"/>
        <v>239.25</v>
      </c>
      <c r="R93" s="74">
        <v>112</v>
      </c>
      <c r="S93" s="81">
        <f t="shared" si="79"/>
        <v>128.25</v>
      </c>
      <c r="T93" s="74">
        <v>88</v>
      </c>
      <c r="U93" s="99">
        <f t="shared" si="80"/>
        <v>76.5</v>
      </c>
      <c r="V93" s="74">
        <v>675</v>
      </c>
      <c r="W93" s="81">
        <f t="shared" si="81"/>
        <v>699</v>
      </c>
      <c r="X93" s="74">
        <v>147</v>
      </c>
      <c r="Y93" s="99">
        <f t="shared" si="82"/>
        <v>162.75</v>
      </c>
      <c r="Z93" s="74">
        <v>0</v>
      </c>
      <c r="AA93" s="81">
        <f t="shared" si="83"/>
        <v>0</v>
      </c>
      <c r="AB93" s="74">
        <v>0</v>
      </c>
      <c r="AC93" s="99">
        <f t="shared" si="84"/>
        <v>0</v>
      </c>
      <c r="AD93" s="105">
        <v>0</v>
      </c>
      <c r="AE93" s="81">
        <f t="shared" si="85"/>
        <v>0</v>
      </c>
      <c r="AF93" s="105">
        <v>0</v>
      </c>
      <c r="AG93" s="99">
        <f t="shared" si="86"/>
        <v>0</v>
      </c>
      <c r="AH93" s="74">
        <v>0</v>
      </c>
      <c r="AI93" s="81">
        <f t="shared" si="87"/>
        <v>0</v>
      </c>
      <c r="AJ93" s="74">
        <v>0</v>
      </c>
      <c r="AK93" s="99">
        <f t="shared" si="88"/>
        <v>0</v>
      </c>
      <c r="AL93" s="74">
        <f t="shared" si="66"/>
        <v>77</v>
      </c>
      <c r="AM93" s="81">
        <f t="shared" si="99"/>
        <v>73.714285714285708</v>
      </c>
      <c r="AN93" s="74">
        <f t="shared" si="67"/>
        <v>7</v>
      </c>
      <c r="AO93" s="81">
        <f t="shared" si="89"/>
        <v>13.714285714285714</v>
      </c>
      <c r="AP93" s="74">
        <f t="shared" si="68"/>
        <v>18</v>
      </c>
      <c r="AQ93" s="81">
        <f t="shared" si="90"/>
        <v>26.428571428571427</v>
      </c>
      <c r="AR93" s="74">
        <f t="shared" si="69"/>
        <v>10</v>
      </c>
      <c r="AS93" s="81">
        <f t="shared" si="91"/>
        <v>12.142857142857142</v>
      </c>
      <c r="AT93" s="83">
        <f t="shared" si="56"/>
        <v>0.6875</v>
      </c>
      <c r="AU93" s="83">
        <f t="shared" si="57"/>
        <v>6.25E-2</v>
      </c>
      <c r="AV93" s="83">
        <f t="shared" si="58"/>
        <v>0.16071428571428573</v>
      </c>
      <c r="AW93" s="84">
        <f t="shared" si="59"/>
        <v>8.9285714285714288E-2</v>
      </c>
      <c r="AX93" s="83">
        <f t="shared" ref="AX93:BA108" si="101">AVERAGE(AT87:AT93)</f>
        <v>0.58599747249492729</v>
      </c>
      <c r="AY93" s="83">
        <f t="shared" si="101"/>
        <v>0.10738585973279283</v>
      </c>
      <c r="AZ93" s="83">
        <f t="shared" si="101"/>
        <v>0.20941313323470559</v>
      </c>
      <c r="BA93" s="84">
        <f t="shared" si="101"/>
        <v>9.7203534537574368E-2</v>
      </c>
      <c r="BB93" s="74">
        <v>0</v>
      </c>
      <c r="BC93" s="81">
        <f t="shared" si="91"/>
        <v>0</v>
      </c>
      <c r="BD93" s="74">
        <v>0</v>
      </c>
      <c r="BE93" s="81">
        <f t="shared" si="92"/>
        <v>0</v>
      </c>
      <c r="BF93" s="74">
        <v>0</v>
      </c>
      <c r="BG93" s="81">
        <f t="shared" si="93"/>
        <v>0</v>
      </c>
      <c r="BH93" s="74">
        <v>0</v>
      </c>
      <c r="BI93" s="81">
        <f t="shared" si="94"/>
        <v>0</v>
      </c>
      <c r="BJ93" s="74">
        <v>77</v>
      </c>
      <c r="BK93" s="81">
        <f t="shared" si="95"/>
        <v>73.714285714285708</v>
      </c>
      <c r="BL93" s="74">
        <v>7</v>
      </c>
      <c r="BM93" s="81">
        <f t="shared" si="96"/>
        <v>13.714285714285714</v>
      </c>
      <c r="BN93" s="74">
        <v>18</v>
      </c>
      <c r="BO93" s="81">
        <f t="shared" si="97"/>
        <v>26.428571428571427</v>
      </c>
      <c r="BP93" s="74">
        <v>10</v>
      </c>
      <c r="BQ93" s="81">
        <f t="shared" si="98"/>
        <v>12.142857142857142</v>
      </c>
    </row>
    <row r="94" spans="1:69" x14ac:dyDescent="0.25">
      <c r="A94" s="85">
        <f t="shared" si="70"/>
        <v>45772</v>
      </c>
      <c r="B94" s="74">
        <f t="shared" si="60"/>
        <v>716</v>
      </c>
      <c r="C94" s="81">
        <f t="shared" si="71"/>
        <v>794.5</v>
      </c>
      <c r="D94" s="74">
        <f t="shared" si="61"/>
        <v>253</v>
      </c>
      <c r="E94" s="99">
        <f t="shared" si="72"/>
        <v>240</v>
      </c>
      <c r="F94" s="74">
        <v>124.65753424999998</v>
      </c>
      <c r="G94" s="81">
        <f t="shared" si="73"/>
        <v>125.65479452399997</v>
      </c>
      <c r="H94" s="74">
        <v>124.65753424999998</v>
      </c>
      <c r="I94" s="99">
        <f t="shared" si="74"/>
        <v>125.65479452399997</v>
      </c>
      <c r="J94" s="74">
        <f t="shared" si="62"/>
        <v>716</v>
      </c>
      <c r="K94" s="81">
        <f t="shared" si="75"/>
        <v>794.5</v>
      </c>
      <c r="L94" s="74">
        <f t="shared" si="63"/>
        <v>253</v>
      </c>
      <c r="M94" s="99">
        <f t="shared" si="76"/>
        <v>240</v>
      </c>
      <c r="N94" s="74">
        <f t="shared" si="64"/>
        <v>716</v>
      </c>
      <c r="O94" s="81">
        <f t="shared" si="77"/>
        <v>794.5</v>
      </c>
      <c r="P94" s="74">
        <f t="shared" si="65"/>
        <v>253</v>
      </c>
      <c r="Q94" s="99">
        <f t="shared" si="78"/>
        <v>240</v>
      </c>
      <c r="R94" s="74">
        <v>125</v>
      </c>
      <c r="S94" s="81">
        <f t="shared" si="79"/>
        <v>126</v>
      </c>
      <c r="T94" s="74">
        <v>79</v>
      </c>
      <c r="U94" s="99">
        <f t="shared" si="80"/>
        <v>77.25</v>
      </c>
      <c r="V94" s="74">
        <v>591</v>
      </c>
      <c r="W94" s="81">
        <f t="shared" si="81"/>
        <v>668.5</v>
      </c>
      <c r="X94" s="74">
        <v>174</v>
      </c>
      <c r="Y94" s="99">
        <f t="shared" si="82"/>
        <v>162.75</v>
      </c>
      <c r="Z94" s="74">
        <v>0</v>
      </c>
      <c r="AA94" s="81">
        <f t="shared" si="83"/>
        <v>0</v>
      </c>
      <c r="AB94" s="74">
        <v>0</v>
      </c>
      <c r="AC94" s="99">
        <f t="shared" si="84"/>
        <v>0</v>
      </c>
      <c r="AD94" s="105">
        <v>0</v>
      </c>
      <c r="AE94" s="81">
        <f t="shared" si="85"/>
        <v>0</v>
      </c>
      <c r="AF94" s="105">
        <v>0</v>
      </c>
      <c r="AG94" s="99">
        <f t="shared" si="86"/>
        <v>0</v>
      </c>
      <c r="AH94" s="74">
        <v>0</v>
      </c>
      <c r="AI94" s="81">
        <f t="shared" si="87"/>
        <v>0</v>
      </c>
      <c r="AJ94" s="74">
        <v>0</v>
      </c>
      <c r="AK94" s="99">
        <f t="shared" si="88"/>
        <v>0</v>
      </c>
      <c r="AL94" s="74">
        <f t="shared" si="66"/>
        <v>75</v>
      </c>
      <c r="AM94" s="81">
        <f t="shared" si="99"/>
        <v>75</v>
      </c>
      <c r="AN94" s="74">
        <f t="shared" si="67"/>
        <v>9</v>
      </c>
      <c r="AO94" s="81">
        <f t="shared" si="89"/>
        <v>12.428571428571429</v>
      </c>
      <c r="AP94" s="74">
        <f t="shared" si="68"/>
        <v>25</v>
      </c>
      <c r="AQ94" s="81">
        <f t="shared" si="90"/>
        <v>26.142857142857142</v>
      </c>
      <c r="AR94" s="74">
        <f t="shared" si="69"/>
        <v>16</v>
      </c>
      <c r="AS94" s="81">
        <f t="shared" si="91"/>
        <v>12.857142857142858</v>
      </c>
      <c r="AT94" s="83">
        <f t="shared" si="56"/>
        <v>0.6</v>
      </c>
      <c r="AU94" s="83">
        <f t="shared" si="57"/>
        <v>7.1999999999999995E-2</v>
      </c>
      <c r="AV94" s="83">
        <f t="shared" si="58"/>
        <v>0.2</v>
      </c>
      <c r="AW94" s="84">
        <f t="shared" si="59"/>
        <v>0.128</v>
      </c>
      <c r="AX94" s="83">
        <f t="shared" si="101"/>
        <v>0.59442838584387325</v>
      </c>
      <c r="AY94" s="83">
        <f t="shared" si="101"/>
        <v>9.6594290646141764E-2</v>
      </c>
      <c r="AZ94" s="83">
        <f t="shared" si="101"/>
        <v>0.20636863674758613</v>
      </c>
      <c r="BA94" s="84">
        <f t="shared" si="101"/>
        <v>0.10260868676239873</v>
      </c>
      <c r="BB94" s="74">
        <v>0</v>
      </c>
      <c r="BC94" s="81">
        <f t="shared" si="91"/>
        <v>0</v>
      </c>
      <c r="BD94" s="74">
        <v>0</v>
      </c>
      <c r="BE94" s="81">
        <f t="shared" si="92"/>
        <v>0</v>
      </c>
      <c r="BF94" s="74">
        <v>0</v>
      </c>
      <c r="BG94" s="81">
        <f t="shared" si="93"/>
        <v>0</v>
      </c>
      <c r="BH94" s="74">
        <v>0</v>
      </c>
      <c r="BI94" s="81">
        <f t="shared" si="94"/>
        <v>0</v>
      </c>
      <c r="BJ94" s="74">
        <v>75</v>
      </c>
      <c r="BK94" s="81">
        <f t="shared" si="95"/>
        <v>75</v>
      </c>
      <c r="BL94" s="74">
        <v>9</v>
      </c>
      <c r="BM94" s="81">
        <f t="shared" si="96"/>
        <v>12.428571428571429</v>
      </c>
      <c r="BN94" s="74">
        <v>25</v>
      </c>
      <c r="BO94" s="81">
        <f t="shared" si="97"/>
        <v>26.142857142857142</v>
      </c>
      <c r="BP94" s="74">
        <v>16</v>
      </c>
      <c r="BQ94" s="81">
        <f t="shared" si="98"/>
        <v>12.857142857142858</v>
      </c>
    </row>
    <row r="95" spans="1:69" x14ac:dyDescent="0.25">
      <c r="A95" s="85">
        <f t="shared" si="70"/>
        <v>45779</v>
      </c>
      <c r="B95" s="74">
        <f t="shared" si="60"/>
        <v>922</v>
      </c>
      <c r="C95" s="81">
        <f t="shared" si="71"/>
        <v>799.5</v>
      </c>
      <c r="D95" s="74">
        <f t="shared" si="61"/>
        <v>293</v>
      </c>
      <c r="E95" s="99">
        <f t="shared" si="72"/>
        <v>251.5</v>
      </c>
      <c r="F95" s="74">
        <v>158.56438356600003</v>
      </c>
      <c r="G95" s="81">
        <f t="shared" si="73"/>
        <v>127.89863014049999</v>
      </c>
      <c r="H95" s="74">
        <v>158.56438356600003</v>
      </c>
      <c r="I95" s="99">
        <f t="shared" si="74"/>
        <v>127.89863014049999</v>
      </c>
      <c r="J95" s="74">
        <f t="shared" si="62"/>
        <v>922</v>
      </c>
      <c r="K95" s="81">
        <f t="shared" si="75"/>
        <v>799.5</v>
      </c>
      <c r="L95" s="74">
        <f t="shared" si="63"/>
        <v>293</v>
      </c>
      <c r="M95" s="99">
        <f t="shared" si="76"/>
        <v>251.5</v>
      </c>
      <c r="N95" s="74">
        <f t="shared" si="64"/>
        <v>922</v>
      </c>
      <c r="O95" s="81">
        <f t="shared" si="77"/>
        <v>799.5</v>
      </c>
      <c r="P95" s="74">
        <f t="shared" si="65"/>
        <v>293</v>
      </c>
      <c r="Q95" s="99">
        <f t="shared" si="78"/>
        <v>251.5</v>
      </c>
      <c r="R95" s="74">
        <v>159</v>
      </c>
      <c r="S95" s="81">
        <f t="shared" si="79"/>
        <v>128.25</v>
      </c>
      <c r="T95" s="74">
        <v>94</v>
      </c>
      <c r="U95" s="99">
        <f t="shared" si="80"/>
        <v>81.5</v>
      </c>
      <c r="V95" s="74">
        <v>763</v>
      </c>
      <c r="W95" s="81">
        <f t="shared" si="81"/>
        <v>671.25</v>
      </c>
      <c r="X95" s="74">
        <v>199</v>
      </c>
      <c r="Y95" s="99">
        <f t="shared" si="82"/>
        <v>170</v>
      </c>
      <c r="Z95" s="74">
        <v>0</v>
      </c>
      <c r="AA95" s="81">
        <f t="shared" si="83"/>
        <v>0</v>
      </c>
      <c r="AB95" s="74">
        <v>0</v>
      </c>
      <c r="AC95" s="99">
        <f t="shared" si="84"/>
        <v>0</v>
      </c>
      <c r="AD95" s="105">
        <v>0</v>
      </c>
      <c r="AE95" s="81">
        <f t="shared" si="85"/>
        <v>0</v>
      </c>
      <c r="AF95" s="105">
        <v>0</v>
      </c>
      <c r="AG95" s="99">
        <f t="shared" si="86"/>
        <v>0</v>
      </c>
      <c r="AH95" s="74">
        <v>0</v>
      </c>
      <c r="AI95" s="81">
        <f t="shared" si="87"/>
        <v>0</v>
      </c>
      <c r="AJ95" s="74">
        <v>0</v>
      </c>
      <c r="AK95" s="99">
        <f t="shared" si="88"/>
        <v>0</v>
      </c>
      <c r="AL95" s="74">
        <f t="shared" si="66"/>
        <v>89</v>
      </c>
      <c r="AM95" s="81">
        <f t="shared" si="99"/>
        <v>78.142857142857139</v>
      </c>
      <c r="AN95" s="74">
        <f t="shared" si="67"/>
        <v>12</v>
      </c>
      <c r="AO95" s="81">
        <f t="shared" si="89"/>
        <v>11.571428571428571</v>
      </c>
      <c r="AP95" s="74">
        <f t="shared" si="68"/>
        <v>38</v>
      </c>
      <c r="AQ95" s="81">
        <f t="shared" si="90"/>
        <v>27.285714285714285</v>
      </c>
      <c r="AR95" s="74">
        <f t="shared" si="69"/>
        <v>20</v>
      </c>
      <c r="AS95" s="81">
        <f t="shared" si="91"/>
        <v>14.142857142857142</v>
      </c>
      <c r="AT95" s="83">
        <f t="shared" si="56"/>
        <v>0.55974842767295596</v>
      </c>
      <c r="AU95" s="83">
        <f t="shared" si="57"/>
        <v>7.5471698113207544E-2</v>
      </c>
      <c r="AV95" s="83">
        <f t="shared" si="58"/>
        <v>0.2389937106918239</v>
      </c>
      <c r="AW95" s="84">
        <f t="shared" si="59"/>
        <v>0.12578616352201258</v>
      </c>
      <c r="AX95" s="83">
        <f t="shared" si="101"/>
        <v>0.59842872811914827</v>
      </c>
      <c r="AY95" s="83">
        <f t="shared" si="101"/>
        <v>8.696779853986529E-2</v>
      </c>
      <c r="AZ95" s="83">
        <f t="shared" si="101"/>
        <v>0.20649698997566984</v>
      </c>
      <c r="BA95" s="84">
        <f t="shared" si="101"/>
        <v>0.10810648336531661</v>
      </c>
      <c r="BB95" s="74">
        <v>0</v>
      </c>
      <c r="BC95" s="81">
        <f t="shared" si="91"/>
        <v>0</v>
      </c>
      <c r="BD95" s="74">
        <v>0</v>
      </c>
      <c r="BE95" s="81">
        <f t="shared" si="92"/>
        <v>0</v>
      </c>
      <c r="BF95" s="74">
        <v>0</v>
      </c>
      <c r="BG95" s="81">
        <f t="shared" si="93"/>
        <v>0</v>
      </c>
      <c r="BH95" s="74">
        <v>0</v>
      </c>
      <c r="BI95" s="81">
        <f t="shared" si="94"/>
        <v>0</v>
      </c>
      <c r="BJ95" s="74">
        <v>89</v>
      </c>
      <c r="BK95" s="81">
        <f t="shared" si="95"/>
        <v>78.142857142857139</v>
      </c>
      <c r="BL95" s="74">
        <v>12</v>
      </c>
      <c r="BM95" s="81">
        <f t="shared" si="96"/>
        <v>11.571428571428571</v>
      </c>
      <c r="BN95" s="74">
        <v>38</v>
      </c>
      <c r="BO95" s="81">
        <f t="shared" si="97"/>
        <v>27.285714285714285</v>
      </c>
      <c r="BP95" s="74">
        <v>20</v>
      </c>
      <c r="BQ95" s="81">
        <f t="shared" si="98"/>
        <v>14.142857142857142</v>
      </c>
    </row>
    <row r="96" spans="1:69" x14ac:dyDescent="0.25">
      <c r="A96" s="85">
        <f t="shared" si="70"/>
        <v>45786</v>
      </c>
      <c r="B96" s="74">
        <f t="shared" si="60"/>
        <v>721</v>
      </c>
      <c r="C96" s="81">
        <f t="shared" si="71"/>
        <v>786.5</v>
      </c>
      <c r="D96" s="74">
        <f t="shared" si="61"/>
        <v>222</v>
      </c>
      <c r="E96" s="99">
        <f t="shared" si="72"/>
        <v>250.75</v>
      </c>
      <c r="F96" s="74">
        <v>130.64109589399996</v>
      </c>
      <c r="G96" s="81">
        <f t="shared" si="73"/>
        <v>131.38904109949996</v>
      </c>
      <c r="H96" s="74">
        <v>130.64109589399996</v>
      </c>
      <c r="I96" s="99">
        <f t="shared" si="74"/>
        <v>131.38904109949996</v>
      </c>
      <c r="J96" s="74">
        <f t="shared" si="62"/>
        <v>721</v>
      </c>
      <c r="K96" s="81">
        <f t="shared" si="75"/>
        <v>786.5</v>
      </c>
      <c r="L96" s="74">
        <f t="shared" si="63"/>
        <v>222</v>
      </c>
      <c r="M96" s="99">
        <f t="shared" si="76"/>
        <v>250.75</v>
      </c>
      <c r="N96" s="74">
        <f t="shared" si="64"/>
        <v>721</v>
      </c>
      <c r="O96" s="81">
        <f t="shared" si="77"/>
        <v>786.5</v>
      </c>
      <c r="P96" s="74">
        <f t="shared" si="65"/>
        <v>222</v>
      </c>
      <c r="Q96" s="99">
        <f t="shared" si="78"/>
        <v>250.75</v>
      </c>
      <c r="R96" s="74">
        <v>131</v>
      </c>
      <c r="S96" s="81">
        <f t="shared" si="79"/>
        <v>131.75</v>
      </c>
      <c r="T96" s="74">
        <v>72</v>
      </c>
      <c r="U96" s="99">
        <f t="shared" si="80"/>
        <v>83.25</v>
      </c>
      <c r="V96" s="74">
        <v>590</v>
      </c>
      <c r="W96" s="81">
        <f t="shared" si="81"/>
        <v>654.75</v>
      </c>
      <c r="X96" s="74">
        <v>150</v>
      </c>
      <c r="Y96" s="99">
        <f t="shared" si="82"/>
        <v>167.5</v>
      </c>
      <c r="Z96" s="74">
        <v>0</v>
      </c>
      <c r="AA96" s="81">
        <f t="shared" si="83"/>
        <v>0</v>
      </c>
      <c r="AB96" s="74">
        <v>0</v>
      </c>
      <c r="AC96" s="99">
        <f t="shared" si="84"/>
        <v>0</v>
      </c>
      <c r="AD96" s="105">
        <v>0</v>
      </c>
      <c r="AE96" s="81">
        <f t="shared" si="85"/>
        <v>0</v>
      </c>
      <c r="AF96" s="105">
        <v>0</v>
      </c>
      <c r="AG96" s="99">
        <f t="shared" si="86"/>
        <v>0</v>
      </c>
      <c r="AH96" s="74">
        <v>0</v>
      </c>
      <c r="AI96" s="81">
        <f t="shared" si="87"/>
        <v>0</v>
      </c>
      <c r="AJ96" s="74">
        <v>0</v>
      </c>
      <c r="AK96" s="99">
        <f t="shared" si="88"/>
        <v>0</v>
      </c>
      <c r="AL96" s="74">
        <f t="shared" si="66"/>
        <v>70</v>
      </c>
      <c r="AM96" s="81">
        <f t="shared" si="99"/>
        <v>77.571428571428569</v>
      </c>
      <c r="AN96" s="74">
        <f t="shared" si="67"/>
        <v>16</v>
      </c>
      <c r="AO96" s="81">
        <f t="shared" si="89"/>
        <v>12.857142857142858</v>
      </c>
      <c r="AP96" s="74">
        <f t="shared" si="68"/>
        <v>30</v>
      </c>
      <c r="AQ96" s="81">
        <f t="shared" si="90"/>
        <v>27.714285714285715</v>
      </c>
      <c r="AR96" s="74">
        <f t="shared" si="69"/>
        <v>15</v>
      </c>
      <c r="AS96" s="81">
        <f t="shared" si="91"/>
        <v>14.428571428571429</v>
      </c>
      <c r="AT96" s="83">
        <f t="shared" si="56"/>
        <v>0.53435114503816794</v>
      </c>
      <c r="AU96" s="83">
        <f t="shared" si="57"/>
        <v>0.12213740458015267</v>
      </c>
      <c r="AV96" s="83">
        <f t="shared" si="58"/>
        <v>0.22900763358778625</v>
      </c>
      <c r="AW96" s="84">
        <f t="shared" si="59"/>
        <v>0.11450381679389313</v>
      </c>
      <c r="AX96" s="83">
        <f t="shared" si="101"/>
        <v>0.58739742770547454</v>
      </c>
      <c r="AY96" s="83">
        <f t="shared" si="101"/>
        <v>9.615153638425547E-2</v>
      </c>
      <c r="AZ96" s="83">
        <f t="shared" si="101"/>
        <v>0.20733515250710094</v>
      </c>
      <c r="BA96" s="84">
        <f t="shared" si="101"/>
        <v>0.10911588340316912</v>
      </c>
      <c r="BB96" s="74">
        <v>0</v>
      </c>
      <c r="BC96" s="81">
        <f t="shared" si="91"/>
        <v>0</v>
      </c>
      <c r="BD96" s="74">
        <v>0</v>
      </c>
      <c r="BE96" s="81">
        <f t="shared" si="92"/>
        <v>0</v>
      </c>
      <c r="BF96" s="74">
        <v>0</v>
      </c>
      <c r="BG96" s="81">
        <f t="shared" si="93"/>
        <v>0</v>
      </c>
      <c r="BH96" s="74">
        <v>0</v>
      </c>
      <c r="BI96" s="81">
        <f t="shared" si="94"/>
        <v>0</v>
      </c>
      <c r="BJ96" s="74">
        <v>70</v>
      </c>
      <c r="BK96" s="81">
        <f t="shared" si="95"/>
        <v>77.571428571428569</v>
      </c>
      <c r="BL96" s="74">
        <v>16</v>
      </c>
      <c r="BM96" s="81">
        <f t="shared" si="96"/>
        <v>12.857142857142858</v>
      </c>
      <c r="BN96" s="74">
        <v>30</v>
      </c>
      <c r="BO96" s="81">
        <f t="shared" si="97"/>
        <v>27.714285714285715</v>
      </c>
      <c r="BP96" s="74">
        <v>15</v>
      </c>
      <c r="BQ96" s="81">
        <f t="shared" si="98"/>
        <v>14.428571428571429</v>
      </c>
    </row>
    <row r="97" spans="1:69" x14ac:dyDescent="0.25">
      <c r="A97" s="85">
        <f t="shared" si="70"/>
        <v>45793</v>
      </c>
      <c r="B97" s="74">
        <f t="shared" si="60"/>
        <v>711</v>
      </c>
      <c r="C97" s="81">
        <f t="shared" si="71"/>
        <v>767.5</v>
      </c>
      <c r="D97" s="74">
        <f t="shared" si="61"/>
        <v>238</v>
      </c>
      <c r="E97" s="99">
        <f t="shared" si="72"/>
        <v>251.5</v>
      </c>
      <c r="F97" s="74">
        <v>124.65753424999998</v>
      </c>
      <c r="G97" s="81">
        <f t="shared" si="73"/>
        <v>134.63013699000001</v>
      </c>
      <c r="H97" s="74">
        <v>124.65753424999998</v>
      </c>
      <c r="I97" s="99">
        <f t="shared" si="74"/>
        <v>134.63013699000001</v>
      </c>
      <c r="J97" s="74">
        <f t="shared" si="62"/>
        <v>711</v>
      </c>
      <c r="K97" s="81">
        <f t="shared" si="75"/>
        <v>767.5</v>
      </c>
      <c r="L97" s="74">
        <f t="shared" si="63"/>
        <v>238</v>
      </c>
      <c r="M97" s="99">
        <f t="shared" si="76"/>
        <v>251.5</v>
      </c>
      <c r="N97" s="74">
        <f t="shared" si="64"/>
        <v>711</v>
      </c>
      <c r="O97" s="81">
        <f t="shared" si="77"/>
        <v>767.5</v>
      </c>
      <c r="P97" s="74">
        <f t="shared" si="65"/>
        <v>238</v>
      </c>
      <c r="Q97" s="99">
        <f t="shared" si="78"/>
        <v>251.5</v>
      </c>
      <c r="R97" s="74">
        <v>125</v>
      </c>
      <c r="S97" s="81">
        <f t="shared" si="79"/>
        <v>135</v>
      </c>
      <c r="T97" s="74">
        <v>77</v>
      </c>
      <c r="U97" s="99">
        <f t="shared" si="80"/>
        <v>80.5</v>
      </c>
      <c r="V97" s="74">
        <v>586</v>
      </c>
      <c r="W97" s="81">
        <f t="shared" si="81"/>
        <v>632.5</v>
      </c>
      <c r="X97" s="74">
        <v>161</v>
      </c>
      <c r="Y97" s="99">
        <f t="shared" si="82"/>
        <v>171</v>
      </c>
      <c r="Z97" s="74">
        <v>0</v>
      </c>
      <c r="AA97" s="81">
        <f t="shared" si="83"/>
        <v>0</v>
      </c>
      <c r="AB97" s="74">
        <v>0</v>
      </c>
      <c r="AC97" s="99">
        <f t="shared" si="84"/>
        <v>0</v>
      </c>
      <c r="AD97" s="105">
        <v>0</v>
      </c>
      <c r="AE97" s="81">
        <f t="shared" si="85"/>
        <v>0</v>
      </c>
      <c r="AF97" s="105">
        <v>0</v>
      </c>
      <c r="AG97" s="99">
        <f t="shared" si="86"/>
        <v>0</v>
      </c>
      <c r="AH97" s="74">
        <v>0</v>
      </c>
      <c r="AI97" s="81">
        <f t="shared" si="87"/>
        <v>0</v>
      </c>
      <c r="AJ97" s="74">
        <v>0</v>
      </c>
      <c r="AK97" s="99">
        <f t="shared" si="88"/>
        <v>0</v>
      </c>
      <c r="AL97" s="74">
        <f t="shared" si="66"/>
        <v>71</v>
      </c>
      <c r="AM97" s="81">
        <f t="shared" si="99"/>
        <v>76.714285714285708</v>
      </c>
      <c r="AN97" s="74">
        <f t="shared" si="67"/>
        <v>10</v>
      </c>
      <c r="AO97" s="81">
        <f t="shared" si="89"/>
        <v>12.857142857142858</v>
      </c>
      <c r="AP97" s="74">
        <f t="shared" si="68"/>
        <v>30</v>
      </c>
      <c r="AQ97" s="81">
        <f t="shared" si="90"/>
        <v>28</v>
      </c>
      <c r="AR97" s="74">
        <f t="shared" si="69"/>
        <v>14</v>
      </c>
      <c r="AS97" s="81">
        <f t="shared" si="91"/>
        <v>13.714285714285714</v>
      </c>
      <c r="AT97" s="83">
        <f t="shared" si="56"/>
        <v>0.56799999999999995</v>
      </c>
      <c r="AU97" s="83">
        <f t="shared" si="57"/>
        <v>0.08</v>
      </c>
      <c r="AV97" s="83">
        <f t="shared" si="58"/>
        <v>0.24</v>
      </c>
      <c r="AW97" s="84">
        <f t="shared" si="59"/>
        <v>0.112</v>
      </c>
      <c r="AX97" s="83">
        <f t="shared" si="101"/>
        <v>0.58645073260952552</v>
      </c>
      <c r="AY97" s="83">
        <f t="shared" si="101"/>
        <v>9.6919127002592351E-2</v>
      </c>
      <c r="AZ97" s="83">
        <f t="shared" si="101"/>
        <v>0.21177012052415847</v>
      </c>
      <c r="BA97" s="84">
        <f t="shared" si="101"/>
        <v>0.10486001986372349</v>
      </c>
      <c r="BB97" s="74">
        <v>0</v>
      </c>
      <c r="BC97" s="81">
        <f t="shared" si="91"/>
        <v>0</v>
      </c>
      <c r="BD97" s="74">
        <v>0</v>
      </c>
      <c r="BE97" s="81">
        <f t="shared" si="92"/>
        <v>0</v>
      </c>
      <c r="BF97" s="74">
        <v>0</v>
      </c>
      <c r="BG97" s="81">
        <f t="shared" si="93"/>
        <v>0</v>
      </c>
      <c r="BH97" s="74">
        <v>0</v>
      </c>
      <c r="BI97" s="81">
        <f t="shared" si="94"/>
        <v>0</v>
      </c>
      <c r="BJ97" s="74">
        <v>71</v>
      </c>
      <c r="BK97" s="81">
        <f t="shared" si="95"/>
        <v>76.714285714285708</v>
      </c>
      <c r="BL97" s="74">
        <v>10</v>
      </c>
      <c r="BM97" s="81">
        <f t="shared" si="96"/>
        <v>12.857142857142858</v>
      </c>
      <c r="BN97" s="74">
        <v>30</v>
      </c>
      <c r="BO97" s="81">
        <f t="shared" si="97"/>
        <v>28</v>
      </c>
      <c r="BP97" s="74">
        <v>14</v>
      </c>
      <c r="BQ97" s="81">
        <f t="shared" si="98"/>
        <v>13.714285714285714</v>
      </c>
    </row>
    <row r="98" spans="1:69" x14ac:dyDescent="0.25">
      <c r="A98" s="85">
        <f t="shared" si="70"/>
        <v>45800</v>
      </c>
      <c r="B98" s="74">
        <f t="shared" si="60"/>
        <v>661</v>
      </c>
      <c r="C98" s="81">
        <f t="shared" si="71"/>
        <v>753.75</v>
      </c>
      <c r="D98" s="74">
        <f t="shared" si="61"/>
        <v>226</v>
      </c>
      <c r="E98" s="99">
        <f t="shared" si="72"/>
        <v>244.75</v>
      </c>
      <c r="F98" s="74">
        <v>109.69863013999999</v>
      </c>
      <c r="G98" s="81">
        <f t="shared" si="73"/>
        <v>130.8904109625</v>
      </c>
      <c r="H98" s="74">
        <v>109.69863013999999</v>
      </c>
      <c r="I98" s="99">
        <f t="shared" si="74"/>
        <v>130.8904109625</v>
      </c>
      <c r="J98" s="74">
        <f t="shared" si="62"/>
        <v>661</v>
      </c>
      <c r="K98" s="81">
        <f t="shared" si="75"/>
        <v>753.75</v>
      </c>
      <c r="L98" s="74">
        <f t="shared" si="63"/>
        <v>226</v>
      </c>
      <c r="M98" s="99">
        <f t="shared" si="76"/>
        <v>244.75</v>
      </c>
      <c r="N98" s="74">
        <f t="shared" si="64"/>
        <v>661</v>
      </c>
      <c r="O98" s="81">
        <f t="shared" si="77"/>
        <v>753.75</v>
      </c>
      <c r="P98" s="74">
        <f t="shared" si="65"/>
        <v>226</v>
      </c>
      <c r="Q98" s="99">
        <f t="shared" si="78"/>
        <v>244.75</v>
      </c>
      <c r="R98" s="74">
        <v>110</v>
      </c>
      <c r="S98" s="81">
        <f t="shared" si="79"/>
        <v>131.25</v>
      </c>
      <c r="T98" s="74">
        <v>87</v>
      </c>
      <c r="U98" s="99">
        <f t="shared" si="80"/>
        <v>82.5</v>
      </c>
      <c r="V98" s="74">
        <v>551</v>
      </c>
      <c r="W98" s="81">
        <f t="shared" si="81"/>
        <v>622.5</v>
      </c>
      <c r="X98" s="74">
        <v>139</v>
      </c>
      <c r="Y98" s="99">
        <f t="shared" si="82"/>
        <v>162.25</v>
      </c>
      <c r="Z98" s="74">
        <v>0</v>
      </c>
      <c r="AA98" s="81">
        <f t="shared" si="83"/>
        <v>0</v>
      </c>
      <c r="AB98" s="74">
        <v>0</v>
      </c>
      <c r="AC98" s="99">
        <f t="shared" si="84"/>
        <v>0</v>
      </c>
      <c r="AD98" s="105">
        <v>0</v>
      </c>
      <c r="AE98" s="81">
        <f t="shared" si="85"/>
        <v>0</v>
      </c>
      <c r="AF98" s="105">
        <v>0</v>
      </c>
      <c r="AG98" s="99">
        <f t="shared" si="86"/>
        <v>0</v>
      </c>
      <c r="AH98" s="74">
        <v>0</v>
      </c>
      <c r="AI98" s="81">
        <f t="shared" si="87"/>
        <v>0</v>
      </c>
      <c r="AJ98" s="74">
        <v>0</v>
      </c>
      <c r="AK98" s="99">
        <f t="shared" si="88"/>
        <v>0</v>
      </c>
      <c r="AL98" s="74">
        <f t="shared" si="66"/>
        <v>60</v>
      </c>
      <c r="AM98" s="81">
        <f t="shared" si="99"/>
        <v>72.428571428571431</v>
      </c>
      <c r="AN98" s="74">
        <f t="shared" si="67"/>
        <v>9</v>
      </c>
      <c r="AO98" s="81">
        <f t="shared" si="89"/>
        <v>11</v>
      </c>
      <c r="AP98" s="74">
        <f t="shared" si="68"/>
        <v>28</v>
      </c>
      <c r="AQ98" s="81">
        <f t="shared" si="90"/>
        <v>27.714285714285715</v>
      </c>
      <c r="AR98" s="74">
        <f t="shared" si="69"/>
        <v>13</v>
      </c>
      <c r="AS98" s="81">
        <f t="shared" si="91"/>
        <v>14.428571428571429</v>
      </c>
      <c r="AT98" s="83">
        <f t="shared" si="56"/>
        <v>0.54545454545454541</v>
      </c>
      <c r="AU98" s="83">
        <f t="shared" si="57"/>
        <v>8.1818181818181818E-2</v>
      </c>
      <c r="AV98" s="83">
        <f t="shared" si="58"/>
        <v>0.25454545454545452</v>
      </c>
      <c r="AW98" s="84">
        <f t="shared" si="59"/>
        <v>0.11818181818181818</v>
      </c>
      <c r="AX98" s="83">
        <f t="shared" si="101"/>
        <v>0.57865852481731783</v>
      </c>
      <c r="AY98" s="83">
        <f t="shared" si="101"/>
        <v>8.7655057738523098E-2</v>
      </c>
      <c r="AZ98" s="83">
        <f t="shared" si="101"/>
        <v>0.2195623283163663</v>
      </c>
      <c r="BA98" s="84">
        <f t="shared" si="101"/>
        <v>0.11412408912779275</v>
      </c>
      <c r="BB98" s="74">
        <v>0</v>
      </c>
      <c r="BC98" s="81">
        <f t="shared" si="91"/>
        <v>0</v>
      </c>
      <c r="BD98" s="74">
        <v>0</v>
      </c>
      <c r="BE98" s="81">
        <f t="shared" si="92"/>
        <v>0</v>
      </c>
      <c r="BF98" s="74">
        <v>0</v>
      </c>
      <c r="BG98" s="81">
        <f t="shared" si="93"/>
        <v>0</v>
      </c>
      <c r="BH98" s="74">
        <v>0</v>
      </c>
      <c r="BI98" s="81">
        <f t="shared" si="94"/>
        <v>0</v>
      </c>
      <c r="BJ98" s="74">
        <v>60</v>
      </c>
      <c r="BK98" s="81">
        <f t="shared" si="95"/>
        <v>72.428571428571431</v>
      </c>
      <c r="BL98" s="74">
        <v>9</v>
      </c>
      <c r="BM98" s="81">
        <f t="shared" si="96"/>
        <v>11</v>
      </c>
      <c r="BN98" s="74">
        <v>28</v>
      </c>
      <c r="BO98" s="81">
        <f t="shared" si="97"/>
        <v>27.714285714285715</v>
      </c>
      <c r="BP98" s="74">
        <v>13</v>
      </c>
      <c r="BQ98" s="81">
        <f t="shared" si="98"/>
        <v>14.428571428571429</v>
      </c>
    </row>
    <row r="99" spans="1:69" x14ac:dyDescent="0.25">
      <c r="A99" s="85">
        <f t="shared" si="70"/>
        <v>45807</v>
      </c>
      <c r="B99" s="74">
        <f t="shared" si="60"/>
        <v>750</v>
      </c>
      <c r="C99" s="81">
        <f t="shared" si="71"/>
        <v>710.75</v>
      </c>
      <c r="D99" s="74">
        <f t="shared" si="61"/>
        <v>238</v>
      </c>
      <c r="E99" s="99">
        <f t="shared" si="72"/>
        <v>231</v>
      </c>
      <c r="F99" s="74">
        <v>119.67123287999995</v>
      </c>
      <c r="G99" s="81">
        <f t="shared" si="73"/>
        <v>121.16712329099997</v>
      </c>
      <c r="H99" s="74">
        <v>119.67123287999995</v>
      </c>
      <c r="I99" s="99">
        <f t="shared" si="74"/>
        <v>121.16712329099997</v>
      </c>
      <c r="J99" s="74">
        <f t="shared" si="62"/>
        <v>750</v>
      </c>
      <c r="K99" s="81">
        <f t="shared" si="75"/>
        <v>710.75</v>
      </c>
      <c r="L99" s="74">
        <f t="shared" si="63"/>
        <v>238</v>
      </c>
      <c r="M99" s="99">
        <f t="shared" si="76"/>
        <v>231</v>
      </c>
      <c r="N99" s="74">
        <f t="shared" si="64"/>
        <v>750</v>
      </c>
      <c r="O99" s="81">
        <f t="shared" si="77"/>
        <v>710.75</v>
      </c>
      <c r="P99" s="74">
        <f t="shared" si="65"/>
        <v>238</v>
      </c>
      <c r="Q99" s="99">
        <f t="shared" si="78"/>
        <v>231</v>
      </c>
      <c r="R99" s="74">
        <v>120</v>
      </c>
      <c r="S99" s="81">
        <f t="shared" si="79"/>
        <v>121.5</v>
      </c>
      <c r="T99" s="74">
        <v>84</v>
      </c>
      <c r="U99" s="99">
        <f t="shared" si="80"/>
        <v>80</v>
      </c>
      <c r="V99" s="74">
        <v>630</v>
      </c>
      <c r="W99" s="81">
        <f t="shared" si="81"/>
        <v>589.25</v>
      </c>
      <c r="X99" s="74">
        <v>154</v>
      </c>
      <c r="Y99" s="99">
        <f t="shared" si="82"/>
        <v>151</v>
      </c>
      <c r="Z99" s="74">
        <v>0</v>
      </c>
      <c r="AA99" s="81">
        <f t="shared" si="83"/>
        <v>0</v>
      </c>
      <c r="AB99" s="74">
        <v>0</v>
      </c>
      <c r="AC99" s="99">
        <f t="shared" si="84"/>
        <v>0</v>
      </c>
      <c r="AD99" s="105">
        <v>0</v>
      </c>
      <c r="AE99" s="81">
        <f t="shared" si="85"/>
        <v>0</v>
      </c>
      <c r="AF99" s="105">
        <v>0</v>
      </c>
      <c r="AG99" s="99">
        <f t="shared" si="86"/>
        <v>0</v>
      </c>
      <c r="AH99" s="74">
        <v>0</v>
      </c>
      <c r="AI99" s="81">
        <f t="shared" si="87"/>
        <v>0</v>
      </c>
      <c r="AJ99" s="74">
        <v>0</v>
      </c>
      <c r="AK99" s="99">
        <f t="shared" si="88"/>
        <v>0</v>
      </c>
      <c r="AL99" s="74">
        <f t="shared" si="66"/>
        <v>68</v>
      </c>
      <c r="AM99" s="81">
        <f t="shared" si="99"/>
        <v>72.857142857142861</v>
      </c>
      <c r="AN99" s="74">
        <f t="shared" si="67"/>
        <v>15</v>
      </c>
      <c r="AO99" s="81">
        <f t="shared" si="89"/>
        <v>11.142857142857142</v>
      </c>
      <c r="AP99" s="74">
        <f t="shared" si="68"/>
        <v>20</v>
      </c>
      <c r="AQ99" s="81">
        <f t="shared" si="90"/>
        <v>27</v>
      </c>
      <c r="AR99" s="74">
        <f t="shared" si="69"/>
        <v>17</v>
      </c>
      <c r="AS99" s="81">
        <f t="shared" si="91"/>
        <v>15</v>
      </c>
      <c r="AT99" s="83">
        <f t="shared" si="56"/>
        <v>0.56666666666666665</v>
      </c>
      <c r="AU99" s="83">
        <f t="shared" si="57"/>
        <v>0.125</v>
      </c>
      <c r="AV99" s="83">
        <f t="shared" si="58"/>
        <v>0.16666666666666666</v>
      </c>
      <c r="AW99" s="84">
        <f t="shared" si="59"/>
        <v>0.14166666666666666</v>
      </c>
      <c r="AX99" s="83">
        <f t="shared" si="101"/>
        <v>0.58024582640461941</v>
      </c>
      <c r="AY99" s="83">
        <f t="shared" si="101"/>
        <v>8.8418183501648859E-2</v>
      </c>
      <c r="AZ99" s="83">
        <f t="shared" si="101"/>
        <v>0.21284682160085958</v>
      </c>
      <c r="BA99" s="84">
        <f t="shared" si="101"/>
        <v>0.1184891684928721</v>
      </c>
      <c r="BB99" s="74">
        <v>0</v>
      </c>
      <c r="BC99" s="81">
        <f t="shared" si="91"/>
        <v>0</v>
      </c>
      <c r="BD99" s="74">
        <v>0</v>
      </c>
      <c r="BE99" s="81">
        <f t="shared" si="92"/>
        <v>0</v>
      </c>
      <c r="BF99" s="74">
        <v>0</v>
      </c>
      <c r="BG99" s="81">
        <f t="shared" si="93"/>
        <v>0</v>
      </c>
      <c r="BH99" s="74">
        <v>0</v>
      </c>
      <c r="BI99" s="81">
        <f t="shared" si="94"/>
        <v>0</v>
      </c>
      <c r="BJ99" s="74">
        <v>68</v>
      </c>
      <c r="BK99" s="81">
        <f t="shared" si="95"/>
        <v>72.857142857142861</v>
      </c>
      <c r="BL99" s="74">
        <v>15</v>
      </c>
      <c r="BM99" s="81">
        <f t="shared" si="96"/>
        <v>11.142857142857142</v>
      </c>
      <c r="BN99" s="74">
        <v>20</v>
      </c>
      <c r="BO99" s="81">
        <f t="shared" si="97"/>
        <v>27</v>
      </c>
      <c r="BP99" s="74">
        <v>17</v>
      </c>
      <c r="BQ99" s="81">
        <f t="shared" si="98"/>
        <v>15</v>
      </c>
    </row>
    <row r="100" spans="1:69" x14ac:dyDescent="0.25">
      <c r="A100" s="85">
        <f t="shared" si="70"/>
        <v>45814</v>
      </c>
      <c r="B100" s="74">
        <f t="shared" si="60"/>
        <v>740</v>
      </c>
      <c r="C100" s="81">
        <f t="shared" si="71"/>
        <v>715.5</v>
      </c>
      <c r="D100" s="74">
        <f t="shared" si="61"/>
        <v>245</v>
      </c>
      <c r="E100" s="99">
        <f t="shared" si="72"/>
        <v>236.75</v>
      </c>
      <c r="F100" s="74">
        <v>117.67671233199997</v>
      </c>
      <c r="G100" s="81">
        <f t="shared" si="73"/>
        <v>117.92602740049998</v>
      </c>
      <c r="H100" s="74">
        <v>117.67671233199997</v>
      </c>
      <c r="I100" s="99">
        <f t="shared" si="74"/>
        <v>117.92602740049998</v>
      </c>
      <c r="J100" s="74">
        <f t="shared" si="62"/>
        <v>740</v>
      </c>
      <c r="K100" s="81">
        <f t="shared" si="75"/>
        <v>715.5</v>
      </c>
      <c r="L100" s="74">
        <f t="shared" si="63"/>
        <v>245</v>
      </c>
      <c r="M100" s="99">
        <f t="shared" si="76"/>
        <v>236.75</v>
      </c>
      <c r="N100" s="74">
        <f t="shared" si="64"/>
        <v>740</v>
      </c>
      <c r="O100" s="81">
        <f t="shared" si="77"/>
        <v>715.5</v>
      </c>
      <c r="P100" s="74">
        <f t="shared" si="65"/>
        <v>245</v>
      </c>
      <c r="Q100" s="99">
        <f t="shared" si="78"/>
        <v>236.75</v>
      </c>
      <c r="R100" s="74">
        <v>118</v>
      </c>
      <c r="S100" s="81">
        <f t="shared" si="79"/>
        <v>118.25</v>
      </c>
      <c r="T100" s="74">
        <v>86</v>
      </c>
      <c r="U100" s="99">
        <f t="shared" si="80"/>
        <v>83.5</v>
      </c>
      <c r="V100" s="74">
        <v>622</v>
      </c>
      <c r="W100" s="81">
        <f t="shared" si="81"/>
        <v>597.25</v>
      </c>
      <c r="X100" s="74">
        <v>159</v>
      </c>
      <c r="Y100" s="99">
        <f t="shared" si="82"/>
        <v>153.25</v>
      </c>
      <c r="Z100" s="74">
        <v>0</v>
      </c>
      <c r="AA100" s="81">
        <f t="shared" si="83"/>
        <v>0</v>
      </c>
      <c r="AB100" s="74">
        <v>0</v>
      </c>
      <c r="AC100" s="99">
        <f t="shared" si="84"/>
        <v>0</v>
      </c>
      <c r="AD100" s="105">
        <v>0</v>
      </c>
      <c r="AE100" s="81">
        <f t="shared" si="85"/>
        <v>0</v>
      </c>
      <c r="AF100" s="105">
        <v>0</v>
      </c>
      <c r="AG100" s="99">
        <f t="shared" si="86"/>
        <v>0</v>
      </c>
      <c r="AH100" s="74">
        <v>0</v>
      </c>
      <c r="AI100" s="81">
        <f t="shared" si="87"/>
        <v>0</v>
      </c>
      <c r="AJ100" s="74">
        <v>0</v>
      </c>
      <c r="AK100" s="99">
        <f t="shared" si="88"/>
        <v>0</v>
      </c>
      <c r="AL100" s="74">
        <f t="shared" si="66"/>
        <v>60</v>
      </c>
      <c r="AM100" s="81">
        <f t="shared" si="99"/>
        <v>70.428571428571431</v>
      </c>
      <c r="AN100" s="74">
        <f t="shared" si="67"/>
        <v>19</v>
      </c>
      <c r="AO100" s="81">
        <f t="shared" si="89"/>
        <v>12.857142857142858</v>
      </c>
      <c r="AP100" s="74">
        <f t="shared" si="68"/>
        <v>28</v>
      </c>
      <c r="AQ100" s="81">
        <f t="shared" si="90"/>
        <v>28.428571428571427</v>
      </c>
      <c r="AR100" s="74">
        <f t="shared" si="69"/>
        <v>11</v>
      </c>
      <c r="AS100" s="81">
        <f t="shared" si="91"/>
        <v>15.142857142857142</v>
      </c>
      <c r="AT100" s="83">
        <f t="shared" si="56"/>
        <v>0.50847457627118642</v>
      </c>
      <c r="AU100" s="83">
        <f t="shared" si="57"/>
        <v>0.16101694915254236</v>
      </c>
      <c r="AV100" s="83">
        <f t="shared" si="58"/>
        <v>0.23728813559322035</v>
      </c>
      <c r="AW100" s="84">
        <f t="shared" si="59"/>
        <v>9.3220338983050849E-2</v>
      </c>
      <c r="AX100" s="83">
        <f t="shared" si="101"/>
        <v>0.55467076587193176</v>
      </c>
      <c r="AY100" s="83">
        <f t="shared" si="101"/>
        <v>0.10249203338058348</v>
      </c>
      <c r="AZ100" s="83">
        <f t="shared" si="101"/>
        <v>0.22378594301213597</v>
      </c>
      <c r="BA100" s="84">
        <f t="shared" si="101"/>
        <v>0.11905125773534876</v>
      </c>
      <c r="BB100" s="74">
        <v>0</v>
      </c>
      <c r="BC100" s="81">
        <f t="shared" si="91"/>
        <v>0</v>
      </c>
      <c r="BD100" s="74">
        <v>0</v>
      </c>
      <c r="BE100" s="81">
        <f t="shared" si="92"/>
        <v>0</v>
      </c>
      <c r="BF100" s="74">
        <v>0</v>
      </c>
      <c r="BG100" s="81">
        <f t="shared" si="93"/>
        <v>0</v>
      </c>
      <c r="BH100" s="74">
        <v>0</v>
      </c>
      <c r="BI100" s="81">
        <f t="shared" si="94"/>
        <v>0</v>
      </c>
      <c r="BJ100" s="74">
        <v>60</v>
      </c>
      <c r="BK100" s="81">
        <f t="shared" si="95"/>
        <v>70.428571428571431</v>
      </c>
      <c r="BL100" s="74">
        <v>19</v>
      </c>
      <c r="BM100" s="81">
        <f t="shared" si="96"/>
        <v>12.857142857142858</v>
      </c>
      <c r="BN100" s="74">
        <v>28</v>
      </c>
      <c r="BO100" s="81">
        <f t="shared" si="97"/>
        <v>28.428571428571427</v>
      </c>
      <c r="BP100" s="74">
        <v>11</v>
      </c>
      <c r="BQ100" s="81">
        <f t="shared" si="98"/>
        <v>15.142857142857142</v>
      </c>
    </row>
    <row r="101" spans="1:69" x14ac:dyDescent="0.25">
      <c r="A101" s="85">
        <f t="shared" si="70"/>
        <v>45821</v>
      </c>
      <c r="B101" s="74">
        <f t="shared" si="60"/>
        <v>660</v>
      </c>
      <c r="C101" s="81">
        <f t="shared" si="71"/>
        <v>702.75</v>
      </c>
      <c r="D101" s="74">
        <f t="shared" si="61"/>
        <v>215</v>
      </c>
      <c r="E101" s="99">
        <f t="shared" si="72"/>
        <v>231</v>
      </c>
      <c r="F101" s="74">
        <v>101.72054794799998</v>
      </c>
      <c r="G101" s="81">
        <f t="shared" si="73"/>
        <v>112.19178082499997</v>
      </c>
      <c r="H101" s="74">
        <v>101.72054794799998</v>
      </c>
      <c r="I101" s="99">
        <f t="shared" si="74"/>
        <v>112.19178082499997</v>
      </c>
      <c r="J101" s="74">
        <f t="shared" si="62"/>
        <v>660</v>
      </c>
      <c r="K101" s="81">
        <f t="shared" si="75"/>
        <v>702.75</v>
      </c>
      <c r="L101" s="74">
        <f t="shared" si="63"/>
        <v>215</v>
      </c>
      <c r="M101" s="99">
        <f t="shared" si="76"/>
        <v>231</v>
      </c>
      <c r="N101" s="74">
        <f t="shared" si="64"/>
        <v>660</v>
      </c>
      <c r="O101" s="81">
        <f t="shared" si="77"/>
        <v>702.75</v>
      </c>
      <c r="P101" s="74">
        <f t="shared" si="65"/>
        <v>215</v>
      </c>
      <c r="Q101" s="99">
        <f t="shared" si="78"/>
        <v>231</v>
      </c>
      <c r="R101" s="74">
        <v>102</v>
      </c>
      <c r="S101" s="81">
        <f t="shared" si="79"/>
        <v>112.5</v>
      </c>
      <c r="T101" s="74">
        <v>70</v>
      </c>
      <c r="U101" s="99">
        <f t="shared" si="80"/>
        <v>81.75</v>
      </c>
      <c r="V101" s="74">
        <v>558</v>
      </c>
      <c r="W101" s="81">
        <f t="shared" si="81"/>
        <v>590.25</v>
      </c>
      <c r="X101" s="74">
        <v>145</v>
      </c>
      <c r="Y101" s="99">
        <f t="shared" si="82"/>
        <v>149.25</v>
      </c>
      <c r="Z101" s="74">
        <v>0</v>
      </c>
      <c r="AA101" s="81">
        <f t="shared" si="83"/>
        <v>0</v>
      </c>
      <c r="AB101" s="74">
        <v>0</v>
      </c>
      <c r="AC101" s="99">
        <f t="shared" si="84"/>
        <v>0</v>
      </c>
      <c r="AD101" s="105">
        <v>0</v>
      </c>
      <c r="AE101" s="81">
        <f t="shared" si="85"/>
        <v>0</v>
      </c>
      <c r="AF101" s="105">
        <v>0</v>
      </c>
      <c r="AG101" s="99">
        <f t="shared" si="86"/>
        <v>0</v>
      </c>
      <c r="AH101" s="74">
        <v>0</v>
      </c>
      <c r="AI101" s="81">
        <f t="shared" si="87"/>
        <v>0</v>
      </c>
      <c r="AJ101" s="74">
        <v>0</v>
      </c>
      <c r="AK101" s="99">
        <f t="shared" si="88"/>
        <v>0</v>
      </c>
      <c r="AL101" s="74">
        <f t="shared" si="66"/>
        <v>58</v>
      </c>
      <c r="AM101" s="81">
        <f t="shared" si="99"/>
        <v>68</v>
      </c>
      <c r="AN101" s="74">
        <f t="shared" si="67"/>
        <v>6</v>
      </c>
      <c r="AO101" s="81">
        <f t="shared" si="89"/>
        <v>12.428571428571429</v>
      </c>
      <c r="AP101" s="74">
        <f t="shared" si="68"/>
        <v>24</v>
      </c>
      <c r="AQ101" s="81">
        <f t="shared" si="90"/>
        <v>28.285714285714285</v>
      </c>
      <c r="AR101" s="74">
        <f t="shared" si="69"/>
        <v>14</v>
      </c>
      <c r="AS101" s="81">
        <f t="shared" si="91"/>
        <v>14.857142857142858</v>
      </c>
      <c r="AT101" s="83">
        <f t="shared" si="56"/>
        <v>0.56862745098039214</v>
      </c>
      <c r="AU101" s="83">
        <f t="shared" si="57"/>
        <v>5.8823529411764705E-2</v>
      </c>
      <c r="AV101" s="83">
        <f t="shared" si="58"/>
        <v>0.23529411764705882</v>
      </c>
      <c r="AW101" s="84">
        <f t="shared" si="59"/>
        <v>0.13725490196078433</v>
      </c>
      <c r="AX101" s="83">
        <f t="shared" si="101"/>
        <v>0.55018897315484494</v>
      </c>
      <c r="AY101" s="83">
        <f t="shared" si="101"/>
        <v>0.10060968043940702</v>
      </c>
      <c r="AZ101" s="83">
        <f t="shared" si="101"/>
        <v>0.22882795981885867</v>
      </c>
      <c r="BA101" s="84">
        <f t="shared" si="101"/>
        <v>0.12037338658688938</v>
      </c>
      <c r="BB101" s="74">
        <v>0</v>
      </c>
      <c r="BC101" s="81">
        <f t="shared" si="91"/>
        <v>0</v>
      </c>
      <c r="BD101" s="74">
        <v>0</v>
      </c>
      <c r="BE101" s="81">
        <f t="shared" si="92"/>
        <v>0</v>
      </c>
      <c r="BF101" s="74">
        <v>0</v>
      </c>
      <c r="BG101" s="81">
        <f t="shared" si="93"/>
        <v>0</v>
      </c>
      <c r="BH101" s="74">
        <v>0</v>
      </c>
      <c r="BI101" s="81">
        <f t="shared" si="94"/>
        <v>0</v>
      </c>
      <c r="BJ101" s="74">
        <v>58</v>
      </c>
      <c r="BK101" s="81">
        <f t="shared" si="95"/>
        <v>68</v>
      </c>
      <c r="BL101" s="74">
        <v>6</v>
      </c>
      <c r="BM101" s="81">
        <f t="shared" si="96"/>
        <v>12.428571428571429</v>
      </c>
      <c r="BN101" s="74">
        <v>24</v>
      </c>
      <c r="BO101" s="81">
        <f t="shared" si="97"/>
        <v>28.285714285714285</v>
      </c>
      <c r="BP101" s="74">
        <v>14</v>
      </c>
      <c r="BQ101" s="81">
        <f t="shared" si="98"/>
        <v>14.857142857142858</v>
      </c>
    </row>
    <row r="102" spans="1:69" x14ac:dyDescent="0.25">
      <c r="A102" s="85">
        <f t="shared" si="70"/>
        <v>45828</v>
      </c>
      <c r="B102" s="74">
        <f t="shared" si="60"/>
        <v>622</v>
      </c>
      <c r="C102" s="81">
        <f t="shared" si="71"/>
        <v>693</v>
      </c>
      <c r="D102" s="74">
        <f t="shared" si="61"/>
        <v>189</v>
      </c>
      <c r="E102" s="99">
        <f t="shared" si="72"/>
        <v>221.75</v>
      </c>
      <c r="F102" s="74">
        <v>115.68219178399994</v>
      </c>
      <c r="G102" s="81">
        <f t="shared" si="73"/>
        <v>113.68767123599996</v>
      </c>
      <c r="H102" s="74">
        <v>115.68219178399994</v>
      </c>
      <c r="I102" s="99">
        <f t="shared" si="74"/>
        <v>113.68767123599996</v>
      </c>
      <c r="J102" s="74">
        <f t="shared" si="62"/>
        <v>622</v>
      </c>
      <c r="K102" s="81">
        <f t="shared" si="75"/>
        <v>693</v>
      </c>
      <c r="L102" s="74">
        <f t="shared" si="63"/>
        <v>189</v>
      </c>
      <c r="M102" s="99">
        <f t="shared" si="76"/>
        <v>221.75</v>
      </c>
      <c r="N102" s="74">
        <f t="shared" si="64"/>
        <v>622</v>
      </c>
      <c r="O102" s="81">
        <f t="shared" si="77"/>
        <v>693</v>
      </c>
      <c r="P102" s="74">
        <f t="shared" si="65"/>
        <v>189</v>
      </c>
      <c r="Q102" s="99">
        <f t="shared" si="78"/>
        <v>221.75</v>
      </c>
      <c r="R102" s="74">
        <v>116</v>
      </c>
      <c r="S102" s="81">
        <f t="shared" si="79"/>
        <v>114</v>
      </c>
      <c r="T102" s="74">
        <v>69</v>
      </c>
      <c r="U102" s="99">
        <f t="shared" si="80"/>
        <v>77.25</v>
      </c>
      <c r="V102" s="74">
        <v>506</v>
      </c>
      <c r="W102" s="81">
        <f t="shared" si="81"/>
        <v>579</v>
      </c>
      <c r="X102" s="74">
        <v>120</v>
      </c>
      <c r="Y102" s="99">
        <f t="shared" si="82"/>
        <v>144.5</v>
      </c>
      <c r="Z102" s="74">
        <v>0</v>
      </c>
      <c r="AA102" s="81">
        <f t="shared" si="83"/>
        <v>0</v>
      </c>
      <c r="AB102" s="74">
        <v>0</v>
      </c>
      <c r="AC102" s="99">
        <f t="shared" si="84"/>
        <v>0</v>
      </c>
      <c r="AD102" s="105">
        <v>0</v>
      </c>
      <c r="AE102" s="81">
        <f t="shared" si="85"/>
        <v>0</v>
      </c>
      <c r="AF102" s="105">
        <v>0</v>
      </c>
      <c r="AG102" s="99">
        <f t="shared" si="86"/>
        <v>0</v>
      </c>
      <c r="AH102" s="74">
        <v>0</v>
      </c>
      <c r="AI102" s="81">
        <f t="shared" si="87"/>
        <v>0</v>
      </c>
      <c r="AJ102" s="74">
        <v>0</v>
      </c>
      <c r="AK102" s="99">
        <f t="shared" si="88"/>
        <v>0</v>
      </c>
      <c r="AL102" s="74">
        <f t="shared" si="66"/>
        <v>67</v>
      </c>
      <c r="AM102" s="81">
        <f t="shared" si="99"/>
        <v>64.857142857142861</v>
      </c>
      <c r="AN102" s="74">
        <f t="shared" si="67"/>
        <v>10</v>
      </c>
      <c r="AO102" s="81">
        <f t="shared" si="89"/>
        <v>12.142857142857142</v>
      </c>
      <c r="AP102" s="74">
        <f t="shared" si="68"/>
        <v>26</v>
      </c>
      <c r="AQ102" s="81">
        <f t="shared" si="90"/>
        <v>26.571428571428573</v>
      </c>
      <c r="AR102" s="74">
        <f t="shared" si="69"/>
        <v>13</v>
      </c>
      <c r="AS102" s="81">
        <f t="shared" si="91"/>
        <v>13.857142857142858</v>
      </c>
      <c r="AT102" s="83">
        <f t="shared" si="56"/>
        <v>0.57758620689655171</v>
      </c>
      <c r="AU102" s="83">
        <f t="shared" si="57"/>
        <v>8.6206896551724144E-2</v>
      </c>
      <c r="AV102" s="83">
        <f t="shared" si="58"/>
        <v>0.22413793103448276</v>
      </c>
      <c r="AW102" s="84">
        <f t="shared" si="59"/>
        <v>0.11206896551724138</v>
      </c>
      <c r="AX102" s="83">
        <f t="shared" si="101"/>
        <v>0.55273722732964436</v>
      </c>
      <c r="AY102" s="83">
        <f t="shared" si="101"/>
        <v>0.10214328021633798</v>
      </c>
      <c r="AZ102" s="83">
        <f t="shared" si="101"/>
        <v>0.2267057055820956</v>
      </c>
      <c r="BA102" s="84">
        <f t="shared" si="101"/>
        <v>0.11841378687192207</v>
      </c>
      <c r="BB102" s="74">
        <v>0</v>
      </c>
      <c r="BC102" s="81">
        <f t="shared" si="91"/>
        <v>0</v>
      </c>
      <c r="BD102" s="74">
        <v>0</v>
      </c>
      <c r="BE102" s="81">
        <f t="shared" si="92"/>
        <v>0</v>
      </c>
      <c r="BF102" s="74">
        <v>0</v>
      </c>
      <c r="BG102" s="81">
        <f t="shared" si="93"/>
        <v>0</v>
      </c>
      <c r="BH102" s="74">
        <v>0</v>
      </c>
      <c r="BI102" s="81">
        <f t="shared" si="94"/>
        <v>0</v>
      </c>
      <c r="BJ102" s="74">
        <v>67</v>
      </c>
      <c r="BK102" s="81">
        <f t="shared" si="95"/>
        <v>64.857142857142861</v>
      </c>
      <c r="BL102" s="74">
        <v>10</v>
      </c>
      <c r="BM102" s="81">
        <f t="shared" si="96"/>
        <v>12.142857142857142</v>
      </c>
      <c r="BN102" s="74">
        <v>26</v>
      </c>
      <c r="BO102" s="81">
        <f t="shared" si="97"/>
        <v>26.571428571428573</v>
      </c>
      <c r="BP102" s="74">
        <v>13</v>
      </c>
      <c r="BQ102" s="81">
        <f t="shared" si="98"/>
        <v>13.857142857142858</v>
      </c>
    </row>
    <row r="103" spans="1:69" x14ac:dyDescent="0.25">
      <c r="A103" s="85">
        <f t="shared" si="70"/>
        <v>45835</v>
      </c>
      <c r="B103" s="74">
        <f t="shared" si="60"/>
        <v>670</v>
      </c>
      <c r="C103" s="81">
        <f t="shared" si="71"/>
        <v>673</v>
      </c>
      <c r="D103" s="74">
        <f t="shared" si="61"/>
        <v>179</v>
      </c>
      <c r="E103" s="99">
        <f t="shared" si="72"/>
        <v>207</v>
      </c>
      <c r="F103" s="74">
        <v>112.69041096199996</v>
      </c>
      <c r="G103" s="81">
        <f t="shared" si="73"/>
        <v>111.94246575649996</v>
      </c>
      <c r="H103" s="74">
        <v>112.69041096199996</v>
      </c>
      <c r="I103" s="99">
        <f t="shared" si="74"/>
        <v>111.94246575649996</v>
      </c>
      <c r="J103" s="74">
        <f t="shared" si="62"/>
        <v>670</v>
      </c>
      <c r="K103" s="81">
        <f t="shared" si="75"/>
        <v>673</v>
      </c>
      <c r="L103" s="74">
        <f t="shared" si="63"/>
        <v>179</v>
      </c>
      <c r="M103" s="99">
        <f t="shared" si="76"/>
        <v>207</v>
      </c>
      <c r="N103" s="74">
        <f t="shared" si="64"/>
        <v>670</v>
      </c>
      <c r="O103" s="81">
        <f t="shared" si="77"/>
        <v>673</v>
      </c>
      <c r="P103" s="74">
        <f t="shared" si="65"/>
        <v>179</v>
      </c>
      <c r="Q103" s="99">
        <f t="shared" si="78"/>
        <v>207</v>
      </c>
      <c r="R103" s="74">
        <v>113</v>
      </c>
      <c r="S103" s="81">
        <f t="shared" si="79"/>
        <v>112.25</v>
      </c>
      <c r="T103" s="74">
        <v>59</v>
      </c>
      <c r="U103" s="99">
        <f t="shared" si="80"/>
        <v>71</v>
      </c>
      <c r="V103" s="74">
        <v>557</v>
      </c>
      <c r="W103" s="81">
        <f t="shared" si="81"/>
        <v>560.75</v>
      </c>
      <c r="X103" s="74">
        <v>120</v>
      </c>
      <c r="Y103" s="99">
        <f t="shared" si="82"/>
        <v>136</v>
      </c>
      <c r="Z103" s="74">
        <v>0</v>
      </c>
      <c r="AA103" s="81">
        <f t="shared" si="83"/>
        <v>0</v>
      </c>
      <c r="AB103" s="74">
        <v>0</v>
      </c>
      <c r="AC103" s="99">
        <f t="shared" si="84"/>
        <v>0</v>
      </c>
      <c r="AD103" s="105">
        <v>0</v>
      </c>
      <c r="AE103" s="81">
        <f t="shared" si="85"/>
        <v>0</v>
      </c>
      <c r="AF103" s="105">
        <v>0</v>
      </c>
      <c r="AG103" s="99">
        <f t="shared" si="86"/>
        <v>0</v>
      </c>
      <c r="AH103" s="74">
        <v>0</v>
      </c>
      <c r="AI103" s="81">
        <f t="shared" si="87"/>
        <v>0</v>
      </c>
      <c r="AJ103" s="74">
        <v>0</v>
      </c>
      <c r="AK103" s="99">
        <f t="shared" si="88"/>
        <v>0</v>
      </c>
      <c r="AL103" s="74">
        <f t="shared" si="66"/>
        <v>67</v>
      </c>
      <c r="AM103" s="81">
        <f t="shared" si="99"/>
        <v>64.428571428571431</v>
      </c>
      <c r="AN103" s="74">
        <f t="shared" si="67"/>
        <v>11</v>
      </c>
      <c r="AO103" s="81">
        <f t="shared" si="89"/>
        <v>11.428571428571429</v>
      </c>
      <c r="AP103" s="74">
        <f t="shared" si="68"/>
        <v>22</v>
      </c>
      <c r="AQ103" s="81">
        <f t="shared" si="90"/>
        <v>25.428571428571427</v>
      </c>
      <c r="AR103" s="74">
        <f t="shared" si="69"/>
        <v>13</v>
      </c>
      <c r="AS103" s="81">
        <f t="shared" si="91"/>
        <v>13.571428571428571</v>
      </c>
      <c r="AT103" s="83">
        <f t="shared" si="56"/>
        <v>0.59292035398230092</v>
      </c>
      <c r="AU103" s="83">
        <f t="shared" si="57"/>
        <v>9.7345132743362831E-2</v>
      </c>
      <c r="AV103" s="83">
        <f t="shared" si="58"/>
        <v>0.19469026548672566</v>
      </c>
      <c r="AW103" s="84">
        <f t="shared" si="59"/>
        <v>0.11504424778761062</v>
      </c>
      <c r="AX103" s="83">
        <f t="shared" si="101"/>
        <v>0.56110425717880619</v>
      </c>
      <c r="AY103" s="83">
        <f t="shared" si="101"/>
        <v>9.8601527096796551E-2</v>
      </c>
      <c r="AZ103" s="83">
        <f t="shared" si="101"/>
        <v>0.2218032244248013</v>
      </c>
      <c r="BA103" s="84">
        <f t="shared" si="101"/>
        <v>0.11849099129959598</v>
      </c>
      <c r="BB103" s="74">
        <v>0</v>
      </c>
      <c r="BC103" s="81">
        <f t="shared" si="91"/>
        <v>0</v>
      </c>
      <c r="BD103" s="74">
        <v>0</v>
      </c>
      <c r="BE103" s="81">
        <f t="shared" si="92"/>
        <v>0</v>
      </c>
      <c r="BF103" s="74">
        <v>0</v>
      </c>
      <c r="BG103" s="81">
        <f t="shared" si="93"/>
        <v>0</v>
      </c>
      <c r="BH103" s="74">
        <v>0</v>
      </c>
      <c r="BI103" s="81">
        <f t="shared" si="94"/>
        <v>0</v>
      </c>
      <c r="BJ103" s="74">
        <v>67</v>
      </c>
      <c r="BK103" s="81">
        <f t="shared" si="95"/>
        <v>64.428571428571431</v>
      </c>
      <c r="BL103" s="74">
        <v>11</v>
      </c>
      <c r="BM103" s="81">
        <f t="shared" si="96"/>
        <v>11.428571428571429</v>
      </c>
      <c r="BN103" s="74">
        <v>22</v>
      </c>
      <c r="BO103" s="81">
        <f t="shared" si="97"/>
        <v>25.428571428571427</v>
      </c>
      <c r="BP103" s="74">
        <v>13</v>
      </c>
      <c r="BQ103" s="81">
        <f t="shared" si="98"/>
        <v>13.571428571428571</v>
      </c>
    </row>
    <row r="104" spans="1:69" x14ac:dyDescent="0.25">
      <c r="A104" s="85">
        <f t="shared" si="70"/>
        <v>45842</v>
      </c>
      <c r="B104" s="74">
        <f t="shared" si="60"/>
        <v>773</v>
      </c>
      <c r="C104" s="81">
        <f t="shared" si="71"/>
        <v>681.25</v>
      </c>
      <c r="D104" s="74">
        <f t="shared" si="61"/>
        <v>214</v>
      </c>
      <c r="E104" s="99">
        <f t="shared" si="72"/>
        <v>199.25</v>
      </c>
      <c r="F104" s="74">
        <v>138.61917808599995</v>
      </c>
      <c r="G104" s="81">
        <f t="shared" si="73"/>
        <v>117.17808219499994</v>
      </c>
      <c r="H104" s="74">
        <v>138.61917808599995</v>
      </c>
      <c r="I104" s="99">
        <f t="shared" si="74"/>
        <v>117.17808219499994</v>
      </c>
      <c r="J104" s="74">
        <f t="shared" si="62"/>
        <v>773</v>
      </c>
      <c r="K104" s="81">
        <f t="shared" si="75"/>
        <v>681.25</v>
      </c>
      <c r="L104" s="74">
        <f t="shared" si="63"/>
        <v>214</v>
      </c>
      <c r="M104" s="99">
        <f t="shared" si="76"/>
        <v>199.25</v>
      </c>
      <c r="N104" s="74">
        <f t="shared" si="64"/>
        <v>773</v>
      </c>
      <c r="O104" s="81">
        <f t="shared" si="77"/>
        <v>681.25</v>
      </c>
      <c r="P104" s="74">
        <f t="shared" si="65"/>
        <v>214</v>
      </c>
      <c r="Q104" s="99">
        <f t="shared" si="78"/>
        <v>199.25</v>
      </c>
      <c r="R104" s="74">
        <v>139</v>
      </c>
      <c r="S104" s="81">
        <f t="shared" si="79"/>
        <v>117.5</v>
      </c>
      <c r="T104" s="74">
        <v>65</v>
      </c>
      <c r="U104" s="99">
        <f t="shared" si="80"/>
        <v>65.75</v>
      </c>
      <c r="V104" s="74">
        <v>634</v>
      </c>
      <c r="W104" s="81">
        <f t="shared" si="81"/>
        <v>563.75</v>
      </c>
      <c r="X104" s="74">
        <v>149</v>
      </c>
      <c r="Y104" s="99">
        <f t="shared" si="82"/>
        <v>133.5</v>
      </c>
      <c r="Z104" s="74">
        <v>0</v>
      </c>
      <c r="AA104" s="81">
        <f t="shared" si="83"/>
        <v>0</v>
      </c>
      <c r="AB104" s="74">
        <v>0</v>
      </c>
      <c r="AC104" s="99">
        <f t="shared" si="84"/>
        <v>0</v>
      </c>
      <c r="AD104" s="105">
        <v>0</v>
      </c>
      <c r="AE104" s="81">
        <f t="shared" si="85"/>
        <v>0</v>
      </c>
      <c r="AF104" s="105">
        <v>0</v>
      </c>
      <c r="AG104" s="99">
        <f t="shared" si="86"/>
        <v>0</v>
      </c>
      <c r="AH104" s="74">
        <v>0</v>
      </c>
      <c r="AI104" s="81">
        <f t="shared" si="87"/>
        <v>0</v>
      </c>
      <c r="AJ104" s="74">
        <v>0</v>
      </c>
      <c r="AK104" s="99">
        <f t="shared" si="88"/>
        <v>0</v>
      </c>
      <c r="AL104" s="74">
        <f t="shared" si="66"/>
        <v>90</v>
      </c>
      <c r="AM104" s="81">
        <f t="shared" si="99"/>
        <v>67.142857142857139</v>
      </c>
      <c r="AN104" s="74">
        <f t="shared" si="67"/>
        <v>5</v>
      </c>
      <c r="AO104" s="81">
        <f t="shared" si="89"/>
        <v>10.714285714285714</v>
      </c>
      <c r="AP104" s="74">
        <f t="shared" si="68"/>
        <v>29</v>
      </c>
      <c r="AQ104" s="81">
        <f t="shared" si="90"/>
        <v>25.285714285714285</v>
      </c>
      <c r="AR104" s="74">
        <f t="shared" si="69"/>
        <v>15</v>
      </c>
      <c r="AS104" s="81">
        <f t="shared" si="91"/>
        <v>13.714285714285714</v>
      </c>
      <c r="AT104" s="83">
        <f t="shared" si="56"/>
        <v>0.64748201438848918</v>
      </c>
      <c r="AU104" s="83">
        <f t="shared" si="57"/>
        <v>3.5971223021582732E-2</v>
      </c>
      <c r="AV104" s="83">
        <f t="shared" si="58"/>
        <v>0.20863309352517986</v>
      </c>
      <c r="AW104" s="84">
        <f t="shared" si="59"/>
        <v>0.1079136690647482</v>
      </c>
      <c r="AX104" s="83">
        <f t="shared" si="101"/>
        <v>0.57245883066287617</v>
      </c>
      <c r="AY104" s="83">
        <f t="shared" si="101"/>
        <v>9.2311701814165523E-2</v>
      </c>
      <c r="AZ104" s="83">
        <f t="shared" si="101"/>
        <v>0.21732223778554124</v>
      </c>
      <c r="BA104" s="84">
        <f t="shared" si="101"/>
        <v>0.11790722973741717</v>
      </c>
      <c r="BB104" s="74">
        <v>0</v>
      </c>
      <c r="BC104" s="81">
        <f t="shared" si="91"/>
        <v>0</v>
      </c>
      <c r="BD104" s="74">
        <v>0</v>
      </c>
      <c r="BE104" s="81">
        <f t="shared" si="92"/>
        <v>0</v>
      </c>
      <c r="BF104" s="74">
        <v>0</v>
      </c>
      <c r="BG104" s="81">
        <f t="shared" si="93"/>
        <v>0</v>
      </c>
      <c r="BH104" s="74">
        <v>0</v>
      </c>
      <c r="BI104" s="81">
        <f t="shared" si="94"/>
        <v>0</v>
      </c>
      <c r="BJ104" s="74">
        <v>90</v>
      </c>
      <c r="BK104" s="81">
        <f t="shared" si="95"/>
        <v>67.142857142857139</v>
      </c>
      <c r="BL104" s="74">
        <v>5</v>
      </c>
      <c r="BM104" s="81">
        <f t="shared" si="96"/>
        <v>10.714285714285714</v>
      </c>
      <c r="BN104" s="74">
        <v>29</v>
      </c>
      <c r="BO104" s="81">
        <f t="shared" si="97"/>
        <v>25.285714285714285</v>
      </c>
      <c r="BP104" s="74">
        <v>15</v>
      </c>
      <c r="BQ104" s="81">
        <f t="shared" si="98"/>
        <v>13.714285714285714</v>
      </c>
    </row>
    <row r="105" spans="1:69" x14ac:dyDescent="0.25">
      <c r="A105" s="85">
        <f t="shared" si="70"/>
        <v>45849</v>
      </c>
      <c r="B105" s="74">
        <f t="shared" si="60"/>
        <v>676</v>
      </c>
      <c r="C105" s="81">
        <f t="shared" si="71"/>
        <v>685.25</v>
      </c>
      <c r="D105" s="74">
        <f t="shared" si="61"/>
        <v>196</v>
      </c>
      <c r="E105" s="99">
        <f t="shared" si="72"/>
        <v>194.5</v>
      </c>
      <c r="F105" s="74">
        <v>119.67123287999996</v>
      </c>
      <c r="G105" s="81">
        <f t="shared" si="73"/>
        <v>121.66575342799996</v>
      </c>
      <c r="H105" s="74">
        <v>119.67123287999996</v>
      </c>
      <c r="I105" s="99">
        <f t="shared" si="74"/>
        <v>121.66575342799996</v>
      </c>
      <c r="J105" s="74">
        <f t="shared" si="62"/>
        <v>676</v>
      </c>
      <c r="K105" s="81">
        <f t="shared" si="75"/>
        <v>685.25</v>
      </c>
      <c r="L105" s="74">
        <f t="shared" si="63"/>
        <v>196</v>
      </c>
      <c r="M105" s="99">
        <f t="shared" si="76"/>
        <v>194.5</v>
      </c>
      <c r="N105" s="74">
        <f t="shared" si="64"/>
        <v>676</v>
      </c>
      <c r="O105" s="81">
        <f t="shared" si="77"/>
        <v>685.25</v>
      </c>
      <c r="P105" s="74">
        <f t="shared" si="65"/>
        <v>196</v>
      </c>
      <c r="Q105" s="99">
        <f t="shared" si="78"/>
        <v>194.5</v>
      </c>
      <c r="R105" s="74">
        <v>120</v>
      </c>
      <c r="S105" s="81">
        <f t="shared" si="79"/>
        <v>122</v>
      </c>
      <c r="T105" s="74">
        <v>71</v>
      </c>
      <c r="U105" s="99">
        <f t="shared" si="80"/>
        <v>66</v>
      </c>
      <c r="V105" s="74">
        <v>556</v>
      </c>
      <c r="W105" s="81">
        <f t="shared" si="81"/>
        <v>563.25</v>
      </c>
      <c r="X105" s="74">
        <v>125</v>
      </c>
      <c r="Y105" s="99">
        <f t="shared" si="82"/>
        <v>128.5</v>
      </c>
      <c r="Z105" s="74">
        <v>0</v>
      </c>
      <c r="AA105" s="81">
        <f t="shared" si="83"/>
        <v>0</v>
      </c>
      <c r="AB105" s="74">
        <v>0</v>
      </c>
      <c r="AC105" s="99">
        <f t="shared" si="84"/>
        <v>0</v>
      </c>
      <c r="AD105" s="105">
        <v>0</v>
      </c>
      <c r="AE105" s="81">
        <f t="shared" si="85"/>
        <v>0</v>
      </c>
      <c r="AF105" s="105">
        <v>0</v>
      </c>
      <c r="AG105" s="99">
        <f t="shared" si="86"/>
        <v>0</v>
      </c>
      <c r="AH105" s="74">
        <v>0</v>
      </c>
      <c r="AI105" s="81">
        <f t="shared" si="87"/>
        <v>0</v>
      </c>
      <c r="AJ105" s="74">
        <v>0</v>
      </c>
      <c r="AK105" s="99">
        <f t="shared" si="88"/>
        <v>0</v>
      </c>
      <c r="AL105" s="74">
        <f t="shared" si="66"/>
        <v>66</v>
      </c>
      <c r="AM105" s="81">
        <f t="shared" si="99"/>
        <v>68</v>
      </c>
      <c r="AN105" s="74">
        <f t="shared" si="67"/>
        <v>11</v>
      </c>
      <c r="AO105" s="81">
        <f t="shared" si="89"/>
        <v>11</v>
      </c>
      <c r="AP105" s="74">
        <f t="shared" si="68"/>
        <v>31</v>
      </c>
      <c r="AQ105" s="81">
        <f t="shared" si="90"/>
        <v>25.714285714285715</v>
      </c>
      <c r="AR105" s="74">
        <f t="shared" si="69"/>
        <v>12</v>
      </c>
      <c r="AS105" s="81">
        <f t="shared" si="91"/>
        <v>13.571428571428571</v>
      </c>
      <c r="AT105" s="83">
        <f t="shared" si="56"/>
        <v>0.55000000000000004</v>
      </c>
      <c r="AU105" s="83">
        <f t="shared" si="57"/>
        <v>9.166666666666666E-2</v>
      </c>
      <c r="AV105" s="83">
        <f t="shared" si="58"/>
        <v>0.25833333333333336</v>
      </c>
      <c r="AW105" s="84">
        <f t="shared" si="59"/>
        <v>0.1</v>
      </c>
      <c r="AX105" s="83">
        <f t="shared" si="101"/>
        <v>0.57310818131222674</v>
      </c>
      <c r="AY105" s="83">
        <f t="shared" si="101"/>
        <v>9.3718628221091921E-2</v>
      </c>
      <c r="AZ105" s="83">
        <f t="shared" si="101"/>
        <v>0.21786336332666675</v>
      </c>
      <c r="BA105" s="84">
        <f t="shared" si="101"/>
        <v>0.11530982714001457</v>
      </c>
      <c r="BB105" s="74">
        <v>0</v>
      </c>
      <c r="BC105" s="81">
        <f t="shared" si="91"/>
        <v>0</v>
      </c>
      <c r="BD105" s="74">
        <v>0</v>
      </c>
      <c r="BE105" s="81">
        <f t="shared" si="92"/>
        <v>0</v>
      </c>
      <c r="BF105" s="74">
        <v>0</v>
      </c>
      <c r="BG105" s="81">
        <f t="shared" si="93"/>
        <v>0</v>
      </c>
      <c r="BH105" s="74">
        <v>0</v>
      </c>
      <c r="BI105" s="81">
        <f t="shared" si="94"/>
        <v>0</v>
      </c>
      <c r="BJ105" s="74">
        <v>66</v>
      </c>
      <c r="BK105" s="81">
        <f t="shared" si="95"/>
        <v>68</v>
      </c>
      <c r="BL105" s="74">
        <v>11</v>
      </c>
      <c r="BM105" s="81">
        <f t="shared" si="96"/>
        <v>11</v>
      </c>
      <c r="BN105" s="74">
        <v>31</v>
      </c>
      <c r="BO105" s="81">
        <f t="shared" si="97"/>
        <v>25.714285714285715</v>
      </c>
      <c r="BP105" s="74">
        <v>12</v>
      </c>
      <c r="BQ105" s="81">
        <f t="shared" si="98"/>
        <v>13.571428571428571</v>
      </c>
    </row>
    <row r="106" spans="1:69" x14ac:dyDescent="0.25">
      <c r="A106" s="85">
        <f t="shared" si="70"/>
        <v>45856</v>
      </c>
      <c r="B106" s="74">
        <f t="shared" si="60"/>
        <v>584</v>
      </c>
      <c r="C106" s="81">
        <f t="shared" si="71"/>
        <v>675.75</v>
      </c>
      <c r="D106" s="74">
        <f t="shared" si="61"/>
        <v>157</v>
      </c>
      <c r="E106" s="99">
        <f t="shared" si="72"/>
        <v>186.5</v>
      </c>
      <c r="F106" s="74">
        <v>107.70410959199997</v>
      </c>
      <c r="G106" s="81">
        <f t="shared" si="73"/>
        <v>119.67123287999995</v>
      </c>
      <c r="H106" s="74">
        <v>107.70410959199997</v>
      </c>
      <c r="I106" s="99">
        <f t="shared" si="74"/>
        <v>119.67123287999995</v>
      </c>
      <c r="J106" s="74">
        <f t="shared" si="62"/>
        <v>584</v>
      </c>
      <c r="K106" s="81">
        <f t="shared" si="75"/>
        <v>675.75</v>
      </c>
      <c r="L106" s="74">
        <f t="shared" si="63"/>
        <v>157</v>
      </c>
      <c r="M106" s="99">
        <f t="shared" si="76"/>
        <v>186.5</v>
      </c>
      <c r="N106" s="74">
        <f t="shared" si="64"/>
        <v>584</v>
      </c>
      <c r="O106" s="81">
        <f t="shared" si="77"/>
        <v>675.75</v>
      </c>
      <c r="P106" s="74">
        <f t="shared" si="65"/>
        <v>157</v>
      </c>
      <c r="Q106" s="99">
        <f t="shared" si="78"/>
        <v>186.5</v>
      </c>
      <c r="R106" s="74">
        <v>108</v>
      </c>
      <c r="S106" s="81">
        <f t="shared" si="79"/>
        <v>120</v>
      </c>
      <c r="T106" s="74">
        <v>46</v>
      </c>
      <c r="U106" s="99">
        <f t="shared" si="80"/>
        <v>60.25</v>
      </c>
      <c r="V106" s="74">
        <v>476</v>
      </c>
      <c r="W106" s="81">
        <f t="shared" si="81"/>
        <v>555.75</v>
      </c>
      <c r="X106" s="74">
        <v>111</v>
      </c>
      <c r="Y106" s="99">
        <f t="shared" si="82"/>
        <v>126.25</v>
      </c>
      <c r="Z106" s="74">
        <v>0</v>
      </c>
      <c r="AA106" s="81">
        <f t="shared" si="83"/>
        <v>0</v>
      </c>
      <c r="AB106" s="74">
        <v>0</v>
      </c>
      <c r="AC106" s="99">
        <f t="shared" si="84"/>
        <v>0</v>
      </c>
      <c r="AD106" s="105">
        <v>0</v>
      </c>
      <c r="AE106" s="81">
        <f t="shared" si="85"/>
        <v>0</v>
      </c>
      <c r="AF106" s="105">
        <v>0</v>
      </c>
      <c r="AG106" s="99">
        <f t="shared" si="86"/>
        <v>0</v>
      </c>
      <c r="AH106" s="74">
        <v>0</v>
      </c>
      <c r="AI106" s="81">
        <f t="shared" si="87"/>
        <v>0</v>
      </c>
      <c r="AJ106" s="74">
        <v>0</v>
      </c>
      <c r="AK106" s="99">
        <f t="shared" si="88"/>
        <v>0</v>
      </c>
      <c r="AL106" s="74">
        <f t="shared" si="66"/>
        <v>57</v>
      </c>
      <c r="AM106" s="81">
        <f>AVERAGE(AL100:AL106)</f>
        <v>66.428571428571431</v>
      </c>
      <c r="AN106" s="74">
        <f t="shared" si="67"/>
        <v>11</v>
      </c>
      <c r="AO106" s="81">
        <f t="shared" si="89"/>
        <v>10.428571428571429</v>
      </c>
      <c r="AP106" s="74">
        <f t="shared" si="68"/>
        <v>28</v>
      </c>
      <c r="AQ106" s="81">
        <f t="shared" si="90"/>
        <v>26.857142857142858</v>
      </c>
      <c r="AR106" s="74">
        <f t="shared" si="69"/>
        <v>12</v>
      </c>
      <c r="AS106" s="81">
        <f t="shared" si="91"/>
        <v>12.857142857142858</v>
      </c>
      <c r="AT106" s="83">
        <f t="shared" si="56"/>
        <v>0.52777777777777779</v>
      </c>
      <c r="AU106" s="83">
        <f t="shared" si="57"/>
        <v>0.10185185185185185</v>
      </c>
      <c r="AV106" s="83">
        <f t="shared" si="58"/>
        <v>0.25925925925925924</v>
      </c>
      <c r="AW106" s="84">
        <f t="shared" si="59"/>
        <v>0.1111111111111111</v>
      </c>
      <c r="AX106" s="83">
        <f t="shared" si="101"/>
        <v>0.5675526257566712</v>
      </c>
      <c r="AY106" s="83">
        <f t="shared" si="101"/>
        <v>9.0411749914213607E-2</v>
      </c>
      <c r="AZ106" s="83">
        <f t="shared" si="101"/>
        <v>0.23109087655417998</v>
      </c>
      <c r="BA106" s="84">
        <f t="shared" si="101"/>
        <v>0.11094474777493521</v>
      </c>
      <c r="BB106" s="74">
        <v>0</v>
      </c>
      <c r="BC106" s="81">
        <f t="shared" si="91"/>
        <v>0</v>
      </c>
      <c r="BD106" s="74">
        <v>0</v>
      </c>
      <c r="BE106" s="81">
        <f t="shared" si="92"/>
        <v>0</v>
      </c>
      <c r="BF106" s="74">
        <v>0</v>
      </c>
      <c r="BG106" s="81">
        <f t="shared" si="93"/>
        <v>0</v>
      </c>
      <c r="BH106" s="74">
        <v>0</v>
      </c>
      <c r="BI106" s="81">
        <f t="shared" si="94"/>
        <v>0</v>
      </c>
      <c r="BJ106" s="74">
        <v>57</v>
      </c>
      <c r="BK106" s="81">
        <f t="shared" si="95"/>
        <v>66.428571428571431</v>
      </c>
      <c r="BL106" s="74">
        <v>11</v>
      </c>
      <c r="BM106" s="81">
        <f t="shared" si="96"/>
        <v>10.428571428571429</v>
      </c>
      <c r="BN106" s="74">
        <v>28</v>
      </c>
      <c r="BO106" s="81">
        <f t="shared" si="97"/>
        <v>26.857142857142858</v>
      </c>
      <c r="BP106" s="74">
        <v>12</v>
      </c>
      <c r="BQ106" s="81">
        <f t="shared" si="98"/>
        <v>12.857142857142858</v>
      </c>
    </row>
    <row r="107" spans="1:69" x14ac:dyDescent="0.25">
      <c r="A107" s="85">
        <f t="shared" si="70"/>
        <v>45863</v>
      </c>
      <c r="B107" s="74">
        <f t="shared" si="60"/>
        <v>588</v>
      </c>
      <c r="C107" s="81">
        <f t="shared" si="71"/>
        <v>655.25</v>
      </c>
      <c r="D107" s="74">
        <f t="shared" si="61"/>
        <v>141</v>
      </c>
      <c r="E107" s="99">
        <f t="shared" si="72"/>
        <v>177</v>
      </c>
      <c r="F107" s="74">
        <v>115.68219178399994</v>
      </c>
      <c r="G107" s="81">
        <f t="shared" si="73"/>
        <v>120.41917808549995</v>
      </c>
      <c r="H107" s="74">
        <v>115.68219178399994</v>
      </c>
      <c r="I107" s="99">
        <f t="shared" si="74"/>
        <v>120.41917808549995</v>
      </c>
      <c r="J107" s="74">
        <f t="shared" si="62"/>
        <v>588</v>
      </c>
      <c r="K107" s="81">
        <f t="shared" si="75"/>
        <v>655.25</v>
      </c>
      <c r="L107" s="74">
        <f t="shared" si="63"/>
        <v>141</v>
      </c>
      <c r="M107" s="99">
        <f t="shared" si="76"/>
        <v>177</v>
      </c>
      <c r="N107" s="74">
        <f t="shared" si="64"/>
        <v>588</v>
      </c>
      <c r="O107" s="81">
        <f t="shared" si="77"/>
        <v>655.25</v>
      </c>
      <c r="P107" s="74">
        <f t="shared" si="65"/>
        <v>141</v>
      </c>
      <c r="Q107" s="99">
        <f t="shared" si="78"/>
        <v>177</v>
      </c>
      <c r="R107" s="74">
        <v>116</v>
      </c>
      <c r="S107" s="81">
        <f t="shared" si="79"/>
        <v>120.75</v>
      </c>
      <c r="T107" s="74">
        <v>44</v>
      </c>
      <c r="U107" s="99">
        <f t="shared" si="80"/>
        <v>56.5</v>
      </c>
      <c r="V107" s="74">
        <v>472</v>
      </c>
      <c r="W107" s="81">
        <f t="shared" si="81"/>
        <v>534.5</v>
      </c>
      <c r="X107" s="74">
        <v>97</v>
      </c>
      <c r="Y107" s="99">
        <f t="shared" si="82"/>
        <v>120.5</v>
      </c>
      <c r="Z107" s="74">
        <v>0</v>
      </c>
      <c r="AA107" s="81">
        <f t="shared" si="83"/>
        <v>0</v>
      </c>
      <c r="AB107" s="74">
        <v>0</v>
      </c>
      <c r="AC107" s="99">
        <f t="shared" si="84"/>
        <v>0</v>
      </c>
      <c r="AD107" s="105">
        <v>0</v>
      </c>
      <c r="AE107" s="81">
        <f t="shared" si="85"/>
        <v>0</v>
      </c>
      <c r="AF107" s="105">
        <v>0</v>
      </c>
      <c r="AG107" s="99">
        <f t="shared" si="86"/>
        <v>0</v>
      </c>
      <c r="AH107" s="74">
        <v>0</v>
      </c>
      <c r="AI107" s="81">
        <f t="shared" si="87"/>
        <v>0</v>
      </c>
      <c r="AJ107" s="74">
        <v>0</v>
      </c>
      <c r="AK107" s="99">
        <f t="shared" si="88"/>
        <v>0</v>
      </c>
      <c r="AL107" s="74">
        <f t="shared" si="66"/>
        <v>65</v>
      </c>
      <c r="AM107" s="86">
        <f>AVERAGE(AL101:AL107)</f>
        <v>67.142857142857139</v>
      </c>
      <c r="AN107" s="74">
        <f t="shared" si="67"/>
        <v>14</v>
      </c>
      <c r="AO107" s="86">
        <f t="shared" si="89"/>
        <v>9.7142857142857135</v>
      </c>
      <c r="AP107" s="74">
        <f t="shared" si="68"/>
        <v>25</v>
      </c>
      <c r="AQ107" s="86">
        <f t="shared" si="90"/>
        <v>26.428571428571427</v>
      </c>
      <c r="AR107" s="74">
        <f t="shared" si="69"/>
        <v>12</v>
      </c>
      <c r="AS107" s="86">
        <f t="shared" si="91"/>
        <v>13</v>
      </c>
      <c r="AT107" s="83">
        <f t="shared" si="56"/>
        <v>0.56034482758620685</v>
      </c>
      <c r="AU107" s="83">
        <f t="shared" si="57"/>
        <v>0.1206896551724138</v>
      </c>
      <c r="AV107" s="83">
        <f t="shared" si="58"/>
        <v>0.21551724137931033</v>
      </c>
      <c r="AW107" s="87">
        <f t="shared" si="59"/>
        <v>0.10344827586206896</v>
      </c>
      <c r="AX107" s="83">
        <f t="shared" si="101"/>
        <v>0.57496266165881693</v>
      </c>
      <c r="AY107" s="83">
        <f t="shared" si="101"/>
        <v>8.4650707917052398E-2</v>
      </c>
      <c r="AZ107" s="83">
        <f t="shared" si="101"/>
        <v>0.22798074880933572</v>
      </c>
      <c r="BA107" s="87">
        <f t="shared" si="101"/>
        <v>0.11240588161479494</v>
      </c>
      <c r="BB107" s="74">
        <v>0</v>
      </c>
      <c r="BC107" s="86">
        <f t="shared" si="91"/>
        <v>0</v>
      </c>
      <c r="BD107" s="74">
        <v>0</v>
      </c>
      <c r="BE107" s="86">
        <f t="shared" si="92"/>
        <v>0</v>
      </c>
      <c r="BF107" s="74">
        <v>0</v>
      </c>
      <c r="BG107" s="86">
        <f t="shared" si="93"/>
        <v>0</v>
      </c>
      <c r="BH107" s="74">
        <v>0</v>
      </c>
      <c r="BI107" s="86">
        <f t="shared" si="94"/>
        <v>0</v>
      </c>
      <c r="BJ107" s="74">
        <v>65</v>
      </c>
      <c r="BK107" s="86">
        <f t="shared" si="95"/>
        <v>67.142857142857139</v>
      </c>
      <c r="BL107" s="74">
        <v>14</v>
      </c>
      <c r="BM107" s="86">
        <f t="shared" si="96"/>
        <v>9.7142857142857135</v>
      </c>
      <c r="BN107" s="74">
        <v>25</v>
      </c>
      <c r="BO107" s="86">
        <f t="shared" si="97"/>
        <v>26.428571428571427</v>
      </c>
      <c r="BP107" s="74">
        <v>12</v>
      </c>
      <c r="BQ107" s="86">
        <f t="shared" si="98"/>
        <v>13</v>
      </c>
    </row>
    <row r="108" spans="1:69" x14ac:dyDescent="0.25">
      <c r="A108" s="85">
        <f t="shared" si="70"/>
        <v>45870</v>
      </c>
      <c r="B108" s="74">
        <f t="shared" si="60"/>
        <v>655</v>
      </c>
      <c r="C108" s="81">
        <f t="shared" si="71"/>
        <v>625.75</v>
      </c>
      <c r="D108" s="74">
        <f t="shared" si="61"/>
        <v>181</v>
      </c>
      <c r="E108" s="99">
        <f t="shared" si="72"/>
        <v>168.75</v>
      </c>
      <c r="F108" s="74">
        <v>111.69315068799996</v>
      </c>
      <c r="G108" s="81">
        <f t="shared" si="73"/>
        <v>113.68767123599996</v>
      </c>
      <c r="H108" s="74">
        <v>111.69315068799996</v>
      </c>
      <c r="I108" s="99">
        <f t="shared" si="74"/>
        <v>113.68767123599996</v>
      </c>
      <c r="J108" s="74">
        <f t="shared" si="62"/>
        <v>655</v>
      </c>
      <c r="K108" s="81">
        <f t="shared" si="75"/>
        <v>625.75</v>
      </c>
      <c r="L108" s="74">
        <f t="shared" si="63"/>
        <v>181</v>
      </c>
      <c r="M108" s="99">
        <f t="shared" si="76"/>
        <v>168.75</v>
      </c>
      <c r="N108" s="74">
        <f t="shared" si="64"/>
        <v>655</v>
      </c>
      <c r="O108" s="81">
        <f t="shared" si="77"/>
        <v>625.75</v>
      </c>
      <c r="P108" s="74">
        <f t="shared" si="65"/>
        <v>181</v>
      </c>
      <c r="Q108" s="99">
        <f t="shared" si="78"/>
        <v>168.75</v>
      </c>
      <c r="R108" s="74">
        <v>112</v>
      </c>
      <c r="S108" s="81">
        <f t="shared" si="79"/>
        <v>114</v>
      </c>
      <c r="T108" s="74">
        <v>48</v>
      </c>
      <c r="U108" s="99">
        <f t="shared" si="80"/>
        <v>52.25</v>
      </c>
      <c r="V108" s="74">
        <v>543</v>
      </c>
      <c r="W108" s="81">
        <f t="shared" si="81"/>
        <v>511.75</v>
      </c>
      <c r="X108" s="74">
        <v>133</v>
      </c>
      <c r="Y108" s="99">
        <f t="shared" si="82"/>
        <v>116.5</v>
      </c>
      <c r="Z108" s="74">
        <v>0</v>
      </c>
      <c r="AA108" s="81">
        <f t="shared" si="83"/>
        <v>0</v>
      </c>
      <c r="AB108" s="74">
        <v>0</v>
      </c>
      <c r="AC108" s="99">
        <f t="shared" si="84"/>
        <v>0</v>
      </c>
      <c r="AD108" s="105">
        <v>0</v>
      </c>
      <c r="AE108" s="81">
        <f t="shared" si="85"/>
        <v>0</v>
      </c>
      <c r="AF108" s="105">
        <v>0</v>
      </c>
      <c r="AG108" s="99">
        <f t="shared" si="86"/>
        <v>0</v>
      </c>
      <c r="AH108" s="74">
        <v>0</v>
      </c>
      <c r="AI108" s="81">
        <f t="shared" si="87"/>
        <v>0</v>
      </c>
      <c r="AJ108" s="74">
        <v>0</v>
      </c>
      <c r="AK108" s="99">
        <f t="shared" si="88"/>
        <v>0</v>
      </c>
      <c r="AL108" s="74">
        <f t="shared" si="66"/>
        <v>55</v>
      </c>
      <c r="AM108" s="75">
        <f t="shared" ref="AM108:AM110" si="102">AVERAGE(AL102:AL108)</f>
        <v>66.714285714285708</v>
      </c>
      <c r="AN108" s="74">
        <f t="shared" si="67"/>
        <v>9</v>
      </c>
      <c r="AO108" s="75">
        <f t="shared" si="89"/>
        <v>10.142857142857142</v>
      </c>
      <c r="AP108" s="74">
        <f t="shared" si="68"/>
        <v>33</v>
      </c>
      <c r="AQ108" s="75">
        <f t="shared" si="90"/>
        <v>27.714285714285715</v>
      </c>
      <c r="AR108" s="74">
        <f t="shared" si="69"/>
        <v>15</v>
      </c>
      <c r="AS108" s="75">
        <f t="shared" si="91"/>
        <v>13.142857142857142</v>
      </c>
      <c r="AT108" s="83">
        <f t="shared" si="56"/>
        <v>0.49107142857142855</v>
      </c>
      <c r="AU108" s="83">
        <f t="shared" si="57"/>
        <v>8.0357142857142863E-2</v>
      </c>
      <c r="AV108" s="83">
        <f t="shared" si="58"/>
        <v>0.29464285714285715</v>
      </c>
      <c r="AW108" s="88">
        <f t="shared" si="59"/>
        <v>0.13392857142857142</v>
      </c>
      <c r="AX108" s="83">
        <f t="shared" si="101"/>
        <v>0.56388322988610784</v>
      </c>
      <c r="AY108" s="83">
        <f t="shared" si="101"/>
        <v>8.7726938409249278E-2</v>
      </c>
      <c r="AZ108" s="83">
        <f t="shared" si="101"/>
        <v>0.23645914016587835</v>
      </c>
      <c r="BA108" s="88">
        <f t="shared" si="101"/>
        <v>0.11193069153876453</v>
      </c>
      <c r="BB108" s="74">
        <v>0</v>
      </c>
      <c r="BC108" s="75">
        <f t="shared" si="91"/>
        <v>0</v>
      </c>
      <c r="BD108" s="74">
        <v>0</v>
      </c>
      <c r="BE108" s="75">
        <f t="shared" si="92"/>
        <v>0</v>
      </c>
      <c r="BF108" s="74">
        <v>0</v>
      </c>
      <c r="BG108" s="75">
        <f t="shared" si="93"/>
        <v>0</v>
      </c>
      <c r="BH108" s="74">
        <v>0</v>
      </c>
      <c r="BI108" s="75">
        <f t="shared" si="94"/>
        <v>0</v>
      </c>
      <c r="BJ108" s="74">
        <v>55</v>
      </c>
      <c r="BK108" s="75">
        <f t="shared" si="95"/>
        <v>66.714285714285708</v>
      </c>
      <c r="BL108" s="74">
        <v>9</v>
      </c>
      <c r="BM108" s="75">
        <f t="shared" si="96"/>
        <v>10.142857142857142</v>
      </c>
      <c r="BN108" s="74">
        <v>33</v>
      </c>
      <c r="BO108" s="75">
        <f t="shared" si="97"/>
        <v>27.714285714285715</v>
      </c>
      <c r="BP108" s="74">
        <v>15</v>
      </c>
      <c r="BQ108" s="75">
        <f t="shared" si="98"/>
        <v>13.142857142857142</v>
      </c>
    </row>
    <row r="109" spans="1:69" x14ac:dyDescent="0.25">
      <c r="A109" s="85">
        <f t="shared" si="70"/>
        <v>45877</v>
      </c>
      <c r="B109" s="74">
        <f t="shared" si="60"/>
        <v>542</v>
      </c>
      <c r="C109" s="81">
        <f t="shared" si="71"/>
        <v>592.25</v>
      </c>
      <c r="D109" s="74">
        <f t="shared" si="61"/>
        <v>76</v>
      </c>
      <c r="E109" s="99">
        <f t="shared" si="72"/>
        <v>138.75</v>
      </c>
      <c r="F109" s="74">
        <v>105.70958904399996</v>
      </c>
      <c r="G109" s="81">
        <f t="shared" si="73"/>
        <v>110.19726027699994</v>
      </c>
      <c r="H109" s="74">
        <v>105.70958904399996</v>
      </c>
      <c r="I109" s="99">
        <f t="shared" si="74"/>
        <v>110.19726027699994</v>
      </c>
      <c r="J109" s="74">
        <f t="shared" si="62"/>
        <v>542</v>
      </c>
      <c r="K109" s="81">
        <f t="shared" si="75"/>
        <v>592.25</v>
      </c>
      <c r="L109" s="74">
        <f t="shared" si="63"/>
        <v>76</v>
      </c>
      <c r="M109" s="99">
        <f t="shared" si="76"/>
        <v>138.75</v>
      </c>
      <c r="N109" s="74">
        <f t="shared" si="64"/>
        <v>542</v>
      </c>
      <c r="O109" s="81">
        <f t="shared" si="77"/>
        <v>592.25</v>
      </c>
      <c r="P109" s="74">
        <f t="shared" si="65"/>
        <v>76</v>
      </c>
      <c r="Q109" s="99">
        <f t="shared" si="78"/>
        <v>138.75</v>
      </c>
      <c r="R109" s="74">
        <v>106</v>
      </c>
      <c r="S109" s="81">
        <f t="shared" si="79"/>
        <v>110.5</v>
      </c>
      <c r="T109" s="74">
        <v>27</v>
      </c>
      <c r="U109" s="99">
        <f t="shared" si="80"/>
        <v>41.25</v>
      </c>
      <c r="V109" s="74">
        <v>436</v>
      </c>
      <c r="W109" s="81">
        <f t="shared" si="81"/>
        <v>481.75</v>
      </c>
      <c r="X109" s="74">
        <v>49</v>
      </c>
      <c r="Y109" s="99">
        <f t="shared" si="82"/>
        <v>97.5</v>
      </c>
      <c r="Z109" s="74">
        <v>0</v>
      </c>
      <c r="AA109" s="81">
        <f t="shared" si="83"/>
        <v>0</v>
      </c>
      <c r="AB109" s="74">
        <v>0</v>
      </c>
      <c r="AC109" s="99">
        <f t="shared" si="84"/>
        <v>0</v>
      </c>
      <c r="AD109" s="105">
        <v>0</v>
      </c>
      <c r="AE109" s="81">
        <f t="shared" si="85"/>
        <v>0</v>
      </c>
      <c r="AF109" s="105">
        <v>0</v>
      </c>
      <c r="AG109" s="99">
        <f t="shared" si="86"/>
        <v>0</v>
      </c>
      <c r="AH109" s="74">
        <v>0</v>
      </c>
      <c r="AI109" s="81">
        <f t="shared" si="87"/>
        <v>0</v>
      </c>
      <c r="AJ109" s="74">
        <v>0</v>
      </c>
      <c r="AK109" s="99">
        <f t="shared" si="88"/>
        <v>0</v>
      </c>
      <c r="AL109" s="74">
        <f t="shared" si="66"/>
        <v>56</v>
      </c>
      <c r="AM109" s="75">
        <f t="shared" si="102"/>
        <v>65.142857142857139</v>
      </c>
      <c r="AN109" s="74">
        <f t="shared" si="67"/>
        <v>7</v>
      </c>
      <c r="AO109" s="75">
        <f t="shared" si="89"/>
        <v>9.7142857142857135</v>
      </c>
      <c r="AP109" s="74">
        <f t="shared" si="68"/>
        <v>26</v>
      </c>
      <c r="AQ109" s="75">
        <f t="shared" si="90"/>
        <v>27.714285714285715</v>
      </c>
      <c r="AR109" s="74">
        <f t="shared" si="69"/>
        <v>17</v>
      </c>
      <c r="AS109" s="75">
        <f t="shared" si="91"/>
        <v>13.714285714285714</v>
      </c>
      <c r="AT109" s="83">
        <f t="shared" si="56"/>
        <v>0.52830188679245282</v>
      </c>
      <c r="AU109" s="83">
        <f t="shared" si="57"/>
        <v>6.6037735849056603E-2</v>
      </c>
      <c r="AV109" s="83">
        <f t="shared" si="58"/>
        <v>0.24528301886792453</v>
      </c>
      <c r="AW109" s="88">
        <f t="shared" si="59"/>
        <v>0.16037735849056603</v>
      </c>
      <c r="AX109" s="83">
        <f t="shared" ref="AX109:BA110" si="103">AVERAGE(AT103:AT109)</f>
        <v>0.55684261272837943</v>
      </c>
      <c r="AY109" s="83">
        <f t="shared" si="103"/>
        <v>8.4845629737439615E-2</v>
      </c>
      <c r="AZ109" s="83">
        <f t="shared" si="103"/>
        <v>0.23947986699922716</v>
      </c>
      <c r="BA109" s="88">
        <f t="shared" si="103"/>
        <v>0.11883189053495377</v>
      </c>
      <c r="BB109" s="74">
        <v>0</v>
      </c>
      <c r="BC109" s="75">
        <f t="shared" si="91"/>
        <v>0</v>
      </c>
      <c r="BD109" s="74">
        <v>0</v>
      </c>
      <c r="BE109" s="75">
        <f t="shared" si="92"/>
        <v>0</v>
      </c>
      <c r="BF109" s="74">
        <v>0</v>
      </c>
      <c r="BG109" s="75">
        <f t="shared" si="93"/>
        <v>0</v>
      </c>
      <c r="BH109" s="74">
        <v>0</v>
      </c>
      <c r="BI109" s="75">
        <f t="shared" si="94"/>
        <v>0</v>
      </c>
      <c r="BJ109" s="74">
        <v>56</v>
      </c>
      <c r="BK109" s="75">
        <f t="shared" si="95"/>
        <v>65.142857142857139</v>
      </c>
      <c r="BL109" s="74">
        <v>7</v>
      </c>
      <c r="BM109" s="75">
        <f t="shared" si="96"/>
        <v>9.7142857142857135</v>
      </c>
      <c r="BN109" s="74">
        <v>26</v>
      </c>
      <c r="BO109" s="75">
        <f t="shared" si="97"/>
        <v>27.714285714285715</v>
      </c>
      <c r="BP109" s="74">
        <v>17</v>
      </c>
      <c r="BQ109" s="75">
        <f t="shared" si="98"/>
        <v>13.714285714285714</v>
      </c>
    </row>
    <row r="110" spans="1:69" x14ac:dyDescent="0.25">
      <c r="A110" s="85">
        <f t="shared" si="70"/>
        <v>45884</v>
      </c>
      <c r="B110" s="74">
        <f t="shared" si="60"/>
        <v>562</v>
      </c>
      <c r="C110" s="81">
        <f t="shared" si="71"/>
        <v>586.75</v>
      </c>
      <c r="D110" s="74">
        <f t="shared" si="61"/>
        <v>181</v>
      </c>
      <c r="E110" s="99">
        <f t="shared" si="72"/>
        <v>144.75</v>
      </c>
      <c r="F110" s="74">
        <v>109.69863013999995</v>
      </c>
      <c r="G110" s="81">
        <f t="shared" si="73"/>
        <v>110.69589041399996</v>
      </c>
      <c r="H110" s="74">
        <v>109.69863013999995</v>
      </c>
      <c r="I110" s="99">
        <f t="shared" si="74"/>
        <v>110.69589041399996</v>
      </c>
      <c r="J110" s="74">
        <f t="shared" si="62"/>
        <v>562</v>
      </c>
      <c r="K110" s="81">
        <f t="shared" si="75"/>
        <v>586.75</v>
      </c>
      <c r="L110" s="74">
        <f t="shared" si="63"/>
        <v>181</v>
      </c>
      <c r="M110" s="99">
        <f t="shared" si="76"/>
        <v>144.75</v>
      </c>
      <c r="N110" s="74">
        <f t="shared" si="64"/>
        <v>562</v>
      </c>
      <c r="O110" s="81">
        <f t="shared" si="77"/>
        <v>586.75</v>
      </c>
      <c r="P110" s="74">
        <f t="shared" si="65"/>
        <v>181</v>
      </c>
      <c r="Q110" s="99">
        <f t="shared" si="78"/>
        <v>144.75</v>
      </c>
      <c r="R110" s="74">
        <v>110</v>
      </c>
      <c r="S110" s="81">
        <f t="shared" si="79"/>
        <v>111</v>
      </c>
      <c r="T110" s="74">
        <v>54</v>
      </c>
      <c r="U110" s="99">
        <f t="shared" si="80"/>
        <v>43.25</v>
      </c>
      <c r="V110" s="74">
        <v>452</v>
      </c>
      <c r="W110" s="81">
        <f t="shared" si="81"/>
        <v>475.75</v>
      </c>
      <c r="X110" s="74">
        <v>127</v>
      </c>
      <c r="Y110" s="99">
        <f t="shared" si="82"/>
        <v>101.5</v>
      </c>
      <c r="Z110" s="74">
        <v>0</v>
      </c>
      <c r="AA110" s="81">
        <f t="shared" si="83"/>
        <v>0</v>
      </c>
      <c r="AB110" s="74">
        <v>0</v>
      </c>
      <c r="AC110" s="99">
        <f t="shared" si="84"/>
        <v>0</v>
      </c>
      <c r="AD110" s="105">
        <v>0</v>
      </c>
      <c r="AE110" s="81">
        <f t="shared" si="85"/>
        <v>0</v>
      </c>
      <c r="AF110" s="105">
        <v>0</v>
      </c>
      <c r="AG110" s="99">
        <f t="shared" si="86"/>
        <v>0</v>
      </c>
      <c r="AH110" s="74">
        <v>0</v>
      </c>
      <c r="AI110" s="81">
        <f t="shared" si="87"/>
        <v>0</v>
      </c>
      <c r="AJ110" s="74">
        <v>0</v>
      </c>
      <c r="AK110" s="99">
        <f t="shared" si="88"/>
        <v>0</v>
      </c>
      <c r="AL110" s="74">
        <f t="shared" si="66"/>
        <v>64</v>
      </c>
      <c r="AM110" s="75">
        <f t="shared" si="102"/>
        <v>64.714285714285708</v>
      </c>
      <c r="AN110" s="74">
        <f t="shared" si="67"/>
        <v>11</v>
      </c>
      <c r="AO110" s="75">
        <f t="shared" si="89"/>
        <v>9.7142857142857135</v>
      </c>
      <c r="AP110" s="74">
        <f t="shared" si="68"/>
        <v>24</v>
      </c>
      <c r="AQ110" s="75">
        <f t="shared" si="90"/>
        <v>28</v>
      </c>
      <c r="AR110" s="74">
        <f t="shared" si="69"/>
        <v>11</v>
      </c>
      <c r="AS110" s="75">
        <f t="shared" si="91"/>
        <v>13.428571428571429</v>
      </c>
      <c r="AT110" s="83">
        <f t="shared" si="56"/>
        <v>0.58181818181818179</v>
      </c>
      <c r="AU110" s="83">
        <f t="shared" si="57"/>
        <v>0.1</v>
      </c>
      <c r="AV110" s="83">
        <f t="shared" si="58"/>
        <v>0.21818181818181817</v>
      </c>
      <c r="AW110" s="88">
        <f t="shared" si="59"/>
        <v>0.1</v>
      </c>
      <c r="AX110" s="83">
        <f t="shared" si="103"/>
        <v>0.55525658813350531</v>
      </c>
      <c r="AY110" s="83">
        <f t="shared" si="103"/>
        <v>8.5224896488387797E-2</v>
      </c>
      <c r="AZ110" s="83">
        <f t="shared" si="103"/>
        <v>0.24283580309852609</v>
      </c>
      <c r="BA110" s="88">
        <f t="shared" si="103"/>
        <v>0.11668271227958081</v>
      </c>
      <c r="BB110" s="74">
        <v>0</v>
      </c>
      <c r="BC110" s="75">
        <f t="shared" si="91"/>
        <v>0</v>
      </c>
      <c r="BD110" s="74">
        <v>0</v>
      </c>
      <c r="BE110" s="75">
        <f t="shared" si="92"/>
        <v>0</v>
      </c>
      <c r="BF110" s="74">
        <v>0</v>
      </c>
      <c r="BG110" s="75">
        <f t="shared" si="93"/>
        <v>0</v>
      </c>
      <c r="BH110" s="74">
        <v>0</v>
      </c>
      <c r="BI110" s="75">
        <f t="shared" si="94"/>
        <v>0</v>
      </c>
      <c r="BJ110" s="74">
        <v>64</v>
      </c>
      <c r="BK110" s="75">
        <f t="shared" si="95"/>
        <v>64.714285714285708</v>
      </c>
      <c r="BL110" s="74">
        <v>11</v>
      </c>
      <c r="BM110" s="75">
        <f t="shared" si="96"/>
        <v>9.7142857142857135</v>
      </c>
      <c r="BN110" s="74">
        <v>24</v>
      </c>
      <c r="BO110" s="75">
        <f t="shared" si="97"/>
        <v>28</v>
      </c>
      <c r="BP110" s="74">
        <v>11</v>
      </c>
      <c r="BQ110" s="75">
        <f t="shared" si="98"/>
        <v>13.428571428571429</v>
      </c>
    </row>
  </sheetData>
  <phoneticPr fontId="13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FF23C-5C54-4E0A-9412-C4EC01A4B746}">
  <sheetPr codeName="Sheet22"/>
  <dimension ref="A1:CR109"/>
  <sheetViews>
    <sheetView zoomScale="70" zoomScaleNormal="70" workbookViewId="0">
      <selection activeCell="B16" sqref="B16"/>
    </sheetView>
  </sheetViews>
  <sheetFormatPr defaultRowHeight="15" x14ac:dyDescent="0.25"/>
  <cols>
    <col min="1" max="1" width="17.85546875" bestFit="1" customWidth="1"/>
    <col min="2" max="40" width="12.140625" style="75" customWidth="1"/>
    <col min="41" max="41" width="9.140625" customWidth="1"/>
  </cols>
  <sheetData>
    <row r="1" spans="1:96" x14ac:dyDescent="0.25">
      <c r="B1" s="75" t="s">
        <v>1</v>
      </c>
      <c r="C1" s="75" t="s">
        <v>75</v>
      </c>
      <c r="F1" s="75" t="s">
        <v>185</v>
      </c>
      <c r="G1" s="75" t="s">
        <v>1</v>
      </c>
      <c r="H1" s="75" t="s">
        <v>75</v>
      </c>
      <c r="K1" s="75" t="s">
        <v>72</v>
      </c>
      <c r="L1" s="75" t="s">
        <v>75</v>
      </c>
      <c r="O1" s="75" t="s">
        <v>186</v>
      </c>
      <c r="P1" s="75" t="s">
        <v>72</v>
      </c>
      <c r="Q1" s="75" t="s">
        <v>75</v>
      </c>
      <c r="T1" s="75" t="s">
        <v>186</v>
      </c>
      <c r="U1" s="75" t="s">
        <v>353</v>
      </c>
      <c r="V1" s="75" t="s">
        <v>75</v>
      </c>
      <c r="Y1" s="75" t="s">
        <v>354</v>
      </c>
      <c r="Z1" s="75" t="s">
        <v>73</v>
      </c>
      <c r="AA1" s="75" t="s">
        <v>75</v>
      </c>
      <c r="AE1" s="75" t="s">
        <v>73</v>
      </c>
      <c r="AF1" s="75" t="s">
        <v>75</v>
      </c>
      <c r="AJ1" s="75" t="s">
        <v>73</v>
      </c>
      <c r="AK1" s="75" t="s">
        <v>75</v>
      </c>
      <c r="AN1" s="75" t="s">
        <v>373</v>
      </c>
      <c r="AO1" t="s">
        <v>78</v>
      </c>
      <c r="AS1" t="s">
        <v>79</v>
      </c>
      <c r="AW1" t="s">
        <v>80</v>
      </c>
      <c r="BA1" t="s">
        <v>81</v>
      </c>
      <c r="BM1" t="s">
        <v>78</v>
      </c>
      <c r="BQ1" t="s">
        <v>79</v>
      </c>
      <c r="BU1" t="s">
        <v>80</v>
      </c>
      <c r="BY1" t="s">
        <v>81</v>
      </c>
      <c r="CC1" t="s">
        <v>78</v>
      </c>
      <c r="CG1" t="s">
        <v>79</v>
      </c>
      <c r="CK1" t="s">
        <v>80</v>
      </c>
      <c r="CO1" t="s">
        <v>81</v>
      </c>
    </row>
    <row r="2" spans="1:96" x14ac:dyDescent="0.25">
      <c r="B2" s="77" t="s">
        <v>84</v>
      </c>
      <c r="C2" s="89"/>
      <c r="D2" s="89"/>
      <c r="E2" s="89"/>
      <c r="F2" s="89"/>
      <c r="G2" s="77" t="s">
        <v>84</v>
      </c>
      <c r="H2" s="89"/>
      <c r="I2" s="89"/>
      <c r="J2" s="89"/>
      <c r="K2" s="77" t="s">
        <v>83</v>
      </c>
      <c r="L2" s="89"/>
      <c r="M2" s="89"/>
      <c r="N2" s="89"/>
      <c r="O2" s="89"/>
      <c r="P2" s="77" t="s">
        <v>83</v>
      </c>
      <c r="Q2" s="89"/>
      <c r="R2" s="89"/>
      <c r="S2" s="89"/>
      <c r="T2" s="89"/>
      <c r="U2" s="77" t="s">
        <v>83</v>
      </c>
      <c r="V2" s="89"/>
      <c r="W2" s="89"/>
      <c r="X2" s="89"/>
      <c r="Y2" s="89"/>
      <c r="Z2" s="77" t="s">
        <v>84</v>
      </c>
      <c r="AA2" s="89"/>
      <c r="AB2" s="89"/>
      <c r="AC2" s="89"/>
      <c r="AD2" s="89"/>
      <c r="AE2" s="77" t="s">
        <v>83</v>
      </c>
      <c r="AF2" s="89"/>
      <c r="AG2" s="89"/>
      <c r="AH2" s="89"/>
      <c r="AI2" s="89"/>
      <c r="AJ2" s="77" t="s">
        <v>178</v>
      </c>
      <c r="AK2" s="89"/>
      <c r="AL2" s="89"/>
      <c r="AM2" s="89"/>
      <c r="AN2" s="89"/>
      <c r="BM2" t="s">
        <v>73</v>
      </c>
      <c r="BQ2" t="s">
        <v>73</v>
      </c>
      <c r="BU2" t="s">
        <v>73</v>
      </c>
      <c r="BY2" t="s">
        <v>73</v>
      </c>
      <c r="CC2" t="s">
        <v>72</v>
      </c>
      <c r="CG2" t="s">
        <v>72</v>
      </c>
      <c r="CK2" t="s">
        <v>72</v>
      </c>
      <c r="CO2" t="s">
        <v>72</v>
      </c>
    </row>
    <row r="3" spans="1:96" x14ac:dyDescent="0.25">
      <c r="B3" s="75" t="s">
        <v>764</v>
      </c>
      <c r="G3" s="75" t="s">
        <v>111</v>
      </c>
      <c r="K3" s="75" t="s">
        <v>120</v>
      </c>
      <c r="L3" s="75" t="s">
        <v>674</v>
      </c>
      <c r="M3" s="75" t="s">
        <v>121</v>
      </c>
      <c r="N3" s="75" t="s">
        <v>675</v>
      </c>
      <c r="O3" s="75" t="s">
        <v>122</v>
      </c>
      <c r="U3" s="75" t="s">
        <v>374</v>
      </c>
      <c r="V3" s="75" t="s">
        <v>676</v>
      </c>
      <c r="W3" s="75" t="s">
        <v>375</v>
      </c>
      <c r="X3" s="75" t="s">
        <v>677</v>
      </c>
      <c r="Y3" s="75" t="s">
        <v>376</v>
      </c>
      <c r="Z3" s="75" t="s">
        <v>111</v>
      </c>
      <c r="AE3" s="75" t="s">
        <v>112</v>
      </c>
      <c r="AF3" s="75" t="s">
        <v>678</v>
      </c>
      <c r="AG3" s="75" t="s">
        <v>113</v>
      </c>
      <c r="AH3" s="75" t="s">
        <v>679</v>
      </c>
      <c r="AI3" s="75" t="s">
        <v>114</v>
      </c>
      <c r="AJ3" s="75" t="s">
        <v>112</v>
      </c>
      <c r="AK3" s="75" t="s">
        <v>678</v>
      </c>
      <c r="AL3" s="75" t="s">
        <v>113</v>
      </c>
      <c r="AM3" s="75" t="s">
        <v>679</v>
      </c>
      <c r="AN3" s="75" t="s">
        <v>114</v>
      </c>
      <c r="AO3" t="str">
        <f>"NWP ("&amp;AO1&amp;")"</f>
        <v>NWP (Standard)</v>
      </c>
      <c r="AP3" t="str">
        <f>"NWP - 4 Week Avg ("&amp;AO1&amp;")"</f>
        <v>NWP - 4 Week Avg (Standard)</v>
      </c>
      <c r="AQ3" t="str">
        <f>"Average NWP ("&amp;AO1&amp;")"</f>
        <v>Average NWP (Standard)</v>
      </c>
      <c r="AR3" t="str">
        <f>"Average NWP - 4 Week Avg ("&amp;AO1&amp;")"</f>
        <v>Average NWP - 4 Week Avg (Standard)</v>
      </c>
      <c r="AS3" t="str">
        <f>"NWP ("&amp;AS1&amp;")"</f>
        <v>NWP (Plus)</v>
      </c>
      <c r="AT3" t="str">
        <f>"NWP - 4 Week Avg ("&amp;AS1&amp;")"</f>
        <v>NWP - 4 Week Avg (Plus)</v>
      </c>
      <c r="AU3" t="str">
        <f>"Average NWP ("&amp;AS1&amp;")"</f>
        <v>Average NWP (Plus)</v>
      </c>
      <c r="AV3" t="str">
        <f>"Average NWP - 4 Week Avg ("&amp;AS1&amp;")"</f>
        <v>Average NWP - 4 Week Avg (Plus)</v>
      </c>
      <c r="AW3" t="str">
        <f>"NWP ("&amp;AW1&amp;")"</f>
        <v>NWP (Essentials)</v>
      </c>
      <c r="AX3" t="str">
        <f>"NWP - 4 Week Avg ("&amp;AW1&amp;")"</f>
        <v>NWP - 4 Week Avg (Essentials)</v>
      </c>
      <c r="AY3" t="str">
        <f>"Average NWP ("&amp;AW1&amp;")"</f>
        <v>Average NWP (Essentials)</v>
      </c>
      <c r="AZ3" t="str">
        <f>"Average NWP - 4 Week Avg ("&amp;AW1&amp;")"</f>
        <v>Average NWP - 4 Week Avg (Essentials)</v>
      </c>
      <c r="BA3" t="str">
        <f>"NWP ("&amp;BA1&amp;")"</f>
        <v>NWP (Premium)</v>
      </c>
      <c r="BB3" t="str">
        <f>"NWP - 4 Week Avg ("&amp;BA1&amp;")"</f>
        <v>NWP - 4 Week Avg (Premium)</v>
      </c>
      <c r="BC3" t="str">
        <f>"Average NWP ("&amp;BA1&amp;")"</f>
        <v>Average NWP (Premium)</v>
      </c>
      <c r="BD3" t="str">
        <f>"Average NWP - 4 Week Avg ("&amp;BA1&amp;")"</f>
        <v>Average NWP - 4 Week Avg (Premium)</v>
      </c>
      <c r="BM3" t="str">
        <f>"NWP ("&amp;BM1&amp;" - Monthly)"</f>
        <v>NWP (Standard - Monthly)</v>
      </c>
      <c r="BN3" t="str">
        <f>"NWP - 4 Week Avg ("&amp;BM1&amp;" - Monthly)"</f>
        <v>NWP - 4 Week Avg (Standard - Monthly)</v>
      </c>
      <c r="BO3" t="str">
        <f>"Average NWP ("&amp;BM1&amp;" - Monthly)"</f>
        <v>Average NWP (Standard - Monthly)</v>
      </c>
      <c r="BP3" t="str">
        <f>"Average NWP - 4 Week Avg ("&amp;BM1&amp;" - Monthly)"</f>
        <v>Average NWP - 4 Week Avg (Standard - Monthly)</v>
      </c>
      <c r="BQ3" t="str">
        <f>"NWP ("&amp;BQ1&amp;" - Monthly)"</f>
        <v>NWP (Plus - Monthly)</v>
      </c>
      <c r="BR3" t="str">
        <f>"NWP - 4 Week Avg ("&amp;BQ1&amp;" - Monthly)"</f>
        <v>NWP - 4 Week Avg (Plus - Monthly)</v>
      </c>
      <c r="BS3" t="str">
        <f>"Average NWP ("&amp;BQ1&amp;" - Monthly)"</f>
        <v>Average NWP (Plus - Monthly)</v>
      </c>
      <c r="BT3" t="str">
        <f>"Average NWP - 4 Week Avg ("&amp;BQ1&amp;" - Monthly)"</f>
        <v>Average NWP - 4 Week Avg (Plus - Monthly)</v>
      </c>
      <c r="BU3" t="str">
        <f>"NWP ("&amp;BU1&amp;" - Monthly)"</f>
        <v>NWP (Essentials - Monthly)</v>
      </c>
      <c r="BV3" t="str">
        <f>"NWP - 4 Week Avg ("&amp;BU1&amp;" - Monthly)"</f>
        <v>NWP - 4 Week Avg (Essentials - Monthly)</v>
      </c>
      <c r="BW3" t="str">
        <f>"Average NWP ("&amp;BU1&amp;" - Monthly)"</f>
        <v>Average NWP (Essentials - Monthly)</v>
      </c>
      <c r="BX3" t="str">
        <f>"Average NWP - 4 Week Avg ("&amp;BU1&amp;" - Monthly)"</f>
        <v>Average NWP - 4 Week Avg (Essentials - Monthly)</v>
      </c>
      <c r="BY3" t="str">
        <f>"NWP ("&amp;BY1&amp;" - Monthly)"</f>
        <v>NWP (Premium - Monthly)</v>
      </c>
      <c r="BZ3" t="str">
        <f>"NWP - 4 Week Avg ("&amp;BY1&amp;" - Monthly)"</f>
        <v>NWP - 4 Week Avg (Premium - Monthly)</v>
      </c>
      <c r="CA3" t="str">
        <f>"Average NWP ("&amp;BY1&amp;" - Monthly)"</f>
        <v>Average NWP (Premium - Monthly)</v>
      </c>
      <c r="CB3" t="str">
        <f>"Average NWP - 4 Week Avg ("&amp;BY1&amp;" - Monthly)"</f>
        <v>Average NWP - 4 Week Avg (Premium - Monthly)</v>
      </c>
      <c r="CC3" t="str">
        <f>"NWP ("&amp;CC1&amp;" - Annual)"</f>
        <v>NWP (Standard - Annual)</v>
      </c>
      <c r="CD3" t="str">
        <f>"NWP - 4 Week Avg ("&amp;CC1&amp;" - Annual)"</f>
        <v>NWP - 4 Week Avg (Standard - Annual)</v>
      </c>
      <c r="CE3" t="str">
        <f>"Average NWP ("&amp;CC1&amp;" - Annual)"</f>
        <v>Average NWP (Standard - Annual)</v>
      </c>
      <c r="CF3" t="str">
        <f>"Average NWP - 4 Week Avg ("&amp;CC1&amp;" - Annual)"</f>
        <v>Average NWP - 4 Week Avg (Standard - Annual)</v>
      </c>
      <c r="CG3" t="str">
        <f>"NWP ("&amp;CG1&amp;" - Annual)"</f>
        <v>NWP (Plus - Annual)</v>
      </c>
      <c r="CH3" t="str">
        <f>"NWP - 4 Week Avg ("&amp;CG1&amp;" - Annual)"</f>
        <v>NWP - 4 Week Avg (Plus - Annual)</v>
      </c>
      <c r="CI3" t="str">
        <f>"Average NWP ("&amp;CG1&amp;" - Annual)"</f>
        <v>Average NWP (Plus - Annual)</v>
      </c>
      <c r="CJ3" t="str">
        <f>"Average NWP - 4 Week Avg ("&amp;CG1&amp;" - Annual)"</f>
        <v>Average NWP - 4 Week Avg (Plus - Annual)</v>
      </c>
      <c r="CK3" t="str">
        <f>"NWP ("&amp;CK1&amp;" - Annual)"</f>
        <v>NWP (Essentials - Annual)</v>
      </c>
      <c r="CL3" t="str">
        <f>"NWP - 4 Week Avg ("&amp;CK1&amp;" - Annual)"</f>
        <v>NWP - 4 Week Avg (Essentials - Annual)</v>
      </c>
      <c r="CM3" t="str">
        <f>"Average NWP ("&amp;CK1&amp;" - Annual)"</f>
        <v>Average NWP (Essentials - Annual)</v>
      </c>
      <c r="CN3" t="str">
        <f>"Average NWP - 4 Week Avg ("&amp;CK1&amp;" - Annual)"</f>
        <v>Average NWP - 4 Week Avg (Essentials - Annual)</v>
      </c>
      <c r="CO3" t="str">
        <f>"NWP ("&amp;CO1&amp;" - Annual)"</f>
        <v>NWP (Premium - Annual)</v>
      </c>
      <c r="CP3" t="str">
        <f>"NWP - 4 Week Avg ("&amp;CO1&amp;" - Annual)"</f>
        <v>NWP - 4 Week Avg (Premium - Annual)</v>
      </c>
      <c r="CQ3" t="str">
        <f>"Average NWP ("&amp;CO1&amp;" - Annual)"</f>
        <v>Average NWP (Premium - Annual)</v>
      </c>
      <c r="CR3" t="str">
        <f>"Average NWP - 4 Week Avg ("&amp;CO1&amp;" - Annual)"</f>
        <v>Average NWP - 4 Week Avg (Premium - Annual)</v>
      </c>
    </row>
    <row r="4" spans="1:96" x14ac:dyDescent="0.25">
      <c r="A4" s="80" t="s">
        <v>360</v>
      </c>
      <c r="B4" s="82" t="s">
        <v>115</v>
      </c>
      <c r="C4" s="82" t="s">
        <v>680</v>
      </c>
      <c r="D4" s="82" t="s">
        <v>116</v>
      </c>
      <c r="E4" s="82" t="s">
        <v>681</v>
      </c>
      <c r="F4" s="91" t="s">
        <v>117</v>
      </c>
      <c r="G4" s="82" t="s">
        <v>118</v>
      </c>
      <c r="H4" s="82" t="s">
        <v>682</v>
      </c>
      <c r="I4" s="82" t="s">
        <v>119</v>
      </c>
      <c r="J4" s="91" t="s">
        <v>683</v>
      </c>
      <c r="K4" s="75" t="s">
        <v>120</v>
      </c>
      <c r="L4" s="75" t="s">
        <v>674</v>
      </c>
      <c r="M4" s="75" t="s">
        <v>121</v>
      </c>
      <c r="N4" s="75" t="s">
        <v>675</v>
      </c>
      <c r="O4" s="91" t="s">
        <v>122</v>
      </c>
      <c r="P4" s="82" t="s">
        <v>377</v>
      </c>
      <c r="Q4" s="82" t="s">
        <v>684</v>
      </c>
      <c r="R4" s="82" t="s">
        <v>378</v>
      </c>
      <c r="S4" s="82" t="s">
        <v>685</v>
      </c>
      <c r="T4" s="91" t="s">
        <v>379</v>
      </c>
      <c r="U4" s="75" t="s">
        <v>374</v>
      </c>
      <c r="V4" s="75" t="s">
        <v>676</v>
      </c>
      <c r="W4" s="75" t="s">
        <v>375</v>
      </c>
      <c r="X4" s="75" t="s">
        <v>677</v>
      </c>
      <c r="Y4" s="75" t="s">
        <v>376</v>
      </c>
      <c r="Z4" s="82" t="s">
        <v>112</v>
      </c>
      <c r="AA4" s="82" t="s">
        <v>678</v>
      </c>
      <c r="AB4" s="82" t="s">
        <v>113</v>
      </c>
      <c r="AC4" s="82" t="s">
        <v>679</v>
      </c>
      <c r="AD4" s="91" t="s">
        <v>114</v>
      </c>
      <c r="AE4" s="82" t="s">
        <v>123</v>
      </c>
      <c r="AF4" s="82" t="s">
        <v>686</v>
      </c>
      <c r="AG4" s="82" t="s">
        <v>124</v>
      </c>
      <c r="AH4" s="82" t="s">
        <v>687</v>
      </c>
      <c r="AI4" s="91" t="s">
        <v>125</v>
      </c>
      <c r="AJ4" s="82" t="s">
        <v>126</v>
      </c>
      <c r="AK4" s="82" t="s">
        <v>688</v>
      </c>
      <c r="AL4" s="82" t="s">
        <v>127</v>
      </c>
      <c r="AM4" s="82" t="s">
        <v>689</v>
      </c>
      <c r="AN4" s="91" t="s">
        <v>128</v>
      </c>
      <c r="AO4" s="82" t="s">
        <v>129</v>
      </c>
      <c r="AP4" s="82" t="s">
        <v>690</v>
      </c>
      <c r="AQ4" s="82" t="s">
        <v>130</v>
      </c>
      <c r="AR4" s="82" t="s">
        <v>691</v>
      </c>
      <c r="AS4" s="82" t="s">
        <v>131</v>
      </c>
      <c r="AT4" s="82" t="s">
        <v>692</v>
      </c>
      <c r="AU4" s="82" t="s">
        <v>132</v>
      </c>
      <c r="AV4" s="82" t="s">
        <v>693</v>
      </c>
      <c r="AW4" s="82" t="s">
        <v>133</v>
      </c>
      <c r="AX4" s="82" t="s">
        <v>694</v>
      </c>
      <c r="AY4" s="82" t="s">
        <v>134</v>
      </c>
      <c r="AZ4" s="82" t="s">
        <v>695</v>
      </c>
      <c r="BA4" s="82" t="s">
        <v>135</v>
      </c>
      <c r="BB4" s="82" t="s">
        <v>696</v>
      </c>
      <c r="BC4" s="82" t="s">
        <v>136</v>
      </c>
      <c r="BD4" s="82" t="s">
        <v>697</v>
      </c>
      <c r="BE4" s="82" t="s">
        <v>97</v>
      </c>
      <c r="BF4" s="82" t="s">
        <v>98</v>
      </c>
      <c r="BG4" s="82" t="s">
        <v>99</v>
      </c>
      <c r="BH4" s="82" t="s">
        <v>100</v>
      </c>
      <c r="BI4" t="s">
        <v>714</v>
      </c>
      <c r="BJ4" t="s">
        <v>715</v>
      </c>
      <c r="BK4" t="s">
        <v>716</v>
      </c>
      <c r="BL4" s="82" t="s">
        <v>717</v>
      </c>
      <c r="BM4" t="s">
        <v>137</v>
      </c>
      <c r="BN4" s="82" t="s">
        <v>698</v>
      </c>
      <c r="BO4" s="82" t="s">
        <v>138</v>
      </c>
      <c r="BP4" s="82" t="s">
        <v>699</v>
      </c>
      <c r="BQ4" s="82" t="s">
        <v>139</v>
      </c>
      <c r="BR4" s="82" t="s">
        <v>700</v>
      </c>
      <c r="BS4" s="82" t="s">
        <v>140</v>
      </c>
      <c r="BT4" s="82" t="s">
        <v>701</v>
      </c>
      <c r="BU4" s="82" t="s">
        <v>141</v>
      </c>
      <c r="BV4" s="82" t="s">
        <v>702</v>
      </c>
      <c r="BW4" s="82" t="s">
        <v>142</v>
      </c>
      <c r="BX4" s="82" t="s">
        <v>703</v>
      </c>
      <c r="BY4" s="82" t="s">
        <v>143</v>
      </c>
      <c r="BZ4" s="82" t="s">
        <v>704</v>
      </c>
      <c r="CA4" s="82" t="s">
        <v>144</v>
      </c>
      <c r="CB4" s="82" t="s">
        <v>705</v>
      </c>
      <c r="CC4" s="82" t="s">
        <v>145</v>
      </c>
      <c r="CD4" s="82" t="s">
        <v>706</v>
      </c>
      <c r="CE4" s="82" t="s">
        <v>146</v>
      </c>
      <c r="CF4" s="82" t="s">
        <v>707</v>
      </c>
      <c r="CG4" s="82" t="s">
        <v>147</v>
      </c>
      <c r="CH4" s="82" t="s">
        <v>708</v>
      </c>
      <c r="CI4" s="82" t="s">
        <v>148</v>
      </c>
      <c r="CJ4" s="82" t="s">
        <v>709</v>
      </c>
      <c r="CK4" s="82" t="s">
        <v>149</v>
      </c>
      <c r="CL4" s="82" t="s">
        <v>710</v>
      </c>
      <c r="CM4" s="82" t="s">
        <v>150</v>
      </c>
      <c r="CN4" s="82" t="s">
        <v>711</v>
      </c>
      <c r="CO4" s="82" t="s">
        <v>151</v>
      </c>
      <c r="CP4" s="82" t="s">
        <v>712</v>
      </c>
      <c r="CQ4" s="82" t="s">
        <v>152</v>
      </c>
      <c r="CR4" s="82" t="s">
        <v>713</v>
      </c>
    </row>
    <row r="5" spans="1:96" x14ac:dyDescent="0.25">
      <c r="A5" s="73">
        <v>45156</v>
      </c>
      <c r="B5" s="74">
        <v>984924.2232148099</v>
      </c>
      <c r="C5" s="74"/>
      <c r="D5" s="74">
        <v>1527.7909121920025</v>
      </c>
      <c r="E5" s="74"/>
      <c r="F5" s="96">
        <f>O5+AN5</f>
        <v>0</v>
      </c>
      <c r="G5" s="75">
        <v>656672.72964324686</v>
      </c>
      <c r="H5" s="74"/>
      <c r="I5" s="75">
        <f>Table5[[#This Row],[Average NWP (Boom)]]</f>
        <v>1527.7909121920025</v>
      </c>
      <c r="J5" s="92"/>
      <c r="K5" s="75">
        <f>P5+U5</f>
        <v>313019.05750031007</v>
      </c>
      <c r="L5" s="74"/>
      <c r="M5" s="75">
        <v>1272.4351930906914</v>
      </c>
      <c r="O5" s="96">
        <f>T5+Y5</f>
        <v>0</v>
      </c>
      <c r="P5" s="74">
        <v>313019.05750031007</v>
      </c>
      <c r="Q5" s="74"/>
      <c r="R5" s="74">
        <v>1272.4351930906914</v>
      </c>
      <c r="T5" s="96">
        <v>0</v>
      </c>
      <c r="U5" s="74">
        <v>0</v>
      </c>
      <c r="V5" s="74"/>
      <c r="W5" s="74">
        <v>0</v>
      </c>
      <c r="Y5" s="96">
        <v>0</v>
      </c>
      <c r="Z5" s="74">
        <v>55992.097142875013</v>
      </c>
      <c r="AA5" s="74"/>
      <c r="AB5" s="74">
        <v>1682.5211459754521</v>
      </c>
      <c r="AD5" s="96" t="e">
        <v>#VALUE!</v>
      </c>
      <c r="AE5" s="74">
        <v>55992.097142875013</v>
      </c>
      <c r="AF5" s="74"/>
      <c r="AG5" s="74">
        <v>137.91156931742614</v>
      </c>
      <c r="AI5" s="96" t="e">
        <v>#VALUE!</v>
      </c>
      <c r="AJ5" s="74">
        <v>671905.16571450012</v>
      </c>
      <c r="AK5" s="74"/>
      <c r="AL5" s="74">
        <v>1682.5211459754526</v>
      </c>
      <c r="AN5" s="96">
        <v>0</v>
      </c>
      <c r="AO5" s="74">
        <f>BM5+CC5</f>
        <v>581951.06142903201</v>
      </c>
      <c r="AP5" s="74"/>
      <c r="AQ5" s="74">
        <v>1445.9883808789994</v>
      </c>
      <c r="AR5" s="92"/>
      <c r="AS5" s="74">
        <f>BQ5+CG5</f>
        <v>157112.52928557599</v>
      </c>
      <c r="AT5" s="74"/>
      <c r="AU5" s="74">
        <v>1705.566831455274</v>
      </c>
      <c r="AV5" s="92"/>
      <c r="AW5" s="74">
        <f>BU5+CK5</f>
        <v>139577.75785726201</v>
      </c>
      <c r="AX5" s="74"/>
      <c r="AY5" s="74">
        <v>1704.8376233157012</v>
      </c>
      <c r="AZ5" s="92"/>
      <c r="BA5" s="74">
        <f>BY5+CO5</f>
        <v>106282.87464293999</v>
      </c>
      <c r="BB5" s="74"/>
      <c r="BC5" s="74">
        <v>1557.8507057711643</v>
      </c>
      <c r="BD5" s="92"/>
      <c r="BE5" s="93">
        <f>AO5/SUM(Table5[[#This Row],[NWP (Standard)]],Table5[[#This Row],[NWP (Plus)]],Table5[[#This Row],[NWP (Essentials)]],Table5[[#This Row],[NWP (Premium)]])</f>
        <v>0.59085871553603742</v>
      </c>
      <c r="BF5" s="93">
        <f>AS5/SUM(Table5[[#This Row],[NWP (Standard)]],Table5[[#This Row],[NWP (Plus)]],Table5[[#This Row],[NWP (Essentials)]],Table5[[#This Row],[NWP (Premium)]])</f>
        <v>0.15951737766460644</v>
      </c>
      <c r="BG5" s="93">
        <f>AW5/SUM(Table5[[#This Row],[NWP (Standard)]],Table5[[#This Row],[NWP (Plus)]],Table5[[#This Row],[NWP (Essentials)]],Table5[[#This Row],[NWP (Premium)]])</f>
        <v>0.14171420964922332</v>
      </c>
      <c r="BH5" s="94">
        <f>BA5/SUM(Table5[[#This Row],[NWP (Standard)]],Table5[[#This Row],[NWP (Plus)]],Table5[[#This Row],[NWP (Essentials)]],Table5[[#This Row],[NWP (Premium)]])</f>
        <v>0.10790969715013285</v>
      </c>
      <c r="BI5" s="93"/>
      <c r="BJ5" s="93"/>
      <c r="BK5" s="93"/>
      <c r="BL5" s="94"/>
      <c r="BM5" s="74">
        <v>395636.72142853204</v>
      </c>
      <c r="BN5" s="74"/>
      <c r="BO5" s="74">
        <v>1602.5126169644452</v>
      </c>
      <c r="BP5" s="92"/>
      <c r="BQ5" s="74">
        <v>94908.385714356002</v>
      </c>
      <c r="BR5" s="74"/>
      <c r="BS5" s="74">
        <v>2097.6128730499308</v>
      </c>
      <c r="BT5" s="92"/>
      <c r="BU5" s="74">
        <v>114891.235714512</v>
      </c>
      <c r="BV5" s="74"/>
      <c r="BW5" s="74">
        <v>1769.7892373350348</v>
      </c>
      <c r="BX5" s="92"/>
      <c r="BY5" s="74">
        <v>66468.822857099993</v>
      </c>
      <c r="BZ5" s="74"/>
      <c r="CA5" s="74">
        <v>1571.5496879895065</v>
      </c>
      <c r="CB5" s="92"/>
      <c r="CC5" s="74">
        <v>186314.3400005</v>
      </c>
      <c r="CD5" s="74"/>
      <c r="CE5" s="74">
        <v>1197.5948092315098</v>
      </c>
      <c r="CF5" s="92"/>
      <c r="CG5" s="74">
        <v>62204.143571219996</v>
      </c>
      <c r="CH5" s="74"/>
      <c r="CI5" s="74">
        <v>1327.1184229797859</v>
      </c>
      <c r="CJ5" s="92"/>
      <c r="CK5" s="74">
        <v>24686.52214275</v>
      </c>
      <c r="CL5" s="74"/>
      <c r="CM5" s="74">
        <v>1456.1268499451803</v>
      </c>
      <c r="CN5" s="92"/>
      <c r="CO5" s="74">
        <v>39814.051785839998</v>
      </c>
      <c r="CP5" s="74"/>
      <c r="CQ5" s="74">
        <v>1535.50505301101</v>
      </c>
      <c r="CR5" s="92"/>
    </row>
    <row r="6" spans="1:96" x14ac:dyDescent="0.25">
      <c r="A6" s="85">
        <f>A5+7</f>
        <v>45163</v>
      </c>
      <c r="B6" s="74">
        <v>931752.73857122799</v>
      </c>
      <c r="C6" s="74"/>
      <c r="D6" s="74">
        <v>1474.8151293111553</v>
      </c>
      <c r="E6" s="74"/>
      <c r="F6" s="96">
        <f t="shared" ref="F6:F69" si="0">O6+AN6</f>
        <v>0</v>
      </c>
      <c r="G6" s="75">
        <v>659095.53749993176</v>
      </c>
      <c r="H6" s="74"/>
      <c r="I6" s="75">
        <f>Table5[[#This Row],[Average NWP (Boom)]]</f>
        <v>1474.8151293111553</v>
      </c>
      <c r="J6" s="92"/>
      <c r="K6" s="75">
        <f t="shared" ref="K6:K69" si="1">P6+U6</f>
        <v>285617.52571419999</v>
      </c>
      <c r="L6" s="74"/>
      <c r="M6" s="75">
        <v>1200.0736374546218</v>
      </c>
      <c r="O6" s="96">
        <f t="shared" ref="O6:O69" si="2">T6+Y6</f>
        <v>0</v>
      </c>
      <c r="P6" s="74">
        <v>285617.52571419999</v>
      </c>
      <c r="Q6" s="74"/>
      <c r="R6" s="74">
        <v>1200.0736374546218</v>
      </c>
      <c r="T6" s="96">
        <v>0</v>
      </c>
      <c r="U6" s="74">
        <v>0</v>
      </c>
      <c r="V6" s="74"/>
      <c r="W6" s="74">
        <v>0</v>
      </c>
      <c r="Y6" s="96">
        <v>0</v>
      </c>
      <c r="Z6" s="74">
        <v>53844.601071418998</v>
      </c>
      <c r="AA6" s="74"/>
      <c r="AB6" s="74">
        <v>1638.1649206722052</v>
      </c>
      <c r="AD6" s="96" t="e">
        <v>#VALUE!</v>
      </c>
      <c r="AE6" s="74">
        <v>53844.601071418998</v>
      </c>
      <c r="AF6" s="74"/>
      <c r="AG6" s="74">
        <v>134.27581314568329</v>
      </c>
      <c r="AI6" s="96" t="e">
        <v>#VALUE!</v>
      </c>
      <c r="AJ6" s="74">
        <v>646135.21285702812</v>
      </c>
      <c r="AK6" s="74"/>
      <c r="AL6" s="74">
        <v>1638.1649206722059</v>
      </c>
      <c r="AN6" s="96">
        <v>0</v>
      </c>
      <c r="AO6" s="74">
        <f t="shared" ref="AO6:AO69" si="3">BM6+CC6</f>
        <v>536563.94499965408</v>
      </c>
      <c r="AP6" s="74"/>
      <c r="AQ6" s="74">
        <v>1451.0300272581119</v>
      </c>
      <c r="AR6" s="92"/>
      <c r="AS6" s="74">
        <f t="shared" ref="AS6:AS69" si="4">BQ6+CG6</f>
        <v>144088.29928597203</v>
      </c>
      <c r="AT6" s="74"/>
      <c r="AU6" s="74">
        <v>1454.7949666866216</v>
      </c>
      <c r="AV6" s="92"/>
      <c r="AW6" s="74">
        <f t="shared" ref="AW6:AW69" si="5">BU6+CK6</f>
        <v>120831.90178578798</v>
      </c>
      <c r="AX6" s="74"/>
      <c r="AY6" s="74">
        <v>1475.3786842147074</v>
      </c>
      <c r="AZ6" s="92"/>
      <c r="BA6" s="74">
        <f t="shared" ref="BA6:BA69" si="6">BY6+CO6</f>
        <v>130268.592499814</v>
      </c>
      <c r="BB6" s="74"/>
      <c r="BC6" s="74">
        <v>1607.2241651716797</v>
      </c>
      <c r="BD6" s="92"/>
      <c r="BE6" s="93">
        <f>AO6/SUM(Table5[[#This Row],[NWP (Standard)]],Table5[[#This Row],[NWP (Plus)]],Table5[[#This Row],[NWP (Essentials)]],Table5[[#This Row],[NWP (Premium)]])</f>
        <v>0.57586516549705458</v>
      </c>
      <c r="BF6" s="93">
        <f>AS6/SUM(Table5[[#This Row],[NWP (Standard)]],Table5[[#This Row],[NWP (Plus)]],Table5[[#This Row],[NWP (Essentials)]],Table5[[#This Row],[NWP (Premium)]])</f>
        <v>0.15464220637217602</v>
      </c>
      <c r="BG6" s="93">
        <f>AW6/SUM(Table5[[#This Row],[NWP (Standard)]],Table5[[#This Row],[NWP (Plus)]],Table5[[#This Row],[NWP (Essentials)]],Table5[[#This Row],[NWP (Premium)]])</f>
        <v>0.12968236827623872</v>
      </c>
      <c r="BH6" s="94">
        <f>BA6/SUM(Table5[[#This Row],[NWP (Standard)]],Table5[[#This Row],[NWP (Plus)]],Table5[[#This Row],[NWP (Essentials)]],Table5[[#This Row],[NWP (Premium)]])</f>
        <v>0.13981025985453069</v>
      </c>
      <c r="BI6" s="93"/>
      <c r="BJ6" s="93"/>
      <c r="BK6" s="93"/>
      <c r="BL6" s="94"/>
      <c r="BM6" s="74">
        <v>376144.46142848401</v>
      </c>
      <c r="BN6" s="74"/>
      <c r="BO6" s="74">
        <v>1634.2458797199135</v>
      </c>
      <c r="BP6" s="92"/>
      <c r="BQ6" s="74">
        <v>82511.190000132003</v>
      </c>
      <c r="BR6" s="74"/>
      <c r="BS6" s="74">
        <v>1677.7275303046752</v>
      </c>
      <c r="BT6" s="92"/>
      <c r="BU6" s="74">
        <v>95941.178571467986</v>
      </c>
      <c r="BV6" s="74"/>
      <c r="BW6" s="74">
        <v>1524.0655973731723</v>
      </c>
      <c r="BX6" s="92"/>
      <c r="BY6" s="74">
        <v>91538.382856943994</v>
      </c>
      <c r="BZ6" s="74"/>
      <c r="CA6" s="74">
        <v>1755.9249544901495</v>
      </c>
      <c r="CB6" s="92"/>
      <c r="CC6" s="74">
        <v>160419.48357117001</v>
      </c>
      <c r="CD6" s="74"/>
      <c r="CE6" s="74">
        <v>1148.9927785686994</v>
      </c>
      <c r="CF6" s="92"/>
      <c r="CG6" s="74">
        <v>61577.109285840008</v>
      </c>
      <c r="CH6" s="74"/>
      <c r="CI6" s="74">
        <v>1234.9162738508328</v>
      </c>
      <c r="CJ6" s="92"/>
      <c r="CK6" s="74">
        <v>24890.723214319998</v>
      </c>
      <c r="CL6" s="74"/>
      <c r="CM6" s="74">
        <v>1313.6272092432125</v>
      </c>
      <c r="CN6" s="92"/>
      <c r="CO6" s="74">
        <v>38730.209642870002</v>
      </c>
      <c r="CP6" s="74"/>
      <c r="CQ6" s="74">
        <v>1339.1834415457956</v>
      </c>
      <c r="CR6" s="92"/>
    </row>
    <row r="7" spans="1:96" x14ac:dyDescent="0.25">
      <c r="A7" s="85">
        <f t="shared" ref="A7:A70" si="7">A6+7</f>
        <v>45170</v>
      </c>
      <c r="B7" s="74">
        <v>853948.81285666989</v>
      </c>
      <c r="C7" s="74"/>
      <c r="D7" s="74">
        <v>1425.7866488643301</v>
      </c>
      <c r="E7" s="74"/>
      <c r="F7" s="96">
        <f t="shared" si="0"/>
        <v>0</v>
      </c>
      <c r="G7" s="75">
        <v>697418.26392813167</v>
      </c>
      <c r="H7" s="74"/>
      <c r="I7" s="75">
        <f>Table5[[#This Row],[Average NWP (Boom)]]</f>
        <v>1425.7866488643301</v>
      </c>
      <c r="J7" s="92"/>
      <c r="K7" s="75">
        <f t="shared" si="1"/>
        <v>305002.12285679008</v>
      </c>
      <c r="L7" s="74"/>
      <c r="M7" s="75">
        <v>1265.5689745095024</v>
      </c>
      <c r="O7" s="96">
        <f t="shared" si="2"/>
        <v>0</v>
      </c>
      <c r="P7" s="74">
        <v>305002.12285679008</v>
      </c>
      <c r="Q7" s="74"/>
      <c r="R7" s="74">
        <v>1265.5689745095024</v>
      </c>
      <c r="T7" s="96">
        <v>0</v>
      </c>
      <c r="U7" s="74">
        <v>0</v>
      </c>
      <c r="V7" s="74"/>
      <c r="W7" s="74">
        <v>0</v>
      </c>
      <c r="Y7" s="96">
        <v>0</v>
      </c>
      <c r="Z7" s="74">
        <v>45745.557499989984</v>
      </c>
      <c r="AA7" s="74"/>
      <c r="AB7" s="74">
        <v>1530.8470372034396</v>
      </c>
      <c r="AD7" s="96" t="e">
        <v>#VALUE!</v>
      </c>
      <c r="AE7" s="74">
        <v>45745.557499989984</v>
      </c>
      <c r="AF7" s="74"/>
      <c r="AG7" s="74">
        <v>124.30858016301626</v>
      </c>
      <c r="AI7" s="96" t="e">
        <v>#VALUE!</v>
      </c>
      <c r="AJ7" s="74">
        <v>548946.68999987992</v>
      </c>
      <c r="AK7" s="74"/>
      <c r="AL7" s="74">
        <v>1530.8470372034396</v>
      </c>
      <c r="AN7" s="96">
        <v>0</v>
      </c>
      <c r="AO7" s="74">
        <f t="shared" si="3"/>
        <v>440380.62642878597</v>
      </c>
      <c r="AP7" s="74"/>
      <c r="AQ7" s="74">
        <v>1365.3015507707285</v>
      </c>
      <c r="AR7" s="92"/>
      <c r="AS7" s="74">
        <f t="shared" si="4"/>
        <v>127662.56678559401</v>
      </c>
      <c r="AT7" s="74"/>
      <c r="AU7" s="74">
        <v>1293.6266077019693</v>
      </c>
      <c r="AV7" s="92"/>
      <c r="AW7" s="74">
        <f t="shared" si="5"/>
        <v>175637.25285654399</v>
      </c>
      <c r="AX7" s="74"/>
      <c r="AY7" s="74">
        <v>1530.4074504217219</v>
      </c>
      <c r="AZ7" s="92"/>
      <c r="BA7" s="74">
        <f t="shared" si="6"/>
        <v>110268.36678574598</v>
      </c>
      <c r="BB7" s="74"/>
      <c r="BC7" s="74">
        <v>1752.2673778016995</v>
      </c>
      <c r="BD7" s="92"/>
      <c r="BE7" s="93">
        <f>AO7/SUM(Table5[[#This Row],[NWP (Standard)]],Table5[[#This Row],[NWP (Plus)]],Table5[[#This Row],[NWP (Essentials)]],Table5[[#This Row],[NWP (Premium)]])</f>
        <v>0.51569909085721888</v>
      </c>
      <c r="BF7" s="93">
        <f>AS7/SUM(Table5[[#This Row],[NWP (Standard)]],Table5[[#This Row],[NWP (Plus)]],Table5[[#This Row],[NWP (Essentials)]],Table5[[#This Row],[NWP (Premium)]])</f>
        <v>0.14949674367311452</v>
      </c>
      <c r="BG7" s="93">
        <f>AW7/SUM(Table5[[#This Row],[NWP (Standard)]],Table5[[#This Row],[NWP (Plus)]],Table5[[#This Row],[NWP (Essentials)]],Table5[[#This Row],[NWP (Premium)]])</f>
        <v>0.20567655837472734</v>
      </c>
      <c r="BH7" s="94">
        <f>BA7/SUM(Table5[[#This Row],[NWP (Standard)]],Table5[[#This Row],[NWP (Plus)]],Table5[[#This Row],[NWP (Essentials)]],Table5[[#This Row],[NWP (Premium)]])</f>
        <v>0.12912760709493937</v>
      </c>
      <c r="BI7" s="93"/>
      <c r="BJ7" s="93"/>
      <c r="BK7" s="93"/>
      <c r="BL7" s="94"/>
      <c r="BM7" s="74">
        <v>282382.44857151597</v>
      </c>
      <c r="BN7" s="74"/>
      <c r="BO7" s="74">
        <v>1494.7352797323965</v>
      </c>
      <c r="BP7" s="92"/>
      <c r="BQ7" s="74">
        <v>61048.375714284004</v>
      </c>
      <c r="BR7" s="74"/>
      <c r="BS7" s="74">
        <v>1392.651802077678</v>
      </c>
      <c r="BT7" s="92"/>
      <c r="BU7" s="74">
        <v>124506.685713984</v>
      </c>
      <c r="BV7" s="74"/>
      <c r="BW7" s="74">
        <v>1502.7518458631635</v>
      </c>
      <c r="BX7" s="92"/>
      <c r="BY7" s="74">
        <v>81009.180000095992</v>
      </c>
      <c r="BZ7" s="74"/>
      <c r="CA7" s="74">
        <v>1884.6529292296259</v>
      </c>
      <c r="CB7" s="92"/>
      <c r="CC7" s="74">
        <v>157998.17785727</v>
      </c>
      <c r="CD7" s="74"/>
      <c r="CE7" s="74">
        <v>1182.3212654591323</v>
      </c>
      <c r="CF7" s="92"/>
      <c r="CG7" s="74">
        <v>66614.191071310008</v>
      </c>
      <c r="CH7" s="74"/>
      <c r="CI7" s="74">
        <v>1214.4853763980586</v>
      </c>
      <c r="CJ7" s="92"/>
      <c r="CK7" s="74">
        <v>51130.567142560001</v>
      </c>
      <c r="CL7" s="74"/>
      <c r="CM7" s="74">
        <v>1602.2078401951783</v>
      </c>
      <c r="CN7" s="92"/>
      <c r="CO7" s="74">
        <v>29259.186785649996</v>
      </c>
      <c r="CP7" s="74"/>
      <c r="CQ7" s="74">
        <v>1466.9674470066966</v>
      </c>
      <c r="CR7" s="92"/>
    </row>
    <row r="8" spans="1:96" x14ac:dyDescent="0.25">
      <c r="A8" s="85">
        <f t="shared" si="7"/>
        <v>45177</v>
      </c>
      <c r="B8" s="74">
        <v>893194.80857163202</v>
      </c>
      <c r="C8" s="75">
        <f>AVERAGE(B5:B8)</f>
        <v>915955.14580358495</v>
      </c>
      <c r="D8" s="74">
        <v>1516.6075158950571</v>
      </c>
      <c r="E8" s="75">
        <f>AVERAGE(D5:D8)</f>
        <v>1486.2500515656363</v>
      </c>
      <c r="F8" s="96">
        <f t="shared" si="0"/>
        <v>0</v>
      </c>
      <c r="G8" s="75">
        <v>626473.55357125239</v>
      </c>
      <c r="H8" s="75">
        <f>AVERAGE(G5:G8)</f>
        <v>659915.02116064075</v>
      </c>
      <c r="I8" s="75">
        <f>Table5[[#This Row],[Average NWP (Boom)]]</f>
        <v>1516.6075158950571</v>
      </c>
      <c r="J8" s="92">
        <f>AVERAGE(I5:I8)</f>
        <v>1486.2500515656363</v>
      </c>
      <c r="K8" s="75">
        <f t="shared" si="1"/>
        <v>273590.93999977998</v>
      </c>
      <c r="L8" s="74">
        <f>AVERAGE(K5:K8)</f>
        <v>294307.41151777003</v>
      </c>
      <c r="M8" s="75">
        <v>1284.4645070412205</v>
      </c>
      <c r="N8" s="75">
        <f>AVERAGE(M5:M8)</f>
        <v>1255.635578024009</v>
      </c>
      <c r="O8" s="96">
        <f t="shared" si="2"/>
        <v>0</v>
      </c>
      <c r="P8" s="74">
        <v>273590.93999977998</v>
      </c>
      <c r="Q8" s="74">
        <f>AVERAGE(P5:P8)</f>
        <v>294307.41151777003</v>
      </c>
      <c r="R8" s="74">
        <v>1284.4645070412205</v>
      </c>
      <c r="S8" s="75">
        <f>AVERAGE(R5:R8)</f>
        <v>1255.635578024009</v>
      </c>
      <c r="T8" s="96">
        <v>0</v>
      </c>
      <c r="U8" s="74">
        <v>0</v>
      </c>
      <c r="V8" s="74">
        <f>AVERAGE(U5:U8)</f>
        <v>0</v>
      </c>
      <c r="W8" s="74">
        <v>0</v>
      </c>
      <c r="X8" s="75">
        <f>AVERAGE(W5:W8)</f>
        <v>0</v>
      </c>
      <c r="Y8" s="96">
        <v>0</v>
      </c>
      <c r="Z8" s="74">
        <v>51633.655714320987</v>
      </c>
      <c r="AA8" s="74">
        <f>AVERAGE(Z5:Z8)</f>
        <v>51803.977857151243</v>
      </c>
      <c r="AB8" s="74">
        <v>1645.5867281520314</v>
      </c>
      <c r="AC8" s="75">
        <f>AVERAGE(AB5:AB8)</f>
        <v>1624.279958000782</v>
      </c>
      <c r="AD8" s="96" t="e">
        <v>#VALUE!</v>
      </c>
      <c r="AE8" s="74">
        <v>51633.655714320987</v>
      </c>
      <c r="AF8" s="74">
        <f>AVERAGE(AE5:AE8)</f>
        <v>51803.977857151243</v>
      </c>
      <c r="AG8" s="74">
        <v>130.38801948060856</v>
      </c>
      <c r="AH8" s="75">
        <f>AVERAGE(AG5:AG8)</f>
        <v>131.72099552668357</v>
      </c>
      <c r="AI8" s="96" t="e">
        <v>#VALUE!</v>
      </c>
      <c r="AJ8" s="74">
        <v>619603.86857185187</v>
      </c>
      <c r="AK8" s="74">
        <f>AVERAGE(AJ5:AJ8)</f>
        <v>621647.73428581504</v>
      </c>
      <c r="AL8" s="74">
        <v>1645.5867281520318</v>
      </c>
      <c r="AM8" s="75">
        <f>AVERAGE(AL5:AL8)</f>
        <v>1624.2799580007827</v>
      </c>
      <c r="AN8" s="96">
        <v>0</v>
      </c>
      <c r="AO8" s="74">
        <f t="shared" si="3"/>
        <v>445996.9021429061</v>
      </c>
      <c r="AP8" s="74"/>
      <c r="AQ8" s="74">
        <v>1422.2162156681588</v>
      </c>
      <c r="AR8" s="92"/>
      <c r="AS8" s="74">
        <f t="shared" si="4"/>
        <v>138112.11178549199</v>
      </c>
      <c r="AT8" s="74"/>
      <c r="AU8" s="74">
        <v>1611.278621240268</v>
      </c>
      <c r="AV8" s="92"/>
      <c r="AW8" s="74">
        <f t="shared" si="5"/>
        <v>219395.04964281199</v>
      </c>
      <c r="AX8" s="74"/>
      <c r="AY8" s="74">
        <v>1716.0017983326286</v>
      </c>
      <c r="AZ8" s="92"/>
      <c r="BA8" s="74">
        <f t="shared" si="6"/>
        <v>89690.745000422001</v>
      </c>
      <c r="BB8" s="74"/>
      <c r="BC8" s="74">
        <v>1451.7429976770793</v>
      </c>
      <c r="BD8" s="92"/>
      <c r="BE8" s="93">
        <f>AO8/SUM(Table5[[#This Row],[NWP (Standard)]],Table5[[#This Row],[NWP (Plus)]],Table5[[#This Row],[NWP (Essentials)]],Table5[[#This Row],[NWP (Premium)]])</f>
        <v>0.49932769185719944</v>
      </c>
      <c r="BF8" s="93">
        <f>AS8/SUM(Table5[[#This Row],[NWP (Standard)]],Table5[[#This Row],[NWP (Plus)]],Table5[[#This Row],[NWP (Essentials)]],Table5[[#This Row],[NWP (Premium)]])</f>
        <v>0.15462708746186776</v>
      </c>
      <c r="BG8" s="93">
        <f>AW8/SUM(Table5[[#This Row],[NWP (Standard)]],Table5[[#This Row],[NWP (Plus)]],Table5[[#This Row],[NWP (Essentials)]],Table5[[#This Row],[NWP (Premium)]])</f>
        <v>0.24562956203659692</v>
      </c>
      <c r="BH8" s="94">
        <f>BA8/SUM(Table5[[#This Row],[NWP (Standard)]],Table5[[#This Row],[NWP (Plus)]],Table5[[#This Row],[NWP (Essentials)]],Table5[[#This Row],[NWP (Premium)]])</f>
        <v>0.10041565864433595</v>
      </c>
      <c r="BI8" s="93"/>
      <c r="BJ8" s="93"/>
      <c r="BK8" s="93"/>
      <c r="BL8" s="94"/>
      <c r="BM8" s="74">
        <v>314445.45000033604</v>
      </c>
      <c r="BN8" s="74"/>
      <c r="BO8" s="74">
        <v>1613.2188767533098</v>
      </c>
      <c r="BP8" s="92"/>
      <c r="BQ8" s="74">
        <v>75882.604285691996</v>
      </c>
      <c r="BR8" s="74"/>
      <c r="BS8" s="74">
        <v>1813.8083307673853</v>
      </c>
      <c r="BT8" s="92"/>
      <c r="BU8" s="74">
        <v>170536.15714261201</v>
      </c>
      <c r="BV8" s="74"/>
      <c r="BW8" s="74">
        <v>1741.3300272443716</v>
      </c>
      <c r="BX8" s="92"/>
      <c r="BY8" s="74">
        <v>58739.657143211996</v>
      </c>
      <c r="BZ8" s="74"/>
      <c r="CA8" s="74">
        <v>1404.0435284963849</v>
      </c>
      <c r="CB8" s="92"/>
      <c r="CC8" s="74">
        <v>131551.45214257002</v>
      </c>
      <c r="CD8" s="74"/>
      <c r="CE8" s="74">
        <v>1108.503084664133</v>
      </c>
      <c r="CF8" s="92"/>
      <c r="CG8" s="74">
        <v>62229.507499799991</v>
      </c>
      <c r="CH8" s="74"/>
      <c r="CI8" s="74">
        <v>1418.1818022464608</v>
      </c>
      <c r="CJ8" s="92"/>
      <c r="CK8" s="74">
        <v>48858.892500199989</v>
      </c>
      <c r="CL8" s="74"/>
      <c r="CM8" s="74">
        <v>1633.0917492609037</v>
      </c>
      <c r="CN8" s="92"/>
      <c r="CO8" s="74">
        <v>30951.087857209997</v>
      </c>
      <c r="CP8" s="74"/>
      <c r="CQ8" s="74">
        <v>1551.7942678516126</v>
      </c>
      <c r="CR8" s="92"/>
    </row>
    <row r="9" spans="1:96" x14ac:dyDescent="0.25">
      <c r="A9" s="85">
        <f t="shared" si="7"/>
        <v>45184</v>
      </c>
      <c r="B9" s="74">
        <v>854999.87000007811</v>
      </c>
      <c r="C9" s="75">
        <f t="shared" ref="C9:E72" si="8">AVERAGE(B6:B9)</f>
        <v>883474.05749990209</v>
      </c>
      <c r="D9" s="74">
        <v>1476.9346150186677</v>
      </c>
      <c r="E9" s="75">
        <f t="shared" si="8"/>
        <v>1473.5359772723025</v>
      </c>
      <c r="F9" s="96">
        <f t="shared" si="0"/>
        <v>0</v>
      </c>
      <c r="G9" s="75">
        <v>621887.9250000061</v>
      </c>
      <c r="H9" s="75">
        <f t="shared" ref="H9" si="9">AVERAGE(G6:G9)</f>
        <v>651218.81999983045</v>
      </c>
      <c r="I9" s="75">
        <f>Table5[[#This Row],[Average NWP (Boom)]]</f>
        <v>1476.9346150186677</v>
      </c>
      <c r="J9" s="92">
        <f t="shared" ref="J9" si="10">AVERAGE(I6:I9)</f>
        <v>1473.5359772723025</v>
      </c>
      <c r="K9" s="75">
        <f t="shared" si="1"/>
        <v>279702.78285706998</v>
      </c>
      <c r="L9" s="74">
        <f t="shared" ref="L9" si="11">AVERAGE(K6:K9)</f>
        <v>285978.34285696002</v>
      </c>
      <c r="M9" s="75">
        <v>1259.922445302117</v>
      </c>
      <c r="N9" s="75">
        <f t="shared" ref="N9" si="12">AVERAGE(M6:M9)</f>
        <v>1252.5073910768654</v>
      </c>
      <c r="O9" s="96">
        <f t="shared" si="2"/>
        <v>0</v>
      </c>
      <c r="P9" s="74">
        <v>279702.78285706998</v>
      </c>
      <c r="Q9" s="74">
        <f t="shared" ref="Q9" si="13">AVERAGE(P6:P9)</f>
        <v>285978.34285696002</v>
      </c>
      <c r="R9" s="74">
        <v>1259.922445302117</v>
      </c>
      <c r="S9" s="75">
        <f t="shared" ref="S9" si="14">AVERAGE(R6:R9)</f>
        <v>1252.5073910768654</v>
      </c>
      <c r="T9" s="96">
        <v>0</v>
      </c>
      <c r="U9" s="74">
        <v>0</v>
      </c>
      <c r="V9" s="74">
        <f t="shared" ref="V9" si="15">AVERAGE(U6:U9)</f>
        <v>0</v>
      </c>
      <c r="W9" s="74">
        <v>0</v>
      </c>
      <c r="X9" s="75">
        <f t="shared" ref="X9" si="16">AVERAGE(W6:W9)</f>
        <v>0</v>
      </c>
      <c r="Y9" s="96">
        <v>0</v>
      </c>
      <c r="Z9" s="74">
        <v>47941.423928584016</v>
      </c>
      <c r="AA9" s="74">
        <f t="shared" ref="AA9" si="17">AVERAGE(Z6:Z9)</f>
        <v>49791.309553578496</v>
      </c>
      <c r="AB9" s="74">
        <v>1609.1857256878491</v>
      </c>
      <c r="AC9" s="75">
        <f t="shared" ref="AC9" si="18">AVERAGE(AB6:AB9)</f>
        <v>1605.9461029288814</v>
      </c>
      <c r="AD9" s="96" t="e">
        <v>#VALUE!</v>
      </c>
      <c r="AE9" s="74">
        <v>47941.423928584016</v>
      </c>
      <c r="AF9" s="74">
        <f t="shared" ref="AF9" si="19">AVERAGE(AE6:AE9)</f>
        <v>49791.309553578496</v>
      </c>
      <c r="AG9" s="74">
        <v>127.50378704410643</v>
      </c>
      <c r="AH9" s="75">
        <f t="shared" ref="AH9" si="20">AVERAGE(AG6:AG9)</f>
        <v>129.11904995835363</v>
      </c>
      <c r="AI9" s="96" t="e">
        <v>#VALUE!</v>
      </c>
      <c r="AJ9" s="74">
        <v>575297.08714300802</v>
      </c>
      <c r="AK9" s="74">
        <f t="shared" ref="AK9" si="21">AVERAGE(AJ6:AJ9)</f>
        <v>597495.71464294195</v>
      </c>
      <c r="AL9" s="74">
        <v>1609.1857256878491</v>
      </c>
      <c r="AM9" s="75">
        <f t="shared" ref="AM9" si="22">AVERAGE(AL6:AL9)</f>
        <v>1605.9461029288816</v>
      </c>
      <c r="AN9" s="96">
        <v>0</v>
      </c>
      <c r="AO9" s="74">
        <f t="shared" si="3"/>
        <v>457199.51071476599</v>
      </c>
      <c r="AP9" s="74"/>
      <c r="AQ9" s="74">
        <v>1437.9443408681564</v>
      </c>
      <c r="AR9" s="92"/>
      <c r="AS9" s="74">
        <f t="shared" si="4"/>
        <v>99263.484999828011</v>
      </c>
      <c r="AT9" s="74"/>
      <c r="AU9" s="74">
        <v>1414.4611837396881</v>
      </c>
      <c r="AV9" s="92"/>
      <c r="AW9" s="74">
        <f t="shared" si="5"/>
        <v>205016.34535697597</v>
      </c>
      <c r="AX9" s="74"/>
      <c r="AY9" s="74">
        <v>1582.3032006900289</v>
      </c>
      <c r="AZ9" s="92"/>
      <c r="BA9" s="74">
        <f t="shared" si="6"/>
        <v>93520.528928507993</v>
      </c>
      <c r="BB9" s="74"/>
      <c r="BC9" s="74">
        <v>1528.0586420530985</v>
      </c>
      <c r="BD9" s="92"/>
      <c r="BE9" s="93">
        <f>AO9/SUM(Table5[[#This Row],[NWP (Standard)]],Table5[[#This Row],[NWP (Plus)]],Table5[[#This Row],[NWP (Essentials)]],Table5[[#This Row],[NWP (Premium)]])</f>
        <v>0.53473635114672502</v>
      </c>
      <c r="BF9" s="93">
        <f>AS9/SUM(Table5[[#This Row],[NWP (Standard)]],Table5[[#This Row],[NWP (Plus)]],Table5[[#This Row],[NWP (Essentials)]],Table5[[#This Row],[NWP (Premium)]])</f>
        <v>0.11609766092691796</v>
      </c>
      <c r="BG9" s="93">
        <f>AW9/SUM(Table5[[#This Row],[NWP (Standard)]],Table5[[#This Row],[NWP (Plus)]],Table5[[#This Row],[NWP (Essentials)]],Table5[[#This Row],[NWP (Premium)]])</f>
        <v>0.23978523570647706</v>
      </c>
      <c r="BH9" s="94">
        <f>BA9/SUM(Table5[[#This Row],[NWP (Standard)]],Table5[[#This Row],[NWP (Plus)]],Table5[[#This Row],[NWP (Essentials)]],Table5[[#This Row],[NWP (Premium)]])</f>
        <v>0.10938075221987981</v>
      </c>
      <c r="BI9" s="93"/>
      <c r="BJ9" s="93"/>
      <c r="BK9" s="93"/>
      <c r="BL9" s="94"/>
      <c r="BM9" s="74">
        <v>297284.68714323599</v>
      </c>
      <c r="BN9" s="74"/>
      <c r="BO9" s="74">
        <v>1587.1141178548701</v>
      </c>
      <c r="BP9" s="92"/>
      <c r="BQ9" s="74">
        <v>52175.095714188006</v>
      </c>
      <c r="BR9" s="74"/>
      <c r="BS9" s="74">
        <v>1567.8230727416442</v>
      </c>
      <c r="BT9" s="92"/>
      <c r="BU9" s="74">
        <v>170760.69857133599</v>
      </c>
      <c r="BV9" s="74"/>
      <c r="BW9" s="74">
        <v>1647.6435637308077</v>
      </c>
      <c r="BX9" s="92"/>
      <c r="BY9" s="74">
        <v>55076.605714247999</v>
      </c>
      <c r="BZ9" s="74"/>
      <c r="CA9" s="74">
        <v>1655.0113042458875</v>
      </c>
      <c r="CB9" s="92"/>
      <c r="CC9" s="74">
        <v>159914.82357153003</v>
      </c>
      <c r="CD9" s="74"/>
      <c r="CE9" s="74">
        <v>1224.0682928997005</v>
      </c>
      <c r="CF9" s="92"/>
      <c r="CG9" s="74">
        <v>47088.389285639998</v>
      </c>
      <c r="CH9" s="74"/>
      <c r="CI9" s="74">
        <v>1276.1459072863447</v>
      </c>
      <c r="CJ9" s="92"/>
      <c r="CK9" s="74">
        <v>34255.646785639998</v>
      </c>
      <c r="CL9" s="74"/>
      <c r="CM9" s="74">
        <v>1321.1345335170797</v>
      </c>
      <c r="CN9" s="92"/>
      <c r="CO9" s="74">
        <v>38443.923214260001</v>
      </c>
      <c r="CP9" s="74"/>
      <c r="CQ9" s="74">
        <v>1376.7588939231791</v>
      </c>
      <c r="CR9" s="92"/>
    </row>
    <row r="10" spans="1:96" x14ac:dyDescent="0.25">
      <c r="A10" s="85">
        <f t="shared" si="7"/>
        <v>45191</v>
      </c>
      <c r="B10" s="74">
        <v>983800.1121429418</v>
      </c>
      <c r="C10" s="75">
        <f t="shared" si="8"/>
        <v>896485.90089283045</v>
      </c>
      <c r="D10" s="74">
        <v>1563.3367241236301</v>
      </c>
      <c r="E10" s="75">
        <f t="shared" si="8"/>
        <v>1495.6663759754213</v>
      </c>
      <c r="F10" s="96">
        <f t="shared" si="0"/>
        <v>0</v>
      </c>
      <c r="G10" s="75">
        <v>642525.86428563402</v>
      </c>
      <c r="H10" s="75">
        <f t="shared" ref="H10" si="23">AVERAGE(G7:G10)</f>
        <v>647076.40169625601</v>
      </c>
      <c r="I10" s="75">
        <f>Table5[[#This Row],[Average NWP (Boom)]]</f>
        <v>1563.3367241236301</v>
      </c>
      <c r="J10" s="92">
        <f t="shared" ref="J10" si="24">AVERAGE(I7:I10)</f>
        <v>1495.6663759754213</v>
      </c>
      <c r="K10" s="75">
        <f t="shared" si="1"/>
        <v>278899.31785701006</v>
      </c>
      <c r="L10" s="74">
        <f t="shared" ref="L10" si="25">AVERAGE(K7:K10)</f>
        <v>284298.79089266254</v>
      </c>
      <c r="M10" s="75">
        <v>1256.3032335901355</v>
      </c>
      <c r="N10" s="75">
        <f t="shared" ref="N10" si="26">AVERAGE(M7:M10)</f>
        <v>1266.5647901107438</v>
      </c>
      <c r="O10" s="96">
        <f t="shared" si="2"/>
        <v>0</v>
      </c>
      <c r="P10" s="74">
        <v>278899.31785701006</v>
      </c>
      <c r="Q10" s="74">
        <f t="shared" ref="Q10" si="27">AVERAGE(P7:P10)</f>
        <v>284298.79089266254</v>
      </c>
      <c r="R10" s="74">
        <v>1256.3032335901355</v>
      </c>
      <c r="S10" s="75">
        <f t="shared" ref="S10" si="28">AVERAGE(R7:R10)</f>
        <v>1266.5647901107438</v>
      </c>
      <c r="T10" s="96">
        <v>0</v>
      </c>
      <c r="U10" s="74">
        <v>0</v>
      </c>
      <c r="V10" s="74">
        <f t="shared" ref="V10" si="29">AVERAGE(U7:U10)</f>
        <v>0</v>
      </c>
      <c r="W10" s="74">
        <v>0</v>
      </c>
      <c r="X10" s="75">
        <f t="shared" ref="X10" si="30">AVERAGE(W7:W10)</f>
        <v>0</v>
      </c>
      <c r="Y10" s="96">
        <v>0</v>
      </c>
      <c r="Z10" s="74">
        <v>58741.732857160991</v>
      </c>
      <c r="AA10" s="74">
        <f t="shared" ref="AA10" si="31">AVERAGE(Z7:Z10)</f>
        <v>51015.592500013991</v>
      </c>
      <c r="AB10" s="74">
        <v>1728.1146386658431</v>
      </c>
      <c r="AC10" s="75">
        <f t="shared" ref="AC10" si="32">AVERAGE(AB7:AB10)</f>
        <v>1628.4335324272909</v>
      </c>
      <c r="AD10" s="96" t="e">
        <v>#VALUE!</v>
      </c>
      <c r="AE10" s="74">
        <v>58741.732857160991</v>
      </c>
      <c r="AF10" s="74">
        <f t="shared" ref="AF10" si="33">AVERAGE(AE7:AE10)</f>
        <v>51015.592500013991</v>
      </c>
      <c r="AG10" s="74">
        <v>136.9271162171585</v>
      </c>
      <c r="AH10" s="75">
        <f t="shared" ref="AH10" si="34">AVERAGE(AG7:AG10)</f>
        <v>129.78187572622244</v>
      </c>
      <c r="AI10" s="96" t="e">
        <v>#VALUE!</v>
      </c>
      <c r="AJ10" s="74">
        <v>704900.79428593186</v>
      </c>
      <c r="AK10" s="74">
        <f t="shared" ref="AK10" si="35">AVERAGE(AJ7:AJ10)</f>
        <v>612187.11000016797</v>
      </c>
      <c r="AL10" s="74">
        <v>1728.114638665844</v>
      </c>
      <c r="AM10" s="75">
        <f t="shared" ref="AM10" si="36">AVERAGE(AL7:AL10)</f>
        <v>1628.4335324272911</v>
      </c>
      <c r="AN10" s="96">
        <v>0</v>
      </c>
      <c r="AO10" s="74">
        <f t="shared" si="3"/>
        <v>499762.11535740399</v>
      </c>
      <c r="AP10" s="74"/>
      <c r="AQ10" s="74">
        <v>1523.4746273696378</v>
      </c>
      <c r="AR10" s="92"/>
      <c r="AS10" s="74">
        <f t="shared" si="4"/>
        <v>85889.543214201985</v>
      </c>
      <c r="AT10" s="74"/>
      <c r="AU10" s="74">
        <v>1273.9847137573011</v>
      </c>
      <c r="AV10" s="92"/>
      <c r="AW10" s="74">
        <f t="shared" si="5"/>
        <v>272271.632857116</v>
      </c>
      <c r="AX10" s="74"/>
      <c r="AY10" s="74">
        <v>1699.2892178477816</v>
      </c>
      <c r="AZ10" s="92"/>
      <c r="BA10" s="74">
        <f t="shared" si="6"/>
        <v>125876.82071422</v>
      </c>
      <c r="BB10" s="74"/>
      <c r="BC10" s="74">
        <v>1710.0670492120319</v>
      </c>
      <c r="BD10" s="92"/>
      <c r="BE10" s="93">
        <f>AO10/SUM(Table5[[#This Row],[NWP (Standard)]],Table5[[#This Row],[NWP (Plus)]],Table5[[#This Row],[NWP (Essentials)]],Table5[[#This Row],[NWP (Premium)]])</f>
        <v>0.50799152103043332</v>
      </c>
      <c r="BF10" s="93">
        <f>AS10/SUM(Table5[[#This Row],[NWP (Standard)]],Table5[[#This Row],[NWP (Plus)]],Table5[[#This Row],[NWP (Essentials)]],Table5[[#This Row],[NWP (Premium)]])</f>
        <v>8.7303855889094076E-2</v>
      </c>
      <c r="BG10" s="93">
        <f>AW10/SUM(Table5[[#This Row],[NWP (Standard)]],Table5[[#This Row],[NWP (Plus)]],Table5[[#This Row],[NWP (Essentials)]],Table5[[#This Row],[NWP (Premium)]])</f>
        <v>0.2767550333614478</v>
      </c>
      <c r="BH10" s="94">
        <f>BA10/SUM(Table5[[#This Row],[NWP (Standard)]],Table5[[#This Row],[NWP (Plus)]],Table5[[#This Row],[NWP (Essentials)]],Table5[[#This Row],[NWP (Premium)]])</f>
        <v>0.12794958971902479</v>
      </c>
      <c r="BI10" s="93"/>
      <c r="BJ10" s="93"/>
      <c r="BK10" s="93"/>
      <c r="BL10" s="94"/>
      <c r="BM10" s="74">
        <v>344213.04857180401</v>
      </c>
      <c r="BN10" s="74"/>
      <c r="BO10" s="74">
        <v>1676.0054244047701</v>
      </c>
      <c r="BP10" s="92"/>
      <c r="BQ10" s="74">
        <v>42566.798571312</v>
      </c>
      <c r="BR10" s="74"/>
      <c r="BS10" s="74">
        <v>1492.2843173079473</v>
      </c>
      <c r="BT10" s="92"/>
      <c r="BU10" s="74">
        <v>232246.94571441601</v>
      </c>
      <c r="BV10" s="74"/>
      <c r="BW10" s="74">
        <v>1796.0273433789955</v>
      </c>
      <c r="BX10" s="92"/>
      <c r="BY10" s="74">
        <v>85874.001428400006</v>
      </c>
      <c r="BZ10" s="74"/>
      <c r="CA10" s="74">
        <v>1921.611916966699</v>
      </c>
      <c r="CB10" s="92"/>
      <c r="CC10" s="74">
        <v>155549.06678559998</v>
      </c>
      <c r="CD10" s="74"/>
      <c r="CE10" s="74">
        <v>1268.0912894845376</v>
      </c>
      <c r="CF10" s="92"/>
      <c r="CG10" s="74">
        <v>43322.744642889993</v>
      </c>
      <c r="CH10" s="74"/>
      <c r="CI10" s="74">
        <v>1113.8830023678915</v>
      </c>
      <c r="CJ10" s="92"/>
      <c r="CK10" s="74">
        <v>40024.687142700001</v>
      </c>
      <c r="CL10" s="74"/>
      <c r="CM10" s="74">
        <v>1294.6562522034799</v>
      </c>
      <c r="CN10" s="92"/>
      <c r="CO10" s="74">
        <v>40002.819285819998</v>
      </c>
      <c r="CP10" s="74"/>
      <c r="CQ10" s="74">
        <v>1383.1867603273115</v>
      </c>
      <c r="CR10" s="92"/>
    </row>
    <row r="11" spans="1:96" x14ac:dyDescent="0.25">
      <c r="A11" s="85">
        <f t="shared" si="7"/>
        <v>45198</v>
      </c>
      <c r="B11" s="74">
        <v>919142.10607113852</v>
      </c>
      <c r="C11" s="75">
        <f t="shared" si="8"/>
        <v>912784.22419644753</v>
      </c>
      <c r="D11" s="74">
        <v>1496.4946473881676</v>
      </c>
      <c r="E11" s="75">
        <f t="shared" si="8"/>
        <v>1513.3433756063805</v>
      </c>
      <c r="F11" s="96">
        <f t="shared" si="0"/>
        <v>0</v>
      </c>
      <c r="G11" s="75">
        <v>625292.911785751</v>
      </c>
      <c r="H11" s="75">
        <f t="shared" ref="H11" si="37">AVERAGE(G8:G11)</f>
        <v>629045.06366066088</v>
      </c>
      <c r="I11" s="75">
        <f>Table5[[#This Row],[Average NWP (Boom)]]</f>
        <v>1496.4946473881676</v>
      </c>
      <c r="J11" s="92">
        <f t="shared" ref="J11" si="38">AVERAGE(I8:I11)</f>
        <v>1513.3433756063805</v>
      </c>
      <c r="K11" s="75">
        <f t="shared" si="1"/>
        <v>251583.88892861005</v>
      </c>
      <c r="L11" s="75">
        <f t="shared" ref="L11" si="39">AVERAGE(K8:K11)</f>
        <v>270944.23241061752</v>
      </c>
      <c r="M11" s="75">
        <v>1233.2543574931865</v>
      </c>
      <c r="N11" s="75">
        <f t="shared" ref="N11" si="40">AVERAGE(M8:M11)</f>
        <v>1258.486135856665</v>
      </c>
      <c r="O11" s="96">
        <f t="shared" si="2"/>
        <v>0</v>
      </c>
      <c r="P11" s="74">
        <v>251583.88892861005</v>
      </c>
      <c r="Q11" s="75">
        <f t="shared" ref="Q11" si="41">AVERAGE(P8:P11)</f>
        <v>270944.23241061752</v>
      </c>
      <c r="R11" s="74">
        <v>1233.2543574931865</v>
      </c>
      <c r="S11" s="75">
        <f t="shared" ref="S11" si="42">AVERAGE(R8:R11)</f>
        <v>1258.486135856665</v>
      </c>
      <c r="T11" s="96">
        <v>0</v>
      </c>
      <c r="U11" s="74">
        <v>0</v>
      </c>
      <c r="V11" s="75">
        <f t="shared" ref="V11" si="43">AVERAGE(U8:U11)</f>
        <v>0</v>
      </c>
      <c r="W11" s="74">
        <v>0</v>
      </c>
      <c r="X11" s="75">
        <f t="shared" ref="X11" si="44">AVERAGE(W8:W11)</f>
        <v>0</v>
      </c>
      <c r="Y11" s="96">
        <v>0</v>
      </c>
      <c r="Z11" s="74">
        <v>55629.851428544003</v>
      </c>
      <c r="AA11" s="75">
        <f t="shared" ref="AA11" si="45">AVERAGE(Z8:Z11)</f>
        <v>53486.665982152503</v>
      </c>
      <c r="AB11" s="74">
        <v>1625.2015977881533</v>
      </c>
      <c r="AC11" s="75">
        <f t="shared" ref="AC11" si="46">AVERAGE(AB8:AB11)</f>
        <v>1652.0221725734691</v>
      </c>
      <c r="AD11" s="96" t="e">
        <v>#VALUE!</v>
      </c>
      <c r="AE11" s="74">
        <v>55629.851428544003</v>
      </c>
      <c r="AF11" s="75">
        <f t="shared" ref="AF11" si="47">AVERAGE(AE8:AE11)</f>
        <v>53486.665982152503</v>
      </c>
      <c r="AG11" s="74">
        <v>128.77280423274075</v>
      </c>
      <c r="AH11" s="75">
        <f t="shared" ref="AH11" si="48">AVERAGE(AG8:AG11)</f>
        <v>130.89793174365357</v>
      </c>
      <c r="AI11" s="96" t="e">
        <v>#VALUE!</v>
      </c>
      <c r="AJ11" s="74">
        <v>667558.21714252816</v>
      </c>
      <c r="AK11" s="75">
        <f t="shared" ref="AK11" si="49">AVERAGE(AJ8:AJ11)</f>
        <v>641839.99178583</v>
      </c>
      <c r="AL11" s="74">
        <v>1625.2015977881547</v>
      </c>
      <c r="AM11" s="75">
        <f t="shared" ref="AM11" si="50">AVERAGE(AL8:AL11)</f>
        <v>1652.0221725734698</v>
      </c>
      <c r="AN11" s="96">
        <v>0</v>
      </c>
      <c r="AO11" s="74">
        <f t="shared" si="3"/>
        <v>456808.17892838398</v>
      </c>
      <c r="AP11" s="75">
        <f>AVERAGE(AO5:AO11)</f>
        <v>488380.33428584744</v>
      </c>
      <c r="AQ11" s="74">
        <v>1395.6957822699158</v>
      </c>
      <c r="AR11" s="92">
        <f>AVERAGE(AQ5:AQ11)</f>
        <v>1434.5215607262439</v>
      </c>
      <c r="AS11" s="74">
        <f t="shared" si="4"/>
        <v>116397.45642845001</v>
      </c>
      <c r="AT11" s="75">
        <f>AVERAGE(AS5:AS11)</f>
        <v>124075.1416835877</v>
      </c>
      <c r="AU11" s="74">
        <v>1440.163248235616</v>
      </c>
      <c r="AV11" s="92">
        <f>AVERAGE(AU5:AU11)</f>
        <v>1456.2680246881052</v>
      </c>
      <c r="AW11" s="74">
        <f t="shared" si="5"/>
        <v>241914.71678545399</v>
      </c>
      <c r="AX11" s="75">
        <f>AVERAGE(AW5:AW11)</f>
        <v>196377.80816313598</v>
      </c>
      <c r="AY11" s="74">
        <v>1761.7602786282227</v>
      </c>
      <c r="AZ11" s="92">
        <f>AVERAGE(AY5:AY11)</f>
        <v>1638.5683219215418</v>
      </c>
      <c r="BA11" s="74">
        <f t="shared" si="6"/>
        <v>104021.75392884998</v>
      </c>
      <c r="BB11" s="75">
        <f>AVERAGE(BA5:BA11)</f>
        <v>108561.38321435711</v>
      </c>
      <c r="BC11" s="74">
        <v>1512.7731525749555</v>
      </c>
      <c r="BD11" s="92">
        <f>AVERAGE(BC5:BC11)</f>
        <v>1588.5691557516725</v>
      </c>
      <c r="BE11" s="93">
        <f>AO11/SUM(Table5[[#This Row],[NWP (Standard)]],Table5[[#This Row],[NWP (Plus)]],Table5[[#This Row],[NWP (Essentials)]],Table5[[#This Row],[NWP (Premium)]])</f>
        <v>0.49699407296332576</v>
      </c>
      <c r="BF11" s="93">
        <f>AS11/SUM(Table5[[#This Row],[NWP (Standard)]],Table5[[#This Row],[NWP (Plus)]],Table5[[#This Row],[NWP (Essentials)]],Table5[[#This Row],[NWP (Premium)]])</f>
        <v>0.12663706260394225</v>
      </c>
      <c r="BG11" s="93">
        <f>AW11/SUM(Table5[[#This Row],[NWP (Standard)]],Table5[[#This Row],[NWP (Plus)]],Table5[[#This Row],[NWP (Essentials)]],Table5[[#This Row],[NWP (Premium)]])</f>
        <v>0.26319620784158787</v>
      </c>
      <c r="BH11" s="94">
        <f>BA11/SUM(Table5[[#This Row],[NWP (Standard)]],Table5[[#This Row],[NWP (Plus)]],Table5[[#This Row],[NWP (Essentials)]],Table5[[#This Row],[NWP (Premium)]])</f>
        <v>0.11317265659114427</v>
      </c>
      <c r="BI11" s="93">
        <f>AVERAGE(BE5:BE11)</f>
        <v>0.53163894412685642</v>
      </c>
      <c r="BJ11" s="93">
        <f t="shared" ref="BJ11:BL26" si="51">AVERAGE(BF5:BF11)</f>
        <v>0.13547457065595986</v>
      </c>
      <c r="BK11" s="93">
        <f t="shared" si="51"/>
        <v>0.21463416789232842</v>
      </c>
      <c r="BL11" s="94">
        <f t="shared" si="51"/>
        <v>0.11825231732485539</v>
      </c>
      <c r="BM11" s="74">
        <v>333437.30142842402</v>
      </c>
      <c r="BN11" s="75">
        <f>AVERAGE(BM5:BM11)</f>
        <v>334792.01693890465</v>
      </c>
      <c r="BO11" s="74">
        <v>1511.5692168090554</v>
      </c>
      <c r="BP11" s="92">
        <f>AVERAGE(BO5:BO11)</f>
        <v>1588.4859160341086</v>
      </c>
      <c r="BQ11" s="74">
        <v>66562.165714080009</v>
      </c>
      <c r="BR11" s="75">
        <f>AVERAGE(BQ5:BQ11)</f>
        <v>67950.65938772056</v>
      </c>
      <c r="BS11" s="74">
        <v>1666.786579396879</v>
      </c>
      <c r="BT11" s="92">
        <f>AVERAGE(BS5:BS11)</f>
        <v>1672.6706436637342</v>
      </c>
      <c r="BU11" s="74">
        <v>201299.99999972398</v>
      </c>
      <c r="BV11" s="75">
        <f>AVERAGE(BU5:BU11)</f>
        <v>158597.55734686457</v>
      </c>
      <c r="BW11" s="74">
        <v>1857.1234114505571</v>
      </c>
      <c r="BX11" s="92">
        <f>AVERAGE(BW5:BW11)</f>
        <v>1691.2472894823004</v>
      </c>
      <c r="BY11" s="74">
        <v>66258.750000299988</v>
      </c>
      <c r="BZ11" s="75">
        <f>AVERAGE(BY5:BY11)</f>
        <v>72137.914285757142</v>
      </c>
      <c r="CA11" s="74">
        <v>1583.7710614715716</v>
      </c>
      <c r="CB11" s="92">
        <f>AVERAGE(CA5:CA11)</f>
        <v>1682.3664832699749</v>
      </c>
      <c r="CC11" s="74">
        <v>123370.87749995998</v>
      </c>
      <c r="CD11" s="75">
        <f>AVERAGE(CC5:CC11)</f>
        <v>153588.31734694284</v>
      </c>
      <c r="CE11" s="74">
        <v>1156.1577560697197</v>
      </c>
      <c r="CF11" s="92">
        <f>AVERAGE(CE5:CE11)</f>
        <v>1183.6756109110615</v>
      </c>
      <c r="CG11" s="74">
        <v>49835.290714369999</v>
      </c>
      <c r="CH11" s="75">
        <f>AVERAGE(CG5:CG11)</f>
        <v>56124.482295867136</v>
      </c>
      <c r="CI11" s="74">
        <v>1218.8250184283197</v>
      </c>
      <c r="CJ11" s="92">
        <f>AVERAGE(CI5:CI11)</f>
        <v>1257.6508290796705</v>
      </c>
      <c r="CK11" s="74">
        <v>40614.716785730001</v>
      </c>
      <c r="CL11" s="75">
        <f>AVERAGE(CK5:CK11)</f>
        <v>37780.250816271422</v>
      </c>
      <c r="CM11" s="74">
        <v>1404.3444820995094</v>
      </c>
      <c r="CN11" s="92">
        <f>AVERAGE(CM5:CM11)</f>
        <v>1432.1698452092205</v>
      </c>
      <c r="CO11" s="74">
        <v>37763.003928549995</v>
      </c>
      <c r="CP11" s="75">
        <f>AVERAGE(CO5:CO11)</f>
        <v>36423.468928599999</v>
      </c>
      <c r="CQ11" s="74">
        <v>1402.4616374768459</v>
      </c>
      <c r="CR11" s="92">
        <f>AVERAGE(CQ5:CQ11)</f>
        <v>1436.551071591779</v>
      </c>
    </row>
    <row r="12" spans="1:96" x14ac:dyDescent="0.25">
      <c r="A12" s="85">
        <f t="shared" si="7"/>
        <v>45205</v>
      </c>
      <c r="B12" s="74">
        <v>853280.33000027994</v>
      </c>
      <c r="C12" s="75">
        <f t="shared" si="8"/>
        <v>902805.6045536095</v>
      </c>
      <c r="D12" s="74">
        <v>1519.4373801182476</v>
      </c>
      <c r="E12" s="75">
        <f t="shared" si="8"/>
        <v>1514.0508416621781</v>
      </c>
      <c r="F12" s="96">
        <f t="shared" si="0"/>
        <v>0</v>
      </c>
      <c r="G12" s="75">
        <v>659601.20892880892</v>
      </c>
      <c r="H12" s="75">
        <f t="shared" ref="H12" si="52">AVERAGE(G9:G12)</f>
        <v>637326.9775000501</v>
      </c>
      <c r="I12" s="75">
        <f>Table5[[#This Row],[Average NWP (Boom)]]</f>
        <v>1519.4373801182476</v>
      </c>
      <c r="J12" s="92">
        <f t="shared" ref="J12" si="53">AVERAGE(I9:I12)</f>
        <v>1514.0508416621781</v>
      </c>
      <c r="K12" s="75">
        <f t="shared" si="1"/>
        <v>230097.24285725999</v>
      </c>
      <c r="L12" s="75">
        <f t="shared" ref="L12" si="54">AVERAGE(K9:K12)</f>
        <v>260070.80812498752</v>
      </c>
      <c r="M12" s="75">
        <v>1330.0418662269365</v>
      </c>
      <c r="N12" s="75">
        <f t="shared" ref="N12" si="55">AVERAGE(M9:M12)</f>
        <v>1269.8804756530938</v>
      </c>
      <c r="O12" s="96">
        <f t="shared" si="2"/>
        <v>0</v>
      </c>
      <c r="P12" s="74">
        <v>230097.24285725999</v>
      </c>
      <c r="Q12" s="75">
        <f t="shared" ref="Q12" si="56">AVERAGE(P9:P12)</f>
        <v>260070.80812498752</v>
      </c>
      <c r="R12" s="74">
        <v>1330.0418662269365</v>
      </c>
      <c r="S12" s="75">
        <f t="shared" ref="S12" si="57">AVERAGE(R9:R12)</f>
        <v>1269.8804756530938</v>
      </c>
      <c r="T12" s="96">
        <v>0</v>
      </c>
      <c r="U12" s="74">
        <v>0</v>
      </c>
      <c r="V12" s="75">
        <f t="shared" ref="V12" si="58">AVERAGE(U9:U12)</f>
        <v>0</v>
      </c>
      <c r="W12" s="74">
        <v>0</v>
      </c>
      <c r="X12" s="75">
        <f t="shared" ref="X12" si="59">AVERAGE(W9:W12)</f>
        <v>0</v>
      </c>
      <c r="Y12" s="96">
        <v>0</v>
      </c>
      <c r="Z12" s="74">
        <v>51931.923928585005</v>
      </c>
      <c r="AA12" s="75">
        <f t="shared" ref="AA12" si="60">AVERAGE(Z9:Z12)</f>
        <v>53561.233035718498</v>
      </c>
      <c r="AB12" s="74">
        <v>1601.8105646125616</v>
      </c>
      <c r="AC12" s="75">
        <f t="shared" ref="AC12" si="61">AVERAGE(AB9:AB12)</f>
        <v>1641.0781316886016</v>
      </c>
      <c r="AD12" s="96" t="e">
        <v>#VALUE!</v>
      </c>
      <c r="AE12" s="74">
        <v>51931.923928585005</v>
      </c>
      <c r="AF12" s="75">
        <f t="shared" ref="AF12" si="62">AVERAGE(AE9:AE12)</f>
        <v>53561.233035718498</v>
      </c>
      <c r="AG12" s="74">
        <v>130.48222092609299</v>
      </c>
      <c r="AH12" s="75">
        <f t="shared" ref="AH12" si="63">AVERAGE(AG9:AG12)</f>
        <v>130.92148210502467</v>
      </c>
      <c r="AI12" s="96" t="e">
        <v>#VALUE!</v>
      </c>
      <c r="AJ12" s="74">
        <v>623183.08714302001</v>
      </c>
      <c r="AK12" s="75">
        <f t="shared" ref="AK12" si="64">AVERAGE(AJ9:AJ12)</f>
        <v>642734.79642862198</v>
      </c>
      <c r="AL12" s="74">
        <v>1601.8105646125614</v>
      </c>
      <c r="AM12" s="75">
        <f t="shared" ref="AM12" si="65">AVERAGE(AL9:AL12)</f>
        <v>1641.0781316886023</v>
      </c>
      <c r="AN12" s="96">
        <v>0</v>
      </c>
      <c r="AO12" s="74">
        <f t="shared" si="3"/>
        <v>391054.63785714604</v>
      </c>
      <c r="AP12" s="75">
        <f t="shared" ref="AP12:AP75" si="66">AVERAGE(AO6:AO12)</f>
        <v>461109.41663272091</v>
      </c>
      <c r="AQ12" s="74">
        <v>1399.0264062386273</v>
      </c>
      <c r="AR12" s="92">
        <f t="shared" ref="AR12:AR75" si="67">AVERAGE(AQ6:AQ12)</f>
        <v>1427.8127072061907</v>
      </c>
      <c r="AS12" s="74">
        <f t="shared" si="4"/>
        <v>131133.52107134002</v>
      </c>
      <c r="AT12" s="75">
        <f t="shared" ref="AT12:AT75" si="68">AVERAGE(AS6:AS12)</f>
        <v>120363.85479583971</v>
      </c>
      <c r="AU12" s="74">
        <v>1602.8208894809397</v>
      </c>
      <c r="AV12" s="92">
        <f t="shared" ref="AV12:AV75" si="69">AVERAGE(AU6:AU12)</f>
        <v>1441.5900329774863</v>
      </c>
      <c r="AW12" s="74">
        <f t="shared" si="5"/>
        <v>242611.04178597603</v>
      </c>
      <c r="AX12" s="75">
        <f t="shared" ref="AX12:AX75" si="70">AVERAGE(AW6:AW12)</f>
        <v>211096.84872438086</v>
      </c>
      <c r="AY12" s="74">
        <v>1705.5749164265856</v>
      </c>
      <c r="AZ12" s="92">
        <f t="shared" ref="AZ12:AZ75" si="71">AVERAGE(AY6:AY12)</f>
        <v>1638.673649508811</v>
      </c>
      <c r="BA12" s="74">
        <f t="shared" si="6"/>
        <v>88481.129285817995</v>
      </c>
      <c r="BB12" s="75">
        <f t="shared" ref="BB12:BB75" si="72">AVERAGE(BA6:BA12)</f>
        <v>106018.27673476827</v>
      </c>
      <c r="BC12" s="74">
        <v>1525.6085796357813</v>
      </c>
      <c r="BD12" s="92">
        <f t="shared" ref="BD12:BD75" si="73">AVERAGE(BC6:BC12)</f>
        <v>1583.9631377323324</v>
      </c>
      <c r="BE12" s="93">
        <f>AO12/SUM(Table5[[#This Row],[NWP (Standard)]],Table5[[#This Row],[NWP (Plus)]],Table5[[#This Row],[NWP (Essentials)]],Table5[[#This Row],[NWP (Premium)]])</f>
        <v>0.45829561998343227</v>
      </c>
      <c r="BF12" s="93">
        <f>AS12/SUM(Table5[[#This Row],[NWP (Standard)]],Table5[[#This Row],[NWP (Plus)]],Table5[[#This Row],[NWP (Essentials)]],Table5[[#This Row],[NWP (Premium)]])</f>
        <v>0.15368164067639645</v>
      </c>
      <c r="BG12" s="93">
        <f>AW12/SUM(Table5[[#This Row],[NWP (Standard)]],Table5[[#This Row],[NWP (Plus)]],Table5[[#This Row],[NWP (Essentials)]],Table5[[#This Row],[NWP (Premium)]])</f>
        <v>0.28432747510527567</v>
      </c>
      <c r="BH12" s="94">
        <f>BA12/SUM(Table5[[#This Row],[NWP (Standard)]],Table5[[#This Row],[NWP (Plus)]],Table5[[#This Row],[NWP (Essentials)]],Table5[[#This Row],[NWP (Premium)]])</f>
        <v>0.10369526423489564</v>
      </c>
      <c r="BI12" s="93">
        <f t="shared" ref="BI12:BL75" si="74">AVERAGE(BE6:BE12)</f>
        <v>0.51270135904791281</v>
      </c>
      <c r="BJ12" s="93">
        <f t="shared" si="51"/>
        <v>0.13464089394335843</v>
      </c>
      <c r="BK12" s="93">
        <f t="shared" si="51"/>
        <v>0.23500749152890732</v>
      </c>
      <c r="BL12" s="94">
        <f t="shared" si="51"/>
        <v>0.11765025547982151</v>
      </c>
      <c r="BM12" s="74">
        <v>280970.12142861605</v>
      </c>
      <c r="BN12" s="75">
        <f t="shared" ref="BN12:BN75" si="75">AVERAGE(BM6:BM12)</f>
        <v>318411.07408177375</v>
      </c>
      <c r="BO12" s="74">
        <v>1496.3486475384395</v>
      </c>
      <c r="BP12" s="92">
        <f t="shared" ref="BP12:BP75" si="76">AVERAGE(BO6:BO12)</f>
        <v>1573.3196346875363</v>
      </c>
      <c r="BQ12" s="74">
        <v>88521.964285680006</v>
      </c>
      <c r="BR12" s="75">
        <f t="shared" ref="BR12:BR75" si="77">AVERAGE(BQ6:BQ12)</f>
        <v>67038.313469338274</v>
      </c>
      <c r="BS12" s="74">
        <v>1773.9289822659505</v>
      </c>
      <c r="BT12" s="92">
        <f t="shared" ref="BT12:BT75" si="78">AVERAGE(BS6:BS12)</f>
        <v>1626.4300878374511</v>
      </c>
      <c r="BU12" s="74">
        <v>194710.17428583605</v>
      </c>
      <c r="BV12" s="75">
        <f t="shared" ref="BV12:BV75" si="79">AVERAGE(BU6:BU12)</f>
        <v>170000.26285705369</v>
      </c>
      <c r="BW12" s="74">
        <v>1733.4093158869414</v>
      </c>
      <c r="BX12" s="92">
        <f t="shared" ref="BX12:BX75" si="80">AVERAGE(BW6:BW12)</f>
        <v>1686.0501578468586</v>
      </c>
      <c r="BY12" s="74">
        <v>58980.827142888003</v>
      </c>
      <c r="BZ12" s="75">
        <f t="shared" ref="BZ12:BZ75" si="81">AVERAGE(BY6:BY12)</f>
        <v>71068.200612298271</v>
      </c>
      <c r="CA12" s="74">
        <v>1510.4242048694034</v>
      </c>
      <c r="CB12" s="92">
        <f t="shared" ref="CB12:CB75" si="82">AVERAGE(CA6:CA12)</f>
        <v>1673.6342713956744</v>
      </c>
      <c r="CC12" s="74">
        <v>110084.51642853</v>
      </c>
      <c r="CD12" s="75">
        <f t="shared" ref="CD12:CD75" si="83">AVERAGE(CC6:CC12)</f>
        <v>142698.34255094716</v>
      </c>
      <c r="CE12" s="74">
        <v>1199.8491069488005</v>
      </c>
      <c r="CF12" s="92">
        <f t="shared" ref="CF12:CF75" si="84">AVERAGE(CE6:CE12)</f>
        <v>1183.9976534421035</v>
      </c>
      <c r="CG12" s="74">
        <v>42611.556785660003</v>
      </c>
      <c r="CH12" s="75">
        <f t="shared" ref="CH12:CH75" si="85">AVERAGE(CG6:CG12)</f>
        <v>53325.541326501421</v>
      </c>
      <c r="CI12" s="74">
        <v>1335.2593992269228</v>
      </c>
      <c r="CJ12" s="92">
        <f t="shared" ref="CJ12:CJ75" si="86">AVERAGE(CI6:CI12)</f>
        <v>1258.8138256864042</v>
      </c>
      <c r="CK12" s="74">
        <v>47900.867500139997</v>
      </c>
      <c r="CL12" s="75">
        <f t="shared" ref="CL12:CL75" si="87">AVERAGE(CK6:CK12)</f>
        <v>41096.58586732715</v>
      </c>
      <c r="CM12" s="74">
        <v>1601.070091725845</v>
      </c>
      <c r="CN12" s="92">
        <f t="shared" ref="CN12:CN75" si="88">AVERAGE(CM6:CM12)</f>
        <v>1452.8760226064585</v>
      </c>
      <c r="CO12" s="74">
        <v>29500.302142929999</v>
      </c>
      <c r="CP12" s="75">
        <f t="shared" ref="CP12:CP75" si="89">AVERAGE(CO6:CO12)</f>
        <v>34950.076122470004</v>
      </c>
      <c r="CQ12" s="74">
        <v>1556.9013098644668</v>
      </c>
      <c r="CR12" s="92">
        <f t="shared" ref="CR12:CR75" si="90">AVERAGE(CQ6:CQ12)</f>
        <v>1439.6076797137011</v>
      </c>
    </row>
    <row r="13" spans="1:96" x14ac:dyDescent="0.25">
      <c r="A13" s="85">
        <f t="shared" si="7"/>
        <v>45212</v>
      </c>
      <c r="B13" s="74">
        <v>1091043.9578575185</v>
      </c>
      <c r="C13" s="75">
        <f t="shared" si="8"/>
        <v>961816.62651796965</v>
      </c>
      <c r="D13" s="74">
        <v>1482.3471560030075</v>
      </c>
      <c r="E13" s="75">
        <f t="shared" si="8"/>
        <v>1515.4039769082631</v>
      </c>
      <c r="F13" s="96">
        <f t="shared" si="0"/>
        <v>0</v>
      </c>
      <c r="G13" s="75">
        <v>660269.06499954558</v>
      </c>
      <c r="H13" s="75">
        <f t="shared" ref="H13" si="91">AVERAGE(G10:G13)</f>
        <v>646922.26249993488</v>
      </c>
      <c r="I13" s="75">
        <f>Table5[[#This Row],[Average NWP (Boom)]]</f>
        <v>1482.3471560030075</v>
      </c>
      <c r="J13" s="92">
        <f t="shared" ref="J13" si="92">AVERAGE(I10:I13)</f>
        <v>1515.4039769082631</v>
      </c>
      <c r="K13" s="75">
        <f t="shared" si="1"/>
        <v>297094.78928515012</v>
      </c>
      <c r="L13" s="75">
        <f t="shared" ref="L13" si="93">AVERAGE(K10:K13)</f>
        <v>264418.80973200756</v>
      </c>
      <c r="M13" s="75">
        <v>1253.5645117516883</v>
      </c>
      <c r="N13" s="75">
        <f t="shared" ref="N13" si="94">AVERAGE(M10:M13)</f>
        <v>1268.2909922654867</v>
      </c>
      <c r="O13" s="96">
        <f t="shared" si="2"/>
        <v>0</v>
      </c>
      <c r="P13" s="74">
        <v>297094.78928515012</v>
      </c>
      <c r="Q13" s="75">
        <f t="shared" ref="Q13" si="95">AVERAGE(P10:P13)</f>
        <v>264418.80973200756</v>
      </c>
      <c r="R13" s="74">
        <v>1253.5645117516883</v>
      </c>
      <c r="S13" s="75">
        <f t="shared" ref="S13" si="96">AVERAGE(R10:R13)</f>
        <v>1268.2909922654867</v>
      </c>
      <c r="T13" s="96">
        <v>0</v>
      </c>
      <c r="U13" s="74">
        <v>0</v>
      </c>
      <c r="V13" s="75">
        <f t="shared" ref="V13" si="97">AVERAGE(U10:U13)</f>
        <v>0</v>
      </c>
      <c r="W13" s="74">
        <v>0</v>
      </c>
      <c r="X13" s="75">
        <f t="shared" ref="X13" si="98">AVERAGE(W10:W13)</f>
        <v>0</v>
      </c>
      <c r="Y13" s="96">
        <v>0</v>
      </c>
      <c r="Z13" s="74">
        <v>66162.430714364004</v>
      </c>
      <c r="AA13" s="75">
        <f t="shared" ref="AA13" si="99">AVERAGE(Z10:Z13)</f>
        <v>58116.484732163502</v>
      </c>
      <c r="AB13" s="74">
        <v>1588.9402654734906</v>
      </c>
      <c r="AC13" s="75">
        <f t="shared" ref="AC13" si="100">AVERAGE(AB10:AB13)</f>
        <v>1636.0167666350121</v>
      </c>
      <c r="AD13" s="96" t="e">
        <v>#VALUE!</v>
      </c>
      <c r="AE13" s="74">
        <v>66162.430714364004</v>
      </c>
      <c r="AF13" s="75">
        <f t="shared" ref="AF13" si="101">AVERAGE(AE10:AE13)</f>
        <v>58116.484732163502</v>
      </c>
      <c r="AG13" s="74">
        <v>130.24100534323622</v>
      </c>
      <c r="AH13" s="75">
        <f t="shared" ref="AH13" si="102">AVERAGE(AG10:AG13)</f>
        <v>131.60578667980712</v>
      </c>
      <c r="AI13" s="96" t="e">
        <v>#VALUE!</v>
      </c>
      <c r="AJ13" s="74">
        <v>793949.16857236787</v>
      </c>
      <c r="AK13" s="75">
        <f t="shared" ref="AK13" si="103">AVERAGE(AJ10:AJ13)</f>
        <v>697397.81678596197</v>
      </c>
      <c r="AL13" s="74">
        <v>1588.9402654734909</v>
      </c>
      <c r="AM13" s="75">
        <f t="shared" ref="AM13" si="104">AVERAGE(AL10:AL13)</f>
        <v>1636.0167666350126</v>
      </c>
      <c r="AN13" s="96">
        <v>0</v>
      </c>
      <c r="AO13" s="74">
        <f t="shared" si="3"/>
        <v>558889.32214316993</v>
      </c>
      <c r="AP13" s="75">
        <f t="shared" si="66"/>
        <v>464298.75622465176</v>
      </c>
      <c r="AQ13" s="74">
        <v>1443.1090474225896</v>
      </c>
      <c r="AR13" s="92">
        <f t="shared" si="67"/>
        <v>1426.6811386582592</v>
      </c>
      <c r="AS13" s="74">
        <f t="shared" si="4"/>
        <v>113616.70999993398</v>
      </c>
      <c r="AT13" s="75">
        <f t="shared" si="68"/>
        <v>116010.77061212002</v>
      </c>
      <c r="AU13" s="74">
        <v>1400.5966946340391</v>
      </c>
      <c r="AV13" s="92">
        <f t="shared" si="69"/>
        <v>1433.8474226842602</v>
      </c>
      <c r="AW13" s="74">
        <f t="shared" si="5"/>
        <v>304538.13821447798</v>
      </c>
      <c r="AX13" s="75">
        <f t="shared" si="70"/>
        <v>237340.59678562227</v>
      </c>
      <c r="AY13" s="74">
        <v>1542.4987351259517</v>
      </c>
      <c r="AZ13" s="92">
        <f t="shared" si="71"/>
        <v>1648.2622282104171</v>
      </c>
      <c r="BA13" s="74">
        <f t="shared" si="6"/>
        <v>113999.78749993598</v>
      </c>
      <c r="BB13" s="75">
        <f t="shared" si="72"/>
        <v>103694.1617347857</v>
      </c>
      <c r="BC13" s="74">
        <v>1624.1308769613952</v>
      </c>
      <c r="BD13" s="92">
        <f t="shared" si="73"/>
        <v>1586.3783822737203</v>
      </c>
      <c r="BE13" s="93">
        <f>AO13/SUM(Table5[[#This Row],[NWP (Standard)]],Table5[[#This Row],[NWP (Plus)]],Table5[[#This Row],[NWP (Essentials)]],Table5[[#This Row],[NWP (Premium)]])</f>
        <v>0.5122518832702766</v>
      </c>
      <c r="BF13" s="93">
        <f>AS13/SUM(Table5[[#This Row],[NWP (Standard)]],Table5[[#This Row],[NWP (Plus)]],Table5[[#This Row],[NWP (Essentials)]],Table5[[#This Row],[NWP (Premium)]])</f>
        <v>0.10413577673171209</v>
      </c>
      <c r="BG13" s="93">
        <f>AW13/SUM(Table5[[#This Row],[NWP (Standard)]],Table5[[#This Row],[NWP (Plus)]],Table5[[#This Row],[NWP (Essentials)]],Table5[[#This Row],[NWP (Premium)]])</f>
        <v>0.27912545229845664</v>
      </c>
      <c r="BH13" s="94">
        <f>BA13/SUM(Table5[[#This Row],[NWP (Standard)]],Table5[[#This Row],[NWP (Plus)]],Table5[[#This Row],[NWP (Essentials)]],Table5[[#This Row],[NWP (Premium)]])</f>
        <v>0.10448688769955453</v>
      </c>
      <c r="BI13" s="93">
        <f t="shared" si="74"/>
        <v>0.50361374730123021</v>
      </c>
      <c r="BJ13" s="93">
        <f t="shared" si="51"/>
        <v>0.12742568970900645</v>
      </c>
      <c r="BK13" s="93">
        <f t="shared" si="51"/>
        <v>0.25635650353208128</v>
      </c>
      <c r="BL13" s="94">
        <f t="shared" si="51"/>
        <v>0.11260405945768204</v>
      </c>
      <c r="BM13" s="74">
        <v>407255.89285751997</v>
      </c>
      <c r="BN13" s="75">
        <f t="shared" si="75"/>
        <v>322855.56428592175</v>
      </c>
      <c r="BO13" s="74">
        <v>1550.7246859413474</v>
      </c>
      <c r="BP13" s="92">
        <f t="shared" si="76"/>
        <v>1561.3880355763126</v>
      </c>
      <c r="BQ13" s="74">
        <v>69405.647142983988</v>
      </c>
      <c r="BR13" s="75">
        <f t="shared" si="77"/>
        <v>65166.093061174281</v>
      </c>
      <c r="BS13" s="74">
        <v>1470.0501654458669</v>
      </c>
      <c r="BT13" s="92">
        <f t="shared" si="78"/>
        <v>1596.7618928576217</v>
      </c>
      <c r="BU13" s="74">
        <v>240830.61000034798</v>
      </c>
      <c r="BV13" s="75">
        <f t="shared" si="79"/>
        <v>190698.75306117945</v>
      </c>
      <c r="BW13" s="74">
        <v>1654.3544158407146</v>
      </c>
      <c r="BX13" s="92">
        <f t="shared" si="80"/>
        <v>1704.6628461993646</v>
      </c>
      <c r="BY13" s="74">
        <v>76457.01857151599</v>
      </c>
      <c r="BZ13" s="75">
        <f t="shared" si="81"/>
        <v>68913.720000094283</v>
      </c>
      <c r="CA13" s="74">
        <v>1727.3622717414717</v>
      </c>
      <c r="CB13" s="92">
        <f t="shared" si="82"/>
        <v>1669.5538881458633</v>
      </c>
      <c r="CC13" s="74">
        <v>151633.42928565</v>
      </c>
      <c r="CD13" s="75">
        <f t="shared" si="83"/>
        <v>141443.19193873001</v>
      </c>
      <c r="CE13" s="74">
        <v>1216.3909066625761</v>
      </c>
      <c r="CF13" s="92">
        <f t="shared" si="84"/>
        <v>1193.6259574555145</v>
      </c>
      <c r="CG13" s="74">
        <v>44211.062856950004</v>
      </c>
      <c r="CH13" s="75">
        <f t="shared" si="85"/>
        <v>50844.677550945715</v>
      </c>
      <c r="CI13" s="74">
        <v>1303.8879133795958</v>
      </c>
      <c r="CJ13" s="92">
        <f t="shared" si="86"/>
        <v>1268.6669170476562</v>
      </c>
      <c r="CK13" s="74">
        <v>63707.528214130005</v>
      </c>
      <c r="CL13" s="75">
        <f t="shared" si="87"/>
        <v>46641.843724442864</v>
      </c>
      <c r="CM13" s="74">
        <v>1228.5013343257526</v>
      </c>
      <c r="CN13" s="92">
        <f t="shared" si="88"/>
        <v>1440.7151833325354</v>
      </c>
      <c r="CO13" s="74">
        <v>37542.768928419995</v>
      </c>
      <c r="CP13" s="75">
        <f t="shared" si="89"/>
        <v>34780.441734691427</v>
      </c>
      <c r="CQ13" s="74">
        <v>1447.9086856996562</v>
      </c>
      <c r="CR13" s="92">
        <f t="shared" si="90"/>
        <v>1455.1398574499669</v>
      </c>
    </row>
    <row r="14" spans="1:96" x14ac:dyDescent="0.25">
      <c r="A14" s="85">
        <f t="shared" si="7"/>
        <v>45219</v>
      </c>
      <c r="B14" s="74">
        <v>1345730.7764270441</v>
      </c>
      <c r="C14" s="75">
        <f t="shared" si="8"/>
        <v>1052299.2925889953</v>
      </c>
      <c r="D14" s="74">
        <v>1379.2511004600399</v>
      </c>
      <c r="E14" s="75">
        <f t="shared" si="8"/>
        <v>1469.3825709923658</v>
      </c>
      <c r="F14" s="96">
        <f t="shared" si="0"/>
        <v>0</v>
      </c>
      <c r="G14" s="75">
        <v>742084.9624993148</v>
      </c>
      <c r="H14" s="75">
        <f t="shared" ref="H14" si="105">AVERAGE(G11:G14)</f>
        <v>671812.03705335513</v>
      </c>
      <c r="I14" s="75">
        <f>Table5[[#This Row],[Average NWP (Boom)]]</f>
        <v>1379.2511004600399</v>
      </c>
      <c r="J14" s="92">
        <f t="shared" ref="J14" si="106">AVERAGE(I11:I14)</f>
        <v>1469.3825709923658</v>
      </c>
      <c r="K14" s="75">
        <f t="shared" si="1"/>
        <v>328777.55499933998</v>
      </c>
      <c r="L14" s="75">
        <f t="shared" ref="L14" si="107">AVERAGE(K11:K14)</f>
        <v>276888.36901759007</v>
      </c>
      <c r="M14" s="75">
        <v>1153.6054561380349</v>
      </c>
      <c r="N14" s="75">
        <f t="shared" ref="N14" si="108">AVERAGE(M11:M14)</f>
        <v>1242.6165479024614</v>
      </c>
      <c r="O14" s="96">
        <f t="shared" si="2"/>
        <v>0</v>
      </c>
      <c r="P14" s="74">
        <v>328777.55499933998</v>
      </c>
      <c r="Q14" s="75">
        <f t="shared" ref="Q14" si="109">AVERAGE(P11:P14)</f>
        <v>276888.36901759007</v>
      </c>
      <c r="R14" s="74">
        <v>1153.6054561380349</v>
      </c>
      <c r="S14" s="75">
        <f t="shared" ref="S14" si="110">AVERAGE(R11:R14)</f>
        <v>1242.6165479024614</v>
      </c>
      <c r="T14" s="96">
        <v>0</v>
      </c>
      <c r="U14" s="74">
        <v>0</v>
      </c>
      <c r="V14" s="75">
        <f t="shared" ref="V14" si="111">AVERAGE(U11:U14)</f>
        <v>0</v>
      </c>
      <c r="W14" s="74">
        <v>0</v>
      </c>
      <c r="X14" s="75">
        <f t="shared" ref="X14" si="112">AVERAGE(W11:W14)</f>
        <v>0</v>
      </c>
      <c r="Y14" s="96">
        <v>0</v>
      </c>
      <c r="Z14" s="74">
        <v>84746.101785641978</v>
      </c>
      <c r="AA14" s="75">
        <f t="shared" ref="AA14" si="113">AVERAGE(Z11:Z14)</f>
        <v>64617.576964283748</v>
      </c>
      <c r="AB14" s="74">
        <v>1470.700486445141</v>
      </c>
      <c r="AC14" s="75">
        <f t="shared" ref="AC14" si="114">AVERAGE(AB11:AB14)</f>
        <v>1571.6632285798366</v>
      </c>
      <c r="AD14" s="96" t="e">
        <v>#VALUE!</v>
      </c>
      <c r="AE14" s="74">
        <v>84746.101785641978</v>
      </c>
      <c r="AF14" s="75">
        <f t="shared" ref="AF14" si="115">AVERAGE(AE11:AE14)</f>
        <v>64617.576964283748</v>
      </c>
      <c r="AG14" s="74">
        <v>120.54922017872259</v>
      </c>
      <c r="AH14" s="75">
        <f t="shared" ref="AH14" si="116">AVERAGE(AG11:AG14)</f>
        <v>127.51131267019814</v>
      </c>
      <c r="AI14" s="96" t="e">
        <v>#VALUE!</v>
      </c>
      <c r="AJ14" s="74">
        <v>1016953.221427704</v>
      </c>
      <c r="AK14" s="75">
        <f t="shared" ref="AK14" si="117">AVERAGE(AJ11:AJ14)</f>
        <v>775410.923571405</v>
      </c>
      <c r="AL14" s="74">
        <v>1470.7004864451417</v>
      </c>
      <c r="AM14" s="75">
        <f t="shared" ref="AM14" si="118">AVERAGE(AL11:AL14)</f>
        <v>1571.6632285798371</v>
      </c>
      <c r="AN14" s="96">
        <v>0</v>
      </c>
      <c r="AO14" s="74">
        <f t="shared" si="3"/>
        <v>665121.993928198</v>
      </c>
      <c r="AP14" s="75">
        <f t="shared" si="66"/>
        <v>496404.66586742486</v>
      </c>
      <c r="AQ14" s="74">
        <v>1270.0386059940718</v>
      </c>
      <c r="AR14" s="92">
        <f t="shared" si="67"/>
        <v>1413.0721465473084</v>
      </c>
      <c r="AS14" s="74">
        <f t="shared" si="4"/>
        <v>175668.15178529997</v>
      </c>
      <c r="AT14" s="75">
        <f t="shared" si="68"/>
        <v>122868.71132636371</v>
      </c>
      <c r="AU14" s="74">
        <v>1481.6117884643538</v>
      </c>
      <c r="AV14" s="92">
        <f t="shared" si="69"/>
        <v>1460.702448507458</v>
      </c>
      <c r="AW14" s="74">
        <f t="shared" si="5"/>
        <v>396063.58642773598</v>
      </c>
      <c r="AX14" s="75">
        <f t="shared" si="70"/>
        <v>268830.07301007828</v>
      </c>
      <c r="AY14" s="74">
        <v>1593.9223998345826</v>
      </c>
      <c r="AZ14" s="92">
        <f t="shared" si="71"/>
        <v>1657.3357924122542</v>
      </c>
      <c r="BA14" s="74">
        <f t="shared" si="6"/>
        <v>108877.04428581</v>
      </c>
      <c r="BB14" s="75">
        <f t="shared" si="72"/>
        <v>103495.40137765199</v>
      </c>
      <c r="BC14" s="74">
        <v>1281.7304024810746</v>
      </c>
      <c r="BD14" s="92">
        <f t="shared" si="73"/>
        <v>1519.1588143707738</v>
      </c>
      <c r="BE14" s="93">
        <f>AO14/SUM(Table5[[#This Row],[NWP (Standard)]],Table5[[#This Row],[NWP (Plus)]],Table5[[#This Row],[NWP (Essentials)]],Table5[[#This Row],[NWP (Premium)]])</f>
        <v>0.49424595586207593</v>
      </c>
      <c r="BF14" s="93">
        <f>AS14/SUM(Table5[[#This Row],[NWP (Standard)]],Table5[[#This Row],[NWP (Plus)]],Table5[[#This Row],[NWP (Essentials)]],Table5[[#This Row],[NWP (Premium)]])</f>
        <v>0.13053736665791668</v>
      </c>
      <c r="BG14" s="93">
        <f>AW14/SUM(Table5[[#This Row],[NWP (Standard)]],Table5[[#This Row],[NWP (Plus)]],Table5[[#This Row],[NWP (Essentials)]],Table5[[#This Row],[NWP (Premium)]])</f>
        <v>0.2943111604234071</v>
      </c>
      <c r="BH14" s="94">
        <f>BA14/SUM(Table5[[#This Row],[NWP (Standard)]],Table5[[#This Row],[NWP (Plus)]],Table5[[#This Row],[NWP (Essentials)]],Table5[[#This Row],[NWP (Premium)]])</f>
        <v>8.0905517056600165E-2</v>
      </c>
      <c r="BI14" s="93">
        <f t="shared" si="74"/>
        <v>0.50054901373049543</v>
      </c>
      <c r="BJ14" s="93">
        <f t="shared" si="51"/>
        <v>0.12471720727826389</v>
      </c>
      <c r="BK14" s="93">
        <f t="shared" si="51"/>
        <v>0.26901858953903551</v>
      </c>
      <c r="BL14" s="94">
        <f t="shared" si="51"/>
        <v>0.10571518945220502</v>
      </c>
      <c r="BM14" s="74">
        <v>489558.52285720804</v>
      </c>
      <c r="BN14" s="75">
        <f t="shared" si="75"/>
        <v>352452.14632673486</v>
      </c>
      <c r="BO14" s="74">
        <v>1402.0220610171377</v>
      </c>
      <c r="BP14" s="92">
        <f t="shared" si="76"/>
        <v>1548.1432900455616</v>
      </c>
      <c r="BQ14" s="74">
        <v>116792.09571383998</v>
      </c>
      <c r="BR14" s="75">
        <f t="shared" si="77"/>
        <v>73129.48163253942</v>
      </c>
      <c r="BS14" s="74">
        <v>1465.9090205404561</v>
      </c>
      <c r="BT14" s="92">
        <f t="shared" si="78"/>
        <v>1607.2272097808757</v>
      </c>
      <c r="BU14" s="74">
        <v>334252.44428523595</v>
      </c>
      <c r="BV14" s="75">
        <f t="shared" si="79"/>
        <v>220662.43285707259</v>
      </c>
      <c r="BW14" s="74">
        <v>1641.658543081279</v>
      </c>
      <c r="BX14" s="92">
        <f t="shared" si="80"/>
        <v>1724.5066600876669</v>
      </c>
      <c r="BY14" s="74">
        <v>76350.158571420005</v>
      </c>
      <c r="BZ14" s="75">
        <f t="shared" si="81"/>
        <v>68248.14551028343</v>
      </c>
      <c r="CA14" s="74">
        <v>1293.7110204708181</v>
      </c>
      <c r="CB14" s="92">
        <f t="shared" si="82"/>
        <v>1585.1336154660337</v>
      </c>
      <c r="CC14" s="74">
        <v>175563.47107099</v>
      </c>
      <c r="CD14" s="75">
        <f t="shared" si="83"/>
        <v>143952.51954069</v>
      </c>
      <c r="CE14" s="74">
        <v>1005.9683821461938</v>
      </c>
      <c r="CF14" s="92">
        <f t="shared" si="84"/>
        <v>1168.4326884108089</v>
      </c>
      <c r="CG14" s="74">
        <v>58876.056071459992</v>
      </c>
      <c r="CH14" s="75">
        <f t="shared" si="85"/>
        <v>49739.229693824287</v>
      </c>
      <c r="CI14" s="74">
        <v>1513.7784700633265</v>
      </c>
      <c r="CJ14" s="92">
        <f t="shared" si="86"/>
        <v>1311.4230732855519</v>
      </c>
      <c r="CK14" s="74">
        <v>61811.142142500001</v>
      </c>
      <c r="CL14" s="75">
        <f t="shared" si="87"/>
        <v>48167.640153005719</v>
      </c>
      <c r="CM14" s="74">
        <v>1377.3441718911458</v>
      </c>
      <c r="CN14" s="92">
        <f t="shared" si="88"/>
        <v>1408.5918021462451</v>
      </c>
      <c r="CO14" s="74">
        <v>32526.885714389999</v>
      </c>
      <c r="CP14" s="75">
        <f t="shared" si="89"/>
        <v>35247.255867368563</v>
      </c>
      <c r="CQ14" s="74">
        <v>1254.4615564829467</v>
      </c>
      <c r="CR14" s="92">
        <f t="shared" si="90"/>
        <v>1424.7818730894312</v>
      </c>
    </row>
    <row r="15" spans="1:96" x14ac:dyDescent="0.25">
      <c r="A15" s="85">
        <f t="shared" si="7"/>
        <v>45226</v>
      </c>
      <c r="B15" s="74">
        <v>1474770.057143759</v>
      </c>
      <c r="C15" s="75">
        <f t="shared" si="8"/>
        <v>1191206.2803571504</v>
      </c>
      <c r="D15" s="74">
        <v>1398.1216659801514</v>
      </c>
      <c r="E15" s="75">
        <f t="shared" si="8"/>
        <v>1444.7893256403615</v>
      </c>
      <c r="F15" s="96">
        <f t="shared" si="0"/>
        <v>0</v>
      </c>
      <c r="G15" s="75">
        <v>833592.03678610304</v>
      </c>
      <c r="H15" s="75">
        <f t="shared" ref="H15" si="119">AVERAGE(G12:G15)</f>
        <v>723886.81830344314</v>
      </c>
      <c r="I15" s="75">
        <f>Table5[[#This Row],[Average NWP (Boom)]]</f>
        <v>1398.1216659801514</v>
      </c>
      <c r="J15" s="92">
        <f t="shared" ref="J15" si="120">AVERAGE(I12:I15)</f>
        <v>1444.7893256403615</v>
      </c>
      <c r="K15" s="75">
        <f t="shared" si="1"/>
        <v>407247.66571464017</v>
      </c>
      <c r="L15" s="75">
        <f t="shared" ref="L15" si="121">AVERAGE(K12:K15)</f>
        <v>315804.31321409752</v>
      </c>
      <c r="M15" s="75">
        <v>1284.6929517811993</v>
      </c>
      <c r="N15" s="75">
        <f t="shared" ref="N15" si="122">AVERAGE(M12:M15)</f>
        <v>1255.4761964744648</v>
      </c>
      <c r="O15" s="96">
        <f t="shared" si="2"/>
        <v>0</v>
      </c>
      <c r="P15" s="74">
        <v>407247.66571464017</v>
      </c>
      <c r="Q15" s="75">
        <f t="shared" ref="Q15" si="123">AVERAGE(P12:P15)</f>
        <v>315804.31321409752</v>
      </c>
      <c r="R15" s="74">
        <v>1284.6929517811993</v>
      </c>
      <c r="S15" s="75">
        <f t="shared" ref="S15" si="124">AVERAGE(R12:R15)</f>
        <v>1255.4761964744648</v>
      </c>
      <c r="T15" s="96">
        <v>0</v>
      </c>
      <c r="U15" s="74">
        <v>0</v>
      </c>
      <c r="V15" s="75">
        <f t="shared" ref="V15" si="125">AVERAGE(U12:U15)</f>
        <v>0</v>
      </c>
      <c r="W15" s="74">
        <v>0</v>
      </c>
      <c r="X15" s="75">
        <f t="shared" ref="X15" si="126">AVERAGE(W12:W15)</f>
        <v>0</v>
      </c>
      <c r="Y15" s="96">
        <v>0</v>
      </c>
      <c r="Z15" s="74">
        <v>88960.199285759969</v>
      </c>
      <c r="AA15" s="75">
        <f t="shared" ref="AA15" si="127">AVERAGE(Z12:Z15)</f>
        <v>72950.163928587746</v>
      </c>
      <c r="AB15" s="74">
        <v>1445.1590299355896</v>
      </c>
      <c r="AC15" s="75">
        <f t="shared" ref="AC15" si="128">AVERAGE(AB12:AB15)</f>
        <v>1526.6525866166955</v>
      </c>
      <c r="AD15" s="96" t="e">
        <v>#VALUE!</v>
      </c>
      <c r="AE15" s="74">
        <v>88960.199285759969</v>
      </c>
      <c r="AF15" s="75">
        <f t="shared" ref="AF15" si="129">AVERAGE(AE12:AE15)</f>
        <v>72950.163928587746</v>
      </c>
      <c r="AG15" s="74">
        <v>118.4556581701198</v>
      </c>
      <c r="AH15" s="75">
        <f t="shared" ref="AH15" si="130">AVERAGE(AG12:AG15)</f>
        <v>124.9320261545429</v>
      </c>
      <c r="AI15" s="96" t="e">
        <v>#VALUE!</v>
      </c>
      <c r="AJ15" s="74">
        <v>1067522.39142912</v>
      </c>
      <c r="AK15" s="75">
        <f t="shared" ref="AK15" si="131">AVERAGE(AJ12:AJ15)</f>
        <v>875401.96714305296</v>
      </c>
      <c r="AL15" s="74">
        <v>1445.1590299355905</v>
      </c>
      <c r="AM15" s="75">
        <f t="shared" ref="AM15" si="132">AVERAGE(AL12:AL15)</f>
        <v>1526.652586616696</v>
      </c>
      <c r="AN15" s="96">
        <v>0</v>
      </c>
      <c r="AO15" s="74">
        <f t="shared" si="3"/>
        <v>691417.35357295396</v>
      </c>
      <c r="AP15" s="75">
        <f t="shared" si="66"/>
        <v>531464.73035743169</v>
      </c>
      <c r="AQ15" s="74">
        <v>1338.0856146120198</v>
      </c>
      <c r="AR15" s="92">
        <f t="shared" si="67"/>
        <v>1401.0534892535741</v>
      </c>
      <c r="AS15" s="74">
        <f t="shared" si="4"/>
        <v>195826.50499974005</v>
      </c>
      <c r="AT15" s="75">
        <f t="shared" si="68"/>
        <v>131113.62464268488</v>
      </c>
      <c r="AU15" s="74">
        <v>1488.834666320452</v>
      </c>
      <c r="AV15" s="92">
        <f t="shared" si="69"/>
        <v>1443.2104549474843</v>
      </c>
      <c r="AW15" s="74">
        <f t="shared" si="5"/>
        <v>433600.16464249394</v>
      </c>
      <c r="AX15" s="75">
        <f t="shared" si="70"/>
        <v>299430.80372431857</v>
      </c>
      <c r="AY15" s="74">
        <v>1451.2154019604855</v>
      </c>
      <c r="AZ15" s="92">
        <f t="shared" si="71"/>
        <v>1619.5091643590913</v>
      </c>
      <c r="BA15" s="74">
        <f t="shared" si="6"/>
        <v>153926.033928572</v>
      </c>
      <c r="BB15" s="75">
        <f t="shared" si="72"/>
        <v>112671.87122453055</v>
      </c>
      <c r="BC15" s="74">
        <v>1428.0590221354046</v>
      </c>
      <c r="BD15" s="92">
        <f t="shared" si="73"/>
        <v>1515.775389293392</v>
      </c>
      <c r="BE15" s="93">
        <f>AO15/SUM(Table5[[#This Row],[NWP (Standard)]],Table5[[#This Row],[NWP (Plus)]],Table5[[#This Row],[NWP (Essentials)]],Table5[[#This Row],[NWP (Premium)]])</f>
        <v>0.46883061547374155</v>
      </c>
      <c r="BF15" s="93">
        <f>AS15/SUM(Table5[[#This Row],[NWP (Standard)]],Table5[[#This Row],[NWP (Plus)]],Table5[[#This Row],[NWP (Essentials)]],Table5[[#This Row],[NWP (Premium)]])</f>
        <v>0.13278443242806562</v>
      </c>
      <c r="BG15" s="93">
        <f>AW15/SUM(Table5[[#This Row],[NWP (Standard)]],Table5[[#This Row],[NWP (Plus)]],Table5[[#This Row],[NWP (Essentials)]],Table5[[#This Row],[NWP (Premium)]])</f>
        <v>0.29401204787291579</v>
      </c>
      <c r="BH15" s="94">
        <f>BA15/SUM(Table5[[#This Row],[NWP (Standard)]],Table5[[#This Row],[NWP (Plus)]],Table5[[#This Row],[NWP (Essentials)]],Table5[[#This Row],[NWP (Premium)]])</f>
        <v>0.10437290422527704</v>
      </c>
      <c r="BI15" s="93">
        <f t="shared" si="74"/>
        <v>0.49619228853285863</v>
      </c>
      <c r="BJ15" s="93">
        <f t="shared" si="51"/>
        <v>0.12159682798772073</v>
      </c>
      <c r="BK15" s="93">
        <f t="shared" si="51"/>
        <v>0.27593037322993824</v>
      </c>
      <c r="BL15" s="94">
        <f t="shared" si="51"/>
        <v>0.1062805102494823</v>
      </c>
      <c r="BM15" s="74">
        <v>493057.41428690404</v>
      </c>
      <c r="BN15" s="75">
        <f t="shared" si="75"/>
        <v>377968.14122481603</v>
      </c>
      <c r="BO15" s="74">
        <v>1412.0423604185403</v>
      </c>
      <c r="BP15" s="92">
        <f t="shared" si="76"/>
        <v>1519.4037877120229</v>
      </c>
      <c r="BQ15" s="74">
        <v>128051.77285680003</v>
      </c>
      <c r="BR15" s="75">
        <f t="shared" si="77"/>
        <v>80582.219999840585</v>
      </c>
      <c r="BS15" s="74">
        <v>1607.2341863520187</v>
      </c>
      <c r="BT15" s="92">
        <f t="shared" si="78"/>
        <v>1577.7166177215372</v>
      </c>
      <c r="BU15" s="74">
        <v>357387.31714262394</v>
      </c>
      <c r="BV15" s="75">
        <f t="shared" si="79"/>
        <v>247355.45571421713</v>
      </c>
      <c r="BW15" s="74">
        <v>1465.0958568295816</v>
      </c>
      <c r="BX15" s="92">
        <f t="shared" si="80"/>
        <v>1685.0446357426968</v>
      </c>
      <c r="BY15" s="74">
        <v>89025.887142791995</v>
      </c>
      <c r="BZ15" s="75">
        <f t="shared" si="81"/>
        <v>72574.749795937707</v>
      </c>
      <c r="CA15" s="74">
        <v>1350.8903275342827</v>
      </c>
      <c r="CB15" s="92">
        <f t="shared" si="82"/>
        <v>1577.5403010428761</v>
      </c>
      <c r="CC15" s="74">
        <v>198359.93928604998</v>
      </c>
      <c r="CD15" s="75">
        <f t="shared" si="83"/>
        <v>153496.58913261569</v>
      </c>
      <c r="CE15" s="74">
        <v>1183.9487569469864</v>
      </c>
      <c r="CF15" s="92">
        <f t="shared" si="84"/>
        <v>1179.2106415940736</v>
      </c>
      <c r="CG15" s="74">
        <v>67774.732142940004</v>
      </c>
      <c r="CH15" s="75">
        <f t="shared" si="85"/>
        <v>50531.404642844289</v>
      </c>
      <c r="CI15" s="74">
        <v>1306.9310834242247</v>
      </c>
      <c r="CJ15" s="92">
        <f t="shared" si="86"/>
        <v>1295.5301134538038</v>
      </c>
      <c r="CK15" s="74">
        <v>76212.847499870011</v>
      </c>
      <c r="CL15" s="75">
        <f t="shared" si="87"/>
        <v>52075.348010101428</v>
      </c>
      <c r="CM15" s="74">
        <v>1389.4845421625448</v>
      </c>
      <c r="CN15" s="92">
        <f t="shared" si="88"/>
        <v>1373.7907725607654</v>
      </c>
      <c r="CO15" s="74">
        <v>64900.146785780002</v>
      </c>
      <c r="CP15" s="75">
        <f t="shared" si="89"/>
        <v>40097.121428592865</v>
      </c>
      <c r="CQ15" s="74">
        <v>1549.4751286830021</v>
      </c>
      <c r="CR15" s="92">
        <f t="shared" si="90"/>
        <v>1424.4505674939155</v>
      </c>
    </row>
    <row r="16" spans="1:96" x14ac:dyDescent="0.25">
      <c r="A16" s="85">
        <f t="shared" si="7"/>
        <v>45233</v>
      </c>
      <c r="B16" s="74">
        <v>1782086.6610702116</v>
      </c>
      <c r="C16" s="75">
        <f t="shared" si="8"/>
        <v>1423407.8631246332</v>
      </c>
      <c r="D16" s="74">
        <v>1317.1984004137248</v>
      </c>
      <c r="E16" s="75">
        <f t="shared" si="8"/>
        <v>1394.2295807142309</v>
      </c>
      <c r="F16" s="96">
        <f t="shared" si="0"/>
        <v>324249.51725031098</v>
      </c>
      <c r="G16" s="75">
        <v>935703.94821399928</v>
      </c>
      <c r="H16" s="75">
        <f t="shared" ref="H16" si="133">AVERAGE(G13:G16)</f>
        <v>792912.50312474067</v>
      </c>
      <c r="I16" s="75">
        <f>Table5[[#This Row],[Average NWP (Boom)]]</f>
        <v>1317.1984004137248</v>
      </c>
      <c r="J16" s="92">
        <f t="shared" ref="J16" si="134">AVERAGE(I13:I16)</f>
        <v>1394.2295807142309</v>
      </c>
      <c r="K16" s="75">
        <f t="shared" si="1"/>
        <v>492766.30678541982</v>
      </c>
      <c r="L16" s="75">
        <f t="shared" ref="L16" si="135">AVERAGE(K13:K16)</f>
        <v>381471.57919613749</v>
      </c>
      <c r="M16" s="75">
        <v>1055.1741044655671</v>
      </c>
      <c r="N16" s="75">
        <f t="shared" ref="N16" si="136">AVERAGE(M13:M16)</f>
        <v>1186.7592560341225</v>
      </c>
      <c r="O16" s="96">
        <f t="shared" si="2"/>
        <v>131927.59606993489</v>
      </c>
      <c r="P16" s="74">
        <v>492766.30678541982</v>
      </c>
      <c r="Q16" s="75">
        <f t="shared" ref="Q16" si="137">AVERAGE(P13:P16)</f>
        <v>381471.57919613749</v>
      </c>
      <c r="R16" s="74">
        <v>1055.1741044655671</v>
      </c>
      <c r="S16" s="75">
        <f t="shared" ref="S16" si="138">AVERAGE(R13:R16)</f>
        <v>1186.7592560341225</v>
      </c>
      <c r="T16" s="96">
        <v>131927.59606993489</v>
      </c>
      <c r="U16" s="74">
        <v>0</v>
      </c>
      <c r="V16" s="75">
        <f t="shared" ref="V16" si="139">AVERAGE(U13:U16)</f>
        <v>0</v>
      </c>
      <c r="W16" s="74">
        <v>0</v>
      </c>
      <c r="X16" s="75">
        <f t="shared" ref="X16" si="140">AVERAGE(W13:W16)</f>
        <v>0</v>
      </c>
      <c r="Y16" s="96">
        <v>0</v>
      </c>
      <c r="Z16" s="74">
        <v>107443.36285706602</v>
      </c>
      <c r="AA16" s="75">
        <f t="shared" ref="AA16" si="141">AVERAGE(Z13:Z16)</f>
        <v>86828.023660707986</v>
      </c>
      <c r="AB16" s="74">
        <v>1453.2250851436991</v>
      </c>
      <c r="AC16" s="75">
        <f t="shared" ref="AC16" si="142">AVERAGE(AB13:AB16)</f>
        <v>1489.50621674948</v>
      </c>
      <c r="AD16" s="96" t="e">
        <v>#VALUE!</v>
      </c>
      <c r="AE16" s="74">
        <v>107443.36285706602</v>
      </c>
      <c r="AF16" s="75">
        <f t="shared" ref="AF16" si="143">AVERAGE(AE13:AE16)</f>
        <v>86828.023660707986</v>
      </c>
      <c r="AG16" s="74">
        <v>117.16833463147876</v>
      </c>
      <c r="AH16" s="75">
        <f t="shared" ref="AH16" si="144">AVERAGE(AG13:AG16)</f>
        <v>121.60355458088935</v>
      </c>
      <c r="AI16" s="96" t="e">
        <v>#VALUE!</v>
      </c>
      <c r="AJ16" s="74">
        <v>1289320.3542847917</v>
      </c>
      <c r="AK16" s="75">
        <f t="shared" ref="AK16" si="145">AVERAGE(AJ13:AJ16)</f>
        <v>1041936.2839284959</v>
      </c>
      <c r="AL16" s="74">
        <v>1453.2250851436979</v>
      </c>
      <c r="AM16" s="75">
        <f t="shared" ref="AM16" si="146">AVERAGE(AL13:AL16)</f>
        <v>1489.5062167494802</v>
      </c>
      <c r="AN16" s="96">
        <v>192321.92118037606</v>
      </c>
      <c r="AO16" s="74">
        <f t="shared" si="3"/>
        <v>837863.86500034388</v>
      </c>
      <c r="AP16" s="75">
        <f t="shared" si="66"/>
        <v>585845.35239822848</v>
      </c>
      <c r="AQ16" s="74">
        <v>1232.7074807756644</v>
      </c>
      <c r="AR16" s="92">
        <f t="shared" si="67"/>
        <v>1371.7339378117892</v>
      </c>
      <c r="AS16" s="74">
        <f t="shared" si="4"/>
        <v>222523.19535657202</v>
      </c>
      <c r="AT16" s="75">
        <f t="shared" si="68"/>
        <v>148722.15469364831</v>
      </c>
      <c r="AU16" s="74">
        <v>1316.4498997701219</v>
      </c>
      <c r="AV16" s="92">
        <f t="shared" si="69"/>
        <v>1429.2088429518317</v>
      </c>
      <c r="AW16" s="74">
        <f t="shared" si="5"/>
        <v>527203.30999954394</v>
      </c>
      <c r="AX16" s="75">
        <f t="shared" si="70"/>
        <v>345457.51295897114</v>
      </c>
      <c r="AY16" s="74">
        <v>1439.1784495806753</v>
      </c>
      <c r="AZ16" s="92">
        <f t="shared" si="71"/>
        <v>1599.0627713434694</v>
      </c>
      <c r="BA16" s="74">
        <f t="shared" si="6"/>
        <v>194496.29071375198</v>
      </c>
      <c r="BB16" s="75">
        <f t="shared" si="72"/>
        <v>127096.98005099398</v>
      </c>
      <c r="BC16" s="74">
        <v>1410.5384191411154</v>
      </c>
      <c r="BD16" s="92">
        <f t="shared" si="73"/>
        <v>1498.9867860202514</v>
      </c>
      <c r="BE16" s="93">
        <f>AO16/SUM(Table5[[#This Row],[NWP (Standard)]],Table5[[#This Row],[NWP (Plus)]],Table5[[#This Row],[NWP (Essentials)]],Table5[[#This Row],[NWP (Premium)]])</f>
        <v>0.47015887796229522</v>
      </c>
      <c r="BF16" s="93">
        <f>AS16/SUM(Table5[[#This Row],[NWP (Standard)]],Table5[[#This Row],[NWP (Plus)]],Table5[[#This Row],[NWP (Essentials)]],Table5[[#This Row],[NWP (Premium)]])</f>
        <v>0.12486665223280345</v>
      </c>
      <c r="BG16" s="93">
        <f>AW16/SUM(Table5[[#This Row],[NWP (Standard)]],Table5[[#This Row],[NWP (Plus)]],Table5[[#This Row],[NWP (Essentials)]],Table5[[#This Row],[NWP (Premium)]])</f>
        <v>0.29583483312923625</v>
      </c>
      <c r="BH16" s="94">
        <f>BA16/SUM(Table5[[#This Row],[NWP (Standard)]],Table5[[#This Row],[NWP (Plus)]],Table5[[#This Row],[NWP (Essentials)]],Table5[[#This Row],[NWP (Premium)]])</f>
        <v>0.10913963667566506</v>
      </c>
      <c r="BI16" s="93">
        <f t="shared" si="74"/>
        <v>0.4869669352207972</v>
      </c>
      <c r="BJ16" s="93">
        <f t="shared" si="51"/>
        <v>0.12284954103141865</v>
      </c>
      <c r="BK16" s="93">
        <f t="shared" si="51"/>
        <v>0.28393745857604669</v>
      </c>
      <c r="BL16" s="94">
        <f t="shared" si="51"/>
        <v>0.10624606517173736</v>
      </c>
      <c r="BM16" s="74">
        <v>598662.68571476394</v>
      </c>
      <c r="BN16" s="75">
        <f t="shared" si="75"/>
        <v>421022.14102074859</v>
      </c>
      <c r="BO16" s="74">
        <v>1371.9446925778052</v>
      </c>
      <c r="BP16" s="92">
        <f t="shared" si="76"/>
        <v>1488.6652983867277</v>
      </c>
      <c r="BQ16" s="74">
        <v>137778.081428112</v>
      </c>
      <c r="BR16" s="75">
        <f t="shared" si="77"/>
        <v>92811.217958972571</v>
      </c>
      <c r="BS16" s="74">
        <v>1509.9646006338696</v>
      </c>
      <c r="BT16" s="92">
        <f t="shared" si="78"/>
        <v>1569.4511217061413</v>
      </c>
      <c r="BU16" s="74">
        <v>414975.63428528397</v>
      </c>
      <c r="BV16" s="75">
        <f t="shared" si="79"/>
        <v>282243.30367335252</v>
      </c>
      <c r="BW16" s="74">
        <v>1545.0142632947664</v>
      </c>
      <c r="BX16" s="92">
        <f t="shared" si="80"/>
        <v>1670.3833071089764</v>
      </c>
      <c r="BY16" s="74">
        <v>137903.95285663198</v>
      </c>
      <c r="BZ16" s="75">
        <f t="shared" si="81"/>
        <v>84407.227959135431</v>
      </c>
      <c r="CA16" s="74">
        <v>1515.1551015813036</v>
      </c>
      <c r="CB16" s="92">
        <f t="shared" si="82"/>
        <v>1557.5608435193642</v>
      </c>
      <c r="CC16" s="74">
        <v>239201.17928557997</v>
      </c>
      <c r="CD16" s="75">
        <f t="shared" si="83"/>
        <v>164823.21137748001</v>
      </c>
      <c r="CE16" s="74">
        <v>983.01854497260513</v>
      </c>
      <c r="CF16" s="92">
        <f t="shared" si="84"/>
        <v>1144.7749633187743</v>
      </c>
      <c r="CG16" s="74">
        <v>84745.113928460021</v>
      </c>
      <c r="CH16" s="75">
        <f t="shared" si="85"/>
        <v>55910.936734675714</v>
      </c>
      <c r="CI16" s="74">
        <v>1089.4524656361316</v>
      </c>
      <c r="CJ16" s="92">
        <f t="shared" si="86"/>
        <v>1268.8596217894876</v>
      </c>
      <c r="CK16" s="74">
        <v>112227.67571425998</v>
      </c>
      <c r="CL16" s="75">
        <f t="shared" si="87"/>
        <v>63214.20928561857</v>
      </c>
      <c r="CM16" s="74">
        <v>1148.3178448389338</v>
      </c>
      <c r="CN16" s="92">
        <f t="shared" si="88"/>
        <v>1349.1026741781729</v>
      </c>
      <c r="CO16" s="74">
        <v>56592.337857120001</v>
      </c>
      <c r="CP16" s="75">
        <f t="shared" si="89"/>
        <v>42689.752091858572</v>
      </c>
      <c r="CQ16" s="74">
        <v>1207.3911777868932</v>
      </c>
      <c r="CR16" s="92">
        <f t="shared" si="90"/>
        <v>1400.2551794744461</v>
      </c>
    </row>
    <row r="17" spans="1:96" x14ac:dyDescent="0.25">
      <c r="A17" s="85">
        <f t="shared" si="7"/>
        <v>45240</v>
      </c>
      <c r="B17" s="74">
        <v>1493461.1653580598</v>
      </c>
      <c r="C17" s="75">
        <f t="shared" si="8"/>
        <v>1524012.1649997686</v>
      </c>
      <c r="D17" s="74">
        <v>1309.0810355927929</v>
      </c>
      <c r="E17" s="75">
        <f t="shared" si="8"/>
        <v>1350.9130506116771</v>
      </c>
      <c r="F17" s="96">
        <f t="shared" si="0"/>
        <v>756582.20691739221</v>
      </c>
      <c r="G17" s="75">
        <v>788350.79285755695</v>
      </c>
      <c r="H17" s="75">
        <f t="shared" ref="H17" si="147">AVERAGE(G14:G17)</f>
        <v>824932.93508924358</v>
      </c>
      <c r="I17" s="75">
        <f>Table5[[#This Row],[Average NWP (Boom)]]</f>
        <v>1309.0810355927929</v>
      </c>
      <c r="J17" s="92">
        <f t="shared" ref="J17" si="148">AVERAGE(I14:I17)</f>
        <v>1350.9130506116771</v>
      </c>
      <c r="K17" s="75">
        <f t="shared" si="1"/>
        <v>390191.20678604004</v>
      </c>
      <c r="L17" s="75">
        <f t="shared" ref="L17" si="149">AVERAGE(K14:K17)</f>
        <v>404745.68357136002</v>
      </c>
      <c r="M17" s="75">
        <v>1010.8580486684975</v>
      </c>
      <c r="N17" s="75">
        <f t="shared" ref="N17" si="150">AVERAGE(M14:M17)</f>
        <v>1126.0826402633247</v>
      </c>
      <c r="O17" s="96">
        <f t="shared" si="2"/>
        <v>307831.05749651475</v>
      </c>
      <c r="P17" s="74">
        <v>390191.20678604004</v>
      </c>
      <c r="Q17" s="75">
        <f t="shared" ref="Q17" si="151">AVERAGE(P14:P17)</f>
        <v>404745.68357136002</v>
      </c>
      <c r="R17" s="74">
        <v>1010.8580486684975</v>
      </c>
      <c r="S17" s="75">
        <f t="shared" ref="S17" si="152">AVERAGE(R14:R17)</f>
        <v>1126.0826402633247</v>
      </c>
      <c r="T17" s="96">
        <v>307831.05749651475</v>
      </c>
      <c r="U17" s="74">
        <v>0</v>
      </c>
      <c r="V17" s="75">
        <f t="shared" ref="V17" si="153">AVERAGE(U14:U17)</f>
        <v>0</v>
      </c>
      <c r="W17" s="74">
        <v>0</v>
      </c>
      <c r="X17" s="75">
        <f t="shared" ref="X17" si="154">AVERAGE(W14:W17)</f>
        <v>0</v>
      </c>
      <c r="Y17" s="96">
        <v>0</v>
      </c>
      <c r="Z17" s="74">
        <v>91939.163214335014</v>
      </c>
      <c r="AA17" s="75">
        <f t="shared" ref="AA17" si="155">AVERAGE(Z14:Z17)</f>
        <v>93272.20678570075</v>
      </c>
      <c r="AB17" s="74">
        <v>1459.5416927751835</v>
      </c>
      <c r="AC17" s="75">
        <f t="shared" ref="AC17" si="156">AVERAGE(AB14:AB17)</f>
        <v>1457.1565735749032</v>
      </c>
      <c r="AD17" s="96" t="e">
        <v>#VALUE!</v>
      </c>
      <c r="AE17" s="74">
        <v>91939.163214335014</v>
      </c>
      <c r="AF17" s="75">
        <f t="shared" ref="AF17" si="157">AVERAGE(AE14:AE17)</f>
        <v>93272.20678570075</v>
      </c>
      <c r="AG17" s="74">
        <v>115.64674618155348</v>
      </c>
      <c r="AH17" s="75">
        <f t="shared" ref="AH17" si="158">AVERAGE(AG14:AG17)</f>
        <v>117.95498979046866</v>
      </c>
      <c r="AI17" s="96" t="e">
        <v>#VALUE!</v>
      </c>
      <c r="AJ17" s="74">
        <v>1103269.9585720198</v>
      </c>
      <c r="AK17" s="75">
        <f t="shared" ref="AK17" si="159">AVERAGE(AJ14:AJ17)</f>
        <v>1119266.481428409</v>
      </c>
      <c r="AL17" s="74">
        <v>1459.5416927751839</v>
      </c>
      <c r="AM17" s="75">
        <f t="shared" ref="AM17" si="160">AVERAGE(AL14:AL17)</f>
        <v>1457.1565735749034</v>
      </c>
      <c r="AN17" s="96">
        <v>448751.14942087745</v>
      </c>
      <c r="AO17" s="74">
        <f t="shared" si="3"/>
        <v>751930.55928552186</v>
      </c>
      <c r="AP17" s="75">
        <f t="shared" si="66"/>
        <v>621869.41581653093</v>
      </c>
      <c r="AQ17" s="74">
        <v>1241.974225342381</v>
      </c>
      <c r="AR17" s="92">
        <f t="shared" si="67"/>
        <v>1331.5195946650383</v>
      </c>
      <c r="AS17" s="74">
        <f t="shared" si="4"/>
        <v>148665.39892919199</v>
      </c>
      <c r="AT17" s="75">
        <f t="shared" si="68"/>
        <v>157690.13408150402</v>
      </c>
      <c r="AU17" s="74">
        <v>1158.7770678705383</v>
      </c>
      <c r="AV17" s="92">
        <f t="shared" si="69"/>
        <v>1412.7506078251515</v>
      </c>
      <c r="AW17" s="74">
        <f t="shared" si="5"/>
        <v>431229.15892899001</v>
      </c>
      <c r="AX17" s="75">
        <f t="shared" si="70"/>
        <v>368165.73096923885</v>
      </c>
      <c r="AY17" s="74">
        <v>1517.9306205327675</v>
      </c>
      <c r="AZ17" s="92">
        <f t="shared" si="71"/>
        <v>1573.154400298467</v>
      </c>
      <c r="BA17" s="74">
        <f t="shared" si="6"/>
        <v>161636.04821435598</v>
      </c>
      <c r="BB17" s="75">
        <f t="shared" si="72"/>
        <v>132205.44112244199</v>
      </c>
      <c r="BC17" s="74">
        <v>1313.7931918429269</v>
      </c>
      <c r="BD17" s="92">
        <f t="shared" si="73"/>
        <v>1442.3762349675221</v>
      </c>
      <c r="BE17" s="93">
        <f>AO17/SUM(Table5[[#This Row],[NWP (Standard)]],Table5[[#This Row],[NWP (Plus)]],Table5[[#This Row],[NWP (Essentials)]],Table5[[#This Row],[NWP (Premium)]])</f>
        <v>0.50348182914099759</v>
      </c>
      <c r="BF17" s="93">
        <f>AS17/SUM(Table5[[#This Row],[NWP (Standard)]],Table5[[#This Row],[NWP (Plus)]],Table5[[#This Row],[NWP (Essentials)]],Table5[[#This Row],[NWP (Premium)]])</f>
        <v>9.954420133418683E-2</v>
      </c>
      <c r="BG17" s="93">
        <f>AW17/SUM(Table5[[#This Row],[NWP (Standard)]],Table5[[#This Row],[NWP (Plus)]],Table5[[#This Row],[NWP (Essentials)]],Table5[[#This Row],[NWP (Premium)]])</f>
        <v>0.28874480899247362</v>
      </c>
      <c r="BH17" s="94">
        <f>BA17/SUM(Table5[[#This Row],[NWP (Standard)]],Table5[[#This Row],[NWP (Plus)]],Table5[[#This Row],[NWP (Essentials)]],Table5[[#This Row],[NWP (Premium)]])</f>
        <v>0.10822916053234198</v>
      </c>
      <c r="BI17" s="93">
        <f t="shared" si="74"/>
        <v>0.48632269352230645</v>
      </c>
      <c r="BJ17" s="93">
        <f t="shared" si="51"/>
        <v>0.12459816180928905</v>
      </c>
      <c r="BK17" s="93">
        <f t="shared" si="51"/>
        <v>0.28565028366619327</v>
      </c>
      <c r="BL17" s="94">
        <f t="shared" si="51"/>
        <v>0.10342886100221124</v>
      </c>
      <c r="BM17" s="74">
        <v>543970.1228570519</v>
      </c>
      <c r="BN17" s="75">
        <f t="shared" si="75"/>
        <v>449558.8659186411</v>
      </c>
      <c r="BO17" s="74">
        <v>1409.1293309367077</v>
      </c>
      <c r="BP17" s="92">
        <f t="shared" si="76"/>
        <v>1450.5401421770046</v>
      </c>
      <c r="BQ17" s="74">
        <v>91850.280000131999</v>
      </c>
      <c r="BR17" s="75">
        <f t="shared" si="77"/>
        <v>99851.715305946869</v>
      </c>
      <c r="BS17" s="74">
        <v>1341.682729507613</v>
      </c>
      <c r="BT17" s="92">
        <f t="shared" si="78"/>
        <v>1547.9366091632362</v>
      </c>
      <c r="BU17" s="74">
        <v>364765.47857183998</v>
      </c>
      <c r="BV17" s="75">
        <f t="shared" si="79"/>
        <v>301174.52265298454</v>
      </c>
      <c r="BW17" s="74">
        <v>1605.1575664832394</v>
      </c>
      <c r="BX17" s="92">
        <f t="shared" si="80"/>
        <v>1643.1161961238686</v>
      </c>
      <c r="BY17" s="74">
        <v>102684.07714299599</v>
      </c>
      <c r="BZ17" s="75">
        <f t="shared" si="81"/>
        <v>86808.667346934861</v>
      </c>
      <c r="CA17" s="74">
        <v>1384.5554164349321</v>
      </c>
      <c r="CB17" s="92">
        <f t="shared" si="82"/>
        <v>1480.8384863005406</v>
      </c>
      <c r="CC17" s="74">
        <v>207960.43642846995</v>
      </c>
      <c r="CD17" s="75">
        <f t="shared" si="83"/>
        <v>172310.54989788999</v>
      </c>
      <c r="CE17" s="74">
        <v>947.86450473205446</v>
      </c>
      <c r="CF17" s="92">
        <f t="shared" si="84"/>
        <v>1099.0282797827051</v>
      </c>
      <c r="CG17" s="74">
        <v>56815.118929060001</v>
      </c>
      <c r="CH17" s="75">
        <f t="shared" si="85"/>
        <v>57838.418775557147</v>
      </c>
      <c r="CI17" s="74">
        <v>949.51294645028122</v>
      </c>
      <c r="CJ17" s="92">
        <f t="shared" si="86"/>
        <v>1245.3781852298289</v>
      </c>
      <c r="CK17" s="74">
        <v>66463.680357150006</v>
      </c>
      <c r="CL17" s="75">
        <f t="shared" si="87"/>
        <v>66991.208316254284</v>
      </c>
      <c r="CM17" s="74">
        <v>1169.2240812213661</v>
      </c>
      <c r="CN17" s="92">
        <f t="shared" si="88"/>
        <v>1331.1837926092996</v>
      </c>
      <c r="CO17" s="74">
        <v>58951.97107136</v>
      </c>
      <c r="CP17" s="75">
        <f t="shared" si="89"/>
        <v>45396.773775507136</v>
      </c>
      <c r="CQ17" s="74">
        <v>1206.3976187483263</v>
      </c>
      <c r="CR17" s="92">
        <f t="shared" si="90"/>
        <v>1374.9995878203051</v>
      </c>
    </row>
    <row r="18" spans="1:96" x14ac:dyDescent="0.25">
      <c r="A18" s="85">
        <f t="shared" si="7"/>
        <v>45247</v>
      </c>
      <c r="B18" s="74">
        <v>1461870.9771428236</v>
      </c>
      <c r="C18" s="75">
        <f t="shared" si="8"/>
        <v>1553047.2151787137</v>
      </c>
      <c r="D18" s="74">
        <v>1204.1147515996661</v>
      </c>
      <c r="E18" s="75">
        <f t="shared" si="8"/>
        <v>1307.1289633965837</v>
      </c>
      <c r="F18" s="96">
        <f t="shared" si="0"/>
        <v>756582.20691739221</v>
      </c>
      <c r="G18" s="75">
        <v>814870.00035671226</v>
      </c>
      <c r="H18" s="75">
        <f t="shared" ref="H18" si="161">AVERAGE(G15:G18)</f>
        <v>843129.19455359294</v>
      </c>
      <c r="I18" s="75">
        <f>Table5[[#This Row],[Average NWP (Boom)]]</f>
        <v>1204.1147515996661</v>
      </c>
      <c r="J18" s="92">
        <f t="shared" ref="J18" si="162">AVERAGE(I15:I18)</f>
        <v>1307.1289633965837</v>
      </c>
      <c r="K18" s="75">
        <f t="shared" si="1"/>
        <v>407178.65999954013</v>
      </c>
      <c r="L18" s="75">
        <f t="shared" ref="L18" si="163">AVERAGE(K15:K18)</f>
        <v>424345.95982141001</v>
      </c>
      <c r="M18" s="75">
        <v>953.57999999892309</v>
      </c>
      <c r="N18" s="75">
        <f t="shared" ref="N18" si="164">AVERAGE(M15:M18)</f>
        <v>1076.0762762285467</v>
      </c>
      <c r="O18" s="96">
        <f t="shared" si="2"/>
        <v>307831.05749651475</v>
      </c>
      <c r="P18" s="74">
        <v>407178.65999954013</v>
      </c>
      <c r="Q18" s="75">
        <f t="shared" ref="Q18" si="165">AVERAGE(P15:P18)</f>
        <v>424345.95982141001</v>
      </c>
      <c r="R18" s="74">
        <v>953.57999999892309</v>
      </c>
      <c r="S18" s="75">
        <f t="shared" ref="S18" si="166">AVERAGE(R15:R18)</f>
        <v>1076.0762762285467</v>
      </c>
      <c r="T18" s="96">
        <v>307831.05749651475</v>
      </c>
      <c r="U18" s="74">
        <v>0</v>
      </c>
      <c r="V18" s="75">
        <f t="shared" ref="V18" si="167">AVERAGE(U15:U18)</f>
        <v>0</v>
      </c>
      <c r="W18" s="74">
        <v>0</v>
      </c>
      <c r="X18" s="75">
        <f t="shared" ref="X18" si="168">AVERAGE(W15:W18)</f>
        <v>0</v>
      </c>
      <c r="Y18" s="96">
        <v>0</v>
      </c>
      <c r="Z18" s="74">
        <v>87891.026428606987</v>
      </c>
      <c r="AA18" s="75">
        <f t="shared" ref="AA18" si="169">AVERAGE(Z15:Z18)</f>
        <v>94058.437946442005</v>
      </c>
      <c r="AB18" s="74">
        <v>1338.052313288729</v>
      </c>
      <c r="AC18" s="75">
        <f t="shared" ref="AC18" si="170">AVERAGE(AB15:AB18)</f>
        <v>1423.9945302858002</v>
      </c>
      <c r="AD18" s="96" t="e">
        <v>#VALUE!</v>
      </c>
      <c r="AE18" s="74">
        <v>87891.026428606987</v>
      </c>
      <c r="AF18" s="75">
        <f t="shared" ref="AF18" si="171">AVERAGE(AE15:AE18)</f>
        <v>94058.437946442005</v>
      </c>
      <c r="AG18" s="74">
        <v>106.02053851460433</v>
      </c>
      <c r="AH18" s="75">
        <f t="shared" ref="AH18" si="172">AVERAGE(AG15:AG18)</f>
        <v>114.32281937443908</v>
      </c>
      <c r="AI18" s="96" t="e">
        <v>#VALUE!</v>
      </c>
      <c r="AJ18" s="74">
        <v>1054692.3171432838</v>
      </c>
      <c r="AK18" s="75">
        <f t="shared" ref="AK18" si="173">AVERAGE(AJ15:AJ18)</f>
        <v>1128701.2553573039</v>
      </c>
      <c r="AL18" s="74">
        <v>1338.0523132887286</v>
      </c>
      <c r="AM18" s="75">
        <f t="shared" ref="AM18" si="174">AVERAGE(AL15:AL18)</f>
        <v>1423.9945302858002</v>
      </c>
      <c r="AN18" s="96">
        <v>448751.14942087745</v>
      </c>
      <c r="AO18" s="74">
        <f t="shared" si="3"/>
        <v>754407.92821431404</v>
      </c>
      <c r="AP18" s="75">
        <f t="shared" si="66"/>
        <v>664383.66571452108</v>
      </c>
      <c r="AQ18" s="74">
        <v>1148.8541207502199</v>
      </c>
      <c r="AR18" s="92">
        <f t="shared" si="67"/>
        <v>1296.2565001622247</v>
      </c>
      <c r="AS18" s="74">
        <f t="shared" si="4"/>
        <v>186714.18928595801</v>
      </c>
      <c r="AT18" s="75">
        <f t="shared" si="68"/>
        <v>167735.38163257655</v>
      </c>
      <c r="AU18" s="74">
        <v>1164.2796365476142</v>
      </c>
      <c r="AV18" s="92">
        <f t="shared" si="69"/>
        <v>1373.3386632982943</v>
      </c>
      <c r="AW18" s="74">
        <f t="shared" si="5"/>
        <v>371344.876428338</v>
      </c>
      <c r="AX18" s="75">
        <f t="shared" si="70"/>
        <v>386655.75377536513</v>
      </c>
      <c r="AY18" s="74">
        <v>1326.9568142469229</v>
      </c>
      <c r="AZ18" s="92">
        <f t="shared" si="71"/>
        <v>1511.0396196725671</v>
      </c>
      <c r="BA18" s="74">
        <f t="shared" si="6"/>
        <v>149403.98321421398</v>
      </c>
      <c r="BB18" s="75">
        <f t="shared" si="72"/>
        <v>138688.61673463686</v>
      </c>
      <c r="BC18" s="74">
        <v>1274.9325681090165</v>
      </c>
      <c r="BD18" s="92">
        <f t="shared" si="73"/>
        <v>1408.3990086152448</v>
      </c>
      <c r="BE18" s="93">
        <f>AO18/SUM(Table5[[#This Row],[NWP (Standard)]],Table5[[#This Row],[NWP (Plus)]],Table5[[#This Row],[NWP (Essentials)]],Table5[[#This Row],[NWP (Premium)]])</f>
        <v>0.51605643727107708</v>
      </c>
      <c r="BF18" s="93">
        <f>AS18/SUM(Table5[[#This Row],[NWP (Standard)]],Table5[[#This Row],[NWP (Plus)]],Table5[[#This Row],[NWP (Essentials)]],Table5[[#This Row],[NWP (Premium)]])</f>
        <v>0.127722755431457</v>
      </c>
      <c r="BG18" s="93">
        <f>AW18/SUM(Table5[[#This Row],[NWP (Standard)]],Table5[[#This Row],[NWP (Plus)]],Table5[[#This Row],[NWP (Essentials)]],Table5[[#This Row],[NWP (Premium)]])</f>
        <v>0.25402028101968249</v>
      </c>
      <c r="BH18" s="94">
        <f>BA18/SUM(Table5[[#This Row],[NWP (Standard)]],Table5[[#This Row],[NWP (Plus)]],Table5[[#This Row],[NWP (Essentials)]],Table5[[#This Row],[NWP (Premium)]])</f>
        <v>0.10220052627778332</v>
      </c>
      <c r="BI18" s="93">
        <f t="shared" si="74"/>
        <v>0.48904588842341373</v>
      </c>
      <c r="BJ18" s="93">
        <f t="shared" si="51"/>
        <v>0.12475326078464831</v>
      </c>
      <c r="BK18" s="93">
        <f t="shared" si="51"/>
        <v>0.28433943697734965</v>
      </c>
      <c r="BL18" s="94">
        <f t="shared" si="51"/>
        <v>0.10186141381458824</v>
      </c>
      <c r="BM18" s="74">
        <v>545427.27428612404</v>
      </c>
      <c r="BN18" s="75">
        <f t="shared" si="75"/>
        <v>479843.1477554554</v>
      </c>
      <c r="BO18" s="74">
        <v>1300.7687748082672</v>
      </c>
      <c r="BP18" s="92">
        <f t="shared" si="76"/>
        <v>1420.4257933197493</v>
      </c>
      <c r="BQ18" s="74">
        <v>115430.592857508</v>
      </c>
      <c r="BR18" s="75">
        <f t="shared" si="77"/>
        <v>106832.91918357943</v>
      </c>
      <c r="BS18" s="74">
        <v>1348.9015636622621</v>
      </c>
      <c r="BT18" s="92">
        <f t="shared" si="78"/>
        <v>1502.5244640582912</v>
      </c>
      <c r="BU18" s="74">
        <v>297199.98428548803</v>
      </c>
      <c r="BV18" s="75">
        <f t="shared" si="79"/>
        <v>314874.52040809364</v>
      </c>
      <c r="BW18" s="74">
        <v>1401.6699424995036</v>
      </c>
      <c r="BX18" s="92">
        <f t="shared" si="80"/>
        <v>1578.0514148451468</v>
      </c>
      <c r="BY18" s="74">
        <v>96634.465714163991</v>
      </c>
      <c r="BZ18" s="75">
        <f t="shared" si="81"/>
        <v>91148.055306058275</v>
      </c>
      <c r="CA18" s="74">
        <v>1355.104001585569</v>
      </c>
      <c r="CB18" s="92">
        <f t="shared" si="82"/>
        <v>1448.1717634596828</v>
      </c>
      <c r="CC18" s="74">
        <v>208980.65392819</v>
      </c>
      <c r="CD18" s="75">
        <f t="shared" si="83"/>
        <v>184540.51795906571</v>
      </c>
      <c r="CE18" s="74">
        <v>880.47564561836793</v>
      </c>
      <c r="CF18" s="92">
        <f t="shared" si="84"/>
        <v>1059.6451211467977</v>
      </c>
      <c r="CG18" s="74">
        <v>71283.596428450008</v>
      </c>
      <c r="CH18" s="75">
        <f t="shared" si="85"/>
        <v>60902.462448997154</v>
      </c>
      <c r="CI18" s="74">
        <v>953.05191933664275</v>
      </c>
      <c r="CJ18" s="92">
        <f t="shared" si="86"/>
        <v>1207.4105996453036</v>
      </c>
      <c r="CK18" s="74">
        <v>74144.892142850003</v>
      </c>
      <c r="CL18" s="75">
        <f t="shared" si="87"/>
        <v>71781.233367271416</v>
      </c>
      <c r="CM18" s="74">
        <v>1093.353365160031</v>
      </c>
      <c r="CN18" s="92">
        <f t="shared" si="88"/>
        <v>1286.7564901893743</v>
      </c>
      <c r="CO18" s="74">
        <v>52769.517500049995</v>
      </c>
      <c r="CP18" s="75">
        <f t="shared" si="89"/>
        <v>47540.56142857857</v>
      </c>
      <c r="CQ18" s="74">
        <v>1150.3063373614452</v>
      </c>
      <c r="CR18" s="92">
        <f t="shared" si="90"/>
        <v>1338.9774020895341</v>
      </c>
    </row>
    <row r="19" spans="1:96" x14ac:dyDescent="0.25">
      <c r="A19" s="85">
        <f t="shared" si="7"/>
        <v>45254</v>
      </c>
      <c r="B19" s="74">
        <v>1406361.0528560483</v>
      </c>
      <c r="C19" s="75">
        <f t="shared" si="8"/>
        <v>1535944.9641067858</v>
      </c>
      <c r="D19" s="74">
        <v>1229.0049001180489</v>
      </c>
      <c r="E19" s="75">
        <f t="shared" si="8"/>
        <v>1264.8497719310581</v>
      </c>
      <c r="F19" s="96">
        <f t="shared" si="0"/>
        <v>756582.20691739221</v>
      </c>
      <c r="G19" s="75">
        <v>922553.84892843512</v>
      </c>
      <c r="H19" s="75">
        <f t="shared" ref="H19" si="175">AVERAGE(G16:G19)</f>
        <v>865369.64758917596</v>
      </c>
      <c r="I19" s="75">
        <f>Table5[[#This Row],[Average NWP (Boom)]]</f>
        <v>1229.0049001180489</v>
      </c>
      <c r="J19" s="92">
        <f t="shared" ref="J19" si="176">AVERAGE(I16:I19)</f>
        <v>1264.8497719310581</v>
      </c>
      <c r="K19" s="75">
        <f t="shared" si="1"/>
        <v>490071.10857140005</v>
      </c>
      <c r="L19" s="75">
        <f t="shared" ref="L19" si="177">AVERAGE(K16:K19)</f>
        <v>445051.82053559995</v>
      </c>
      <c r="M19" s="75">
        <v>1018.8588535787943</v>
      </c>
      <c r="N19" s="75">
        <f t="shared" ref="N19" si="178">AVERAGE(M16:M19)</f>
        <v>1009.6177516779455</v>
      </c>
      <c r="O19" s="96">
        <f t="shared" si="2"/>
        <v>307831.05749651475</v>
      </c>
      <c r="P19" s="74">
        <v>490071.10857140005</v>
      </c>
      <c r="Q19" s="75">
        <f t="shared" ref="Q19" si="179">AVERAGE(P16:P19)</f>
        <v>445051.82053559995</v>
      </c>
      <c r="R19" s="74">
        <v>1018.8588535787943</v>
      </c>
      <c r="S19" s="75">
        <f t="shared" ref="S19" si="180">AVERAGE(R16:R19)</f>
        <v>1009.6177516779455</v>
      </c>
      <c r="T19" s="96">
        <v>307831.05749651475</v>
      </c>
      <c r="U19" s="74">
        <v>0</v>
      </c>
      <c r="V19" s="75">
        <f t="shared" ref="V19" si="181">AVERAGE(U16:U19)</f>
        <v>0</v>
      </c>
      <c r="W19" s="74">
        <v>0</v>
      </c>
      <c r="X19" s="75">
        <f t="shared" ref="X19" si="182">AVERAGE(W16:W19)</f>
        <v>0</v>
      </c>
      <c r="Y19" s="96">
        <v>0</v>
      </c>
      <c r="Z19" s="74">
        <v>76357.495357054024</v>
      </c>
      <c r="AA19" s="75">
        <f t="shared" ref="AA19" si="183">AVERAGE(Z16:Z19)</f>
        <v>90907.761964265519</v>
      </c>
      <c r="AB19" s="74">
        <v>1378.6613039701817</v>
      </c>
      <c r="AC19" s="75">
        <f t="shared" ref="AC19" si="184">AVERAGE(AB16:AB19)</f>
        <v>1407.3700987944483</v>
      </c>
      <c r="AD19" s="96" t="e">
        <v>#VALUE!</v>
      </c>
      <c r="AE19" s="74">
        <v>76357.495357054024</v>
      </c>
      <c r="AF19" s="75">
        <f t="shared" ref="AF19" si="185">AVERAGE(AE16:AE19)</f>
        <v>90907.761964265519</v>
      </c>
      <c r="AG19" s="74">
        <v>109.23819078262379</v>
      </c>
      <c r="AH19" s="75">
        <f t="shared" ref="AH19" si="186">AVERAGE(AG16:AG19)</f>
        <v>112.01845252756509</v>
      </c>
      <c r="AI19" s="96" t="e">
        <v>#VALUE!</v>
      </c>
      <c r="AJ19" s="74">
        <v>916289.94428464782</v>
      </c>
      <c r="AK19" s="75">
        <f t="shared" ref="AK19" si="187">AVERAGE(AJ16:AJ19)</f>
        <v>1090893.1435711859</v>
      </c>
      <c r="AL19" s="74">
        <v>1378.6613039701822</v>
      </c>
      <c r="AM19" s="75">
        <f t="shared" ref="AM19" si="188">AVERAGE(AL16:AL19)</f>
        <v>1407.3700987944483</v>
      </c>
      <c r="AN19" s="96">
        <v>448751.14942087745</v>
      </c>
      <c r="AO19" s="74">
        <f t="shared" si="3"/>
        <v>711094.87642795197</v>
      </c>
      <c r="AP19" s="75">
        <f t="shared" si="66"/>
        <v>710103.69979606487</v>
      </c>
      <c r="AQ19" s="74">
        <v>1153.6175100049493</v>
      </c>
      <c r="AR19" s="92">
        <f t="shared" si="67"/>
        <v>1261.1980864145567</v>
      </c>
      <c r="AS19" s="74">
        <f t="shared" si="4"/>
        <v>205172.44392815599</v>
      </c>
      <c r="AT19" s="75">
        <f t="shared" si="68"/>
        <v>178312.37061212171</v>
      </c>
      <c r="AU19" s="74">
        <v>1222.6166471271722</v>
      </c>
      <c r="AV19" s="92">
        <f t="shared" si="69"/>
        <v>1319.0237715334702</v>
      </c>
      <c r="AW19" s="74">
        <f t="shared" si="5"/>
        <v>345122.98642835999</v>
      </c>
      <c r="AX19" s="75">
        <f t="shared" si="70"/>
        <v>401300.31729570572</v>
      </c>
      <c r="AY19" s="74">
        <v>1399.1782383951727</v>
      </c>
      <c r="AZ19" s="92">
        <f t="shared" si="71"/>
        <v>1467.2686656680796</v>
      </c>
      <c r="BA19" s="74">
        <f t="shared" si="6"/>
        <v>144970.74607158001</v>
      </c>
      <c r="BB19" s="75">
        <f t="shared" si="72"/>
        <v>146758.56198974571</v>
      </c>
      <c r="BC19" s="74">
        <v>1278.0752270884727</v>
      </c>
      <c r="BD19" s="92">
        <f t="shared" si="73"/>
        <v>1373.0371011084867</v>
      </c>
      <c r="BE19" s="93">
        <f>AO19/SUM(Table5[[#This Row],[NWP (Standard)]],Table5[[#This Row],[NWP (Plus)]],Table5[[#This Row],[NWP (Essentials)]],Table5[[#This Row],[NWP (Premium)]])</f>
        <v>0.50562753781033354</v>
      </c>
      <c r="BF19" s="93">
        <f>AS19/SUM(Table5[[#This Row],[NWP (Standard)]],Table5[[#This Row],[NWP (Plus)]],Table5[[#This Row],[NWP (Essentials)]],Table5[[#This Row],[NWP (Premium)]])</f>
        <v>0.14588888359179908</v>
      </c>
      <c r="BG19" s="93">
        <f>AW19/SUM(Table5[[#This Row],[NWP (Standard)]],Table5[[#This Row],[NWP (Plus)]],Table5[[#This Row],[NWP (Essentials)]],Table5[[#This Row],[NWP (Premium)]])</f>
        <v>0.24540141077391311</v>
      </c>
      <c r="BH19" s="94">
        <f>BA19/SUM(Table5[[#This Row],[NWP (Standard)]],Table5[[#This Row],[NWP (Plus)]],Table5[[#This Row],[NWP (Essentials)]],Table5[[#This Row],[NWP (Premium)]])</f>
        <v>0.10308216782395416</v>
      </c>
      <c r="BI19" s="93">
        <f t="shared" si="74"/>
        <v>0.4958075909701139</v>
      </c>
      <c r="BJ19" s="93">
        <f t="shared" si="51"/>
        <v>0.12364000977256295</v>
      </c>
      <c r="BK19" s="93">
        <f t="shared" si="51"/>
        <v>0.27877857064429784</v>
      </c>
      <c r="BL19" s="94">
        <f t="shared" si="51"/>
        <v>0.10177382861302518</v>
      </c>
      <c r="BM19" s="74">
        <v>463705.98857077194</v>
      </c>
      <c r="BN19" s="75">
        <f t="shared" si="75"/>
        <v>505948.27163290622</v>
      </c>
      <c r="BO19" s="74">
        <v>1343.5007739535929</v>
      </c>
      <c r="BP19" s="92">
        <f t="shared" si="76"/>
        <v>1398.5903828076282</v>
      </c>
      <c r="BQ19" s="74">
        <v>109521.981428196</v>
      </c>
      <c r="BR19" s="75">
        <f t="shared" si="77"/>
        <v>109832.92163251028</v>
      </c>
      <c r="BS19" s="74">
        <v>1439.8363933687265</v>
      </c>
      <c r="BT19" s="92">
        <f t="shared" si="78"/>
        <v>1454.7969513586875</v>
      </c>
      <c r="BU19" s="74">
        <v>256672.51714272005</v>
      </c>
      <c r="BV19" s="75">
        <f t="shared" si="79"/>
        <v>323726.28367336281</v>
      </c>
      <c r="BW19" s="74">
        <v>1451.3369986354062</v>
      </c>
      <c r="BX19" s="92">
        <f t="shared" si="80"/>
        <v>1537.7553695234988</v>
      </c>
      <c r="BY19" s="74">
        <v>86389.457142960004</v>
      </c>
      <c r="BZ19" s="75">
        <f t="shared" si="81"/>
        <v>95063.57387749714</v>
      </c>
      <c r="CA19" s="74">
        <v>1297.96967591884</v>
      </c>
      <c r="CB19" s="92">
        <f t="shared" si="82"/>
        <v>1417.8211164667457</v>
      </c>
      <c r="CC19" s="74">
        <v>247388.88785718003</v>
      </c>
      <c r="CD19" s="75">
        <f t="shared" si="83"/>
        <v>204155.42816315856</v>
      </c>
      <c r="CE19" s="74">
        <v>912.00980008414763</v>
      </c>
      <c r="CF19" s="92">
        <f t="shared" si="84"/>
        <v>1018.5252201661331</v>
      </c>
      <c r="CG19" s="74">
        <v>95650.462499960006</v>
      </c>
      <c r="CH19" s="75">
        <f t="shared" si="85"/>
        <v>68479.448979611436</v>
      </c>
      <c r="CI19" s="74">
        <v>1042.5273756307608</v>
      </c>
      <c r="CJ19" s="92">
        <f t="shared" si="86"/>
        <v>1165.5917391315663</v>
      </c>
      <c r="CK19" s="74">
        <v>88450.469285639963</v>
      </c>
      <c r="CL19" s="75">
        <f t="shared" si="87"/>
        <v>77574.033622342846</v>
      </c>
      <c r="CM19" s="74">
        <v>1267.0399905024658</v>
      </c>
      <c r="CN19" s="92">
        <f t="shared" si="88"/>
        <v>1239.03790430032</v>
      </c>
      <c r="CO19" s="74">
        <v>58581.288928620001</v>
      </c>
      <c r="CP19" s="75">
        <f t="shared" si="89"/>
        <v>51694.988112248575</v>
      </c>
      <c r="CQ19" s="74">
        <v>1249.8252257112231</v>
      </c>
      <c r="CR19" s="92">
        <f t="shared" si="90"/>
        <v>1295.1093900676419</v>
      </c>
    </row>
    <row r="20" spans="1:96" x14ac:dyDescent="0.25">
      <c r="A20" s="85">
        <f t="shared" si="7"/>
        <v>45261</v>
      </c>
      <c r="B20" s="74">
        <v>1821877.1225012979</v>
      </c>
      <c r="C20" s="75">
        <f t="shared" si="8"/>
        <v>1545892.5794645573</v>
      </c>
      <c r="D20" s="74">
        <v>1251.397253921835</v>
      </c>
      <c r="E20" s="75">
        <f t="shared" si="8"/>
        <v>1248.3994853080856</v>
      </c>
      <c r="F20" s="96">
        <f t="shared" si="0"/>
        <v>754146.90755607584</v>
      </c>
      <c r="G20" s="75">
        <v>1128753.0864284646</v>
      </c>
      <c r="H20" s="75">
        <f t="shared" ref="H20" si="189">AVERAGE(G17:G20)</f>
        <v>913631.93214279227</v>
      </c>
      <c r="I20" s="75">
        <f>Table5[[#This Row],[Average NWP (Boom)]]</f>
        <v>1251.397253921835</v>
      </c>
      <c r="J20" s="92">
        <f t="shared" ref="J20" si="190">AVERAGE(I17:I20)</f>
        <v>1248.3994853080856</v>
      </c>
      <c r="K20" s="75">
        <f t="shared" si="1"/>
        <v>583265.74678548984</v>
      </c>
      <c r="L20" s="75">
        <f t="shared" ref="L20" si="191">AVERAGE(K17:K20)</f>
        <v>467676.68053561752</v>
      </c>
      <c r="M20" s="75">
        <v>995.33403888308851</v>
      </c>
      <c r="N20" s="75">
        <f t="shared" ref="N20" si="192">AVERAGE(M17:M20)</f>
        <v>994.6577352823258</v>
      </c>
      <c r="O20" s="96">
        <f t="shared" si="2"/>
        <v>303871.43716678128</v>
      </c>
      <c r="P20" s="74">
        <v>583265.74678548984</v>
      </c>
      <c r="Q20" s="75">
        <f t="shared" ref="Q20" si="193">AVERAGE(P17:P20)</f>
        <v>467676.68053561752</v>
      </c>
      <c r="R20" s="74">
        <v>995.33403888308851</v>
      </c>
      <c r="S20" s="75">
        <f t="shared" ref="S20" si="194">AVERAGE(R17:R20)</f>
        <v>994.6577352823258</v>
      </c>
      <c r="T20" s="96">
        <v>303871.43716678128</v>
      </c>
      <c r="U20" s="74">
        <v>0</v>
      </c>
      <c r="V20" s="75">
        <f t="shared" ref="V20" si="195">AVERAGE(U17:U20)</f>
        <v>0</v>
      </c>
      <c r="W20" s="74">
        <v>0</v>
      </c>
      <c r="X20" s="75">
        <f t="shared" ref="X20" si="196">AVERAGE(W17:W20)</f>
        <v>0</v>
      </c>
      <c r="Y20" s="96">
        <v>0</v>
      </c>
      <c r="Z20" s="74">
        <v>103217.614642984</v>
      </c>
      <c r="AA20" s="75">
        <f t="shared" ref="AA20" si="197">AVERAGE(Z17:Z20)</f>
        <v>89851.324910744996</v>
      </c>
      <c r="AB20" s="74">
        <v>1421.2809237170477</v>
      </c>
      <c r="AC20" s="75">
        <f t="shared" ref="AC20" si="198">AVERAGE(AB17:AB20)</f>
        <v>1399.3840584377854</v>
      </c>
      <c r="AD20" s="96" t="e">
        <v>#VALUE!</v>
      </c>
      <c r="AE20" s="74">
        <v>103217.614642984</v>
      </c>
      <c r="AF20" s="75">
        <f t="shared" ref="AF20" si="199">AVERAGE(AE17:AE20)</f>
        <v>89851.324910744996</v>
      </c>
      <c r="AG20" s="74">
        <v>113.42595015712527</v>
      </c>
      <c r="AH20" s="75">
        <f t="shared" ref="AH20" si="200">AVERAGE(AG17:AG20)</f>
        <v>111.08285640897672</v>
      </c>
      <c r="AI20" s="96" t="e">
        <v>#VALUE!</v>
      </c>
      <c r="AJ20" s="74">
        <v>1238611.3757158078</v>
      </c>
      <c r="AK20" s="75">
        <f t="shared" ref="AK20" si="201">AVERAGE(AJ17:AJ20)</f>
        <v>1078215.8989289398</v>
      </c>
      <c r="AL20" s="74">
        <v>1421.280923717047</v>
      </c>
      <c r="AM20" s="75">
        <f t="shared" ref="AM20" si="202">AVERAGE(AL17:AL20)</f>
        <v>1399.3840584377854</v>
      </c>
      <c r="AN20" s="96">
        <v>450275.47038929455</v>
      </c>
      <c r="AO20" s="74">
        <f t="shared" si="3"/>
        <v>902359.82285789214</v>
      </c>
      <c r="AP20" s="75">
        <f t="shared" si="66"/>
        <v>759170.9141838823</v>
      </c>
      <c r="AQ20" s="74">
        <v>1167.1332477816734</v>
      </c>
      <c r="AR20" s="92">
        <f t="shared" si="67"/>
        <v>1221.7729721801402</v>
      </c>
      <c r="AS20" s="74">
        <f t="shared" si="4"/>
        <v>238467.51857170998</v>
      </c>
      <c r="AT20" s="75">
        <f t="shared" si="68"/>
        <v>196148.20040808973</v>
      </c>
      <c r="AU20" s="74">
        <v>1165.4930399269235</v>
      </c>
      <c r="AV20" s="92">
        <f t="shared" si="69"/>
        <v>1285.4375351467393</v>
      </c>
      <c r="AW20" s="74">
        <f t="shared" si="5"/>
        <v>463169.12392901996</v>
      </c>
      <c r="AX20" s="75">
        <f t="shared" si="70"/>
        <v>423961.8866834974</v>
      </c>
      <c r="AY20" s="74">
        <v>1436.8041372924054</v>
      </c>
      <c r="AZ20" s="92">
        <f t="shared" si="71"/>
        <v>1452.1694374061444</v>
      </c>
      <c r="BA20" s="74">
        <f t="shared" si="6"/>
        <v>217880.65714267601</v>
      </c>
      <c r="BB20" s="75">
        <f t="shared" si="72"/>
        <v>161598.68622442285</v>
      </c>
      <c r="BC20" s="74">
        <v>1398.777767142637</v>
      </c>
      <c r="BD20" s="92">
        <f t="shared" si="73"/>
        <v>1340.8437997058068</v>
      </c>
      <c r="BE20" s="93">
        <f>AO20/SUM(Table5[[#This Row],[NWP (Standard)]],Table5[[#This Row],[NWP (Plus)]],Table5[[#This Row],[NWP (Essentials)]],Table5[[#This Row],[NWP (Premium)]])</f>
        <v>0.49529126400084605</v>
      </c>
      <c r="BF20" s="93">
        <f>AS20/SUM(Table5[[#This Row],[NWP (Standard)]],Table5[[#This Row],[NWP (Plus)]],Table5[[#This Row],[NWP (Essentials)]],Table5[[#This Row],[NWP (Premium)]])</f>
        <v>0.130891109848458</v>
      </c>
      <c r="BG20" s="93">
        <f>AW20/SUM(Table5[[#This Row],[NWP (Standard)]],Table5[[#This Row],[NWP (Plus)]],Table5[[#This Row],[NWP (Essentials)]],Table5[[#This Row],[NWP (Premium)]])</f>
        <v>0.25422632416236951</v>
      </c>
      <c r="BH20" s="94">
        <f>BA20/SUM(Table5[[#This Row],[NWP (Standard)]],Table5[[#This Row],[NWP (Plus)]],Table5[[#This Row],[NWP (Essentials)]],Table5[[#This Row],[NWP (Premium)]])</f>
        <v>0.11959130198832647</v>
      </c>
      <c r="BI20" s="93">
        <f t="shared" si="74"/>
        <v>0.49338464536019527</v>
      </c>
      <c r="BJ20" s="93">
        <f t="shared" si="51"/>
        <v>0.12746220021781238</v>
      </c>
      <c r="BK20" s="93">
        <f t="shared" si="51"/>
        <v>0.27522155233914253</v>
      </c>
      <c r="BL20" s="94">
        <f t="shared" si="51"/>
        <v>0.10393160208284975</v>
      </c>
      <c r="BM20" s="74">
        <v>617297.60571535211</v>
      </c>
      <c r="BN20" s="75">
        <f t="shared" si="75"/>
        <v>535954.23061259661</v>
      </c>
      <c r="BO20" s="74">
        <v>1377.7956070818464</v>
      </c>
      <c r="BP20" s="92">
        <f t="shared" si="76"/>
        <v>1373.8862286848421</v>
      </c>
      <c r="BQ20" s="74">
        <v>120537.48000012001</v>
      </c>
      <c r="BR20" s="75">
        <f t="shared" si="77"/>
        <v>117137.46918352971</v>
      </c>
      <c r="BS20" s="74">
        <v>1325.7818749713044</v>
      </c>
      <c r="BT20" s="92">
        <f t="shared" si="78"/>
        <v>1434.1871955766073</v>
      </c>
      <c r="BU20" s="74">
        <v>363101.10000059998</v>
      </c>
      <c r="BV20" s="75">
        <f t="shared" si="79"/>
        <v>341193.49653054174</v>
      </c>
      <c r="BW20" s="74">
        <v>1521.86114443727</v>
      </c>
      <c r="BX20" s="92">
        <f t="shared" si="80"/>
        <v>1518.8277593230066</v>
      </c>
      <c r="BY20" s="74">
        <v>137675.189999736</v>
      </c>
      <c r="BZ20" s="75">
        <f t="shared" si="81"/>
        <v>103809.02693867144</v>
      </c>
      <c r="CA20" s="74">
        <v>1465.6521096937543</v>
      </c>
      <c r="CB20" s="92">
        <f t="shared" si="82"/>
        <v>1380.4339504599286</v>
      </c>
      <c r="CC20" s="74">
        <v>285062.21714253997</v>
      </c>
      <c r="CD20" s="75">
        <f t="shared" si="83"/>
        <v>223216.68357128571</v>
      </c>
      <c r="CE20" s="74">
        <v>876.81966106632638</v>
      </c>
      <c r="CF20" s="92">
        <f t="shared" si="84"/>
        <v>970.01504222381152</v>
      </c>
      <c r="CG20" s="74">
        <v>117930.03857158999</v>
      </c>
      <c r="CH20" s="75">
        <f t="shared" si="85"/>
        <v>79010.731224560019</v>
      </c>
      <c r="CI20" s="74">
        <v>1037.3081979234244</v>
      </c>
      <c r="CJ20" s="92">
        <f t="shared" si="86"/>
        <v>1127.5089226378275</v>
      </c>
      <c r="CK20" s="74">
        <v>100068.02392841999</v>
      </c>
      <c r="CL20" s="75">
        <f t="shared" si="87"/>
        <v>82768.390152955704</v>
      </c>
      <c r="CM20" s="74">
        <v>1194.5497963612872</v>
      </c>
      <c r="CN20" s="92">
        <f t="shared" si="88"/>
        <v>1234.1876845911106</v>
      </c>
      <c r="CO20" s="74">
        <v>80205.46714293999</v>
      </c>
      <c r="CP20" s="75">
        <f t="shared" si="89"/>
        <v>57789.659285751419</v>
      </c>
      <c r="CQ20" s="74">
        <v>1297.1807765453934</v>
      </c>
      <c r="CR20" s="92">
        <f t="shared" si="90"/>
        <v>1273.5768316170329</v>
      </c>
    </row>
    <row r="21" spans="1:96" x14ac:dyDescent="0.25">
      <c r="A21" s="85">
        <f t="shared" si="7"/>
        <v>45268</v>
      </c>
      <c r="B21" s="74">
        <v>1399303.1535718155</v>
      </c>
      <c r="C21" s="75">
        <f t="shared" si="8"/>
        <v>1522353.0765179961</v>
      </c>
      <c r="D21" s="74">
        <v>1269.6025044235107</v>
      </c>
      <c r="E21" s="75">
        <f t="shared" si="8"/>
        <v>1238.529852515765</v>
      </c>
      <c r="F21" s="96">
        <f t="shared" si="0"/>
        <v>739535.11138817808</v>
      </c>
      <c r="G21" s="75">
        <v>839594.90357143176</v>
      </c>
      <c r="H21" s="75">
        <f t="shared" ref="H21" si="203">AVERAGE(G18:G21)</f>
        <v>926442.959821261</v>
      </c>
      <c r="I21" s="75">
        <f>Table5[[#This Row],[Average NWP (Boom)]]</f>
        <v>1269.6025044235107</v>
      </c>
      <c r="J21" s="92">
        <f t="shared" ref="J21" si="204">AVERAGE(I18:I21)</f>
        <v>1238.529852515765</v>
      </c>
      <c r="K21" s="75">
        <f t="shared" si="1"/>
        <v>398178.81071426015</v>
      </c>
      <c r="L21" s="75">
        <f t="shared" ref="L21" si="205">AVERAGE(K18:K21)</f>
        <v>469673.58151767257</v>
      </c>
      <c r="M21" s="75">
        <v>1000.4492731514074</v>
      </c>
      <c r="N21" s="75">
        <f t="shared" ref="N21" si="206">AVERAGE(M18:M21)</f>
        <v>992.05554140305333</v>
      </c>
      <c r="O21" s="96">
        <f t="shared" si="2"/>
        <v>280113.71518838068</v>
      </c>
      <c r="P21" s="74">
        <v>398178.81071426015</v>
      </c>
      <c r="Q21" s="75">
        <f t="shared" ref="Q21" si="207">AVERAGE(P18:P21)</f>
        <v>469673.58151767257</v>
      </c>
      <c r="R21" s="74">
        <v>1000.4492731514074</v>
      </c>
      <c r="S21" s="75">
        <f t="shared" ref="S21" si="208">AVERAGE(R18:R21)</f>
        <v>992.05554140305333</v>
      </c>
      <c r="T21" s="96">
        <v>280113.71518838068</v>
      </c>
      <c r="U21" s="74">
        <v>0</v>
      </c>
      <c r="V21" s="75">
        <f t="shared" ref="V21" si="209">AVERAGE(U18:U21)</f>
        <v>0</v>
      </c>
      <c r="W21" s="74">
        <v>0</v>
      </c>
      <c r="X21" s="75">
        <f t="shared" ref="X21" si="210">AVERAGE(W18:W21)</f>
        <v>0</v>
      </c>
      <c r="Y21" s="96">
        <v>0</v>
      </c>
      <c r="Z21" s="74">
        <v>83427.028571462957</v>
      </c>
      <c r="AA21" s="75">
        <f t="shared" ref="AA21" si="211">AVERAGE(Z18:Z21)</f>
        <v>87723.291250026989</v>
      </c>
      <c r="AB21" s="74">
        <v>1419.5393985426128</v>
      </c>
      <c r="AC21" s="75">
        <f t="shared" ref="AC21" si="212">AVERAGE(AB18:AB21)</f>
        <v>1389.3834848796428</v>
      </c>
      <c r="AD21" s="96" t="e">
        <v>#VALUE!</v>
      </c>
      <c r="AE21" s="74">
        <v>83427.028571462957</v>
      </c>
      <c r="AF21" s="75">
        <f t="shared" ref="AF21" si="213">AVERAGE(AE18:AE21)</f>
        <v>87723.291250026989</v>
      </c>
      <c r="AG21" s="74">
        <v>116.35568838418823</v>
      </c>
      <c r="AH21" s="75">
        <f t="shared" ref="AH21" si="214">AVERAGE(AG18:AG21)</f>
        <v>111.2600919596354</v>
      </c>
      <c r="AI21" s="96" t="e">
        <v>#VALUE!</v>
      </c>
      <c r="AJ21" s="74">
        <v>1001124.3428575558</v>
      </c>
      <c r="AK21" s="75">
        <f t="shared" ref="AK21" si="215">AVERAGE(AJ18:AJ21)</f>
        <v>1052679.4950003237</v>
      </c>
      <c r="AL21" s="74">
        <v>1419.5393985426138</v>
      </c>
      <c r="AM21" s="75">
        <f t="shared" ref="AM21" si="216">AVERAGE(AL18:AL21)</f>
        <v>1389.3834848796428</v>
      </c>
      <c r="AN21" s="96">
        <v>459421.39619979734</v>
      </c>
      <c r="AO21" s="74">
        <f t="shared" si="3"/>
        <v>690523.25750065385</v>
      </c>
      <c r="AP21" s="75">
        <f t="shared" si="66"/>
        <v>762799.66612280451</v>
      </c>
      <c r="AQ21" s="74">
        <v>1187.2575387246834</v>
      </c>
      <c r="AR21" s="92">
        <f t="shared" si="67"/>
        <v>1209.9471054273704</v>
      </c>
      <c r="AS21" s="74">
        <f t="shared" si="4"/>
        <v>190072.23857112598</v>
      </c>
      <c r="AT21" s="75">
        <f t="shared" si="68"/>
        <v>198205.92709177916</v>
      </c>
      <c r="AU21" s="74">
        <v>1222.9311650254836</v>
      </c>
      <c r="AV21" s="92">
        <f t="shared" si="69"/>
        <v>1248.483160369758</v>
      </c>
      <c r="AW21" s="74">
        <f t="shared" si="5"/>
        <v>347987.33857158397</v>
      </c>
      <c r="AX21" s="75">
        <f t="shared" si="70"/>
        <v>417093.8512754757</v>
      </c>
      <c r="AY21" s="74">
        <v>1411.4630236035296</v>
      </c>
      <c r="AZ21" s="92">
        <f t="shared" si="71"/>
        <v>1426.1038122302798</v>
      </c>
      <c r="BA21" s="74">
        <f t="shared" si="6"/>
        <v>170720.318928452</v>
      </c>
      <c r="BB21" s="75">
        <f t="shared" si="72"/>
        <v>170433.43974480027</v>
      </c>
      <c r="BC21" s="74">
        <v>1439.7151321311915</v>
      </c>
      <c r="BD21" s="92">
        <f t="shared" si="73"/>
        <v>1363.4130467986809</v>
      </c>
      <c r="BE21" s="93">
        <f>AO21/SUM(Table5[[#This Row],[NWP (Standard)]],Table5[[#This Row],[NWP (Plus)]],Table5[[#This Row],[NWP (Essentials)]],Table5[[#This Row],[NWP (Premium)]])</f>
        <v>0.49347652489601451</v>
      </c>
      <c r="BF21" s="93">
        <f>AS21/SUM(Table5[[#This Row],[NWP (Standard)]],Table5[[#This Row],[NWP (Plus)]],Table5[[#This Row],[NWP (Essentials)]],Table5[[#This Row],[NWP (Premium)]])</f>
        <v>0.13583349546947976</v>
      </c>
      <c r="BG21" s="93">
        <f>AW21/SUM(Table5[[#This Row],[NWP (Standard)]],Table5[[#This Row],[NWP (Plus)]],Table5[[#This Row],[NWP (Essentials)]],Table5[[#This Row],[NWP (Premium)]])</f>
        <v>0.24868616759943887</v>
      </c>
      <c r="BH21" s="94">
        <f>BA21/SUM(Table5[[#This Row],[NWP (Standard)]],Table5[[#This Row],[NWP (Plus)]],Table5[[#This Row],[NWP (Essentials)]],Table5[[#This Row],[NWP (Premium)]])</f>
        <v>0.12200381203506677</v>
      </c>
      <c r="BI21" s="93">
        <f t="shared" si="74"/>
        <v>0.49327472665075789</v>
      </c>
      <c r="BJ21" s="93">
        <f t="shared" si="51"/>
        <v>0.12821879004803566</v>
      </c>
      <c r="BK21" s="93">
        <f t="shared" si="51"/>
        <v>0.26870369622143281</v>
      </c>
      <c r="BL21" s="94">
        <f t="shared" si="51"/>
        <v>0.10980278707977353</v>
      </c>
      <c r="BM21" s="74">
        <v>463386.36857192393</v>
      </c>
      <c r="BN21" s="75">
        <f t="shared" si="75"/>
        <v>532215.35142898455</v>
      </c>
      <c r="BO21" s="74">
        <v>1346.0270708559685</v>
      </c>
      <c r="BP21" s="92">
        <f t="shared" si="76"/>
        <v>1365.8869443761043</v>
      </c>
      <c r="BQ21" s="74">
        <v>116591.455714176</v>
      </c>
      <c r="BR21" s="75">
        <f t="shared" si="77"/>
        <v>117108.80632643485</v>
      </c>
      <c r="BS21" s="74">
        <v>1411.126746000974</v>
      </c>
      <c r="BT21" s="92">
        <f t="shared" si="78"/>
        <v>1426.361156356681</v>
      </c>
      <c r="BU21" s="74">
        <v>297576.36857168394</v>
      </c>
      <c r="BV21" s="75">
        <f t="shared" si="79"/>
        <v>335954.0571428914</v>
      </c>
      <c r="BW21" s="74">
        <v>1490.324998862078</v>
      </c>
      <c r="BX21" s="92">
        <f t="shared" si="80"/>
        <v>1497.2086815774067</v>
      </c>
      <c r="BY21" s="74">
        <v>123570.14999977199</v>
      </c>
      <c r="BZ21" s="75">
        <f t="shared" si="81"/>
        <v>110554.73999986456</v>
      </c>
      <c r="CA21" s="74">
        <v>1570.3706565297691</v>
      </c>
      <c r="CB21" s="92">
        <f t="shared" si="82"/>
        <v>1419.9567556112072</v>
      </c>
      <c r="CC21" s="74">
        <v>227136.88892872998</v>
      </c>
      <c r="CD21" s="75">
        <f t="shared" si="83"/>
        <v>230584.31469381999</v>
      </c>
      <c r="CE21" s="74">
        <v>956.97135196060367</v>
      </c>
      <c r="CF21" s="92">
        <f t="shared" si="84"/>
        <v>963.01546648301314</v>
      </c>
      <c r="CG21" s="74">
        <v>73480.782856949983</v>
      </c>
      <c r="CH21" s="75">
        <f t="shared" si="85"/>
        <v>81097.120765344283</v>
      </c>
      <c r="CI21" s="74">
        <v>1009.3438365412504</v>
      </c>
      <c r="CJ21" s="92">
        <f t="shared" si="86"/>
        <v>1055.4468321346735</v>
      </c>
      <c r="CK21" s="74">
        <v>50410.969999900008</v>
      </c>
      <c r="CL21" s="75">
        <f t="shared" si="87"/>
        <v>81139.794132584269</v>
      </c>
      <c r="CM21" s="74">
        <v>1075.5123881828004</v>
      </c>
      <c r="CN21" s="92">
        <f t="shared" si="88"/>
        <v>1191.0688583470615</v>
      </c>
      <c r="CO21" s="74">
        <v>47150.16892868001</v>
      </c>
      <c r="CP21" s="75">
        <f t="shared" si="89"/>
        <v>59878.699744935715</v>
      </c>
      <c r="CQ21" s="74">
        <v>1181.9836867982115</v>
      </c>
      <c r="CR21" s="92">
        <f t="shared" si="90"/>
        <v>1263.222850233499</v>
      </c>
    </row>
    <row r="22" spans="1:96" x14ac:dyDescent="0.25">
      <c r="A22" s="85">
        <f t="shared" si="7"/>
        <v>45275</v>
      </c>
      <c r="B22" s="74">
        <v>1433390.43178601</v>
      </c>
      <c r="C22" s="75">
        <f t="shared" si="8"/>
        <v>1515232.9401787929</v>
      </c>
      <c r="D22" s="74">
        <v>1261.5476502237398</v>
      </c>
      <c r="E22" s="75">
        <f t="shared" si="8"/>
        <v>1252.8880771717836</v>
      </c>
      <c r="F22" s="96">
        <f t="shared" si="0"/>
        <v>739535.11138817808</v>
      </c>
      <c r="G22" s="75">
        <v>905654.11321348487</v>
      </c>
      <c r="H22" s="75">
        <f t="shared" ref="H22" si="217">AVERAGE(G19:G22)</f>
        <v>949138.98803545418</v>
      </c>
      <c r="I22" s="75">
        <f>Table5[[#This Row],[Average NWP (Boom)]]</f>
        <v>1261.5476502237398</v>
      </c>
      <c r="J22" s="92">
        <f t="shared" ref="J22" si="218">AVERAGE(I19:I22)</f>
        <v>1252.8880771717836</v>
      </c>
      <c r="K22" s="75">
        <f t="shared" si="1"/>
        <v>447443.34178487002</v>
      </c>
      <c r="L22" s="75">
        <f t="shared" ref="L22" si="219">AVERAGE(K19:K22)</f>
        <v>479739.751964005</v>
      </c>
      <c r="M22" s="75">
        <v>1010.0301168958691</v>
      </c>
      <c r="N22" s="75">
        <f t="shared" ref="N22" si="220">AVERAGE(M19:M22)</f>
        <v>1006.1680706272898</v>
      </c>
      <c r="O22" s="96">
        <f t="shared" si="2"/>
        <v>280113.71518838068</v>
      </c>
      <c r="P22" s="74">
        <v>447443.34178487002</v>
      </c>
      <c r="Q22" s="75">
        <f t="shared" ref="Q22" si="221">AVERAGE(P19:P22)</f>
        <v>479739.751964005</v>
      </c>
      <c r="R22" s="74">
        <v>1010.0301168958691</v>
      </c>
      <c r="S22" s="75">
        <f t="shared" ref="S22" si="222">AVERAGE(R19:R22)</f>
        <v>1006.1680706272898</v>
      </c>
      <c r="T22" s="96">
        <v>280113.71518838068</v>
      </c>
      <c r="U22" s="74">
        <v>0</v>
      </c>
      <c r="V22" s="75">
        <f t="shared" ref="V22" si="223">AVERAGE(U19:U22)</f>
        <v>0</v>
      </c>
      <c r="W22" s="74">
        <v>0</v>
      </c>
      <c r="X22" s="75">
        <f t="shared" ref="X22" si="224">AVERAGE(W19:W22)</f>
        <v>0</v>
      </c>
      <c r="Y22" s="96">
        <v>0</v>
      </c>
      <c r="Z22" s="74">
        <v>82162.257500095016</v>
      </c>
      <c r="AA22" s="75">
        <f t="shared" ref="AA22" si="225">AVERAGE(Z19:Z22)</f>
        <v>86291.099017899003</v>
      </c>
      <c r="AB22" s="74">
        <v>1419.8010505404918</v>
      </c>
      <c r="AC22" s="75">
        <f t="shared" ref="AC22" si="226">AVERAGE(AB19:AB22)</f>
        <v>1409.8206691925834</v>
      </c>
      <c r="AD22" s="96" t="e">
        <v>#VALUE!</v>
      </c>
      <c r="AE22" s="74">
        <v>82162.257500095016</v>
      </c>
      <c r="AF22" s="75">
        <f t="shared" ref="AF22" si="227">AVERAGE(AE19:AE22)</f>
        <v>86291.099017899003</v>
      </c>
      <c r="AG22" s="74">
        <v>116.3771352692564</v>
      </c>
      <c r="AH22" s="75">
        <f t="shared" ref="AH22" si="228">AVERAGE(AG19:AG22)</f>
        <v>113.84924114829843</v>
      </c>
      <c r="AI22" s="96" t="e">
        <v>#VALUE!</v>
      </c>
      <c r="AJ22" s="74">
        <v>985947.09000114002</v>
      </c>
      <c r="AK22" s="75">
        <f t="shared" ref="AK22" si="229">AVERAGE(AJ19:AJ22)</f>
        <v>1035493.188214788</v>
      </c>
      <c r="AL22" s="74">
        <v>1419.8010505404916</v>
      </c>
      <c r="AM22" s="75">
        <f t="shared" ref="AM22" si="230">AVERAGE(AL19:AL22)</f>
        <v>1409.8206691925836</v>
      </c>
      <c r="AN22" s="96">
        <v>459421.39619979734</v>
      </c>
      <c r="AO22" s="74">
        <f t="shared" si="3"/>
        <v>692025.15357192</v>
      </c>
      <c r="AP22" s="75">
        <f t="shared" si="66"/>
        <v>762886.49469408556</v>
      </c>
      <c r="AQ22" s="74">
        <v>1191.9676513285092</v>
      </c>
      <c r="AR22" s="92">
        <f t="shared" si="67"/>
        <v>1189.073110672583</v>
      </c>
      <c r="AS22" s="74">
        <f t="shared" si="4"/>
        <v>225797.12499949001</v>
      </c>
      <c r="AT22" s="75">
        <f t="shared" si="68"/>
        <v>202487.44423460058</v>
      </c>
      <c r="AU22" s="74">
        <v>1317.8400216185848</v>
      </c>
      <c r="AV22" s="92">
        <f t="shared" si="69"/>
        <v>1224.055353983777</v>
      </c>
      <c r="AW22" s="74">
        <f t="shared" si="5"/>
        <v>384022.53535729396</v>
      </c>
      <c r="AX22" s="75">
        <f t="shared" si="70"/>
        <v>410011.33280616143</v>
      </c>
      <c r="AY22" s="74">
        <v>1374.795793596405</v>
      </c>
      <c r="AZ22" s="92">
        <f t="shared" si="71"/>
        <v>1415.1867253211256</v>
      </c>
      <c r="BA22" s="74">
        <f t="shared" si="6"/>
        <v>131545.617857306</v>
      </c>
      <c r="BB22" s="75">
        <f t="shared" si="72"/>
        <v>167236.23744890513</v>
      </c>
      <c r="BC22" s="74">
        <v>1253.1414924329194</v>
      </c>
      <c r="BD22" s="92">
        <f t="shared" si="73"/>
        <v>1338.4248282697542</v>
      </c>
      <c r="BE22" s="93">
        <f>AO22/SUM(Table5[[#This Row],[NWP (Standard)]],Table5[[#This Row],[NWP (Plus)]],Table5[[#This Row],[NWP (Essentials)]],Table5[[#This Row],[NWP (Premium)]])</f>
        <v>0.48278901423225912</v>
      </c>
      <c r="BF22" s="93">
        <f>AS22/SUM(Table5[[#This Row],[NWP (Standard)]],Table5[[#This Row],[NWP (Plus)]],Table5[[#This Row],[NWP (Essentials)]],Table5[[#This Row],[NWP (Premium)]])</f>
        <v>0.15752660265643459</v>
      </c>
      <c r="BG22" s="93">
        <f>AW22/SUM(Table5[[#This Row],[NWP (Standard)]],Table5[[#This Row],[NWP (Plus)]],Table5[[#This Row],[NWP (Essentials)]],Table5[[#This Row],[NWP (Premium)]])</f>
        <v>0.26791202650822804</v>
      </c>
      <c r="BH22" s="94">
        <f>BA22/SUM(Table5[[#This Row],[NWP (Standard)]],Table5[[#This Row],[NWP (Plus)]],Table5[[#This Row],[NWP (Essentials)]],Table5[[#This Row],[NWP (Premium)]])</f>
        <v>9.177235660307824E-2</v>
      </c>
      <c r="BI22" s="93">
        <f t="shared" si="74"/>
        <v>0.49526878361626048</v>
      </c>
      <c r="BJ22" s="93">
        <f t="shared" si="51"/>
        <v>0.13175338579494553</v>
      </c>
      <c r="BK22" s="93">
        <f t="shared" si="51"/>
        <v>0.2649751217407631</v>
      </c>
      <c r="BL22" s="94">
        <f t="shared" si="51"/>
        <v>0.10800270884803086</v>
      </c>
      <c r="BM22" s="74">
        <v>478695.62142935995</v>
      </c>
      <c r="BN22" s="75">
        <f t="shared" si="75"/>
        <v>530163.66673504969</v>
      </c>
      <c r="BO22" s="74">
        <v>1378.6795520513235</v>
      </c>
      <c r="BP22" s="92">
        <f t="shared" si="76"/>
        <v>1361.1208288950731</v>
      </c>
      <c r="BQ22" s="74">
        <v>133533.25714254001</v>
      </c>
      <c r="BR22" s="75">
        <f t="shared" si="77"/>
        <v>117891.87551011202</v>
      </c>
      <c r="BS22" s="74">
        <v>1560.4461086515582</v>
      </c>
      <c r="BT22" s="92">
        <f t="shared" si="78"/>
        <v>1419.6771452566156</v>
      </c>
      <c r="BU22" s="74">
        <v>304045.46142878395</v>
      </c>
      <c r="BV22" s="75">
        <f t="shared" si="79"/>
        <v>328333.7920409143</v>
      </c>
      <c r="BW22" s="74">
        <v>1458.0796501960881</v>
      </c>
      <c r="BX22" s="92">
        <f t="shared" si="80"/>
        <v>1496.2063663440501</v>
      </c>
      <c r="BY22" s="74">
        <v>69672.750000455999</v>
      </c>
      <c r="BZ22" s="75">
        <f t="shared" si="81"/>
        <v>107790.00612238797</v>
      </c>
      <c r="CA22" s="74">
        <v>1311.7400465409946</v>
      </c>
      <c r="CB22" s="92">
        <f t="shared" si="82"/>
        <v>1414.3638583264521</v>
      </c>
      <c r="CC22" s="74">
        <v>213329.53214256003</v>
      </c>
      <c r="CD22" s="75">
        <f t="shared" si="83"/>
        <v>232722.82795903573</v>
      </c>
      <c r="CE22" s="74">
        <v>914.16237865902963</v>
      </c>
      <c r="CF22" s="92">
        <f t="shared" si="84"/>
        <v>924.47455529901947</v>
      </c>
      <c r="CG22" s="74">
        <v>92263.867856950004</v>
      </c>
      <c r="CH22" s="75">
        <f t="shared" si="85"/>
        <v>84595.568724488578</v>
      </c>
      <c r="CI22" s="74">
        <v>1075.7749485309168</v>
      </c>
      <c r="CJ22" s="92">
        <f t="shared" si="86"/>
        <v>1022.4245271499154</v>
      </c>
      <c r="CK22" s="74">
        <v>79977.073928509999</v>
      </c>
      <c r="CL22" s="75">
        <f t="shared" si="87"/>
        <v>81677.540765247148</v>
      </c>
      <c r="CM22" s="74">
        <v>1129.5237915008292</v>
      </c>
      <c r="CN22" s="92">
        <f t="shared" si="88"/>
        <v>1153.9316082525304</v>
      </c>
      <c r="CO22" s="74">
        <v>61872.867856849996</v>
      </c>
      <c r="CP22" s="75">
        <f t="shared" si="89"/>
        <v>59446.231326517132</v>
      </c>
      <c r="CQ22" s="74">
        <v>1193.1227415576041</v>
      </c>
      <c r="CR22" s="92">
        <f t="shared" si="90"/>
        <v>1212.3153663584421</v>
      </c>
    </row>
    <row r="23" spans="1:96" x14ac:dyDescent="0.25">
      <c r="A23" s="85">
        <f t="shared" si="7"/>
        <v>45282</v>
      </c>
      <c r="B23" s="74">
        <v>1440163.3692852361</v>
      </c>
      <c r="C23" s="75">
        <f t="shared" si="8"/>
        <v>1523683.5192860898</v>
      </c>
      <c r="D23" s="74">
        <v>1265.4241926574211</v>
      </c>
      <c r="E23" s="75">
        <f t="shared" si="8"/>
        <v>1261.9929003066268</v>
      </c>
      <c r="F23" s="96">
        <f t="shared" si="0"/>
        <v>739535.11138817808</v>
      </c>
      <c r="G23" s="75">
        <v>900543.77571401477</v>
      </c>
      <c r="H23" s="75">
        <f t="shared" ref="H23" si="231">AVERAGE(G20:G23)</f>
        <v>943636.46973184892</v>
      </c>
      <c r="I23" s="75">
        <f>Table5[[#This Row],[Average NWP (Boom)]]</f>
        <v>1265.4241926574211</v>
      </c>
      <c r="J23" s="92">
        <f t="shared" ref="J23" si="232">AVERAGE(I20:I23)</f>
        <v>1261.9929003066268</v>
      </c>
      <c r="K23" s="75">
        <f t="shared" si="1"/>
        <v>423643.06928532012</v>
      </c>
      <c r="L23" s="75">
        <f t="shared" ref="L23" si="233">AVERAGE(K20:K23)</f>
        <v>463132.74214248505</v>
      </c>
      <c r="M23" s="75">
        <v>971.65841579201867</v>
      </c>
      <c r="N23" s="75">
        <f t="shared" ref="N23" si="234">AVERAGE(M20:M23)</f>
        <v>994.3679611805959</v>
      </c>
      <c r="O23" s="96">
        <f t="shared" si="2"/>
        <v>280113.71518838068</v>
      </c>
      <c r="P23" s="74">
        <v>423643.06928532012</v>
      </c>
      <c r="Q23" s="75">
        <f t="shared" ref="Q23" si="235">AVERAGE(P20:P23)</f>
        <v>463132.74214248505</v>
      </c>
      <c r="R23" s="74">
        <v>971.65841579201867</v>
      </c>
      <c r="S23" s="75">
        <f t="shared" ref="S23" si="236">AVERAGE(R20:R23)</f>
        <v>994.3679611805959</v>
      </c>
      <c r="T23" s="96">
        <v>280113.71518838068</v>
      </c>
      <c r="U23" s="74">
        <v>0</v>
      </c>
      <c r="V23" s="75">
        <f t="shared" ref="V23" si="237">AVERAGE(U20:U23)</f>
        <v>0</v>
      </c>
      <c r="W23" s="74">
        <v>0</v>
      </c>
      <c r="X23" s="75">
        <f t="shared" ref="X23" si="238">AVERAGE(W20:W23)</f>
        <v>0</v>
      </c>
      <c r="Y23" s="96">
        <v>0</v>
      </c>
      <c r="Z23" s="74">
        <v>84710.02499999298</v>
      </c>
      <c r="AA23" s="75">
        <f t="shared" ref="AA23" si="239">AVERAGE(Z20:Z23)</f>
        <v>88379.231428633735</v>
      </c>
      <c r="AB23" s="74">
        <v>1445.4018254348773</v>
      </c>
      <c r="AC23" s="75">
        <f t="shared" ref="AC23" si="240">AVERAGE(AB20:AB23)</f>
        <v>1426.5057995587574</v>
      </c>
      <c r="AD23" s="96" t="e">
        <v>#VALUE!</v>
      </c>
      <c r="AE23" s="74">
        <v>84710.02499999298</v>
      </c>
      <c r="AF23" s="75">
        <f t="shared" ref="AF23" si="241">AVERAGE(AE20:AE23)</f>
        <v>88379.231428633735</v>
      </c>
      <c r="AG23" s="74">
        <v>118.47555944054962</v>
      </c>
      <c r="AH23" s="75">
        <f t="shared" ref="AH23" si="242">AVERAGE(AG20:AG23)</f>
        <v>116.15858331277987</v>
      </c>
      <c r="AI23" s="96" t="e">
        <v>#VALUE!</v>
      </c>
      <c r="AJ23" s="74">
        <v>1016520.2999999156</v>
      </c>
      <c r="AK23" s="75">
        <f t="shared" ref="AK23" si="243">AVERAGE(AJ20:AJ23)</f>
        <v>1060550.7771436048</v>
      </c>
      <c r="AL23" s="74">
        <v>1445.4018254348766</v>
      </c>
      <c r="AM23" s="75">
        <f t="shared" ref="AM23" si="244">AVERAGE(AL20:AL23)</f>
        <v>1426.5057995587572</v>
      </c>
      <c r="AN23" s="96">
        <v>459421.39619979734</v>
      </c>
      <c r="AO23" s="74">
        <f t="shared" si="3"/>
        <v>772198.69821390207</v>
      </c>
      <c r="AP23" s="75">
        <f t="shared" si="66"/>
        <v>753505.75658173661</v>
      </c>
      <c r="AQ23" s="74">
        <v>1192.1321251631505</v>
      </c>
      <c r="AR23" s="92">
        <f t="shared" si="67"/>
        <v>1183.2766312993665</v>
      </c>
      <c r="AS23" s="74">
        <f t="shared" si="4"/>
        <v>152022.51285713399</v>
      </c>
      <c r="AT23" s="75">
        <f t="shared" si="68"/>
        <v>192415.9181632523</v>
      </c>
      <c r="AU23" s="74">
        <v>1154.3618197067981</v>
      </c>
      <c r="AV23" s="92">
        <f t="shared" si="69"/>
        <v>1200.8999139747307</v>
      </c>
      <c r="AW23" s="74">
        <f t="shared" si="5"/>
        <v>341715.90214267996</v>
      </c>
      <c r="AX23" s="75">
        <f t="shared" si="70"/>
        <v>383513.13168375229</v>
      </c>
      <c r="AY23" s="74">
        <v>1441.7062847115874</v>
      </c>
      <c r="AZ23" s="92">
        <f t="shared" si="71"/>
        <v>1415.5478446255415</v>
      </c>
      <c r="BA23" s="74">
        <f t="shared" si="6"/>
        <v>174226.25607152001</v>
      </c>
      <c r="BB23" s="75">
        <f t="shared" si="72"/>
        <v>164340.51821430057</v>
      </c>
      <c r="BC23" s="74">
        <v>1432.4791582234157</v>
      </c>
      <c r="BD23" s="92">
        <f t="shared" si="73"/>
        <v>1341.5592195672257</v>
      </c>
      <c r="BE23" s="93">
        <f>AO23/SUM(Table5[[#This Row],[NWP (Standard)]],Table5[[#This Row],[NWP (Plus)]],Table5[[#This Row],[NWP (Essentials)]],Table5[[#This Row],[NWP (Premium)]])</f>
        <v>0.53618826494465699</v>
      </c>
      <c r="BF23" s="93">
        <f>AS23/SUM(Table5[[#This Row],[NWP (Standard)]],Table5[[#This Row],[NWP (Plus)]],Table5[[#This Row],[NWP (Essentials)]],Table5[[#This Row],[NWP (Premium)]])</f>
        <v>0.10555921369711264</v>
      </c>
      <c r="BG23" s="93">
        <f>AW23/SUM(Table5[[#This Row],[NWP (Standard)]],Table5[[#This Row],[NWP (Plus)]],Table5[[#This Row],[NWP (Essentials)]],Table5[[#This Row],[NWP (Premium)]])</f>
        <v>0.23727579067107929</v>
      </c>
      <c r="BH23" s="94">
        <f>BA23/SUM(Table5[[#This Row],[NWP (Standard)]],Table5[[#This Row],[NWP (Plus)]],Table5[[#This Row],[NWP (Essentials)]],Table5[[#This Row],[NWP (Premium)]])</f>
        <v>0.12097673068715101</v>
      </c>
      <c r="BI23" s="93">
        <f t="shared" si="74"/>
        <v>0.50470155318516929</v>
      </c>
      <c r="BJ23" s="93">
        <f t="shared" si="51"/>
        <v>0.12899518028984686</v>
      </c>
      <c r="BK23" s="93">
        <f t="shared" si="51"/>
        <v>0.25660954424674071</v>
      </c>
      <c r="BL23" s="94">
        <f t="shared" si="51"/>
        <v>0.10969372227824314</v>
      </c>
      <c r="BM23" s="74">
        <v>546703.51714255207</v>
      </c>
      <c r="BN23" s="75">
        <f t="shared" si="75"/>
        <v>522740.92836759088</v>
      </c>
      <c r="BO23" s="74">
        <v>1389.5381063207701</v>
      </c>
      <c r="BP23" s="92">
        <f t="shared" si="76"/>
        <v>1363.6341737154964</v>
      </c>
      <c r="BQ23" s="74">
        <v>89966.108571564007</v>
      </c>
      <c r="BR23" s="75">
        <f t="shared" si="77"/>
        <v>111061.5936734623</v>
      </c>
      <c r="BS23" s="74">
        <v>1325.5875903027131</v>
      </c>
      <c r="BT23" s="92">
        <f t="shared" si="78"/>
        <v>1393.3375723521644</v>
      </c>
      <c r="BU23" s="74">
        <v>260147.49857141997</v>
      </c>
      <c r="BV23" s="75">
        <f t="shared" si="79"/>
        <v>306215.48693893373</v>
      </c>
      <c r="BW23" s="74">
        <v>1555.7840603640232</v>
      </c>
      <c r="BX23" s="92">
        <f t="shared" si="80"/>
        <v>1497.7449087825155</v>
      </c>
      <c r="BY23" s="74">
        <v>119703.17571438001</v>
      </c>
      <c r="BZ23" s="75">
        <f t="shared" si="81"/>
        <v>105189.89510206626</v>
      </c>
      <c r="CA23" s="74">
        <v>1601.2924824323511</v>
      </c>
      <c r="CB23" s="92">
        <f t="shared" si="82"/>
        <v>1426.6691984480299</v>
      </c>
      <c r="CC23" s="74">
        <v>225495.18107134997</v>
      </c>
      <c r="CD23" s="75">
        <f t="shared" si="83"/>
        <v>230764.8282141457</v>
      </c>
      <c r="CE23" s="74">
        <v>886.71755325317156</v>
      </c>
      <c r="CF23" s="92">
        <f t="shared" si="84"/>
        <v>910.71727076767172</v>
      </c>
      <c r="CG23" s="74">
        <v>62056.404285569995</v>
      </c>
      <c r="CH23" s="75">
        <f t="shared" si="85"/>
        <v>81354.32448979</v>
      </c>
      <c r="CI23" s="74">
        <v>972.28784108186403</v>
      </c>
      <c r="CJ23" s="92">
        <f t="shared" si="86"/>
        <v>1005.686723642163</v>
      </c>
      <c r="CK23" s="74">
        <v>81568.403571260002</v>
      </c>
      <c r="CL23" s="75">
        <f t="shared" si="87"/>
        <v>77297.644744818579</v>
      </c>
      <c r="CM23" s="74">
        <v>1168.4554092355693</v>
      </c>
      <c r="CN23" s="92">
        <f t="shared" si="88"/>
        <v>1156.8084031663354</v>
      </c>
      <c r="CO23" s="74">
        <v>54523.080357140003</v>
      </c>
      <c r="CP23" s="75">
        <f t="shared" si="89"/>
        <v>59150.62311223428</v>
      </c>
      <c r="CQ23" s="74">
        <v>1163.2438012223663</v>
      </c>
      <c r="CR23" s="92">
        <f t="shared" si="90"/>
        <v>1206.0085982777957</v>
      </c>
    </row>
    <row r="24" spans="1:96" x14ac:dyDescent="0.25">
      <c r="A24" s="85">
        <f t="shared" si="7"/>
        <v>45289</v>
      </c>
      <c r="B24" s="74">
        <v>1099293.92678612</v>
      </c>
      <c r="C24" s="75">
        <f t="shared" si="8"/>
        <v>1343037.7203572954</v>
      </c>
      <c r="D24" s="74">
        <v>1254.9447988752522</v>
      </c>
      <c r="E24" s="75">
        <f t="shared" si="8"/>
        <v>1262.879786544981</v>
      </c>
      <c r="F24" s="96">
        <f t="shared" si="0"/>
        <v>739535.11138817808</v>
      </c>
      <c r="G24" s="75">
        <v>813851.9360712762</v>
      </c>
      <c r="H24" s="75">
        <f t="shared" ref="H24" si="245">AVERAGE(G21:G24)</f>
        <v>864911.18214255187</v>
      </c>
      <c r="I24" s="75">
        <f>Table5[[#This Row],[Average NWP (Boom)]]</f>
        <v>1254.9447988752522</v>
      </c>
      <c r="J24" s="92">
        <f t="shared" ref="J24" si="246">AVERAGE(I21:I24)</f>
        <v>1262.879786544981</v>
      </c>
      <c r="K24" s="75">
        <f t="shared" si="1"/>
        <v>329936.13535706006</v>
      </c>
      <c r="L24" s="75">
        <f t="shared" ref="L24" si="247">AVERAGE(K21:K24)</f>
        <v>399800.33928537759</v>
      </c>
      <c r="M24" s="75">
        <v>1002.8453962220671</v>
      </c>
      <c r="N24" s="75">
        <f t="shared" ref="N24" si="248">AVERAGE(M21:M24)</f>
        <v>996.24580051534053</v>
      </c>
      <c r="O24" s="96">
        <f t="shared" si="2"/>
        <v>280113.71518838068</v>
      </c>
      <c r="P24" s="74">
        <v>329936.13535706006</v>
      </c>
      <c r="Q24" s="75">
        <f t="shared" ref="Q24" si="249">AVERAGE(P21:P24)</f>
        <v>399800.33928537759</v>
      </c>
      <c r="R24" s="74">
        <v>1002.8453962220671</v>
      </c>
      <c r="S24" s="75">
        <f t="shared" ref="S24" si="250">AVERAGE(R21:R24)</f>
        <v>996.24580051534053</v>
      </c>
      <c r="T24" s="96">
        <v>280113.71518838068</v>
      </c>
      <c r="U24" s="74">
        <v>0</v>
      </c>
      <c r="V24" s="75">
        <f t="shared" ref="V24" si="251">AVERAGE(U21:U24)</f>
        <v>0</v>
      </c>
      <c r="W24" s="74">
        <v>0</v>
      </c>
      <c r="X24" s="75">
        <f t="shared" ref="X24" si="252">AVERAGE(W21:W24)</f>
        <v>0</v>
      </c>
      <c r="Y24" s="96">
        <v>0</v>
      </c>
      <c r="Z24" s="74">
        <v>64113.149285755004</v>
      </c>
      <c r="AA24" s="75">
        <f t="shared" ref="AA24" si="253">AVERAGE(Z21:Z24)</f>
        <v>78603.115089326486</v>
      </c>
      <c r="AB24" s="74">
        <v>1404.2736470861819</v>
      </c>
      <c r="AC24" s="75">
        <f t="shared" ref="AC24" si="254">AVERAGE(AB21:AB24)</f>
        <v>1422.253980401041</v>
      </c>
      <c r="AD24" s="96" t="e">
        <v>#VALUE!</v>
      </c>
      <c r="AE24" s="74">
        <v>64113.149285755004</v>
      </c>
      <c r="AF24" s="75">
        <f t="shared" ref="AF24" si="255">AVERAGE(AE21:AE24)</f>
        <v>78603.115089326486</v>
      </c>
      <c r="AG24" s="74">
        <v>115.1043972814273</v>
      </c>
      <c r="AH24" s="75">
        <f t="shared" ref="AH24" si="256">AVERAGE(AG21:AG24)</f>
        <v>116.57819509385538</v>
      </c>
      <c r="AI24" s="96" t="e">
        <v>#VALUE!</v>
      </c>
      <c r="AJ24" s="74">
        <v>769357.79142905981</v>
      </c>
      <c r="AK24" s="75">
        <f t="shared" ref="AK24" si="257">AVERAGE(AJ21:AJ24)</f>
        <v>943237.38107191771</v>
      </c>
      <c r="AL24" s="74">
        <v>1404.273647086181</v>
      </c>
      <c r="AM24" s="75">
        <f t="shared" ref="AM24" si="258">AVERAGE(AL21:AL24)</f>
        <v>1422.2539804010407</v>
      </c>
      <c r="AN24" s="96">
        <v>459421.39619979734</v>
      </c>
      <c r="AO24" s="74">
        <f t="shared" si="3"/>
        <v>554861.54250030406</v>
      </c>
      <c r="AP24" s="75">
        <f t="shared" si="66"/>
        <v>725353.03989813395</v>
      </c>
      <c r="AQ24" s="74">
        <v>1171.5664276851423</v>
      </c>
      <c r="AR24" s="92">
        <f t="shared" si="67"/>
        <v>1173.2183744911897</v>
      </c>
      <c r="AS24" s="74">
        <f t="shared" si="4"/>
        <v>149306.84285656002</v>
      </c>
      <c r="AT24" s="75">
        <f t="shared" si="68"/>
        <v>192507.55301001915</v>
      </c>
      <c r="AU24" s="74">
        <v>1235.0842917611269</v>
      </c>
      <c r="AV24" s="92">
        <f t="shared" si="69"/>
        <v>1211.8009459591005</v>
      </c>
      <c r="AW24" s="74">
        <f t="shared" si="5"/>
        <v>264922.44178635202</v>
      </c>
      <c r="AX24" s="75">
        <f t="shared" si="70"/>
        <v>359755.02923480404</v>
      </c>
      <c r="AY24" s="74">
        <v>1516.8027173457388</v>
      </c>
      <c r="AZ24" s="92">
        <f t="shared" si="71"/>
        <v>1415.3867155988232</v>
      </c>
      <c r="BA24" s="74">
        <f t="shared" si="6"/>
        <v>130203.09964290401</v>
      </c>
      <c r="BB24" s="75">
        <f t="shared" si="72"/>
        <v>159850.09698980744</v>
      </c>
      <c r="BC24" s="74">
        <v>1218.9368071038289</v>
      </c>
      <c r="BD24" s="92">
        <f t="shared" si="73"/>
        <v>1328.0083074616402</v>
      </c>
      <c r="BE24" s="93">
        <f>AO24/SUM(Table5[[#This Row],[NWP (Standard)]],Table5[[#This Row],[NWP (Plus)]],Table5[[#This Row],[NWP (Essentials)]],Table5[[#This Row],[NWP (Premium)]])</f>
        <v>0.50474357128715275</v>
      </c>
      <c r="BF24" s="93">
        <f>AS24/SUM(Table5[[#This Row],[NWP (Standard)]],Table5[[#This Row],[NWP (Plus)]],Table5[[#This Row],[NWP (Essentials)]],Table5[[#This Row],[NWP (Premium)]])</f>
        <v>0.13582067472443093</v>
      </c>
      <c r="BG24" s="93">
        <f>AW24/SUM(Table5[[#This Row],[NWP (Standard)]],Table5[[#This Row],[NWP (Plus)]],Table5[[#This Row],[NWP (Essentials)]],Table5[[#This Row],[NWP (Premium)]])</f>
        <v>0.2409932733467158</v>
      </c>
      <c r="BH24" s="94">
        <f>BA24/SUM(Table5[[#This Row],[NWP (Standard)]],Table5[[#This Row],[NWP (Plus)]],Table5[[#This Row],[NWP (Essentials)]],Table5[[#This Row],[NWP (Premium)]])</f>
        <v>0.11844248064170056</v>
      </c>
      <c r="BI24" s="93">
        <f t="shared" si="74"/>
        <v>0.50488180206319144</v>
      </c>
      <c r="BJ24" s="93">
        <f t="shared" si="51"/>
        <v>0.1341775336313103</v>
      </c>
      <c r="BK24" s="93">
        <f t="shared" si="51"/>
        <v>0.24978789629734671</v>
      </c>
      <c r="BL24" s="94">
        <f t="shared" si="51"/>
        <v>0.11115276800815151</v>
      </c>
      <c r="BM24" s="74">
        <v>380737.99285748409</v>
      </c>
      <c r="BN24" s="75">
        <f t="shared" si="75"/>
        <v>499422.05265336687</v>
      </c>
      <c r="BO24" s="74">
        <v>1294.5940673627108</v>
      </c>
      <c r="BP24" s="92">
        <f t="shared" si="76"/>
        <v>1347.2719932049256</v>
      </c>
      <c r="BQ24" s="74">
        <v>82880.9871423</v>
      </c>
      <c r="BR24" s="75">
        <f t="shared" si="77"/>
        <v>109780.26612234344</v>
      </c>
      <c r="BS24" s="74">
        <v>1478.2866130381092</v>
      </c>
      <c r="BT24" s="92">
        <f t="shared" si="78"/>
        <v>1412.8524128565211</v>
      </c>
      <c r="BU24" s="74">
        <v>222027.11142919201</v>
      </c>
      <c r="BV24" s="75">
        <f t="shared" si="79"/>
        <v>285824.29163284117</v>
      </c>
      <c r="BW24" s="74">
        <v>1659.7614950512955</v>
      </c>
      <c r="BX24" s="92">
        <f t="shared" si="80"/>
        <v>1505.5454700065236</v>
      </c>
      <c r="BY24" s="74">
        <v>83711.700000084005</v>
      </c>
      <c r="BZ24" s="75">
        <f t="shared" si="81"/>
        <v>102479.55551022172</v>
      </c>
      <c r="CA24" s="74">
        <v>1309.3368463908405</v>
      </c>
      <c r="CB24" s="92">
        <f t="shared" si="82"/>
        <v>1415.9236884417312</v>
      </c>
      <c r="CC24" s="74">
        <v>174123.54964282003</v>
      </c>
      <c r="CD24" s="75">
        <f t="shared" si="83"/>
        <v>225930.98724476714</v>
      </c>
      <c r="CE24" s="74">
        <v>970.00333587363082</v>
      </c>
      <c r="CF24" s="92">
        <f t="shared" si="84"/>
        <v>913.87996093075412</v>
      </c>
      <c r="CG24" s="74">
        <v>66425.855714260004</v>
      </c>
      <c r="CH24" s="75">
        <f t="shared" si="85"/>
        <v>82727.286887675727</v>
      </c>
      <c r="CI24" s="74">
        <v>1024.7360670395487</v>
      </c>
      <c r="CJ24" s="92">
        <f t="shared" si="86"/>
        <v>1016.432883726344</v>
      </c>
      <c r="CK24" s="74">
        <v>42895.330357160004</v>
      </c>
      <c r="CL24" s="75">
        <f t="shared" si="87"/>
        <v>73930.737601962857</v>
      </c>
      <c r="CM24" s="74">
        <v>1049.0939465509916</v>
      </c>
      <c r="CN24" s="92">
        <f t="shared" si="88"/>
        <v>1139.6469553562822</v>
      </c>
      <c r="CO24" s="74">
        <v>46491.399642819997</v>
      </c>
      <c r="CP24" s="75">
        <f t="shared" si="89"/>
        <v>57370.541479585707</v>
      </c>
      <c r="CQ24" s="74">
        <v>1084.1575195054543</v>
      </c>
      <c r="CR24" s="92">
        <f t="shared" si="90"/>
        <v>1188.5457269573853</v>
      </c>
    </row>
    <row r="25" spans="1:96" x14ac:dyDescent="0.25">
      <c r="A25" s="85">
        <f t="shared" si="7"/>
        <v>45296</v>
      </c>
      <c r="B25" s="74">
        <v>1161739.1496439737</v>
      </c>
      <c r="C25" s="75">
        <f t="shared" si="8"/>
        <v>1283646.7193753349</v>
      </c>
      <c r="D25" s="74">
        <v>1232.060875702231</v>
      </c>
      <c r="E25" s="75">
        <f t="shared" si="8"/>
        <v>1253.4943793646612</v>
      </c>
      <c r="F25" s="96">
        <f t="shared" si="0"/>
        <v>777126.05857540388</v>
      </c>
      <c r="G25" s="75">
        <v>828117.70928602992</v>
      </c>
      <c r="H25" s="75">
        <f t="shared" ref="H25" si="259">AVERAGE(G22:G25)</f>
        <v>862041.88357120147</v>
      </c>
      <c r="I25" s="75">
        <f>Table5[[#This Row],[Average NWP (Boom)]]</f>
        <v>1232.060875702231</v>
      </c>
      <c r="J25" s="92">
        <f t="shared" ref="J25" si="260">AVERAGE(I22:I25)</f>
        <v>1253.4943793646612</v>
      </c>
      <c r="K25" s="75">
        <f t="shared" si="1"/>
        <v>327474.48535736994</v>
      </c>
      <c r="L25" s="75">
        <f t="shared" ref="L25" si="261">AVERAGE(K22:K25)</f>
        <v>382124.25794615503</v>
      </c>
      <c r="M25" s="75">
        <v>980.46253101008961</v>
      </c>
      <c r="N25" s="75">
        <f t="shared" ref="N25" si="262">AVERAGE(M22:M25)</f>
        <v>991.24911498001109</v>
      </c>
      <c r="O25" s="96">
        <f t="shared" si="2"/>
        <v>298840.09062121337</v>
      </c>
      <c r="P25" s="74">
        <v>327474.48535736994</v>
      </c>
      <c r="Q25" s="75">
        <f t="shared" ref="Q25" si="263">AVERAGE(P22:P25)</f>
        <v>382124.25794615503</v>
      </c>
      <c r="R25" s="74">
        <v>980.46253101008961</v>
      </c>
      <c r="S25" s="75">
        <f t="shared" ref="S25" si="264">AVERAGE(R22:R25)</f>
        <v>991.24911498001109</v>
      </c>
      <c r="T25" s="96">
        <v>298840.09062121337</v>
      </c>
      <c r="U25" s="74">
        <v>0</v>
      </c>
      <c r="V25" s="75">
        <f t="shared" ref="V25" si="265">AVERAGE(U22:U25)</f>
        <v>0</v>
      </c>
      <c r="W25" s="74">
        <v>0</v>
      </c>
      <c r="X25" s="75">
        <f t="shared" ref="X25" si="266">AVERAGE(W22:W25)</f>
        <v>0</v>
      </c>
      <c r="Y25" s="96">
        <v>0</v>
      </c>
      <c r="Z25" s="74">
        <v>69522.055357217003</v>
      </c>
      <c r="AA25" s="75">
        <f t="shared" ref="AA25" si="267">AVERAGE(Z22:Z25)</f>
        <v>75126.87178576499</v>
      </c>
      <c r="AB25" s="74">
        <v>1368.0146379205128</v>
      </c>
      <c r="AC25" s="75">
        <f t="shared" ref="AC25" si="268">AVERAGE(AB22:AB25)</f>
        <v>1409.3727902455159</v>
      </c>
      <c r="AD25" s="96" t="e">
        <v>#VALUE!</v>
      </c>
      <c r="AE25" s="74">
        <v>69522.055357217003</v>
      </c>
      <c r="AF25" s="75">
        <f t="shared" ref="AF25" si="269">AVERAGE(AE22:AE25)</f>
        <v>75126.87178576499</v>
      </c>
      <c r="AG25" s="74">
        <v>112.13234735035</v>
      </c>
      <c r="AH25" s="75">
        <f t="shared" ref="AH25" si="270">AVERAGE(AG22:AG25)</f>
        <v>115.52235983539583</v>
      </c>
      <c r="AI25" s="96" t="e">
        <v>#VALUE!</v>
      </c>
      <c r="AJ25" s="74">
        <v>834264.66428660415</v>
      </c>
      <c r="AK25" s="75">
        <f t="shared" ref="AK25" si="271">AVERAGE(AJ22:AJ25)</f>
        <v>901522.46142917988</v>
      </c>
      <c r="AL25" s="74">
        <v>1368.0146379205128</v>
      </c>
      <c r="AM25" s="75">
        <f t="shared" ref="AM25" si="272">AVERAGE(AL22:AL25)</f>
        <v>1409.3727902455155</v>
      </c>
      <c r="AN25" s="96">
        <v>478285.96795419056</v>
      </c>
      <c r="AO25" s="74">
        <f t="shared" si="3"/>
        <v>572472.98892856808</v>
      </c>
      <c r="AP25" s="75">
        <f t="shared" si="66"/>
        <v>699362.33428588451</v>
      </c>
      <c r="AQ25" s="74">
        <v>1165.128810369541</v>
      </c>
      <c r="AR25" s="92">
        <f t="shared" si="67"/>
        <v>1175.5433301510927</v>
      </c>
      <c r="AS25" s="74">
        <f t="shared" si="4"/>
        <v>169718.78071466798</v>
      </c>
      <c r="AT25" s="75">
        <f t="shared" si="68"/>
        <v>190079.63749983482</v>
      </c>
      <c r="AU25" s="74">
        <v>1309.657890515314</v>
      </c>
      <c r="AV25" s="92">
        <f t="shared" si="69"/>
        <v>1232.5692679544863</v>
      </c>
      <c r="AW25" s="74">
        <f t="shared" si="5"/>
        <v>287647.68535774999</v>
      </c>
      <c r="AX25" s="75">
        <f t="shared" si="70"/>
        <v>347798.28765329142</v>
      </c>
      <c r="AY25" s="74">
        <v>1375.0284445183017</v>
      </c>
      <c r="AZ25" s="92">
        <f t="shared" si="71"/>
        <v>1422.2540913518774</v>
      </c>
      <c r="BA25" s="74">
        <f t="shared" si="6"/>
        <v>131899.694642988</v>
      </c>
      <c r="BB25" s="75">
        <f t="shared" si="72"/>
        <v>157349.48433677517</v>
      </c>
      <c r="BC25" s="74">
        <v>1169.3178695283891</v>
      </c>
      <c r="BD25" s="92">
        <f t="shared" si="73"/>
        <v>1312.9204933786934</v>
      </c>
      <c r="BE25" s="93">
        <f>AO25/SUM(Table5[[#This Row],[NWP (Standard)]],Table5[[#This Row],[NWP (Plus)]],Table5[[#This Row],[NWP (Essentials)]],Table5[[#This Row],[NWP (Premium)]])</f>
        <v>0.49277239998669908</v>
      </c>
      <c r="BF25" s="93">
        <f>AS25/SUM(Table5[[#This Row],[NWP (Standard)]],Table5[[#This Row],[NWP (Plus)]],Table5[[#This Row],[NWP (Essentials)]],Table5[[#This Row],[NWP (Premium)]])</f>
        <v>0.14609026541515788</v>
      </c>
      <c r="BG25" s="93">
        <f>AW25/SUM(Table5[[#This Row],[NWP (Standard)]],Table5[[#This Row],[NWP (Plus)]],Table5[[#This Row],[NWP (Essentials)]],Table5[[#This Row],[NWP (Premium)]])</f>
        <v>0.24760092267347822</v>
      </c>
      <c r="BH25" s="94">
        <f>BA25/SUM(Table5[[#This Row],[NWP (Standard)]],Table5[[#This Row],[NWP (Plus)]],Table5[[#This Row],[NWP (Essentials)]],Table5[[#This Row],[NWP (Premium)]])</f>
        <v>0.11353641192466477</v>
      </c>
      <c r="BI25" s="93">
        <f t="shared" si="74"/>
        <v>0.50155551102256601</v>
      </c>
      <c r="BJ25" s="93">
        <f t="shared" si="51"/>
        <v>0.13680146362898185</v>
      </c>
      <c r="BK25" s="93">
        <f t="shared" si="51"/>
        <v>0.24887084510503182</v>
      </c>
      <c r="BL25" s="94">
        <f t="shared" si="51"/>
        <v>0.1127721802434203</v>
      </c>
      <c r="BM25" s="74">
        <v>408196.86857128801</v>
      </c>
      <c r="BN25" s="75">
        <f t="shared" si="75"/>
        <v>479817.70897981885</v>
      </c>
      <c r="BO25" s="74">
        <v>1317.4607929804531</v>
      </c>
      <c r="BP25" s="92">
        <f t="shared" si="76"/>
        <v>1349.6565672295235</v>
      </c>
      <c r="BQ25" s="74">
        <v>107336.55428602798</v>
      </c>
      <c r="BR25" s="75">
        <f t="shared" si="77"/>
        <v>108623.9748978463</v>
      </c>
      <c r="BS25" s="74">
        <v>1417.2142451571995</v>
      </c>
      <c r="BT25" s="92">
        <f t="shared" si="78"/>
        <v>1422.6113673557979</v>
      </c>
      <c r="BU25" s="74">
        <v>237541.29000059998</v>
      </c>
      <c r="BV25" s="75">
        <f t="shared" si="79"/>
        <v>277301.62102071434</v>
      </c>
      <c r="BW25" s="74">
        <v>1481.5970033379144</v>
      </c>
      <c r="BX25" s="92">
        <f t="shared" si="80"/>
        <v>1516.9636215548683</v>
      </c>
      <c r="BY25" s="74">
        <v>81189.951428688</v>
      </c>
      <c r="BZ25" s="75">
        <f t="shared" si="81"/>
        <v>100273.1963265823</v>
      </c>
      <c r="CA25" s="74">
        <v>1269.8941123183163</v>
      </c>
      <c r="CB25" s="92">
        <f t="shared" si="82"/>
        <v>1403.7508471178378</v>
      </c>
      <c r="CC25" s="74">
        <v>164276.12035728002</v>
      </c>
      <c r="CD25" s="75">
        <f t="shared" si="83"/>
        <v>219544.62530606572</v>
      </c>
      <c r="CE25" s="74">
        <v>905.08896655914805</v>
      </c>
      <c r="CF25" s="92">
        <f t="shared" si="84"/>
        <v>917.39614963657971</v>
      </c>
      <c r="CG25" s="74">
        <v>62382.226428640002</v>
      </c>
      <c r="CH25" s="75">
        <f t="shared" si="85"/>
        <v>81455.662601988573</v>
      </c>
      <c r="CI25" s="74">
        <v>1158.3914191796814</v>
      </c>
      <c r="CJ25" s="92">
        <f t="shared" si="86"/>
        <v>1045.7670979896352</v>
      </c>
      <c r="CK25" s="74">
        <v>50106.395357149995</v>
      </c>
      <c r="CL25" s="75">
        <f t="shared" si="87"/>
        <v>70496.666632577137</v>
      </c>
      <c r="CM25" s="74">
        <v>1025.3810847097336</v>
      </c>
      <c r="CN25" s="92">
        <f t="shared" si="88"/>
        <v>1129.9366295776683</v>
      </c>
      <c r="CO25" s="74">
        <v>50709.743214300004</v>
      </c>
      <c r="CP25" s="75">
        <f t="shared" si="89"/>
        <v>57076.28801019286</v>
      </c>
      <c r="CQ25" s="74">
        <v>1037.7280411373924</v>
      </c>
      <c r="CR25" s="92">
        <f t="shared" si="90"/>
        <v>1172.4631132110921</v>
      </c>
    </row>
    <row r="26" spans="1:96" x14ac:dyDescent="0.25">
      <c r="A26" s="85">
        <f t="shared" si="7"/>
        <v>45303</v>
      </c>
      <c r="B26" s="74">
        <v>1343471.9950001498</v>
      </c>
      <c r="C26" s="75">
        <f t="shared" si="8"/>
        <v>1261167.1101788699</v>
      </c>
      <c r="D26" s="74">
        <v>1247.4111146190896</v>
      </c>
      <c r="E26" s="75">
        <f t="shared" si="8"/>
        <v>1249.9602454634985</v>
      </c>
      <c r="F26" s="96">
        <f t="shared" si="0"/>
        <v>792162.43745029438</v>
      </c>
      <c r="G26" s="75">
        <v>898210.91571425367</v>
      </c>
      <c r="H26" s="75">
        <f t="shared" ref="H26" si="273">AVERAGE(G23:G26)</f>
        <v>860181.08419639361</v>
      </c>
      <c r="I26" s="75">
        <f>Table5[[#This Row],[Average NWP (Boom)]]</f>
        <v>1247.4111146190896</v>
      </c>
      <c r="J26" s="92">
        <f t="shared" ref="J26" si="274">AVERAGE(I23:I26)</f>
        <v>1249.9602454634985</v>
      </c>
      <c r="K26" s="75">
        <f t="shared" si="1"/>
        <v>423050.98214287002</v>
      </c>
      <c r="L26" s="75">
        <f t="shared" ref="L26" si="275">AVERAGE(K23:K26)</f>
        <v>376026.16803565505</v>
      </c>
      <c r="M26" s="75">
        <v>986.1328255078555</v>
      </c>
      <c r="N26" s="75">
        <f t="shared" ref="N26" si="276">AVERAGE(M23:M26)</f>
        <v>985.27479213300774</v>
      </c>
      <c r="O26" s="96">
        <f t="shared" si="2"/>
        <v>306330.64079434652</v>
      </c>
      <c r="P26" s="74">
        <v>423050.98214287002</v>
      </c>
      <c r="Q26" s="75">
        <f t="shared" ref="Q26" si="277">AVERAGE(P23:P26)</f>
        <v>376026.16803565505</v>
      </c>
      <c r="R26" s="74">
        <v>986.1328255078555</v>
      </c>
      <c r="S26" s="75">
        <f t="shared" ref="S26" si="278">AVERAGE(R23:R26)</f>
        <v>985.27479213300774</v>
      </c>
      <c r="T26" s="96">
        <v>306330.64079434652</v>
      </c>
      <c r="U26" s="74">
        <v>0</v>
      </c>
      <c r="V26" s="75">
        <f t="shared" ref="V26" si="279">AVERAGE(U23:U26)</f>
        <v>0</v>
      </c>
      <c r="W26" s="74">
        <v>0</v>
      </c>
      <c r="X26" s="75">
        <f t="shared" ref="X26" si="280">AVERAGE(W23:W26)</f>
        <v>0</v>
      </c>
      <c r="Y26" s="96">
        <v>0</v>
      </c>
      <c r="Z26" s="74">
        <v>76701.751071440012</v>
      </c>
      <c r="AA26" s="75">
        <f t="shared" ref="AA26" si="281">AVERAGE(Z23:Z26)</f>
        <v>73761.745178601253</v>
      </c>
      <c r="AB26" s="74">
        <v>1417.8202473333406</v>
      </c>
      <c r="AC26" s="75">
        <f t="shared" ref="AC26" si="282">AVERAGE(AB23:AB26)</f>
        <v>1408.8775894437281</v>
      </c>
      <c r="AD26" s="96" t="e">
        <v>#VALUE!</v>
      </c>
      <c r="AE26" s="74">
        <v>76701.751071440012</v>
      </c>
      <c r="AF26" s="75">
        <f t="shared" ref="AF26" si="283">AVERAGE(AE23:AE26)</f>
        <v>73761.745178601253</v>
      </c>
      <c r="AG26" s="74">
        <v>116.21477435066669</v>
      </c>
      <c r="AH26" s="75">
        <f t="shared" ref="AH26" si="284">AVERAGE(AG23:AG26)</f>
        <v>115.4817696057484</v>
      </c>
      <c r="AI26" s="96" t="e">
        <v>#VALUE!</v>
      </c>
      <c r="AJ26" s="74">
        <v>920421.01285728021</v>
      </c>
      <c r="AK26" s="75">
        <f t="shared" ref="AK26" si="285">AVERAGE(AJ23:AJ26)</f>
        <v>885140.94214321498</v>
      </c>
      <c r="AL26" s="74">
        <v>1417.8202473333401</v>
      </c>
      <c r="AM26" s="75">
        <f t="shared" ref="AM26" si="286">AVERAGE(AL23:AL26)</f>
        <v>1408.8775894437276</v>
      </c>
      <c r="AN26" s="96">
        <v>485831.79665594787</v>
      </c>
      <c r="AO26" s="74">
        <f t="shared" si="3"/>
        <v>685795.212499824</v>
      </c>
      <c r="AP26" s="75">
        <f t="shared" si="66"/>
        <v>695748.09658186627</v>
      </c>
      <c r="AQ26" s="74">
        <v>1168.8058104613431</v>
      </c>
      <c r="AR26" s="92">
        <f t="shared" si="67"/>
        <v>1177.7130873591489</v>
      </c>
      <c r="AS26" s="74">
        <f t="shared" si="4"/>
        <v>187546.26500016201</v>
      </c>
      <c r="AT26" s="75">
        <f t="shared" si="68"/>
        <v>187561.61193869286</v>
      </c>
      <c r="AU26" s="74">
        <v>1183.3795878771423</v>
      </c>
      <c r="AV26" s="92">
        <f t="shared" si="69"/>
        <v>1226.9639737759103</v>
      </c>
      <c r="AW26" s="74">
        <f t="shared" si="5"/>
        <v>318177.19107132201</v>
      </c>
      <c r="AX26" s="75">
        <f t="shared" si="70"/>
        <v>343948.88831657171</v>
      </c>
      <c r="AY26" s="74">
        <v>1445.6315802465431</v>
      </c>
      <c r="AZ26" s="92">
        <f t="shared" si="71"/>
        <v>1428.8902830449301</v>
      </c>
      <c r="BA26" s="74">
        <f t="shared" si="6"/>
        <v>151953.32642884203</v>
      </c>
      <c r="BB26" s="75">
        <f t="shared" si="72"/>
        <v>158346.99581638403</v>
      </c>
      <c r="BC26" s="74">
        <v>1360.6096019268236</v>
      </c>
      <c r="BD26" s="92">
        <f t="shared" si="73"/>
        <v>1324.7111183556008</v>
      </c>
      <c r="BE26" s="93">
        <f>AO26/SUM(Table5[[#This Row],[NWP (Standard)]],Table5[[#This Row],[NWP (Plus)]],Table5[[#This Row],[NWP (Essentials)]],Table5[[#This Row],[NWP (Premium)]])</f>
        <v>0.51046483667100739</v>
      </c>
      <c r="BF26" s="93">
        <f>AS26/SUM(Table5[[#This Row],[NWP (Standard)]],Table5[[#This Row],[NWP (Plus)]],Table5[[#This Row],[NWP (Essentials)]],Table5[[#This Row],[NWP (Premium)]])</f>
        <v>0.13959819460184658</v>
      </c>
      <c r="BG26" s="93">
        <f>AW26/SUM(Table5[[#This Row],[NWP (Standard)]],Table5[[#This Row],[NWP (Plus)]],Table5[[#This Row],[NWP (Essentials)]],Table5[[#This Row],[NWP (Premium)]])</f>
        <v>0.23683202348500496</v>
      </c>
      <c r="BH26" s="94">
        <f>BA26/SUM(Table5[[#This Row],[NWP (Standard)]],Table5[[#This Row],[NWP (Plus)]],Table5[[#This Row],[NWP (Essentials)]],Table5[[#This Row],[NWP (Premium)]])</f>
        <v>0.1131049452421411</v>
      </c>
      <c r="BI26" s="93">
        <f t="shared" si="74"/>
        <v>0.50224655371694793</v>
      </c>
      <c r="BJ26" s="93">
        <f t="shared" si="51"/>
        <v>0.13590279377327436</v>
      </c>
      <c r="BK26" s="93">
        <f t="shared" si="51"/>
        <v>0.24764664692090205</v>
      </c>
      <c r="BL26" s="94">
        <f t="shared" si="51"/>
        <v>0.11420400558887557</v>
      </c>
      <c r="BM26" s="74">
        <v>447181.81285718398</v>
      </c>
      <c r="BN26" s="75">
        <f t="shared" si="75"/>
        <v>477457.11244930635</v>
      </c>
      <c r="BO26" s="74">
        <v>1341.1057320156476</v>
      </c>
      <c r="BP26" s="92">
        <f t="shared" si="76"/>
        <v>1349.3144183812458</v>
      </c>
      <c r="BQ26" s="74">
        <v>106277.66142841199</v>
      </c>
      <c r="BR26" s="75">
        <f t="shared" si="77"/>
        <v>108160.50061216285</v>
      </c>
      <c r="BS26" s="74">
        <v>1367.7083013291265</v>
      </c>
      <c r="BT26" s="92">
        <f t="shared" si="78"/>
        <v>1412.3073542072834</v>
      </c>
      <c r="BU26" s="74">
        <v>261444.62571409202</v>
      </c>
      <c r="BV26" s="75">
        <f t="shared" si="79"/>
        <v>277983.35081662453</v>
      </c>
      <c r="BW26" s="74">
        <v>1582.1549773244324</v>
      </c>
      <c r="BX26" s="92">
        <f t="shared" si="80"/>
        <v>1535.6519042247289</v>
      </c>
      <c r="BY26" s="74">
        <v>105516.91285759202</v>
      </c>
      <c r="BZ26" s="75">
        <f t="shared" si="81"/>
        <v>103005.69000010114</v>
      </c>
      <c r="CA26" s="74">
        <v>1449.66929852966</v>
      </c>
      <c r="CB26" s="92">
        <f t="shared" si="82"/>
        <v>1425.4222217765266</v>
      </c>
      <c r="CC26" s="74">
        <v>238613.39964264006</v>
      </c>
      <c r="CD26" s="75">
        <f t="shared" si="83"/>
        <v>218290.98413256</v>
      </c>
      <c r="CE26" s="74">
        <v>941.99659439059667</v>
      </c>
      <c r="CF26" s="92">
        <f t="shared" si="84"/>
        <v>921.67997739464374</v>
      </c>
      <c r="CG26" s="74">
        <v>81268.603571750005</v>
      </c>
      <c r="CH26" s="75">
        <f t="shared" si="85"/>
        <v>79401.111326530008</v>
      </c>
      <c r="CI26" s="74">
        <v>1006.0649046559181</v>
      </c>
      <c r="CJ26" s="92">
        <f t="shared" si="86"/>
        <v>1040.5581735646576</v>
      </c>
      <c r="CK26" s="74">
        <v>56732.565357229993</v>
      </c>
      <c r="CL26" s="75">
        <f t="shared" si="87"/>
        <v>65965.537499947139</v>
      </c>
      <c r="CM26" s="74">
        <v>1034.3272189276463</v>
      </c>
      <c r="CN26" s="92">
        <f t="shared" si="88"/>
        <v>1096.6919479241226</v>
      </c>
      <c r="CO26" s="74">
        <v>46436.413571250006</v>
      </c>
      <c r="CP26" s="75">
        <f t="shared" si="89"/>
        <v>55341.30581628286</v>
      </c>
      <c r="CQ26" s="74">
        <v>1193.9394005229533</v>
      </c>
      <c r="CR26" s="92">
        <f t="shared" si="90"/>
        <v>1164.4794238984821</v>
      </c>
    </row>
    <row r="27" spans="1:96" x14ac:dyDescent="0.25">
      <c r="A27" s="85">
        <f t="shared" si="7"/>
        <v>45310</v>
      </c>
      <c r="B27" s="74">
        <v>1335694.0060706853</v>
      </c>
      <c r="C27" s="75">
        <f t="shared" si="8"/>
        <v>1235049.7693752323</v>
      </c>
      <c r="D27" s="74">
        <v>1244.0395614629965</v>
      </c>
      <c r="E27" s="75">
        <f t="shared" si="8"/>
        <v>1244.6140876648924</v>
      </c>
      <c r="F27" s="96">
        <f t="shared" si="0"/>
        <v>792162.43745029438</v>
      </c>
      <c r="G27" s="75">
        <v>893134.24714262167</v>
      </c>
      <c r="H27" s="75">
        <f t="shared" ref="H27" si="287">AVERAGE(G24:G27)</f>
        <v>858328.70205354539</v>
      </c>
      <c r="I27" s="75">
        <f>Table5[[#This Row],[Average NWP (Boom)]]</f>
        <v>1244.0395614629965</v>
      </c>
      <c r="J27" s="92">
        <f t="shared" ref="J27" si="288">AVERAGE(I24:I27)</f>
        <v>1244.6140876648924</v>
      </c>
      <c r="K27" s="75">
        <f t="shared" si="1"/>
        <v>397201.53749989008</v>
      </c>
      <c r="L27" s="75">
        <f t="shared" ref="L27" si="289">AVERAGE(K24:K27)</f>
        <v>369415.78508929757</v>
      </c>
      <c r="M27" s="75">
        <v>990.52752493738171</v>
      </c>
      <c r="N27" s="75">
        <f t="shared" ref="N27" si="290">AVERAGE(M24:M27)</f>
        <v>989.99206941934847</v>
      </c>
      <c r="O27" s="96">
        <f t="shared" si="2"/>
        <v>306330.64079434652</v>
      </c>
      <c r="P27" s="74">
        <v>397201.53749989008</v>
      </c>
      <c r="Q27" s="75">
        <f t="shared" ref="Q27" si="291">AVERAGE(P24:P27)</f>
        <v>369415.78508929757</v>
      </c>
      <c r="R27" s="74">
        <v>990.52752493738171</v>
      </c>
      <c r="S27" s="75">
        <f t="shared" ref="S27" si="292">AVERAGE(R24:R27)</f>
        <v>989.99206941934847</v>
      </c>
      <c r="T27" s="96">
        <v>306330.64079434652</v>
      </c>
      <c r="U27" s="74">
        <v>0</v>
      </c>
      <c r="V27" s="75">
        <f t="shared" ref="V27" si="293">AVERAGE(U24:U27)</f>
        <v>0</v>
      </c>
      <c r="W27" s="74">
        <v>0</v>
      </c>
      <c r="X27" s="75">
        <f t="shared" ref="X27" si="294">AVERAGE(W24:W27)</f>
        <v>0</v>
      </c>
      <c r="Y27" s="96">
        <v>0</v>
      </c>
      <c r="Z27" s="74">
        <v>78207.705714233001</v>
      </c>
      <c r="AA27" s="75">
        <f t="shared" ref="AA27" si="295">AVERAGE(Z24:Z27)</f>
        <v>72136.165357161255</v>
      </c>
      <c r="AB27" s="74">
        <v>1392.8963647961846</v>
      </c>
      <c r="AC27" s="75">
        <f t="shared" ref="AC27" si="296">AVERAGE(AB24:AB27)</f>
        <v>1395.7512242840548</v>
      </c>
      <c r="AD27" s="96" t="e">
        <v>#VALUE!</v>
      </c>
      <c r="AE27" s="74">
        <v>78207.705714233001</v>
      </c>
      <c r="AF27" s="75">
        <f t="shared" ref="AF27" si="297">AVERAGE(AE24:AE27)</f>
        <v>72136.165357161255</v>
      </c>
      <c r="AG27" s="74">
        <v>114.17183315946424</v>
      </c>
      <c r="AH27" s="75">
        <f t="shared" ref="AH27" si="298">AVERAGE(AG24:AG27)</f>
        <v>114.40583803547706</v>
      </c>
      <c r="AI27" s="96" t="e">
        <v>#VALUE!</v>
      </c>
      <c r="AJ27" s="74">
        <v>938492.46857079584</v>
      </c>
      <c r="AK27" s="75">
        <f t="shared" ref="AK27" si="299">AVERAGE(AJ24:AJ27)</f>
        <v>865633.98428593506</v>
      </c>
      <c r="AL27" s="74">
        <v>1392.8963647961841</v>
      </c>
      <c r="AM27" s="75">
        <f t="shared" ref="AM27" si="300">AVERAGE(AL24:AL27)</f>
        <v>1395.7512242840544</v>
      </c>
      <c r="AN27" s="96">
        <v>485831.79665594787</v>
      </c>
      <c r="AO27" s="74">
        <f t="shared" si="3"/>
        <v>666643.01428531599</v>
      </c>
      <c r="AP27" s="75">
        <f t="shared" si="66"/>
        <v>662074.26678578393</v>
      </c>
      <c r="AQ27" s="74">
        <v>1180.0988766896958</v>
      </c>
      <c r="AR27" s="92">
        <f t="shared" si="67"/>
        <v>1179.5653200602951</v>
      </c>
      <c r="AS27" s="74">
        <f t="shared" si="4"/>
        <v>176548.49714285397</v>
      </c>
      <c r="AT27" s="75">
        <f t="shared" si="68"/>
        <v>178716.03744885628</v>
      </c>
      <c r="AU27" s="74">
        <v>1173.3566362702425</v>
      </c>
      <c r="AV27" s="92">
        <f t="shared" si="69"/>
        <v>1228.087344682099</v>
      </c>
      <c r="AW27" s="74">
        <f t="shared" si="5"/>
        <v>364208.78214242402</v>
      </c>
      <c r="AX27" s="75">
        <f t="shared" si="70"/>
        <v>329811.69663277228</v>
      </c>
      <c r="AY27" s="74">
        <v>1414.5531308107572</v>
      </c>
      <c r="AZ27" s="92">
        <f t="shared" si="71"/>
        <v>1425.7115678332659</v>
      </c>
      <c r="BA27" s="74">
        <f t="shared" si="6"/>
        <v>128293.71250009199</v>
      </c>
      <c r="BB27" s="75">
        <f t="shared" si="72"/>
        <v>145548.86086744344</v>
      </c>
      <c r="BC27" s="74">
        <v>1272.3343389717518</v>
      </c>
      <c r="BD27" s="92">
        <f t="shared" si="73"/>
        <v>1306.6477714740454</v>
      </c>
      <c r="BE27" s="93">
        <f>AO27/SUM(Table5[[#This Row],[NWP (Standard)]],Table5[[#This Row],[NWP (Plus)]],Table5[[#This Row],[NWP (Essentials)]],Table5[[#This Row],[NWP (Premium)]])</f>
        <v>0.49909860436255987</v>
      </c>
      <c r="BF27" s="93">
        <f>AS27/SUM(Table5[[#This Row],[NWP (Standard)]],Table5[[#This Row],[NWP (Plus)]],Table5[[#This Row],[NWP (Essentials)]],Table5[[#This Row],[NWP (Premium)]])</f>
        <v>0.13217735225317084</v>
      </c>
      <c r="BG27" s="93">
        <f>AW27/SUM(Table5[[#This Row],[NWP (Standard)]],Table5[[#This Row],[NWP (Plus)]],Table5[[#This Row],[NWP (Essentials)]],Table5[[#This Row],[NWP (Premium)]])</f>
        <v>0.27267381637344101</v>
      </c>
      <c r="BH27" s="94">
        <f>BA27/SUM(Table5[[#This Row],[NWP (Standard)]],Table5[[#This Row],[NWP (Plus)]],Table5[[#This Row],[NWP (Essentials)]],Table5[[#This Row],[NWP (Premium)]])</f>
        <v>9.6050227010828243E-2</v>
      </c>
      <c r="BI27" s="93">
        <f t="shared" si="74"/>
        <v>0.50279045948290713</v>
      </c>
      <c r="BJ27" s="93">
        <f t="shared" si="74"/>
        <v>0.13608654268823334</v>
      </c>
      <c r="BK27" s="93">
        <f t="shared" si="74"/>
        <v>0.25028200295105518</v>
      </c>
      <c r="BL27" s="94">
        <f t="shared" si="74"/>
        <v>0.11084099487780438</v>
      </c>
      <c r="BM27" s="74">
        <v>441688.69285671599</v>
      </c>
      <c r="BN27" s="75">
        <f t="shared" si="75"/>
        <v>452370.12489807262</v>
      </c>
      <c r="BO27" s="74">
        <v>1352.5607564813963</v>
      </c>
      <c r="BP27" s="92">
        <f t="shared" si="76"/>
        <v>1345.7094397240387</v>
      </c>
      <c r="BQ27" s="74">
        <v>107006.36999996399</v>
      </c>
      <c r="BR27" s="75">
        <f t="shared" si="77"/>
        <v>106227.48489785485</v>
      </c>
      <c r="BS27" s="74">
        <v>1326.7049941407993</v>
      </c>
      <c r="BT27" s="92">
        <f t="shared" si="78"/>
        <v>1412.4392283743541</v>
      </c>
      <c r="BU27" s="74">
        <v>298722.00428546401</v>
      </c>
      <c r="BV27" s="75">
        <f t="shared" si="79"/>
        <v>268786.33714303368</v>
      </c>
      <c r="BW27" s="74">
        <v>1474.2752641337599</v>
      </c>
      <c r="BX27" s="92">
        <f t="shared" si="80"/>
        <v>1528.8539213242273</v>
      </c>
      <c r="BY27" s="74">
        <v>91075.401428651996</v>
      </c>
      <c r="BZ27" s="75">
        <f t="shared" si="81"/>
        <v>96348.577347089158</v>
      </c>
      <c r="CA27" s="74">
        <v>1424.5126892686612</v>
      </c>
      <c r="CB27" s="92">
        <f t="shared" si="82"/>
        <v>1419.5451617157985</v>
      </c>
      <c r="CC27" s="74">
        <v>224954.3214286</v>
      </c>
      <c r="CD27" s="75">
        <f t="shared" si="83"/>
        <v>209704.14188771145</v>
      </c>
      <c r="CE27" s="74">
        <v>943.81018673468031</v>
      </c>
      <c r="CF27" s="92">
        <f t="shared" si="84"/>
        <v>931.25005249012304</v>
      </c>
      <c r="CG27" s="74">
        <v>69542.127142889993</v>
      </c>
      <c r="CH27" s="75">
        <f t="shared" si="85"/>
        <v>72488.552551001427</v>
      </c>
      <c r="CI27" s="74">
        <v>996.18076451465265</v>
      </c>
      <c r="CJ27" s="92">
        <f t="shared" si="86"/>
        <v>1034.6828259348333</v>
      </c>
      <c r="CK27" s="74">
        <v>65486.777856960005</v>
      </c>
      <c r="CL27" s="75">
        <f t="shared" si="87"/>
        <v>61025.359489738585</v>
      </c>
      <c r="CM27" s="74">
        <v>1193.9307942592432</v>
      </c>
      <c r="CN27" s="92">
        <f t="shared" si="88"/>
        <v>1096.6035190524021</v>
      </c>
      <c r="CO27" s="74">
        <v>37218.311071440003</v>
      </c>
      <c r="CP27" s="75">
        <f t="shared" si="89"/>
        <v>49200.283520354293</v>
      </c>
      <c r="CQ27" s="74">
        <v>1008.6561904212874</v>
      </c>
      <c r="CR27" s="92">
        <f t="shared" si="90"/>
        <v>1123.2616258807527</v>
      </c>
    </row>
    <row r="28" spans="1:96" x14ac:dyDescent="0.25">
      <c r="A28" s="85">
        <f t="shared" si="7"/>
        <v>45317</v>
      </c>
      <c r="B28" s="74">
        <v>1309714.789286104</v>
      </c>
      <c r="C28" s="75">
        <f t="shared" si="8"/>
        <v>1287654.9850002283</v>
      </c>
      <c r="D28" s="74">
        <v>1210.5245407962234</v>
      </c>
      <c r="E28" s="75">
        <f t="shared" si="8"/>
        <v>1233.5090231451352</v>
      </c>
      <c r="F28" s="96">
        <f t="shared" si="0"/>
        <v>792162.43745029438</v>
      </c>
      <c r="G28" s="75">
        <v>1097630.6739290361</v>
      </c>
      <c r="H28" s="75">
        <f t="shared" ref="H28" si="301">AVERAGE(G25:G28)</f>
        <v>929273.38651798537</v>
      </c>
      <c r="I28" s="75">
        <f>Table5[[#This Row],[Average NWP (Boom)]]</f>
        <v>1210.5245407962234</v>
      </c>
      <c r="J28" s="92">
        <f t="shared" ref="J28" si="302">AVERAGE(I25:I28)</f>
        <v>1233.5090231451352</v>
      </c>
      <c r="K28" s="75">
        <f t="shared" si="1"/>
        <v>608196.67500046012</v>
      </c>
      <c r="L28" s="75">
        <f t="shared" ref="L28" si="303">AVERAGE(K25:K28)</f>
        <v>438980.92000014754</v>
      </c>
      <c r="M28" s="75">
        <v>1059.5760888509758</v>
      </c>
      <c r="N28" s="75">
        <f t="shared" ref="N28" si="304">AVERAGE(M25:M28)</f>
        <v>1004.1747425765757</v>
      </c>
      <c r="O28" s="96">
        <f t="shared" si="2"/>
        <v>306330.64079434652</v>
      </c>
      <c r="P28" s="74">
        <v>414127.75035702018</v>
      </c>
      <c r="Q28" s="75">
        <f t="shared" ref="Q28" si="305">AVERAGE(P25:P28)</f>
        <v>390463.68883928756</v>
      </c>
      <c r="R28" s="74">
        <v>945.49714693383601</v>
      </c>
      <c r="S28" s="75">
        <f t="shared" ref="S28" si="306">AVERAGE(R25:R28)</f>
        <v>975.65500709729076</v>
      </c>
      <c r="T28" s="96">
        <v>306330.64079434652</v>
      </c>
      <c r="U28" s="74">
        <v>194068.92464344</v>
      </c>
      <c r="V28" s="75">
        <f t="shared" ref="V28" si="307">AVERAGE(U25:U28)</f>
        <v>48517.231160859999</v>
      </c>
      <c r="W28" s="74">
        <v>1426.9773870841177</v>
      </c>
      <c r="X28" s="75">
        <f t="shared" ref="X28" si="308">AVERAGE(W25:W28)</f>
        <v>356.74434677102943</v>
      </c>
      <c r="Y28" s="96">
        <v>0</v>
      </c>
      <c r="Z28" s="74">
        <v>58459.842857136995</v>
      </c>
      <c r="AA28" s="75">
        <f t="shared" ref="AA28" si="309">AVERAGE(Z25:Z28)</f>
        <v>70722.838750006747</v>
      </c>
      <c r="AB28" s="74">
        <v>1376.8534420568515</v>
      </c>
      <c r="AC28" s="75">
        <f t="shared" ref="AC28" si="310">AVERAGE(AB25:AB28)</f>
        <v>1388.8961730267222</v>
      </c>
      <c r="AD28" s="96" t="e">
        <v>#VALUE!</v>
      </c>
      <c r="AE28" s="74">
        <v>58459.842857136995</v>
      </c>
      <c r="AF28" s="75">
        <f t="shared" ref="AF28" si="311">AVERAGE(AE25:AE28)</f>
        <v>70722.838750006747</v>
      </c>
      <c r="AG28" s="74">
        <v>112.85683949254246</v>
      </c>
      <c r="AH28" s="75">
        <f t="shared" ref="AH28" si="312">AVERAGE(AG25:AG28)</f>
        <v>113.84394858825586</v>
      </c>
      <c r="AI28" s="96" t="e">
        <v>#VALUE!</v>
      </c>
      <c r="AJ28" s="74">
        <v>701518.11428564391</v>
      </c>
      <c r="AK28" s="75">
        <f t="shared" ref="AK28" si="313">AVERAGE(AJ25:AJ28)</f>
        <v>848674.06500008097</v>
      </c>
      <c r="AL28" s="74">
        <v>1376.8534420568512</v>
      </c>
      <c r="AM28" s="75">
        <f t="shared" ref="AM28" si="314">AVERAGE(AL25:AL28)</f>
        <v>1388.8961730267222</v>
      </c>
      <c r="AN28" s="96">
        <v>485831.79665594787</v>
      </c>
      <c r="AO28" s="74">
        <f t="shared" si="3"/>
        <v>563523.82571444998</v>
      </c>
      <c r="AP28" s="75">
        <f t="shared" si="66"/>
        <v>643931.49081632646</v>
      </c>
      <c r="AQ28" s="74">
        <v>1111.1694648912624</v>
      </c>
      <c r="AR28" s="92">
        <f t="shared" si="67"/>
        <v>1168.6955952269493</v>
      </c>
      <c r="AS28" s="74">
        <f t="shared" si="4"/>
        <v>130562.91392865402</v>
      </c>
      <c r="AT28" s="75">
        <f t="shared" si="68"/>
        <v>170214.70535707456</v>
      </c>
      <c r="AU28" s="74">
        <v>1125.9666941747018</v>
      </c>
      <c r="AV28" s="92">
        <f t="shared" si="69"/>
        <v>1214.2352774177016</v>
      </c>
      <c r="AW28" s="74">
        <f t="shared" si="5"/>
        <v>260086.12142819597</v>
      </c>
      <c r="AX28" s="75">
        <f t="shared" si="70"/>
        <v>317254.37989800255</v>
      </c>
      <c r="AY28" s="74">
        <v>1297.3290692168232</v>
      </c>
      <c r="AZ28" s="92">
        <f t="shared" si="71"/>
        <v>1409.4067172065936</v>
      </c>
      <c r="BA28" s="74">
        <f t="shared" si="6"/>
        <v>161473.00357136398</v>
      </c>
      <c r="BB28" s="75">
        <f t="shared" si="72"/>
        <v>144227.81581643087</v>
      </c>
      <c r="BC28" s="74">
        <v>1315.6527006214271</v>
      </c>
      <c r="BD28" s="92">
        <f t="shared" si="73"/>
        <v>1288.9245669726508</v>
      </c>
      <c r="BE28" s="93">
        <f>AO28/SUM(Table5[[#This Row],[NWP (Standard)]],Table5[[#This Row],[NWP (Plus)]],Table5[[#This Row],[NWP (Essentials)]],Table5[[#This Row],[NWP (Premium)]])</f>
        <v>0.50510994893074246</v>
      </c>
      <c r="BF28" s="93">
        <f>AS28/SUM(Table5[[#This Row],[NWP (Standard)]],Table5[[#This Row],[NWP (Plus)]],Table5[[#This Row],[NWP (Essentials)]],Table5[[#This Row],[NWP (Premium)]])</f>
        <v>0.1170289946536688</v>
      </c>
      <c r="BG28" s="93">
        <f>AW28/SUM(Table5[[#This Row],[NWP (Standard)]],Table5[[#This Row],[NWP (Plus)]],Table5[[#This Row],[NWP (Essentials)]],Table5[[#This Row],[NWP (Premium)]])</f>
        <v>0.23312605699614217</v>
      </c>
      <c r="BH28" s="94">
        <f>BA28/SUM(Table5[[#This Row],[NWP (Standard)]],Table5[[#This Row],[NWP (Plus)]],Table5[[#This Row],[NWP (Essentials)]],Table5[[#This Row],[NWP (Premium)]])</f>
        <v>0.14473499941944662</v>
      </c>
      <c r="BI28" s="93">
        <f t="shared" si="74"/>
        <v>0.50445237720215397</v>
      </c>
      <c r="BJ28" s="93">
        <f t="shared" si="74"/>
        <v>0.13340018542883175</v>
      </c>
      <c r="BK28" s="93">
        <f t="shared" si="74"/>
        <v>0.24805913000772709</v>
      </c>
      <c r="BL28" s="94">
        <f t="shared" si="74"/>
        <v>0.11408830736128721</v>
      </c>
      <c r="BM28" s="74">
        <v>334921.37142863998</v>
      </c>
      <c r="BN28" s="75">
        <f t="shared" si="75"/>
        <v>434017.98244903202</v>
      </c>
      <c r="BO28" s="74">
        <v>1345.8632187631406</v>
      </c>
      <c r="BP28" s="92">
        <f t="shared" si="76"/>
        <v>1345.6860322822063</v>
      </c>
      <c r="BQ28" s="74">
        <v>67820.695714284011</v>
      </c>
      <c r="BR28" s="75">
        <f t="shared" si="77"/>
        <v>99260.233469298852</v>
      </c>
      <c r="BS28" s="74">
        <v>1300.9630312314448</v>
      </c>
      <c r="BT28" s="92">
        <f t="shared" si="78"/>
        <v>1396.7015548358499</v>
      </c>
      <c r="BU28" s="74">
        <v>202910.78571411598</v>
      </c>
      <c r="BV28" s="75">
        <f t="shared" si="79"/>
        <v>255262.68244909542</v>
      </c>
      <c r="BW28" s="74">
        <v>1432.5877234709533</v>
      </c>
      <c r="BX28" s="92">
        <f t="shared" si="80"/>
        <v>1520.6057391254951</v>
      </c>
      <c r="BY28" s="74">
        <v>95865.261428604004</v>
      </c>
      <c r="BZ28" s="75">
        <f t="shared" si="81"/>
        <v>92390.736122636576</v>
      </c>
      <c r="CA28" s="74">
        <v>1433.2796441660405</v>
      </c>
      <c r="CB28" s="92">
        <f t="shared" si="82"/>
        <v>1399.9607313781232</v>
      </c>
      <c r="CC28" s="74">
        <v>228602.45428580997</v>
      </c>
      <c r="CD28" s="75">
        <f t="shared" si="83"/>
        <v>209913.50836729427</v>
      </c>
      <c r="CE28" s="74">
        <v>885.05313656834971</v>
      </c>
      <c r="CF28" s="92">
        <f t="shared" si="84"/>
        <v>920.976021719801</v>
      </c>
      <c r="CG28" s="74">
        <v>62742.218214369997</v>
      </c>
      <c r="CH28" s="75">
        <f t="shared" si="85"/>
        <v>70954.471887775726</v>
      </c>
      <c r="CI28" s="74">
        <v>983.03304219194308</v>
      </c>
      <c r="CJ28" s="92">
        <f t="shared" si="86"/>
        <v>1030.9241410277893</v>
      </c>
      <c r="CK28" s="74">
        <v>57175.33571408</v>
      </c>
      <c r="CL28" s="75">
        <f t="shared" si="87"/>
        <v>61991.697448907144</v>
      </c>
      <c r="CM28" s="74">
        <v>971.72848249703111</v>
      </c>
      <c r="CN28" s="92">
        <f t="shared" si="88"/>
        <v>1081.7772468115779</v>
      </c>
      <c r="CO28" s="74">
        <v>65607.742142759991</v>
      </c>
      <c r="CP28" s="75">
        <f t="shared" si="89"/>
        <v>51837.079693794287</v>
      </c>
      <c r="CQ28" s="74">
        <v>1174.7765960545719</v>
      </c>
      <c r="CR28" s="92">
        <f t="shared" si="90"/>
        <v>1122.2320414888043</v>
      </c>
    </row>
    <row r="29" spans="1:96" x14ac:dyDescent="0.25">
      <c r="A29" s="85">
        <f t="shared" si="7"/>
        <v>45324</v>
      </c>
      <c r="B29" s="74">
        <v>1504364.5717838663</v>
      </c>
      <c r="C29" s="75">
        <f t="shared" si="8"/>
        <v>1373311.3405352014</v>
      </c>
      <c r="D29" s="74">
        <v>1220.4390881270797</v>
      </c>
      <c r="E29" s="75">
        <f t="shared" si="8"/>
        <v>1230.6035762513472</v>
      </c>
      <c r="F29" s="96">
        <f t="shared" si="0"/>
        <v>991125.64827881206</v>
      </c>
      <c r="G29" s="75">
        <v>1597940.8171408323</v>
      </c>
      <c r="H29" s="75">
        <f t="shared" ref="H29" si="315">AVERAGE(G26:G29)</f>
        <v>1121729.163481686</v>
      </c>
      <c r="I29" s="75">
        <f>Table5[[#This Row],[Average NWP (Boom)]]</f>
        <v>1220.4390881270797</v>
      </c>
      <c r="J29" s="92">
        <f t="shared" ref="J29" si="316">AVERAGE(I26:I29)</f>
        <v>1230.6035762513472</v>
      </c>
      <c r="K29" s="75">
        <f t="shared" si="1"/>
        <v>1112642.4217837697</v>
      </c>
      <c r="L29" s="75">
        <f t="shared" ref="L29" si="317">AVERAGE(K26:K29)</f>
        <v>635272.90410674748</v>
      </c>
      <c r="M29" s="75">
        <v>1221.3418460853675</v>
      </c>
      <c r="N29" s="75">
        <f t="shared" ref="N29" si="318">AVERAGE(M26:M29)</f>
        <v>1064.3945713453952</v>
      </c>
      <c r="O29" s="96">
        <f t="shared" si="2"/>
        <v>492273.90945800318</v>
      </c>
      <c r="P29" s="74">
        <v>504155.11464202986</v>
      </c>
      <c r="Q29" s="75">
        <f t="shared" ref="Q29" si="319">AVERAGE(P26:P29)</f>
        <v>434633.84616045252</v>
      </c>
      <c r="R29" s="74">
        <v>1012.3596679558833</v>
      </c>
      <c r="S29" s="75">
        <f t="shared" ref="S29" si="320">AVERAGE(R26:R29)</f>
        <v>983.62929133373916</v>
      </c>
      <c r="T29" s="96">
        <v>319747.18340343906</v>
      </c>
      <c r="U29" s="74">
        <v>608487.30714173988</v>
      </c>
      <c r="V29" s="75">
        <f t="shared" ref="V29" si="321">AVERAGE(U26:U29)</f>
        <v>200639.05794629495</v>
      </c>
      <c r="W29" s="74">
        <v>1473.3348841204356</v>
      </c>
      <c r="X29" s="75">
        <f t="shared" ref="X29" si="322">AVERAGE(W26:W29)</f>
        <v>725.07806780113833</v>
      </c>
      <c r="Y29" s="96">
        <v>172526.72605456412</v>
      </c>
      <c r="Z29" s="74">
        <v>32643.512500007993</v>
      </c>
      <c r="AA29" s="75">
        <f t="shared" ref="AA29" si="323">AVERAGE(Z26:Z29)</f>
        <v>61503.203035704501</v>
      </c>
      <c r="AB29" s="74">
        <v>1208.5297974678163</v>
      </c>
      <c r="AC29" s="75">
        <f t="shared" ref="AC29" si="324">AVERAGE(AB26:AB29)</f>
        <v>1349.0249629135481</v>
      </c>
      <c r="AD29" s="96" t="e">
        <v>#VALUE!</v>
      </c>
      <c r="AE29" s="74">
        <v>32643.512500007993</v>
      </c>
      <c r="AF29" s="75">
        <f t="shared" ref="AF29" si="325">AVERAGE(AE26:AE29)</f>
        <v>61503.203035704501</v>
      </c>
      <c r="AG29" s="74">
        <v>96.578439349136076</v>
      </c>
      <c r="AH29" s="75">
        <f t="shared" ref="AH29" si="326">AVERAGE(AG26:AG29)</f>
        <v>109.95547158795237</v>
      </c>
      <c r="AI29" s="96" t="e">
        <v>#VALUE!</v>
      </c>
      <c r="AJ29" s="74">
        <v>391722.15000009577</v>
      </c>
      <c r="AK29" s="75">
        <f t="shared" ref="AK29" si="327">AVERAGE(AJ26:AJ29)</f>
        <v>738038.43642845389</v>
      </c>
      <c r="AL29" s="74">
        <v>1208.5297974678158</v>
      </c>
      <c r="AM29" s="75">
        <f t="shared" ref="AM29" si="328">AVERAGE(AL26:AL29)</f>
        <v>1349.0249629135478</v>
      </c>
      <c r="AN29" s="96">
        <v>498851.73882080888</v>
      </c>
      <c r="AO29" s="74">
        <f t="shared" si="3"/>
        <v>439764.49107094796</v>
      </c>
      <c r="AP29" s="75">
        <f t="shared" si="66"/>
        <v>607894.25331618742</v>
      </c>
      <c r="AQ29" s="74">
        <v>1003.7029417745241</v>
      </c>
      <c r="AR29" s="92">
        <f t="shared" si="67"/>
        <v>1141.8006367192372</v>
      </c>
      <c r="AS29" s="74">
        <f t="shared" si="4"/>
        <v>149740.95964291799</v>
      </c>
      <c r="AT29" s="75">
        <f t="shared" si="68"/>
        <v>159349.53887756428</v>
      </c>
      <c r="AU29" s="74">
        <v>1086.7577083476817</v>
      </c>
      <c r="AV29" s="92">
        <f t="shared" si="69"/>
        <v>1181.223518379001</v>
      </c>
      <c r="AW29" s="74">
        <f t="shared" si="5"/>
        <v>175143.13857127601</v>
      </c>
      <c r="AX29" s="75">
        <f t="shared" si="70"/>
        <v>287414.46607142856</v>
      </c>
      <c r="AY29" s="74">
        <v>1325.0591959791645</v>
      </c>
      <c r="AZ29" s="92">
        <f t="shared" si="71"/>
        <v>1402.3014889755593</v>
      </c>
      <c r="BA29" s="74">
        <f t="shared" si="6"/>
        <v>131228.67535698399</v>
      </c>
      <c r="BB29" s="75">
        <f t="shared" si="72"/>
        <v>144182.53831638486</v>
      </c>
      <c r="BC29" s="74">
        <v>1164.7798031560887</v>
      </c>
      <c r="BD29" s="92">
        <f t="shared" si="73"/>
        <v>1276.3014685045323</v>
      </c>
      <c r="BE29" s="93">
        <f>AO29/SUM(Table5[[#This Row],[NWP (Standard)]],Table5[[#This Row],[NWP (Plus)]],Table5[[#This Row],[NWP (Essentials)]],Table5[[#This Row],[NWP (Premium)]])</f>
        <v>0.49087582465508789</v>
      </c>
      <c r="BF29" s="93">
        <f>AS29/SUM(Table5[[#This Row],[NWP (Standard)]],Table5[[#This Row],[NWP (Plus)]],Table5[[#This Row],[NWP (Essentials)]],Table5[[#This Row],[NWP (Premium)]])</f>
        <v>0.16714450243665316</v>
      </c>
      <c r="BG29" s="93">
        <f>AW29/SUM(Table5[[#This Row],[NWP (Standard)]],Table5[[#This Row],[NWP (Plus)]],Table5[[#This Row],[NWP (Essentials)]],Table5[[#This Row],[NWP (Premium)]])</f>
        <v>0.19549903260603455</v>
      </c>
      <c r="BH29" s="94">
        <f>BA29/SUM(Table5[[#This Row],[NWP (Standard)]],Table5[[#This Row],[NWP (Plus)]],Table5[[#This Row],[NWP (Essentials)]],Table5[[#This Row],[NWP (Premium)]])</f>
        <v>0.14648064030222446</v>
      </c>
      <c r="BI29" s="93">
        <f t="shared" si="74"/>
        <v>0.5056076358339866</v>
      </c>
      <c r="BJ29" s="93">
        <f t="shared" si="74"/>
        <v>0.13477417111172013</v>
      </c>
      <c r="BK29" s="93">
        <f t="shared" si="74"/>
        <v>0.237714416593128</v>
      </c>
      <c r="BL29" s="94">
        <f t="shared" si="74"/>
        <v>0.12190377646116526</v>
      </c>
      <c r="BM29" s="74">
        <v>191301.03857164795</v>
      </c>
      <c r="BN29" s="75">
        <f t="shared" si="75"/>
        <v>392961.61346935888</v>
      </c>
      <c r="BO29" s="74">
        <v>1146.302883661125</v>
      </c>
      <c r="BP29" s="92">
        <f t="shared" si="76"/>
        <v>1312.4893653693205</v>
      </c>
      <c r="BQ29" s="74">
        <v>59878.838571527995</v>
      </c>
      <c r="BR29" s="75">
        <f t="shared" si="77"/>
        <v>88738.173673439989</v>
      </c>
      <c r="BS29" s="74">
        <v>1246.6242845143822</v>
      </c>
      <c r="BT29" s="92">
        <f t="shared" si="78"/>
        <v>1351.8698656733964</v>
      </c>
      <c r="BU29" s="74">
        <v>79983.441428556005</v>
      </c>
      <c r="BV29" s="75">
        <f t="shared" si="79"/>
        <v>223253.82244906289</v>
      </c>
      <c r="BW29" s="74">
        <v>1347.0430503910654</v>
      </c>
      <c r="BX29" s="92">
        <f t="shared" si="80"/>
        <v>1504.7433677247775</v>
      </c>
      <c r="BY29" s="74">
        <v>60558.831428363999</v>
      </c>
      <c r="BZ29" s="75">
        <f t="shared" si="81"/>
        <v>91088.747755194869</v>
      </c>
      <c r="CA29" s="74">
        <v>1215.1607624131052</v>
      </c>
      <c r="CB29" s="92">
        <f t="shared" si="82"/>
        <v>1386.1636907884247</v>
      </c>
      <c r="CC29" s="74">
        <v>248463.45249930001</v>
      </c>
      <c r="CD29" s="75">
        <f t="shared" si="83"/>
        <v>214932.63984682856</v>
      </c>
      <c r="CE29" s="74">
        <v>915.97122896208134</v>
      </c>
      <c r="CF29" s="92">
        <f t="shared" si="84"/>
        <v>921.23442890595118</v>
      </c>
      <c r="CG29" s="74">
        <v>89862.121071389993</v>
      </c>
      <c r="CH29" s="75">
        <f t="shared" si="85"/>
        <v>70611.365204124289</v>
      </c>
      <c r="CI29" s="74">
        <v>1001.203540666766</v>
      </c>
      <c r="CJ29" s="92">
        <f t="shared" si="86"/>
        <v>1020.271082761482</v>
      </c>
      <c r="CK29" s="74">
        <v>95159.697142720004</v>
      </c>
      <c r="CL29" s="75">
        <f t="shared" si="87"/>
        <v>64160.643622365715</v>
      </c>
      <c r="CM29" s="74">
        <v>1307.1288854545996</v>
      </c>
      <c r="CN29" s="92">
        <f t="shared" si="88"/>
        <v>1107.1494030906881</v>
      </c>
      <c r="CO29" s="74">
        <v>70669.843928620001</v>
      </c>
      <c r="CP29" s="75">
        <f t="shared" si="89"/>
        <v>53093.790561189999</v>
      </c>
      <c r="CQ29" s="74">
        <v>1124.8168243927453</v>
      </c>
      <c r="CR29" s="92">
        <f t="shared" si="90"/>
        <v>1112.4740533223958</v>
      </c>
    </row>
    <row r="30" spans="1:96" x14ac:dyDescent="0.25">
      <c r="A30" s="85">
        <f t="shared" si="7"/>
        <v>45331</v>
      </c>
      <c r="B30" s="74">
        <v>1105124.9735723424</v>
      </c>
      <c r="C30" s="75">
        <f t="shared" si="8"/>
        <v>1313724.5851782495</v>
      </c>
      <c r="D30" s="74">
        <v>1267.5397609991028</v>
      </c>
      <c r="E30" s="75">
        <f t="shared" si="8"/>
        <v>1235.6357378463506</v>
      </c>
      <c r="F30" s="96">
        <f t="shared" si="0"/>
        <v>1488533.6753501063</v>
      </c>
      <c r="G30" s="75">
        <v>1324562.0725005064</v>
      </c>
      <c r="H30" s="75">
        <f t="shared" ref="H30" si="329">AVERAGE(G27:G30)</f>
        <v>1228316.9526782492</v>
      </c>
      <c r="I30" s="75">
        <f>Table5[[#This Row],[Average NWP (Boom)]]</f>
        <v>1267.5397609991028</v>
      </c>
      <c r="J30" s="92">
        <f t="shared" ref="J30" si="330">AVERAGE(I27:I30)</f>
        <v>1235.6357378463506</v>
      </c>
      <c r="K30" s="75">
        <f t="shared" si="1"/>
        <v>918898.93642912991</v>
      </c>
      <c r="L30" s="75">
        <f t="shared" ref="L30" si="331">AVERAGE(K27:K30)</f>
        <v>759234.89267831249</v>
      </c>
      <c r="M30" s="75">
        <v>1285.1733376631187</v>
      </c>
      <c r="N30" s="75">
        <f t="shared" ref="N30" si="332">AVERAGE(M27:M30)</f>
        <v>1139.1546993842107</v>
      </c>
      <c r="O30" s="96">
        <f t="shared" si="2"/>
        <v>957132.08111714502</v>
      </c>
      <c r="P30" s="74">
        <v>367842.01892865001</v>
      </c>
      <c r="Q30" s="75">
        <f t="shared" ref="Q30" si="333">AVERAGE(P27:P30)</f>
        <v>420831.60535689752</v>
      </c>
      <c r="R30" s="74">
        <v>1042.0453794012749</v>
      </c>
      <c r="S30" s="75">
        <f t="shared" ref="S30" si="334">AVERAGE(R27:R30)</f>
        <v>997.60742980709392</v>
      </c>
      <c r="T30" s="96">
        <v>353288.53992617055</v>
      </c>
      <c r="U30" s="74">
        <v>551056.91750047996</v>
      </c>
      <c r="V30" s="75">
        <f t="shared" ref="V30" si="335">AVERAGE(U27:U30)</f>
        <v>338403.28732141491</v>
      </c>
      <c r="W30" s="74">
        <v>1522.2566781781215</v>
      </c>
      <c r="X30" s="75">
        <f t="shared" ref="X30" si="336">AVERAGE(W27:W30)</f>
        <v>1105.6422373456687</v>
      </c>
      <c r="Y30" s="96">
        <v>603843.54119097441</v>
      </c>
      <c r="Z30" s="74">
        <v>15518.836428601</v>
      </c>
      <c r="AA30" s="75">
        <f t="shared" ref="AA30" si="337">AVERAGE(Z27:Z30)</f>
        <v>46207.474374994745</v>
      </c>
      <c r="AB30" s="74">
        <v>1172.5627861003711</v>
      </c>
      <c r="AC30" s="75">
        <f t="shared" ref="AC30" si="338">AVERAGE(AB27:AB30)</f>
        <v>1287.7105976053058</v>
      </c>
      <c r="AD30" s="96" t="e">
        <v>#VALUE!</v>
      </c>
      <c r="AE30" s="74">
        <v>15518.836428601</v>
      </c>
      <c r="AF30" s="75">
        <f t="shared" ref="AF30" si="339">AVERAGE(AE27:AE30)</f>
        <v>46207.474374994745</v>
      </c>
      <c r="AG30" s="74">
        <v>89.704256812722548</v>
      </c>
      <c r="AH30" s="75">
        <f t="shared" ref="AH30" si="340">AVERAGE(AG27:AG30)</f>
        <v>103.32784220346633</v>
      </c>
      <c r="AI30" s="96" t="e">
        <v>#VALUE!</v>
      </c>
      <c r="AJ30" s="74">
        <v>186226.03714321202</v>
      </c>
      <c r="AK30" s="75">
        <f t="shared" ref="AK30" si="341">AVERAGE(AJ27:AJ30)</f>
        <v>554489.69249993691</v>
      </c>
      <c r="AL30" s="74">
        <v>1172.5627861003707</v>
      </c>
      <c r="AM30" s="75">
        <f t="shared" ref="AM30" si="342">AVERAGE(AL27:AL30)</f>
        <v>1287.7105976053053</v>
      </c>
      <c r="AN30" s="96">
        <v>531401.5942329613</v>
      </c>
      <c r="AO30" s="74">
        <f t="shared" si="3"/>
        <v>279195.986785374</v>
      </c>
      <c r="AP30" s="75">
        <f t="shared" si="66"/>
        <v>537465.29454068339</v>
      </c>
      <c r="AQ30" s="74">
        <v>976.52693160222304</v>
      </c>
      <c r="AR30" s="92">
        <f t="shared" si="67"/>
        <v>1110.9998947819618</v>
      </c>
      <c r="AS30" s="74">
        <f t="shared" si="4"/>
        <v>121096.74392896201</v>
      </c>
      <c r="AT30" s="75">
        <f t="shared" si="68"/>
        <v>154931.57188782541</v>
      </c>
      <c r="AU30" s="74">
        <v>1145.7593331599478</v>
      </c>
      <c r="AV30" s="92">
        <f t="shared" si="69"/>
        <v>1179.994591729451</v>
      </c>
      <c r="AW30" s="74">
        <f t="shared" si="5"/>
        <v>89361.101428669994</v>
      </c>
      <c r="AX30" s="75">
        <f t="shared" si="70"/>
        <v>251363.78025514146</v>
      </c>
      <c r="AY30" s="74">
        <v>1343.4999642245286</v>
      </c>
      <c r="AZ30" s="92">
        <f t="shared" si="71"/>
        <v>1388.2720146202653</v>
      </c>
      <c r="BA30" s="74">
        <f t="shared" si="6"/>
        <v>64414.223928856009</v>
      </c>
      <c r="BB30" s="75">
        <f t="shared" si="72"/>
        <v>128495.10515314715</v>
      </c>
      <c r="BC30" s="74">
        <v>1221.2808723753376</v>
      </c>
      <c r="BD30" s="92">
        <f t="shared" si="73"/>
        <v>1246.1302848119497</v>
      </c>
      <c r="BE30" s="93">
        <f>AO30/SUM(Table5[[#This Row],[NWP (Standard)]],Table5[[#This Row],[NWP (Plus)]],Table5[[#This Row],[NWP (Essentials)]],Table5[[#This Row],[NWP (Premium)]])</f>
        <v>0.50390197327882513</v>
      </c>
      <c r="BF30" s="93">
        <f>AS30/SUM(Table5[[#This Row],[NWP (Standard)]],Table5[[#This Row],[NWP (Plus)]],Table5[[#This Row],[NWP (Essentials)]],Table5[[#This Row],[NWP (Premium)]])</f>
        <v>0.2185593314790483</v>
      </c>
      <c r="BG30" s="93">
        <f>AW30/SUM(Table5[[#This Row],[NWP (Standard)]],Table5[[#This Row],[NWP (Plus)]],Table5[[#This Row],[NWP (Essentials)]],Table5[[#This Row],[NWP (Premium)]])</f>
        <v>0.16128181447998866</v>
      </c>
      <c r="BH30" s="94">
        <f>BA30/SUM(Table5[[#This Row],[NWP (Standard)]],Table5[[#This Row],[NWP (Plus)]],Table5[[#This Row],[NWP (Essentials)]],Table5[[#This Row],[NWP (Premium)]])</f>
        <v>0.11625688076213793</v>
      </c>
      <c r="BI30" s="93">
        <f t="shared" si="74"/>
        <v>0.50099530845315354</v>
      </c>
      <c r="BJ30" s="93">
        <f t="shared" si="74"/>
        <v>0.15091704508056808</v>
      </c>
      <c r="BK30" s="93">
        <f t="shared" si="74"/>
        <v>0.22685813428011506</v>
      </c>
      <c r="BL30" s="94">
        <f t="shared" si="74"/>
        <v>0.1212295121861634</v>
      </c>
      <c r="BM30" s="74">
        <v>96750.368571383995</v>
      </c>
      <c r="BN30" s="75">
        <f t="shared" si="75"/>
        <v>328682.59224490629</v>
      </c>
      <c r="BO30" s="74">
        <v>1145.5303738303439</v>
      </c>
      <c r="BP30" s="92">
        <f t="shared" si="76"/>
        <v>1277.6311178706881</v>
      </c>
      <c r="BQ30" s="74">
        <v>38760.090000192002</v>
      </c>
      <c r="BR30" s="75">
        <f t="shared" si="77"/>
        <v>81423.028163244016</v>
      </c>
      <c r="BS30" s="74">
        <v>1111.0740090514323</v>
      </c>
      <c r="BT30" s="92">
        <f t="shared" si="78"/>
        <v>1321.225068351785</v>
      </c>
      <c r="BU30" s="74">
        <v>31171.4271429</v>
      </c>
      <c r="BV30" s="75">
        <f t="shared" si="79"/>
        <v>190542.95510213144</v>
      </c>
      <c r="BW30" s="74">
        <v>1170.8479413312537</v>
      </c>
      <c r="BX30" s="92">
        <f t="shared" si="80"/>
        <v>1449.7524935772394</v>
      </c>
      <c r="BY30" s="74">
        <v>19544.151428736001</v>
      </c>
      <c r="BZ30" s="75">
        <f t="shared" si="81"/>
        <v>76780.315714388576</v>
      </c>
      <c r="CA30" s="74">
        <v>1520.6546400294073</v>
      </c>
      <c r="CB30" s="92">
        <f t="shared" si="82"/>
        <v>1374.6439990165761</v>
      </c>
      <c r="CC30" s="74">
        <v>182445.61821399</v>
      </c>
      <c r="CD30" s="75">
        <f t="shared" si="83"/>
        <v>208782.70229577716</v>
      </c>
      <c r="CE30" s="74">
        <v>905.67063968306354</v>
      </c>
      <c r="CF30" s="92">
        <f t="shared" si="84"/>
        <v>923.94201268165011</v>
      </c>
      <c r="CG30" s="74">
        <v>82336.65392877</v>
      </c>
      <c r="CH30" s="75">
        <f t="shared" si="85"/>
        <v>73508.543724581439</v>
      </c>
      <c r="CI30" s="74">
        <v>1162.8483633728335</v>
      </c>
      <c r="CJ30" s="92">
        <f t="shared" si="86"/>
        <v>1047.494014517335</v>
      </c>
      <c r="CK30" s="74">
        <v>58189.674285770001</v>
      </c>
      <c r="CL30" s="75">
        <f t="shared" si="87"/>
        <v>60820.825153010002</v>
      </c>
      <c r="CM30" s="74">
        <v>1458.72745121906</v>
      </c>
      <c r="CN30" s="92">
        <f t="shared" si="88"/>
        <v>1148.6168376597579</v>
      </c>
      <c r="CO30" s="74">
        <v>44870.072500120004</v>
      </c>
      <c r="CP30" s="75">
        <f t="shared" si="89"/>
        <v>51714.789438758577</v>
      </c>
      <c r="CQ30" s="74">
        <v>1124.8251050980834</v>
      </c>
      <c r="CR30" s="92">
        <f t="shared" si="90"/>
        <v>1106.9856681617841</v>
      </c>
    </row>
    <row r="31" spans="1:96" x14ac:dyDescent="0.25">
      <c r="A31" s="85">
        <f t="shared" si="7"/>
        <v>45338</v>
      </c>
      <c r="B31" s="74">
        <v>1097663.1657148839</v>
      </c>
      <c r="C31" s="75">
        <f t="shared" si="8"/>
        <v>1254216.8750892992</v>
      </c>
      <c r="D31" s="74">
        <v>1203.7078544508267</v>
      </c>
      <c r="E31" s="75">
        <f t="shared" si="8"/>
        <v>1225.5528110933083</v>
      </c>
      <c r="F31" s="96">
        <f t="shared" si="0"/>
        <v>1488533.6753501063</v>
      </c>
      <c r="G31" s="75">
        <v>1372329.2892861268</v>
      </c>
      <c r="H31" s="75">
        <f t="shared" ref="H31" si="343">AVERAGE(G28:G31)</f>
        <v>1348115.7132141255</v>
      </c>
      <c r="I31" s="75">
        <f>Table5[[#This Row],[Average NWP (Boom)]]</f>
        <v>1203.7078544508267</v>
      </c>
      <c r="J31" s="92">
        <f t="shared" ref="J31" si="344">AVERAGE(I28:I31)</f>
        <v>1225.5528110933083</v>
      </c>
      <c r="K31" s="75">
        <f t="shared" si="1"/>
        <v>942226.66857196018</v>
      </c>
      <c r="L31" s="75">
        <f t="shared" ref="L31" si="345">AVERAGE(K28:K31)</f>
        <v>895491.17544632999</v>
      </c>
      <c r="M31" s="75">
        <v>1207.98290842559</v>
      </c>
      <c r="N31" s="75">
        <f t="shared" ref="N31" si="346">AVERAGE(M28:M31)</f>
        <v>1193.518545256263</v>
      </c>
      <c r="O31" s="96">
        <f t="shared" si="2"/>
        <v>957132.08111714502</v>
      </c>
      <c r="P31" s="74">
        <v>380205.34821431997</v>
      </c>
      <c r="Q31" s="75">
        <f t="shared" ref="Q31" si="347">AVERAGE(P28:P31)</f>
        <v>416582.558035505</v>
      </c>
      <c r="R31" s="74">
        <v>1000.5403900376841</v>
      </c>
      <c r="S31" s="75">
        <f t="shared" ref="S31" si="348">AVERAGE(R28:R31)</f>
        <v>1000.1106460821695</v>
      </c>
      <c r="T31" s="96">
        <v>353288.53992617055</v>
      </c>
      <c r="U31" s="74">
        <v>562021.32035764016</v>
      </c>
      <c r="V31" s="75">
        <f t="shared" ref="V31" si="349">AVERAGE(U28:U31)</f>
        <v>478908.61741082498</v>
      </c>
      <c r="W31" s="74">
        <v>1405.0533008941004</v>
      </c>
      <c r="X31" s="75">
        <f t="shared" ref="X31" si="350">AVERAGE(W28:W31)</f>
        <v>1456.9055625691938</v>
      </c>
      <c r="Y31" s="96">
        <v>603843.54119097441</v>
      </c>
      <c r="Z31" s="74">
        <v>12953.041428577002</v>
      </c>
      <c r="AA31" s="75">
        <f t="shared" ref="AA31" si="351">AVERAGE(Z28:Z31)</f>
        <v>29893.80830358075</v>
      </c>
      <c r="AB31" s="74">
        <v>1159.6901089444821</v>
      </c>
      <c r="AC31" s="75">
        <f t="shared" ref="AC31" si="352">AVERAGE(AB28:AB31)</f>
        <v>1229.4090336423801</v>
      </c>
      <c r="AD31" s="96" t="e">
        <v>#VALUE!</v>
      </c>
      <c r="AE31" s="74">
        <v>12953.041428577002</v>
      </c>
      <c r="AF31" s="75">
        <f t="shared" ref="AF31" si="353">AVERAGE(AE28:AE31)</f>
        <v>29893.80830358075</v>
      </c>
      <c r="AG31" s="74">
        <v>88.71946183956851</v>
      </c>
      <c r="AH31" s="75">
        <f t="shared" ref="AH31" si="354">AVERAGE(AG28:AG31)</f>
        <v>96.96474937349241</v>
      </c>
      <c r="AI31" s="96" t="e">
        <v>#VALUE!</v>
      </c>
      <c r="AJ31" s="74">
        <v>155436.497142924</v>
      </c>
      <c r="AK31" s="75">
        <f t="shared" ref="AK31" si="355">AVERAGE(AJ28:AJ31)</f>
        <v>358725.69964296895</v>
      </c>
      <c r="AL31" s="74">
        <v>1159.6901089444812</v>
      </c>
      <c r="AM31" s="75">
        <f t="shared" ref="AM31" si="356">AVERAGE(AL28:AL31)</f>
        <v>1229.4090336423797</v>
      </c>
      <c r="AN31" s="96">
        <v>531401.5942329613</v>
      </c>
      <c r="AO31" s="74">
        <f t="shared" si="3"/>
        <v>280600.82107125001</v>
      </c>
      <c r="AP31" s="75">
        <f t="shared" si="66"/>
        <v>498285.19147939002</v>
      </c>
      <c r="AQ31" s="74">
        <v>972.23311392834262</v>
      </c>
      <c r="AR31" s="92">
        <f t="shared" si="67"/>
        <v>1082.5237071024189</v>
      </c>
      <c r="AS31" s="74">
        <f t="shared" si="4"/>
        <v>112052.18714313</v>
      </c>
      <c r="AT31" s="75">
        <f t="shared" si="68"/>
        <v>149609.47821447829</v>
      </c>
      <c r="AU31" s="74">
        <v>1121.655785842579</v>
      </c>
      <c r="AV31" s="92">
        <f t="shared" si="69"/>
        <v>1163.7905194553728</v>
      </c>
      <c r="AW31" s="74">
        <f t="shared" si="5"/>
        <v>89660.06214303599</v>
      </c>
      <c r="AX31" s="75">
        <f t="shared" si="70"/>
        <v>226326.29744895344</v>
      </c>
      <c r="AY31" s="74">
        <v>1143.5993291392601</v>
      </c>
      <c r="AZ31" s="92">
        <f t="shared" si="71"/>
        <v>1334.9572448764827</v>
      </c>
      <c r="BA31" s="74">
        <f t="shared" si="6"/>
        <v>53328.774999828005</v>
      </c>
      <c r="BB31" s="75">
        <f t="shared" si="72"/>
        <v>117513.05877556486</v>
      </c>
      <c r="BC31" s="74">
        <v>1157.3276994610198</v>
      </c>
      <c r="BD31" s="92">
        <f t="shared" si="73"/>
        <v>1237.3289837201198</v>
      </c>
      <c r="BE31" s="93">
        <f>AO31/SUM(Table5[[#This Row],[NWP (Standard)]],Table5[[#This Row],[NWP (Plus)]],Table5[[#This Row],[NWP (Essentials)]],Table5[[#This Row],[NWP (Premium)]])</f>
        <v>0.52385903659954813</v>
      </c>
      <c r="BF31" s="93">
        <f>AS31/SUM(Table5[[#This Row],[NWP (Standard)]],Table5[[#This Row],[NWP (Plus)]],Table5[[#This Row],[NWP (Essentials)]],Table5[[#This Row],[NWP (Premium)]])</f>
        <v>0.20919237007780314</v>
      </c>
      <c r="BG31" s="93">
        <f>AW31/SUM(Table5[[#This Row],[NWP (Standard)]],Table5[[#This Row],[NWP (Plus)]],Table5[[#This Row],[NWP (Essentials)]],Table5[[#This Row],[NWP (Premium)]])</f>
        <v>0.1673880838851147</v>
      </c>
      <c r="BH31" s="94">
        <f>BA31/SUM(Table5[[#This Row],[NWP (Standard)]],Table5[[#This Row],[NWP (Plus)]],Table5[[#This Row],[NWP (Essentials)]],Table5[[#This Row],[NWP (Premium)]])</f>
        <v>9.9560509437533973E-2</v>
      </c>
      <c r="BI31" s="93">
        <f t="shared" si="74"/>
        <v>0.50372608921206707</v>
      </c>
      <c r="BJ31" s="93">
        <f t="shared" si="74"/>
        <v>0.16139871584533552</v>
      </c>
      <c r="BK31" s="93">
        <f t="shared" si="74"/>
        <v>0.21634310721417202</v>
      </c>
      <c r="BL31" s="94">
        <f t="shared" si="74"/>
        <v>0.1185320877284253</v>
      </c>
      <c r="BM31" s="74">
        <v>78884.622856980001</v>
      </c>
      <c r="BN31" s="75">
        <f t="shared" si="75"/>
        <v>285560.68224483426</v>
      </c>
      <c r="BO31" s="74">
        <v>1035.2758168716107</v>
      </c>
      <c r="BP31" s="92">
        <f t="shared" si="76"/>
        <v>1240.5856535148166</v>
      </c>
      <c r="BQ31" s="74">
        <v>26425.281428759998</v>
      </c>
      <c r="BR31" s="75">
        <f t="shared" si="77"/>
        <v>73357.927347024</v>
      </c>
      <c r="BS31" s="74">
        <v>1251.5078944148966</v>
      </c>
      <c r="BT31" s="92">
        <f t="shared" si="78"/>
        <v>1288.8281085484689</v>
      </c>
      <c r="BU31" s="74">
        <v>35648.048571516003</v>
      </c>
      <c r="BV31" s="75">
        <f t="shared" si="79"/>
        <v>163917.37469389199</v>
      </c>
      <c r="BW31" s="74">
        <v>1294.3636690546853</v>
      </c>
      <c r="BX31" s="92">
        <f t="shared" si="80"/>
        <v>1397.5528041491521</v>
      </c>
      <c r="BY31" s="74">
        <v>14478.544285667998</v>
      </c>
      <c r="BZ31" s="75">
        <f t="shared" si="81"/>
        <v>66889.864898043423</v>
      </c>
      <c r="CA31" s="74">
        <v>1577.1271462367456</v>
      </c>
      <c r="CB31" s="92">
        <f t="shared" si="82"/>
        <v>1412.8997561374197</v>
      </c>
      <c r="CC31" s="74">
        <v>201716.19821427003</v>
      </c>
      <c r="CD31" s="75">
        <f t="shared" si="83"/>
        <v>212724.50923455574</v>
      </c>
      <c r="CE31" s="74">
        <v>949.61899213675429</v>
      </c>
      <c r="CF31" s="92">
        <f t="shared" si="84"/>
        <v>921.02996357638199</v>
      </c>
      <c r="CG31" s="74">
        <v>85626.905714370005</v>
      </c>
      <c r="CH31" s="75">
        <f t="shared" si="85"/>
        <v>76251.55086745428</v>
      </c>
      <c r="CI31" s="74">
        <v>1086.8544300430624</v>
      </c>
      <c r="CJ31" s="92">
        <f t="shared" si="86"/>
        <v>1056.3680663749797</v>
      </c>
      <c r="CK31" s="74">
        <v>54012.013571519987</v>
      </c>
      <c r="CL31" s="75">
        <f t="shared" si="87"/>
        <v>62408.922755061423</v>
      </c>
      <c r="CM31" s="74">
        <v>1061.9606213505099</v>
      </c>
      <c r="CN31" s="92">
        <f t="shared" si="88"/>
        <v>1150.4549340596891</v>
      </c>
      <c r="CO31" s="74">
        <v>38850.230714160003</v>
      </c>
      <c r="CP31" s="75">
        <f t="shared" si="89"/>
        <v>50623.193877521437</v>
      </c>
      <c r="CQ31" s="74">
        <v>1052.882964890985</v>
      </c>
      <c r="CR31" s="92">
        <f t="shared" si="90"/>
        <v>1102.5178746454312</v>
      </c>
    </row>
    <row r="32" spans="1:96" x14ac:dyDescent="0.25">
      <c r="A32" s="85">
        <f t="shared" si="7"/>
        <v>45345</v>
      </c>
      <c r="B32" s="74">
        <v>1342803.2524994118</v>
      </c>
      <c r="C32" s="75">
        <f t="shared" si="8"/>
        <v>1262488.9908926261</v>
      </c>
      <c r="D32" s="74">
        <v>1275.1406654251743</v>
      </c>
      <c r="E32" s="75">
        <f t="shared" si="8"/>
        <v>1241.7068422505458</v>
      </c>
      <c r="F32" s="96">
        <f t="shared" si="0"/>
        <v>1488533.6753501063</v>
      </c>
      <c r="G32" s="75">
        <v>1719144.7153566726</v>
      </c>
      <c r="H32" s="75">
        <f t="shared" ref="H32" si="357">AVERAGE(G29:G32)</f>
        <v>1503494.2235710346</v>
      </c>
      <c r="I32" s="75">
        <f>Table5[[#This Row],[Average NWP (Boom)]]</f>
        <v>1275.1406654251743</v>
      </c>
      <c r="J32" s="92">
        <f t="shared" ref="J32" si="358">AVERAGE(I29:I32)</f>
        <v>1241.7068422505458</v>
      </c>
      <c r="K32" s="75">
        <f t="shared" si="1"/>
        <v>1286960.0353566799</v>
      </c>
      <c r="L32" s="75">
        <f t="shared" ref="L32" si="359">AVERAGE(K29:K32)</f>
        <v>1065182.0155353849</v>
      </c>
      <c r="M32" s="75">
        <v>1275.480708975897</v>
      </c>
      <c r="N32" s="75">
        <f t="shared" ref="N32" si="360">AVERAGE(M29:M32)</f>
        <v>1247.4947002874933</v>
      </c>
      <c r="O32" s="96">
        <f t="shared" si="2"/>
        <v>957132.08111714502</v>
      </c>
      <c r="P32" s="74">
        <v>414785.64285664994</v>
      </c>
      <c r="Q32" s="75">
        <f t="shared" ref="Q32" si="361">AVERAGE(P29:P32)</f>
        <v>416747.03116041247</v>
      </c>
      <c r="R32" s="74">
        <v>1011.6722996503657</v>
      </c>
      <c r="S32" s="75">
        <f t="shared" ref="S32" si="362">AVERAGE(R29:R32)</f>
        <v>1016.6544342613021</v>
      </c>
      <c r="T32" s="96">
        <v>353288.53992617055</v>
      </c>
      <c r="U32" s="74">
        <v>872174.39250002988</v>
      </c>
      <c r="V32" s="75">
        <f t="shared" ref="V32" si="363">AVERAGE(U29:U32)</f>
        <v>648434.98437497253</v>
      </c>
      <c r="W32" s="74">
        <v>1456.0507387312687</v>
      </c>
      <c r="X32" s="75">
        <f t="shared" ref="X32" si="364">AVERAGE(W29:W32)</f>
        <v>1464.1739004809815</v>
      </c>
      <c r="Y32" s="96">
        <v>603843.54119097441</v>
      </c>
      <c r="Z32" s="74">
        <v>4653.6014285609999</v>
      </c>
      <c r="AA32" s="75">
        <f t="shared" ref="AA32" si="365">AVERAGE(Z29:Z32)</f>
        <v>16442.24794643675</v>
      </c>
      <c r="AB32" s="74">
        <v>1192.7297785389342</v>
      </c>
      <c r="AC32" s="75">
        <f t="shared" ref="AC32" si="366">AVERAGE(AB29:AB32)</f>
        <v>1183.3781177629007</v>
      </c>
      <c r="AD32" s="96" t="e">
        <v>#VALUE!</v>
      </c>
      <c r="AE32" s="74">
        <v>4653.6014285609999</v>
      </c>
      <c r="AF32" s="75">
        <f t="shared" ref="AF32" si="367">AVERAGE(AE29:AE32)</f>
        <v>16442.24794643675</v>
      </c>
      <c r="AG32" s="74">
        <v>91.247086834529412</v>
      </c>
      <c r="AH32" s="75">
        <f t="shared" ref="AH32" si="368">AVERAGE(AG29:AG32)</f>
        <v>91.562311208989129</v>
      </c>
      <c r="AI32" s="96" t="e">
        <v>#VALUE!</v>
      </c>
      <c r="AJ32" s="74">
        <v>55843.217142731999</v>
      </c>
      <c r="AK32" s="75">
        <f t="shared" ref="AK32" si="369">AVERAGE(AJ29:AJ32)</f>
        <v>197306.97535724094</v>
      </c>
      <c r="AL32" s="74">
        <v>1192.7297785389346</v>
      </c>
      <c r="AM32" s="75">
        <f t="shared" ref="AM32" si="370">AVERAGE(AL29:AL32)</f>
        <v>1183.3781177629005</v>
      </c>
      <c r="AN32" s="96">
        <v>531401.5942329613</v>
      </c>
      <c r="AO32" s="74">
        <f t="shared" si="3"/>
        <v>229506.20714248202</v>
      </c>
      <c r="AP32" s="75">
        <f t="shared" si="66"/>
        <v>449289.93693852058</v>
      </c>
      <c r="AQ32" s="74">
        <v>933.47044892005613</v>
      </c>
      <c r="AR32" s="92">
        <f t="shared" si="67"/>
        <v>1049.4296554667783</v>
      </c>
      <c r="AS32" s="74">
        <f t="shared" si="4"/>
        <v>88058.629999804019</v>
      </c>
      <c r="AT32" s="75">
        <f t="shared" si="68"/>
        <v>137943.74239806915</v>
      </c>
      <c r="AU32" s="74">
        <v>1073.0991070308164</v>
      </c>
      <c r="AV32" s="92">
        <f t="shared" si="69"/>
        <v>1129.9964075290159</v>
      </c>
      <c r="AW32" s="74">
        <f t="shared" si="5"/>
        <v>89234.453214253997</v>
      </c>
      <c r="AX32" s="75">
        <f t="shared" si="70"/>
        <v>197981.54999988253</v>
      </c>
      <c r="AY32" s="74">
        <v>1249.6579252492049</v>
      </c>
      <c r="AZ32" s="92">
        <f t="shared" si="71"/>
        <v>1317.047170695183</v>
      </c>
      <c r="BA32" s="74">
        <f t="shared" si="6"/>
        <v>63829.569642841991</v>
      </c>
      <c r="BB32" s="75">
        <f t="shared" si="72"/>
        <v>107788.75520411543</v>
      </c>
      <c r="BC32" s="74">
        <v>1132.3553143183271</v>
      </c>
      <c r="BD32" s="92">
        <f t="shared" si="73"/>
        <v>1232.0486186901107</v>
      </c>
      <c r="BE32" s="93">
        <f>AO32/SUM(Table5[[#This Row],[NWP (Standard)]],Table5[[#This Row],[NWP (Plus)]],Table5[[#This Row],[NWP (Essentials)]],Table5[[#This Row],[NWP (Premium)]])</f>
        <v>0.48765859183132837</v>
      </c>
      <c r="BF32" s="93">
        <f>AS32/SUM(Table5[[#This Row],[NWP (Standard)]],Table5[[#This Row],[NWP (Plus)]],Table5[[#This Row],[NWP (Essentials)]],Table5[[#This Row],[NWP (Premium)]])</f>
        <v>0.18710843614630784</v>
      </c>
      <c r="BG32" s="93">
        <f>AW32/SUM(Table5[[#This Row],[NWP (Standard)]],Table5[[#This Row],[NWP (Plus)]],Table5[[#This Row],[NWP (Essentials)]],Table5[[#This Row],[NWP (Premium)]])</f>
        <v>0.18960684479564466</v>
      </c>
      <c r="BH32" s="94">
        <f>BA32/SUM(Table5[[#This Row],[NWP (Standard)]],Table5[[#This Row],[NWP (Plus)]],Table5[[#This Row],[NWP (Essentials)]],Table5[[#This Row],[NWP (Premium)]])</f>
        <v>0.13562612722671918</v>
      </c>
      <c r="BI32" s="93">
        <f t="shared" si="74"/>
        <v>0.50299554518987133</v>
      </c>
      <c r="BJ32" s="93">
        <f t="shared" si="74"/>
        <v>0.1672584545212141</v>
      </c>
      <c r="BK32" s="93">
        <f t="shared" si="74"/>
        <v>0.20805823894591011</v>
      </c>
      <c r="BL32" s="94">
        <f t="shared" si="74"/>
        <v>0.12168776134300449</v>
      </c>
      <c r="BM32" s="74">
        <v>33295.864285751995</v>
      </c>
      <c r="BN32" s="75">
        <f t="shared" si="75"/>
        <v>232003.3959183291</v>
      </c>
      <c r="BO32" s="74">
        <v>1169.9583654979408</v>
      </c>
      <c r="BP32" s="92">
        <f t="shared" si="76"/>
        <v>1219.5138781601722</v>
      </c>
      <c r="BQ32" s="74">
        <v>10573.469999784</v>
      </c>
      <c r="BR32" s="75">
        <f t="shared" si="77"/>
        <v>59534.629591846278</v>
      </c>
      <c r="BS32" s="74">
        <v>1279.7255363645693</v>
      </c>
      <c r="BT32" s="92">
        <f t="shared" si="78"/>
        <v>1269.186864435236</v>
      </c>
      <c r="BU32" s="74">
        <v>5541.6471428639998</v>
      </c>
      <c r="BV32" s="75">
        <f t="shared" si="79"/>
        <v>130774.56857135826</v>
      </c>
      <c r="BW32" s="74">
        <v>1207.2874139049377</v>
      </c>
      <c r="BX32" s="92">
        <f t="shared" si="80"/>
        <v>1358.365719944441</v>
      </c>
      <c r="BY32" s="74">
        <v>6432.2357143320005</v>
      </c>
      <c r="BZ32" s="75">
        <f t="shared" si="81"/>
        <v>56210.191224563998</v>
      </c>
      <c r="CA32" s="74">
        <v>1167.7570797072788</v>
      </c>
      <c r="CB32" s="92">
        <f t="shared" si="82"/>
        <v>1398.3087514786998</v>
      </c>
      <c r="CC32" s="74">
        <v>196210.34285673001</v>
      </c>
      <c r="CD32" s="75">
        <f t="shared" si="83"/>
        <v>217286.54102019145</v>
      </c>
      <c r="CE32" s="74">
        <v>902.51332767233146</v>
      </c>
      <c r="CF32" s="92">
        <f t="shared" si="84"/>
        <v>920.66201516397962</v>
      </c>
      <c r="CG32" s="74">
        <v>77485.160000020012</v>
      </c>
      <c r="CH32" s="75">
        <f t="shared" si="85"/>
        <v>78409.112806222853</v>
      </c>
      <c r="CI32" s="74">
        <v>1049.9655149555956</v>
      </c>
      <c r="CJ32" s="92">
        <f t="shared" si="86"/>
        <v>1040.8786514858243</v>
      </c>
      <c r="CK32" s="74">
        <v>83692.806071390005</v>
      </c>
      <c r="CL32" s="75">
        <f t="shared" si="87"/>
        <v>67206.981428524276</v>
      </c>
      <c r="CM32" s="74">
        <v>1252.5686780203393</v>
      </c>
      <c r="CN32" s="92">
        <f t="shared" si="88"/>
        <v>1182.9103045326326</v>
      </c>
      <c r="CO32" s="74">
        <v>57397.333928509994</v>
      </c>
      <c r="CP32" s="75">
        <f t="shared" si="89"/>
        <v>51578.563979551429</v>
      </c>
      <c r="CQ32" s="74">
        <v>1128.5213116869147</v>
      </c>
      <c r="CR32" s="92">
        <f t="shared" si="90"/>
        <v>1115.4883418667916</v>
      </c>
    </row>
    <row r="33" spans="1:96" x14ac:dyDescent="0.25">
      <c r="A33" s="85">
        <f t="shared" si="7"/>
        <v>45352</v>
      </c>
      <c r="B33" s="74">
        <v>1685483.5414280107</v>
      </c>
      <c r="C33" s="75">
        <f t="shared" si="8"/>
        <v>1307768.7333036622</v>
      </c>
      <c r="D33" s="74">
        <v>1245.9716736149264</v>
      </c>
      <c r="E33" s="75">
        <f t="shared" si="8"/>
        <v>1248.0899886225077</v>
      </c>
      <c r="F33" s="96">
        <f t="shared" si="0"/>
        <v>1550516.1408516294</v>
      </c>
      <c r="G33" s="75">
        <v>2227269.2467852584</v>
      </c>
      <c r="H33" s="75">
        <f t="shared" ref="H33" si="371">AVERAGE(G30:G33)</f>
        <v>1660826.3309821412</v>
      </c>
      <c r="I33" s="75">
        <f>Table5[[#This Row],[Average NWP (Boom)]]</f>
        <v>1245.9716736149264</v>
      </c>
      <c r="J33" s="92">
        <f t="shared" ref="J33" si="372">AVERAGE(I30:I33)</f>
        <v>1248.0899886225077</v>
      </c>
      <c r="K33" s="75">
        <f t="shared" si="1"/>
        <v>1684094.6099994902</v>
      </c>
      <c r="L33" s="75">
        <f t="shared" ref="L33" si="373">AVERAGE(K30:K33)</f>
        <v>1208045.062589315</v>
      </c>
      <c r="M33" s="75">
        <v>1241.9576769907744</v>
      </c>
      <c r="N33" s="75">
        <f t="shared" ref="N33" si="374">AVERAGE(M30:M33)</f>
        <v>1252.6486580138451</v>
      </c>
      <c r="O33" s="96">
        <f t="shared" si="2"/>
        <v>1028033.9556081176</v>
      </c>
      <c r="P33" s="74">
        <v>421316.64321447996</v>
      </c>
      <c r="Q33" s="75">
        <f t="shared" ref="Q33" si="375">AVERAGE(P30:P33)</f>
        <v>396037.41330352495</v>
      </c>
      <c r="R33" s="74">
        <v>919.90533452943225</v>
      </c>
      <c r="S33" s="75">
        <f t="shared" ref="S33" si="376">AVERAGE(R30:R33)</f>
        <v>993.54085090468925</v>
      </c>
      <c r="T33" s="96">
        <v>351947.88281570189</v>
      </c>
      <c r="U33" s="74">
        <v>1262777.9667850102</v>
      </c>
      <c r="V33" s="75">
        <f t="shared" ref="V33" si="377">AVERAGE(U30:U33)</f>
        <v>812007.64928579004</v>
      </c>
      <c r="W33" s="74">
        <v>1406.2115443040202</v>
      </c>
      <c r="X33" s="75">
        <f t="shared" ref="X33" si="378">AVERAGE(W30:W33)</f>
        <v>1447.3930655268778</v>
      </c>
      <c r="Y33" s="96">
        <v>676086.07279241574</v>
      </c>
      <c r="Z33" s="74">
        <v>115.74428571</v>
      </c>
      <c r="AA33" s="75">
        <f t="shared" ref="AA33" si="379">AVERAGE(Z30:Z33)</f>
        <v>8310.3058928622504</v>
      </c>
      <c r="AB33" s="74">
        <v>1512.943164008984</v>
      </c>
      <c r="AC33" s="75">
        <f t="shared" ref="AC33" si="380">AVERAGE(AB30:AB33)</f>
        <v>1259.4814593981928</v>
      </c>
      <c r="AD33" s="96" t="e">
        <v>#VALUE!</v>
      </c>
      <c r="AE33" s="74">
        <v>115.74428571</v>
      </c>
      <c r="AF33" s="75">
        <f t="shared" ref="AF33" si="381">AVERAGE(AE30:AE33)</f>
        <v>8310.3058928622504</v>
      </c>
      <c r="AG33" s="74">
        <v>115.74428571</v>
      </c>
      <c r="AH33" s="75">
        <f t="shared" ref="AH33" si="382">AVERAGE(AG30:AG33)</f>
        <v>96.353772799205117</v>
      </c>
      <c r="AI33" s="96" t="e">
        <v>#VALUE!</v>
      </c>
      <c r="AJ33" s="74">
        <v>1388.9314285200001</v>
      </c>
      <c r="AK33" s="75">
        <f t="shared" ref="AK33" si="383">AVERAGE(AJ30:AJ33)</f>
        <v>99723.670714347012</v>
      </c>
      <c r="AL33" s="74">
        <v>1512.9431640089845</v>
      </c>
      <c r="AM33" s="75">
        <f t="shared" ref="AM33" si="384">AVERAGE(AL30:AL33)</f>
        <v>1259.4814593981928</v>
      </c>
      <c r="AN33" s="96">
        <v>522482.18524351175</v>
      </c>
      <c r="AO33" s="74">
        <f t="shared" si="3"/>
        <v>234996.69035711</v>
      </c>
      <c r="AP33" s="75">
        <f t="shared" si="66"/>
        <v>384890.14806099003</v>
      </c>
      <c r="AQ33" s="74">
        <v>853.89871184411857</v>
      </c>
      <c r="AR33" s="92">
        <f t="shared" si="67"/>
        <v>1004.4429270928888</v>
      </c>
      <c r="AS33" s="74">
        <f t="shared" si="4"/>
        <v>68407.560000080004</v>
      </c>
      <c r="AT33" s="75">
        <f t="shared" si="68"/>
        <v>120923.92739805744</v>
      </c>
      <c r="AU33" s="74">
        <v>902.72990628019068</v>
      </c>
      <c r="AV33" s="92">
        <f t="shared" si="69"/>
        <v>1089.9035958723084</v>
      </c>
      <c r="AW33" s="74">
        <f t="shared" si="5"/>
        <v>71331.383928590003</v>
      </c>
      <c r="AX33" s="75">
        <f t="shared" si="70"/>
        <v>162717.86326520657</v>
      </c>
      <c r="AY33" s="74">
        <v>1067.9157465412457</v>
      </c>
      <c r="AZ33" s="92">
        <f t="shared" si="71"/>
        <v>1263.0877658801405</v>
      </c>
      <c r="BA33" s="74">
        <f t="shared" si="6"/>
        <v>47969.94035722001</v>
      </c>
      <c r="BB33" s="75">
        <f t="shared" si="72"/>
        <v>92933.985765312289</v>
      </c>
      <c r="BC33" s="74">
        <v>1205.3435737969266</v>
      </c>
      <c r="BD33" s="92">
        <f t="shared" si="73"/>
        <v>1209.867757528697</v>
      </c>
      <c r="BE33" s="93">
        <f>AO33/SUM(Table5[[#This Row],[NWP (Standard)]],Table5[[#This Row],[NWP (Plus)]],Table5[[#This Row],[NWP (Essentials)]],Table5[[#This Row],[NWP (Premium)]])</f>
        <v>0.5559346846929536</v>
      </c>
      <c r="BF33" s="93">
        <f>AS33/SUM(Table5[[#This Row],[NWP (Standard)]],Table5[[#This Row],[NWP (Plus)]],Table5[[#This Row],[NWP (Essentials)]],Table5[[#This Row],[NWP (Premium)]])</f>
        <v>0.16183264215962673</v>
      </c>
      <c r="BG33" s="93">
        <f>AW33/SUM(Table5[[#This Row],[NWP (Standard)]],Table5[[#This Row],[NWP (Plus)]],Table5[[#This Row],[NWP (Essentials)]],Table5[[#This Row],[NWP (Premium)]])</f>
        <v>0.16874956993134901</v>
      </c>
      <c r="BH33" s="94">
        <f>BA33/SUM(Table5[[#This Row],[NWP (Standard)]],Table5[[#This Row],[NWP (Plus)]],Table5[[#This Row],[NWP (Essentials)]],Table5[[#This Row],[NWP (Premium)]])</f>
        <v>0.11348310321607061</v>
      </c>
      <c r="BI33" s="93">
        <f t="shared" si="74"/>
        <v>0.50949123776443506</v>
      </c>
      <c r="BJ33" s="93">
        <f t="shared" si="74"/>
        <v>0.17043480417232554</v>
      </c>
      <c r="BK33" s="93">
        <f t="shared" si="74"/>
        <v>0.19833217415253071</v>
      </c>
      <c r="BL33" s="94">
        <f t="shared" si="74"/>
        <v>0.1217417839107087</v>
      </c>
      <c r="BM33" s="74">
        <v>0</v>
      </c>
      <c r="BN33" s="75">
        <f t="shared" si="75"/>
        <v>168120.27979587423</v>
      </c>
      <c r="BO33" s="74">
        <v>0</v>
      </c>
      <c r="BP33" s="92">
        <f t="shared" si="76"/>
        <v>1027.9273450150797</v>
      </c>
      <c r="BQ33" s="74">
        <v>0</v>
      </c>
      <c r="BR33" s="75">
        <f t="shared" si="77"/>
        <v>44352.106530644574</v>
      </c>
      <c r="BS33" s="74">
        <v>0</v>
      </c>
      <c r="BT33" s="92">
        <f t="shared" si="78"/>
        <v>1073.7999642453606</v>
      </c>
      <c r="BU33" s="74">
        <v>0</v>
      </c>
      <c r="BV33" s="75">
        <f t="shared" si="79"/>
        <v>93425.336326487974</v>
      </c>
      <c r="BW33" s="74">
        <v>0</v>
      </c>
      <c r="BX33" s="92">
        <f t="shared" si="80"/>
        <v>1132.3435803266652</v>
      </c>
      <c r="BY33" s="74">
        <v>1388.9314285200001</v>
      </c>
      <c r="BZ33" s="75">
        <f t="shared" si="81"/>
        <v>41334.765306125155</v>
      </c>
      <c r="CA33" s="74">
        <v>1512.9431640089845</v>
      </c>
      <c r="CB33" s="92">
        <f t="shared" si="82"/>
        <v>1407.3478751186033</v>
      </c>
      <c r="CC33" s="74">
        <v>234996.69035711</v>
      </c>
      <c r="CD33" s="75">
        <f t="shared" si="83"/>
        <v>216769.86826511571</v>
      </c>
      <c r="CE33" s="74">
        <v>853.89871184411857</v>
      </c>
      <c r="CF33" s="92">
        <f t="shared" si="84"/>
        <v>908.07660337162565</v>
      </c>
      <c r="CG33" s="74">
        <v>68407.560000080004</v>
      </c>
      <c r="CH33" s="75">
        <f t="shared" si="85"/>
        <v>76571.820867412855</v>
      </c>
      <c r="CI33" s="74">
        <v>902.72990628019068</v>
      </c>
      <c r="CJ33" s="92">
        <f t="shared" si="86"/>
        <v>1026.1165088607206</v>
      </c>
      <c r="CK33" s="74">
        <v>71331.383928590003</v>
      </c>
      <c r="CL33" s="75">
        <f t="shared" si="87"/>
        <v>69292.526938718569</v>
      </c>
      <c r="CM33" s="74">
        <v>1067.9157465412457</v>
      </c>
      <c r="CN33" s="92">
        <f t="shared" si="88"/>
        <v>1187.70866562029</v>
      </c>
      <c r="CO33" s="74">
        <v>46581.008928700008</v>
      </c>
      <c r="CP33" s="75">
        <f t="shared" si="89"/>
        <v>51599.220459187134</v>
      </c>
      <c r="CQ33" s="74">
        <v>1198.0804900905778</v>
      </c>
      <c r="CR33" s="92">
        <f t="shared" si="90"/>
        <v>1116.0799260907379</v>
      </c>
    </row>
    <row r="34" spans="1:96" x14ac:dyDescent="0.25">
      <c r="A34" s="85">
        <f t="shared" si="7"/>
        <v>45359</v>
      </c>
      <c r="B34" s="74">
        <v>1618967.1067856404</v>
      </c>
      <c r="C34" s="75">
        <f t="shared" si="8"/>
        <v>1436229.2666069868</v>
      </c>
      <c r="D34" s="74">
        <v>1318.7772693524532</v>
      </c>
      <c r="E34" s="75">
        <f t="shared" si="8"/>
        <v>1260.8993657108451</v>
      </c>
      <c r="F34" s="96">
        <f t="shared" si="0"/>
        <v>1922410.9338607681</v>
      </c>
      <c r="G34" s="75">
        <v>2015156.0928570866</v>
      </c>
      <c r="H34" s="75">
        <f t="shared" ref="H34" si="385">AVERAGE(G31:G34)</f>
        <v>1833474.8360712864</v>
      </c>
      <c r="I34" s="75">
        <f>Table5[[#This Row],[Average NWP (Boom)]]</f>
        <v>1318.7772693524532</v>
      </c>
      <c r="J34" s="92">
        <f t="shared" ref="J34" si="386">AVERAGE(I31:I34)</f>
        <v>1260.8993657108451</v>
      </c>
      <c r="K34" s="75">
        <f t="shared" si="1"/>
        <v>1618967.1067856406</v>
      </c>
      <c r="L34" s="75">
        <f t="shared" ref="L34" si="387">AVERAGE(K31:K34)</f>
        <v>1383062.1051784428</v>
      </c>
      <c r="M34" s="75">
        <v>1315.1641809793994</v>
      </c>
      <c r="N34" s="75">
        <f t="shared" ref="N34" si="388">AVERAGE(M31:M34)</f>
        <v>1260.1463688429151</v>
      </c>
      <c r="O34" s="96">
        <f t="shared" si="2"/>
        <v>1453445.2025539533</v>
      </c>
      <c r="P34" s="74">
        <v>467340.34464269009</v>
      </c>
      <c r="Q34" s="75">
        <f t="shared" ref="Q34" si="389">AVERAGE(P31:P34)</f>
        <v>420911.99473203503</v>
      </c>
      <c r="R34" s="74">
        <v>1089.3714327335433</v>
      </c>
      <c r="S34" s="75">
        <f t="shared" ref="S34" si="390">AVERAGE(R31:R34)</f>
        <v>1005.3723642377564</v>
      </c>
      <c r="T34" s="96">
        <v>343903.94015289005</v>
      </c>
      <c r="U34" s="74">
        <v>1151626.7621429504</v>
      </c>
      <c r="V34" s="75">
        <f t="shared" ref="V34" si="391">AVERAGE(U31:U34)</f>
        <v>962150.11044640769</v>
      </c>
      <c r="W34" s="74">
        <v>1435.9435936944519</v>
      </c>
      <c r="X34" s="75">
        <f t="shared" ref="X34" si="392">AVERAGE(W31:W34)</f>
        <v>1425.8147944059604</v>
      </c>
      <c r="Y34" s="96">
        <v>1109541.2624010632</v>
      </c>
      <c r="Z34" s="74">
        <v>0</v>
      </c>
      <c r="AA34" s="75">
        <f t="shared" ref="AA34" si="393">AVERAGE(Z31:Z34)</f>
        <v>4430.5967857120004</v>
      </c>
      <c r="AB34" s="74">
        <v>0</v>
      </c>
      <c r="AC34" s="75">
        <f t="shared" ref="AC34" si="394">AVERAGE(AB31:AB34)</f>
        <v>966.34076287310018</v>
      </c>
      <c r="AD34" s="96" t="e">
        <v>#VALUE!</v>
      </c>
      <c r="AE34" s="74">
        <v>0</v>
      </c>
      <c r="AF34" s="75">
        <f t="shared" ref="AF34" si="395">AVERAGE(AE31:AE34)</f>
        <v>4430.5967857120004</v>
      </c>
      <c r="AG34" s="74">
        <v>0</v>
      </c>
      <c r="AH34" s="75">
        <f t="shared" ref="AH34" si="396">AVERAGE(AG31:AG34)</f>
        <v>73.927708596024473</v>
      </c>
      <c r="AI34" s="96" t="e">
        <v>#VALUE!</v>
      </c>
      <c r="AJ34" s="74">
        <v>0</v>
      </c>
      <c r="AK34" s="75">
        <f t="shared" ref="AK34" si="397">AVERAGE(AJ31:AJ34)</f>
        <v>53167.161428544001</v>
      </c>
      <c r="AL34" s="74">
        <v>0</v>
      </c>
      <c r="AM34" s="75">
        <f t="shared" ref="AM34" si="398">AVERAGE(AL31:AL34)</f>
        <v>966.34076287309995</v>
      </c>
      <c r="AN34" s="96">
        <v>468965.73130681471</v>
      </c>
      <c r="AO34" s="74">
        <f t="shared" si="3"/>
        <v>241975.84285698002</v>
      </c>
      <c r="AP34" s="75">
        <f t="shared" si="66"/>
        <v>324223.40928551339</v>
      </c>
      <c r="AQ34" s="74">
        <v>951.53181038969296</v>
      </c>
      <c r="AR34" s="92">
        <f t="shared" si="67"/>
        <v>971.7904890500314</v>
      </c>
      <c r="AS34" s="74">
        <f t="shared" si="4"/>
        <v>71977.903214179998</v>
      </c>
      <c r="AT34" s="75">
        <f t="shared" si="68"/>
        <v>105985.27112253259</v>
      </c>
      <c r="AU34" s="74">
        <v>1183.207290238423</v>
      </c>
      <c r="AV34" s="92">
        <f t="shared" si="69"/>
        <v>1091.3108321534771</v>
      </c>
      <c r="AW34" s="74">
        <f t="shared" si="5"/>
        <v>85108.964642919993</v>
      </c>
      <c r="AX34" s="75">
        <f t="shared" si="70"/>
        <v>122846.46076527741</v>
      </c>
      <c r="AY34" s="74">
        <v>1273.7728429478586</v>
      </c>
      <c r="AZ34" s="92">
        <f t="shared" si="71"/>
        <v>1242.9762961854408</v>
      </c>
      <c r="BA34" s="74">
        <f t="shared" si="6"/>
        <v>68277.633928610012</v>
      </c>
      <c r="BB34" s="75">
        <f t="shared" si="72"/>
        <v>84360.260255100569</v>
      </c>
      <c r="BC34" s="74">
        <v>1488.3741270459866</v>
      </c>
      <c r="BD34" s="92">
        <f t="shared" si="73"/>
        <v>1240.7305843964448</v>
      </c>
      <c r="BE34" s="93">
        <f>AO34/SUM(Table5[[#This Row],[NWP (Standard)]],Table5[[#This Row],[NWP (Plus)]],Table5[[#This Row],[NWP (Essentials)]],Table5[[#This Row],[NWP (Premium)]])</f>
        <v>0.51777220954887848</v>
      </c>
      <c r="BF34" s="93">
        <f>AS34/SUM(Table5[[#This Row],[NWP (Standard)]],Table5[[#This Row],[NWP (Plus)]],Table5[[#This Row],[NWP (Essentials)]],Table5[[#This Row],[NWP (Premium)]])</f>
        <v>0.15401602716155707</v>
      </c>
      <c r="BG34" s="93">
        <f>AW34/SUM(Table5[[#This Row],[NWP (Standard)]],Table5[[#This Row],[NWP (Plus)]],Table5[[#This Row],[NWP (Essentials)]],Table5[[#This Row],[NWP (Premium)]])</f>
        <v>0.18211345461302073</v>
      </c>
      <c r="BH34" s="94">
        <f>BA34/SUM(Table5[[#This Row],[NWP (Standard)]],Table5[[#This Row],[NWP (Plus)]],Table5[[#This Row],[NWP (Essentials)]],Table5[[#This Row],[NWP (Premium)]])</f>
        <v>0.14609830867654364</v>
      </c>
      <c r="BI34" s="93">
        <f t="shared" si="74"/>
        <v>0.51215889564819495</v>
      </c>
      <c r="BJ34" s="93">
        <f t="shared" si="74"/>
        <v>0.17355461487352361</v>
      </c>
      <c r="BK34" s="93">
        <f t="shared" si="74"/>
        <v>0.1853949796153278</v>
      </c>
      <c r="BL34" s="94">
        <f t="shared" si="74"/>
        <v>0.12889150986295378</v>
      </c>
      <c r="BM34" s="74">
        <v>0</v>
      </c>
      <c r="BN34" s="75">
        <f t="shared" si="75"/>
        <v>105021.89510205769</v>
      </c>
      <c r="BO34" s="74">
        <v>0</v>
      </c>
      <c r="BP34" s="92">
        <f t="shared" si="76"/>
        <v>834.70437980345162</v>
      </c>
      <c r="BQ34" s="74">
        <v>0</v>
      </c>
      <c r="BR34" s="75">
        <f t="shared" si="77"/>
        <v>29065.482244935429</v>
      </c>
      <c r="BS34" s="74">
        <v>0</v>
      </c>
      <c r="BT34" s="92">
        <f t="shared" si="78"/>
        <v>884.27067936810363</v>
      </c>
      <c r="BU34" s="74">
        <v>0</v>
      </c>
      <c r="BV34" s="75">
        <f t="shared" si="79"/>
        <v>50750.764285707432</v>
      </c>
      <c r="BW34" s="74">
        <v>0</v>
      </c>
      <c r="BX34" s="92">
        <f t="shared" si="80"/>
        <v>921.73282830755647</v>
      </c>
      <c r="BY34" s="74">
        <v>0</v>
      </c>
      <c r="BZ34" s="75">
        <f t="shared" si="81"/>
        <v>28323.993673460569</v>
      </c>
      <c r="CA34" s="74">
        <v>0</v>
      </c>
      <c r="CB34" s="92">
        <f t="shared" si="82"/>
        <v>1203.8460623659375</v>
      </c>
      <c r="CC34" s="74">
        <v>241975.84285698002</v>
      </c>
      <c r="CD34" s="75">
        <f t="shared" si="83"/>
        <v>219201.5141834557</v>
      </c>
      <c r="CE34" s="74">
        <v>951.53181038969296</v>
      </c>
      <c r="CF34" s="92">
        <f t="shared" si="84"/>
        <v>909.17969246519897</v>
      </c>
      <c r="CG34" s="74">
        <v>71977.903214179998</v>
      </c>
      <c r="CH34" s="75">
        <f t="shared" si="85"/>
        <v>76919.788877597151</v>
      </c>
      <c r="CI34" s="74">
        <v>1183.207290238423</v>
      </c>
      <c r="CJ34" s="92">
        <f t="shared" si="86"/>
        <v>1052.8345839641163</v>
      </c>
      <c r="CK34" s="74">
        <v>85108.964642919993</v>
      </c>
      <c r="CL34" s="75">
        <f t="shared" si="87"/>
        <v>72095.69647956999</v>
      </c>
      <c r="CM34" s="74">
        <v>1273.7728429478586</v>
      </c>
      <c r="CN34" s="92">
        <f t="shared" si="88"/>
        <v>1199.1146725758063</v>
      </c>
      <c r="CO34" s="74">
        <v>68277.633928610012</v>
      </c>
      <c r="CP34" s="75">
        <f t="shared" si="89"/>
        <v>56036.266581639997</v>
      </c>
      <c r="CQ34" s="74">
        <v>1488.3741270459866</v>
      </c>
      <c r="CR34" s="92">
        <f t="shared" si="90"/>
        <v>1184.6110598942664</v>
      </c>
    </row>
    <row r="35" spans="1:96" x14ac:dyDescent="0.25">
      <c r="A35" s="85">
        <f t="shared" si="7"/>
        <v>45366</v>
      </c>
      <c r="B35" s="74">
        <v>1578422.4339289197</v>
      </c>
      <c r="C35" s="75">
        <f t="shared" si="8"/>
        <v>1556419.0836604957</v>
      </c>
      <c r="D35" s="74">
        <v>1273.33769851438</v>
      </c>
      <c r="E35" s="75">
        <f t="shared" si="8"/>
        <v>1278.3068267267336</v>
      </c>
      <c r="F35" s="96">
        <f t="shared" si="0"/>
        <v>1922410.9338607681</v>
      </c>
      <c r="G35" s="75">
        <v>1989385.2042858815</v>
      </c>
      <c r="H35" s="75">
        <f t="shared" ref="H35" si="399">AVERAGE(G32:G35)</f>
        <v>1987738.8148212249</v>
      </c>
      <c r="I35" s="75">
        <f>Table5[[#This Row],[Average NWP (Boom)]]</f>
        <v>1273.33769851438</v>
      </c>
      <c r="J35" s="92">
        <f t="shared" ref="J35" si="400">AVERAGE(I32:I35)</f>
        <v>1278.3068267267336</v>
      </c>
      <c r="K35" s="75">
        <f t="shared" si="1"/>
        <v>1578422.43392892</v>
      </c>
      <c r="L35" s="75">
        <f t="shared" ref="L35" si="401">AVERAGE(K32:K35)</f>
        <v>1542111.0465176827</v>
      </c>
      <c r="M35" s="75">
        <v>1269.8491021149798</v>
      </c>
      <c r="N35" s="75">
        <f t="shared" ref="N35" si="402">AVERAGE(M32:M35)</f>
        <v>1275.6129172652627</v>
      </c>
      <c r="O35" s="96">
        <f t="shared" si="2"/>
        <v>1453445.2025539533</v>
      </c>
      <c r="P35" s="74">
        <v>516965.95178590989</v>
      </c>
      <c r="Q35" s="75">
        <f t="shared" ref="Q35" si="403">AVERAGE(P32:P35)</f>
        <v>455102.14562493248</v>
      </c>
      <c r="R35" s="74">
        <v>1050.7438044429064</v>
      </c>
      <c r="S35" s="75">
        <f t="shared" ref="S35" si="404">AVERAGE(R32:R35)</f>
        <v>1017.9232178390619</v>
      </c>
      <c r="T35" s="96">
        <v>343903.94015289005</v>
      </c>
      <c r="U35" s="74">
        <v>1061456.48214301</v>
      </c>
      <c r="V35" s="75">
        <f t="shared" ref="V35" si="405">AVERAGE(U32:U35)</f>
        <v>1087008.9008927501</v>
      </c>
      <c r="W35" s="74">
        <v>1413.3907884727164</v>
      </c>
      <c r="X35" s="75">
        <f t="shared" ref="X35" si="406">AVERAGE(W32:W35)</f>
        <v>1427.8991663006141</v>
      </c>
      <c r="Y35" s="96">
        <v>1109541.2624010632</v>
      </c>
      <c r="Z35" s="74">
        <v>0</v>
      </c>
      <c r="AA35" s="75">
        <f t="shared" ref="AA35" si="407">AVERAGE(Z32:Z35)</f>
        <v>1192.3364285677501</v>
      </c>
      <c r="AB35" s="74">
        <v>0</v>
      </c>
      <c r="AC35" s="75">
        <f t="shared" ref="AC35" si="408">AVERAGE(AB32:AB35)</f>
        <v>676.41823563697949</v>
      </c>
      <c r="AD35" s="96" t="e">
        <v>#VALUE!</v>
      </c>
      <c r="AE35" s="74">
        <v>0</v>
      </c>
      <c r="AF35" s="75">
        <f t="shared" ref="AF35" si="409">AVERAGE(AE32:AE35)</f>
        <v>1192.3364285677501</v>
      </c>
      <c r="AG35" s="74">
        <v>0</v>
      </c>
      <c r="AH35" s="75">
        <f t="shared" ref="AH35" si="410">AVERAGE(AG32:AG35)</f>
        <v>51.747843136132353</v>
      </c>
      <c r="AI35" s="96" t="e">
        <v>#VALUE!</v>
      </c>
      <c r="AJ35" s="74">
        <v>0</v>
      </c>
      <c r="AK35" s="75">
        <f t="shared" ref="AK35" si="411">AVERAGE(AJ32:AJ35)</f>
        <v>14308.037142813</v>
      </c>
      <c r="AL35" s="74">
        <v>0</v>
      </c>
      <c r="AM35" s="75">
        <f t="shared" ref="AM35" si="412">AVERAGE(AL32:AL35)</f>
        <v>676.41823563697972</v>
      </c>
      <c r="AN35" s="96">
        <v>468965.73130681471</v>
      </c>
      <c r="AO35" s="74">
        <f t="shared" si="3"/>
        <v>284740.85428571998</v>
      </c>
      <c r="AP35" s="75">
        <f t="shared" si="66"/>
        <v>284397.27050998056</v>
      </c>
      <c r="AQ35" s="74">
        <v>981.17907000710466</v>
      </c>
      <c r="AR35" s="92">
        <f t="shared" si="67"/>
        <v>953.22043263800902</v>
      </c>
      <c r="AS35" s="74">
        <f t="shared" si="4"/>
        <v>82009.93714319999</v>
      </c>
      <c r="AT35" s="75">
        <f t="shared" si="68"/>
        <v>99049.13158175342</v>
      </c>
      <c r="AU35" s="74">
        <v>990.78601404890935</v>
      </c>
      <c r="AV35" s="92">
        <f t="shared" si="69"/>
        <v>1071.999306421221</v>
      </c>
      <c r="AW35" s="74">
        <f t="shared" si="5"/>
        <v>73686.698571500005</v>
      </c>
      <c r="AX35" s="75">
        <f t="shared" si="70"/>
        <v>96217.971785749425</v>
      </c>
      <c r="AY35" s="74">
        <v>1055.5590650650947</v>
      </c>
      <c r="AZ35" s="92">
        <f t="shared" si="71"/>
        <v>1208.4377241637651</v>
      </c>
      <c r="BA35" s="74">
        <f t="shared" si="6"/>
        <v>76528.461785490013</v>
      </c>
      <c r="BB35" s="75">
        <f t="shared" si="72"/>
        <v>72225.325714261431</v>
      </c>
      <c r="BC35" s="74">
        <v>1598.7230168805213</v>
      </c>
      <c r="BD35" s="92">
        <f t="shared" si="73"/>
        <v>1281.1692010048869</v>
      </c>
      <c r="BE35" s="93">
        <f>AO35/SUM(Table5[[#This Row],[NWP (Standard)]],Table5[[#This Row],[NWP (Plus)]],Table5[[#This Row],[NWP (Essentials)]],Table5[[#This Row],[NWP (Premium)]])</f>
        <v>0.55079227810275422</v>
      </c>
      <c r="BF35" s="93">
        <f>AS35/SUM(Table5[[#This Row],[NWP (Standard)]],Table5[[#This Row],[NWP (Plus)]],Table5[[#This Row],[NWP (Essentials)]],Table5[[#This Row],[NWP (Premium)]])</f>
        <v>0.15863701827922813</v>
      </c>
      <c r="BG35" s="93">
        <f>AW35/SUM(Table5[[#This Row],[NWP (Standard)]],Table5[[#This Row],[NWP (Plus)]],Table5[[#This Row],[NWP (Essentials)]],Table5[[#This Row],[NWP (Premium)]])</f>
        <v>0.14253685047717748</v>
      </c>
      <c r="BH35" s="94">
        <f>BA35/SUM(Table5[[#This Row],[NWP (Standard)]],Table5[[#This Row],[NWP (Plus)]],Table5[[#This Row],[NWP (Essentials)]],Table5[[#This Row],[NWP (Premium)]])</f>
        <v>0.14803385314084005</v>
      </c>
      <c r="BI35" s="93">
        <f t="shared" si="74"/>
        <v>0.51868494267276799</v>
      </c>
      <c r="BJ35" s="93">
        <f t="shared" si="74"/>
        <v>0.1794986182486035</v>
      </c>
      <c r="BK35" s="93">
        <f t="shared" si="74"/>
        <v>0.17245366439833285</v>
      </c>
      <c r="BL35" s="94">
        <f t="shared" si="74"/>
        <v>0.12936277468029569</v>
      </c>
      <c r="BM35" s="74">
        <v>0</v>
      </c>
      <c r="BN35" s="75">
        <f t="shared" si="75"/>
        <v>57175.984897966278</v>
      </c>
      <c r="BO35" s="74">
        <v>0</v>
      </c>
      <c r="BP35" s="92">
        <f t="shared" si="76"/>
        <v>642.43820569443142</v>
      </c>
      <c r="BQ35" s="74">
        <v>0</v>
      </c>
      <c r="BR35" s="75">
        <f t="shared" si="77"/>
        <v>19376.81142860914</v>
      </c>
      <c r="BS35" s="74">
        <v>0</v>
      </c>
      <c r="BT35" s="92">
        <f t="shared" si="78"/>
        <v>698.4188177636114</v>
      </c>
      <c r="BU35" s="74">
        <v>0</v>
      </c>
      <c r="BV35" s="75">
        <f t="shared" si="79"/>
        <v>21763.509183690858</v>
      </c>
      <c r="BW35" s="74">
        <v>0</v>
      </c>
      <c r="BX35" s="92">
        <f t="shared" si="80"/>
        <v>717.07743924027739</v>
      </c>
      <c r="BY35" s="74">
        <v>0</v>
      </c>
      <c r="BZ35" s="75">
        <f t="shared" si="81"/>
        <v>14628.956326517142</v>
      </c>
      <c r="CA35" s="74">
        <v>0</v>
      </c>
      <c r="CB35" s="92">
        <f t="shared" si="82"/>
        <v>999.09182748507442</v>
      </c>
      <c r="CC35" s="74">
        <v>284740.85428571998</v>
      </c>
      <c r="CD35" s="75">
        <f t="shared" si="83"/>
        <v>227221.2856120143</v>
      </c>
      <c r="CE35" s="74">
        <v>981.17907000710466</v>
      </c>
      <c r="CF35" s="92">
        <f t="shared" si="84"/>
        <v>922.91196867073529</v>
      </c>
      <c r="CG35" s="74">
        <v>82009.93714319999</v>
      </c>
      <c r="CH35" s="75">
        <f t="shared" si="85"/>
        <v>79672.32015314429</v>
      </c>
      <c r="CI35" s="74">
        <v>990.78601404890935</v>
      </c>
      <c r="CJ35" s="92">
        <f t="shared" si="86"/>
        <v>1053.9421513722543</v>
      </c>
      <c r="CK35" s="74">
        <v>73686.698571500005</v>
      </c>
      <c r="CL35" s="75">
        <f t="shared" si="87"/>
        <v>74454.462602058571</v>
      </c>
      <c r="CM35" s="74">
        <v>1055.5590650650947</v>
      </c>
      <c r="CN35" s="92">
        <f t="shared" si="88"/>
        <v>1211.0904700855297</v>
      </c>
      <c r="CO35" s="74">
        <v>76528.461785490013</v>
      </c>
      <c r="CP35" s="75">
        <f t="shared" si="89"/>
        <v>57596.369387744293</v>
      </c>
      <c r="CQ35" s="74">
        <v>1598.7230168805213</v>
      </c>
      <c r="CR35" s="92">
        <f t="shared" si="90"/>
        <v>1245.1748342979736</v>
      </c>
    </row>
    <row r="36" spans="1:96" x14ac:dyDescent="0.25">
      <c r="A36" s="85">
        <f t="shared" si="7"/>
        <v>45373</v>
      </c>
      <c r="B36" s="74">
        <v>1661860.9224999899</v>
      </c>
      <c r="C36" s="75">
        <f t="shared" si="8"/>
        <v>1636183.5011606403</v>
      </c>
      <c r="D36" s="74">
        <v>1252.0108748603297</v>
      </c>
      <c r="E36" s="75">
        <f t="shared" si="8"/>
        <v>1272.5243790855225</v>
      </c>
      <c r="F36" s="96">
        <f t="shared" si="0"/>
        <v>1922410.9338607681</v>
      </c>
      <c r="G36" s="75">
        <v>2087128.3510714278</v>
      </c>
      <c r="H36" s="75">
        <f t="shared" ref="H36" si="413">AVERAGE(G33:G36)</f>
        <v>2079734.7237499135</v>
      </c>
      <c r="I36" s="75">
        <f>Table5[[#This Row],[Average NWP (Boom)]]</f>
        <v>1252.0108748603297</v>
      </c>
      <c r="J36" s="92">
        <f t="shared" ref="J36" si="414">AVERAGE(I33:I36)</f>
        <v>1272.5243790855225</v>
      </c>
      <c r="K36" s="75">
        <f t="shared" si="1"/>
        <v>1661860.9224999901</v>
      </c>
      <c r="L36" s="75">
        <f t="shared" ref="L36" si="415">AVERAGE(K33:K36)</f>
        <v>1635836.2683035103</v>
      </c>
      <c r="M36" s="75">
        <v>1248.5807081141925</v>
      </c>
      <c r="N36" s="75">
        <f t="shared" ref="N36" si="416">AVERAGE(M33:M36)</f>
        <v>1268.8879170498365</v>
      </c>
      <c r="O36" s="96">
        <f t="shared" si="2"/>
        <v>1453445.2025539533</v>
      </c>
      <c r="P36" s="74">
        <v>476958.36285760999</v>
      </c>
      <c r="Q36" s="75">
        <f t="shared" ref="Q36" si="417">AVERAGE(P33:P36)</f>
        <v>470645.32562517247</v>
      </c>
      <c r="R36" s="74">
        <v>1021.3241174681156</v>
      </c>
      <c r="S36" s="75">
        <f t="shared" ref="S36" si="418">AVERAGE(R33:R36)</f>
        <v>1020.3361722934994</v>
      </c>
      <c r="T36" s="96">
        <v>343903.94015289005</v>
      </c>
      <c r="U36" s="74">
        <v>1184902.5596423801</v>
      </c>
      <c r="V36" s="75">
        <f t="shared" ref="V36" si="419">AVERAGE(U33:U36)</f>
        <v>1165190.9426783377</v>
      </c>
      <c r="W36" s="74">
        <v>1371.414999586088</v>
      </c>
      <c r="X36" s="75">
        <f t="shared" ref="X36" si="420">AVERAGE(W33:W36)</f>
        <v>1406.740231514319</v>
      </c>
      <c r="Y36" s="96">
        <v>1109541.2624010632</v>
      </c>
      <c r="Z36" s="74">
        <v>0</v>
      </c>
      <c r="AA36" s="75">
        <f t="shared" ref="AA36" si="421">AVERAGE(Z33:Z36)</f>
        <v>28.9360714275</v>
      </c>
      <c r="AB36" s="74">
        <v>0</v>
      </c>
      <c r="AC36" s="75">
        <f t="shared" ref="AC36" si="422">AVERAGE(AB33:AB36)</f>
        <v>378.235791002246</v>
      </c>
      <c r="AD36" s="96" t="e">
        <v>#VALUE!</v>
      </c>
      <c r="AE36" s="74">
        <v>0</v>
      </c>
      <c r="AF36" s="75">
        <f t="shared" ref="AF36" si="423">AVERAGE(AE33:AE36)</f>
        <v>28.9360714275</v>
      </c>
      <c r="AG36" s="74">
        <v>0</v>
      </c>
      <c r="AH36" s="75">
        <f t="shared" ref="AH36" si="424">AVERAGE(AG33:AG36)</f>
        <v>28.9360714275</v>
      </c>
      <c r="AI36" s="96" t="e">
        <v>#VALUE!</v>
      </c>
      <c r="AJ36" s="74">
        <v>0</v>
      </c>
      <c r="AK36" s="75">
        <f t="shared" ref="AK36" si="425">AVERAGE(AJ33:AJ36)</f>
        <v>347.23285713000001</v>
      </c>
      <c r="AL36" s="74">
        <v>0</v>
      </c>
      <c r="AM36" s="75">
        <f t="shared" ref="AM36" si="426">AVERAGE(AL33:AL36)</f>
        <v>378.23579100224612</v>
      </c>
      <c r="AN36" s="96">
        <v>468965.73130681471</v>
      </c>
      <c r="AO36" s="74">
        <f t="shared" si="3"/>
        <v>274840.17500002001</v>
      </c>
      <c r="AP36" s="75">
        <f t="shared" si="66"/>
        <v>260836.65392841943</v>
      </c>
      <c r="AQ36" s="74">
        <v>1002.1644742482655</v>
      </c>
      <c r="AR36" s="92">
        <f t="shared" si="67"/>
        <v>953.00065156282915</v>
      </c>
      <c r="AS36" s="74">
        <f t="shared" si="4"/>
        <v>69939.067143150009</v>
      </c>
      <c r="AT36" s="75">
        <f t="shared" si="68"/>
        <v>87648.861224643726</v>
      </c>
      <c r="AU36" s="74">
        <v>974.04454771628662</v>
      </c>
      <c r="AV36" s="92">
        <f t="shared" si="69"/>
        <v>1055.8974263310217</v>
      </c>
      <c r="AW36" s="74">
        <f t="shared" si="5"/>
        <v>75171.42107135999</v>
      </c>
      <c r="AX36" s="75">
        <f t="shared" si="70"/>
        <v>81936.297857190002</v>
      </c>
      <c r="AY36" s="74">
        <v>1108.4990582697408</v>
      </c>
      <c r="AZ36" s="92">
        <f t="shared" si="71"/>
        <v>1177.5005616338476</v>
      </c>
      <c r="BA36" s="74">
        <f t="shared" si="6"/>
        <v>57007.699643079999</v>
      </c>
      <c r="BB36" s="75">
        <f t="shared" si="72"/>
        <v>61622.329183703718</v>
      </c>
      <c r="BC36" s="74">
        <v>1099.3137346340109</v>
      </c>
      <c r="BD36" s="92">
        <f t="shared" si="73"/>
        <v>1271.8169055017331</v>
      </c>
      <c r="BE36" s="93">
        <f>AO36/SUM(Table5[[#This Row],[NWP (Standard)]],Table5[[#This Row],[NWP (Plus)]],Table5[[#This Row],[NWP (Essentials)]],Table5[[#This Row],[NWP (Premium)]])</f>
        <v>0.57623515258934688</v>
      </c>
      <c r="BF36" s="93">
        <f>AS36/SUM(Table5[[#This Row],[NWP (Standard)]],Table5[[#This Row],[NWP (Plus)]],Table5[[#This Row],[NWP (Essentials)]],Table5[[#This Row],[NWP (Premium)]])</f>
        <v>0.14663558203303681</v>
      </c>
      <c r="BG36" s="93">
        <f>AW36/SUM(Table5[[#This Row],[NWP (Standard)]],Table5[[#This Row],[NWP (Plus)]],Table5[[#This Row],[NWP (Essentials)]],Table5[[#This Row],[NWP (Premium)]])</f>
        <v>0.15760583506909068</v>
      </c>
      <c r="BH36" s="94">
        <f>BA36/SUM(Table5[[#This Row],[NWP (Standard)]],Table5[[#This Row],[NWP (Plus)]],Table5[[#This Row],[NWP (Essentials)]],Table5[[#This Row],[NWP (Premium)]])</f>
        <v>0.11952343030852555</v>
      </c>
      <c r="BI36" s="93">
        <f t="shared" si="74"/>
        <v>0.53087913237766204</v>
      </c>
      <c r="BJ36" s="93">
        <f t="shared" si="74"/>
        <v>0.17656877247665828</v>
      </c>
      <c r="BK36" s="93">
        <f t="shared" si="74"/>
        <v>0.16704035046448373</v>
      </c>
      <c r="BL36" s="94">
        <f t="shared" si="74"/>
        <v>0.12551174468119583</v>
      </c>
      <c r="BM36" s="74">
        <v>0</v>
      </c>
      <c r="BN36" s="75">
        <f t="shared" si="75"/>
        <v>29847.265102016572</v>
      </c>
      <c r="BO36" s="74">
        <v>0</v>
      </c>
      <c r="BP36" s="92">
        <f t="shared" si="76"/>
        <v>478.68065088569932</v>
      </c>
      <c r="BQ36" s="74">
        <v>0</v>
      </c>
      <c r="BR36" s="75">
        <f t="shared" si="77"/>
        <v>10822.691632676569</v>
      </c>
      <c r="BS36" s="74">
        <v>0</v>
      </c>
      <c r="BT36" s="92">
        <f t="shared" si="78"/>
        <v>520.32963426155686</v>
      </c>
      <c r="BU36" s="74">
        <v>0</v>
      </c>
      <c r="BV36" s="75">
        <f t="shared" si="79"/>
        <v>10337.303265325716</v>
      </c>
      <c r="BW36" s="74">
        <v>0</v>
      </c>
      <c r="BX36" s="92">
        <f t="shared" si="80"/>
        <v>524.6427177558395</v>
      </c>
      <c r="BY36" s="74">
        <v>0</v>
      </c>
      <c r="BZ36" s="75">
        <f t="shared" si="81"/>
        <v>5977.6946938937153</v>
      </c>
      <c r="CA36" s="74">
        <v>0</v>
      </c>
      <c r="CB36" s="92">
        <f t="shared" si="82"/>
        <v>825.4974328546308</v>
      </c>
      <c r="CC36" s="74">
        <v>274840.17500002001</v>
      </c>
      <c r="CD36" s="75">
        <f t="shared" si="83"/>
        <v>230989.38882640286</v>
      </c>
      <c r="CE36" s="74">
        <v>1002.1644742482655</v>
      </c>
      <c r="CF36" s="92">
        <f t="shared" si="84"/>
        <v>935.22528942590441</v>
      </c>
      <c r="CG36" s="74">
        <v>69939.067143150009</v>
      </c>
      <c r="CH36" s="75">
        <f t="shared" si="85"/>
        <v>76826.169591967147</v>
      </c>
      <c r="CI36" s="74">
        <v>974.04454771628662</v>
      </c>
      <c r="CJ36" s="92">
        <f t="shared" si="86"/>
        <v>1050.0622952364715</v>
      </c>
      <c r="CK36" s="74">
        <v>75171.42107135999</v>
      </c>
      <c r="CL36" s="75">
        <f t="shared" si="87"/>
        <v>71598.994591864292</v>
      </c>
      <c r="CM36" s="74">
        <v>1108.4990582697408</v>
      </c>
      <c r="CN36" s="92">
        <f t="shared" si="88"/>
        <v>1182.7147804876927</v>
      </c>
      <c r="CO36" s="74">
        <v>57007.699643079999</v>
      </c>
      <c r="CP36" s="75">
        <f t="shared" si="89"/>
        <v>55644.634489810014</v>
      </c>
      <c r="CQ36" s="74">
        <v>1099.3137346340109</v>
      </c>
      <c r="CR36" s="92">
        <f t="shared" si="90"/>
        <v>1241.5315357610114</v>
      </c>
    </row>
    <row r="37" spans="1:96" x14ac:dyDescent="0.25">
      <c r="A37" s="85">
        <f t="shared" si="7"/>
        <v>45380</v>
      </c>
      <c r="B37" s="74">
        <v>1859476.5442874299</v>
      </c>
      <c r="C37" s="75">
        <f t="shared" si="8"/>
        <v>1679681.7518754951</v>
      </c>
      <c r="D37" s="74">
        <v>1217.092034125948</v>
      </c>
      <c r="E37" s="75">
        <f t="shared" si="8"/>
        <v>1265.3044692132778</v>
      </c>
      <c r="F37" s="96">
        <f t="shared" si="0"/>
        <v>1922410.9338607681</v>
      </c>
      <c r="G37" s="75">
        <v>2252657.3010731237</v>
      </c>
      <c r="H37" s="75">
        <f t="shared" ref="H37" si="427">AVERAGE(G34:G37)</f>
        <v>2086081.7373218799</v>
      </c>
      <c r="I37" s="75">
        <f>Table5[[#This Row],[Average NWP (Boom)]]</f>
        <v>1217.092034125948</v>
      </c>
      <c r="J37" s="92">
        <f t="shared" ref="J37" si="428">AVERAGE(I34:I37)</f>
        <v>1265.3044692132778</v>
      </c>
      <c r="K37" s="75">
        <f t="shared" si="1"/>
        <v>1859476.5442874299</v>
      </c>
      <c r="L37" s="75">
        <f t="shared" ref="L37" si="429">AVERAGE(K34:K37)</f>
        <v>1679681.7518754951</v>
      </c>
      <c r="M37" s="75">
        <v>1213.7575354356593</v>
      </c>
      <c r="N37" s="75">
        <f t="shared" ref="N37" si="430">AVERAGE(M34:M37)</f>
        <v>1261.8378816610577</v>
      </c>
      <c r="O37" s="96">
        <f t="shared" si="2"/>
        <v>1453445.2025539533</v>
      </c>
      <c r="P37" s="74">
        <v>496705.00535713998</v>
      </c>
      <c r="Q37" s="75">
        <f t="shared" ref="Q37" si="431">AVERAGE(P34:P37)</f>
        <v>489492.41616083746</v>
      </c>
      <c r="R37" s="74">
        <v>1017.8381257318442</v>
      </c>
      <c r="S37" s="75">
        <f t="shared" ref="S37" si="432">AVERAGE(R34:R37)</f>
        <v>1044.8193700941024</v>
      </c>
      <c r="T37" s="96">
        <v>343903.94015289005</v>
      </c>
      <c r="U37" s="74">
        <v>1362771.5389302899</v>
      </c>
      <c r="V37" s="75">
        <f t="shared" ref="V37" si="433">AVERAGE(U34:U37)</f>
        <v>1190189.3357146578</v>
      </c>
      <c r="W37" s="74">
        <v>1305.3367231133045</v>
      </c>
      <c r="X37" s="75">
        <f t="shared" ref="X37" si="434">AVERAGE(W34:W37)</f>
        <v>1381.52152621664</v>
      </c>
      <c r="Y37" s="96">
        <v>1109541.2624010632</v>
      </c>
      <c r="Z37" s="74">
        <v>0</v>
      </c>
      <c r="AA37" s="75">
        <f t="shared" ref="AA37" si="435">AVERAGE(Z34:Z37)</f>
        <v>0</v>
      </c>
      <c r="AB37" s="74">
        <v>0</v>
      </c>
      <c r="AC37" s="75">
        <f t="shared" ref="AC37" si="436">AVERAGE(AB34:AB37)</f>
        <v>0</v>
      </c>
      <c r="AD37" s="96" t="e">
        <v>#VALUE!</v>
      </c>
      <c r="AE37" s="74">
        <v>0</v>
      </c>
      <c r="AF37" s="75">
        <f t="shared" ref="AF37" si="437">AVERAGE(AE34:AE37)</f>
        <v>0</v>
      </c>
      <c r="AG37" s="74">
        <v>0</v>
      </c>
      <c r="AH37" s="75">
        <f t="shared" ref="AH37" si="438">AVERAGE(AG34:AG37)</f>
        <v>0</v>
      </c>
      <c r="AI37" s="96" t="e">
        <v>#VALUE!</v>
      </c>
      <c r="AJ37" s="74">
        <v>0</v>
      </c>
      <c r="AK37" s="75">
        <f t="shared" ref="AK37" si="439">AVERAGE(AJ34:AJ37)</f>
        <v>0</v>
      </c>
      <c r="AL37" s="74">
        <v>0</v>
      </c>
      <c r="AM37" s="75">
        <f t="shared" ref="AM37" si="440">AVERAGE(AL34:AL37)</f>
        <v>0</v>
      </c>
      <c r="AN37" s="96">
        <v>468965.73130681471</v>
      </c>
      <c r="AO37" s="74">
        <f t="shared" si="3"/>
        <v>263075.12071419001</v>
      </c>
      <c r="AP37" s="75">
        <f t="shared" si="66"/>
        <v>258533.67306110746</v>
      </c>
      <c r="AQ37" s="74">
        <v>925.60650721073216</v>
      </c>
      <c r="AR37" s="92">
        <f t="shared" si="67"/>
        <v>945.72630522118754</v>
      </c>
      <c r="AS37" s="74">
        <f t="shared" si="4"/>
        <v>80489.961785660009</v>
      </c>
      <c r="AT37" s="75">
        <f t="shared" si="68"/>
        <v>81847.892347029148</v>
      </c>
      <c r="AU37" s="74">
        <v>996.43318582820496</v>
      </c>
      <c r="AV37" s="92">
        <f t="shared" si="69"/>
        <v>1034.5651195693442</v>
      </c>
      <c r="AW37" s="74">
        <f t="shared" si="5"/>
        <v>85748.250714280017</v>
      </c>
      <c r="AX37" s="75">
        <f t="shared" si="70"/>
        <v>81420.176326562869</v>
      </c>
      <c r="AY37" s="74">
        <v>1264.4679827833052</v>
      </c>
      <c r="AZ37" s="92">
        <f t="shared" si="71"/>
        <v>1166.2102785708157</v>
      </c>
      <c r="BA37" s="74">
        <f t="shared" si="6"/>
        <v>67391.672143010001</v>
      </c>
      <c r="BB37" s="75">
        <f t="shared" si="72"/>
        <v>62047.678928582871</v>
      </c>
      <c r="BC37" s="74">
        <v>1251.4224832887101</v>
      </c>
      <c r="BD37" s="92">
        <f t="shared" si="73"/>
        <v>1276.1228499179288</v>
      </c>
      <c r="BE37" s="93">
        <f>AO37/SUM(Table5[[#This Row],[NWP (Standard)]],Table5[[#This Row],[NWP (Plus)]],Table5[[#This Row],[NWP (Essentials)]],Table5[[#This Row],[NWP (Premium)]])</f>
        <v>0.52964056709079099</v>
      </c>
      <c r="BF37" s="93">
        <f>AS37/SUM(Table5[[#This Row],[NWP (Standard)]],Table5[[#This Row],[NWP (Plus)]],Table5[[#This Row],[NWP (Essentials)]],Table5[[#This Row],[NWP (Premium)]])</f>
        <v>0.16204781694878684</v>
      </c>
      <c r="BG37" s="93">
        <f>AW37/SUM(Table5[[#This Row],[NWP (Standard)]],Table5[[#This Row],[NWP (Plus)]],Table5[[#This Row],[NWP (Essentials)]],Table5[[#This Row],[NWP (Premium)]])</f>
        <v>0.1726341586846411</v>
      </c>
      <c r="BH37" s="94">
        <f>BA37/SUM(Table5[[#This Row],[NWP (Standard)]],Table5[[#This Row],[NWP (Plus)]],Table5[[#This Row],[NWP (Essentials)]],Table5[[#This Row],[NWP (Premium)]])</f>
        <v>0.13567745727578112</v>
      </c>
      <c r="BI37" s="93">
        <f t="shared" si="74"/>
        <v>0.5345560743508001</v>
      </c>
      <c r="BJ37" s="93">
        <f t="shared" si="74"/>
        <v>0.16849569897233521</v>
      </c>
      <c r="BK37" s="93">
        <f t="shared" si="74"/>
        <v>0.16866211392229122</v>
      </c>
      <c r="BL37" s="94">
        <f t="shared" si="74"/>
        <v>0.12828611275457344</v>
      </c>
      <c r="BM37" s="74">
        <v>0</v>
      </c>
      <c r="BN37" s="75">
        <f t="shared" si="75"/>
        <v>16025.783877533142</v>
      </c>
      <c r="BO37" s="74">
        <v>0</v>
      </c>
      <c r="BP37" s="92">
        <f t="shared" si="76"/>
        <v>315.03345462422163</v>
      </c>
      <c r="BQ37" s="74">
        <v>0</v>
      </c>
      <c r="BR37" s="75">
        <f t="shared" si="77"/>
        <v>5285.5359183634282</v>
      </c>
      <c r="BS37" s="74">
        <v>0</v>
      </c>
      <c r="BT37" s="92">
        <f t="shared" si="78"/>
        <v>361.604775825638</v>
      </c>
      <c r="BU37" s="74">
        <v>0</v>
      </c>
      <c r="BV37" s="75">
        <f t="shared" si="79"/>
        <v>5884.2422449114292</v>
      </c>
      <c r="BW37" s="74">
        <v>0</v>
      </c>
      <c r="BX37" s="92">
        <f t="shared" si="80"/>
        <v>357.37872613708896</v>
      </c>
      <c r="BY37" s="74">
        <v>0</v>
      </c>
      <c r="BZ37" s="75">
        <f t="shared" si="81"/>
        <v>3185.6730612171427</v>
      </c>
      <c r="CA37" s="74">
        <v>0</v>
      </c>
      <c r="CB37" s="92">
        <f t="shared" si="82"/>
        <v>608.26105570757261</v>
      </c>
      <c r="CC37" s="74">
        <v>263075.12071419001</v>
      </c>
      <c r="CD37" s="75">
        <f t="shared" si="83"/>
        <v>242507.8891835743</v>
      </c>
      <c r="CE37" s="74">
        <v>925.60650721073216</v>
      </c>
      <c r="CF37" s="92">
        <f t="shared" si="84"/>
        <v>938.07327050128572</v>
      </c>
      <c r="CG37" s="74">
        <v>80489.961785660009</v>
      </c>
      <c r="CH37" s="75">
        <f t="shared" si="85"/>
        <v>76562.35642866572</v>
      </c>
      <c r="CI37" s="74">
        <v>996.43318582820496</v>
      </c>
      <c r="CJ37" s="92">
        <f t="shared" si="86"/>
        <v>1026.2886984443817</v>
      </c>
      <c r="CK37" s="74">
        <v>85748.250714280017</v>
      </c>
      <c r="CL37" s="75">
        <f t="shared" si="87"/>
        <v>75535.93408165143</v>
      </c>
      <c r="CM37" s="74">
        <v>1264.4679827833052</v>
      </c>
      <c r="CN37" s="92">
        <f t="shared" si="88"/>
        <v>1154.9634278540134</v>
      </c>
      <c r="CO37" s="74">
        <v>67391.672143010001</v>
      </c>
      <c r="CP37" s="75">
        <f t="shared" si="89"/>
        <v>58862.005867365726</v>
      </c>
      <c r="CQ37" s="74">
        <v>1251.4224832887101</v>
      </c>
      <c r="CR37" s="92">
        <f t="shared" si="90"/>
        <v>1259.6168755025294</v>
      </c>
    </row>
    <row r="38" spans="1:96" x14ac:dyDescent="0.25">
      <c r="A38" s="85">
        <f t="shared" si="7"/>
        <v>45387</v>
      </c>
      <c r="B38" s="74">
        <v>1739083.7946443204</v>
      </c>
      <c r="C38" s="75">
        <f t="shared" si="8"/>
        <v>1709710.9238401649</v>
      </c>
      <c r="D38" s="74">
        <v>1153.3475511434867</v>
      </c>
      <c r="E38" s="75">
        <f t="shared" si="8"/>
        <v>1223.9470396610361</v>
      </c>
      <c r="F38" s="96">
        <f t="shared" si="0"/>
        <v>1970322.7068311111</v>
      </c>
      <c r="G38" s="75">
        <v>2123919.6339300768</v>
      </c>
      <c r="H38" s="75">
        <f t="shared" ref="H38" si="441">AVERAGE(G35:G38)</f>
        <v>2113272.6225901274</v>
      </c>
      <c r="I38" s="75">
        <f>Table5[[#This Row],[Average NWP (Boom)]]</f>
        <v>1153.3475511434867</v>
      </c>
      <c r="J38" s="92">
        <f t="shared" ref="J38" si="442">AVERAGE(I35:I38)</f>
        <v>1223.9470396610361</v>
      </c>
      <c r="K38" s="75">
        <f t="shared" si="1"/>
        <v>1739083.7946443197</v>
      </c>
      <c r="L38" s="75">
        <f t="shared" ref="L38" si="443">AVERAGE(K35:K38)</f>
        <v>1709710.9238401649</v>
      </c>
      <c r="M38" s="75">
        <v>1150.1876948705817</v>
      </c>
      <c r="N38" s="75">
        <f t="shared" ref="N38" si="444">AVERAGE(M35:M38)</f>
        <v>1220.5937601338533</v>
      </c>
      <c r="O38" s="96">
        <f t="shared" si="2"/>
        <v>1523295.5603662375</v>
      </c>
      <c r="P38" s="74">
        <v>517584.54535756004</v>
      </c>
      <c r="Q38" s="75">
        <f t="shared" ref="Q38" si="445">AVERAGE(P35:P38)</f>
        <v>502053.46633955499</v>
      </c>
      <c r="R38" s="74">
        <v>993.44442487055665</v>
      </c>
      <c r="S38" s="75">
        <f t="shared" ref="S38" si="446">AVERAGE(R35:R38)</f>
        <v>1020.8376181283558</v>
      </c>
      <c r="T38" s="96">
        <v>360431.43856185849</v>
      </c>
      <c r="U38" s="74">
        <v>1221499.2492867596</v>
      </c>
      <c r="V38" s="75">
        <f t="shared" ref="V38" si="447">AVERAGE(U35:U38)</f>
        <v>1207657.45750061</v>
      </c>
      <c r="W38" s="74">
        <v>1232.5925825295253</v>
      </c>
      <c r="X38" s="75">
        <f t="shared" ref="X38" si="448">AVERAGE(W35:W38)</f>
        <v>1330.6837734254086</v>
      </c>
      <c r="Y38" s="96">
        <v>1162864.1218043792</v>
      </c>
      <c r="Z38" s="74">
        <v>0</v>
      </c>
      <c r="AA38" s="75">
        <f t="shared" ref="AA38" si="449">AVERAGE(Z35:Z38)</f>
        <v>0</v>
      </c>
      <c r="AB38" s="74">
        <v>0</v>
      </c>
      <c r="AC38" s="75">
        <f t="shared" ref="AC38" si="450">AVERAGE(AB35:AB38)</f>
        <v>0</v>
      </c>
      <c r="AD38" s="96" t="e">
        <v>#VALUE!</v>
      </c>
      <c r="AE38" s="74">
        <v>0</v>
      </c>
      <c r="AF38" s="75">
        <f t="shared" ref="AF38" si="451">AVERAGE(AE35:AE38)</f>
        <v>0</v>
      </c>
      <c r="AG38" s="74">
        <v>0</v>
      </c>
      <c r="AH38" s="75">
        <f t="shared" ref="AH38" si="452">AVERAGE(AG35:AG38)</f>
        <v>0</v>
      </c>
      <c r="AI38" s="96" t="e">
        <v>#VALUE!</v>
      </c>
      <c r="AJ38" s="74">
        <v>0</v>
      </c>
      <c r="AK38" s="75">
        <f t="shared" ref="AK38" si="453">AVERAGE(AJ35:AJ38)</f>
        <v>0</v>
      </c>
      <c r="AL38" s="74">
        <v>0</v>
      </c>
      <c r="AM38" s="75">
        <f t="shared" ref="AM38" si="454">AVERAGE(AL35:AL38)</f>
        <v>0</v>
      </c>
      <c r="AN38" s="96">
        <v>447027.14646487357</v>
      </c>
      <c r="AO38" s="74">
        <f t="shared" si="3"/>
        <v>276128.11178558</v>
      </c>
      <c r="AP38" s="75">
        <f t="shared" si="66"/>
        <v>257894.71459172599</v>
      </c>
      <c r="AQ38" s="74">
        <v>916.84339566778146</v>
      </c>
      <c r="AR38" s="92">
        <f t="shared" si="67"/>
        <v>937.81348832682158</v>
      </c>
      <c r="AS38" s="74">
        <f t="shared" si="4"/>
        <v>87390.842500069994</v>
      </c>
      <c r="AT38" s="75">
        <f t="shared" si="68"/>
        <v>78324.843112306291</v>
      </c>
      <c r="AU38" s="74">
        <v>1030.9520850565366</v>
      </c>
      <c r="AV38" s="92">
        <f t="shared" si="69"/>
        <v>1021.6074480284811</v>
      </c>
      <c r="AW38" s="74">
        <f t="shared" si="5"/>
        <v>103076.02107178002</v>
      </c>
      <c r="AX38" s="75">
        <f t="shared" si="70"/>
        <v>83336.741887812008</v>
      </c>
      <c r="AY38" s="74">
        <v>1230.4666303691167</v>
      </c>
      <c r="AZ38" s="92">
        <f t="shared" si="71"/>
        <v>1178.6198930322239</v>
      </c>
      <c r="BA38" s="74">
        <f t="shared" si="6"/>
        <v>50989.570000129999</v>
      </c>
      <c r="BB38" s="75">
        <f t="shared" si="72"/>
        <v>61713.506785768855</v>
      </c>
      <c r="BC38" s="74">
        <v>1022.5930246997888</v>
      </c>
      <c r="BD38" s="92">
        <f t="shared" si="73"/>
        <v>1256.8750392377533</v>
      </c>
      <c r="BE38" s="93">
        <f>AO38/SUM(Table5[[#This Row],[NWP (Standard)]],Table5[[#This Row],[NWP (Plus)]],Table5[[#This Row],[NWP (Essentials)]],Table5[[#This Row],[NWP (Premium)]])</f>
        <v>0.53349373404266542</v>
      </c>
      <c r="BF38" s="93">
        <f>AS38/SUM(Table5[[#This Row],[NWP (Standard)]],Table5[[#This Row],[NWP (Plus)]],Table5[[#This Row],[NWP (Essentials)]],Table5[[#This Row],[NWP (Premium)]])</f>
        <v>0.16884360880539484</v>
      </c>
      <c r="BG38" s="93">
        <f>AW38/SUM(Table5[[#This Row],[NWP (Standard)]],Table5[[#This Row],[NWP (Plus)]],Table5[[#This Row],[NWP (Essentials)]],Table5[[#This Row],[NWP (Premium)]])</f>
        <v>0.19914818167643047</v>
      </c>
      <c r="BH38" s="94">
        <f>BA38/SUM(Table5[[#This Row],[NWP (Standard)]],Table5[[#This Row],[NWP (Plus)]],Table5[[#This Row],[NWP (Essentials)]],Table5[[#This Row],[NWP (Premium)]])</f>
        <v>9.8514475475509344E-2</v>
      </c>
      <c r="BI38" s="93">
        <f t="shared" si="74"/>
        <v>0.53593245969981684</v>
      </c>
      <c r="BJ38" s="93">
        <f t="shared" si="74"/>
        <v>0.16273159021913403</v>
      </c>
      <c r="BK38" s="93">
        <f t="shared" si="74"/>
        <v>0.17319927074962199</v>
      </c>
      <c r="BL38" s="94">
        <f t="shared" si="74"/>
        <v>0.12813667933142708</v>
      </c>
      <c r="BM38" s="74">
        <v>0</v>
      </c>
      <c r="BN38" s="75">
        <f t="shared" si="75"/>
        <v>4756.5520408217135</v>
      </c>
      <c r="BO38" s="74">
        <v>0</v>
      </c>
      <c r="BP38" s="92">
        <f t="shared" si="76"/>
        <v>167.13690935684869</v>
      </c>
      <c r="BQ38" s="74">
        <v>0</v>
      </c>
      <c r="BR38" s="75">
        <f t="shared" si="77"/>
        <v>1510.4957142548571</v>
      </c>
      <c r="BS38" s="74">
        <v>0</v>
      </c>
      <c r="BT38" s="92">
        <f t="shared" si="78"/>
        <v>182.81793376636705</v>
      </c>
      <c r="BU38" s="74">
        <v>0</v>
      </c>
      <c r="BV38" s="75">
        <f t="shared" si="79"/>
        <v>791.66387755199992</v>
      </c>
      <c r="BW38" s="74">
        <v>0</v>
      </c>
      <c r="BX38" s="92">
        <f t="shared" si="80"/>
        <v>172.46963055784823</v>
      </c>
      <c r="BY38" s="74">
        <v>0</v>
      </c>
      <c r="BZ38" s="75">
        <f t="shared" si="81"/>
        <v>1117.309591836</v>
      </c>
      <c r="CA38" s="74">
        <v>0</v>
      </c>
      <c r="CB38" s="92">
        <f t="shared" si="82"/>
        <v>382.95717767375191</v>
      </c>
      <c r="CC38" s="74">
        <v>276128.11178558</v>
      </c>
      <c r="CD38" s="75">
        <f t="shared" si="83"/>
        <v>253138.16255090429</v>
      </c>
      <c r="CE38" s="74">
        <v>916.84339566778146</v>
      </c>
      <c r="CF38" s="92">
        <f t="shared" si="84"/>
        <v>933.3910424342896</v>
      </c>
      <c r="CG38" s="74">
        <v>87390.842500069994</v>
      </c>
      <c r="CH38" s="75">
        <f t="shared" si="85"/>
        <v>76814.347398051425</v>
      </c>
      <c r="CI38" s="74">
        <v>1030.9520850565366</v>
      </c>
      <c r="CJ38" s="92">
        <f t="shared" si="86"/>
        <v>1018.3026491605924</v>
      </c>
      <c r="CK38" s="74">
        <v>103076.02107178002</v>
      </c>
      <c r="CL38" s="75">
        <f t="shared" si="87"/>
        <v>82545.078010260011</v>
      </c>
      <c r="CM38" s="74">
        <v>1230.4666303691167</v>
      </c>
      <c r="CN38" s="92">
        <f t="shared" si="88"/>
        <v>1179.0357148566716</v>
      </c>
      <c r="CO38" s="74">
        <v>50989.570000129999</v>
      </c>
      <c r="CP38" s="75">
        <f t="shared" si="89"/>
        <v>60596.197193932858</v>
      </c>
      <c r="CQ38" s="74">
        <v>1022.5930246997888</v>
      </c>
      <c r="CR38" s="92">
        <f t="shared" si="90"/>
        <v>1255.2897411895015</v>
      </c>
    </row>
    <row r="39" spans="1:96" x14ac:dyDescent="0.25">
      <c r="A39" s="85">
        <f t="shared" si="7"/>
        <v>45394</v>
      </c>
      <c r="B39" s="74">
        <v>1521748.7725008195</v>
      </c>
      <c r="C39" s="75">
        <f t="shared" si="8"/>
        <v>1695542.50848314</v>
      </c>
      <c r="D39" s="74">
        <v>1137.0561855102685</v>
      </c>
      <c r="E39" s="75">
        <f t="shared" si="8"/>
        <v>1189.8766614100082</v>
      </c>
      <c r="F39" s="96">
        <f t="shared" si="0"/>
        <v>1989487.4160192488</v>
      </c>
      <c r="G39" s="75">
        <v>1871820.6810721287</v>
      </c>
      <c r="H39" s="75">
        <f t="shared" ref="H39" si="455">AVERAGE(G36:G39)</f>
        <v>2083881.4917866893</v>
      </c>
      <c r="I39" s="75">
        <f>Table5[[#This Row],[Average NWP (Boom)]]</f>
        <v>1137.0561855102685</v>
      </c>
      <c r="J39" s="92">
        <f t="shared" ref="J39" si="456">AVERAGE(I36:I39)</f>
        <v>1189.8766614100082</v>
      </c>
      <c r="K39" s="75">
        <f t="shared" si="1"/>
        <v>1521748.77250082</v>
      </c>
      <c r="L39" s="75">
        <f t="shared" ref="L39" si="457">AVERAGE(K36:K39)</f>
        <v>1695542.5084831398</v>
      </c>
      <c r="M39" s="75">
        <v>1133.9409631153651</v>
      </c>
      <c r="N39" s="75">
        <f t="shared" ref="N39" si="458">AVERAGE(M36:M39)</f>
        <v>1186.6167253839496</v>
      </c>
      <c r="O39" s="96">
        <f t="shared" si="2"/>
        <v>1551235.7034911516</v>
      </c>
      <c r="P39" s="74">
        <v>444127.71535676991</v>
      </c>
      <c r="Q39" s="75">
        <f t="shared" ref="Q39" si="459">AVERAGE(P36:P39)</f>
        <v>483843.90723226999</v>
      </c>
      <c r="R39" s="74">
        <v>953.06376686002125</v>
      </c>
      <c r="S39" s="75">
        <f t="shared" ref="S39" si="460">AVERAGE(R36:R39)</f>
        <v>996.41760873263445</v>
      </c>
      <c r="T39" s="96">
        <v>367042.43792544591</v>
      </c>
      <c r="U39" s="74">
        <v>1077621.05714405</v>
      </c>
      <c r="V39" s="75">
        <f t="shared" ref="V39" si="461">AVERAGE(U36:U39)</f>
        <v>1211698.6012508699</v>
      </c>
      <c r="W39" s="74">
        <v>1230.1610241370433</v>
      </c>
      <c r="X39" s="75">
        <f t="shared" ref="X39" si="462">AVERAGE(W36:W39)</f>
        <v>1284.8763323414903</v>
      </c>
      <c r="Y39" s="96">
        <v>1184193.2655657057</v>
      </c>
      <c r="Z39" s="74">
        <v>0</v>
      </c>
      <c r="AA39" s="75">
        <f t="shared" ref="AA39" si="463">AVERAGE(Z36:Z39)</f>
        <v>0</v>
      </c>
      <c r="AB39" s="74">
        <v>0</v>
      </c>
      <c r="AC39" s="75">
        <f t="shared" ref="AC39" si="464">AVERAGE(AB36:AB39)</f>
        <v>0</v>
      </c>
      <c r="AD39" s="96" t="e">
        <v>#VALUE!</v>
      </c>
      <c r="AE39" s="74">
        <v>0</v>
      </c>
      <c r="AF39" s="75">
        <f t="shared" ref="AF39" si="465">AVERAGE(AE36:AE39)</f>
        <v>0</v>
      </c>
      <c r="AG39" s="74">
        <v>0</v>
      </c>
      <c r="AH39" s="75">
        <f t="shared" ref="AH39" si="466">AVERAGE(AG36:AG39)</f>
        <v>0</v>
      </c>
      <c r="AI39" s="96" t="e">
        <v>#VALUE!</v>
      </c>
      <c r="AJ39" s="74">
        <v>0</v>
      </c>
      <c r="AK39" s="75">
        <f t="shared" ref="AK39" si="467">AVERAGE(AJ36:AJ39)</f>
        <v>0</v>
      </c>
      <c r="AL39" s="74">
        <v>0</v>
      </c>
      <c r="AM39" s="75">
        <f t="shared" ref="AM39" si="468">AVERAGE(AL36:AL39)</f>
        <v>0</v>
      </c>
      <c r="AN39" s="96">
        <v>438251.71252809721</v>
      </c>
      <c r="AO39" s="74">
        <f t="shared" si="3"/>
        <v>224418.48785693999</v>
      </c>
      <c r="AP39" s="75">
        <f t="shared" si="66"/>
        <v>257167.89755093426</v>
      </c>
      <c r="AQ39" s="74">
        <v>862.20315003086978</v>
      </c>
      <c r="AR39" s="92">
        <f t="shared" si="67"/>
        <v>927.63244562836644</v>
      </c>
      <c r="AS39" s="74">
        <f t="shared" si="4"/>
        <v>58329.925714310004</v>
      </c>
      <c r="AT39" s="75">
        <f t="shared" si="68"/>
        <v>74077.885357235718</v>
      </c>
      <c r="AU39" s="74">
        <v>991.35886036218358</v>
      </c>
      <c r="AV39" s="92">
        <f t="shared" si="69"/>
        <v>1009.9302699329621</v>
      </c>
      <c r="AW39" s="74">
        <f t="shared" si="5"/>
        <v>93888.884642670018</v>
      </c>
      <c r="AX39" s="75">
        <f t="shared" si="70"/>
        <v>84001.660663300005</v>
      </c>
      <c r="AY39" s="74">
        <v>1120.7954897185077</v>
      </c>
      <c r="AZ39" s="92">
        <f t="shared" si="71"/>
        <v>1160.2109736706955</v>
      </c>
      <c r="BA39" s="74">
        <f t="shared" si="6"/>
        <v>67490.417142849998</v>
      </c>
      <c r="BB39" s="75">
        <f t="shared" si="72"/>
        <v>62236.485000055713</v>
      </c>
      <c r="BC39" s="74">
        <v>1091.5456512080598</v>
      </c>
      <c r="BD39" s="92">
        <f t="shared" si="73"/>
        <v>1251.0450873648576</v>
      </c>
      <c r="BE39" s="93">
        <f>AO39/SUM(Table5[[#This Row],[NWP (Standard)]],Table5[[#This Row],[NWP (Plus)]],Table5[[#This Row],[NWP (Essentials)]],Table5[[#This Row],[NWP (Premium)]])</f>
        <v>0.50530169610483222</v>
      </c>
      <c r="BF39" s="93">
        <f>AS39/SUM(Table5[[#This Row],[NWP (Standard)]],Table5[[#This Row],[NWP (Plus)]],Table5[[#This Row],[NWP (Essentials)]],Table5[[#This Row],[NWP (Premium)]])</f>
        <v>0.13133592815177789</v>
      </c>
      <c r="BG39" s="93">
        <f>AW39/SUM(Table5[[#This Row],[NWP (Standard)]],Table5[[#This Row],[NWP (Plus)]],Table5[[#This Row],[NWP (Essentials)]],Table5[[#This Row],[NWP (Premium)]])</f>
        <v>0.21140064309485532</v>
      </c>
      <c r="BH39" s="94">
        <f>BA39/SUM(Table5[[#This Row],[NWP (Standard)]],Table5[[#This Row],[NWP (Plus)]],Table5[[#This Row],[NWP (Essentials)]],Table5[[#This Row],[NWP (Premium)]])</f>
        <v>0.15196173264853471</v>
      </c>
      <c r="BI39" s="93">
        <f t="shared" si="74"/>
        <v>0.5384529031674602</v>
      </c>
      <c r="BJ39" s="93">
        <f t="shared" si="74"/>
        <v>0.15476408907705833</v>
      </c>
      <c r="BK39" s="93">
        <f t="shared" si="74"/>
        <v>0.17631267050665214</v>
      </c>
      <c r="BL39" s="94">
        <f t="shared" si="74"/>
        <v>0.13047033724882931</v>
      </c>
      <c r="BM39" s="74">
        <v>0</v>
      </c>
      <c r="BN39" s="75">
        <f t="shared" si="75"/>
        <v>0</v>
      </c>
      <c r="BO39" s="74">
        <v>0</v>
      </c>
      <c r="BP39" s="92">
        <f t="shared" si="76"/>
        <v>0</v>
      </c>
      <c r="BQ39" s="74">
        <v>0</v>
      </c>
      <c r="BR39" s="75">
        <f t="shared" si="77"/>
        <v>0</v>
      </c>
      <c r="BS39" s="74">
        <v>0</v>
      </c>
      <c r="BT39" s="92">
        <f t="shared" si="78"/>
        <v>0</v>
      </c>
      <c r="BU39" s="74">
        <v>0</v>
      </c>
      <c r="BV39" s="75">
        <f t="shared" si="79"/>
        <v>0</v>
      </c>
      <c r="BW39" s="74">
        <v>0</v>
      </c>
      <c r="BX39" s="92">
        <f t="shared" si="80"/>
        <v>0</v>
      </c>
      <c r="BY39" s="74">
        <v>0</v>
      </c>
      <c r="BZ39" s="75">
        <f t="shared" si="81"/>
        <v>198.41877550285716</v>
      </c>
      <c r="CA39" s="74">
        <v>0</v>
      </c>
      <c r="CB39" s="92">
        <f t="shared" si="82"/>
        <v>216.1347377155692</v>
      </c>
      <c r="CC39" s="74">
        <v>224418.48785693999</v>
      </c>
      <c r="CD39" s="75">
        <f t="shared" si="83"/>
        <v>257167.89755093426</v>
      </c>
      <c r="CE39" s="74">
        <v>862.20315003086978</v>
      </c>
      <c r="CF39" s="92">
        <f t="shared" si="84"/>
        <v>927.63244562836644</v>
      </c>
      <c r="CG39" s="74">
        <v>58329.925714310004</v>
      </c>
      <c r="CH39" s="75">
        <f t="shared" si="85"/>
        <v>74077.885357235718</v>
      </c>
      <c r="CI39" s="74">
        <v>991.35886036218358</v>
      </c>
      <c r="CJ39" s="92">
        <f t="shared" si="86"/>
        <v>1009.9302699329621</v>
      </c>
      <c r="CK39" s="74">
        <v>93888.884642670018</v>
      </c>
      <c r="CL39" s="75">
        <f t="shared" si="87"/>
        <v>84001.660663300005</v>
      </c>
      <c r="CM39" s="74">
        <v>1120.7954897185077</v>
      </c>
      <c r="CN39" s="92">
        <f t="shared" si="88"/>
        <v>1160.2109736706955</v>
      </c>
      <c r="CO39" s="74">
        <v>67490.417142849998</v>
      </c>
      <c r="CP39" s="75">
        <f t="shared" si="89"/>
        <v>62038.066224552858</v>
      </c>
      <c r="CQ39" s="74">
        <v>1091.5456512080598</v>
      </c>
      <c r="CR39" s="92">
        <f t="shared" si="90"/>
        <v>1250.0075039782364</v>
      </c>
    </row>
    <row r="40" spans="1:96" x14ac:dyDescent="0.25">
      <c r="A40" s="85">
        <f t="shared" si="7"/>
        <v>45401</v>
      </c>
      <c r="B40" s="74">
        <v>1451261.1732149096</v>
      </c>
      <c r="C40" s="75">
        <f t="shared" si="8"/>
        <v>1642892.5711618699</v>
      </c>
      <c r="D40" s="74">
        <v>1112.5750416055246</v>
      </c>
      <c r="E40" s="75">
        <f t="shared" si="8"/>
        <v>1155.0177030963068</v>
      </c>
      <c r="F40" s="96">
        <f t="shared" si="0"/>
        <v>1989487.4160192488</v>
      </c>
      <c r="G40" s="75">
        <v>1812313.3589291107</v>
      </c>
      <c r="H40" s="75">
        <f t="shared" ref="H40" si="469">AVERAGE(G37:G40)</f>
        <v>2015177.74375111</v>
      </c>
      <c r="I40" s="75">
        <f>Table5[[#This Row],[Average NWP (Boom)]]</f>
        <v>1112.5750416055246</v>
      </c>
      <c r="J40" s="92">
        <f t="shared" ref="J40" si="470">AVERAGE(I37:I40)</f>
        <v>1155.0177030963068</v>
      </c>
      <c r="K40" s="75">
        <f t="shared" si="1"/>
        <v>1451261.1732149101</v>
      </c>
      <c r="L40" s="75">
        <f t="shared" ref="L40" si="471">AVERAGE(K37:K40)</f>
        <v>1642892.5711618699</v>
      </c>
      <c r="M40" s="75">
        <v>1109.5268908370872</v>
      </c>
      <c r="N40" s="75">
        <f t="shared" ref="N40" si="472">AVERAGE(M37:M40)</f>
        <v>1151.8532710646732</v>
      </c>
      <c r="O40" s="96">
        <f t="shared" si="2"/>
        <v>1551235.7034911516</v>
      </c>
      <c r="P40" s="74">
        <v>369908.36964304006</v>
      </c>
      <c r="Q40" s="75">
        <f t="shared" ref="Q40" si="473">AVERAGE(P37:P40)</f>
        <v>457081.4089286275</v>
      </c>
      <c r="R40" s="74">
        <v>880.73421343580969</v>
      </c>
      <c r="S40" s="75">
        <f t="shared" ref="S40" si="474">AVERAGE(R37:R40)</f>
        <v>961.27013272455793</v>
      </c>
      <c r="T40" s="96">
        <v>367042.43792544591</v>
      </c>
      <c r="U40" s="74">
        <v>1081352.8035718701</v>
      </c>
      <c r="V40" s="75">
        <f t="shared" ref="V40" si="475">AVERAGE(U37:U40)</f>
        <v>1185811.1622332423</v>
      </c>
      <c r="W40" s="74">
        <v>1217.7396436620159</v>
      </c>
      <c r="X40" s="75">
        <f t="shared" ref="X40" si="476">AVERAGE(W37:W40)</f>
        <v>1246.4574933604722</v>
      </c>
      <c r="Y40" s="96">
        <v>1184193.2655657057</v>
      </c>
      <c r="Z40" s="74">
        <v>0</v>
      </c>
      <c r="AA40" s="75">
        <f t="shared" ref="AA40" si="477">AVERAGE(Z37:Z40)</f>
        <v>0</v>
      </c>
      <c r="AB40" s="74">
        <v>0</v>
      </c>
      <c r="AC40" s="75">
        <f t="shared" ref="AC40" si="478">AVERAGE(AB37:AB40)</f>
        <v>0</v>
      </c>
      <c r="AD40" s="96" t="e">
        <v>#VALUE!</v>
      </c>
      <c r="AE40" s="74">
        <v>0</v>
      </c>
      <c r="AF40" s="75">
        <f t="shared" ref="AF40" si="479">AVERAGE(AE37:AE40)</f>
        <v>0</v>
      </c>
      <c r="AG40" s="74">
        <v>0</v>
      </c>
      <c r="AH40" s="75">
        <f t="shared" ref="AH40" si="480">AVERAGE(AG37:AG40)</f>
        <v>0</v>
      </c>
      <c r="AI40" s="96" t="e">
        <v>#VALUE!</v>
      </c>
      <c r="AJ40" s="74">
        <v>0</v>
      </c>
      <c r="AK40" s="75">
        <f t="shared" ref="AK40" si="481">AVERAGE(AJ37:AJ40)</f>
        <v>0</v>
      </c>
      <c r="AL40" s="74">
        <v>0</v>
      </c>
      <c r="AM40" s="75">
        <f t="shared" ref="AM40" si="482">AVERAGE(AL37:AL40)</f>
        <v>0</v>
      </c>
      <c r="AN40" s="96">
        <v>438251.71252809721</v>
      </c>
      <c r="AO40" s="74">
        <f t="shared" si="3"/>
        <v>223311.93892870002</v>
      </c>
      <c r="AP40" s="75">
        <f t="shared" si="66"/>
        <v>255498.64734687569</v>
      </c>
      <c r="AQ40" s="74">
        <v>857.95185157189417</v>
      </c>
      <c r="AR40" s="92">
        <f t="shared" si="67"/>
        <v>928.21146558947714</v>
      </c>
      <c r="AS40" s="74">
        <f t="shared" si="4"/>
        <v>40677.182500070005</v>
      </c>
      <c r="AT40" s="75">
        <f t="shared" si="68"/>
        <v>70116.402857234294</v>
      </c>
      <c r="AU40" s="74">
        <v>927.02120455280124</v>
      </c>
      <c r="AV40" s="92">
        <f t="shared" si="69"/>
        <v>1013.400455400478</v>
      </c>
      <c r="AW40" s="74">
        <f t="shared" si="5"/>
        <v>59707.633214220004</v>
      </c>
      <c r="AX40" s="75">
        <f t="shared" si="70"/>
        <v>82341.124846961437</v>
      </c>
      <c r="AY40" s="74">
        <v>1032.2700891716363</v>
      </c>
      <c r="AZ40" s="92">
        <f t="shared" si="71"/>
        <v>1155.1187369036086</v>
      </c>
      <c r="BA40" s="74">
        <f t="shared" si="6"/>
        <v>46211.615000049998</v>
      </c>
      <c r="BB40" s="75">
        <f t="shared" si="72"/>
        <v>61985.295663317142</v>
      </c>
      <c r="BC40" s="74">
        <v>812.95736815861119</v>
      </c>
      <c r="BD40" s="92">
        <f t="shared" si="73"/>
        <v>1194.9899151308127</v>
      </c>
      <c r="BE40" s="93">
        <f>AO40/SUM(Table5[[#This Row],[NWP (Standard)]],Table5[[#This Row],[NWP (Plus)]],Table5[[#This Row],[NWP (Essentials)]],Table5[[#This Row],[NWP (Premium)]])</f>
        <v>0.60369528579251963</v>
      </c>
      <c r="BF40" s="93">
        <f>AS40/SUM(Table5[[#This Row],[NWP (Standard)]],Table5[[#This Row],[NWP (Plus)]],Table5[[#This Row],[NWP (Essentials)]],Table5[[#This Row],[NWP (Premium)]])</f>
        <v>0.10996556401068544</v>
      </c>
      <c r="BG40" s="93">
        <f>AW40/SUM(Table5[[#This Row],[NWP (Standard)]],Table5[[#This Row],[NWP (Plus)]],Table5[[#This Row],[NWP (Essentials)]],Table5[[#This Row],[NWP (Premium)]])</f>
        <v>0.16141195526837529</v>
      </c>
      <c r="BH40" s="94">
        <f>BA40/SUM(Table5[[#This Row],[NWP (Standard)]],Table5[[#This Row],[NWP (Plus)]],Table5[[#This Row],[NWP (Essentials)]],Table5[[#This Row],[NWP (Premium)]])</f>
        <v>0.12492719492841974</v>
      </c>
      <c r="BI40" s="93">
        <f t="shared" si="74"/>
        <v>0.5452758461816839</v>
      </c>
      <c r="BJ40" s="93">
        <f t="shared" si="74"/>
        <v>0.14735450648435242</v>
      </c>
      <c r="BK40" s="93">
        <f t="shared" si="74"/>
        <v>0.17526443984051301</v>
      </c>
      <c r="BL40" s="94">
        <f t="shared" si="74"/>
        <v>0.13210520749345062</v>
      </c>
      <c r="BM40" s="74">
        <v>0</v>
      </c>
      <c r="BN40" s="75">
        <f t="shared" si="75"/>
        <v>0</v>
      </c>
      <c r="BO40" s="74">
        <v>0</v>
      </c>
      <c r="BP40" s="92">
        <f t="shared" si="76"/>
        <v>0</v>
      </c>
      <c r="BQ40" s="74">
        <v>0</v>
      </c>
      <c r="BR40" s="75">
        <f t="shared" si="77"/>
        <v>0</v>
      </c>
      <c r="BS40" s="74">
        <v>0</v>
      </c>
      <c r="BT40" s="92">
        <f t="shared" si="78"/>
        <v>0</v>
      </c>
      <c r="BU40" s="74">
        <v>0</v>
      </c>
      <c r="BV40" s="75">
        <f t="shared" si="79"/>
        <v>0</v>
      </c>
      <c r="BW40" s="74">
        <v>0</v>
      </c>
      <c r="BX40" s="92">
        <f t="shared" si="80"/>
        <v>0</v>
      </c>
      <c r="BY40" s="74">
        <v>0</v>
      </c>
      <c r="BZ40" s="75">
        <f t="shared" si="81"/>
        <v>0</v>
      </c>
      <c r="CA40" s="74">
        <v>0</v>
      </c>
      <c r="CB40" s="92">
        <f t="shared" si="82"/>
        <v>0</v>
      </c>
      <c r="CC40" s="74">
        <v>223311.93892870002</v>
      </c>
      <c r="CD40" s="75">
        <f t="shared" si="83"/>
        <v>255498.64734687569</v>
      </c>
      <c r="CE40" s="74">
        <v>857.95185157189417</v>
      </c>
      <c r="CF40" s="92">
        <f t="shared" si="84"/>
        <v>928.21146558947714</v>
      </c>
      <c r="CG40" s="74">
        <v>40677.182500070005</v>
      </c>
      <c r="CH40" s="75">
        <f t="shared" si="85"/>
        <v>70116.402857234294</v>
      </c>
      <c r="CI40" s="74">
        <v>927.02120455280124</v>
      </c>
      <c r="CJ40" s="92">
        <f t="shared" si="86"/>
        <v>1013.400455400478</v>
      </c>
      <c r="CK40" s="74">
        <v>59707.633214220004</v>
      </c>
      <c r="CL40" s="75">
        <f t="shared" si="87"/>
        <v>82341.124846961437</v>
      </c>
      <c r="CM40" s="74">
        <v>1032.2700891716363</v>
      </c>
      <c r="CN40" s="92">
        <f t="shared" si="88"/>
        <v>1155.1187369036086</v>
      </c>
      <c r="CO40" s="74">
        <v>46211.615000049998</v>
      </c>
      <c r="CP40" s="75">
        <f t="shared" si="89"/>
        <v>61985.295663317142</v>
      </c>
      <c r="CQ40" s="74">
        <v>812.95736815861119</v>
      </c>
      <c r="CR40" s="92">
        <f t="shared" si="90"/>
        <v>1194.9899151308127</v>
      </c>
    </row>
    <row r="41" spans="1:96" x14ac:dyDescent="0.25">
      <c r="A41" s="85">
        <f t="shared" si="7"/>
        <v>45408</v>
      </c>
      <c r="B41" s="74">
        <v>1736331.4703574402</v>
      </c>
      <c r="C41" s="75">
        <f t="shared" si="8"/>
        <v>1612106.3026793725</v>
      </c>
      <c r="D41" s="74">
        <v>1133.5296951247979</v>
      </c>
      <c r="E41" s="75">
        <f t="shared" si="8"/>
        <v>1134.1271183460194</v>
      </c>
      <c r="F41" s="96">
        <f t="shared" si="0"/>
        <v>1989487.4160192488</v>
      </c>
      <c r="G41" s="75">
        <v>2088053.5103574703</v>
      </c>
      <c r="H41" s="75">
        <f t="shared" ref="H41" si="483">AVERAGE(G38:G41)</f>
        <v>1974026.7960721967</v>
      </c>
      <c r="I41" s="75">
        <f>Table5[[#This Row],[Average NWP (Boom)]]</f>
        <v>1133.5296951247979</v>
      </c>
      <c r="J41" s="92">
        <f t="shared" ref="J41" si="484">AVERAGE(I38:I41)</f>
        <v>1134.1271183460194</v>
      </c>
      <c r="K41" s="75">
        <f t="shared" si="1"/>
        <v>1736331.4703574402</v>
      </c>
      <c r="L41" s="75">
        <f t="shared" ref="L41" si="485">AVERAGE(K38:K41)</f>
        <v>1612106.3026793725</v>
      </c>
      <c r="M41" s="75">
        <v>1130.4241343472918</v>
      </c>
      <c r="N41" s="75">
        <f t="shared" ref="N41" si="486">AVERAGE(M38:M41)</f>
        <v>1131.0199207925816</v>
      </c>
      <c r="O41" s="96">
        <f t="shared" si="2"/>
        <v>1551235.7034911516</v>
      </c>
      <c r="P41" s="74">
        <v>420772.27535733994</v>
      </c>
      <c r="Q41" s="75">
        <f t="shared" ref="Q41" si="487">AVERAGE(P38:P41)</f>
        <v>438098.2264286775</v>
      </c>
      <c r="R41" s="74">
        <v>904.8866136716988</v>
      </c>
      <c r="S41" s="75">
        <f t="shared" ref="S41" si="488">AVERAGE(R38:R41)</f>
        <v>933.03225470952157</v>
      </c>
      <c r="T41" s="96">
        <v>367042.43792544591</v>
      </c>
      <c r="U41" s="74">
        <v>1315559.1950001002</v>
      </c>
      <c r="V41" s="75">
        <f t="shared" ref="V41" si="489">AVERAGE(U38:U41)</f>
        <v>1174008.0762506949</v>
      </c>
      <c r="W41" s="74">
        <v>1228.3465873016808</v>
      </c>
      <c r="X41" s="75">
        <f t="shared" ref="X41" si="490">AVERAGE(W38:W41)</f>
        <v>1227.2099594075662</v>
      </c>
      <c r="Y41" s="96">
        <v>1184193.2655657057</v>
      </c>
      <c r="Z41" s="74">
        <v>0</v>
      </c>
      <c r="AA41" s="75">
        <f t="shared" ref="AA41" si="491">AVERAGE(Z38:Z41)</f>
        <v>0</v>
      </c>
      <c r="AB41" s="74">
        <v>0</v>
      </c>
      <c r="AC41" s="75">
        <f t="shared" ref="AC41" si="492">AVERAGE(AB38:AB41)</f>
        <v>0</v>
      </c>
      <c r="AD41" s="96" t="e">
        <v>#VALUE!</v>
      </c>
      <c r="AE41" s="74">
        <v>0</v>
      </c>
      <c r="AF41" s="75">
        <f t="shared" ref="AF41" si="493">AVERAGE(AE38:AE41)</f>
        <v>0</v>
      </c>
      <c r="AG41" s="74">
        <v>0</v>
      </c>
      <c r="AH41" s="75">
        <f t="shared" ref="AH41" si="494">AVERAGE(AG38:AG41)</f>
        <v>0</v>
      </c>
      <c r="AI41" s="96" t="e">
        <v>#VALUE!</v>
      </c>
      <c r="AJ41" s="74">
        <v>0</v>
      </c>
      <c r="AK41" s="75">
        <f t="shared" ref="AK41" si="495">AVERAGE(AJ38:AJ41)</f>
        <v>0</v>
      </c>
      <c r="AL41" s="74">
        <v>0</v>
      </c>
      <c r="AM41" s="75">
        <f t="shared" ref="AM41" si="496">AVERAGE(AL38:AL41)</f>
        <v>0</v>
      </c>
      <c r="AN41" s="96">
        <v>438251.71252809721</v>
      </c>
      <c r="AO41" s="74">
        <f t="shared" si="3"/>
        <v>232701.49178585998</v>
      </c>
      <c r="AP41" s="75">
        <f t="shared" si="66"/>
        <v>254173.7400510014</v>
      </c>
      <c r="AQ41" s="74">
        <v>845.43761446394205</v>
      </c>
      <c r="AR41" s="92">
        <f t="shared" si="67"/>
        <v>913.05515188579852</v>
      </c>
      <c r="AS41" s="74">
        <f t="shared" si="4"/>
        <v>51075.458214279992</v>
      </c>
      <c r="AT41" s="75">
        <f t="shared" si="68"/>
        <v>67130.33928582001</v>
      </c>
      <c r="AU41" s="74">
        <v>931.19591646853348</v>
      </c>
      <c r="AV41" s="92">
        <f t="shared" si="69"/>
        <v>977.39883057620796</v>
      </c>
      <c r="AW41" s="74">
        <f t="shared" si="5"/>
        <v>89836.855714379999</v>
      </c>
      <c r="AX41" s="75">
        <f t="shared" si="70"/>
        <v>83016.537857169998</v>
      </c>
      <c r="AY41" s="74">
        <v>1012.1759579839446</v>
      </c>
      <c r="AZ41" s="92">
        <f t="shared" si="71"/>
        <v>1117.7477533373351</v>
      </c>
      <c r="BA41" s="74">
        <f t="shared" si="6"/>
        <v>47158.469642819997</v>
      </c>
      <c r="BB41" s="75">
        <f t="shared" si="72"/>
        <v>58968.272193918572</v>
      </c>
      <c r="BC41" s="74">
        <v>1050.8450194845188</v>
      </c>
      <c r="BD41" s="92">
        <f t="shared" si="73"/>
        <v>1132.485756907746</v>
      </c>
      <c r="BE41" s="93">
        <f>AO41/SUM(Table5[[#This Row],[NWP (Standard)]],Table5[[#This Row],[NWP (Plus)]],Table5[[#This Row],[NWP (Essentials)]],Table5[[#This Row],[NWP (Premium)]])</f>
        <v>0.55303427866828614</v>
      </c>
      <c r="BF41" s="93">
        <f>AS41/SUM(Table5[[#This Row],[NWP (Standard)]],Table5[[#This Row],[NWP (Plus)]],Table5[[#This Row],[NWP (Essentials)]],Table5[[#This Row],[NWP (Premium)]])</f>
        <v>0.12138503700345814</v>
      </c>
      <c r="BG41" s="93">
        <f>AW41/SUM(Table5[[#This Row],[NWP (Standard)]],Table5[[#This Row],[NWP (Plus)]],Table5[[#This Row],[NWP (Essentials)]],Table5[[#This Row],[NWP (Premium)]])</f>
        <v>0.21350469357346852</v>
      </c>
      <c r="BH41" s="94">
        <f>BA41/SUM(Table5[[#This Row],[NWP (Standard)]],Table5[[#This Row],[NWP (Plus)]],Table5[[#This Row],[NWP (Essentials)]],Table5[[#This Row],[NWP (Premium)]])</f>
        <v>0.11207599075478716</v>
      </c>
      <c r="BI41" s="93">
        <f t="shared" si="74"/>
        <v>0.55031328462731355</v>
      </c>
      <c r="BJ41" s="93">
        <f t="shared" si="74"/>
        <v>0.14269293646176687</v>
      </c>
      <c r="BK41" s="93">
        <f t="shared" si="74"/>
        <v>0.17974890254914841</v>
      </c>
      <c r="BL41" s="94">
        <f t="shared" si="74"/>
        <v>0.12724487636177109</v>
      </c>
      <c r="BM41" s="74">
        <v>0</v>
      </c>
      <c r="BN41" s="75">
        <f t="shared" si="75"/>
        <v>0</v>
      </c>
      <c r="BO41" s="74">
        <v>0</v>
      </c>
      <c r="BP41" s="92">
        <f t="shared" si="76"/>
        <v>0</v>
      </c>
      <c r="BQ41" s="74">
        <v>0</v>
      </c>
      <c r="BR41" s="75">
        <f t="shared" si="77"/>
        <v>0</v>
      </c>
      <c r="BS41" s="74">
        <v>0</v>
      </c>
      <c r="BT41" s="92">
        <f t="shared" si="78"/>
        <v>0</v>
      </c>
      <c r="BU41" s="74">
        <v>0</v>
      </c>
      <c r="BV41" s="75">
        <f t="shared" si="79"/>
        <v>0</v>
      </c>
      <c r="BW41" s="74">
        <v>0</v>
      </c>
      <c r="BX41" s="92">
        <f t="shared" si="80"/>
        <v>0</v>
      </c>
      <c r="BY41" s="74">
        <v>0</v>
      </c>
      <c r="BZ41" s="75">
        <f t="shared" si="81"/>
        <v>0</v>
      </c>
      <c r="CA41" s="74">
        <v>0</v>
      </c>
      <c r="CB41" s="92">
        <f t="shared" si="82"/>
        <v>0</v>
      </c>
      <c r="CC41" s="74">
        <v>232701.49178585998</v>
      </c>
      <c r="CD41" s="75">
        <f t="shared" si="83"/>
        <v>254173.7400510014</v>
      </c>
      <c r="CE41" s="74">
        <v>845.43761446394205</v>
      </c>
      <c r="CF41" s="92">
        <f t="shared" si="84"/>
        <v>913.05515188579852</v>
      </c>
      <c r="CG41" s="74">
        <v>51075.458214279992</v>
      </c>
      <c r="CH41" s="75">
        <f t="shared" si="85"/>
        <v>67130.33928582001</v>
      </c>
      <c r="CI41" s="74">
        <v>931.19591646853348</v>
      </c>
      <c r="CJ41" s="92">
        <f t="shared" si="86"/>
        <v>977.39883057620796</v>
      </c>
      <c r="CK41" s="74">
        <v>89836.855714379999</v>
      </c>
      <c r="CL41" s="75">
        <f t="shared" si="87"/>
        <v>83016.537857169998</v>
      </c>
      <c r="CM41" s="74">
        <v>1012.1759579839446</v>
      </c>
      <c r="CN41" s="92">
        <f t="shared" si="88"/>
        <v>1117.7477533373351</v>
      </c>
      <c r="CO41" s="74">
        <v>47158.469642819997</v>
      </c>
      <c r="CP41" s="75">
        <f t="shared" si="89"/>
        <v>58968.272193918572</v>
      </c>
      <c r="CQ41" s="74">
        <v>1050.8450194845188</v>
      </c>
      <c r="CR41" s="92">
        <f t="shared" si="90"/>
        <v>1132.485756907746</v>
      </c>
    </row>
    <row r="42" spans="1:96" x14ac:dyDescent="0.25">
      <c r="A42" s="85">
        <f t="shared" si="7"/>
        <v>45415</v>
      </c>
      <c r="B42" s="74">
        <v>1662057.6549988796</v>
      </c>
      <c r="C42" s="75">
        <f t="shared" si="8"/>
        <v>1592849.7677680124</v>
      </c>
      <c r="D42" s="74">
        <v>1048.8506906305111</v>
      </c>
      <c r="E42" s="75">
        <f t="shared" si="8"/>
        <v>1108.0029032177754</v>
      </c>
      <c r="F42" s="96">
        <f t="shared" si="0"/>
        <v>1953167.6089229786</v>
      </c>
      <c r="G42" s="75">
        <v>2076105.7124988679</v>
      </c>
      <c r="H42" s="75">
        <f t="shared" ref="H42" si="497">AVERAGE(G39:G42)</f>
        <v>1962073.3157143944</v>
      </c>
      <c r="I42" s="75">
        <f>Table5[[#This Row],[Average NWP (Boom)]]</f>
        <v>1048.8506906305111</v>
      </c>
      <c r="J42" s="92">
        <f t="shared" ref="J42" si="498">AVERAGE(I39:I42)</f>
        <v>1108.0029032177754</v>
      </c>
      <c r="K42" s="75">
        <f t="shared" si="1"/>
        <v>1662057.6549988801</v>
      </c>
      <c r="L42" s="75">
        <f t="shared" ref="L42" si="499">AVERAGE(K39:K42)</f>
        <v>1592849.7677680126</v>
      </c>
      <c r="M42" s="75">
        <v>1045.9771271232726</v>
      </c>
      <c r="N42" s="75">
        <f t="shared" ref="N42" si="500">AVERAGE(M39:M42)</f>
        <v>1104.9672788557541</v>
      </c>
      <c r="O42" s="96">
        <f t="shared" si="2"/>
        <v>1537633.5933662248</v>
      </c>
      <c r="P42" s="74">
        <v>478500.11214215</v>
      </c>
      <c r="Q42" s="75">
        <f t="shared" ref="Q42" si="501">AVERAGE(P39:P42)</f>
        <v>428327.11812482501</v>
      </c>
      <c r="R42" s="74">
        <v>873.17538712071166</v>
      </c>
      <c r="S42" s="75">
        <f t="shared" ref="S42" si="502">AVERAGE(R39:R42)</f>
        <v>902.96499527206026</v>
      </c>
      <c r="T42" s="96">
        <v>363824.00268059701</v>
      </c>
      <c r="U42" s="74">
        <v>1183557.5428567301</v>
      </c>
      <c r="V42" s="75">
        <f t="shared" ref="V42" si="503">AVERAGE(U39:U42)</f>
        <v>1164522.6496431874</v>
      </c>
      <c r="W42" s="74">
        <v>1136.9428845885975</v>
      </c>
      <c r="X42" s="75">
        <f t="shared" ref="X42" si="504">AVERAGE(W39:W42)</f>
        <v>1203.2975349223343</v>
      </c>
      <c r="Y42" s="96">
        <v>1173809.5906856277</v>
      </c>
      <c r="Z42" s="74">
        <v>0</v>
      </c>
      <c r="AA42" s="75">
        <f t="shared" ref="AA42" si="505">AVERAGE(Z39:Z42)</f>
        <v>0</v>
      </c>
      <c r="AB42" s="74">
        <v>0</v>
      </c>
      <c r="AC42" s="75">
        <f t="shared" ref="AC42" si="506">AVERAGE(AB39:AB42)</f>
        <v>0</v>
      </c>
      <c r="AD42" s="96" t="e">
        <v>#VALUE!</v>
      </c>
      <c r="AE42" s="74">
        <v>0</v>
      </c>
      <c r="AF42" s="75">
        <f t="shared" ref="AF42" si="507">AVERAGE(AE39:AE42)</f>
        <v>0</v>
      </c>
      <c r="AG42" s="74">
        <v>0</v>
      </c>
      <c r="AH42" s="75">
        <f t="shared" ref="AH42" si="508">AVERAGE(AG39:AG42)</f>
        <v>0</v>
      </c>
      <c r="AI42" s="96" t="e">
        <v>#VALUE!</v>
      </c>
      <c r="AJ42" s="74">
        <v>0</v>
      </c>
      <c r="AK42" s="75">
        <f t="shared" ref="AK42" si="509">AVERAGE(AJ39:AJ42)</f>
        <v>0</v>
      </c>
      <c r="AL42" s="74">
        <v>0</v>
      </c>
      <c r="AM42" s="75">
        <f t="shared" ref="AM42" si="510">AVERAGE(AL39:AL42)</f>
        <v>0</v>
      </c>
      <c r="AN42" s="96">
        <v>415534.01555675379</v>
      </c>
      <c r="AO42" s="74">
        <f t="shared" si="3"/>
        <v>247000.00571381996</v>
      </c>
      <c r="AP42" s="75">
        <f t="shared" si="66"/>
        <v>248782.19025501568</v>
      </c>
      <c r="AQ42" s="74">
        <v>822.85241578499779</v>
      </c>
      <c r="AR42" s="92">
        <f t="shared" si="67"/>
        <v>890.43705842549753</v>
      </c>
      <c r="AS42" s="74">
        <f t="shared" si="4"/>
        <v>74371.459285770004</v>
      </c>
      <c r="AT42" s="75">
        <f t="shared" si="68"/>
        <v>66039.12816333001</v>
      </c>
      <c r="AU42" s="74">
        <v>887.80686285191973</v>
      </c>
      <c r="AV42" s="92">
        <f t="shared" si="69"/>
        <v>962.68752326235233</v>
      </c>
      <c r="AW42" s="74">
        <f t="shared" si="5"/>
        <v>102020.68964267</v>
      </c>
      <c r="AX42" s="75">
        <f t="shared" si="70"/>
        <v>87064.250867337134</v>
      </c>
      <c r="AY42" s="74">
        <v>965.10345528072617</v>
      </c>
      <c r="AZ42" s="92">
        <f t="shared" si="71"/>
        <v>1104.8255233681396</v>
      </c>
      <c r="BA42" s="74">
        <f t="shared" si="6"/>
        <v>55107.957499890006</v>
      </c>
      <c r="BB42" s="75">
        <f t="shared" si="72"/>
        <v>55908.200153118574</v>
      </c>
      <c r="BC42" s="74">
        <v>969.46233308787635</v>
      </c>
      <c r="BD42" s="92">
        <f t="shared" si="73"/>
        <v>1042.5913735087966</v>
      </c>
      <c r="BE42" s="93">
        <f>AO42/SUM(Table5[[#This Row],[NWP (Standard)]],Table5[[#This Row],[NWP (Plus)]],Table5[[#This Row],[NWP (Essentials)]],Table5[[#This Row],[NWP (Premium)]])</f>
        <v>0.51619633819530364</v>
      </c>
      <c r="BF42" s="93">
        <f>AS42/SUM(Table5[[#This Row],[NWP (Standard)]],Table5[[#This Row],[NWP (Plus)]],Table5[[#This Row],[NWP (Essentials)]],Table5[[#This Row],[NWP (Premium)]])</f>
        <v>0.1554262107752154</v>
      </c>
      <c r="BG42" s="93">
        <f>AW42/SUM(Table5[[#This Row],[NWP (Standard)]],Table5[[#This Row],[NWP (Plus)]],Table5[[#This Row],[NWP (Essentials)]],Table5[[#This Row],[NWP (Premium)]])</f>
        <v>0.21320933277516621</v>
      </c>
      <c r="BH42" s="94">
        <f>BA42/SUM(Table5[[#This Row],[NWP (Standard)]],Table5[[#This Row],[NWP (Plus)]],Table5[[#This Row],[NWP (Essentials)]],Table5[[#This Row],[NWP (Premium)]])</f>
        <v>0.11516811825431478</v>
      </c>
      <c r="BI42" s="93">
        <f t="shared" si="74"/>
        <v>0.54537100749767775</v>
      </c>
      <c r="BJ42" s="93">
        <f t="shared" si="74"/>
        <v>0.14223424967547935</v>
      </c>
      <c r="BK42" s="93">
        <f t="shared" si="74"/>
        <v>0.18984497144886109</v>
      </c>
      <c r="BL42" s="94">
        <f t="shared" si="74"/>
        <v>0.12254977137798176</v>
      </c>
      <c r="BM42" s="74">
        <v>0</v>
      </c>
      <c r="BN42" s="75">
        <f t="shared" si="75"/>
        <v>0</v>
      </c>
      <c r="BO42" s="74">
        <v>0</v>
      </c>
      <c r="BP42" s="92">
        <f t="shared" si="76"/>
        <v>0</v>
      </c>
      <c r="BQ42" s="74">
        <v>0</v>
      </c>
      <c r="BR42" s="75">
        <f t="shared" si="77"/>
        <v>0</v>
      </c>
      <c r="BS42" s="74">
        <v>0</v>
      </c>
      <c r="BT42" s="92">
        <f t="shared" si="78"/>
        <v>0</v>
      </c>
      <c r="BU42" s="74">
        <v>0</v>
      </c>
      <c r="BV42" s="75">
        <f t="shared" si="79"/>
        <v>0</v>
      </c>
      <c r="BW42" s="74">
        <v>0</v>
      </c>
      <c r="BX42" s="92">
        <f t="shared" si="80"/>
        <v>0</v>
      </c>
      <c r="BY42" s="74">
        <v>0</v>
      </c>
      <c r="BZ42" s="75">
        <f t="shared" si="81"/>
        <v>0</v>
      </c>
      <c r="CA42" s="74">
        <v>0</v>
      </c>
      <c r="CB42" s="92">
        <f t="shared" si="82"/>
        <v>0</v>
      </c>
      <c r="CC42" s="74">
        <v>247000.00571381996</v>
      </c>
      <c r="CD42" s="75">
        <f t="shared" si="83"/>
        <v>248782.19025501568</v>
      </c>
      <c r="CE42" s="74">
        <v>822.85241578499779</v>
      </c>
      <c r="CF42" s="92">
        <f t="shared" si="84"/>
        <v>890.43705842549753</v>
      </c>
      <c r="CG42" s="74">
        <v>74371.459285770004</v>
      </c>
      <c r="CH42" s="75">
        <f t="shared" si="85"/>
        <v>66039.12816333001</v>
      </c>
      <c r="CI42" s="74">
        <v>887.80686285191973</v>
      </c>
      <c r="CJ42" s="92">
        <f t="shared" si="86"/>
        <v>962.68752326235233</v>
      </c>
      <c r="CK42" s="74">
        <v>102020.68964267</v>
      </c>
      <c r="CL42" s="75">
        <f t="shared" si="87"/>
        <v>87064.250867337134</v>
      </c>
      <c r="CM42" s="74">
        <v>965.10345528072617</v>
      </c>
      <c r="CN42" s="92">
        <f t="shared" si="88"/>
        <v>1104.8255233681396</v>
      </c>
      <c r="CO42" s="74">
        <v>55107.957499890006</v>
      </c>
      <c r="CP42" s="75">
        <f t="shared" si="89"/>
        <v>55908.200153118574</v>
      </c>
      <c r="CQ42" s="74">
        <v>969.46233308787635</v>
      </c>
      <c r="CR42" s="92">
        <f t="shared" si="90"/>
        <v>1042.5913735087966</v>
      </c>
    </row>
    <row r="43" spans="1:96" x14ac:dyDescent="0.25">
      <c r="A43" s="85">
        <f t="shared" si="7"/>
        <v>45422</v>
      </c>
      <c r="B43" s="74">
        <v>1383015.3985717706</v>
      </c>
      <c r="C43" s="75">
        <f t="shared" si="8"/>
        <v>1558166.4242857501</v>
      </c>
      <c r="D43" s="74">
        <v>1068.424415552304</v>
      </c>
      <c r="E43" s="75">
        <f t="shared" si="8"/>
        <v>1090.8449607282844</v>
      </c>
      <c r="F43" s="96">
        <f t="shared" si="0"/>
        <v>1904741.1994612846</v>
      </c>
      <c r="G43" s="75">
        <v>1712303.1714289237</v>
      </c>
      <c r="H43" s="75">
        <f t="shared" ref="H43" si="511">AVERAGE(G40:G43)</f>
        <v>1922193.9383035931</v>
      </c>
      <c r="I43" s="75">
        <f>Table5[[#This Row],[Average NWP (Boom)]]</f>
        <v>1068.424415552304</v>
      </c>
      <c r="J43" s="92">
        <f t="shared" ref="J43" si="512">AVERAGE(I40:I43)</f>
        <v>1090.8449607282844</v>
      </c>
      <c r="K43" s="75">
        <f t="shared" si="1"/>
        <v>1383015.3985717695</v>
      </c>
      <c r="L43" s="75">
        <f t="shared" ref="L43" si="513">AVERAGE(K40:K43)</f>
        <v>1558166.4242857499</v>
      </c>
      <c r="M43" s="75">
        <v>1065.4972254019797</v>
      </c>
      <c r="N43" s="75">
        <f t="shared" ref="N43" si="514">AVERAGE(M40:M43)</f>
        <v>1087.8563444274077</v>
      </c>
      <c r="O43" s="96">
        <f t="shared" si="2"/>
        <v>1519497.4465329887</v>
      </c>
      <c r="P43" s="74">
        <v>388223.7474999</v>
      </c>
      <c r="Q43" s="75">
        <f t="shared" ref="Q43" si="515">AVERAGE(P40:P43)</f>
        <v>414351.1261606075</v>
      </c>
      <c r="R43" s="74">
        <v>866.57086495513397</v>
      </c>
      <c r="S43" s="75">
        <f t="shared" ref="S43" si="516">AVERAGE(R40:R43)</f>
        <v>881.34176979583845</v>
      </c>
      <c r="T43" s="96">
        <v>359532.75568746519</v>
      </c>
      <c r="U43" s="74">
        <v>994791.65107186954</v>
      </c>
      <c r="V43" s="75">
        <f t="shared" ref="V43" si="517">AVERAGE(U40:U43)</f>
        <v>1143815.2981251425</v>
      </c>
      <c r="W43" s="74">
        <v>1170.3431189080818</v>
      </c>
      <c r="X43" s="75">
        <f t="shared" ref="X43" si="518">AVERAGE(W40:W43)</f>
        <v>1188.3430586150942</v>
      </c>
      <c r="Y43" s="96">
        <v>1159964.6908455235</v>
      </c>
      <c r="Z43" s="74">
        <v>0</v>
      </c>
      <c r="AA43" s="75">
        <f t="shared" ref="AA43" si="519">AVERAGE(Z40:Z43)</f>
        <v>0</v>
      </c>
      <c r="AB43" s="74">
        <v>0</v>
      </c>
      <c r="AC43" s="75">
        <f t="shared" ref="AC43" si="520">AVERAGE(AB40:AB43)</f>
        <v>0</v>
      </c>
      <c r="AD43" s="96" t="e">
        <v>#VALUE!</v>
      </c>
      <c r="AE43" s="74">
        <v>0</v>
      </c>
      <c r="AF43" s="75">
        <f t="shared" ref="AF43" si="521">AVERAGE(AE40:AE43)</f>
        <v>0</v>
      </c>
      <c r="AG43" s="74">
        <v>0</v>
      </c>
      <c r="AH43" s="75">
        <f t="shared" ref="AH43" si="522">AVERAGE(AG40:AG43)</f>
        <v>0</v>
      </c>
      <c r="AI43" s="96" t="e">
        <v>#VALUE!</v>
      </c>
      <c r="AJ43" s="74">
        <v>0</v>
      </c>
      <c r="AK43" s="75">
        <f t="shared" ref="AK43" si="523">AVERAGE(AJ40:AJ43)</f>
        <v>0</v>
      </c>
      <c r="AL43" s="74">
        <v>0</v>
      </c>
      <c r="AM43" s="75">
        <f t="shared" ref="AM43" si="524">AVERAGE(AL40:AL43)</f>
        <v>0</v>
      </c>
      <c r="AN43" s="96">
        <v>385243.75292829599</v>
      </c>
      <c r="AO43" s="74">
        <f t="shared" si="3"/>
        <v>199279.36999981996</v>
      </c>
      <c r="AP43" s="75">
        <f t="shared" si="66"/>
        <v>237987.7895407014</v>
      </c>
      <c r="AQ43" s="74">
        <v>754.06355015484155</v>
      </c>
      <c r="AR43" s="92">
        <f t="shared" si="67"/>
        <v>854.99406926929419</v>
      </c>
      <c r="AS43" s="74">
        <f t="shared" si="4"/>
        <v>37346.882143010007</v>
      </c>
      <c r="AT43" s="75">
        <f t="shared" si="68"/>
        <v>61383.101734738564</v>
      </c>
      <c r="AU43" s="74">
        <v>913.40203576950967</v>
      </c>
      <c r="AV43" s="92">
        <f t="shared" si="69"/>
        <v>954.02430726995567</v>
      </c>
      <c r="AW43" s="74">
        <f t="shared" si="5"/>
        <v>97967.791428479992</v>
      </c>
      <c r="AX43" s="75">
        <f t="shared" si="70"/>
        <v>90320.875204068579</v>
      </c>
      <c r="AY43" s="74">
        <v>1212.8016507398193</v>
      </c>
      <c r="AZ43" s="92">
        <f t="shared" si="71"/>
        <v>1119.7258937210079</v>
      </c>
      <c r="BA43" s="74">
        <f t="shared" si="6"/>
        <v>53629.703928589995</v>
      </c>
      <c r="BB43" s="75">
        <f t="shared" si="72"/>
        <v>55425.62933676286</v>
      </c>
      <c r="BC43" s="74">
        <v>881.5907914518815</v>
      </c>
      <c r="BD43" s="92">
        <f t="shared" si="73"/>
        <v>1011.4880959113497</v>
      </c>
      <c r="BE43" s="93">
        <f>AO43/SUM(Table5[[#This Row],[NWP (Standard)]],Table5[[#This Row],[NWP (Plus)]],Table5[[#This Row],[NWP (Essentials)]],Table5[[#This Row],[NWP (Premium)]])</f>
        <v>0.51331061348809248</v>
      </c>
      <c r="BF43" s="93">
        <f>AS43/SUM(Table5[[#This Row],[NWP (Standard)]],Table5[[#This Row],[NWP (Plus)]],Table5[[#This Row],[NWP (Essentials)]],Table5[[#This Row],[NWP (Premium)]])</f>
        <v>9.6199375704134726E-2</v>
      </c>
      <c r="BG43" s="93">
        <f>AW43/SUM(Table5[[#This Row],[NWP (Standard)]],Table5[[#This Row],[NWP (Plus)]],Table5[[#This Row],[NWP (Essentials)]],Table5[[#This Row],[NWP (Premium)]])</f>
        <v>0.25234878613010464</v>
      </c>
      <c r="BH43" s="94">
        <f>BA43/SUM(Table5[[#This Row],[NWP (Standard)]],Table5[[#This Row],[NWP (Plus)]],Table5[[#This Row],[NWP (Essentials)]],Table5[[#This Row],[NWP (Premium)]])</f>
        <v>0.13814122467766818</v>
      </c>
      <c r="BI43" s="93">
        <f t="shared" si="74"/>
        <v>0.53638178762607003</v>
      </c>
      <c r="BJ43" s="93">
        <f t="shared" si="74"/>
        <v>0.13502907734277905</v>
      </c>
      <c r="BK43" s="93">
        <f t="shared" si="74"/>
        <v>0.20337967874329163</v>
      </c>
      <c r="BL43" s="94">
        <f t="shared" si="74"/>
        <v>0.12520945628785929</v>
      </c>
      <c r="BM43" s="74">
        <v>0</v>
      </c>
      <c r="BN43" s="75">
        <f t="shared" si="75"/>
        <v>0</v>
      </c>
      <c r="BO43" s="74">
        <v>0</v>
      </c>
      <c r="BP43" s="92">
        <f t="shared" si="76"/>
        <v>0</v>
      </c>
      <c r="BQ43" s="74">
        <v>0</v>
      </c>
      <c r="BR43" s="75">
        <f t="shared" si="77"/>
        <v>0</v>
      </c>
      <c r="BS43" s="74">
        <v>0</v>
      </c>
      <c r="BT43" s="92">
        <f t="shared" si="78"/>
        <v>0</v>
      </c>
      <c r="BU43" s="74">
        <v>0</v>
      </c>
      <c r="BV43" s="75">
        <f t="shared" si="79"/>
        <v>0</v>
      </c>
      <c r="BW43" s="74">
        <v>0</v>
      </c>
      <c r="BX43" s="92">
        <f t="shared" si="80"/>
        <v>0</v>
      </c>
      <c r="BY43" s="74">
        <v>0</v>
      </c>
      <c r="BZ43" s="75">
        <f t="shared" si="81"/>
        <v>0</v>
      </c>
      <c r="CA43" s="74">
        <v>0</v>
      </c>
      <c r="CB43" s="92">
        <f t="shared" si="82"/>
        <v>0</v>
      </c>
      <c r="CC43" s="74">
        <v>199279.36999981996</v>
      </c>
      <c r="CD43" s="75">
        <f t="shared" si="83"/>
        <v>237987.7895407014</v>
      </c>
      <c r="CE43" s="74">
        <v>754.06355015484155</v>
      </c>
      <c r="CF43" s="92">
        <f t="shared" si="84"/>
        <v>854.99406926929419</v>
      </c>
      <c r="CG43" s="74">
        <v>37346.882143010007</v>
      </c>
      <c r="CH43" s="75">
        <f t="shared" si="85"/>
        <v>61383.101734738564</v>
      </c>
      <c r="CI43" s="74">
        <v>913.40203576950967</v>
      </c>
      <c r="CJ43" s="92">
        <f t="shared" si="86"/>
        <v>954.02430726995567</v>
      </c>
      <c r="CK43" s="74">
        <v>97967.791428479992</v>
      </c>
      <c r="CL43" s="75">
        <f t="shared" si="87"/>
        <v>90320.875204068579</v>
      </c>
      <c r="CM43" s="74">
        <v>1212.8016507398193</v>
      </c>
      <c r="CN43" s="92">
        <f t="shared" si="88"/>
        <v>1119.7258937210079</v>
      </c>
      <c r="CO43" s="74">
        <v>53629.703928589995</v>
      </c>
      <c r="CP43" s="75">
        <f t="shared" si="89"/>
        <v>55425.62933676286</v>
      </c>
      <c r="CQ43" s="74">
        <v>881.5907914518815</v>
      </c>
      <c r="CR43" s="92">
        <f t="shared" si="90"/>
        <v>1011.4880959113497</v>
      </c>
    </row>
    <row r="44" spans="1:96" x14ac:dyDescent="0.25">
      <c r="A44" s="85">
        <f t="shared" si="7"/>
        <v>45429</v>
      </c>
      <c r="B44" s="74">
        <v>1380642.9025002501</v>
      </c>
      <c r="C44" s="75">
        <f t="shared" si="8"/>
        <v>1540511.8566070853</v>
      </c>
      <c r="D44" s="74">
        <v>1119.1882598779994</v>
      </c>
      <c r="E44" s="75">
        <f t="shared" si="8"/>
        <v>1092.4982652964031</v>
      </c>
      <c r="F44" s="96">
        <f t="shared" si="0"/>
        <v>1904741.1994612846</v>
      </c>
      <c r="G44" s="75">
        <v>1712532.5575001722</v>
      </c>
      <c r="H44" s="75">
        <f t="shared" ref="H44" si="525">AVERAGE(G41:G44)</f>
        <v>1897248.7379463585</v>
      </c>
      <c r="I44" s="75">
        <f>Table5[[#This Row],[Average NWP (Boom)]]</f>
        <v>1119.1882598779994</v>
      </c>
      <c r="J44" s="92">
        <f t="shared" ref="J44" si="526">AVERAGE(I41:I44)</f>
        <v>1092.4982652964031</v>
      </c>
      <c r="K44" s="75">
        <f t="shared" si="1"/>
        <v>1380642.9025002499</v>
      </c>
      <c r="L44" s="75">
        <f t="shared" ref="L44" si="527">AVERAGE(K41:K44)</f>
        <v>1540511.8566070851</v>
      </c>
      <c r="M44" s="75">
        <v>1116.1219907035165</v>
      </c>
      <c r="N44" s="75">
        <f t="shared" ref="N44" si="528">AVERAGE(M41:M44)</f>
        <v>1089.5051193940151</v>
      </c>
      <c r="O44" s="96">
        <f t="shared" si="2"/>
        <v>1519497.4465329887</v>
      </c>
      <c r="P44" s="74">
        <v>399909.87071469019</v>
      </c>
      <c r="Q44" s="75">
        <f t="shared" ref="Q44" si="529">AVERAGE(P41:P44)</f>
        <v>421851.50142852007</v>
      </c>
      <c r="R44" s="74">
        <v>896.6589029477359</v>
      </c>
      <c r="S44" s="75">
        <f t="shared" ref="S44" si="530">AVERAGE(R41:R44)</f>
        <v>885.32294217382002</v>
      </c>
      <c r="T44" s="96">
        <v>359532.75568746519</v>
      </c>
      <c r="U44" s="74">
        <v>980733.03178555984</v>
      </c>
      <c r="V44" s="75">
        <f t="shared" ref="V44" si="531">AVERAGE(U41:U44)</f>
        <v>1118660.355178565</v>
      </c>
      <c r="W44" s="74">
        <v>1239.8647683761819</v>
      </c>
      <c r="X44" s="75">
        <f t="shared" ref="X44" si="532">AVERAGE(W41:W44)</f>
        <v>1193.8743397936355</v>
      </c>
      <c r="Y44" s="96">
        <v>1159964.6908455235</v>
      </c>
      <c r="Z44" s="74">
        <v>0</v>
      </c>
      <c r="AA44" s="75">
        <f t="shared" ref="AA44" si="533">AVERAGE(Z41:Z44)</f>
        <v>0</v>
      </c>
      <c r="AB44" s="74">
        <v>0</v>
      </c>
      <c r="AC44" s="75">
        <f t="shared" ref="AC44" si="534">AVERAGE(AB41:AB44)</f>
        <v>0</v>
      </c>
      <c r="AD44" s="96" t="e">
        <v>#VALUE!</v>
      </c>
      <c r="AE44" s="74">
        <v>0</v>
      </c>
      <c r="AF44" s="75">
        <f t="shared" ref="AF44" si="535">AVERAGE(AE41:AE44)</f>
        <v>0</v>
      </c>
      <c r="AG44" s="74">
        <v>0</v>
      </c>
      <c r="AH44" s="75">
        <f t="shared" ref="AH44" si="536">AVERAGE(AG41:AG44)</f>
        <v>0</v>
      </c>
      <c r="AI44" s="96" t="e">
        <v>#VALUE!</v>
      </c>
      <c r="AJ44" s="74">
        <v>0</v>
      </c>
      <c r="AK44" s="75">
        <f t="shared" ref="AK44" si="537">AVERAGE(AJ41:AJ44)</f>
        <v>0</v>
      </c>
      <c r="AL44" s="74">
        <v>0</v>
      </c>
      <c r="AM44" s="75">
        <f t="shared" ref="AM44" si="538">AVERAGE(AL41:AL44)</f>
        <v>0</v>
      </c>
      <c r="AN44" s="96">
        <v>385243.75292829599</v>
      </c>
      <c r="AO44" s="74">
        <f t="shared" si="3"/>
        <v>191519.77250026996</v>
      </c>
      <c r="AP44" s="75">
        <f t="shared" si="66"/>
        <v>227765.59693871284</v>
      </c>
      <c r="AQ44" s="74">
        <v>787.07346604978909</v>
      </c>
      <c r="AR44" s="92">
        <f t="shared" si="67"/>
        <v>835.20363481773086</v>
      </c>
      <c r="AS44" s="74">
        <f t="shared" si="4"/>
        <v>57586.647500089995</v>
      </c>
      <c r="AT44" s="75">
        <f t="shared" si="68"/>
        <v>58111.19969394285</v>
      </c>
      <c r="AU44" s="74">
        <v>946.6369274434968</v>
      </c>
      <c r="AV44" s="92">
        <f t="shared" si="69"/>
        <v>946.91055607214014</v>
      </c>
      <c r="AW44" s="74">
        <f t="shared" si="5"/>
        <v>85717.177857149989</v>
      </c>
      <c r="AX44" s="75">
        <f t="shared" si="70"/>
        <v>90316.436224478559</v>
      </c>
      <c r="AY44" s="74">
        <v>1048.2032269163838</v>
      </c>
      <c r="AZ44" s="92">
        <f t="shared" si="71"/>
        <v>1088.830928597162</v>
      </c>
      <c r="BA44" s="74">
        <f t="shared" si="6"/>
        <v>65086.272857180003</v>
      </c>
      <c r="BB44" s="75">
        <f t="shared" si="72"/>
        <v>55096.286581644279</v>
      </c>
      <c r="BC44" s="74">
        <v>1106.1878185983448</v>
      </c>
      <c r="BD44" s="92">
        <f t="shared" si="73"/>
        <v>990.74028666986874</v>
      </c>
      <c r="BE44" s="93">
        <f>AO44/SUM(Table5[[#This Row],[NWP (Standard)]],Table5[[#This Row],[NWP (Plus)]],Table5[[#This Row],[NWP (Essentials)]],Table5[[#This Row],[NWP (Premium)]])</f>
        <v>0.47890734019142794</v>
      </c>
      <c r="BF44" s="93">
        <f>AS44/SUM(Table5[[#This Row],[NWP (Standard)]],Table5[[#This Row],[NWP (Plus)]],Table5[[#This Row],[NWP (Essentials)]],Table5[[#This Row],[NWP (Premium)]])</f>
        <v>0.14399906508227797</v>
      </c>
      <c r="BG44" s="93">
        <f>AW44/SUM(Table5[[#This Row],[NWP (Standard)]],Table5[[#This Row],[NWP (Plus)]],Table5[[#This Row],[NWP (Essentials)]],Table5[[#This Row],[NWP (Premium)]])</f>
        <v>0.21434124069996691</v>
      </c>
      <c r="BH44" s="94">
        <f>BA44/SUM(Table5[[#This Row],[NWP (Standard)]],Table5[[#This Row],[NWP (Plus)]],Table5[[#This Row],[NWP (Essentials)]],Table5[[#This Row],[NWP (Premium)]])</f>
        <v>0.16275235402632734</v>
      </c>
      <c r="BI44" s="93">
        <f t="shared" si="74"/>
        <v>0.5291341837833039</v>
      </c>
      <c r="BJ44" s="93">
        <f t="shared" si="74"/>
        <v>0.13245068421899206</v>
      </c>
      <c r="BK44" s="93">
        <f t="shared" si="74"/>
        <v>0.20933783331690964</v>
      </c>
      <c r="BL44" s="94">
        <f t="shared" si="74"/>
        <v>0.12907729868079448</v>
      </c>
      <c r="BM44" s="74">
        <v>0</v>
      </c>
      <c r="BN44" s="75">
        <f t="shared" si="75"/>
        <v>0</v>
      </c>
      <c r="BO44" s="74">
        <v>0</v>
      </c>
      <c r="BP44" s="92">
        <f t="shared" si="76"/>
        <v>0</v>
      </c>
      <c r="BQ44" s="74">
        <v>0</v>
      </c>
      <c r="BR44" s="75">
        <f t="shared" si="77"/>
        <v>0</v>
      </c>
      <c r="BS44" s="74">
        <v>0</v>
      </c>
      <c r="BT44" s="92">
        <f t="shared" si="78"/>
        <v>0</v>
      </c>
      <c r="BU44" s="74">
        <v>0</v>
      </c>
      <c r="BV44" s="75">
        <f t="shared" si="79"/>
        <v>0</v>
      </c>
      <c r="BW44" s="74">
        <v>0</v>
      </c>
      <c r="BX44" s="92">
        <f t="shared" si="80"/>
        <v>0</v>
      </c>
      <c r="BY44" s="74">
        <v>0</v>
      </c>
      <c r="BZ44" s="75">
        <f t="shared" si="81"/>
        <v>0</v>
      </c>
      <c r="CA44" s="74">
        <v>0</v>
      </c>
      <c r="CB44" s="92">
        <f t="shared" si="82"/>
        <v>0</v>
      </c>
      <c r="CC44" s="74">
        <v>191519.77250026996</v>
      </c>
      <c r="CD44" s="75">
        <f t="shared" si="83"/>
        <v>227765.59693871284</v>
      </c>
      <c r="CE44" s="74">
        <v>787.07346604978909</v>
      </c>
      <c r="CF44" s="92">
        <f t="shared" si="84"/>
        <v>835.20363481773086</v>
      </c>
      <c r="CG44" s="74">
        <v>57586.647500089995</v>
      </c>
      <c r="CH44" s="75">
        <f t="shared" si="85"/>
        <v>58111.19969394285</v>
      </c>
      <c r="CI44" s="74">
        <v>946.6369274434968</v>
      </c>
      <c r="CJ44" s="92">
        <f t="shared" si="86"/>
        <v>946.91055607214014</v>
      </c>
      <c r="CK44" s="74">
        <v>85717.177857149989</v>
      </c>
      <c r="CL44" s="75">
        <f t="shared" si="87"/>
        <v>90316.436224478559</v>
      </c>
      <c r="CM44" s="74">
        <v>1048.2032269163838</v>
      </c>
      <c r="CN44" s="92">
        <f t="shared" si="88"/>
        <v>1088.830928597162</v>
      </c>
      <c r="CO44" s="74">
        <v>65086.272857180003</v>
      </c>
      <c r="CP44" s="75">
        <f t="shared" si="89"/>
        <v>55096.286581644279</v>
      </c>
      <c r="CQ44" s="74">
        <v>1106.1878185983448</v>
      </c>
      <c r="CR44" s="92">
        <f t="shared" si="90"/>
        <v>990.74028666986874</v>
      </c>
    </row>
    <row r="45" spans="1:96" x14ac:dyDescent="0.25">
      <c r="A45" s="85">
        <f t="shared" si="7"/>
        <v>45436</v>
      </c>
      <c r="B45" s="74">
        <v>1460840.8657142704</v>
      </c>
      <c r="C45" s="75">
        <f t="shared" si="8"/>
        <v>1471639.2054462929</v>
      </c>
      <c r="D45" s="74">
        <v>1071.5831490531532</v>
      </c>
      <c r="E45" s="75">
        <f t="shared" si="8"/>
        <v>1077.0116287784917</v>
      </c>
      <c r="F45" s="96">
        <f t="shared" si="0"/>
        <v>1904741.1994612846</v>
      </c>
      <c r="G45" s="75">
        <v>1793740.1046429751</v>
      </c>
      <c r="H45" s="75">
        <f t="shared" ref="H45" si="539">AVERAGE(G42:G45)</f>
        <v>1823670.3865177347</v>
      </c>
      <c r="I45" s="75">
        <f>Table5[[#This Row],[Average NWP (Boom)]]</f>
        <v>1071.5831490531532</v>
      </c>
      <c r="J45" s="92">
        <f t="shared" ref="J45" si="540">AVERAGE(I42:I45)</f>
        <v>1077.0116287784917</v>
      </c>
      <c r="K45" s="75">
        <f t="shared" si="1"/>
        <v>1460840.8657142702</v>
      </c>
      <c r="L45" s="75">
        <f t="shared" ref="L45" si="541">AVERAGE(K42:K45)</f>
        <v>1471639.2054462926</v>
      </c>
      <c r="M45" s="75">
        <v>1068.6473048385296</v>
      </c>
      <c r="N45" s="75">
        <f t="shared" ref="N45" si="542">AVERAGE(M42:M45)</f>
        <v>1074.0609120168247</v>
      </c>
      <c r="O45" s="96">
        <f t="shared" si="2"/>
        <v>1519497.4465329887</v>
      </c>
      <c r="P45" s="74">
        <v>407844.73214318004</v>
      </c>
      <c r="Q45" s="75">
        <f t="shared" ref="Q45" si="543">AVERAGE(P42:P45)</f>
        <v>418619.61562498007</v>
      </c>
      <c r="R45" s="74">
        <v>856.81666416634459</v>
      </c>
      <c r="S45" s="75">
        <f t="shared" ref="S45" si="544">AVERAGE(R42:R45)</f>
        <v>873.30545479748162</v>
      </c>
      <c r="T45" s="96">
        <v>359532.75568746519</v>
      </c>
      <c r="U45" s="74">
        <v>1052996.1335710902</v>
      </c>
      <c r="V45" s="75">
        <f t="shared" ref="V45" si="545">AVERAGE(U42:U45)</f>
        <v>1053019.5898213123</v>
      </c>
      <c r="W45" s="74">
        <v>1181.813842391796</v>
      </c>
      <c r="X45" s="75">
        <f t="shared" ref="X45" si="546">AVERAGE(W42:W45)</f>
        <v>1182.2411535661643</v>
      </c>
      <c r="Y45" s="96">
        <v>1159964.6908455235</v>
      </c>
      <c r="Z45" s="74">
        <v>0</v>
      </c>
      <c r="AA45" s="75">
        <f t="shared" ref="AA45" si="547">AVERAGE(Z42:Z45)</f>
        <v>0</v>
      </c>
      <c r="AB45" s="74">
        <v>0</v>
      </c>
      <c r="AC45" s="75">
        <f t="shared" ref="AC45" si="548">AVERAGE(AB42:AB45)</f>
        <v>0</v>
      </c>
      <c r="AD45" s="96" t="e">
        <v>#VALUE!</v>
      </c>
      <c r="AE45" s="74">
        <v>0</v>
      </c>
      <c r="AF45" s="75">
        <f t="shared" ref="AF45" si="549">AVERAGE(AE42:AE45)</f>
        <v>0</v>
      </c>
      <c r="AG45" s="74">
        <v>0</v>
      </c>
      <c r="AH45" s="75">
        <f t="shared" ref="AH45" si="550">AVERAGE(AG42:AG45)</f>
        <v>0</v>
      </c>
      <c r="AI45" s="96" t="e">
        <v>#VALUE!</v>
      </c>
      <c r="AJ45" s="74">
        <v>0</v>
      </c>
      <c r="AK45" s="75">
        <f t="shared" ref="AK45" si="551">AVERAGE(AJ42:AJ45)</f>
        <v>0</v>
      </c>
      <c r="AL45" s="74">
        <v>0</v>
      </c>
      <c r="AM45" s="75">
        <f t="shared" ref="AM45" si="552">AVERAGE(AL42:AL45)</f>
        <v>0</v>
      </c>
      <c r="AN45" s="96">
        <v>385243.75292829599</v>
      </c>
      <c r="AO45" s="74">
        <f t="shared" si="3"/>
        <v>213490.15285699998</v>
      </c>
      <c r="AP45" s="75">
        <f t="shared" si="66"/>
        <v>218817.31709177286</v>
      </c>
      <c r="AQ45" s="74">
        <v>784.163605348229</v>
      </c>
      <c r="AR45" s="92">
        <f t="shared" si="67"/>
        <v>816.24937905779473</v>
      </c>
      <c r="AS45" s="74">
        <f t="shared" si="4"/>
        <v>53794.976785850013</v>
      </c>
      <c r="AT45" s="75">
        <f t="shared" si="68"/>
        <v>53311.790306197145</v>
      </c>
      <c r="AU45" s="74">
        <v>946.36430144090173</v>
      </c>
      <c r="AV45" s="92">
        <f t="shared" si="69"/>
        <v>934.82658698419232</v>
      </c>
      <c r="AW45" s="74">
        <f t="shared" si="5"/>
        <v>80318.603571629996</v>
      </c>
      <c r="AX45" s="75">
        <f t="shared" si="70"/>
        <v>87065.376581600009</v>
      </c>
      <c r="AY45" s="74">
        <v>958.80070325875079</v>
      </c>
      <c r="AZ45" s="92">
        <f t="shared" si="71"/>
        <v>1050.0215104385384</v>
      </c>
      <c r="BA45" s="74">
        <f t="shared" si="6"/>
        <v>60240.998928700006</v>
      </c>
      <c r="BB45" s="75">
        <f t="shared" si="72"/>
        <v>56417.919285725708</v>
      </c>
      <c r="BC45" s="74">
        <v>974.29832543297755</v>
      </c>
      <c r="BD45" s="92">
        <f t="shared" si="73"/>
        <v>983.84104391746712</v>
      </c>
      <c r="BE45" s="93">
        <f>AO45/SUM(Table5[[#This Row],[NWP (Standard)]],Table5[[#This Row],[NWP (Plus)]],Table5[[#This Row],[NWP (Essentials)]],Table5[[#This Row],[NWP (Premium)]])</f>
        <v>0.52345938547528204</v>
      </c>
      <c r="BF45" s="93">
        <f>AS45/SUM(Table5[[#This Row],[NWP (Standard)]],Table5[[#This Row],[NWP (Plus)]],Table5[[#This Row],[NWP (Essentials)]],Table5[[#This Row],[NWP (Premium)]])</f>
        <v>0.13190062920063531</v>
      </c>
      <c r="BG45" s="93">
        <f>AW45/SUM(Table5[[#This Row],[NWP (Standard)]],Table5[[#This Row],[NWP (Plus)]],Table5[[#This Row],[NWP (Essentials)]],Table5[[#This Row],[NWP (Premium)]])</f>
        <v>0.19693426748352102</v>
      </c>
      <c r="BH45" s="94">
        <f>BA45/SUM(Table5[[#This Row],[NWP (Standard)]],Table5[[#This Row],[NWP (Plus)]],Table5[[#This Row],[NWP (Essentials)]],Table5[[#This Row],[NWP (Premium)]])</f>
        <v>0.14770571784056169</v>
      </c>
      <c r="BI45" s="93">
        <f t="shared" si="74"/>
        <v>0.52770070541653491</v>
      </c>
      <c r="BJ45" s="93">
        <f t="shared" si="74"/>
        <v>0.12717311570402642</v>
      </c>
      <c r="BK45" s="93">
        <f t="shared" si="74"/>
        <v>0.20902155986077969</v>
      </c>
      <c r="BL45" s="94">
        <f t="shared" si="74"/>
        <v>0.13610461901865908</v>
      </c>
      <c r="BM45" s="74">
        <v>0</v>
      </c>
      <c r="BN45" s="75">
        <f t="shared" si="75"/>
        <v>0</v>
      </c>
      <c r="BO45" s="74">
        <v>0</v>
      </c>
      <c r="BP45" s="92">
        <f t="shared" si="76"/>
        <v>0</v>
      </c>
      <c r="BQ45" s="74">
        <v>0</v>
      </c>
      <c r="BR45" s="75">
        <f t="shared" si="77"/>
        <v>0</v>
      </c>
      <c r="BS45" s="74">
        <v>0</v>
      </c>
      <c r="BT45" s="92">
        <f t="shared" si="78"/>
        <v>0</v>
      </c>
      <c r="BU45" s="74">
        <v>0</v>
      </c>
      <c r="BV45" s="75">
        <f t="shared" si="79"/>
        <v>0</v>
      </c>
      <c r="BW45" s="74">
        <v>0</v>
      </c>
      <c r="BX45" s="92">
        <f t="shared" si="80"/>
        <v>0</v>
      </c>
      <c r="BY45" s="74">
        <v>0</v>
      </c>
      <c r="BZ45" s="75">
        <f t="shared" si="81"/>
        <v>0</v>
      </c>
      <c r="CA45" s="74">
        <v>0</v>
      </c>
      <c r="CB45" s="92">
        <f t="shared" si="82"/>
        <v>0</v>
      </c>
      <c r="CC45" s="74">
        <v>213490.15285699998</v>
      </c>
      <c r="CD45" s="75">
        <f t="shared" si="83"/>
        <v>218817.31709177286</v>
      </c>
      <c r="CE45" s="74">
        <v>784.163605348229</v>
      </c>
      <c r="CF45" s="92">
        <f t="shared" si="84"/>
        <v>816.24937905779473</v>
      </c>
      <c r="CG45" s="74">
        <v>53794.976785850013</v>
      </c>
      <c r="CH45" s="75">
        <f t="shared" si="85"/>
        <v>53311.790306197145</v>
      </c>
      <c r="CI45" s="74">
        <v>946.36430144090173</v>
      </c>
      <c r="CJ45" s="92">
        <f t="shared" si="86"/>
        <v>934.82658698419232</v>
      </c>
      <c r="CK45" s="74">
        <v>80318.603571629996</v>
      </c>
      <c r="CL45" s="75">
        <f t="shared" si="87"/>
        <v>87065.376581600009</v>
      </c>
      <c r="CM45" s="74">
        <v>958.80070325875079</v>
      </c>
      <c r="CN45" s="92">
        <f t="shared" si="88"/>
        <v>1050.0215104385384</v>
      </c>
      <c r="CO45" s="74">
        <v>60240.998928700006</v>
      </c>
      <c r="CP45" s="75">
        <f t="shared" si="89"/>
        <v>56417.919285725708</v>
      </c>
      <c r="CQ45" s="74">
        <v>974.29832543297755</v>
      </c>
      <c r="CR45" s="92">
        <f t="shared" si="90"/>
        <v>983.84104391746712</v>
      </c>
    </row>
    <row r="46" spans="1:96" x14ac:dyDescent="0.25">
      <c r="A46" s="85">
        <f t="shared" si="7"/>
        <v>45443</v>
      </c>
      <c r="B46" s="74">
        <v>1403023.7449992804</v>
      </c>
      <c r="C46" s="75">
        <f t="shared" si="8"/>
        <v>1406880.727946393</v>
      </c>
      <c r="D46" s="74">
        <v>1054.6313386795657</v>
      </c>
      <c r="E46" s="75">
        <f t="shared" si="8"/>
        <v>1078.4567907907556</v>
      </c>
      <c r="F46" s="96">
        <f t="shared" si="0"/>
        <v>1904741.1994612846</v>
      </c>
      <c r="G46" s="75">
        <v>1707043.5592849178</v>
      </c>
      <c r="H46" s="75">
        <f t="shared" ref="H46" si="553">AVERAGE(G43:G46)</f>
        <v>1731404.8482142473</v>
      </c>
      <c r="I46" s="75">
        <f>Table5[[#This Row],[Average NWP (Boom)]]</f>
        <v>1054.6313386795657</v>
      </c>
      <c r="J46" s="92">
        <f t="shared" ref="J46" si="554">AVERAGE(I43:I46)</f>
        <v>1078.4567907907556</v>
      </c>
      <c r="K46" s="75">
        <f t="shared" si="1"/>
        <v>1403023.74499928</v>
      </c>
      <c r="L46" s="75">
        <f t="shared" ref="L46" si="555">AVERAGE(K43:K46)</f>
        <v>1406880.7279463923</v>
      </c>
      <c r="M46" s="75">
        <v>1051.7419377805697</v>
      </c>
      <c r="N46" s="75">
        <f t="shared" ref="N46" si="556">AVERAGE(M43:M46)</f>
        <v>1075.5021146811489</v>
      </c>
      <c r="O46" s="96">
        <f t="shared" si="2"/>
        <v>1519497.4465329887</v>
      </c>
      <c r="P46" s="74">
        <v>367440.54642915993</v>
      </c>
      <c r="Q46" s="75">
        <f t="shared" ref="Q46" si="557">AVERAGE(P43:P46)</f>
        <v>390854.72419673251</v>
      </c>
      <c r="R46" s="74">
        <v>864.5659915980234</v>
      </c>
      <c r="S46" s="75">
        <f t="shared" ref="S46" si="558">AVERAGE(R43:R46)</f>
        <v>871.15310591680941</v>
      </c>
      <c r="T46" s="96">
        <v>359532.75568746519</v>
      </c>
      <c r="U46" s="74">
        <v>1035583.19857012</v>
      </c>
      <c r="V46" s="75">
        <f t="shared" ref="V46" si="559">AVERAGE(U43:U46)</f>
        <v>1016026.00374966</v>
      </c>
      <c r="W46" s="74">
        <v>1139.2554439715291</v>
      </c>
      <c r="X46" s="75">
        <f t="shared" ref="X46" si="560">AVERAGE(W43:W46)</f>
        <v>1182.8192934118974</v>
      </c>
      <c r="Y46" s="96">
        <v>1159964.6908455235</v>
      </c>
      <c r="Z46" s="74">
        <v>0</v>
      </c>
      <c r="AA46" s="75">
        <f t="shared" ref="AA46" si="561">AVERAGE(Z43:Z46)</f>
        <v>0</v>
      </c>
      <c r="AB46" s="74">
        <v>0</v>
      </c>
      <c r="AC46" s="75">
        <f t="shared" ref="AC46" si="562">AVERAGE(AB43:AB46)</f>
        <v>0</v>
      </c>
      <c r="AD46" s="96" t="e">
        <v>#VALUE!</v>
      </c>
      <c r="AE46" s="74">
        <v>0</v>
      </c>
      <c r="AF46" s="75">
        <f t="shared" ref="AF46" si="563">AVERAGE(AE43:AE46)</f>
        <v>0</v>
      </c>
      <c r="AG46" s="74">
        <v>0</v>
      </c>
      <c r="AH46" s="75">
        <f t="shared" ref="AH46" si="564">AVERAGE(AG43:AG46)</f>
        <v>0</v>
      </c>
      <c r="AI46" s="96" t="e">
        <v>#VALUE!</v>
      </c>
      <c r="AJ46" s="74">
        <v>0</v>
      </c>
      <c r="AK46" s="75">
        <f t="shared" ref="AK46" si="565">AVERAGE(AJ43:AJ46)</f>
        <v>0</v>
      </c>
      <c r="AL46" s="74">
        <v>0</v>
      </c>
      <c r="AM46" s="75">
        <f t="shared" ref="AM46" si="566">AVERAGE(AL43:AL46)</f>
        <v>0</v>
      </c>
      <c r="AN46" s="96">
        <v>385243.75292829599</v>
      </c>
      <c r="AO46" s="74">
        <f t="shared" si="3"/>
        <v>187959.41857192997</v>
      </c>
      <c r="AP46" s="75">
        <f t="shared" si="66"/>
        <v>213608.8786224857</v>
      </c>
      <c r="AQ46" s="74">
        <v>812.3956491198096</v>
      </c>
      <c r="AR46" s="92">
        <f t="shared" si="67"/>
        <v>809.13402178478623</v>
      </c>
      <c r="AS46" s="74">
        <f t="shared" si="4"/>
        <v>54203.51607143</v>
      </c>
      <c r="AT46" s="75">
        <f t="shared" si="68"/>
        <v>52722.30321435714</v>
      </c>
      <c r="AU46" s="74">
        <v>836.19118197499699</v>
      </c>
      <c r="AV46" s="92">
        <f t="shared" si="69"/>
        <v>912.65977578602269</v>
      </c>
      <c r="AW46" s="74">
        <f t="shared" si="5"/>
        <v>71680.546785760002</v>
      </c>
      <c r="AX46" s="75">
        <f t="shared" si="70"/>
        <v>83892.756887755706</v>
      </c>
      <c r="AY46" s="74">
        <v>1012.3587515896776</v>
      </c>
      <c r="AZ46" s="92">
        <f t="shared" si="71"/>
        <v>1034.5305478487057</v>
      </c>
      <c r="BA46" s="74">
        <f t="shared" si="6"/>
        <v>53597.065000039991</v>
      </c>
      <c r="BB46" s="75">
        <f t="shared" si="72"/>
        <v>54433.154693895711</v>
      </c>
      <c r="BC46" s="74">
        <v>942.88262601104486</v>
      </c>
      <c r="BD46" s="92">
        <f t="shared" si="73"/>
        <v>962.60346888932213</v>
      </c>
      <c r="BE46" s="93">
        <f>AO46/SUM(Table5[[#This Row],[NWP (Standard)]],Table5[[#This Row],[NWP (Plus)]],Table5[[#This Row],[NWP (Essentials)]],Table5[[#This Row],[NWP (Premium)]])</f>
        <v>0.51153695583828906</v>
      </c>
      <c r="BF46" s="93">
        <f>AS46/SUM(Table5[[#This Row],[NWP (Standard)]],Table5[[#This Row],[NWP (Plus)]],Table5[[#This Row],[NWP (Essentials)]],Table5[[#This Row],[NWP (Premium)]])</f>
        <v>0.14751642571345913</v>
      </c>
      <c r="BG46" s="93">
        <f>AW46/SUM(Table5[[#This Row],[NWP (Standard)]],Table5[[#This Row],[NWP (Plus)]],Table5[[#This Row],[NWP (Essentials)]],Table5[[#This Row],[NWP (Premium)]])</f>
        <v>0.1950806667428564</v>
      </c>
      <c r="BH46" s="94">
        <f>BA46/SUM(Table5[[#This Row],[NWP (Standard)]],Table5[[#This Row],[NWP (Plus)]],Table5[[#This Row],[NWP (Essentials)]],Table5[[#This Row],[NWP (Premium)]])</f>
        <v>0.14586595170539554</v>
      </c>
      <c r="BI46" s="93">
        <f t="shared" si="74"/>
        <v>0.52859145680702879</v>
      </c>
      <c r="BJ46" s="93">
        <f t="shared" si="74"/>
        <v>0.12948461535569517</v>
      </c>
      <c r="BK46" s="93">
        <f t="shared" si="74"/>
        <v>0.20669013466763703</v>
      </c>
      <c r="BL46" s="94">
        <f t="shared" si="74"/>
        <v>0.13523379316963921</v>
      </c>
      <c r="BM46" s="74">
        <v>0</v>
      </c>
      <c r="BN46" s="75">
        <f t="shared" si="75"/>
        <v>0</v>
      </c>
      <c r="BO46" s="74">
        <v>0</v>
      </c>
      <c r="BP46" s="92">
        <f t="shared" si="76"/>
        <v>0</v>
      </c>
      <c r="BQ46" s="74">
        <v>0</v>
      </c>
      <c r="BR46" s="75">
        <f t="shared" si="77"/>
        <v>0</v>
      </c>
      <c r="BS46" s="74">
        <v>0</v>
      </c>
      <c r="BT46" s="92">
        <f t="shared" si="78"/>
        <v>0</v>
      </c>
      <c r="BU46" s="74">
        <v>0</v>
      </c>
      <c r="BV46" s="75">
        <f t="shared" si="79"/>
        <v>0</v>
      </c>
      <c r="BW46" s="74">
        <v>0</v>
      </c>
      <c r="BX46" s="92">
        <f t="shared" si="80"/>
        <v>0</v>
      </c>
      <c r="BY46" s="74">
        <v>0</v>
      </c>
      <c r="BZ46" s="75">
        <f t="shared" si="81"/>
        <v>0</v>
      </c>
      <c r="CA46" s="74">
        <v>0</v>
      </c>
      <c r="CB46" s="92">
        <f t="shared" si="82"/>
        <v>0</v>
      </c>
      <c r="CC46" s="74">
        <v>187959.41857192997</v>
      </c>
      <c r="CD46" s="75">
        <f t="shared" si="83"/>
        <v>213608.8786224857</v>
      </c>
      <c r="CE46" s="74">
        <v>812.3956491198096</v>
      </c>
      <c r="CF46" s="92">
        <f t="shared" si="84"/>
        <v>809.13402178478623</v>
      </c>
      <c r="CG46" s="74">
        <v>54203.51607143</v>
      </c>
      <c r="CH46" s="75">
        <f t="shared" si="85"/>
        <v>52722.30321435714</v>
      </c>
      <c r="CI46" s="74">
        <v>836.19118197499699</v>
      </c>
      <c r="CJ46" s="92">
        <f t="shared" si="86"/>
        <v>912.65977578602269</v>
      </c>
      <c r="CK46" s="74">
        <v>71680.546785760002</v>
      </c>
      <c r="CL46" s="75">
        <f t="shared" si="87"/>
        <v>83892.756887755706</v>
      </c>
      <c r="CM46" s="74">
        <v>1012.3587515896776</v>
      </c>
      <c r="CN46" s="92">
        <f t="shared" si="88"/>
        <v>1034.5305478487057</v>
      </c>
      <c r="CO46" s="74">
        <v>53597.065000039991</v>
      </c>
      <c r="CP46" s="75">
        <f t="shared" si="89"/>
        <v>54433.154693895711</v>
      </c>
      <c r="CQ46" s="74">
        <v>942.88262601104486</v>
      </c>
      <c r="CR46" s="92">
        <f t="shared" si="90"/>
        <v>962.60346888932213</v>
      </c>
    </row>
    <row r="47" spans="1:96" x14ac:dyDescent="0.25">
      <c r="A47" s="85">
        <f t="shared" si="7"/>
        <v>45450</v>
      </c>
      <c r="B47" s="74">
        <v>1268397.4624997003</v>
      </c>
      <c r="C47" s="75">
        <f t="shared" si="8"/>
        <v>1378226.2439283754</v>
      </c>
      <c r="D47" s="74">
        <v>1003.0615700932325</v>
      </c>
      <c r="E47" s="75">
        <f t="shared" si="8"/>
        <v>1062.1160794259877</v>
      </c>
      <c r="F47" s="96">
        <f t="shared" si="0"/>
        <v>1957319.4982231378</v>
      </c>
      <c r="G47" s="75">
        <v>1574296.462856859</v>
      </c>
      <c r="H47" s="75">
        <f t="shared" ref="H47" si="567">AVERAGE(G44:G47)</f>
        <v>1696903.1710712311</v>
      </c>
      <c r="I47" s="75">
        <f>Table5[[#This Row],[Average NWP (Boom)]]</f>
        <v>1003.0615700932325</v>
      </c>
      <c r="J47" s="92">
        <f t="shared" ref="J47" si="568">AVERAGE(I44:I47)</f>
        <v>1062.1160794259877</v>
      </c>
      <c r="K47" s="75">
        <f t="shared" si="1"/>
        <v>1268397.4624997</v>
      </c>
      <c r="L47" s="75">
        <f t="shared" ref="L47" si="569">AVERAGE(K44:K47)</f>
        <v>1378226.2439283752</v>
      </c>
      <c r="M47" s="75">
        <v>1000.3134562300473</v>
      </c>
      <c r="N47" s="75">
        <f t="shared" ref="N47" si="570">AVERAGE(M44:M47)</f>
        <v>1059.2061723881659</v>
      </c>
      <c r="O47" s="96">
        <f t="shared" si="2"/>
        <v>1599721.7080653624</v>
      </c>
      <c r="P47" s="74">
        <v>360100.40714303014</v>
      </c>
      <c r="Q47" s="75">
        <f t="shared" ref="Q47" si="571">AVERAGE(P44:P47)</f>
        <v>383823.88910751505</v>
      </c>
      <c r="R47" s="74">
        <v>855.34538513783878</v>
      </c>
      <c r="S47" s="75">
        <f t="shared" ref="S47" si="572">AVERAGE(R44:R47)</f>
        <v>868.34673596248581</v>
      </c>
      <c r="T47" s="96">
        <v>378514.85393813183</v>
      </c>
      <c r="U47" s="74">
        <v>908297.05535666994</v>
      </c>
      <c r="V47" s="75">
        <f t="shared" ref="V47" si="573">AVERAGE(U44:U47)</f>
        <v>994402.35482086008</v>
      </c>
      <c r="W47" s="74">
        <v>1072.3696049075206</v>
      </c>
      <c r="X47" s="75">
        <f t="shared" ref="X47" si="574">AVERAGE(W44:W47)</f>
        <v>1158.3259149117571</v>
      </c>
      <c r="Y47" s="96">
        <v>1221206.8541272306</v>
      </c>
      <c r="Z47" s="74">
        <v>0</v>
      </c>
      <c r="AA47" s="75">
        <f t="shared" ref="AA47" si="575">AVERAGE(Z44:Z47)</f>
        <v>0</v>
      </c>
      <c r="AB47" s="74">
        <v>0</v>
      </c>
      <c r="AC47" s="75">
        <f t="shared" ref="AC47" si="576">AVERAGE(AB44:AB47)</f>
        <v>0</v>
      </c>
      <c r="AD47" s="96" t="e">
        <v>#VALUE!</v>
      </c>
      <c r="AE47" s="74">
        <v>0</v>
      </c>
      <c r="AF47" s="75">
        <f t="shared" ref="AF47" si="577">AVERAGE(AE44:AE47)</f>
        <v>0</v>
      </c>
      <c r="AG47" s="74">
        <v>0</v>
      </c>
      <c r="AH47" s="75">
        <f t="shared" ref="AH47" si="578">AVERAGE(AG44:AG47)</f>
        <v>0</v>
      </c>
      <c r="AI47" s="96" t="e">
        <v>#VALUE!</v>
      </c>
      <c r="AJ47" s="74">
        <v>0</v>
      </c>
      <c r="AK47" s="75">
        <f t="shared" ref="AK47" si="579">AVERAGE(AJ44:AJ47)</f>
        <v>0</v>
      </c>
      <c r="AL47" s="74">
        <v>0</v>
      </c>
      <c r="AM47" s="75">
        <f t="shared" ref="AM47" si="580">AVERAGE(AL44:AL47)</f>
        <v>0</v>
      </c>
      <c r="AN47" s="96">
        <v>357597.79015777534</v>
      </c>
      <c r="AO47" s="74">
        <f t="shared" si="3"/>
        <v>184310.86321451006</v>
      </c>
      <c r="AP47" s="75">
        <f t="shared" si="66"/>
        <v>208037.29637760136</v>
      </c>
      <c r="AQ47" s="74">
        <v>736.32355272807672</v>
      </c>
      <c r="AR47" s="92">
        <f t="shared" si="67"/>
        <v>791.75855052138365</v>
      </c>
      <c r="AS47" s="74">
        <f t="shared" si="4"/>
        <v>31849.422142809999</v>
      </c>
      <c r="AT47" s="75">
        <f t="shared" si="68"/>
        <v>51461.194591891435</v>
      </c>
      <c r="AU47" s="74">
        <v>778.94928181494788</v>
      </c>
      <c r="AV47" s="92">
        <f t="shared" si="69"/>
        <v>891.50664396632942</v>
      </c>
      <c r="AW47" s="74">
        <f t="shared" si="5"/>
        <v>89684.45428559999</v>
      </c>
      <c r="AX47" s="75">
        <f t="shared" si="70"/>
        <v>88175.159897952835</v>
      </c>
      <c r="AY47" s="74">
        <v>1231.9293170760459</v>
      </c>
      <c r="AZ47" s="92">
        <f t="shared" si="71"/>
        <v>1063.0532946921926</v>
      </c>
      <c r="BA47" s="74">
        <f t="shared" si="6"/>
        <v>54255.667500110001</v>
      </c>
      <c r="BB47" s="75">
        <f t="shared" si="72"/>
        <v>55582.305051047144</v>
      </c>
      <c r="BC47" s="74">
        <v>971.51288446801925</v>
      </c>
      <c r="BD47" s="92">
        <f t="shared" si="73"/>
        <v>985.25425693352338</v>
      </c>
      <c r="BE47" s="93">
        <f>AO47/SUM(Table5[[#This Row],[NWP (Standard)]],Table5[[#This Row],[NWP (Plus)]],Table5[[#This Row],[NWP (Essentials)]],Table5[[#This Row],[NWP (Premium)]])</f>
        <v>0.51183186566435268</v>
      </c>
      <c r="BF47" s="93">
        <f>AS47/SUM(Table5[[#This Row],[NWP (Standard)]],Table5[[#This Row],[NWP (Plus)]],Table5[[#This Row],[NWP (Essentials)]],Table5[[#This Row],[NWP (Premium)]])</f>
        <v>8.8445948716074543E-2</v>
      </c>
      <c r="BG47" s="93">
        <f>AW47/SUM(Table5[[#This Row],[NWP (Standard)]],Table5[[#This Row],[NWP (Plus)]],Table5[[#This Row],[NWP (Essentials)]],Table5[[#This Row],[NWP (Premium)]])</f>
        <v>0.24905402078586872</v>
      </c>
      <c r="BH47" s="94">
        <f>BA47/SUM(Table5[[#This Row],[NWP (Standard)]],Table5[[#This Row],[NWP (Plus)]],Table5[[#This Row],[NWP (Essentials)]],Table5[[#This Row],[NWP (Premium)]])</f>
        <v>0.1506681648337041</v>
      </c>
      <c r="BI47" s="93">
        <f t="shared" si="74"/>
        <v>0.51546811107443335</v>
      </c>
      <c r="BJ47" s="93">
        <f t="shared" si="74"/>
        <v>0.12641038459932216</v>
      </c>
      <c r="BK47" s="93">
        <f t="shared" si="74"/>
        <v>0.21921042974156466</v>
      </c>
      <c r="BL47" s="94">
        <f t="shared" si="74"/>
        <v>0.1389110745846798</v>
      </c>
      <c r="BM47" s="74">
        <v>0</v>
      </c>
      <c r="BN47" s="75">
        <f t="shared" si="75"/>
        <v>0</v>
      </c>
      <c r="BO47" s="74">
        <v>0</v>
      </c>
      <c r="BP47" s="92">
        <f t="shared" si="76"/>
        <v>0</v>
      </c>
      <c r="BQ47" s="74">
        <v>0</v>
      </c>
      <c r="BR47" s="75">
        <f t="shared" si="77"/>
        <v>0</v>
      </c>
      <c r="BS47" s="74">
        <v>0</v>
      </c>
      <c r="BT47" s="92">
        <f t="shared" si="78"/>
        <v>0</v>
      </c>
      <c r="BU47" s="74">
        <v>0</v>
      </c>
      <c r="BV47" s="75">
        <f t="shared" si="79"/>
        <v>0</v>
      </c>
      <c r="BW47" s="74">
        <v>0</v>
      </c>
      <c r="BX47" s="92">
        <f t="shared" si="80"/>
        <v>0</v>
      </c>
      <c r="BY47" s="74">
        <v>0</v>
      </c>
      <c r="BZ47" s="75">
        <f t="shared" si="81"/>
        <v>0</v>
      </c>
      <c r="CA47" s="74">
        <v>0</v>
      </c>
      <c r="CB47" s="92">
        <f t="shared" si="82"/>
        <v>0</v>
      </c>
      <c r="CC47" s="74">
        <v>184310.86321451006</v>
      </c>
      <c r="CD47" s="75">
        <f t="shared" si="83"/>
        <v>208037.29637760136</v>
      </c>
      <c r="CE47" s="74">
        <v>736.32355272807672</v>
      </c>
      <c r="CF47" s="92">
        <f t="shared" si="84"/>
        <v>791.75855052138365</v>
      </c>
      <c r="CG47" s="74">
        <v>31849.422142809999</v>
      </c>
      <c r="CH47" s="75">
        <f t="shared" si="85"/>
        <v>51461.194591891435</v>
      </c>
      <c r="CI47" s="74">
        <v>778.94928181494788</v>
      </c>
      <c r="CJ47" s="92">
        <f t="shared" si="86"/>
        <v>891.50664396632942</v>
      </c>
      <c r="CK47" s="74">
        <v>89684.45428559999</v>
      </c>
      <c r="CL47" s="75">
        <f t="shared" si="87"/>
        <v>88175.159897952835</v>
      </c>
      <c r="CM47" s="74">
        <v>1231.9293170760459</v>
      </c>
      <c r="CN47" s="92">
        <f t="shared" si="88"/>
        <v>1063.0532946921926</v>
      </c>
      <c r="CO47" s="74">
        <v>54255.667500110001</v>
      </c>
      <c r="CP47" s="75">
        <f t="shared" si="89"/>
        <v>55582.305051047144</v>
      </c>
      <c r="CQ47" s="74">
        <v>971.51288446801925</v>
      </c>
      <c r="CR47" s="92">
        <f t="shared" si="90"/>
        <v>985.25425693352338</v>
      </c>
    </row>
    <row r="48" spans="1:96" x14ac:dyDescent="0.25">
      <c r="A48" s="85">
        <f t="shared" si="7"/>
        <v>45457</v>
      </c>
      <c r="B48" s="74">
        <v>1248871.1803574704</v>
      </c>
      <c r="C48" s="75">
        <f t="shared" si="8"/>
        <v>1345283.3133926804</v>
      </c>
      <c r="D48" s="74">
        <v>1080.5022822297399</v>
      </c>
      <c r="E48" s="75">
        <f t="shared" si="8"/>
        <v>1052.444585013923</v>
      </c>
      <c r="F48" s="96">
        <f t="shared" si="0"/>
        <v>1957319.4982231378</v>
      </c>
      <c r="G48" s="75">
        <v>1533668.787142993</v>
      </c>
      <c r="H48" s="75">
        <f t="shared" ref="H48" si="581">AVERAGE(G45:G48)</f>
        <v>1652187.2284819363</v>
      </c>
      <c r="I48" s="75">
        <f>Table5[[#This Row],[Average NWP (Boom)]]</f>
        <v>1080.5022822297399</v>
      </c>
      <c r="J48" s="92">
        <f t="shared" ref="J48" si="582">AVERAGE(I45:I48)</f>
        <v>1052.444585013923</v>
      </c>
      <c r="K48" s="75">
        <f t="shared" si="1"/>
        <v>1248871.1803574702</v>
      </c>
      <c r="L48" s="75">
        <f t="shared" ref="L48" si="583">AVERAGE(K45:K48)</f>
        <v>1345283.3133926801</v>
      </c>
      <c r="M48" s="75">
        <v>1077.5420020340555</v>
      </c>
      <c r="N48" s="75">
        <f t="shared" ref="N48" si="584">AVERAGE(M45:M48)</f>
        <v>1049.5611752208006</v>
      </c>
      <c r="O48" s="96">
        <f t="shared" si="2"/>
        <v>1599721.7080653624</v>
      </c>
      <c r="P48" s="74">
        <v>336105.2667857699</v>
      </c>
      <c r="Q48" s="75">
        <f t="shared" ref="Q48" si="585">AVERAGE(P45:P48)</f>
        <v>367872.73812528502</v>
      </c>
      <c r="R48" s="74">
        <v>859.60426287920689</v>
      </c>
      <c r="S48" s="75">
        <f t="shared" ref="S48" si="586">AVERAGE(R45:R48)</f>
        <v>859.08307594535347</v>
      </c>
      <c r="T48" s="96">
        <v>378514.85393813183</v>
      </c>
      <c r="U48" s="74">
        <v>912765.91357170022</v>
      </c>
      <c r="V48" s="75">
        <f t="shared" ref="V48" si="587">AVERAGE(U45:U48)</f>
        <v>977410.57526739524</v>
      </c>
      <c r="W48" s="74">
        <v>1188.4972832964847</v>
      </c>
      <c r="X48" s="75">
        <f t="shared" ref="X48" si="588">AVERAGE(W45:W48)</f>
        <v>1145.4840436418326</v>
      </c>
      <c r="Y48" s="96">
        <v>1221206.8541272306</v>
      </c>
      <c r="Z48" s="74">
        <v>0</v>
      </c>
      <c r="AA48" s="75">
        <f t="shared" ref="AA48" si="589">AVERAGE(Z45:Z48)</f>
        <v>0</v>
      </c>
      <c r="AB48" s="74">
        <v>0</v>
      </c>
      <c r="AC48" s="75">
        <f t="shared" ref="AC48" si="590">AVERAGE(AB45:AB48)</f>
        <v>0</v>
      </c>
      <c r="AD48" s="96" t="e">
        <v>#VALUE!</v>
      </c>
      <c r="AE48" s="74">
        <v>0</v>
      </c>
      <c r="AF48" s="75">
        <f t="shared" ref="AF48" si="591">AVERAGE(AE45:AE48)</f>
        <v>0</v>
      </c>
      <c r="AG48" s="74">
        <v>0</v>
      </c>
      <c r="AH48" s="75">
        <f t="shared" ref="AH48" si="592">AVERAGE(AG45:AG48)</f>
        <v>0</v>
      </c>
      <c r="AI48" s="96" t="e">
        <v>#VALUE!</v>
      </c>
      <c r="AJ48" s="74">
        <v>0</v>
      </c>
      <c r="AK48" s="75">
        <f t="shared" ref="AK48" si="593">AVERAGE(AJ45:AJ48)</f>
        <v>0</v>
      </c>
      <c r="AL48" s="74">
        <v>0</v>
      </c>
      <c r="AM48" s="75">
        <f t="shared" ref="AM48" si="594">AVERAGE(AL45:AL48)</f>
        <v>0</v>
      </c>
      <c r="AN48" s="96">
        <v>357597.79015777534</v>
      </c>
      <c r="AO48" s="74">
        <f t="shared" si="3"/>
        <v>170992.75928581003</v>
      </c>
      <c r="AP48" s="75">
        <f t="shared" si="66"/>
        <v>199221.76316330855</v>
      </c>
      <c r="AQ48" s="74">
        <v>786.52531930645773</v>
      </c>
      <c r="AR48" s="92">
        <f t="shared" si="67"/>
        <v>783.3425083560287</v>
      </c>
      <c r="AS48" s="74">
        <f t="shared" si="4"/>
        <v>41571.586428330003</v>
      </c>
      <c r="AT48" s="75">
        <f t="shared" si="68"/>
        <v>50103.498622470004</v>
      </c>
      <c r="AU48" s="74">
        <v>801.64988619630162</v>
      </c>
      <c r="AV48" s="92">
        <f t="shared" si="69"/>
        <v>873.00006821315367</v>
      </c>
      <c r="AW48" s="74">
        <f t="shared" si="5"/>
        <v>68069.777857280002</v>
      </c>
      <c r="AX48" s="75">
        <f t="shared" si="70"/>
        <v>85065.57734693856</v>
      </c>
      <c r="AY48" s="74">
        <v>1050.1043498404324</v>
      </c>
      <c r="AZ48" s="92">
        <f t="shared" si="71"/>
        <v>1068.4716363859766</v>
      </c>
      <c r="BA48" s="74">
        <f t="shared" si="6"/>
        <v>55471.143214349999</v>
      </c>
      <c r="BB48" s="75">
        <f t="shared" si="72"/>
        <v>56769.829846979999</v>
      </c>
      <c r="BC48" s="74">
        <v>993.27743684662084</v>
      </c>
      <c r="BD48" s="92">
        <f t="shared" si="73"/>
        <v>977.03031655668076</v>
      </c>
      <c r="BE48" s="93">
        <f>AO48/SUM(Table5[[#This Row],[NWP (Standard)]],Table5[[#This Row],[NWP (Plus)]],Table5[[#This Row],[NWP (Essentials)]],Table5[[#This Row],[NWP (Premium)]])</f>
        <v>0.50874763410000068</v>
      </c>
      <c r="BF48" s="93">
        <f>AS48/SUM(Table5[[#This Row],[NWP (Standard)]],Table5[[#This Row],[NWP (Plus)]],Table5[[#This Row],[NWP (Essentials)]],Table5[[#This Row],[NWP (Premium)]])</f>
        <v>0.12368620946016683</v>
      </c>
      <c r="BG48" s="93">
        <f>AW48/SUM(Table5[[#This Row],[NWP (Standard)]],Table5[[#This Row],[NWP (Plus)]],Table5[[#This Row],[NWP (Essentials)]],Table5[[#This Row],[NWP (Premium)]])</f>
        <v>0.20252517465210376</v>
      </c>
      <c r="BH48" s="94">
        <f>BA48/SUM(Table5[[#This Row],[NWP (Standard)]],Table5[[#This Row],[NWP (Plus)]],Table5[[#This Row],[NWP (Essentials)]],Table5[[#This Row],[NWP (Premium)]])</f>
        <v>0.1650409817877288</v>
      </c>
      <c r="BI48" s="93">
        <f t="shared" si="74"/>
        <v>0.50914144756467827</v>
      </c>
      <c r="BJ48" s="93">
        <f t="shared" si="74"/>
        <v>0.12673912352170913</v>
      </c>
      <c r="BK48" s="93">
        <f t="shared" si="74"/>
        <v>0.21764192703851254</v>
      </c>
      <c r="BL48" s="94">
        <f t="shared" si="74"/>
        <v>0.14647750187510006</v>
      </c>
      <c r="BM48" s="74">
        <v>0</v>
      </c>
      <c r="BN48" s="75">
        <f t="shared" si="75"/>
        <v>0</v>
      </c>
      <c r="BO48" s="74">
        <v>0</v>
      </c>
      <c r="BP48" s="92">
        <f t="shared" si="76"/>
        <v>0</v>
      </c>
      <c r="BQ48" s="74">
        <v>0</v>
      </c>
      <c r="BR48" s="75">
        <f t="shared" si="77"/>
        <v>0</v>
      </c>
      <c r="BS48" s="74">
        <v>0</v>
      </c>
      <c r="BT48" s="92">
        <f t="shared" si="78"/>
        <v>0</v>
      </c>
      <c r="BU48" s="74">
        <v>0</v>
      </c>
      <c r="BV48" s="75">
        <f t="shared" si="79"/>
        <v>0</v>
      </c>
      <c r="BW48" s="74">
        <v>0</v>
      </c>
      <c r="BX48" s="92">
        <f t="shared" si="80"/>
        <v>0</v>
      </c>
      <c r="BY48" s="74">
        <v>0</v>
      </c>
      <c r="BZ48" s="75">
        <f t="shared" si="81"/>
        <v>0</v>
      </c>
      <c r="CA48" s="74">
        <v>0</v>
      </c>
      <c r="CB48" s="92">
        <f t="shared" si="82"/>
        <v>0</v>
      </c>
      <c r="CC48" s="74">
        <v>170992.75928581003</v>
      </c>
      <c r="CD48" s="75">
        <f t="shared" si="83"/>
        <v>199221.76316330855</v>
      </c>
      <c r="CE48" s="74">
        <v>786.52531930645773</v>
      </c>
      <c r="CF48" s="92">
        <f t="shared" si="84"/>
        <v>783.3425083560287</v>
      </c>
      <c r="CG48" s="74">
        <v>41571.586428330003</v>
      </c>
      <c r="CH48" s="75">
        <f t="shared" si="85"/>
        <v>50103.498622470004</v>
      </c>
      <c r="CI48" s="74">
        <v>801.64988619630162</v>
      </c>
      <c r="CJ48" s="92">
        <f t="shared" si="86"/>
        <v>873.00006821315367</v>
      </c>
      <c r="CK48" s="74">
        <v>68069.777857280002</v>
      </c>
      <c r="CL48" s="75">
        <f t="shared" si="87"/>
        <v>85065.57734693856</v>
      </c>
      <c r="CM48" s="74">
        <v>1050.1043498404324</v>
      </c>
      <c r="CN48" s="92">
        <f t="shared" si="88"/>
        <v>1068.4716363859766</v>
      </c>
      <c r="CO48" s="74">
        <v>55471.143214349999</v>
      </c>
      <c r="CP48" s="75">
        <f t="shared" si="89"/>
        <v>56769.829846979999</v>
      </c>
      <c r="CQ48" s="74">
        <v>993.27743684662084</v>
      </c>
      <c r="CR48" s="92">
        <f t="shared" si="90"/>
        <v>977.03031655668076</v>
      </c>
    </row>
    <row r="49" spans="1:96" x14ac:dyDescent="0.25">
      <c r="A49" s="85">
        <f t="shared" si="7"/>
        <v>45464</v>
      </c>
      <c r="B49" s="74">
        <v>1183307.6421431797</v>
      </c>
      <c r="C49" s="75">
        <f t="shared" si="8"/>
        <v>1275900.0074999076</v>
      </c>
      <c r="D49" s="74">
        <v>1026.4346775789827</v>
      </c>
      <c r="E49" s="75">
        <f t="shared" si="8"/>
        <v>1041.1574671453802</v>
      </c>
      <c r="F49" s="96">
        <f t="shared" si="0"/>
        <v>1957319.4982231378</v>
      </c>
      <c r="G49" s="75">
        <v>1482963.3817860885</v>
      </c>
      <c r="H49" s="75">
        <f t="shared" ref="H49" si="595">AVERAGE(G46:G49)</f>
        <v>1574493.0477677146</v>
      </c>
      <c r="I49" s="75">
        <f>Table5[[#This Row],[Average NWP (Boom)]]</f>
        <v>1026.4346775789827</v>
      </c>
      <c r="J49" s="92">
        <f t="shared" ref="J49" si="596">AVERAGE(I46:I49)</f>
        <v>1041.1574671453802</v>
      </c>
      <c r="K49" s="75">
        <f t="shared" si="1"/>
        <v>1182308.16250032</v>
      </c>
      <c r="L49" s="75">
        <f t="shared" ref="L49" si="597">AVERAGE(K46:K49)</f>
        <v>1275650.1375891925</v>
      </c>
      <c r="M49" s="75">
        <v>1023.6434307362078</v>
      </c>
      <c r="N49" s="75">
        <f t="shared" ref="N49" si="598">AVERAGE(M46:M49)</f>
        <v>1038.3102066952201</v>
      </c>
      <c r="O49" s="96">
        <f t="shared" si="2"/>
        <v>1599721.7080653624</v>
      </c>
      <c r="P49" s="74">
        <v>361864.00357124989</v>
      </c>
      <c r="Q49" s="75">
        <f t="shared" ref="Q49" si="599">AVERAGE(P46:P49)</f>
        <v>356377.55598230253</v>
      </c>
      <c r="R49" s="74">
        <v>861.58096088392836</v>
      </c>
      <c r="S49" s="75">
        <f t="shared" ref="S49" si="600">AVERAGE(R46:R49)</f>
        <v>860.27415012474944</v>
      </c>
      <c r="T49" s="96">
        <v>378514.85393813183</v>
      </c>
      <c r="U49" s="74">
        <v>820444.15892906999</v>
      </c>
      <c r="V49" s="75">
        <f t="shared" ref="V49" si="601">AVERAGE(U46:U49)</f>
        <v>919272.58160688996</v>
      </c>
      <c r="W49" s="74">
        <v>1116.2505563660816</v>
      </c>
      <c r="X49" s="75">
        <f t="shared" ref="X49" si="602">AVERAGE(W46:W49)</f>
        <v>1129.0932221354039</v>
      </c>
      <c r="Y49" s="96">
        <v>1221206.8541272306</v>
      </c>
      <c r="Z49" s="74">
        <v>999.47964286000001</v>
      </c>
      <c r="AA49" s="75">
        <f t="shared" ref="AA49" si="603">AVERAGE(Z46:Z49)</f>
        <v>249.869910715</v>
      </c>
      <c r="AB49" s="74">
        <v>1002.2254660271367</v>
      </c>
      <c r="AC49" s="75">
        <f t="shared" ref="AC49" si="604">AVERAGE(AB46:AB49)</f>
        <v>250.55636650678417</v>
      </c>
      <c r="AD49" s="96" t="e">
        <v>#VALUE!</v>
      </c>
      <c r="AE49" s="74">
        <v>999.47964286000001</v>
      </c>
      <c r="AF49" s="75">
        <f t="shared" ref="AF49" si="605">AVERAGE(AE46:AE49)</f>
        <v>249.869910715</v>
      </c>
      <c r="AG49" s="74">
        <v>999.47964286000001</v>
      </c>
      <c r="AH49" s="75">
        <f t="shared" ref="AH49" si="606">AVERAGE(AG46:AG49)</f>
        <v>249.869910715</v>
      </c>
      <c r="AI49" s="96" t="e">
        <v>#VALUE!</v>
      </c>
      <c r="AJ49" s="74">
        <v>999.47964286000001</v>
      </c>
      <c r="AK49" s="75">
        <f t="shared" ref="AK49" si="607">AVERAGE(AJ46:AJ49)</f>
        <v>249.869910715</v>
      </c>
      <c r="AL49" s="74">
        <v>1002.2254660271367</v>
      </c>
      <c r="AM49" s="75">
        <f t="shared" ref="AM49" si="608">AVERAGE(AL46:AL49)</f>
        <v>250.55636650678417</v>
      </c>
      <c r="AN49" s="96">
        <v>357597.79015777534</v>
      </c>
      <c r="AO49" s="74">
        <f t="shared" si="3"/>
        <v>200524.70535687005</v>
      </c>
      <c r="AP49" s="75">
        <f t="shared" si="66"/>
        <v>192582.43454088713</v>
      </c>
      <c r="AQ49" s="74">
        <v>810.78869918963596</v>
      </c>
      <c r="AR49" s="92">
        <f t="shared" si="67"/>
        <v>781.61912027097708</v>
      </c>
      <c r="AS49" s="74">
        <f t="shared" si="4"/>
        <v>39133.402499989999</v>
      </c>
      <c r="AT49" s="75">
        <f t="shared" si="68"/>
        <v>45069.490510215714</v>
      </c>
      <c r="AU49" s="74">
        <v>769.4296440478314</v>
      </c>
      <c r="AV49" s="92">
        <f t="shared" si="69"/>
        <v>856.08903695542654</v>
      </c>
      <c r="AW49" s="74">
        <f t="shared" si="5"/>
        <v>82558.229285820009</v>
      </c>
      <c r="AX49" s="75">
        <f t="shared" si="70"/>
        <v>82285.225867388566</v>
      </c>
      <c r="AY49" s="74">
        <v>1103.8005014101266</v>
      </c>
      <c r="AZ49" s="92">
        <f t="shared" si="71"/>
        <v>1088.2855001187479</v>
      </c>
      <c r="BA49" s="74">
        <f t="shared" si="6"/>
        <v>40647.14607142999</v>
      </c>
      <c r="BB49" s="75">
        <f t="shared" si="72"/>
        <v>54703.999642914285</v>
      </c>
      <c r="BC49" s="74">
        <v>867.20880966006325</v>
      </c>
      <c r="BD49" s="92">
        <f t="shared" si="73"/>
        <v>962.42267035270743</v>
      </c>
      <c r="BE49" s="93">
        <f>AO49/SUM(Table5[[#This Row],[NWP (Standard)]],Table5[[#This Row],[NWP (Plus)]],Table5[[#This Row],[NWP (Essentials)]],Table5[[#This Row],[NWP (Premium)]])</f>
        <v>0.55261748462726701</v>
      </c>
      <c r="BF49" s="93">
        <f>AS49/SUM(Table5[[#This Row],[NWP (Standard)]],Table5[[#This Row],[NWP (Plus)]],Table5[[#This Row],[NWP (Essentials)]],Table5[[#This Row],[NWP (Premium)]])</f>
        <v>0.10784607520536606</v>
      </c>
      <c r="BG49" s="93">
        <f>AW49/SUM(Table5[[#This Row],[NWP (Standard)]],Table5[[#This Row],[NWP (Plus)]],Table5[[#This Row],[NWP (Essentials)]],Table5[[#This Row],[NWP (Premium)]])</f>
        <v>0.22751870360321147</v>
      </c>
      <c r="BH49" s="94">
        <f>BA49/SUM(Table5[[#This Row],[NWP (Standard)]],Table5[[#This Row],[NWP (Plus)]],Table5[[#This Row],[NWP (Essentials)]],Table5[[#This Row],[NWP (Premium)]])</f>
        <v>0.11201773656415535</v>
      </c>
      <c r="BI49" s="93">
        <f t="shared" si="74"/>
        <v>0.51434446848353021</v>
      </c>
      <c r="BJ49" s="93">
        <f t="shared" si="74"/>
        <v>0.11994196129744494</v>
      </c>
      <c r="BK49" s="93">
        <f t="shared" si="74"/>
        <v>0.21968612287109041</v>
      </c>
      <c r="BL49" s="94">
        <f t="shared" si="74"/>
        <v>0.14602744734793441</v>
      </c>
      <c r="BM49" s="74">
        <v>999.47964286000001</v>
      </c>
      <c r="BN49" s="75">
        <f t="shared" si="75"/>
        <v>142.78280612285715</v>
      </c>
      <c r="BO49" s="74">
        <v>1002.2254660271367</v>
      </c>
      <c r="BP49" s="92">
        <f t="shared" si="76"/>
        <v>143.17506657530524</v>
      </c>
      <c r="BQ49" s="74">
        <v>0</v>
      </c>
      <c r="BR49" s="75">
        <f t="shared" si="77"/>
        <v>0</v>
      </c>
      <c r="BS49" s="74">
        <v>0</v>
      </c>
      <c r="BT49" s="92">
        <f t="shared" si="78"/>
        <v>0</v>
      </c>
      <c r="BU49" s="74">
        <v>0</v>
      </c>
      <c r="BV49" s="75">
        <f t="shared" si="79"/>
        <v>0</v>
      </c>
      <c r="BW49" s="74">
        <v>0</v>
      </c>
      <c r="BX49" s="92">
        <f t="shared" si="80"/>
        <v>0</v>
      </c>
      <c r="BY49" s="74">
        <v>0</v>
      </c>
      <c r="BZ49" s="75">
        <f t="shared" si="81"/>
        <v>0</v>
      </c>
      <c r="CA49" s="74">
        <v>0</v>
      </c>
      <c r="CB49" s="92">
        <f t="shared" si="82"/>
        <v>0</v>
      </c>
      <c r="CC49" s="74">
        <v>199525.22571401004</v>
      </c>
      <c r="CD49" s="75">
        <f t="shared" si="83"/>
        <v>192439.65173476425</v>
      </c>
      <c r="CE49" s="74">
        <v>810.01365155061774</v>
      </c>
      <c r="CF49" s="92">
        <f t="shared" si="84"/>
        <v>781.50839917968881</v>
      </c>
      <c r="CG49" s="74">
        <v>39133.402499989999</v>
      </c>
      <c r="CH49" s="75">
        <f t="shared" si="85"/>
        <v>45069.490510215714</v>
      </c>
      <c r="CI49" s="74">
        <v>769.4296440478314</v>
      </c>
      <c r="CJ49" s="92">
        <f t="shared" si="86"/>
        <v>856.08903695542654</v>
      </c>
      <c r="CK49" s="74">
        <v>82558.229285820009</v>
      </c>
      <c r="CL49" s="75">
        <f t="shared" si="87"/>
        <v>82285.225867388566</v>
      </c>
      <c r="CM49" s="74">
        <v>1103.8005014101266</v>
      </c>
      <c r="CN49" s="92">
        <f t="shared" si="88"/>
        <v>1088.2855001187479</v>
      </c>
      <c r="CO49" s="74">
        <v>40647.14607142999</v>
      </c>
      <c r="CP49" s="75">
        <f t="shared" si="89"/>
        <v>54703.999642914285</v>
      </c>
      <c r="CQ49" s="74">
        <v>867.20880966006325</v>
      </c>
      <c r="CR49" s="92">
        <f t="shared" si="90"/>
        <v>962.42267035270743</v>
      </c>
    </row>
    <row r="50" spans="1:96" x14ac:dyDescent="0.25">
      <c r="A50" s="85">
        <f t="shared" si="7"/>
        <v>45471</v>
      </c>
      <c r="B50" s="74">
        <v>1297259.7764277901</v>
      </c>
      <c r="C50" s="75">
        <f t="shared" si="8"/>
        <v>1249459.0153570352</v>
      </c>
      <c r="D50" s="74">
        <v>1107.0839803206334</v>
      </c>
      <c r="E50" s="75">
        <f t="shared" si="8"/>
        <v>1054.270627555647</v>
      </c>
      <c r="F50" s="96">
        <f t="shared" si="0"/>
        <v>1957319.4982231378</v>
      </c>
      <c r="G50" s="75">
        <v>1567473.8017849182</v>
      </c>
      <c r="H50" s="75">
        <f t="shared" ref="H50" si="609">AVERAGE(G47:G50)</f>
        <v>1539600.6083927145</v>
      </c>
      <c r="I50" s="75">
        <f>Table5[[#This Row],[Average NWP (Boom)]]</f>
        <v>1107.0839803206334</v>
      </c>
      <c r="J50" s="92">
        <f t="shared" ref="J50" si="610">AVERAGE(I47:I50)</f>
        <v>1054.270627555647</v>
      </c>
      <c r="K50" s="75">
        <f t="shared" si="1"/>
        <v>1297259.7764277901</v>
      </c>
      <c r="L50" s="75">
        <f t="shared" ref="L50" si="611">AVERAGE(K47:K50)</f>
        <v>1249209.1454463201</v>
      </c>
      <c r="M50" s="75">
        <v>1104.0508735555661</v>
      </c>
      <c r="N50" s="75">
        <f t="shared" ref="N50" si="612">AVERAGE(M47:M50)</f>
        <v>1051.3874406389691</v>
      </c>
      <c r="O50" s="96">
        <f t="shared" si="2"/>
        <v>1599721.7080653624</v>
      </c>
      <c r="P50" s="74">
        <v>319480.45857111993</v>
      </c>
      <c r="Q50" s="75">
        <f t="shared" ref="Q50" si="613">AVERAGE(P47:P50)</f>
        <v>344387.5340177925</v>
      </c>
      <c r="R50" s="74">
        <v>926.03031469889834</v>
      </c>
      <c r="S50" s="75">
        <f t="shared" ref="S50" si="614">AVERAGE(R47:R50)</f>
        <v>875.64023089996795</v>
      </c>
      <c r="T50" s="96">
        <v>378514.85393813183</v>
      </c>
      <c r="U50" s="74">
        <v>977779.31785667024</v>
      </c>
      <c r="V50" s="75">
        <f t="shared" ref="V50" si="615">AVERAGE(U47:U50)</f>
        <v>904821.61142852763</v>
      </c>
      <c r="W50" s="74">
        <v>1178.0473709116509</v>
      </c>
      <c r="X50" s="75">
        <f t="shared" ref="X50" si="616">AVERAGE(W47:W50)</f>
        <v>1138.7912038704344</v>
      </c>
      <c r="Y50" s="96">
        <v>1221206.8541272306</v>
      </c>
      <c r="Z50" s="74">
        <v>0</v>
      </c>
      <c r="AA50" s="75">
        <f t="shared" ref="AA50" si="617">AVERAGE(Z47:Z50)</f>
        <v>249.869910715</v>
      </c>
      <c r="AB50" s="74">
        <v>0</v>
      </c>
      <c r="AC50" s="75">
        <f t="shared" ref="AC50" si="618">AVERAGE(AB47:AB50)</f>
        <v>250.55636650678417</v>
      </c>
      <c r="AD50" s="96" t="e">
        <v>#VALUE!</v>
      </c>
      <c r="AE50" s="74">
        <v>0</v>
      </c>
      <c r="AF50" s="75">
        <f t="shared" ref="AF50" si="619">AVERAGE(AE47:AE50)</f>
        <v>249.869910715</v>
      </c>
      <c r="AG50" s="74">
        <v>0</v>
      </c>
      <c r="AH50" s="75">
        <f t="shared" ref="AH50" si="620">AVERAGE(AG47:AG50)</f>
        <v>249.869910715</v>
      </c>
      <c r="AI50" s="96" t="e">
        <v>#VALUE!</v>
      </c>
      <c r="AJ50" s="74">
        <v>0</v>
      </c>
      <c r="AK50" s="75">
        <f t="shared" ref="AK50" si="621">AVERAGE(AJ47:AJ50)</f>
        <v>249.869910715</v>
      </c>
      <c r="AL50" s="74">
        <v>0</v>
      </c>
      <c r="AM50" s="75">
        <f t="shared" ref="AM50" si="622">AVERAGE(AL47:AL50)</f>
        <v>250.55636650678417</v>
      </c>
      <c r="AN50" s="96">
        <v>357597.79015777534</v>
      </c>
      <c r="AO50" s="74">
        <f t="shared" si="3"/>
        <v>139322.65249976999</v>
      </c>
      <c r="AP50" s="75">
        <f t="shared" si="66"/>
        <v>184017.18918373715</v>
      </c>
      <c r="AQ50" s="74">
        <v>780.47713427802489</v>
      </c>
      <c r="AR50" s="92">
        <f t="shared" si="67"/>
        <v>785.39248943143195</v>
      </c>
      <c r="AS50" s="74">
        <f t="shared" si="4"/>
        <v>52958.459285789984</v>
      </c>
      <c r="AT50" s="75">
        <f t="shared" si="68"/>
        <v>47299.715816327145</v>
      </c>
      <c r="AU50" s="74">
        <v>915.58533719128025</v>
      </c>
      <c r="AV50" s="92">
        <f t="shared" si="69"/>
        <v>856.40093715853652</v>
      </c>
      <c r="AW50" s="74">
        <f t="shared" si="5"/>
        <v>69246.878928399994</v>
      </c>
      <c r="AX50" s="75">
        <f t="shared" si="70"/>
        <v>78182.238367377155</v>
      </c>
      <c r="AY50" s="74">
        <v>1218.195045699423</v>
      </c>
      <c r="AZ50" s="92">
        <f t="shared" si="71"/>
        <v>1089.0559851129769</v>
      </c>
      <c r="BA50" s="74">
        <f t="shared" si="6"/>
        <v>57952.467857159994</v>
      </c>
      <c r="BB50" s="75">
        <f t="shared" si="72"/>
        <v>55321.537346995719</v>
      </c>
      <c r="BC50" s="74">
        <v>1139.4446653351802</v>
      </c>
      <c r="BD50" s="92">
        <f t="shared" si="73"/>
        <v>999.2589380503216</v>
      </c>
      <c r="BE50" s="93">
        <f>AO50/SUM(Table5[[#This Row],[NWP (Standard)]],Table5[[#This Row],[NWP (Plus)]],Table5[[#This Row],[NWP (Essentials)]],Table5[[#This Row],[NWP (Premium)]])</f>
        <v>0.43609131251060607</v>
      </c>
      <c r="BF50" s="93">
        <f>AS50/SUM(Table5[[#This Row],[NWP (Standard)]],Table5[[#This Row],[NWP (Plus)]],Table5[[#This Row],[NWP (Essentials)]],Table5[[#This Row],[NWP (Premium)]])</f>
        <v>0.16576431473351236</v>
      </c>
      <c r="BG50" s="93">
        <f>AW50/SUM(Table5[[#This Row],[NWP (Standard)]],Table5[[#This Row],[NWP (Plus)]],Table5[[#This Row],[NWP (Essentials)]],Table5[[#This Row],[NWP (Premium)]])</f>
        <v>0.21674840219682751</v>
      </c>
      <c r="BH50" s="94">
        <f>BA50/SUM(Table5[[#This Row],[NWP (Standard)]],Table5[[#This Row],[NWP (Plus)]],Table5[[#This Row],[NWP (Essentials)]],Table5[[#This Row],[NWP (Premium)]])</f>
        <v>0.18139597055905415</v>
      </c>
      <c r="BI50" s="93">
        <f t="shared" si="74"/>
        <v>0.50331313977246073</v>
      </c>
      <c r="BJ50" s="93">
        <f t="shared" si="74"/>
        <v>0.12987980973021318</v>
      </c>
      <c r="BK50" s="93">
        <f t="shared" si="74"/>
        <v>0.21460035373776512</v>
      </c>
      <c r="BL50" s="94">
        <f t="shared" si="74"/>
        <v>0.15220669675956097</v>
      </c>
      <c r="BM50" s="74">
        <v>0</v>
      </c>
      <c r="BN50" s="75">
        <f t="shared" si="75"/>
        <v>142.78280612285715</v>
      </c>
      <c r="BO50" s="74">
        <v>0</v>
      </c>
      <c r="BP50" s="92">
        <f t="shared" si="76"/>
        <v>143.17506657530524</v>
      </c>
      <c r="BQ50" s="74">
        <v>0</v>
      </c>
      <c r="BR50" s="75">
        <f t="shared" si="77"/>
        <v>0</v>
      </c>
      <c r="BS50" s="74">
        <v>0</v>
      </c>
      <c r="BT50" s="92">
        <f t="shared" si="78"/>
        <v>0</v>
      </c>
      <c r="BU50" s="74">
        <v>0</v>
      </c>
      <c r="BV50" s="75">
        <f t="shared" si="79"/>
        <v>0</v>
      </c>
      <c r="BW50" s="74">
        <v>0</v>
      </c>
      <c r="BX50" s="92">
        <f t="shared" si="80"/>
        <v>0</v>
      </c>
      <c r="BY50" s="74">
        <v>0</v>
      </c>
      <c r="BZ50" s="75">
        <f t="shared" si="81"/>
        <v>0</v>
      </c>
      <c r="CA50" s="74">
        <v>0</v>
      </c>
      <c r="CB50" s="92">
        <f t="shared" si="82"/>
        <v>0</v>
      </c>
      <c r="CC50" s="74">
        <v>139322.65249976999</v>
      </c>
      <c r="CD50" s="75">
        <f t="shared" si="83"/>
        <v>183874.4063776143</v>
      </c>
      <c r="CE50" s="74">
        <v>780.47713427802489</v>
      </c>
      <c r="CF50" s="92">
        <f t="shared" si="84"/>
        <v>785.28176834014357</v>
      </c>
      <c r="CG50" s="74">
        <v>52958.459285789984</v>
      </c>
      <c r="CH50" s="75">
        <f t="shared" si="85"/>
        <v>47299.715816327145</v>
      </c>
      <c r="CI50" s="74">
        <v>915.58533719128025</v>
      </c>
      <c r="CJ50" s="92">
        <f t="shared" si="86"/>
        <v>856.40093715853652</v>
      </c>
      <c r="CK50" s="74">
        <v>69246.878928399994</v>
      </c>
      <c r="CL50" s="75">
        <f t="shared" si="87"/>
        <v>78182.238367377155</v>
      </c>
      <c r="CM50" s="74">
        <v>1218.195045699423</v>
      </c>
      <c r="CN50" s="92">
        <f t="shared" si="88"/>
        <v>1089.0559851129769</v>
      </c>
      <c r="CO50" s="74">
        <v>57952.467857159994</v>
      </c>
      <c r="CP50" s="75">
        <f t="shared" si="89"/>
        <v>55321.537346995719</v>
      </c>
      <c r="CQ50" s="74">
        <v>1139.4446653351802</v>
      </c>
      <c r="CR50" s="92">
        <f t="shared" si="90"/>
        <v>999.2589380503216</v>
      </c>
    </row>
    <row r="51" spans="1:96" x14ac:dyDescent="0.25">
      <c r="A51" s="85">
        <f t="shared" si="7"/>
        <v>45478</v>
      </c>
      <c r="B51" s="74">
        <v>1227975.1500002798</v>
      </c>
      <c r="C51" s="75">
        <f t="shared" si="8"/>
        <v>1239353.43723218</v>
      </c>
      <c r="D51" s="74">
        <v>1067.026610113385</v>
      </c>
      <c r="E51" s="75">
        <f t="shared" si="8"/>
        <v>1070.2618875606852</v>
      </c>
      <c r="F51" s="96">
        <f t="shared" si="0"/>
        <v>1531115.5122708147</v>
      </c>
      <c r="G51" s="75">
        <v>1540668.5200003171</v>
      </c>
      <c r="H51" s="75">
        <f t="shared" ref="H51" si="623">AVERAGE(G48:G51)</f>
        <v>1531193.6226785791</v>
      </c>
      <c r="I51" s="75">
        <f>Table5[[#This Row],[Average NWP (Boom)]]</f>
        <v>1067.026610113385</v>
      </c>
      <c r="J51" s="92">
        <f t="shared" ref="J51" si="624">AVERAGE(I48:I51)</f>
        <v>1070.2618875606852</v>
      </c>
      <c r="K51" s="75">
        <f t="shared" si="1"/>
        <v>1227975.15000028</v>
      </c>
      <c r="L51" s="75">
        <f t="shared" ref="L51" si="625">AVERAGE(K48:K51)</f>
        <v>1239103.5673214651</v>
      </c>
      <c r="M51" s="75">
        <v>1064.1032495669672</v>
      </c>
      <c r="N51" s="75">
        <f t="shared" ref="N51" si="626">AVERAGE(M48:M51)</f>
        <v>1067.334888973199</v>
      </c>
      <c r="O51" s="96">
        <f t="shared" si="2"/>
        <v>1197826.2839239461</v>
      </c>
      <c r="P51" s="74">
        <v>334771.29642862995</v>
      </c>
      <c r="Q51" s="75">
        <f t="shared" ref="Q51" si="627">AVERAGE(P48:P51)</f>
        <v>338055.25633919239</v>
      </c>
      <c r="R51" s="74">
        <v>904.78728764494588</v>
      </c>
      <c r="S51" s="75">
        <f t="shared" ref="S51" si="628">AVERAGE(R48:R51)</f>
        <v>888.00070652674492</v>
      </c>
      <c r="T51" s="96">
        <v>301334.29680523596</v>
      </c>
      <c r="U51" s="74">
        <v>893203.85357165011</v>
      </c>
      <c r="V51" s="75">
        <f t="shared" ref="V51" si="629">AVERAGE(U48:U51)</f>
        <v>901048.31098227261</v>
      </c>
      <c r="W51" s="74">
        <v>1139.2906295556761</v>
      </c>
      <c r="X51" s="75">
        <f t="shared" ref="X51" si="630">AVERAGE(W48:W51)</f>
        <v>1155.5214600324734</v>
      </c>
      <c r="Y51" s="96">
        <v>896491.98711871007</v>
      </c>
      <c r="Z51" s="74">
        <v>0</v>
      </c>
      <c r="AA51" s="75">
        <f t="shared" ref="AA51" si="631">AVERAGE(Z48:Z51)</f>
        <v>249.869910715</v>
      </c>
      <c r="AB51" s="74">
        <v>0</v>
      </c>
      <c r="AC51" s="75">
        <f t="shared" ref="AC51" si="632">AVERAGE(AB48:AB51)</f>
        <v>250.55636650678417</v>
      </c>
      <c r="AD51" s="96" t="e">
        <v>#VALUE!</v>
      </c>
      <c r="AE51" s="74">
        <v>0</v>
      </c>
      <c r="AF51" s="75">
        <f t="shared" ref="AF51" si="633">AVERAGE(AE48:AE51)</f>
        <v>249.869910715</v>
      </c>
      <c r="AG51" s="74">
        <v>0</v>
      </c>
      <c r="AH51" s="75">
        <f t="shared" ref="AH51" si="634">AVERAGE(AG48:AG51)</f>
        <v>249.869910715</v>
      </c>
      <c r="AI51" s="96" t="e">
        <v>#VALUE!</v>
      </c>
      <c r="AJ51" s="74">
        <v>0</v>
      </c>
      <c r="AK51" s="75">
        <f t="shared" ref="AK51" si="635">AVERAGE(AJ48:AJ51)</f>
        <v>249.869910715</v>
      </c>
      <c r="AL51" s="74">
        <v>0</v>
      </c>
      <c r="AM51" s="75">
        <f t="shared" ref="AM51" si="636">AVERAGE(AL48:AL51)</f>
        <v>250.55636650678417</v>
      </c>
      <c r="AN51" s="96">
        <v>333289.22834686859</v>
      </c>
      <c r="AO51" s="74">
        <f t="shared" si="3"/>
        <v>157373.06000013</v>
      </c>
      <c r="AP51" s="75">
        <f t="shared" si="66"/>
        <v>179139.08739800286</v>
      </c>
      <c r="AQ51" s="74">
        <v>801.04265770164272</v>
      </c>
      <c r="AR51" s="92">
        <f t="shared" si="67"/>
        <v>787.38808823883949</v>
      </c>
      <c r="AS51" s="74">
        <f t="shared" si="4"/>
        <v>56832.737857100001</v>
      </c>
      <c r="AT51" s="75">
        <f t="shared" si="68"/>
        <v>47192.014438757142</v>
      </c>
      <c r="AU51" s="74">
        <v>999.80476755695088</v>
      </c>
      <c r="AV51" s="92">
        <f t="shared" si="69"/>
        <v>863.99634288902996</v>
      </c>
      <c r="AW51" s="74">
        <f t="shared" si="5"/>
        <v>68067.635714279997</v>
      </c>
      <c r="AX51" s="75">
        <f t="shared" si="70"/>
        <v>75660.87520410998</v>
      </c>
      <c r="AY51" s="74">
        <v>1034.1611319942415</v>
      </c>
      <c r="AZ51" s="92">
        <f t="shared" si="71"/>
        <v>1087.049971552671</v>
      </c>
      <c r="BA51" s="74">
        <f t="shared" si="6"/>
        <v>52497.862857119995</v>
      </c>
      <c r="BB51" s="75">
        <f t="shared" si="72"/>
        <v>53523.193061272861</v>
      </c>
      <c r="BC51" s="74">
        <v>1052.8417550726585</v>
      </c>
      <c r="BD51" s="92">
        <f t="shared" si="73"/>
        <v>991.63807183236634</v>
      </c>
      <c r="BE51" s="93">
        <f>AO51/SUM(Table5[[#This Row],[NWP (Standard)]],Table5[[#This Row],[NWP (Plus)]],Table5[[#This Row],[NWP (Essentials)]],Table5[[#This Row],[NWP (Premium)]])</f>
        <v>0.47009125835757071</v>
      </c>
      <c r="BF51" s="93">
        <f>AS51/SUM(Table5[[#This Row],[NWP (Standard)]],Table5[[#This Row],[NWP (Plus)]],Table5[[#This Row],[NWP (Essentials)]],Table5[[#This Row],[NWP (Premium)]])</f>
        <v>0.16976586243622649</v>
      </c>
      <c r="BG51" s="93">
        <f>AW51/SUM(Table5[[#This Row],[NWP (Standard)]],Table5[[#This Row],[NWP (Plus)]],Table5[[#This Row],[NWP (Essentials)]],Table5[[#This Row],[NWP (Premium)]])</f>
        <v>0.20332578222933564</v>
      </c>
      <c r="BH51" s="94">
        <f>BA51/SUM(Table5[[#This Row],[NWP (Standard)]],Table5[[#This Row],[NWP (Plus)]],Table5[[#This Row],[NWP (Essentials)]],Table5[[#This Row],[NWP (Premium)]])</f>
        <v>0.1568170969768671</v>
      </c>
      <c r="BI51" s="93">
        <f t="shared" si="74"/>
        <v>0.50205369951048107</v>
      </c>
      <c r="BJ51" s="93">
        <f t="shared" si="74"/>
        <v>0.13356078078077724</v>
      </c>
      <c r="BK51" s="93">
        <f t="shared" si="74"/>
        <v>0.21302671681338925</v>
      </c>
      <c r="BL51" s="94">
        <f t="shared" si="74"/>
        <v>0.15135880289535239</v>
      </c>
      <c r="BM51" s="74">
        <v>0</v>
      </c>
      <c r="BN51" s="75">
        <f t="shared" si="75"/>
        <v>142.78280612285715</v>
      </c>
      <c r="BO51" s="74">
        <v>0</v>
      </c>
      <c r="BP51" s="92">
        <f t="shared" si="76"/>
        <v>143.17506657530524</v>
      </c>
      <c r="BQ51" s="74">
        <v>0</v>
      </c>
      <c r="BR51" s="75">
        <f t="shared" si="77"/>
        <v>0</v>
      </c>
      <c r="BS51" s="74">
        <v>0</v>
      </c>
      <c r="BT51" s="92">
        <f t="shared" si="78"/>
        <v>0</v>
      </c>
      <c r="BU51" s="74">
        <v>0</v>
      </c>
      <c r="BV51" s="75">
        <f t="shared" si="79"/>
        <v>0</v>
      </c>
      <c r="BW51" s="74">
        <v>0</v>
      </c>
      <c r="BX51" s="92">
        <f t="shared" si="80"/>
        <v>0</v>
      </c>
      <c r="BY51" s="74">
        <v>0</v>
      </c>
      <c r="BZ51" s="75">
        <f t="shared" si="81"/>
        <v>0</v>
      </c>
      <c r="CA51" s="74">
        <v>0</v>
      </c>
      <c r="CB51" s="92">
        <f t="shared" si="82"/>
        <v>0</v>
      </c>
      <c r="CC51" s="74">
        <v>157373.06000013</v>
      </c>
      <c r="CD51" s="75">
        <f t="shared" si="83"/>
        <v>178996.30459188001</v>
      </c>
      <c r="CE51" s="74">
        <v>801.04265770164272</v>
      </c>
      <c r="CF51" s="92">
        <f t="shared" si="84"/>
        <v>787.27736714755122</v>
      </c>
      <c r="CG51" s="74">
        <v>56832.737857100001</v>
      </c>
      <c r="CH51" s="75">
        <f t="shared" si="85"/>
        <v>47192.014438757142</v>
      </c>
      <c r="CI51" s="74">
        <v>999.80476755695088</v>
      </c>
      <c r="CJ51" s="92">
        <f t="shared" si="86"/>
        <v>863.99634288902996</v>
      </c>
      <c r="CK51" s="74">
        <v>68067.635714279997</v>
      </c>
      <c r="CL51" s="75">
        <f t="shared" si="87"/>
        <v>75660.87520410998</v>
      </c>
      <c r="CM51" s="74">
        <v>1034.1611319942415</v>
      </c>
      <c r="CN51" s="92">
        <f t="shared" si="88"/>
        <v>1087.049971552671</v>
      </c>
      <c r="CO51" s="74">
        <v>52497.862857119995</v>
      </c>
      <c r="CP51" s="75">
        <f t="shared" si="89"/>
        <v>53523.193061272861</v>
      </c>
      <c r="CQ51" s="74">
        <v>1052.8417550726585</v>
      </c>
      <c r="CR51" s="92">
        <f t="shared" si="90"/>
        <v>991.63807183236634</v>
      </c>
    </row>
    <row r="52" spans="1:96" x14ac:dyDescent="0.25">
      <c r="A52" s="85">
        <f t="shared" si="7"/>
        <v>45485</v>
      </c>
      <c r="B52" s="74">
        <v>1031773.2632148199</v>
      </c>
      <c r="C52" s="75">
        <f t="shared" si="8"/>
        <v>1185078.9579465173</v>
      </c>
      <c r="D52" s="74">
        <v>1056.8006180983712</v>
      </c>
      <c r="E52" s="75">
        <f t="shared" si="8"/>
        <v>1064.3364715278431</v>
      </c>
      <c r="F52" s="96">
        <f t="shared" si="0"/>
        <v>1360633.9178898856</v>
      </c>
      <c r="G52" s="75">
        <v>1291021.4417861886</v>
      </c>
      <c r="H52" s="75">
        <f t="shared" ref="H52" si="637">AVERAGE(G49:G52)</f>
        <v>1470531.786339378</v>
      </c>
      <c r="I52" s="75">
        <f>Table5[[#This Row],[Average NWP (Boom)]]</f>
        <v>1056.8006180983712</v>
      </c>
      <c r="J52" s="92">
        <f t="shared" ref="J52" si="638">AVERAGE(I49:I52)</f>
        <v>1064.3364715278431</v>
      </c>
      <c r="K52" s="75">
        <f t="shared" si="1"/>
        <v>1031773.2632148203</v>
      </c>
      <c r="L52" s="75">
        <f t="shared" ref="L52" si="639">AVERAGE(K49:K52)</f>
        <v>1184829.0880358026</v>
      </c>
      <c r="M52" s="75">
        <v>1053.9052739681515</v>
      </c>
      <c r="N52" s="75">
        <f t="shared" ref="N52" si="640">AVERAGE(M49:M52)</f>
        <v>1061.4257069567229</v>
      </c>
      <c r="O52" s="96">
        <f t="shared" si="2"/>
        <v>1037068.1142673796</v>
      </c>
      <c r="P52" s="74">
        <v>273667.25178571005</v>
      </c>
      <c r="Q52" s="75">
        <f t="shared" ref="Q52" si="641">AVERAGE(P49:P52)</f>
        <v>322445.75258917746</v>
      </c>
      <c r="R52" s="74">
        <v>857.89107142855812</v>
      </c>
      <c r="S52" s="75">
        <f t="shared" ref="S52" si="642">AVERAGE(R49:R52)</f>
        <v>887.57240866408267</v>
      </c>
      <c r="T52" s="96">
        <v>270462.07395207754</v>
      </c>
      <c r="U52" s="74">
        <v>758106.01142911019</v>
      </c>
      <c r="V52" s="75">
        <f t="shared" ref="V52" si="643">AVERAGE(U49:U52)</f>
        <v>862383.33544662513</v>
      </c>
      <c r="W52" s="74">
        <v>1148.6454718622881</v>
      </c>
      <c r="X52" s="75">
        <f t="shared" ref="X52" si="644">AVERAGE(W49:W52)</f>
        <v>1145.5585071739242</v>
      </c>
      <c r="Y52" s="96">
        <v>766606.04031530209</v>
      </c>
      <c r="Z52" s="74">
        <v>0</v>
      </c>
      <c r="AA52" s="75">
        <f t="shared" ref="AA52" si="645">AVERAGE(Z49:Z52)</f>
        <v>249.869910715</v>
      </c>
      <c r="AB52" s="74">
        <v>0</v>
      </c>
      <c r="AC52" s="75">
        <f t="shared" ref="AC52" si="646">AVERAGE(AB49:AB52)</f>
        <v>250.55636650678417</v>
      </c>
      <c r="AD52" s="96" t="e">
        <v>#VALUE!</v>
      </c>
      <c r="AE52" s="74">
        <v>0</v>
      </c>
      <c r="AF52" s="75">
        <f t="shared" ref="AF52" si="647">AVERAGE(AE49:AE52)</f>
        <v>249.869910715</v>
      </c>
      <c r="AG52" s="74">
        <v>0</v>
      </c>
      <c r="AH52" s="75">
        <f t="shared" ref="AH52" si="648">AVERAGE(AG49:AG52)</f>
        <v>249.869910715</v>
      </c>
      <c r="AI52" s="96" t="e">
        <v>#VALUE!</v>
      </c>
      <c r="AJ52" s="74">
        <v>0</v>
      </c>
      <c r="AK52" s="75">
        <f t="shared" ref="AK52" si="649">AVERAGE(AJ49:AJ52)</f>
        <v>249.869910715</v>
      </c>
      <c r="AL52" s="74">
        <v>0</v>
      </c>
      <c r="AM52" s="75">
        <f t="shared" ref="AM52" si="650">AVERAGE(AL49:AL52)</f>
        <v>250.55636650678417</v>
      </c>
      <c r="AN52" s="96">
        <v>323565.80362250592</v>
      </c>
      <c r="AO52" s="74">
        <f t="shared" si="3"/>
        <v>141630.47249978999</v>
      </c>
      <c r="AP52" s="75">
        <f t="shared" si="66"/>
        <v>168873.4187755443</v>
      </c>
      <c r="AQ52" s="74">
        <v>811.54038400318927</v>
      </c>
      <c r="AR52" s="92">
        <f t="shared" si="67"/>
        <v>791.29905661811961</v>
      </c>
      <c r="AS52" s="74">
        <f t="shared" si="4"/>
        <v>38144.186428510002</v>
      </c>
      <c r="AT52" s="75">
        <f t="shared" si="68"/>
        <v>44956.187244851426</v>
      </c>
      <c r="AU52" s="74">
        <v>889.51111973061995</v>
      </c>
      <c r="AV52" s="92">
        <f t="shared" si="69"/>
        <v>855.87445978756125</v>
      </c>
      <c r="AW52" s="74">
        <f t="shared" si="5"/>
        <v>50371.668214550009</v>
      </c>
      <c r="AX52" s="75">
        <f t="shared" si="70"/>
        <v>71382.741581669994</v>
      </c>
      <c r="AY52" s="74">
        <v>901.96521280443744</v>
      </c>
      <c r="AZ52" s="92">
        <f t="shared" si="71"/>
        <v>1078.9306157734834</v>
      </c>
      <c r="BA52" s="74">
        <f t="shared" si="6"/>
        <v>43520.924642859994</v>
      </c>
      <c r="BB52" s="75">
        <f t="shared" si="72"/>
        <v>51134.611020438562</v>
      </c>
      <c r="BC52" s="74">
        <v>969.78861380998137</v>
      </c>
      <c r="BD52" s="92">
        <f t="shared" si="73"/>
        <v>990.99382731479545</v>
      </c>
      <c r="BE52" s="93">
        <f>AO52/SUM(Table5[[#This Row],[NWP (Standard)]],Table5[[#This Row],[NWP (Plus)]],Table5[[#This Row],[NWP (Essentials)]],Table5[[#This Row],[NWP (Premium)]])</f>
        <v>0.51752802564294786</v>
      </c>
      <c r="BF52" s="93">
        <f>AS52/SUM(Table5[[#This Row],[NWP (Standard)]],Table5[[#This Row],[NWP (Plus)]],Table5[[#This Row],[NWP (Essentials)]],Table5[[#This Row],[NWP (Premium)]])</f>
        <v>0.13938162560414094</v>
      </c>
      <c r="BG52" s="93">
        <f>AW52/SUM(Table5[[#This Row],[NWP (Standard)]],Table5[[#This Row],[NWP (Plus)]],Table5[[#This Row],[NWP (Essentials)]],Table5[[#This Row],[NWP (Premium)]])</f>
        <v>0.18406173148547783</v>
      </c>
      <c r="BH52" s="94">
        <f>BA52/SUM(Table5[[#This Row],[NWP (Standard)]],Table5[[#This Row],[NWP (Plus)]],Table5[[#This Row],[NWP (Essentials)]],Table5[[#This Row],[NWP (Premium)]])</f>
        <v>0.15902861726743336</v>
      </c>
      <c r="BI52" s="93">
        <f t="shared" si="74"/>
        <v>0.50120636239157623</v>
      </c>
      <c r="BJ52" s="93">
        <f t="shared" si="74"/>
        <v>0.13462949455270662</v>
      </c>
      <c r="BK52" s="93">
        <f t="shared" si="74"/>
        <v>0.21118778309938305</v>
      </c>
      <c r="BL52" s="94">
        <f t="shared" si="74"/>
        <v>0.15297635995633407</v>
      </c>
      <c r="BM52" s="74">
        <v>0</v>
      </c>
      <c r="BN52" s="75">
        <f t="shared" si="75"/>
        <v>142.78280612285715</v>
      </c>
      <c r="BO52" s="74">
        <v>0</v>
      </c>
      <c r="BP52" s="92">
        <f t="shared" si="76"/>
        <v>143.17506657530524</v>
      </c>
      <c r="BQ52" s="74">
        <v>0</v>
      </c>
      <c r="BR52" s="75">
        <f t="shared" si="77"/>
        <v>0</v>
      </c>
      <c r="BS52" s="74">
        <v>0</v>
      </c>
      <c r="BT52" s="92">
        <f t="shared" si="78"/>
        <v>0</v>
      </c>
      <c r="BU52" s="74">
        <v>0</v>
      </c>
      <c r="BV52" s="75">
        <f t="shared" si="79"/>
        <v>0</v>
      </c>
      <c r="BW52" s="74">
        <v>0</v>
      </c>
      <c r="BX52" s="92">
        <f t="shared" si="80"/>
        <v>0</v>
      </c>
      <c r="BY52" s="74">
        <v>0</v>
      </c>
      <c r="BZ52" s="75">
        <f t="shared" si="81"/>
        <v>0</v>
      </c>
      <c r="CA52" s="74">
        <v>0</v>
      </c>
      <c r="CB52" s="92">
        <f t="shared" si="82"/>
        <v>0</v>
      </c>
      <c r="CC52" s="74">
        <v>141630.47249978999</v>
      </c>
      <c r="CD52" s="75">
        <f t="shared" si="83"/>
        <v>168730.63596942142</v>
      </c>
      <c r="CE52" s="74">
        <v>811.54038400318927</v>
      </c>
      <c r="CF52" s="92">
        <f t="shared" si="84"/>
        <v>791.18833552683122</v>
      </c>
      <c r="CG52" s="74">
        <v>38144.186428510002</v>
      </c>
      <c r="CH52" s="75">
        <f t="shared" si="85"/>
        <v>44956.187244851426</v>
      </c>
      <c r="CI52" s="74">
        <v>889.51111973061995</v>
      </c>
      <c r="CJ52" s="92">
        <f t="shared" si="86"/>
        <v>855.87445978756125</v>
      </c>
      <c r="CK52" s="74">
        <v>50371.668214550009</v>
      </c>
      <c r="CL52" s="75">
        <f t="shared" si="87"/>
        <v>71382.741581669994</v>
      </c>
      <c r="CM52" s="74">
        <v>901.96521280443744</v>
      </c>
      <c r="CN52" s="92">
        <f t="shared" si="88"/>
        <v>1078.9306157734834</v>
      </c>
      <c r="CO52" s="74">
        <v>43520.924642859994</v>
      </c>
      <c r="CP52" s="75">
        <f t="shared" si="89"/>
        <v>51134.611020438562</v>
      </c>
      <c r="CQ52" s="74">
        <v>969.78861380998137</v>
      </c>
      <c r="CR52" s="92">
        <f t="shared" si="90"/>
        <v>990.99382731479545</v>
      </c>
    </row>
    <row r="53" spans="1:96" x14ac:dyDescent="0.25">
      <c r="A53" s="85">
        <f t="shared" si="7"/>
        <v>45492</v>
      </c>
      <c r="B53" s="74">
        <v>975251.38428631041</v>
      </c>
      <c r="C53" s="75">
        <f t="shared" si="8"/>
        <v>1133064.8934823</v>
      </c>
      <c r="D53" s="74">
        <v>1064.1247511471015</v>
      </c>
      <c r="E53" s="75">
        <f t="shared" si="8"/>
        <v>1073.7589899198729</v>
      </c>
      <c r="F53" s="96">
        <f t="shared" si="0"/>
        <v>1360633.9178898856</v>
      </c>
      <c r="G53" s="75">
        <v>1241416.8753577804</v>
      </c>
      <c r="H53" s="75">
        <f t="shared" ref="H53" si="651">AVERAGE(G50:G53)</f>
        <v>1410145.1597323013</v>
      </c>
      <c r="I53" s="75">
        <f>Table5[[#This Row],[Average NWP (Boom)]]</f>
        <v>1064.1247511471015</v>
      </c>
      <c r="J53" s="92">
        <f t="shared" ref="J53" si="652">AVERAGE(I50:I53)</f>
        <v>1073.7589899198729</v>
      </c>
      <c r="K53" s="75">
        <f t="shared" si="1"/>
        <v>975251.38428631006</v>
      </c>
      <c r="L53" s="75">
        <f t="shared" ref="L53" si="653">AVERAGE(K50:K53)</f>
        <v>1133064.8934823</v>
      </c>
      <c r="M53" s="75">
        <v>1061.2093408991404</v>
      </c>
      <c r="N53" s="75">
        <f t="shared" ref="N53" si="654">AVERAGE(M50:M53)</f>
        <v>1070.8171844974563</v>
      </c>
      <c r="O53" s="96">
        <f t="shared" si="2"/>
        <v>1037068.1142673796</v>
      </c>
      <c r="P53" s="74">
        <v>247286.94607125007</v>
      </c>
      <c r="Q53" s="75">
        <f t="shared" ref="Q53" si="655">AVERAGE(P50:P53)</f>
        <v>293801.48821417749</v>
      </c>
      <c r="R53" s="74">
        <v>849.78331983247449</v>
      </c>
      <c r="S53" s="75">
        <f t="shared" ref="S53" si="656">AVERAGE(R50:R53)</f>
        <v>884.62299840121909</v>
      </c>
      <c r="T53" s="96">
        <v>270462.07395207754</v>
      </c>
      <c r="U53" s="74">
        <v>727964.43821506004</v>
      </c>
      <c r="V53" s="75">
        <f t="shared" ref="V53" si="657">AVERAGE(U50:U53)</f>
        <v>839263.40526812267</v>
      </c>
      <c r="W53" s="74">
        <v>1159.1790417437262</v>
      </c>
      <c r="X53" s="75">
        <f t="shared" ref="X53" si="658">AVERAGE(W50:W53)</f>
        <v>1156.2906285183353</v>
      </c>
      <c r="Y53" s="96">
        <v>766606.04031530209</v>
      </c>
      <c r="Z53" s="74">
        <v>0</v>
      </c>
      <c r="AA53" s="75">
        <f t="shared" ref="AA53" si="659">AVERAGE(Z50:Z53)</f>
        <v>0</v>
      </c>
      <c r="AB53" s="74">
        <v>0</v>
      </c>
      <c r="AC53" s="75">
        <f t="shared" ref="AC53" si="660">AVERAGE(AB50:AB53)</f>
        <v>0</v>
      </c>
      <c r="AD53" s="96" t="e">
        <v>#VALUE!</v>
      </c>
      <c r="AE53" s="74">
        <v>0</v>
      </c>
      <c r="AF53" s="75">
        <f t="shared" ref="AF53" si="661">AVERAGE(AE50:AE53)</f>
        <v>0</v>
      </c>
      <c r="AG53" s="74">
        <v>0</v>
      </c>
      <c r="AH53" s="75">
        <f t="shared" ref="AH53" si="662">AVERAGE(AG50:AG53)</f>
        <v>0</v>
      </c>
      <c r="AI53" s="96" t="e">
        <v>#VALUE!</v>
      </c>
      <c r="AJ53" s="74">
        <v>0</v>
      </c>
      <c r="AK53" s="75">
        <f t="shared" ref="AK53" si="663">AVERAGE(AJ50:AJ53)</f>
        <v>0</v>
      </c>
      <c r="AL53" s="74">
        <v>0</v>
      </c>
      <c r="AM53" s="75">
        <f t="shared" ref="AM53" si="664">AVERAGE(AL50:AL53)</f>
        <v>0</v>
      </c>
      <c r="AN53" s="96">
        <v>323565.80362250592</v>
      </c>
      <c r="AO53" s="74">
        <f t="shared" si="3"/>
        <v>128987.58642841998</v>
      </c>
      <c r="AP53" s="75">
        <f t="shared" si="66"/>
        <v>160448.87132647145</v>
      </c>
      <c r="AQ53" s="74">
        <v>769.8925471788308</v>
      </c>
      <c r="AR53" s="92">
        <f t="shared" si="67"/>
        <v>785.22718491226544</v>
      </c>
      <c r="AS53" s="74">
        <f t="shared" si="4"/>
        <v>28408.682499960003</v>
      </c>
      <c r="AT53" s="75">
        <f t="shared" si="68"/>
        <v>41271.211020355709</v>
      </c>
      <c r="AU53" s="74">
        <v>890.21026031941415</v>
      </c>
      <c r="AV53" s="92">
        <f t="shared" si="69"/>
        <v>863.59147097962079</v>
      </c>
      <c r="AW53" s="74">
        <f t="shared" si="5"/>
        <v>46168.303214129999</v>
      </c>
      <c r="AX53" s="75">
        <f t="shared" si="70"/>
        <v>67738.135357151434</v>
      </c>
      <c r="AY53" s="74">
        <v>1006.4160697978081</v>
      </c>
      <c r="AZ53" s="92">
        <f t="shared" si="71"/>
        <v>1078.0816612317876</v>
      </c>
      <c r="BA53" s="74">
        <f t="shared" si="6"/>
        <v>43722.373928740002</v>
      </c>
      <c r="BB53" s="75">
        <f t="shared" si="72"/>
        <v>49723.940867395708</v>
      </c>
      <c r="BC53" s="74">
        <v>974.2775630983931</v>
      </c>
      <c r="BD53" s="92">
        <f t="shared" si="73"/>
        <v>995.47881832727376</v>
      </c>
      <c r="BE53" s="93">
        <f>AO53/SUM(Table5[[#This Row],[NWP (Standard)]],Table5[[#This Row],[NWP (Plus)]],Table5[[#This Row],[NWP (Essentials)]],Table5[[#This Row],[NWP (Premium)]])</f>
        <v>0.52161098059440303</v>
      </c>
      <c r="BF53" s="93">
        <f>AS53/SUM(Table5[[#This Row],[NWP (Standard)]],Table5[[#This Row],[NWP (Plus)]],Table5[[#This Row],[NWP (Essentials)]],Table5[[#This Row],[NWP (Premium)]])</f>
        <v>0.11488144825798731</v>
      </c>
      <c r="BG53" s="93">
        <f>AW53/SUM(Table5[[#This Row],[NWP (Standard)]],Table5[[#This Row],[NWP (Plus)]],Table5[[#This Row],[NWP (Essentials)]],Table5[[#This Row],[NWP (Premium)]])</f>
        <v>0.18669931408683285</v>
      </c>
      <c r="BH53" s="94">
        <f>BA53/SUM(Table5[[#This Row],[NWP (Standard)]],Table5[[#This Row],[NWP (Plus)]],Table5[[#This Row],[NWP (Essentials)]],Table5[[#This Row],[NWP (Premium)]])</f>
        <v>0.17680825706077674</v>
      </c>
      <c r="BI53" s="93">
        <f t="shared" si="74"/>
        <v>0.50264550878530678</v>
      </c>
      <c r="BJ53" s="93">
        <f t="shared" si="74"/>
        <v>0.12996735491621064</v>
      </c>
      <c r="BK53" s="93">
        <f t="shared" si="74"/>
        <v>0.20999044700566544</v>
      </c>
      <c r="BL53" s="94">
        <f t="shared" si="74"/>
        <v>0.15739668929281711</v>
      </c>
      <c r="BM53" s="74">
        <v>0</v>
      </c>
      <c r="BN53" s="75">
        <f t="shared" si="75"/>
        <v>142.78280612285715</v>
      </c>
      <c r="BO53" s="74">
        <v>0</v>
      </c>
      <c r="BP53" s="92">
        <f t="shared" si="76"/>
        <v>143.17506657530524</v>
      </c>
      <c r="BQ53" s="74">
        <v>0</v>
      </c>
      <c r="BR53" s="75">
        <f t="shared" si="77"/>
        <v>0</v>
      </c>
      <c r="BS53" s="74">
        <v>0</v>
      </c>
      <c r="BT53" s="92">
        <f t="shared" si="78"/>
        <v>0</v>
      </c>
      <c r="BU53" s="74">
        <v>0</v>
      </c>
      <c r="BV53" s="75">
        <f t="shared" si="79"/>
        <v>0</v>
      </c>
      <c r="BW53" s="74">
        <v>0</v>
      </c>
      <c r="BX53" s="92">
        <f t="shared" si="80"/>
        <v>0</v>
      </c>
      <c r="BY53" s="74">
        <v>0</v>
      </c>
      <c r="BZ53" s="75">
        <f t="shared" si="81"/>
        <v>0</v>
      </c>
      <c r="CA53" s="74">
        <v>0</v>
      </c>
      <c r="CB53" s="92">
        <f t="shared" si="82"/>
        <v>0</v>
      </c>
      <c r="CC53" s="74">
        <v>128987.58642841998</v>
      </c>
      <c r="CD53" s="75">
        <f t="shared" si="83"/>
        <v>160306.0885203486</v>
      </c>
      <c r="CE53" s="74">
        <v>769.8925471788308</v>
      </c>
      <c r="CF53" s="92">
        <f t="shared" si="84"/>
        <v>785.11646382097717</v>
      </c>
      <c r="CG53" s="74">
        <v>28408.682499960003</v>
      </c>
      <c r="CH53" s="75">
        <f t="shared" si="85"/>
        <v>41271.211020355709</v>
      </c>
      <c r="CI53" s="74">
        <v>890.21026031941415</v>
      </c>
      <c r="CJ53" s="92">
        <f t="shared" si="86"/>
        <v>863.59147097962079</v>
      </c>
      <c r="CK53" s="74">
        <v>46168.303214129999</v>
      </c>
      <c r="CL53" s="75">
        <f t="shared" si="87"/>
        <v>67738.135357151434</v>
      </c>
      <c r="CM53" s="74">
        <v>1006.4160697978081</v>
      </c>
      <c r="CN53" s="92">
        <f t="shared" si="88"/>
        <v>1078.0816612317876</v>
      </c>
      <c r="CO53" s="74">
        <v>43722.373928740002</v>
      </c>
      <c r="CP53" s="75">
        <f t="shared" si="89"/>
        <v>49723.940867395708</v>
      </c>
      <c r="CQ53" s="74">
        <v>974.2775630983931</v>
      </c>
      <c r="CR53" s="92">
        <f t="shared" si="90"/>
        <v>995.47881832727376</v>
      </c>
    </row>
    <row r="54" spans="1:96" x14ac:dyDescent="0.25">
      <c r="A54" s="85">
        <f t="shared" si="7"/>
        <v>45499</v>
      </c>
      <c r="B54" s="74">
        <v>993028.01428563986</v>
      </c>
      <c r="C54" s="75">
        <f t="shared" si="8"/>
        <v>1057006.9529467626</v>
      </c>
      <c r="D54" s="74">
        <v>1043.7695106903859</v>
      </c>
      <c r="E54" s="75">
        <f t="shared" si="8"/>
        <v>1057.9303725123109</v>
      </c>
      <c r="F54" s="96">
        <f t="shared" si="0"/>
        <v>1360633.9178898856</v>
      </c>
      <c r="G54" s="75">
        <v>1245800.2760714022</v>
      </c>
      <c r="H54" s="75">
        <f t="shared" ref="H54" si="665">AVERAGE(G51:G54)</f>
        <v>1329726.7783039222</v>
      </c>
      <c r="I54" s="75">
        <f>Table5[[#This Row],[Average NWP (Boom)]]</f>
        <v>1043.7695106903859</v>
      </c>
      <c r="J54" s="92">
        <f t="shared" ref="J54" si="666">AVERAGE(I51:I54)</f>
        <v>1057.9303725123109</v>
      </c>
      <c r="K54" s="75">
        <f t="shared" si="1"/>
        <v>993028.01428563998</v>
      </c>
      <c r="L54" s="75">
        <f t="shared" ref="L54" si="667">AVERAGE(K51:K54)</f>
        <v>1057006.9529467626</v>
      </c>
      <c r="M54" s="75">
        <v>1040.9098682239412</v>
      </c>
      <c r="N54" s="75">
        <f t="shared" ref="N54" si="668">AVERAGE(M51:M54)</f>
        <v>1055.0319331645501</v>
      </c>
      <c r="O54" s="96">
        <f t="shared" si="2"/>
        <v>1037068.1142673796</v>
      </c>
      <c r="P54" s="74">
        <v>257703.77214298001</v>
      </c>
      <c r="Q54" s="75">
        <f t="shared" ref="Q54" si="669">AVERAGE(P51:P54)</f>
        <v>278357.31660714251</v>
      </c>
      <c r="R54" s="74">
        <v>864.77775886906045</v>
      </c>
      <c r="S54" s="75">
        <f t="shared" ref="S54" si="670">AVERAGE(R51:R54)</f>
        <v>869.30985944375971</v>
      </c>
      <c r="T54" s="96">
        <v>270462.07395207754</v>
      </c>
      <c r="U54" s="74">
        <v>735324.24214265996</v>
      </c>
      <c r="V54" s="75">
        <f t="shared" ref="V54" si="671">AVERAGE(U51:U54)</f>
        <v>778649.6363396201</v>
      </c>
      <c r="W54" s="74">
        <v>1120.9211008272255</v>
      </c>
      <c r="X54" s="75">
        <f t="shared" ref="X54" si="672">AVERAGE(W51:W54)</f>
        <v>1142.009060997229</v>
      </c>
      <c r="Y54" s="96">
        <v>766606.04031530209</v>
      </c>
      <c r="Z54" s="74">
        <v>0</v>
      </c>
      <c r="AA54" s="75">
        <f t="shared" ref="AA54" si="673">AVERAGE(Z51:Z54)</f>
        <v>0</v>
      </c>
      <c r="AB54" s="74">
        <v>0</v>
      </c>
      <c r="AC54" s="75">
        <f t="shared" ref="AC54" si="674">AVERAGE(AB51:AB54)</f>
        <v>0</v>
      </c>
      <c r="AD54" s="96" t="e">
        <v>#VALUE!</v>
      </c>
      <c r="AE54" s="74">
        <v>0</v>
      </c>
      <c r="AF54" s="75">
        <f t="shared" ref="AF54" si="675">AVERAGE(AE51:AE54)</f>
        <v>0</v>
      </c>
      <c r="AG54" s="74">
        <v>0</v>
      </c>
      <c r="AH54" s="75">
        <f t="shared" ref="AH54" si="676">AVERAGE(AG51:AG54)</f>
        <v>0</v>
      </c>
      <c r="AI54" s="96" t="e">
        <v>#VALUE!</v>
      </c>
      <c r="AJ54" s="74">
        <v>0</v>
      </c>
      <c r="AK54" s="75">
        <f t="shared" ref="AK54" si="677">AVERAGE(AJ51:AJ54)</f>
        <v>0</v>
      </c>
      <c r="AL54" s="74">
        <v>0</v>
      </c>
      <c r="AM54" s="75">
        <f t="shared" ref="AM54" si="678">AVERAGE(AL51:AL54)</f>
        <v>0</v>
      </c>
      <c r="AN54" s="96">
        <v>323565.80362250592</v>
      </c>
      <c r="AO54" s="74">
        <f t="shared" si="3"/>
        <v>142467.7142859</v>
      </c>
      <c r="AP54" s="75">
        <f t="shared" si="66"/>
        <v>154471.27862238433</v>
      </c>
      <c r="AQ54" s="74">
        <v>821.0293626519657</v>
      </c>
      <c r="AR54" s="92">
        <f t="shared" si="67"/>
        <v>797.32801490139252</v>
      </c>
      <c r="AS54" s="74">
        <f t="shared" si="4"/>
        <v>34974.617142850002</v>
      </c>
      <c r="AT54" s="75">
        <f t="shared" si="68"/>
        <v>41717.667448932851</v>
      </c>
      <c r="AU54" s="74">
        <v>1131.3129437069786</v>
      </c>
      <c r="AV54" s="92">
        <f t="shared" si="69"/>
        <v>913.92913696419669</v>
      </c>
      <c r="AW54" s="74">
        <f t="shared" si="5"/>
        <v>47954.438571330007</v>
      </c>
      <c r="AX54" s="75">
        <f t="shared" si="70"/>
        <v>61776.704540827144</v>
      </c>
      <c r="AY54" s="74">
        <v>874.29420969303658</v>
      </c>
      <c r="AZ54" s="92">
        <f t="shared" si="71"/>
        <v>1026.9909316056435</v>
      </c>
      <c r="BA54" s="74">
        <f t="shared" si="6"/>
        <v>32307.002142899997</v>
      </c>
      <c r="BB54" s="75">
        <f t="shared" si="72"/>
        <v>46588.41724493714</v>
      </c>
      <c r="BC54" s="74">
        <v>852.51993795796295</v>
      </c>
      <c r="BD54" s="92">
        <f t="shared" si="73"/>
        <v>978.47982596869429</v>
      </c>
      <c r="BE54" s="93">
        <f>AO54/SUM(Table5[[#This Row],[NWP (Standard)]],Table5[[#This Row],[NWP (Plus)]],Table5[[#This Row],[NWP (Essentials)]],Table5[[#This Row],[NWP (Premium)]])</f>
        <v>0.55283519174432427</v>
      </c>
      <c r="BF54" s="93">
        <f>AS54/SUM(Table5[[#This Row],[NWP (Standard)]],Table5[[#This Row],[NWP (Plus)]],Table5[[#This Row],[NWP (Essentials)]],Table5[[#This Row],[NWP (Premium)]])</f>
        <v>0.13571635700949411</v>
      </c>
      <c r="BG54" s="93">
        <f>AW54/SUM(Table5[[#This Row],[NWP (Standard)]],Table5[[#This Row],[NWP (Plus)]],Table5[[#This Row],[NWP (Essentials)]],Table5[[#This Row],[NWP (Premium)]])</f>
        <v>0.18608357251644642</v>
      </c>
      <c r="BH54" s="94">
        <f>BA54/SUM(Table5[[#This Row],[NWP (Standard)]],Table5[[#This Row],[NWP (Plus)]],Table5[[#This Row],[NWP (Essentials)]],Table5[[#This Row],[NWP (Premium)]])</f>
        <v>0.12536487872973517</v>
      </c>
      <c r="BI54" s="93">
        <f t="shared" si="74"/>
        <v>0.50850312679673138</v>
      </c>
      <c r="BJ54" s="93">
        <f t="shared" si="74"/>
        <v>0.13672027038669915</v>
      </c>
      <c r="BK54" s="93">
        <f t="shared" si="74"/>
        <v>0.20099466868146224</v>
      </c>
      <c r="BL54" s="94">
        <f t="shared" si="74"/>
        <v>0.15378193413510724</v>
      </c>
      <c r="BM54" s="74">
        <v>0</v>
      </c>
      <c r="BN54" s="75">
        <f t="shared" si="75"/>
        <v>142.78280612285715</v>
      </c>
      <c r="BO54" s="74">
        <v>0</v>
      </c>
      <c r="BP54" s="92">
        <f t="shared" si="76"/>
        <v>143.17506657530524</v>
      </c>
      <c r="BQ54" s="74">
        <v>0</v>
      </c>
      <c r="BR54" s="75">
        <f t="shared" si="77"/>
        <v>0</v>
      </c>
      <c r="BS54" s="74">
        <v>0</v>
      </c>
      <c r="BT54" s="92">
        <f t="shared" si="78"/>
        <v>0</v>
      </c>
      <c r="BU54" s="74">
        <v>0</v>
      </c>
      <c r="BV54" s="75">
        <f t="shared" si="79"/>
        <v>0</v>
      </c>
      <c r="BW54" s="74">
        <v>0</v>
      </c>
      <c r="BX54" s="92">
        <f t="shared" si="80"/>
        <v>0</v>
      </c>
      <c r="BY54" s="74">
        <v>0</v>
      </c>
      <c r="BZ54" s="75">
        <f t="shared" si="81"/>
        <v>0</v>
      </c>
      <c r="CA54" s="74">
        <v>0</v>
      </c>
      <c r="CB54" s="92">
        <f t="shared" si="82"/>
        <v>0</v>
      </c>
      <c r="CC54" s="74">
        <v>142467.7142859</v>
      </c>
      <c r="CD54" s="75">
        <f t="shared" si="83"/>
        <v>154328.49581626145</v>
      </c>
      <c r="CE54" s="74">
        <v>821.0293626519657</v>
      </c>
      <c r="CF54" s="92">
        <f t="shared" si="84"/>
        <v>797.21729381010414</v>
      </c>
      <c r="CG54" s="74">
        <v>34974.617142850002</v>
      </c>
      <c r="CH54" s="75">
        <f t="shared" si="85"/>
        <v>41717.667448932851</v>
      </c>
      <c r="CI54" s="74">
        <v>1131.3129437069786</v>
      </c>
      <c r="CJ54" s="92">
        <f t="shared" si="86"/>
        <v>913.92913696419669</v>
      </c>
      <c r="CK54" s="74">
        <v>47954.438571330007</v>
      </c>
      <c r="CL54" s="75">
        <f t="shared" si="87"/>
        <v>61776.704540827144</v>
      </c>
      <c r="CM54" s="74">
        <v>874.29420969303658</v>
      </c>
      <c r="CN54" s="92">
        <f t="shared" si="88"/>
        <v>1026.9909316056435</v>
      </c>
      <c r="CO54" s="74">
        <v>32307.002142899997</v>
      </c>
      <c r="CP54" s="75">
        <f t="shared" si="89"/>
        <v>46588.41724493714</v>
      </c>
      <c r="CQ54" s="74">
        <v>852.51993795796295</v>
      </c>
      <c r="CR54" s="92">
        <f t="shared" si="90"/>
        <v>978.47982596869429</v>
      </c>
    </row>
    <row r="55" spans="1:96" x14ac:dyDescent="0.25">
      <c r="A55" s="85">
        <f t="shared" si="7"/>
        <v>45506</v>
      </c>
      <c r="B55" s="74">
        <v>1105128.7271439098</v>
      </c>
      <c r="C55" s="75">
        <f t="shared" si="8"/>
        <v>1026295.3472326701</v>
      </c>
      <c r="D55" s="74">
        <v>1069.657138074497</v>
      </c>
      <c r="E55" s="75">
        <f t="shared" si="8"/>
        <v>1058.588004502589</v>
      </c>
      <c r="F55" s="96">
        <f t="shared" si="0"/>
        <v>1345378.685661287</v>
      </c>
      <c r="G55" s="75">
        <v>1350213.6814296506</v>
      </c>
      <c r="H55" s="75">
        <f t="shared" ref="H55" si="679">AVERAGE(G52:G55)</f>
        <v>1282113.0686612555</v>
      </c>
      <c r="I55" s="75">
        <f>Table5[[#This Row],[Average NWP (Boom)]]</f>
        <v>1069.657138074497</v>
      </c>
      <c r="J55" s="92">
        <f t="shared" ref="J55" si="680">AVERAGE(I52:I55)</f>
        <v>1058.588004502589</v>
      </c>
      <c r="K55" s="75">
        <f t="shared" si="1"/>
        <v>1105128.7271439098</v>
      </c>
      <c r="L55" s="75">
        <f t="shared" ref="L55" si="681">AVERAGE(K52:K55)</f>
        <v>1026295.3472326701</v>
      </c>
      <c r="M55" s="75">
        <v>1066.7265706022295</v>
      </c>
      <c r="N55" s="75">
        <f t="shared" ref="N55" si="682">AVERAGE(M52:M55)</f>
        <v>1055.6877634233656</v>
      </c>
      <c r="O55" s="96">
        <f t="shared" si="2"/>
        <v>1033323.2138412987</v>
      </c>
      <c r="P55" s="74">
        <v>298666.65321463987</v>
      </c>
      <c r="Q55" s="75">
        <f t="shared" ref="Q55" si="683">AVERAGE(P52:P55)</f>
        <v>269331.15580364503</v>
      </c>
      <c r="R55" s="74">
        <v>939.20331199572286</v>
      </c>
      <c r="S55" s="75">
        <f t="shared" ref="S55" si="684">AVERAGE(R52:R55)</f>
        <v>877.91386553145401</v>
      </c>
      <c r="T55" s="96">
        <v>269485.4230242864</v>
      </c>
      <c r="U55" s="74">
        <v>806462.0739292698</v>
      </c>
      <c r="V55" s="75">
        <f t="shared" ref="V55" si="685">AVERAGE(U52:U55)</f>
        <v>756964.19142902503</v>
      </c>
      <c r="W55" s="74">
        <v>1123.2062310992615</v>
      </c>
      <c r="X55" s="75">
        <f t="shared" ref="X55" si="686">AVERAGE(W52:W55)</f>
        <v>1137.9879613831254</v>
      </c>
      <c r="Y55" s="96">
        <v>763837.79081701231</v>
      </c>
      <c r="Z55" s="74">
        <v>0</v>
      </c>
      <c r="AA55" s="75">
        <f t="shared" ref="AA55" si="687">AVERAGE(Z52:Z55)</f>
        <v>0</v>
      </c>
      <c r="AB55" s="74">
        <v>0</v>
      </c>
      <c r="AC55" s="75">
        <f t="shared" ref="AC55" si="688">AVERAGE(AB52:AB55)</f>
        <v>0</v>
      </c>
      <c r="AD55" s="96" t="e">
        <v>#VALUE!</v>
      </c>
      <c r="AE55" s="74">
        <v>0</v>
      </c>
      <c r="AF55" s="75">
        <f t="shared" ref="AF55" si="689">AVERAGE(AE52:AE55)</f>
        <v>0</v>
      </c>
      <c r="AG55" s="74">
        <v>0</v>
      </c>
      <c r="AH55" s="75">
        <f t="shared" ref="AH55" si="690">AVERAGE(AG52:AG55)</f>
        <v>0</v>
      </c>
      <c r="AI55" s="96" t="e">
        <v>#VALUE!</v>
      </c>
      <c r="AJ55" s="74">
        <v>0</v>
      </c>
      <c r="AK55" s="75">
        <f t="shared" ref="AK55" si="691">AVERAGE(AJ52:AJ55)</f>
        <v>0</v>
      </c>
      <c r="AL55" s="74">
        <v>0</v>
      </c>
      <c r="AM55" s="75">
        <f t="shared" ref="AM55" si="692">AVERAGE(AL52:AL55)</f>
        <v>0</v>
      </c>
      <c r="AN55" s="96">
        <v>312055.47181998834</v>
      </c>
      <c r="AO55" s="74">
        <f t="shared" si="3"/>
        <v>155223.54357160002</v>
      </c>
      <c r="AP55" s="75">
        <f t="shared" si="66"/>
        <v>152218.53352035428</v>
      </c>
      <c r="AQ55" s="74">
        <v>859.94465123668135</v>
      </c>
      <c r="AR55" s="92">
        <f t="shared" si="67"/>
        <v>807.81649089142434</v>
      </c>
      <c r="AS55" s="74">
        <f t="shared" si="4"/>
        <v>37843.320714330002</v>
      </c>
      <c r="AT55" s="75">
        <f t="shared" si="68"/>
        <v>41185.058061218573</v>
      </c>
      <c r="AU55" s="74">
        <v>998.61278631802929</v>
      </c>
      <c r="AV55" s="92">
        <f t="shared" si="69"/>
        <v>942.06669412444342</v>
      </c>
      <c r="AW55" s="74">
        <f t="shared" si="5"/>
        <v>57075.141785669999</v>
      </c>
      <c r="AX55" s="75">
        <f t="shared" si="70"/>
        <v>60206.042244882854</v>
      </c>
      <c r="AY55" s="74">
        <v>1167.998808656494</v>
      </c>
      <c r="AZ55" s="92">
        <f t="shared" si="71"/>
        <v>1043.8329971507953</v>
      </c>
      <c r="BA55" s="74">
        <f t="shared" si="6"/>
        <v>48524.647143039998</v>
      </c>
      <c r="BB55" s="75">
        <f t="shared" si="72"/>
        <v>45596.060663321419</v>
      </c>
      <c r="BC55" s="74">
        <v>973.15913223752864</v>
      </c>
      <c r="BD55" s="92">
        <f t="shared" si="73"/>
        <v>975.60578245310978</v>
      </c>
      <c r="BE55" s="93">
        <f>AO55/SUM(Table5[[#This Row],[NWP (Standard)]],Table5[[#This Row],[NWP (Plus)]],Table5[[#This Row],[NWP (Essentials)]],Table5[[#This Row],[NWP (Premium)]])</f>
        <v>0.51972170947403007</v>
      </c>
      <c r="BF55" s="93">
        <f>AS55/SUM(Table5[[#This Row],[NWP (Standard)]],Table5[[#This Row],[NWP (Plus)]],Table5[[#This Row],[NWP (Essentials)]],Table5[[#This Row],[NWP (Premium)]])</f>
        <v>0.12670755274152917</v>
      </c>
      <c r="BG55" s="93">
        <f>AW55/SUM(Table5[[#This Row],[NWP (Standard)]],Table5[[#This Row],[NWP (Plus)]],Table5[[#This Row],[NWP (Essentials)]],Table5[[#This Row],[NWP (Premium)]])</f>
        <v>0.19109981369313547</v>
      </c>
      <c r="BH55" s="94">
        <f>BA55/SUM(Table5[[#This Row],[NWP (Standard)]],Table5[[#This Row],[NWP (Plus)]],Table5[[#This Row],[NWP (Essentials)]],Table5[[#This Row],[NWP (Premium)]])</f>
        <v>0.16247092409130537</v>
      </c>
      <c r="BI55" s="93">
        <f t="shared" si="74"/>
        <v>0.51007085185016421</v>
      </c>
      <c r="BJ55" s="93">
        <f t="shared" si="74"/>
        <v>0.1371518908554652</v>
      </c>
      <c r="BK55" s="93">
        <f t="shared" si="74"/>
        <v>0.19936247425875248</v>
      </c>
      <c r="BL55" s="94">
        <f t="shared" si="74"/>
        <v>0.1534147830356182</v>
      </c>
      <c r="BM55" s="74">
        <v>0</v>
      </c>
      <c r="BN55" s="75">
        <f t="shared" si="75"/>
        <v>142.78280612285715</v>
      </c>
      <c r="BO55" s="74">
        <v>0</v>
      </c>
      <c r="BP55" s="92">
        <f t="shared" si="76"/>
        <v>143.17506657530524</v>
      </c>
      <c r="BQ55" s="74">
        <v>0</v>
      </c>
      <c r="BR55" s="75">
        <f t="shared" si="77"/>
        <v>0</v>
      </c>
      <c r="BS55" s="74">
        <v>0</v>
      </c>
      <c r="BT55" s="92">
        <f t="shared" si="78"/>
        <v>0</v>
      </c>
      <c r="BU55" s="74">
        <v>0</v>
      </c>
      <c r="BV55" s="75">
        <f t="shared" si="79"/>
        <v>0</v>
      </c>
      <c r="BW55" s="74">
        <v>0</v>
      </c>
      <c r="BX55" s="92">
        <f t="shared" si="80"/>
        <v>0</v>
      </c>
      <c r="BY55" s="74">
        <v>0</v>
      </c>
      <c r="BZ55" s="75">
        <f t="shared" si="81"/>
        <v>0</v>
      </c>
      <c r="CA55" s="74">
        <v>0</v>
      </c>
      <c r="CB55" s="92">
        <f t="shared" si="82"/>
        <v>0</v>
      </c>
      <c r="CC55" s="74">
        <v>155223.54357160002</v>
      </c>
      <c r="CD55" s="75">
        <f t="shared" si="83"/>
        <v>152075.75071423146</v>
      </c>
      <c r="CE55" s="74">
        <v>859.94465123668135</v>
      </c>
      <c r="CF55" s="92">
        <f t="shared" si="84"/>
        <v>807.70576980013607</v>
      </c>
      <c r="CG55" s="74">
        <v>37843.320714330002</v>
      </c>
      <c r="CH55" s="75">
        <f t="shared" si="85"/>
        <v>41185.058061218573</v>
      </c>
      <c r="CI55" s="74">
        <v>998.61278631802929</v>
      </c>
      <c r="CJ55" s="92">
        <f t="shared" si="86"/>
        <v>942.06669412444342</v>
      </c>
      <c r="CK55" s="74">
        <v>57075.141785669999</v>
      </c>
      <c r="CL55" s="75">
        <f t="shared" si="87"/>
        <v>60206.042244882854</v>
      </c>
      <c r="CM55" s="74">
        <v>1167.998808656494</v>
      </c>
      <c r="CN55" s="92">
        <f t="shared" si="88"/>
        <v>1043.8329971507953</v>
      </c>
      <c r="CO55" s="74">
        <v>48524.647143039998</v>
      </c>
      <c r="CP55" s="75">
        <f t="shared" si="89"/>
        <v>45596.060663321419</v>
      </c>
      <c r="CQ55" s="74">
        <v>973.15913223752864</v>
      </c>
      <c r="CR55" s="92">
        <f t="shared" si="90"/>
        <v>975.60578245310978</v>
      </c>
    </row>
    <row r="56" spans="1:96" x14ac:dyDescent="0.25">
      <c r="A56" s="85">
        <f t="shared" si="7"/>
        <v>45513</v>
      </c>
      <c r="B56" s="74">
        <v>944037.34035746974</v>
      </c>
      <c r="C56" s="75">
        <f t="shared" si="8"/>
        <v>1004361.3665183325</v>
      </c>
      <c r="D56" s="74">
        <v>1132.3335520433841</v>
      </c>
      <c r="E56" s="75">
        <f t="shared" si="8"/>
        <v>1077.4712379888422</v>
      </c>
      <c r="F56" s="96">
        <f t="shared" si="0"/>
        <v>1307240.6050897916</v>
      </c>
      <c r="G56" s="75">
        <v>1157859.7175003586</v>
      </c>
      <c r="H56" s="75">
        <f t="shared" ref="H56" si="693">AVERAGE(G53:G56)</f>
        <v>1248822.6375897981</v>
      </c>
      <c r="I56" s="75">
        <f>Table5[[#This Row],[Average NWP (Boom)]]</f>
        <v>1132.3335520433841</v>
      </c>
      <c r="J56" s="92">
        <f t="shared" ref="J56" si="694">AVERAGE(I53:I56)</f>
        <v>1077.4712379888422</v>
      </c>
      <c r="K56" s="75">
        <f t="shared" si="1"/>
        <v>944037.34035747009</v>
      </c>
      <c r="L56" s="75">
        <f t="shared" ref="L56" si="695">AVERAGE(K53:K56)</f>
        <v>1004361.3665183324</v>
      </c>
      <c r="M56" s="75">
        <v>1129.2312683701796</v>
      </c>
      <c r="N56" s="75">
        <f t="shared" ref="N56" si="696">AVERAGE(M53:M56)</f>
        <v>1074.5192620238727</v>
      </c>
      <c r="O56" s="96">
        <f t="shared" si="2"/>
        <v>1023960.962776097</v>
      </c>
      <c r="P56" s="74">
        <v>212622.64357133003</v>
      </c>
      <c r="Q56" s="75">
        <f t="shared" ref="Q56" si="697">AVERAGE(P53:P56)</f>
        <v>254070.00375004997</v>
      </c>
      <c r="R56" s="74">
        <v>897.14195599717311</v>
      </c>
      <c r="S56" s="75">
        <f t="shared" ref="S56" si="698">AVERAGE(R53:R56)</f>
        <v>887.7265866736077</v>
      </c>
      <c r="T56" s="96">
        <v>267043.79570480861</v>
      </c>
      <c r="U56" s="74">
        <v>731414.69678614009</v>
      </c>
      <c r="V56" s="75">
        <f t="shared" ref="V56" si="699">AVERAGE(U53:U56)</f>
        <v>750291.36276828242</v>
      </c>
      <c r="W56" s="74">
        <v>1221.0595939668449</v>
      </c>
      <c r="X56" s="75">
        <f t="shared" ref="X56" si="700">AVERAGE(W53:W56)</f>
        <v>1156.0914919092645</v>
      </c>
      <c r="Y56" s="96">
        <v>756917.16707128845</v>
      </c>
      <c r="Z56" s="74">
        <v>0</v>
      </c>
      <c r="AA56" s="75">
        <f t="shared" ref="AA56" si="701">AVERAGE(Z53:Z56)</f>
        <v>0</v>
      </c>
      <c r="AB56" s="74">
        <v>0</v>
      </c>
      <c r="AC56" s="75">
        <f t="shared" ref="AC56" si="702">AVERAGE(AB53:AB56)</f>
        <v>0</v>
      </c>
      <c r="AD56" s="96" t="e">
        <v>#VALUE!</v>
      </c>
      <c r="AE56" s="74">
        <v>0</v>
      </c>
      <c r="AF56" s="75">
        <f t="shared" ref="AF56" si="703">AVERAGE(AE53:AE56)</f>
        <v>0</v>
      </c>
      <c r="AG56" s="74">
        <v>0</v>
      </c>
      <c r="AH56" s="75">
        <f t="shared" ref="AH56" si="704">AVERAGE(AG53:AG56)</f>
        <v>0</v>
      </c>
      <c r="AI56" s="96" t="e">
        <v>#VALUE!</v>
      </c>
      <c r="AJ56" s="74">
        <v>0</v>
      </c>
      <c r="AK56" s="75">
        <f t="shared" ref="AK56" si="705">AVERAGE(AJ53:AJ56)</f>
        <v>0</v>
      </c>
      <c r="AL56" s="74">
        <v>0</v>
      </c>
      <c r="AM56" s="75">
        <f t="shared" ref="AM56" si="706">AVERAGE(AL53:AL56)</f>
        <v>0</v>
      </c>
      <c r="AN56" s="96">
        <v>283279.64231369452</v>
      </c>
      <c r="AO56" s="74">
        <f t="shared" si="3"/>
        <v>108955.40607135999</v>
      </c>
      <c r="AP56" s="75">
        <f t="shared" si="66"/>
        <v>139137.20505099572</v>
      </c>
      <c r="AQ56" s="74">
        <v>815.33383661952291</v>
      </c>
      <c r="AR56" s="92">
        <f t="shared" si="67"/>
        <v>808.46579623855109</v>
      </c>
      <c r="AS56" s="74">
        <f t="shared" si="4"/>
        <v>27483.717857119998</v>
      </c>
      <c r="AT56" s="75">
        <f t="shared" si="68"/>
        <v>39520.817397951432</v>
      </c>
      <c r="AU56" s="74">
        <v>950.31801985346806</v>
      </c>
      <c r="AV56" s="92">
        <f t="shared" si="69"/>
        <v>967.90789066810589</v>
      </c>
      <c r="AW56" s="74">
        <f t="shared" si="5"/>
        <v>39013.981785589996</v>
      </c>
      <c r="AX56" s="75">
        <f t="shared" si="70"/>
        <v>53985.435459135719</v>
      </c>
      <c r="AY56" s="74">
        <v>978.02907632892448</v>
      </c>
      <c r="AZ56" s="92">
        <f t="shared" si="71"/>
        <v>1025.8656507106236</v>
      </c>
      <c r="BA56" s="74">
        <f t="shared" si="6"/>
        <v>37169.537857260002</v>
      </c>
      <c r="BB56" s="75">
        <f t="shared" si="72"/>
        <v>45099.259489868571</v>
      </c>
      <c r="BC56" s="74">
        <v>1096.2250579773097</v>
      </c>
      <c r="BD56" s="92">
        <f t="shared" si="73"/>
        <v>1008.3223893555735</v>
      </c>
      <c r="BE56" s="93">
        <f>AO56/SUM(Table5[[#This Row],[NWP (Standard)]],Table5[[#This Row],[NWP (Plus)]],Table5[[#This Row],[NWP (Essentials)]],Table5[[#This Row],[NWP (Premium)]])</f>
        <v>0.51243557243614068</v>
      </c>
      <c r="BF56" s="93">
        <f>AS56/SUM(Table5[[#This Row],[NWP (Standard)]],Table5[[#This Row],[NWP (Plus)]],Table5[[#This Row],[NWP (Essentials)]],Table5[[#This Row],[NWP (Premium)]])</f>
        <v>0.12926054062487397</v>
      </c>
      <c r="BG56" s="93">
        <f>AW56/SUM(Table5[[#This Row],[NWP (Standard)]],Table5[[#This Row],[NWP (Plus)]],Table5[[#This Row],[NWP (Essentials)]],Table5[[#This Row],[NWP (Premium)]])</f>
        <v>0.18348930824247656</v>
      </c>
      <c r="BH56" s="94">
        <f>BA56/SUM(Table5[[#This Row],[NWP (Standard)]],Table5[[#This Row],[NWP (Plus)]],Table5[[#This Row],[NWP (Essentials)]],Table5[[#This Row],[NWP (Premium)]])</f>
        <v>0.17481457869650877</v>
      </c>
      <c r="BI56" s="93">
        <f t="shared" si="74"/>
        <v>0.50433057868000331</v>
      </c>
      <c r="BJ56" s="93">
        <f t="shared" si="74"/>
        <v>0.14021110020110919</v>
      </c>
      <c r="BK56" s="93">
        <f t="shared" si="74"/>
        <v>0.19307256063579034</v>
      </c>
      <c r="BL56" s="94">
        <f t="shared" si="74"/>
        <v>0.16238576048309722</v>
      </c>
      <c r="BM56" s="74">
        <v>0</v>
      </c>
      <c r="BN56" s="75">
        <f t="shared" si="75"/>
        <v>0</v>
      </c>
      <c r="BO56" s="74">
        <v>0</v>
      </c>
      <c r="BP56" s="92">
        <f t="shared" si="76"/>
        <v>0</v>
      </c>
      <c r="BQ56" s="74">
        <v>0</v>
      </c>
      <c r="BR56" s="75">
        <f t="shared" si="77"/>
        <v>0</v>
      </c>
      <c r="BS56" s="74">
        <v>0</v>
      </c>
      <c r="BT56" s="92">
        <f t="shared" si="78"/>
        <v>0</v>
      </c>
      <c r="BU56" s="74">
        <v>0</v>
      </c>
      <c r="BV56" s="75">
        <f t="shared" si="79"/>
        <v>0</v>
      </c>
      <c r="BW56" s="74">
        <v>0</v>
      </c>
      <c r="BX56" s="92">
        <f t="shared" si="80"/>
        <v>0</v>
      </c>
      <c r="BY56" s="74">
        <v>0</v>
      </c>
      <c r="BZ56" s="75">
        <f t="shared" si="81"/>
        <v>0</v>
      </c>
      <c r="CA56" s="74">
        <v>0</v>
      </c>
      <c r="CB56" s="92">
        <f t="shared" si="82"/>
        <v>0</v>
      </c>
      <c r="CC56" s="74">
        <v>108955.40607135999</v>
      </c>
      <c r="CD56" s="75">
        <f t="shared" si="83"/>
        <v>139137.20505099572</v>
      </c>
      <c r="CE56" s="74">
        <v>815.33383661952291</v>
      </c>
      <c r="CF56" s="92">
        <f t="shared" si="84"/>
        <v>808.46579623855109</v>
      </c>
      <c r="CG56" s="74">
        <v>27483.717857119998</v>
      </c>
      <c r="CH56" s="75">
        <f t="shared" si="85"/>
        <v>39520.817397951432</v>
      </c>
      <c r="CI56" s="74">
        <v>950.31801985346806</v>
      </c>
      <c r="CJ56" s="92">
        <f t="shared" si="86"/>
        <v>967.90789066810589</v>
      </c>
      <c r="CK56" s="74">
        <v>39013.981785589996</v>
      </c>
      <c r="CL56" s="75">
        <f t="shared" si="87"/>
        <v>53985.435459135719</v>
      </c>
      <c r="CM56" s="74">
        <v>978.02907632892448</v>
      </c>
      <c r="CN56" s="92">
        <f t="shared" si="88"/>
        <v>1025.8656507106236</v>
      </c>
      <c r="CO56" s="74">
        <v>37169.537857260002</v>
      </c>
      <c r="CP56" s="75">
        <f t="shared" si="89"/>
        <v>45099.259489868571</v>
      </c>
      <c r="CQ56" s="74">
        <v>1096.2250579773097</v>
      </c>
      <c r="CR56" s="92">
        <f t="shared" si="90"/>
        <v>1008.3223893555735</v>
      </c>
    </row>
    <row r="57" spans="1:96" x14ac:dyDescent="0.25">
      <c r="A57" s="85">
        <f t="shared" si="7"/>
        <v>45520</v>
      </c>
      <c r="B57" s="74">
        <v>891829.06285760005</v>
      </c>
      <c r="C57" s="75">
        <f t="shared" si="8"/>
        <v>983505.78616115486</v>
      </c>
      <c r="D57" s="74">
        <v>1108.1525931549531</v>
      </c>
      <c r="E57" s="75">
        <f t="shared" si="8"/>
        <v>1088.478198490805</v>
      </c>
      <c r="F57" s="96">
        <f t="shared" si="0"/>
        <v>1307240.6050897916</v>
      </c>
      <c r="G57" s="75">
        <v>1127219.8953574116</v>
      </c>
      <c r="H57" s="75">
        <f t="shared" ref="H57" si="707">AVERAGE(G54:G57)</f>
        <v>1220273.3925897058</v>
      </c>
      <c r="I57" s="75">
        <f>Table5[[#This Row],[Average NWP (Boom)]]</f>
        <v>1108.1525931549531</v>
      </c>
      <c r="J57" s="92">
        <f t="shared" ref="J57" si="708">AVERAGE(I54:I57)</f>
        <v>1088.478198490805</v>
      </c>
      <c r="K57" s="75">
        <f t="shared" si="1"/>
        <v>891829.06285759993</v>
      </c>
      <c r="L57" s="75">
        <f t="shared" ref="L57" si="709">AVERAGE(K54:K57)</f>
        <v>983505.78616115497</v>
      </c>
      <c r="M57" s="75">
        <v>1105.1165586835191</v>
      </c>
      <c r="N57" s="75">
        <f t="shared" ref="N57" si="710">AVERAGE(M54:M57)</f>
        <v>1085.4960664699674</v>
      </c>
      <c r="O57" s="96">
        <f t="shared" si="2"/>
        <v>1023960.962776097</v>
      </c>
      <c r="P57" s="74">
        <v>225552.50714311999</v>
      </c>
      <c r="Q57" s="75">
        <f t="shared" ref="Q57" si="711">AVERAGE(P54:P57)</f>
        <v>248636.39401801745</v>
      </c>
      <c r="R57" s="74">
        <v>888.00199662645662</v>
      </c>
      <c r="S57" s="75">
        <f t="shared" ref="S57" si="712">AVERAGE(R54:R57)</f>
        <v>897.28125587210332</v>
      </c>
      <c r="T57" s="96">
        <v>267043.79570480861</v>
      </c>
      <c r="U57" s="74">
        <v>666276.55571447988</v>
      </c>
      <c r="V57" s="75">
        <f t="shared" ref="V57" si="713">AVERAGE(U54:U57)</f>
        <v>734869.39214313752</v>
      </c>
      <c r="W57" s="74">
        <v>1204.8400645831462</v>
      </c>
      <c r="X57" s="75">
        <f t="shared" ref="X57" si="714">AVERAGE(W54:W57)</f>
        <v>1167.5067476191196</v>
      </c>
      <c r="Y57" s="96">
        <v>756917.16707128845</v>
      </c>
      <c r="Z57" s="74">
        <v>0</v>
      </c>
      <c r="AA57" s="75">
        <f t="shared" ref="AA57" si="715">AVERAGE(Z54:Z57)</f>
        <v>0</v>
      </c>
      <c r="AB57" s="74">
        <v>0</v>
      </c>
      <c r="AC57" s="75">
        <f t="shared" ref="AC57" si="716">AVERAGE(AB54:AB57)</f>
        <v>0</v>
      </c>
      <c r="AD57" s="96" t="e">
        <v>#VALUE!</v>
      </c>
      <c r="AE57" s="74">
        <v>0</v>
      </c>
      <c r="AF57" s="75">
        <f t="shared" ref="AF57" si="717">AVERAGE(AE54:AE57)</f>
        <v>0</v>
      </c>
      <c r="AG57" s="74">
        <v>0</v>
      </c>
      <c r="AH57" s="75">
        <f t="shared" ref="AH57" si="718">AVERAGE(AG54:AG57)</f>
        <v>0</v>
      </c>
      <c r="AI57" s="96" t="e">
        <v>#VALUE!</v>
      </c>
      <c r="AJ57" s="74">
        <v>0</v>
      </c>
      <c r="AK57" s="75">
        <f t="shared" ref="AK57" si="719">AVERAGE(AJ54:AJ57)</f>
        <v>0</v>
      </c>
      <c r="AL57" s="74">
        <v>0</v>
      </c>
      <c r="AM57" s="75">
        <f t="shared" ref="AM57" si="720">AVERAGE(AL54:AL57)</f>
        <v>0</v>
      </c>
      <c r="AN57" s="96">
        <v>283279.64231369452</v>
      </c>
      <c r="AO57" s="74">
        <f t="shared" si="3"/>
        <v>108061.23785714999</v>
      </c>
      <c r="AP57" s="75">
        <f t="shared" si="66"/>
        <v>134671.28867347856</v>
      </c>
      <c r="AQ57" s="74">
        <v>785.20369120831663</v>
      </c>
      <c r="AR57" s="92">
        <f t="shared" si="67"/>
        <v>809.14101865716407</v>
      </c>
      <c r="AS57" s="74">
        <f t="shared" si="4"/>
        <v>31008.957857160007</v>
      </c>
      <c r="AT57" s="75">
        <f t="shared" si="68"/>
        <v>36385.174336718577</v>
      </c>
      <c r="AU57" s="74">
        <v>818.26703423600804</v>
      </c>
      <c r="AV57" s="92">
        <f t="shared" si="69"/>
        <v>954.00527596020981</v>
      </c>
      <c r="AW57" s="74">
        <f t="shared" si="5"/>
        <v>47776.454642980003</v>
      </c>
      <c r="AX57" s="75">
        <f t="shared" si="70"/>
        <v>50918.231989790002</v>
      </c>
      <c r="AY57" s="74">
        <v>1041.4719269116474</v>
      </c>
      <c r="AZ57" s="92">
        <f t="shared" si="71"/>
        <v>1000.6194908837987</v>
      </c>
      <c r="BA57" s="74">
        <f t="shared" si="6"/>
        <v>38705.856785830001</v>
      </c>
      <c r="BB57" s="75">
        <f t="shared" si="72"/>
        <v>42349.743622535716</v>
      </c>
      <c r="BC57" s="74">
        <v>1212.8809861297932</v>
      </c>
      <c r="BD57" s="92">
        <f t="shared" si="73"/>
        <v>1018.8132923262326</v>
      </c>
      <c r="BE57" s="93">
        <f>AO57/SUM(Table5[[#This Row],[NWP (Standard)]],Table5[[#This Row],[NWP (Plus)]],Table5[[#This Row],[NWP (Essentials)]],Table5[[#This Row],[NWP (Premium)]])</f>
        <v>0.47909570691928427</v>
      </c>
      <c r="BF57" s="93">
        <f>AS57/SUM(Table5[[#This Row],[NWP (Standard)]],Table5[[#This Row],[NWP (Plus)]],Table5[[#This Row],[NWP (Essentials)]],Table5[[#This Row],[NWP (Premium)]])</f>
        <v>0.13747999634286429</v>
      </c>
      <c r="BG57" s="93">
        <f>AW57/SUM(Table5[[#This Row],[NWP (Standard)]],Table5[[#This Row],[NWP (Plus)]],Table5[[#This Row],[NWP (Essentials)]],Table5[[#This Row],[NWP (Premium)]])</f>
        <v>0.21181965675364617</v>
      </c>
      <c r="BH57" s="94">
        <f>BA57/SUM(Table5[[#This Row],[NWP (Standard)]],Table5[[#This Row],[NWP (Plus)]],Table5[[#This Row],[NWP (Essentials)]],Table5[[#This Row],[NWP (Premium)]])</f>
        <v>0.1716046399842053</v>
      </c>
      <c r="BI57" s="93">
        <f t="shared" si="74"/>
        <v>0.51047406359552883</v>
      </c>
      <c r="BJ57" s="93">
        <f t="shared" si="74"/>
        <v>0.13617048328815945</v>
      </c>
      <c r="BK57" s="93">
        <f t="shared" si="74"/>
        <v>0.19236845414390724</v>
      </c>
      <c r="BL57" s="94">
        <f t="shared" si="74"/>
        <v>0.16098699897240457</v>
      </c>
      <c r="BM57" s="74">
        <v>0</v>
      </c>
      <c r="BN57" s="75">
        <f t="shared" si="75"/>
        <v>0</v>
      </c>
      <c r="BO57" s="74">
        <v>0</v>
      </c>
      <c r="BP57" s="92">
        <f t="shared" si="76"/>
        <v>0</v>
      </c>
      <c r="BQ57" s="74">
        <v>0</v>
      </c>
      <c r="BR57" s="75">
        <f t="shared" si="77"/>
        <v>0</v>
      </c>
      <c r="BS57" s="74">
        <v>0</v>
      </c>
      <c r="BT57" s="92">
        <f t="shared" si="78"/>
        <v>0</v>
      </c>
      <c r="BU57" s="74">
        <v>0</v>
      </c>
      <c r="BV57" s="75">
        <f t="shared" si="79"/>
        <v>0</v>
      </c>
      <c r="BW57" s="74">
        <v>0</v>
      </c>
      <c r="BX57" s="92">
        <f t="shared" si="80"/>
        <v>0</v>
      </c>
      <c r="BY57" s="74">
        <v>0</v>
      </c>
      <c r="BZ57" s="75">
        <f t="shared" si="81"/>
        <v>0</v>
      </c>
      <c r="CA57" s="74">
        <v>0</v>
      </c>
      <c r="CB57" s="92">
        <f t="shared" si="82"/>
        <v>0</v>
      </c>
      <c r="CC57" s="74">
        <v>108061.23785714999</v>
      </c>
      <c r="CD57" s="75">
        <f t="shared" si="83"/>
        <v>134671.28867347856</v>
      </c>
      <c r="CE57" s="74">
        <v>785.20369120831663</v>
      </c>
      <c r="CF57" s="92">
        <f t="shared" si="84"/>
        <v>809.14101865716407</v>
      </c>
      <c r="CG57" s="74">
        <v>31008.957857160007</v>
      </c>
      <c r="CH57" s="75">
        <f t="shared" si="85"/>
        <v>36385.174336718577</v>
      </c>
      <c r="CI57" s="74">
        <v>818.26703423600804</v>
      </c>
      <c r="CJ57" s="92">
        <f t="shared" si="86"/>
        <v>954.00527596020981</v>
      </c>
      <c r="CK57" s="74">
        <v>47776.454642980003</v>
      </c>
      <c r="CL57" s="75">
        <f t="shared" si="87"/>
        <v>50918.231989790002</v>
      </c>
      <c r="CM57" s="74">
        <v>1041.4719269116474</v>
      </c>
      <c r="CN57" s="92">
        <f t="shared" si="88"/>
        <v>1000.6194908837987</v>
      </c>
      <c r="CO57" s="74">
        <v>38705.856785830001</v>
      </c>
      <c r="CP57" s="75">
        <f t="shared" si="89"/>
        <v>42349.743622535716</v>
      </c>
      <c r="CQ57" s="74">
        <v>1212.8809861297932</v>
      </c>
      <c r="CR57" s="92">
        <f t="shared" si="90"/>
        <v>1018.8132923262326</v>
      </c>
    </row>
    <row r="58" spans="1:96" x14ac:dyDescent="0.25">
      <c r="A58" s="85">
        <f t="shared" si="7"/>
        <v>45527</v>
      </c>
      <c r="B58" s="74">
        <v>874030.94857197988</v>
      </c>
      <c r="C58" s="75">
        <f t="shared" si="8"/>
        <v>953756.51973273989</v>
      </c>
      <c r="D58" s="74">
        <v>1034.7486806051361</v>
      </c>
      <c r="E58" s="75">
        <f t="shared" si="8"/>
        <v>1086.2229909694925</v>
      </c>
      <c r="F58" s="96">
        <f t="shared" si="0"/>
        <v>1307240.6050897916</v>
      </c>
      <c r="G58" s="75">
        <v>1099059.792143587</v>
      </c>
      <c r="H58" s="75">
        <f t="shared" ref="H58" si="721">AVERAGE(G55:G58)</f>
        <v>1183588.271607752</v>
      </c>
      <c r="I58" s="75">
        <f>Table5[[#This Row],[Average NWP (Boom)]]</f>
        <v>1034.7486806051361</v>
      </c>
      <c r="J58" s="92">
        <f t="shared" ref="J58" si="722">AVERAGE(I55:I58)</f>
        <v>1086.2229909694925</v>
      </c>
      <c r="K58" s="75">
        <f t="shared" si="1"/>
        <v>874030.94857198</v>
      </c>
      <c r="L58" s="75">
        <f t="shared" ref="L58" si="723">AVERAGE(K55:K58)</f>
        <v>953756.51973274001</v>
      </c>
      <c r="M58" s="75">
        <v>1031.9137527414168</v>
      </c>
      <c r="N58" s="75">
        <f t="shared" ref="N58" si="724">AVERAGE(M55:M58)</f>
        <v>1083.2470375993362</v>
      </c>
      <c r="O58" s="96">
        <f t="shared" si="2"/>
        <v>1023960.962776097</v>
      </c>
      <c r="P58" s="74">
        <v>236051.01964273994</v>
      </c>
      <c r="Q58" s="75">
        <f t="shared" ref="Q58" si="725">AVERAGE(P55:P58)</f>
        <v>243223.20589295743</v>
      </c>
      <c r="R58" s="74">
        <v>819.62159598173594</v>
      </c>
      <c r="S58" s="75">
        <f t="shared" ref="S58" si="726">AVERAGE(R55:R58)</f>
        <v>885.99221515027216</v>
      </c>
      <c r="T58" s="96">
        <v>267043.79570480861</v>
      </c>
      <c r="U58" s="74">
        <v>637979.92892924009</v>
      </c>
      <c r="V58" s="75">
        <f t="shared" ref="V58" si="727">AVERAGE(U55:U58)</f>
        <v>710533.31383978238</v>
      </c>
      <c r="W58" s="74">
        <v>1141.2878871721648</v>
      </c>
      <c r="X58" s="75">
        <f t="shared" ref="X58" si="728">AVERAGE(W55:W58)</f>
        <v>1172.5984442053543</v>
      </c>
      <c r="Y58" s="96">
        <v>756917.16707128845</v>
      </c>
      <c r="Z58" s="74">
        <v>0</v>
      </c>
      <c r="AA58" s="75">
        <f t="shared" ref="AA58" si="729">AVERAGE(Z55:Z58)</f>
        <v>0</v>
      </c>
      <c r="AB58" s="74">
        <v>0</v>
      </c>
      <c r="AC58" s="75">
        <f t="shared" ref="AC58" si="730">AVERAGE(AB55:AB58)</f>
        <v>0</v>
      </c>
      <c r="AD58" s="96" t="e">
        <v>#VALUE!</v>
      </c>
      <c r="AE58" s="74">
        <v>0</v>
      </c>
      <c r="AF58" s="75">
        <f t="shared" ref="AF58" si="731">AVERAGE(AE55:AE58)</f>
        <v>0</v>
      </c>
      <c r="AG58" s="74">
        <v>0</v>
      </c>
      <c r="AH58" s="75">
        <f t="shared" ref="AH58" si="732">AVERAGE(AG55:AG58)</f>
        <v>0</v>
      </c>
      <c r="AI58" s="96" t="e">
        <v>#VALUE!</v>
      </c>
      <c r="AJ58" s="74">
        <v>0</v>
      </c>
      <c r="AK58" s="75">
        <f t="shared" ref="AK58" si="733">AVERAGE(AJ55:AJ58)</f>
        <v>0</v>
      </c>
      <c r="AL58" s="74">
        <v>0</v>
      </c>
      <c r="AM58" s="75">
        <f t="shared" ref="AM58" si="734">AVERAGE(AL55:AL58)</f>
        <v>0</v>
      </c>
      <c r="AN58" s="96">
        <v>283279.64231369452</v>
      </c>
      <c r="AO58" s="74">
        <f t="shared" si="3"/>
        <v>121796.35821423003</v>
      </c>
      <c r="AP58" s="75">
        <f t="shared" si="66"/>
        <v>129588.90270406428</v>
      </c>
      <c r="AQ58" s="74">
        <v>768.11926786530955</v>
      </c>
      <c r="AR58" s="92">
        <f t="shared" si="67"/>
        <v>804.4376772519737</v>
      </c>
      <c r="AS58" s="74">
        <f t="shared" si="4"/>
        <v>27963.50249992001</v>
      </c>
      <c r="AT58" s="75">
        <f t="shared" si="68"/>
        <v>32260.997857121434</v>
      </c>
      <c r="AU58" s="74">
        <v>876.26016588173081</v>
      </c>
      <c r="AV58" s="92">
        <f t="shared" si="69"/>
        <v>936.35604714946408</v>
      </c>
      <c r="AW58" s="74">
        <f t="shared" si="5"/>
        <v>43757.693214290004</v>
      </c>
      <c r="AX58" s="75">
        <f t="shared" si="70"/>
        <v>47445.383061220004</v>
      </c>
      <c r="AY58" s="74">
        <v>877.55813311961958</v>
      </c>
      <c r="AZ58" s="92">
        <f t="shared" si="71"/>
        <v>978.24763390170972</v>
      </c>
      <c r="BA58" s="74">
        <f t="shared" si="6"/>
        <v>42533.4657143</v>
      </c>
      <c r="BB58" s="75">
        <f t="shared" si="72"/>
        <v>40926.258316418571</v>
      </c>
      <c r="BC58" s="74">
        <v>907.45352965238465</v>
      </c>
      <c r="BD58" s="92">
        <f t="shared" si="73"/>
        <v>998.04354583762199</v>
      </c>
      <c r="BE58" s="93">
        <f>AO58/SUM(Table5[[#This Row],[NWP (Standard)]],Table5[[#This Row],[NWP (Plus)]],Table5[[#This Row],[NWP (Essentials)]],Table5[[#This Row],[NWP (Premium)]])</f>
        <v>0.51597471766301684</v>
      </c>
      <c r="BF58" s="93">
        <f>AS58/SUM(Table5[[#This Row],[NWP (Standard)]],Table5[[#This Row],[NWP (Plus)]],Table5[[#This Row],[NWP (Essentials)]],Table5[[#This Row],[NWP (Premium)]])</f>
        <v>0.11846380728302884</v>
      </c>
      <c r="BG58" s="93">
        <f>AW58/SUM(Table5[[#This Row],[NWP (Standard)]],Table5[[#This Row],[NWP (Plus)]],Table5[[#This Row],[NWP (Essentials)]],Table5[[#This Row],[NWP (Premium)]])</f>
        <v>0.18537387925930873</v>
      </c>
      <c r="BH58" s="94">
        <f>BA58/SUM(Table5[[#This Row],[NWP (Standard)]],Table5[[#This Row],[NWP (Plus)]],Table5[[#This Row],[NWP (Essentials)]],Table5[[#This Row],[NWP (Premium)]])</f>
        <v>0.18018759579464566</v>
      </c>
      <c r="BI58" s="93">
        <f t="shared" si="74"/>
        <v>0.51702884349630673</v>
      </c>
      <c r="BJ58" s="93">
        <f t="shared" si="74"/>
        <v>0.1288416182662741</v>
      </c>
      <c r="BK58" s="93">
        <f t="shared" si="74"/>
        <v>0.18980389657676058</v>
      </c>
      <c r="BL58" s="94">
        <f t="shared" si="74"/>
        <v>0.16432564166065863</v>
      </c>
      <c r="BM58" s="74">
        <v>0</v>
      </c>
      <c r="BN58" s="75">
        <f t="shared" si="75"/>
        <v>0</v>
      </c>
      <c r="BO58" s="74">
        <v>0</v>
      </c>
      <c r="BP58" s="92">
        <f t="shared" si="76"/>
        <v>0</v>
      </c>
      <c r="BQ58" s="74">
        <v>0</v>
      </c>
      <c r="BR58" s="75">
        <f t="shared" si="77"/>
        <v>0</v>
      </c>
      <c r="BS58" s="74">
        <v>0</v>
      </c>
      <c r="BT58" s="92">
        <f t="shared" si="78"/>
        <v>0</v>
      </c>
      <c r="BU58" s="74">
        <v>0</v>
      </c>
      <c r="BV58" s="75">
        <f t="shared" si="79"/>
        <v>0</v>
      </c>
      <c r="BW58" s="74">
        <v>0</v>
      </c>
      <c r="BX58" s="92">
        <f t="shared" si="80"/>
        <v>0</v>
      </c>
      <c r="BY58" s="74">
        <v>0</v>
      </c>
      <c r="BZ58" s="75">
        <f t="shared" si="81"/>
        <v>0</v>
      </c>
      <c r="CA58" s="74">
        <v>0</v>
      </c>
      <c r="CB58" s="92">
        <f t="shared" si="82"/>
        <v>0</v>
      </c>
      <c r="CC58" s="74">
        <v>121796.35821423003</v>
      </c>
      <c r="CD58" s="75">
        <f t="shared" si="83"/>
        <v>129588.90270406428</v>
      </c>
      <c r="CE58" s="74">
        <v>768.11926786530955</v>
      </c>
      <c r="CF58" s="92">
        <f t="shared" si="84"/>
        <v>804.4376772519737</v>
      </c>
      <c r="CG58" s="74">
        <v>27963.50249992001</v>
      </c>
      <c r="CH58" s="75">
        <f t="shared" si="85"/>
        <v>32260.997857121434</v>
      </c>
      <c r="CI58" s="74">
        <v>876.26016588173081</v>
      </c>
      <c r="CJ58" s="92">
        <f t="shared" si="86"/>
        <v>936.35604714946408</v>
      </c>
      <c r="CK58" s="74">
        <v>43757.693214290004</v>
      </c>
      <c r="CL58" s="75">
        <f t="shared" si="87"/>
        <v>47445.383061220004</v>
      </c>
      <c r="CM58" s="74">
        <v>877.55813311961958</v>
      </c>
      <c r="CN58" s="92">
        <f t="shared" si="88"/>
        <v>978.24763390170972</v>
      </c>
      <c r="CO58" s="74">
        <v>42533.4657143</v>
      </c>
      <c r="CP58" s="75">
        <f t="shared" si="89"/>
        <v>40926.258316418571</v>
      </c>
      <c r="CQ58" s="74">
        <v>907.45352965238465</v>
      </c>
      <c r="CR58" s="92">
        <f t="shared" si="90"/>
        <v>998.04354583762199</v>
      </c>
    </row>
    <row r="59" spans="1:96" x14ac:dyDescent="0.25">
      <c r="A59" s="85">
        <f t="shared" si="7"/>
        <v>45534</v>
      </c>
      <c r="B59" s="74">
        <v>831229.8103567902</v>
      </c>
      <c r="C59" s="75">
        <f t="shared" si="8"/>
        <v>885281.79053596</v>
      </c>
      <c r="D59" s="74">
        <v>1052.4159200934246</v>
      </c>
      <c r="E59" s="75">
        <f t="shared" si="8"/>
        <v>1081.9126864742243</v>
      </c>
      <c r="F59" s="96">
        <f t="shared" si="0"/>
        <v>1307240.6050897916</v>
      </c>
      <c r="G59" s="75">
        <v>1038745.1510710203</v>
      </c>
      <c r="H59" s="75">
        <f t="shared" ref="H59" si="735">AVERAGE(G56:G59)</f>
        <v>1105721.1390180944</v>
      </c>
      <c r="I59" s="75">
        <f>Table5[[#This Row],[Average NWP (Boom)]]</f>
        <v>1052.4159200934246</v>
      </c>
      <c r="J59" s="92">
        <f t="shared" ref="J59" si="736">AVERAGE(I56:I59)</f>
        <v>1081.9126864742243</v>
      </c>
      <c r="K59" s="75">
        <f t="shared" si="1"/>
        <v>831229.81035679008</v>
      </c>
      <c r="L59" s="75">
        <f t="shared" ref="L59" si="737">AVERAGE(K56:K59)</f>
        <v>885281.79053596011</v>
      </c>
      <c r="M59" s="75">
        <v>1049.5325888343309</v>
      </c>
      <c r="N59" s="75">
        <f t="shared" ref="N59" si="738">AVERAGE(M56:M59)</f>
        <v>1078.9485421573618</v>
      </c>
      <c r="O59" s="96">
        <f t="shared" si="2"/>
        <v>1023960.962776097</v>
      </c>
      <c r="P59" s="74">
        <v>210493.44928551998</v>
      </c>
      <c r="Q59" s="75">
        <f t="shared" ref="Q59" si="739">AVERAGE(P56:P59)</f>
        <v>221179.90491067749</v>
      </c>
      <c r="R59" s="74">
        <v>877.05603868966659</v>
      </c>
      <c r="S59" s="75">
        <f t="shared" ref="S59" si="740">AVERAGE(R56:R59)</f>
        <v>870.45539682375806</v>
      </c>
      <c r="T59" s="96">
        <v>267043.79570480861</v>
      </c>
      <c r="U59" s="74">
        <v>620736.36107127008</v>
      </c>
      <c r="V59" s="75">
        <f t="shared" ref="V59" si="741">AVERAGE(U56:U59)</f>
        <v>664101.88562528254</v>
      </c>
      <c r="W59" s="74">
        <v>1124.5223932450544</v>
      </c>
      <c r="X59" s="75">
        <f t="shared" ref="X59" si="742">AVERAGE(W56:W59)</f>
        <v>1172.9274847418026</v>
      </c>
      <c r="Y59" s="96">
        <v>756917.16707128845</v>
      </c>
      <c r="Z59" s="74">
        <v>0</v>
      </c>
      <c r="AA59" s="75">
        <f t="shared" ref="AA59" si="743">AVERAGE(Z56:Z59)</f>
        <v>0</v>
      </c>
      <c r="AB59" s="74">
        <v>0</v>
      </c>
      <c r="AC59" s="75">
        <f t="shared" ref="AC59" si="744">AVERAGE(AB56:AB59)</f>
        <v>0</v>
      </c>
      <c r="AD59" s="96" t="e">
        <v>#VALUE!</v>
      </c>
      <c r="AE59" s="74">
        <v>0</v>
      </c>
      <c r="AF59" s="75">
        <f t="shared" ref="AF59" si="745">AVERAGE(AE56:AE59)</f>
        <v>0</v>
      </c>
      <c r="AG59" s="74">
        <v>0</v>
      </c>
      <c r="AH59" s="75">
        <f t="shared" ref="AH59" si="746">AVERAGE(AG56:AG59)</f>
        <v>0</v>
      </c>
      <c r="AI59" s="96" t="e">
        <v>#VALUE!</v>
      </c>
      <c r="AJ59" s="74">
        <v>0</v>
      </c>
      <c r="AK59" s="75">
        <f t="shared" ref="AK59" si="747">AVERAGE(AJ56:AJ59)</f>
        <v>0</v>
      </c>
      <c r="AL59" s="74">
        <v>0</v>
      </c>
      <c r="AM59" s="75">
        <f t="shared" ref="AM59" si="748">AVERAGE(AL56:AL59)</f>
        <v>0</v>
      </c>
      <c r="AN59" s="96">
        <v>283279.64231369452</v>
      </c>
      <c r="AO59" s="74">
        <f t="shared" si="3"/>
        <v>114215.95035714</v>
      </c>
      <c r="AP59" s="75">
        <f t="shared" si="66"/>
        <v>125672.54239797145</v>
      </c>
      <c r="AQ59" s="74">
        <v>812.26759175455561</v>
      </c>
      <c r="AR59" s="92">
        <f t="shared" si="67"/>
        <v>804.54156407359756</v>
      </c>
      <c r="AS59" s="74">
        <f t="shared" si="4"/>
        <v>30395.615714270003</v>
      </c>
      <c r="AT59" s="75">
        <f t="shared" si="68"/>
        <v>31154.059183658577</v>
      </c>
      <c r="AU59" s="74">
        <v>1088.5400054360048</v>
      </c>
      <c r="AV59" s="92">
        <f t="shared" si="69"/>
        <v>964.78874510737637</v>
      </c>
      <c r="AW59" s="74">
        <f t="shared" si="5"/>
        <v>37743.163571230005</v>
      </c>
      <c r="AX59" s="75">
        <f t="shared" si="70"/>
        <v>45641.31096931715</v>
      </c>
      <c r="AY59" s="74">
        <v>901.1155614286032</v>
      </c>
      <c r="AZ59" s="92">
        <f t="shared" si="71"/>
        <v>978.12625513373337</v>
      </c>
      <c r="BA59" s="74">
        <f t="shared" si="6"/>
        <v>28138.719642880002</v>
      </c>
      <c r="BB59" s="75">
        <f t="shared" si="72"/>
        <v>38728.800459278573</v>
      </c>
      <c r="BC59" s="74">
        <v>972.96633851544539</v>
      </c>
      <c r="BD59" s="92">
        <f t="shared" si="73"/>
        <v>998.49750650983117</v>
      </c>
      <c r="BE59" s="93">
        <f>AO59/SUM(Table5[[#This Row],[NWP (Standard)]],Table5[[#This Row],[NWP (Plus)]],Table5[[#This Row],[NWP (Essentials)]],Table5[[#This Row],[NWP (Premium)]])</f>
        <v>0.54261047431558718</v>
      </c>
      <c r="BF59" s="93">
        <f>AS59/SUM(Table5[[#This Row],[NWP (Standard)]],Table5[[#This Row],[NWP (Plus)]],Table5[[#This Row],[NWP (Essentials)]],Table5[[#This Row],[NWP (Premium)]])</f>
        <v>0.14440171804605867</v>
      </c>
      <c r="BG59" s="93">
        <f>AW59/SUM(Table5[[#This Row],[NWP (Standard)]],Table5[[#This Row],[NWP (Plus)]],Table5[[#This Row],[NWP (Essentials)]],Table5[[#This Row],[NWP (Premium)]])</f>
        <v>0.17930801979511476</v>
      </c>
      <c r="BH59" s="94">
        <f>BA59/SUM(Table5[[#This Row],[NWP (Standard)]],Table5[[#This Row],[NWP (Plus)]],Table5[[#This Row],[NWP (Essentials)]],Table5[[#This Row],[NWP (Premium)]])</f>
        <v>0.1336797878432395</v>
      </c>
      <c r="BI59" s="93">
        <f t="shared" si="74"/>
        <v>0.52061205044954084</v>
      </c>
      <c r="BJ59" s="93">
        <f t="shared" si="74"/>
        <v>0.12955877432940519</v>
      </c>
      <c r="BK59" s="93">
        <f t="shared" si="74"/>
        <v>0.18912479490670869</v>
      </c>
      <c r="BL59" s="94">
        <f t="shared" si="74"/>
        <v>0.16070438031434522</v>
      </c>
      <c r="BM59" s="74">
        <v>0</v>
      </c>
      <c r="BN59" s="75">
        <f t="shared" si="75"/>
        <v>0</v>
      </c>
      <c r="BO59" s="74">
        <v>0</v>
      </c>
      <c r="BP59" s="92">
        <f t="shared" si="76"/>
        <v>0</v>
      </c>
      <c r="BQ59" s="74">
        <v>0</v>
      </c>
      <c r="BR59" s="75">
        <f t="shared" si="77"/>
        <v>0</v>
      </c>
      <c r="BS59" s="74">
        <v>0</v>
      </c>
      <c r="BT59" s="92">
        <f t="shared" si="78"/>
        <v>0</v>
      </c>
      <c r="BU59" s="74">
        <v>0</v>
      </c>
      <c r="BV59" s="75">
        <f t="shared" si="79"/>
        <v>0</v>
      </c>
      <c r="BW59" s="74">
        <v>0</v>
      </c>
      <c r="BX59" s="92">
        <f t="shared" si="80"/>
        <v>0</v>
      </c>
      <c r="BY59" s="74">
        <v>0</v>
      </c>
      <c r="BZ59" s="75">
        <f t="shared" si="81"/>
        <v>0</v>
      </c>
      <c r="CA59" s="74">
        <v>0</v>
      </c>
      <c r="CB59" s="92">
        <f t="shared" si="82"/>
        <v>0</v>
      </c>
      <c r="CC59" s="74">
        <v>114215.95035714</v>
      </c>
      <c r="CD59" s="75">
        <f t="shared" si="83"/>
        <v>125672.54239797145</v>
      </c>
      <c r="CE59" s="74">
        <v>812.26759175455561</v>
      </c>
      <c r="CF59" s="92">
        <f t="shared" si="84"/>
        <v>804.54156407359756</v>
      </c>
      <c r="CG59" s="74">
        <v>30395.615714270003</v>
      </c>
      <c r="CH59" s="75">
        <f t="shared" si="85"/>
        <v>31154.059183658577</v>
      </c>
      <c r="CI59" s="74">
        <v>1088.5400054360048</v>
      </c>
      <c r="CJ59" s="92">
        <f t="shared" si="86"/>
        <v>964.78874510737637</v>
      </c>
      <c r="CK59" s="74">
        <v>37743.163571230005</v>
      </c>
      <c r="CL59" s="75">
        <f t="shared" si="87"/>
        <v>45641.31096931715</v>
      </c>
      <c r="CM59" s="74">
        <v>901.1155614286032</v>
      </c>
      <c r="CN59" s="92">
        <f t="shared" si="88"/>
        <v>978.12625513373337</v>
      </c>
      <c r="CO59" s="74">
        <v>28138.719642880002</v>
      </c>
      <c r="CP59" s="75">
        <f t="shared" si="89"/>
        <v>38728.800459278573</v>
      </c>
      <c r="CQ59" s="74">
        <v>972.96633851544539</v>
      </c>
      <c r="CR59" s="92">
        <f t="shared" si="90"/>
        <v>998.49750650983117</v>
      </c>
    </row>
    <row r="60" spans="1:96" x14ac:dyDescent="0.25">
      <c r="A60" s="85">
        <f t="shared" si="7"/>
        <v>45541</v>
      </c>
      <c r="B60" s="74">
        <v>967983.21285775001</v>
      </c>
      <c r="C60" s="75">
        <f t="shared" si="8"/>
        <v>891268.25866103009</v>
      </c>
      <c r="D60" s="74">
        <v>1032.5984120977676</v>
      </c>
      <c r="E60" s="75">
        <f t="shared" si="8"/>
        <v>1056.9789014878204</v>
      </c>
      <c r="F60" s="96">
        <f t="shared" si="0"/>
        <v>1643425.891407229</v>
      </c>
      <c r="G60" s="75">
        <v>1149231.7825005902</v>
      </c>
      <c r="H60" s="75">
        <f t="shared" ref="H60" si="749">AVERAGE(G57:G60)</f>
        <v>1103564.1552681522</v>
      </c>
      <c r="I60" s="75">
        <f>Table5[[#This Row],[Average NWP (Boom)]]</f>
        <v>1032.5984120977676</v>
      </c>
      <c r="J60" s="92">
        <f t="shared" ref="J60" si="750">AVERAGE(I57:I60)</f>
        <v>1056.9789014878204</v>
      </c>
      <c r="K60" s="75">
        <f t="shared" si="1"/>
        <v>967983.21285775024</v>
      </c>
      <c r="L60" s="75">
        <f t="shared" ref="L60" si="751">AVERAGE(K57:K60)</f>
        <v>891268.25866103009</v>
      </c>
      <c r="M60" s="75">
        <v>1029.7693753805854</v>
      </c>
      <c r="N60" s="75">
        <f t="shared" ref="N60" si="752">AVERAGE(M57:M60)</f>
        <v>1054.083068909963</v>
      </c>
      <c r="O60" s="96">
        <f t="shared" si="2"/>
        <v>1388757.4684065063</v>
      </c>
      <c r="P60" s="74">
        <v>276036.71035728004</v>
      </c>
      <c r="Q60" s="75">
        <f t="shared" ref="Q60" si="753">AVERAGE(P57:P60)</f>
        <v>237033.42160716502</v>
      </c>
      <c r="R60" s="74">
        <v>926.29768576268475</v>
      </c>
      <c r="S60" s="75">
        <f t="shared" ref="S60" si="754">AVERAGE(R57:R60)</f>
        <v>877.744329265136</v>
      </c>
      <c r="T60" s="96">
        <v>362180.86348841386</v>
      </c>
      <c r="U60" s="74">
        <v>691946.50250047015</v>
      </c>
      <c r="V60" s="75">
        <f t="shared" ref="V60" si="755">AVERAGE(U57:U60)</f>
        <v>654234.83705386508</v>
      </c>
      <c r="W60" s="74">
        <v>1077.7982904991748</v>
      </c>
      <c r="X60" s="75">
        <f t="shared" ref="X60" si="756">AVERAGE(W57:W60)</f>
        <v>1137.1121588748852</v>
      </c>
      <c r="Y60" s="96">
        <v>1026576.6049180926</v>
      </c>
      <c r="Z60" s="74">
        <v>0</v>
      </c>
      <c r="AA60" s="75">
        <f t="shared" ref="AA60" si="757">AVERAGE(Z57:Z60)</f>
        <v>0</v>
      </c>
      <c r="AB60" s="74">
        <v>0</v>
      </c>
      <c r="AC60" s="75">
        <f t="shared" ref="AC60" si="758">AVERAGE(AB57:AB60)</f>
        <v>0</v>
      </c>
      <c r="AD60" s="96" t="e">
        <v>#VALUE!</v>
      </c>
      <c r="AE60" s="74">
        <v>0</v>
      </c>
      <c r="AF60" s="75">
        <f t="shared" ref="AF60" si="759">AVERAGE(AE57:AE60)</f>
        <v>0</v>
      </c>
      <c r="AG60" s="74">
        <v>0</v>
      </c>
      <c r="AH60" s="75">
        <f t="shared" ref="AH60" si="760">AVERAGE(AG57:AG60)</f>
        <v>0</v>
      </c>
      <c r="AI60" s="96" t="e">
        <v>#VALUE!</v>
      </c>
      <c r="AJ60" s="74">
        <v>0</v>
      </c>
      <c r="AK60" s="75">
        <f t="shared" ref="AK60" si="761">AVERAGE(AJ57:AJ60)</f>
        <v>0</v>
      </c>
      <c r="AL60" s="74">
        <v>0</v>
      </c>
      <c r="AM60" s="75">
        <f t="shared" ref="AM60" si="762">AVERAGE(AL57:AL60)</f>
        <v>0</v>
      </c>
      <c r="AN60" s="96">
        <v>254668.4230007226</v>
      </c>
      <c r="AO60" s="74">
        <f t="shared" si="3"/>
        <v>148600.97071435</v>
      </c>
      <c r="AP60" s="75">
        <f t="shared" si="66"/>
        <v>128474.45443881857</v>
      </c>
      <c r="AQ60" s="74">
        <v>876.52479491350459</v>
      </c>
      <c r="AR60" s="92">
        <f t="shared" si="67"/>
        <v>819.77474232140798</v>
      </c>
      <c r="AS60" s="74">
        <f t="shared" si="4"/>
        <v>36184.777500100005</v>
      </c>
      <c r="AT60" s="75">
        <f t="shared" si="68"/>
        <v>32264.929897964292</v>
      </c>
      <c r="AU60" s="74">
        <v>1036.6910350999733</v>
      </c>
      <c r="AV60" s="92">
        <f t="shared" si="69"/>
        <v>985.7145700760276</v>
      </c>
      <c r="AW60" s="74">
        <f t="shared" si="5"/>
        <v>51478.60928561999</v>
      </c>
      <c r="AX60" s="75">
        <f t="shared" si="70"/>
        <v>46399.926122387151</v>
      </c>
      <c r="AY60" s="74">
        <v>992.69296221127956</v>
      </c>
      <c r="AZ60" s="92">
        <f t="shared" si="71"/>
        <v>976.16581119280079</v>
      </c>
      <c r="BA60" s="74">
        <f t="shared" si="6"/>
        <v>39772.352857209997</v>
      </c>
      <c r="BB60" s="75">
        <f t="shared" si="72"/>
        <v>38164.511734774278</v>
      </c>
      <c r="BC60" s="74">
        <v>972.72237955526919</v>
      </c>
      <c r="BD60" s="92">
        <f t="shared" si="73"/>
        <v>998.27533743224194</v>
      </c>
      <c r="BE60" s="93">
        <f>AO60/SUM(Table5[[#This Row],[NWP (Standard)]],Table5[[#This Row],[NWP (Plus)]],Table5[[#This Row],[NWP (Essentials)]],Table5[[#This Row],[NWP (Premium)]])</f>
        <v>0.53833771066903646</v>
      </c>
      <c r="BF60" s="93">
        <f>AS60/SUM(Table5[[#This Row],[NWP (Standard)]],Table5[[#This Row],[NWP (Plus)]],Table5[[#This Row],[NWP (Essentials)]],Table5[[#This Row],[NWP (Premium)]])</f>
        <v>0.13108683063663998</v>
      </c>
      <c r="BG60" s="93">
        <f>AW60/SUM(Table5[[#This Row],[NWP (Standard)]],Table5[[#This Row],[NWP (Plus)]],Table5[[#This Row],[NWP (Essentials)]],Table5[[#This Row],[NWP (Premium)]])</f>
        <v>0.18649189529534013</v>
      </c>
      <c r="BH60" s="94">
        <f>BA60/SUM(Table5[[#This Row],[NWP (Standard)]],Table5[[#This Row],[NWP (Plus)]],Table5[[#This Row],[NWP (Essentials)]],Table5[[#This Row],[NWP (Premium)]])</f>
        <v>0.14408356339898351</v>
      </c>
      <c r="BI60" s="93">
        <f t="shared" si="74"/>
        <v>0.52300158331734559</v>
      </c>
      <c r="BJ60" s="93">
        <f t="shared" si="74"/>
        <v>0.131873828954927</v>
      </c>
      <c r="BK60" s="93">
        <f t="shared" si="74"/>
        <v>0.18909516365078116</v>
      </c>
      <c r="BL60" s="94">
        <f t="shared" si="74"/>
        <v>0.1560294240769462</v>
      </c>
      <c r="BM60" s="74">
        <v>0</v>
      </c>
      <c r="BN60" s="75">
        <f t="shared" si="75"/>
        <v>0</v>
      </c>
      <c r="BO60" s="74">
        <v>0</v>
      </c>
      <c r="BP60" s="92">
        <f t="shared" si="76"/>
        <v>0</v>
      </c>
      <c r="BQ60" s="74">
        <v>0</v>
      </c>
      <c r="BR60" s="75">
        <f t="shared" si="77"/>
        <v>0</v>
      </c>
      <c r="BS60" s="74">
        <v>0</v>
      </c>
      <c r="BT60" s="92">
        <f t="shared" si="78"/>
        <v>0</v>
      </c>
      <c r="BU60" s="74">
        <v>0</v>
      </c>
      <c r="BV60" s="75">
        <f t="shared" si="79"/>
        <v>0</v>
      </c>
      <c r="BW60" s="74">
        <v>0</v>
      </c>
      <c r="BX60" s="92">
        <f t="shared" si="80"/>
        <v>0</v>
      </c>
      <c r="BY60" s="74">
        <v>0</v>
      </c>
      <c r="BZ60" s="75">
        <f t="shared" si="81"/>
        <v>0</v>
      </c>
      <c r="CA60" s="74">
        <v>0</v>
      </c>
      <c r="CB60" s="92">
        <f t="shared" si="82"/>
        <v>0</v>
      </c>
      <c r="CC60" s="74">
        <v>148600.97071435</v>
      </c>
      <c r="CD60" s="75">
        <f t="shared" si="83"/>
        <v>128474.45443881857</v>
      </c>
      <c r="CE60" s="74">
        <v>876.52479491350459</v>
      </c>
      <c r="CF60" s="92">
        <f t="shared" si="84"/>
        <v>819.77474232140798</v>
      </c>
      <c r="CG60" s="74">
        <v>36184.777500100005</v>
      </c>
      <c r="CH60" s="75">
        <f t="shared" si="85"/>
        <v>32264.929897964292</v>
      </c>
      <c r="CI60" s="74">
        <v>1036.6910350999733</v>
      </c>
      <c r="CJ60" s="92">
        <f t="shared" si="86"/>
        <v>985.7145700760276</v>
      </c>
      <c r="CK60" s="74">
        <v>51478.60928561999</v>
      </c>
      <c r="CL60" s="75">
        <f t="shared" si="87"/>
        <v>46399.926122387151</v>
      </c>
      <c r="CM60" s="74">
        <v>992.69296221127956</v>
      </c>
      <c r="CN60" s="92">
        <f t="shared" si="88"/>
        <v>976.16581119280079</v>
      </c>
      <c r="CO60" s="74">
        <v>39772.352857209997</v>
      </c>
      <c r="CP60" s="75">
        <f t="shared" si="89"/>
        <v>38164.511734774278</v>
      </c>
      <c r="CQ60" s="74">
        <v>972.72237955526919</v>
      </c>
      <c r="CR60" s="92">
        <f t="shared" si="90"/>
        <v>998.27533743224194</v>
      </c>
    </row>
    <row r="61" spans="1:96" x14ac:dyDescent="0.25">
      <c r="A61" s="85">
        <f t="shared" si="7"/>
        <v>45548</v>
      </c>
      <c r="B61" s="74">
        <v>792859.06785731029</v>
      </c>
      <c r="C61" s="75">
        <f t="shared" si="8"/>
        <v>866525.75991095765</v>
      </c>
      <c r="D61" s="74">
        <v>1032.515911802368</v>
      </c>
      <c r="E61" s="75">
        <f t="shared" si="8"/>
        <v>1038.0697311496742</v>
      </c>
      <c r="F61" s="96">
        <f t="shared" si="0"/>
        <v>1699456.7724601352</v>
      </c>
      <c r="G61" s="75">
        <v>977542.46785723011</v>
      </c>
      <c r="H61" s="75">
        <f t="shared" ref="H61" si="763">AVERAGE(G58:G61)</f>
        <v>1066144.798393107</v>
      </c>
      <c r="I61" s="75">
        <f>Table5[[#This Row],[Average NWP (Boom)]]</f>
        <v>1032.515911802368</v>
      </c>
      <c r="J61" s="92">
        <f t="shared" ref="J61" si="764">AVERAGE(I58:I61)</f>
        <v>1038.0697311496742</v>
      </c>
      <c r="K61" s="75">
        <f t="shared" si="1"/>
        <v>792859.06785731006</v>
      </c>
      <c r="L61" s="75">
        <f t="shared" ref="L61" si="765">AVERAGE(K58:K61)</f>
        <v>866525.75991095765</v>
      </c>
      <c r="M61" s="75">
        <v>1029.6871011133896</v>
      </c>
      <c r="N61" s="75">
        <f t="shared" ref="N61" si="766">AVERAGE(M58:M61)</f>
        <v>1035.2257045174308</v>
      </c>
      <c r="O61" s="96">
        <f t="shared" si="2"/>
        <v>1449556.8860115747</v>
      </c>
      <c r="P61" s="74">
        <v>231396.34571414001</v>
      </c>
      <c r="Q61" s="75">
        <f t="shared" ref="Q61" si="767">AVERAGE(P58:P61)</f>
        <v>238494.38124992</v>
      </c>
      <c r="R61" s="74">
        <v>903.89197544585943</v>
      </c>
      <c r="S61" s="75">
        <f t="shared" ref="S61" si="768">AVERAGE(R58:R61)</f>
        <v>881.71682396998665</v>
      </c>
      <c r="T61" s="96">
        <v>378037.041452348</v>
      </c>
      <c r="U61" s="74">
        <v>561462.72214317007</v>
      </c>
      <c r="V61" s="75">
        <f t="shared" ref="V61" si="769">AVERAGE(U58:U61)</f>
        <v>628031.37866103754</v>
      </c>
      <c r="W61" s="74">
        <v>1092.3399263485799</v>
      </c>
      <c r="X61" s="75">
        <f t="shared" ref="X61" si="770">AVERAGE(W58:W61)</f>
        <v>1108.9871243162436</v>
      </c>
      <c r="Y61" s="96">
        <v>1071519.8445592267</v>
      </c>
      <c r="Z61" s="74">
        <v>0</v>
      </c>
      <c r="AA61" s="75">
        <f t="shared" ref="AA61" si="771">AVERAGE(Z58:Z61)</f>
        <v>0</v>
      </c>
      <c r="AB61" s="74">
        <v>0</v>
      </c>
      <c r="AC61" s="75">
        <f t="shared" ref="AC61" si="772">AVERAGE(AB58:AB61)</f>
        <v>0</v>
      </c>
      <c r="AD61" s="96" t="e">
        <v>#VALUE!</v>
      </c>
      <c r="AE61" s="74">
        <v>0</v>
      </c>
      <c r="AF61" s="75">
        <f t="shared" ref="AF61" si="773">AVERAGE(AE58:AE61)</f>
        <v>0</v>
      </c>
      <c r="AG61" s="74">
        <v>0</v>
      </c>
      <c r="AH61" s="75">
        <f t="shared" ref="AH61" si="774">AVERAGE(AG58:AG61)</f>
        <v>0</v>
      </c>
      <c r="AI61" s="96" t="e">
        <v>#VALUE!</v>
      </c>
      <c r="AJ61" s="74">
        <v>0</v>
      </c>
      <c r="AK61" s="75">
        <f t="shared" ref="AK61" si="775">AVERAGE(AJ58:AJ61)</f>
        <v>0</v>
      </c>
      <c r="AL61" s="74">
        <v>0</v>
      </c>
      <c r="AM61" s="75">
        <f t="shared" ref="AM61" si="776">AVERAGE(AL58:AL61)</f>
        <v>0</v>
      </c>
      <c r="AN61" s="96">
        <v>249899.88644856063</v>
      </c>
      <c r="AO61" s="74">
        <f t="shared" si="3"/>
        <v>108984.97785713001</v>
      </c>
      <c r="AP61" s="75">
        <f t="shared" si="66"/>
        <v>123691.20637756572</v>
      </c>
      <c r="AQ61" s="74">
        <v>815.55512786533563</v>
      </c>
      <c r="AR61" s="92">
        <f t="shared" si="67"/>
        <v>818.99270878046093</v>
      </c>
      <c r="AS61" s="74">
        <f t="shared" si="4"/>
        <v>30222.036428569994</v>
      </c>
      <c r="AT61" s="75">
        <f t="shared" si="68"/>
        <v>31585.989795924284</v>
      </c>
      <c r="AU61" s="74">
        <v>841.80733334287231</v>
      </c>
      <c r="AV61" s="92">
        <f t="shared" si="69"/>
        <v>944.35662573829802</v>
      </c>
      <c r="AW61" s="74">
        <f t="shared" si="5"/>
        <v>67790.12928555999</v>
      </c>
      <c r="AX61" s="75">
        <f t="shared" si="70"/>
        <v>49233.596224419998</v>
      </c>
      <c r="AY61" s="74">
        <v>1213.8636768323015</v>
      </c>
      <c r="AZ61" s="92">
        <f t="shared" si="71"/>
        <v>1024.6757350698385</v>
      </c>
      <c r="BA61" s="74">
        <f t="shared" si="6"/>
        <v>24399.202142880004</v>
      </c>
      <c r="BB61" s="75">
        <f t="shared" si="72"/>
        <v>37034.826020485714</v>
      </c>
      <c r="BC61" s="74">
        <v>815.54109724418856</v>
      </c>
      <c r="BD61" s="92">
        <f t="shared" si="73"/>
        <v>992.99264590170276</v>
      </c>
      <c r="BE61" s="93">
        <f>AO61/SUM(Table5[[#This Row],[NWP (Standard)]],Table5[[#This Row],[NWP (Plus)]],Table5[[#This Row],[NWP (Essentials)]],Table5[[#This Row],[NWP (Premium)]])</f>
        <v>0.47098832749833797</v>
      </c>
      <c r="BF61" s="93">
        <f>AS61/SUM(Table5[[#This Row],[NWP (Standard)]],Table5[[#This Row],[NWP (Plus)]],Table5[[#This Row],[NWP (Essentials)]],Table5[[#This Row],[NWP (Premium)]])</f>
        <v>0.13060723295045193</v>
      </c>
      <c r="BG61" s="93">
        <f>AW61/SUM(Table5[[#This Row],[NWP (Standard)]],Table5[[#This Row],[NWP (Plus)]],Table5[[#This Row],[NWP (Essentials)]],Table5[[#This Row],[NWP (Premium)]])</f>
        <v>0.29296110565767469</v>
      </c>
      <c r="BH61" s="94">
        <f>BA61/SUM(Table5[[#This Row],[NWP (Standard)]],Table5[[#This Row],[NWP (Plus)]],Table5[[#This Row],[NWP (Essentials)]],Table5[[#This Row],[NWP (Premium)]])</f>
        <v>0.10544333389353536</v>
      </c>
      <c r="BI61" s="93">
        <f t="shared" si="74"/>
        <v>0.51130917413934762</v>
      </c>
      <c r="BJ61" s="93">
        <f t="shared" si="74"/>
        <v>0.13114395408934953</v>
      </c>
      <c r="BK61" s="93">
        <f t="shared" si="74"/>
        <v>0.20436338267095663</v>
      </c>
      <c r="BL61" s="94">
        <f t="shared" si="74"/>
        <v>0.15318348910034624</v>
      </c>
      <c r="BM61" s="74">
        <v>0</v>
      </c>
      <c r="BN61" s="75">
        <f t="shared" si="75"/>
        <v>0</v>
      </c>
      <c r="BO61" s="74">
        <v>0</v>
      </c>
      <c r="BP61" s="92">
        <f t="shared" si="76"/>
        <v>0</v>
      </c>
      <c r="BQ61" s="74">
        <v>0</v>
      </c>
      <c r="BR61" s="75">
        <f t="shared" si="77"/>
        <v>0</v>
      </c>
      <c r="BS61" s="74">
        <v>0</v>
      </c>
      <c r="BT61" s="92">
        <f t="shared" si="78"/>
        <v>0</v>
      </c>
      <c r="BU61" s="74">
        <v>0</v>
      </c>
      <c r="BV61" s="75">
        <f t="shared" si="79"/>
        <v>0</v>
      </c>
      <c r="BW61" s="74">
        <v>0</v>
      </c>
      <c r="BX61" s="92">
        <f t="shared" si="80"/>
        <v>0</v>
      </c>
      <c r="BY61" s="74">
        <v>0</v>
      </c>
      <c r="BZ61" s="75">
        <f t="shared" si="81"/>
        <v>0</v>
      </c>
      <c r="CA61" s="74">
        <v>0</v>
      </c>
      <c r="CB61" s="92">
        <f t="shared" si="82"/>
        <v>0</v>
      </c>
      <c r="CC61" s="74">
        <v>108984.97785713001</v>
      </c>
      <c r="CD61" s="75">
        <f t="shared" si="83"/>
        <v>123691.20637756572</v>
      </c>
      <c r="CE61" s="74">
        <v>815.55512786533563</v>
      </c>
      <c r="CF61" s="92">
        <f t="shared" si="84"/>
        <v>818.99270878046093</v>
      </c>
      <c r="CG61" s="74">
        <v>30222.036428569994</v>
      </c>
      <c r="CH61" s="75">
        <f t="shared" si="85"/>
        <v>31585.989795924284</v>
      </c>
      <c r="CI61" s="74">
        <v>841.80733334287231</v>
      </c>
      <c r="CJ61" s="92">
        <f t="shared" si="86"/>
        <v>944.35662573829802</v>
      </c>
      <c r="CK61" s="74">
        <v>67790.12928555999</v>
      </c>
      <c r="CL61" s="75">
        <f t="shared" si="87"/>
        <v>49233.596224419998</v>
      </c>
      <c r="CM61" s="74">
        <v>1213.8636768323015</v>
      </c>
      <c r="CN61" s="92">
        <f t="shared" si="88"/>
        <v>1024.6757350698385</v>
      </c>
      <c r="CO61" s="74">
        <v>24399.202142880004</v>
      </c>
      <c r="CP61" s="75">
        <f t="shared" si="89"/>
        <v>37034.826020485714</v>
      </c>
      <c r="CQ61" s="74">
        <v>815.54109724418856</v>
      </c>
      <c r="CR61" s="92">
        <f t="shared" si="90"/>
        <v>992.99264590170276</v>
      </c>
    </row>
    <row r="62" spans="1:96" x14ac:dyDescent="0.25">
      <c r="A62" s="85">
        <f t="shared" si="7"/>
        <v>45555</v>
      </c>
      <c r="B62" s="74">
        <v>890922.09285667015</v>
      </c>
      <c r="C62" s="75">
        <f t="shared" si="8"/>
        <v>870748.54598213022</v>
      </c>
      <c r="D62" s="74">
        <v>1104.28885166788</v>
      </c>
      <c r="E62" s="75">
        <f t="shared" si="8"/>
        <v>1055.45477391536</v>
      </c>
      <c r="F62" s="96">
        <f t="shared" si="0"/>
        <v>1699456.7724601352</v>
      </c>
      <c r="G62" s="75">
        <v>1073666.7553567069</v>
      </c>
      <c r="H62" s="75">
        <f t="shared" ref="H62" si="777">AVERAGE(G59:G62)</f>
        <v>1059796.5391963869</v>
      </c>
      <c r="I62" s="75">
        <f>Table5[[#This Row],[Average NWP (Boom)]]</f>
        <v>1104.28885166788</v>
      </c>
      <c r="J62" s="92">
        <f t="shared" ref="J62" si="778">AVERAGE(I59:I62)</f>
        <v>1055.45477391536</v>
      </c>
      <c r="K62" s="75">
        <f t="shared" si="1"/>
        <v>890922.09285667026</v>
      </c>
      <c r="L62" s="75">
        <f t="shared" ref="L62" si="779">AVERAGE(K59:K62)</f>
        <v>870748.54598213022</v>
      </c>
      <c r="M62" s="75">
        <v>1101.2634027894564</v>
      </c>
      <c r="N62" s="75">
        <f t="shared" ref="N62" si="780">AVERAGE(M59:M62)</f>
        <v>1052.5631170294407</v>
      </c>
      <c r="O62" s="96">
        <f t="shared" si="2"/>
        <v>1449556.8860115747</v>
      </c>
      <c r="P62" s="74">
        <v>252142.13857165992</v>
      </c>
      <c r="Q62" s="75">
        <f t="shared" ref="Q62" si="781">AVERAGE(P59:P62)</f>
        <v>242517.16098214997</v>
      </c>
      <c r="R62" s="74">
        <v>966.06183360789237</v>
      </c>
      <c r="S62" s="75">
        <f t="shared" ref="S62" si="782">AVERAGE(R59:R62)</f>
        <v>918.32688337652576</v>
      </c>
      <c r="T62" s="96">
        <v>378037.041452348</v>
      </c>
      <c r="U62" s="74">
        <v>638779.95428501035</v>
      </c>
      <c r="V62" s="75">
        <f t="shared" ref="V62" si="783">AVERAGE(U59:U62)</f>
        <v>628231.3849999801</v>
      </c>
      <c r="W62" s="74">
        <v>1165.6568508850553</v>
      </c>
      <c r="X62" s="75">
        <f t="shared" ref="X62" si="784">AVERAGE(W59:W62)</f>
        <v>1115.0793652444661</v>
      </c>
      <c r="Y62" s="96">
        <v>1071519.8445592267</v>
      </c>
      <c r="Z62" s="74">
        <v>0</v>
      </c>
      <c r="AA62" s="75">
        <f t="shared" ref="AA62" si="785">AVERAGE(Z59:Z62)</f>
        <v>0</v>
      </c>
      <c r="AB62" s="74">
        <v>0</v>
      </c>
      <c r="AC62" s="75">
        <f t="shared" ref="AC62" si="786">AVERAGE(AB59:AB62)</f>
        <v>0</v>
      </c>
      <c r="AD62" s="96" t="e">
        <v>#VALUE!</v>
      </c>
      <c r="AE62" s="74">
        <v>0</v>
      </c>
      <c r="AF62" s="75">
        <f t="shared" ref="AF62" si="787">AVERAGE(AE59:AE62)</f>
        <v>0</v>
      </c>
      <c r="AG62" s="74">
        <v>0</v>
      </c>
      <c r="AH62" s="75">
        <f t="shared" ref="AH62" si="788">AVERAGE(AG59:AG62)</f>
        <v>0</v>
      </c>
      <c r="AI62" s="96" t="e">
        <v>#VALUE!</v>
      </c>
      <c r="AJ62" s="74">
        <v>0</v>
      </c>
      <c r="AK62" s="75">
        <f t="shared" ref="AK62" si="789">AVERAGE(AJ59:AJ62)</f>
        <v>0</v>
      </c>
      <c r="AL62" s="74">
        <v>0</v>
      </c>
      <c r="AM62" s="75">
        <f t="shared" ref="AM62" si="790">AVERAGE(AL59:AL62)</f>
        <v>0</v>
      </c>
      <c r="AN62" s="96">
        <v>249899.88644856063</v>
      </c>
      <c r="AO62" s="74">
        <f t="shared" si="3"/>
        <v>118311.90749995998</v>
      </c>
      <c r="AP62" s="75">
        <f t="shared" si="66"/>
        <v>118418.11551018858</v>
      </c>
      <c r="AQ62" s="74">
        <v>905.62549778330299</v>
      </c>
      <c r="AR62" s="92">
        <f t="shared" si="67"/>
        <v>825.51854400140678</v>
      </c>
      <c r="AS62" s="74">
        <f t="shared" si="4"/>
        <v>34037.937857320001</v>
      </c>
      <c r="AT62" s="75">
        <f t="shared" si="68"/>
        <v>31042.363673494288</v>
      </c>
      <c r="AU62" s="74">
        <v>832.47435791882117</v>
      </c>
      <c r="AV62" s="92">
        <f t="shared" si="69"/>
        <v>920.6225645384111</v>
      </c>
      <c r="AW62" s="74">
        <f t="shared" si="5"/>
        <v>64076.58964292</v>
      </c>
      <c r="AX62" s="75">
        <f t="shared" si="70"/>
        <v>50233.803061169994</v>
      </c>
      <c r="AY62" s="74">
        <v>1168.229531419744</v>
      </c>
      <c r="AZ62" s="92">
        <f t="shared" si="71"/>
        <v>1024.7086954645886</v>
      </c>
      <c r="BA62" s="74">
        <f t="shared" si="6"/>
        <v>35715.703571459999</v>
      </c>
      <c r="BB62" s="75">
        <f t="shared" si="72"/>
        <v>35204.976938831431</v>
      </c>
      <c r="BC62" s="74">
        <v>1053.3477539774374</v>
      </c>
      <c r="BD62" s="92">
        <f t="shared" si="73"/>
        <v>1004.4481632931183</v>
      </c>
      <c r="BE62" s="93">
        <f>AO62/SUM(Table5[[#This Row],[NWP (Standard)]],Table5[[#This Row],[NWP (Plus)]],Table5[[#This Row],[NWP (Essentials)]],Table5[[#This Row],[NWP (Premium)]])</f>
        <v>0.46922703269741312</v>
      </c>
      <c r="BF62" s="93">
        <f>AS62/SUM(Table5[[#This Row],[NWP (Standard)]],Table5[[#This Row],[NWP (Plus)]],Table5[[#This Row],[NWP (Essentials)]],Table5[[#This Row],[NWP (Premium)]])</f>
        <v>0.13499503910825383</v>
      </c>
      <c r="BG62" s="93">
        <f>AW62/SUM(Table5[[#This Row],[NWP (Standard)]],Table5[[#This Row],[NWP (Plus)]],Table5[[#This Row],[NWP (Essentials)]],Table5[[#This Row],[NWP (Premium)]])</f>
        <v>0.25412884179495893</v>
      </c>
      <c r="BH62" s="94">
        <f>BA62/SUM(Table5[[#This Row],[NWP (Standard)]],Table5[[#This Row],[NWP (Plus)]],Table5[[#This Row],[NWP (Essentials)]],Table5[[#This Row],[NWP (Premium)]])</f>
        <v>0.14164908639937399</v>
      </c>
      <c r="BI62" s="93">
        <f t="shared" si="74"/>
        <v>0.50409564888554514</v>
      </c>
      <c r="BJ62" s="93">
        <f t="shared" si="74"/>
        <v>0.13232788071316734</v>
      </c>
      <c r="BK62" s="93">
        <f t="shared" si="74"/>
        <v>0.21336752954264573</v>
      </c>
      <c r="BL62" s="94">
        <f t="shared" si="74"/>
        <v>0.15020894085864173</v>
      </c>
      <c r="BM62" s="74">
        <v>0</v>
      </c>
      <c r="BN62" s="75">
        <f t="shared" si="75"/>
        <v>0</v>
      </c>
      <c r="BO62" s="74">
        <v>0</v>
      </c>
      <c r="BP62" s="92">
        <f t="shared" si="76"/>
        <v>0</v>
      </c>
      <c r="BQ62" s="74">
        <v>0</v>
      </c>
      <c r="BR62" s="75">
        <f t="shared" si="77"/>
        <v>0</v>
      </c>
      <c r="BS62" s="74">
        <v>0</v>
      </c>
      <c r="BT62" s="92">
        <f t="shared" si="78"/>
        <v>0</v>
      </c>
      <c r="BU62" s="74">
        <v>0</v>
      </c>
      <c r="BV62" s="75">
        <f t="shared" si="79"/>
        <v>0</v>
      </c>
      <c r="BW62" s="74">
        <v>0</v>
      </c>
      <c r="BX62" s="92">
        <f t="shared" si="80"/>
        <v>0</v>
      </c>
      <c r="BY62" s="74">
        <v>0</v>
      </c>
      <c r="BZ62" s="75">
        <f t="shared" si="81"/>
        <v>0</v>
      </c>
      <c r="CA62" s="74">
        <v>0</v>
      </c>
      <c r="CB62" s="92">
        <f t="shared" si="82"/>
        <v>0</v>
      </c>
      <c r="CC62" s="74">
        <v>118311.90749995998</v>
      </c>
      <c r="CD62" s="75">
        <f t="shared" si="83"/>
        <v>118418.11551018858</v>
      </c>
      <c r="CE62" s="74">
        <v>905.62549778330299</v>
      </c>
      <c r="CF62" s="92">
        <f t="shared" si="84"/>
        <v>825.51854400140678</v>
      </c>
      <c r="CG62" s="74">
        <v>34037.937857320001</v>
      </c>
      <c r="CH62" s="75">
        <f t="shared" si="85"/>
        <v>31042.363673494288</v>
      </c>
      <c r="CI62" s="74">
        <v>832.47435791882117</v>
      </c>
      <c r="CJ62" s="92">
        <f t="shared" si="86"/>
        <v>920.6225645384111</v>
      </c>
      <c r="CK62" s="74">
        <v>64076.58964292</v>
      </c>
      <c r="CL62" s="75">
        <f t="shared" si="87"/>
        <v>50233.803061169994</v>
      </c>
      <c r="CM62" s="74">
        <v>1168.229531419744</v>
      </c>
      <c r="CN62" s="92">
        <f t="shared" si="88"/>
        <v>1024.7086954645886</v>
      </c>
      <c r="CO62" s="74">
        <v>35715.703571459999</v>
      </c>
      <c r="CP62" s="75">
        <f t="shared" si="89"/>
        <v>35204.976938831431</v>
      </c>
      <c r="CQ62" s="74">
        <v>1053.3477539774374</v>
      </c>
      <c r="CR62" s="92">
        <f t="shared" si="90"/>
        <v>1004.4481632931183</v>
      </c>
    </row>
    <row r="63" spans="1:96" x14ac:dyDescent="0.25">
      <c r="A63" s="85">
        <f t="shared" si="7"/>
        <v>45562</v>
      </c>
      <c r="B63" s="74">
        <v>961216.83678588015</v>
      </c>
      <c r="C63" s="75">
        <f t="shared" si="8"/>
        <v>903245.30258940277</v>
      </c>
      <c r="D63" s="74">
        <v>1100.2939981221068</v>
      </c>
      <c r="E63" s="75">
        <f t="shared" si="8"/>
        <v>1067.4242934225306</v>
      </c>
      <c r="F63" s="96">
        <f t="shared" si="0"/>
        <v>1699456.7724601352</v>
      </c>
      <c r="G63" s="75">
        <v>1122814.4189287752</v>
      </c>
      <c r="H63" s="75">
        <f t="shared" ref="H63" si="791">AVERAGE(G60:G63)</f>
        <v>1080813.8561608256</v>
      </c>
      <c r="I63" s="75">
        <f>Table5[[#This Row],[Average NWP (Boom)]]</f>
        <v>1100.2939981221068</v>
      </c>
      <c r="J63" s="92">
        <f t="shared" ref="J63" si="792">AVERAGE(I60:I63)</f>
        <v>1067.4242934225306</v>
      </c>
      <c r="K63" s="75">
        <f t="shared" si="1"/>
        <v>961216.83678588015</v>
      </c>
      <c r="L63" s="75">
        <f t="shared" ref="L63" si="793">AVERAGE(K60:K63)</f>
        <v>903245.30258940277</v>
      </c>
      <c r="M63" s="75">
        <v>1097.2794940478084</v>
      </c>
      <c r="N63" s="75">
        <f t="shared" ref="N63" si="794">AVERAGE(M60:M63)</f>
        <v>1064.4998433328101</v>
      </c>
      <c r="O63" s="96">
        <f t="shared" si="2"/>
        <v>1449556.8860115747</v>
      </c>
      <c r="P63" s="74">
        <v>242244.03750013997</v>
      </c>
      <c r="Q63" s="75">
        <f t="shared" ref="Q63" si="795">AVERAGE(P60:P63)</f>
        <v>250454.80803580501</v>
      </c>
      <c r="R63" s="74">
        <v>968.97615000055987</v>
      </c>
      <c r="S63" s="75">
        <f t="shared" ref="S63" si="796">AVERAGE(R60:R63)</f>
        <v>941.3069112042491</v>
      </c>
      <c r="T63" s="96">
        <v>378037.041452348</v>
      </c>
      <c r="U63" s="74">
        <v>718972.79928574024</v>
      </c>
      <c r="V63" s="75">
        <f t="shared" ref="V63" si="797">AVERAGE(U60:U63)</f>
        <v>652790.49455359764</v>
      </c>
      <c r="W63" s="74">
        <v>1148.5188486992656</v>
      </c>
      <c r="X63" s="75">
        <f t="shared" ref="X63" si="798">AVERAGE(W60:W63)</f>
        <v>1121.0784791080189</v>
      </c>
      <c r="Y63" s="96">
        <v>1071519.8445592267</v>
      </c>
      <c r="Z63" s="74">
        <v>0</v>
      </c>
      <c r="AA63" s="75">
        <f t="shared" ref="AA63" si="799">AVERAGE(Z60:Z63)</f>
        <v>0</v>
      </c>
      <c r="AB63" s="74">
        <v>0</v>
      </c>
      <c r="AC63" s="75">
        <f t="shared" ref="AC63" si="800">AVERAGE(AB60:AB63)</f>
        <v>0</v>
      </c>
      <c r="AD63" s="96" t="e">
        <v>#VALUE!</v>
      </c>
      <c r="AE63" s="74">
        <v>0</v>
      </c>
      <c r="AF63" s="75">
        <f t="shared" ref="AF63" si="801">AVERAGE(AE60:AE63)</f>
        <v>0</v>
      </c>
      <c r="AG63" s="74">
        <v>0</v>
      </c>
      <c r="AH63" s="75">
        <f t="shared" ref="AH63" si="802">AVERAGE(AG60:AG63)</f>
        <v>0</v>
      </c>
      <c r="AI63" s="96" t="e">
        <v>#VALUE!</v>
      </c>
      <c r="AJ63" s="74">
        <v>0</v>
      </c>
      <c r="AK63" s="75">
        <f t="shared" ref="AK63" si="803">AVERAGE(AJ60:AJ63)</f>
        <v>0</v>
      </c>
      <c r="AL63" s="74">
        <v>0</v>
      </c>
      <c r="AM63" s="75">
        <f t="shared" ref="AM63" si="804">AVERAGE(AL60:AL63)</f>
        <v>0</v>
      </c>
      <c r="AN63" s="96">
        <v>249899.88644856063</v>
      </c>
      <c r="AO63" s="74">
        <f t="shared" si="3"/>
        <v>115975.96678568002</v>
      </c>
      <c r="AP63" s="75">
        <f t="shared" si="66"/>
        <v>119421.05275509144</v>
      </c>
      <c r="AQ63" s="74">
        <v>874.39535395377732</v>
      </c>
      <c r="AR63" s="92">
        <f t="shared" si="67"/>
        <v>833.9559036205859</v>
      </c>
      <c r="AS63" s="74">
        <f t="shared" si="4"/>
        <v>24468.930000220003</v>
      </c>
      <c r="AT63" s="75">
        <f t="shared" si="68"/>
        <v>30611.679693937145</v>
      </c>
      <c r="AU63" s="74">
        <v>908.74638276708788</v>
      </c>
      <c r="AV63" s="92">
        <f t="shared" si="69"/>
        <v>914.68375924035684</v>
      </c>
      <c r="AW63" s="74">
        <f t="shared" si="5"/>
        <v>57631.024642750002</v>
      </c>
      <c r="AX63" s="75">
        <f t="shared" si="70"/>
        <v>52893.38061219285</v>
      </c>
      <c r="AY63" s="74">
        <v>1111.3336852295995</v>
      </c>
      <c r="AZ63" s="92">
        <f t="shared" si="71"/>
        <v>1043.7522110218276</v>
      </c>
      <c r="BA63" s="74">
        <f t="shared" si="6"/>
        <v>44168.116071490003</v>
      </c>
      <c r="BB63" s="75">
        <f t="shared" si="72"/>
        <v>36204.773826578574</v>
      </c>
      <c r="BC63" s="74">
        <v>1165.5120275918853</v>
      </c>
      <c r="BD63" s="92">
        <f t="shared" si="73"/>
        <v>1014.3463018094862</v>
      </c>
      <c r="BE63" s="93">
        <f>AO63/SUM(Table5[[#This Row],[NWP (Standard)]],Table5[[#This Row],[NWP (Plus)]],Table5[[#This Row],[NWP (Essentials)]],Table5[[#This Row],[NWP (Premium)]])</f>
        <v>0.47875674457255935</v>
      </c>
      <c r="BF63" s="93">
        <f>AS63/SUM(Table5[[#This Row],[NWP (Standard)]],Table5[[#This Row],[NWP (Plus)]],Table5[[#This Row],[NWP (Essentials)]],Table5[[#This Row],[NWP (Premium)]])</f>
        <v>0.10100942113056491</v>
      </c>
      <c r="BG63" s="93">
        <f>AW63/SUM(Table5[[#This Row],[NWP (Standard)]],Table5[[#This Row],[NWP (Plus)]],Table5[[#This Row],[NWP (Essentials)]],Table5[[#This Row],[NWP (Premium)]])</f>
        <v>0.23790482208552477</v>
      </c>
      <c r="BH63" s="94">
        <f>BA63/SUM(Table5[[#This Row],[NWP (Standard)]],Table5[[#This Row],[NWP (Plus)]],Table5[[#This Row],[NWP (Essentials)]],Table5[[#This Row],[NWP (Premium)]])</f>
        <v>0.182329012211351</v>
      </c>
      <c r="BI63" s="93">
        <f t="shared" si="74"/>
        <v>0.49928438776217648</v>
      </c>
      <c r="BJ63" s="93">
        <f t="shared" si="74"/>
        <v>0.12829200649969463</v>
      </c>
      <c r="BK63" s="93">
        <f t="shared" si="74"/>
        <v>0.22114117437736688</v>
      </c>
      <c r="BL63" s="94">
        <f t="shared" si="74"/>
        <v>0.15128243136076205</v>
      </c>
      <c r="BM63" s="74">
        <v>0</v>
      </c>
      <c r="BN63" s="75">
        <f t="shared" si="75"/>
        <v>0</v>
      </c>
      <c r="BO63" s="74">
        <v>0</v>
      </c>
      <c r="BP63" s="92">
        <f t="shared" si="76"/>
        <v>0</v>
      </c>
      <c r="BQ63" s="74">
        <v>0</v>
      </c>
      <c r="BR63" s="75">
        <f t="shared" si="77"/>
        <v>0</v>
      </c>
      <c r="BS63" s="74">
        <v>0</v>
      </c>
      <c r="BT63" s="92">
        <f t="shared" si="78"/>
        <v>0</v>
      </c>
      <c r="BU63" s="74">
        <v>0</v>
      </c>
      <c r="BV63" s="75">
        <f t="shared" si="79"/>
        <v>0</v>
      </c>
      <c r="BW63" s="74">
        <v>0</v>
      </c>
      <c r="BX63" s="92">
        <f t="shared" si="80"/>
        <v>0</v>
      </c>
      <c r="BY63" s="74">
        <v>0</v>
      </c>
      <c r="BZ63" s="75">
        <f t="shared" si="81"/>
        <v>0</v>
      </c>
      <c r="CA63" s="74">
        <v>0</v>
      </c>
      <c r="CB63" s="92">
        <f t="shared" si="82"/>
        <v>0</v>
      </c>
      <c r="CC63" s="74">
        <v>115975.96678568002</v>
      </c>
      <c r="CD63" s="75">
        <f t="shared" si="83"/>
        <v>119421.05275509144</v>
      </c>
      <c r="CE63" s="74">
        <v>874.39535395377732</v>
      </c>
      <c r="CF63" s="92">
        <f t="shared" si="84"/>
        <v>833.9559036205859</v>
      </c>
      <c r="CG63" s="74">
        <v>24468.930000220003</v>
      </c>
      <c r="CH63" s="75">
        <f t="shared" si="85"/>
        <v>30611.679693937145</v>
      </c>
      <c r="CI63" s="74">
        <v>908.74638276708788</v>
      </c>
      <c r="CJ63" s="92">
        <f t="shared" si="86"/>
        <v>914.68375924035684</v>
      </c>
      <c r="CK63" s="74">
        <v>57631.024642750002</v>
      </c>
      <c r="CL63" s="75">
        <f t="shared" si="87"/>
        <v>52893.38061219285</v>
      </c>
      <c r="CM63" s="74">
        <v>1111.3336852295995</v>
      </c>
      <c r="CN63" s="92">
        <f t="shared" si="88"/>
        <v>1043.7522110218276</v>
      </c>
      <c r="CO63" s="74">
        <v>44168.116071490003</v>
      </c>
      <c r="CP63" s="75">
        <f t="shared" si="89"/>
        <v>36204.773826578574</v>
      </c>
      <c r="CQ63" s="74">
        <v>1165.5120275918853</v>
      </c>
      <c r="CR63" s="92">
        <f t="shared" si="90"/>
        <v>1014.3463018094862</v>
      </c>
    </row>
    <row r="64" spans="1:96" x14ac:dyDescent="0.25">
      <c r="A64" s="85">
        <f t="shared" si="7"/>
        <v>45569</v>
      </c>
      <c r="B64" s="74">
        <v>865914.10392923944</v>
      </c>
      <c r="C64" s="75">
        <f t="shared" si="8"/>
        <v>877728.02535727504</v>
      </c>
      <c r="D64" s="74">
        <v>1042.3685339811398</v>
      </c>
      <c r="E64" s="75">
        <f t="shared" si="8"/>
        <v>1069.8668238933737</v>
      </c>
      <c r="F64" s="96">
        <f t="shared" si="0"/>
        <v>1706821.6915382547</v>
      </c>
      <c r="G64" s="75">
        <v>1055706.7625007094</v>
      </c>
      <c r="H64" s="75">
        <f t="shared" ref="H64" si="805">AVERAGE(G61:G64)</f>
        <v>1057432.6011608555</v>
      </c>
      <c r="I64" s="75">
        <f>Table5[[#This Row],[Average NWP (Boom)]]</f>
        <v>1042.3685339811398</v>
      </c>
      <c r="J64" s="92">
        <f t="shared" ref="J64" si="806">AVERAGE(I61:I64)</f>
        <v>1069.8668238933737</v>
      </c>
      <c r="K64" s="75">
        <f t="shared" si="1"/>
        <v>865914.10392923967</v>
      </c>
      <c r="L64" s="75">
        <f t="shared" ref="L64" si="807">AVERAGE(K61:K64)</f>
        <v>877728.02535727515</v>
      </c>
      <c r="M64" s="75">
        <v>1039.5127298070104</v>
      </c>
      <c r="N64" s="75">
        <f t="shared" ref="N64" si="808">AVERAGE(M61:M64)</f>
        <v>1066.9356819394163</v>
      </c>
      <c r="O64" s="96">
        <f t="shared" si="2"/>
        <v>1494152.5049334536</v>
      </c>
      <c r="P64" s="74">
        <v>223519.12571467995</v>
      </c>
      <c r="Q64" s="75">
        <f t="shared" ref="Q64" si="809">AVERAGE(P61:P64)</f>
        <v>237325.41187515494</v>
      </c>
      <c r="R64" s="74">
        <v>869.72422457073912</v>
      </c>
      <c r="S64" s="75">
        <f t="shared" ref="S64" si="810">AVERAGE(R61:R64)</f>
        <v>927.1635459062627</v>
      </c>
      <c r="T64" s="96">
        <v>389667.35137785226</v>
      </c>
      <c r="U64" s="74">
        <v>642394.97821455973</v>
      </c>
      <c r="V64" s="75">
        <f t="shared" ref="V64" si="811">AVERAGE(U61:U64)</f>
        <v>640402.6134821201</v>
      </c>
      <c r="W64" s="74">
        <v>1115.2690594002772</v>
      </c>
      <c r="X64" s="75">
        <f t="shared" ref="X64" si="812">AVERAGE(W61:W64)</f>
        <v>1130.4461713332944</v>
      </c>
      <c r="Y64" s="96">
        <v>1104485.1535556014</v>
      </c>
      <c r="Z64" s="74">
        <v>0</v>
      </c>
      <c r="AA64" s="75">
        <f t="shared" ref="AA64" si="813">AVERAGE(Z61:Z64)</f>
        <v>0</v>
      </c>
      <c r="AB64" s="74">
        <v>0</v>
      </c>
      <c r="AC64" s="75">
        <f t="shared" ref="AC64" si="814">AVERAGE(AB61:AB64)</f>
        <v>0</v>
      </c>
      <c r="AD64" s="96" t="e">
        <v>#VALUE!</v>
      </c>
      <c r="AE64" s="74">
        <v>0</v>
      </c>
      <c r="AF64" s="75">
        <f t="shared" ref="AF64" si="815">AVERAGE(AE61:AE64)</f>
        <v>0</v>
      </c>
      <c r="AG64" s="74">
        <v>0</v>
      </c>
      <c r="AH64" s="75">
        <f t="shared" ref="AH64" si="816">AVERAGE(AG61:AG64)</f>
        <v>0</v>
      </c>
      <c r="AI64" s="96" t="e">
        <v>#VALUE!</v>
      </c>
      <c r="AJ64" s="74">
        <v>0</v>
      </c>
      <c r="AK64" s="75">
        <f t="shared" ref="AK64" si="817">AVERAGE(AJ61:AJ64)</f>
        <v>0</v>
      </c>
      <c r="AL64" s="74">
        <v>0</v>
      </c>
      <c r="AM64" s="75">
        <f t="shared" ref="AM64" si="818">AVERAGE(AL61:AL64)</f>
        <v>0</v>
      </c>
      <c r="AN64" s="96">
        <v>212669.18660480122</v>
      </c>
      <c r="AO64" s="74">
        <f t="shared" si="3"/>
        <v>104553.47071458001</v>
      </c>
      <c r="AP64" s="75">
        <f t="shared" si="66"/>
        <v>118919.94316329573</v>
      </c>
      <c r="AQ64" s="74">
        <v>718.08702411887111</v>
      </c>
      <c r="AR64" s="92">
        <f t="shared" si="67"/>
        <v>824.36780832209388</v>
      </c>
      <c r="AS64" s="74">
        <f t="shared" si="4"/>
        <v>43080.366071480006</v>
      </c>
      <c r="AT64" s="75">
        <f t="shared" si="68"/>
        <v>32336.166581697144</v>
      </c>
      <c r="AU64" s="74">
        <v>1107.6594544701479</v>
      </c>
      <c r="AV64" s="92">
        <f t="shared" si="69"/>
        <v>956.02553355951989</v>
      </c>
      <c r="AW64" s="74">
        <f t="shared" si="5"/>
        <v>49460.752142829995</v>
      </c>
      <c r="AX64" s="75">
        <f t="shared" si="70"/>
        <v>53133.994540742846</v>
      </c>
      <c r="AY64" s="74">
        <v>1033.263194347355</v>
      </c>
      <c r="AZ64" s="92">
        <f t="shared" si="71"/>
        <v>1042.5795349412147</v>
      </c>
      <c r="BA64" s="74">
        <f t="shared" si="6"/>
        <v>26424.536785789998</v>
      </c>
      <c r="BB64" s="75">
        <f t="shared" si="72"/>
        <v>34450.299540858578</v>
      </c>
      <c r="BC64" s="74">
        <v>1104.0471527642378</v>
      </c>
      <c r="BD64" s="92">
        <f t="shared" si="73"/>
        <v>998.79861132869257</v>
      </c>
      <c r="BE64" s="93">
        <f>AO64/SUM(Table5[[#This Row],[NWP (Standard)]],Table5[[#This Row],[NWP (Plus)]],Table5[[#This Row],[NWP (Essentials)]],Table5[[#This Row],[NWP (Premium)]])</f>
        <v>0.46776073582196048</v>
      </c>
      <c r="BF64" s="93">
        <f>AS64/SUM(Table5[[#This Row],[NWP (Standard)]],Table5[[#This Row],[NWP (Plus)]],Table5[[#This Row],[NWP (Essentials)]],Table5[[#This Row],[NWP (Premium)]])</f>
        <v>0.19273682255929936</v>
      </c>
      <c r="BG64" s="93">
        <f>AW64/SUM(Table5[[#This Row],[NWP (Standard)]],Table5[[#This Row],[NWP (Plus)]],Table5[[#This Row],[NWP (Essentials)]],Table5[[#This Row],[NWP (Premium)]])</f>
        <v>0.2212819685325996</v>
      </c>
      <c r="BH64" s="94">
        <f>BA64/SUM(Table5[[#This Row],[NWP (Standard)]],Table5[[#This Row],[NWP (Plus)]],Table5[[#This Row],[NWP (Essentials)]],Table5[[#This Row],[NWP (Premium)]])</f>
        <v>0.11822047308614057</v>
      </c>
      <c r="BI64" s="93">
        <f t="shared" si="74"/>
        <v>0.49766510617684451</v>
      </c>
      <c r="BJ64" s="93">
        <f t="shared" si="74"/>
        <v>0.13618583881632823</v>
      </c>
      <c r="BK64" s="93">
        <f t="shared" si="74"/>
        <v>0.22249293320293165</v>
      </c>
      <c r="BL64" s="94">
        <f t="shared" si="74"/>
        <v>0.14365612180389564</v>
      </c>
      <c r="BM64" s="74">
        <v>0</v>
      </c>
      <c r="BN64" s="75">
        <f t="shared" si="75"/>
        <v>0</v>
      </c>
      <c r="BO64" s="74">
        <v>0</v>
      </c>
      <c r="BP64" s="92">
        <f t="shared" si="76"/>
        <v>0</v>
      </c>
      <c r="BQ64" s="74">
        <v>0</v>
      </c>
      <c r="BR64" s="75">
        <f t="shared" si="77"/>
        <v>0</v>
      </c>
      <c r="BS64" s="74">
        <v>0</v>
      </c>
      <c r="BT64" s="92">
        <f t="shared" si="78"/>
        <v>0</v>
      </c>
      <c r="BU64" s="74">
        <v>0</v>
      </c>
      <c r="BV64" s="75">
        <f t="shared" si="79"/>
        <v>0</v>
      </c>
      <c r="BW64" s="74">
        <v>0</v>
      </c>
      <c r="BX64" s="92">
        <f t="shared" si="80"/>
        <v>0</v>
      </c>
      <c r="BY64" s="74">
        <v>0</v>
      </c>
      <c r="BZ64" s="75">
        <f t="shared" si="81"/>
        <v>0</v>
      </c>
      <c r="CA64" s="74">
        <v>0</v>
      </c>
      <c r="CB64" s="92">
        <f t="shared" si="82"/>
        <v>0</v>
      </c>
      <c r="CC64" s="74">
        <v>104553.47071458001</v>
      </c>
      <c r="CD64" s="75">
        <f t="shared" si="83"/>
        <v>118919.94316329573</v>
      </c>
      <c r="CE64" s="74">
        <v>718.08702411887111</v>
      </c>
      <c r="CF64" s="92">
        <f t="shared" si="84"/>
        <v>824.36780832209388</v>
      </c>
      <c r="CG64" s="74">
        <v>43080.366071480006</v>
      </c>
      <c r="CH64" s="75">
        <f t="shared" si="85"/>
        <v>32336.166581697144</v>
      </c>
      <c r="CI64" s="74">
        <v>1107.6594544701479</v>
      </c>
      <c r="CJ64" s="92">
        <f t="shared" si="86"/>
        <v>956.02553355951989</v>
      </c>
      <c r="CK64" s="74">
        <v>49460.752142829995</v>
      </c>
      <c r="CL64" s="75">
        <f t="shared" si="87"/>
        <v>53133.994540742846</v>
      </c>
      <c r="CM64" s="74">
        <v>1033.263194347355</v>
      </c>
      <c r="CN64" s="92">
        <f t="shared" si="88"/>
        <v>1042.5795349412147</v>
      </c>
      <c r="CO64" s="74">
        <v>26424.536785789998</v>
      </c>
      <c r="CP64" s="75">
        <f t="shared" si="89"/>
        <v>34450.299540858578</v>
      </c>
      <c r="CQ64" s="74">
        <v>1104.0471527642378</v>
      </c>
      <c r="CR64" s="92">
        <f t="shared" si="90"/>
        <v>998.79861132869257</v>
      </c>
    </row>
    <row r="65" spans="1:96" x14ac:dyDescent="0.25">
      <c r="A65" s="85">
        <f t="shared" si="7"/>
        <v>45576</v>
      </c>
      <c r="B65" s="74">
        <v>746665.47071405966</v>
      </c>
      <c r="C65" s="75">
        <f t="shared" si="8"/>
        <v>866179.62607146229</v>
      </c>
      <c r="D65" s="74">
        <v>1094.6151307882867</v>
      </c>
      <c r="E65" s="75">
        <f t="shared" si="8"/>
        <v>1085.3916286398533</v>
      </c>
      <c r="F65" s="96">
        <f t="shared" si="0"/>
        <v>1712345.3808468443</v>
      </c>
      <c r="G65" s="75">
        <v>898929.05785684101</v>
      </c>
      <c r="H65" s="75">
        <f t="shared" ref="H65" si="819">AVERAGE(G62:G65)</f>
        <v>1037779.2486607581</v>
      </c>
      <c r="I65" s="75">
        <f>Table5[[#This Row],[Average NWP (Boom)]]</f>
        <v>1094.6151307882867</v>
      </c>
      <c r="J65" s="92">
        <f t="shared" ref="J65" si="820">AVERAGE(I62:I65)</f>
        <v>1085.3916286398533</v>
      </c>
      <c r="K65" s="75">
        <f t="shared" si="1"/>
        <v>746665.47071406012</v>
      </c>
      <c r="L65" s="75">
        <f t="shared" ref="L65" si="821">AVERAGE(K62:K65)</f>
        <v>866179.62607146252</v>
      </c>
      <c r="M65" s="75">
        <v>1091.616185254474</v>
      </c>
      <c r="N65" s="75">
        <f t="shared" ref="N65" si="822">AVERAGE(M62:M65)</f>
        <v>1082.4179529746873</v>
      </c>
      <c r="O65" s="96">
        <f t="shared" si="2"/>
        <v>1527599.2191248627</v>
      </c>
      <c r="P65" s="74">
        <v>188907.06464302007</v>
      </c>
      <c r="Q65" s="75">
        <f t="shared" ref="Q65" si="823">AVERAGE(P62:P65)</f>
        <v>226703.09160737495</v>
      </c>
      <c r="R65" s="74">
        <v>917.02458564572851</v>
      </c>
      <c r="S65" s="75">
        <f t="shared" ref="S65" si="824">AVERAGE(R62:R65)</f>
        <v>930.44669845623002</v>
      </c>
      <c r="T65" s="96">
        <v>398390.08382198046</v>
      </c>
      <c r="U65" s="74">
        <v>557758.40607104008</v>
      </c>
      <c r="V65" s="75">
        <f t="shared" ref="V65" si="825">AVERAGE(U62:U65)</f>
        <v>639476.53446408757</v>
      </c>
      <c r="W65" s="74">
        <v>1166.8585901067784</v>
      </c>
      <c r="X65" s="75">
        <f t="shared" ref="X65" si="826">AVERAGE(W62:W65)</f>
        <v>1149.075837272844</v>
      </c>
      <c r="Y65" s="96">
        <v>1129209.1353028822</v>
      </c>
      <c r="Z65" s="74">
        <v>0</v>
      </c>
      <c r="AA65" s="75">
        <f t="shared" ref="AA65" si="827">AVERAGE(Z62:Z65)</f>
        <v>0</v>
      </c>
      <c r="AB65" s="74">
        <v>0</v>
      </c>
      <c r="AC65" s="75">
        <f t="shared" ref="AC65" si="828">AVERAGE(AB62:AB65)</f>
        <v>0</v>
      </c>
      <c r="AD65" s="96" t="e">
        <v>#VALUE!</v>
      </c>
      <c r="AE65" s="74">
        <v>0</v>
      </c>
      <c r="AF65" s="75">
        <f t="shared" ref="AF65" si="829">AVERAGE(AE62:AE65)</f>
        <v>0</v>
      </c>
      <c r="AG65" s="74">
        <v>0</v>
      </c>
      <c r="AH65" s="75">
        <f t="shared" ref="AH65" si="830">AVERAGE(AG62:AG65)</f>
        <v>0</v>
      </c>
      <c r="AI65" s="96" t="e">
        <v>#VALUE!</v>
      </c>
      <c r="AJ65" s="74">
        <v>0</v>
      </c>
      <c r="AK65" s="75">
        <f t="shared" ref="AK65" si="831">AVERAGE(AJ62:AJ65)</f>
        <v>0</v>
      </c>
      <c r="AL65" s="74">
        <v>0</v>
      </c>
      <c r="AM65" s="75">
        <f t="shared" ref="AM65" si="832">AVERAGE(AL62:AL65)</f>
        <v>0</v>
      </c>
      <c r="AN65" s="96">
        <v>184746.16172198168</v>
      </c>
      <c r="AO65" s="74">
        <f t="shared" si="3"/>
        <v>79704.399285980006</v>
      </c>
      <c r="AP65" s="75">
        <f t="shared" si="66"/>
        <v>112906.80617354573</v>
      </c>
      <c r="AQ65" s="74">
        <v>768.49391743933506</v>
      </c>
      <c r="AR65" s="92">
        <f t="shared" si="67"/>
        <v>824.42132968981173</v>
      </c>
      <c r="AS65" s="74">
        <f t="shared" si="4"/>
        <v>27160.314285749999</v>
      </c>
      <c r="AT65" s="75">
        <f t="shared" si="68"/>
        <v>32221.425408244289</v>
      </c>
      <c r="AU65" s="74">
        <v>1047.4973281938294</v>
      </c>
      <c r="AV65" s="92">
        <f t="shared" si="69"/>
        <v>980.487985318391</v>
      </c>
      <c r="AW65" s="74">
        <f t="shared" si="5"/>
        <v>55624.106428440005</v>
      </c>
      <c r="AX65" s="75">
        <f t="shared" si="70"/>
        <v>54829.196428478572</v>
      </c>
      <c r="AY65" s="74">
        <v>1093.6650961981702</v>
      </c>
      <c r="AZ65" s="92">
        <f t="shared" si="71"/>
        <v>1073.4519582381506</v>
      </c>
      <c r="BA65" s="74">
        <f t="shared" si="6"/>
        <v>26418.244642850001</v>
      </c>
      <c r="BB65" s="75">
        <f t="shared" si="72"/>
        <v>32148.125102080005</v>
      </c>
      <c r="BC65" s="74">
        <v>1059.6328894917958</v>
      </c>
      <c r="BD65" s="92">
        <f t="shared" si="73"/>
        <v>1020.53851987718</v>
      </c>
      <c r="BE65" s="93">
        <f>AO65/SUM(Table5[[#This Row],[NWP (Standard)]],Table5[[#This Row],[NWP (Plus)]],Table5[[#This Row],[NWP (Essentials)]],Table5[[#This Row],[NWP (Premium)]])</f>
        <v>0.4219238673609077</v>
      </c>
      <c r="BF65" s="93">
        <f>AS65/SUM(Table5[[#This Row],[NWP (Standard)]],Table5[[#This Row],[NWP (Plus)]],Table5[[#This Row],[NWP (Essentials)]],Table5[[#This Row],[NWP (Premium)]])</f>
        <v>0.1437760643683452</v>
      </c>
      <c r="BG65" s="93">
        <f>AW65/SUM(Table5[[#This Row],[NWP (Standard)]],Table5[[#This Row],[NWP (Plus)]],Table5[[#This Row],[NWP (Essentials)]],Table5[[#This Row],[NWP (Premium)]])</f>
        <v>0.2944522299023255</v>
      </c>
      <c r="BH65" s="94">
        <f>BA65/SUM(Table5[[#This Row],[NWP (Standard)]],Table5[[#This Row],[NWP (Plus)]],Table5[[#This Row],[NWP (Essentials)]],Table5[[#This Row],[NWP (Premium)]])</f>
        <v>0.13984783836842141</v>
      </c>
      <c r="BI65" s="93">
        <f t="shared" si="74"/>
        <v>0.48422927041940028</v>
      </c>
      <c r="BJ65" s="93">
        <f t="shared" si="74"/>
        <v>0.13980187554280199</v>
      </c>
      <c r="BK65" s="93">
        <f t="shared" si="74"/>
        <v>0.23807555472336261</v>
      </c>
      <c r="BL65" s="94">
        <f t="shared" si="74"/>
        <v>0.13789329931443506</v>
      </c>
      <c r="BM65" s="74">
        <v>0</v>
      </c>
      <c r="BN65" s="75">
        <f t="shared" si="75"/>
        <v>0</v>
      </c>
      <c r="BO65" s="74">
        <v>0</v>
      </c>
      <c r="BP65" s="92">
        <f t="shared" si="76"/>
        <v>0</v>
      </c>
      <c r="BQ65" s="74">
        <v>0</v>
      </c>
      <c r="BR65" s="75">
        <f t="shared" si="77"/>
        <v>0</v>
      </c>
      <c r="BS65" s="74">
        <v>0</v>
      </c>
      <c r="BT65" s="92">
        <f t="shared" si="78"/>
        <v>0</v>
      </c>
      <c r="BU65" s="74">
        <v>0</v>
      </c>
      <c r="BV65" s="75">
        <f t="shared" si="79"/>
        <v>0</v>
      </c>
      <c r="BW65" s="74">
        <v>0</v>
      </c>
      <c r="BX65" s="92">
        <f t="shared" si="80"/>
        <v>0</v>
      </c>
      <c r="BY65" s="74">
        <v>0</v>
      </c>
      <c r="BZ65" s="75">
        <f t="shared" si="81"/>
        <v>0</v>
      </c>
      <c r="CA65" s="74">
        <v>0</v>
      </c>
      <c r="CB65" s="92">
        <f t="shared" si="82"/>
        <v>0</v>
      </c>
      <c r="CC65" s="74">
        <v>79704.399285980006</v>
      </c>
      <c r="CD65" s="75">
        <f t="shared" si="83"/>
        <v>112906.80617354573</v>
      </c>
      <c r="CE65" s="74">
        <v>768.49391743933506</v>
      </c>
      <c r="CF65" s="92">
        <f t="shared" si="84"/>
        <v>824.42132968981173</v>
      </c>
      <c r="CG65" s="74">
        <v>27160.314285749999</v>
      </c>
      <c r="CH65" s="75">
        <f t="shared" si="85"/>
        <v>32221.425408244289</v>
      </c>
      <c r="CI65" s="74">
        <v>1047.4973281938294</v>
      </c>
      <c r="CJ65" s="92">
        <f t="shared" si="86"/>
        <v>980.487985318391</v>
      </c>
      <c r="CK65" s="74">
        <v>55624.106428440005</v>
      </c>
      <c r="CL65" s="75">
        <f t="shared" si="87"/>
        <v>54829.196428478572</v>
      </c>
      <c r="CM65" s="74">
        <v>1093.6650961981702</v>
      </c>
      <c r="CN65" s="92">
        <f t="shared" si="88"/>
        <v>1073.4519582381506</v>
      </c>
      <c r="CO65" s="74">
        <v>26418.244642850001</v>
      </c>
      <c r="CP65" s="75">
        <f t="shared" si="89"/>
        <v>32148.125102080005</v>
      </c>
      <c r="CQ65" s="74">
        <v>1059.6328894917958</v>
      </c>
      <c r="CR65" s="92">
        <f t="shared" si="90"/>
        <v>1020.53851987718</v>
      </c>
    </row>
    <row r="66" spans="1:96" x14ac:dyDescent="0.25">
      <c r="A66" s="85">
        <f t="shared" si="7"/>
        <v>45583</v>
      </c>
      <c r="B66" s="74">
        <v>859048.70928531012</v>
      </c>
      <c r="C66" s="75">
        <f t="shared" si="8"/>
        <v>858211.28017862234</v>
      </c>
      <c r="D66" s="74">
        <v>1080.8139688685728</v>
      </c>
      <c r="E66" s="75">
        <f t="shared" si="8"/>
        <v>1079.5229079400265</v>
      </c>
      <c r="F66" s="96">
        <f t="shared" si="0"/>
        <v>1712345.3808468443</v>
      </c>
      <c r="G66" s="75">
        <v>1004044.634642342</v>
      </c>
      <c r="H66" s="75">
        <f t="shared" ref="H66" si="833">AVERAGE(G63:G66)</f>
        <v>1020373.718482167</v>
      </c>
      <c r="I66" s="75">
        <f>Table5[[#This Row],[Average NWP (Boom)]]</f>
        <v>1080.8139688685728</v>
      </c>
      <c r="J66" s="92">
        <f t="shared" ref="J66" si="834">AVERAGE(I63:I66)</f>
        <v>1079.5229079400265</v>
      </c>
      <c r="K66" s="75">
        <f t="shared" si="1"/>
        <v>859048.70928531047</v>
      </c>
      <c r="L66" s="75">
        <f t="shared" ref="L66" si="835">AVERAGE(K63:K66)</f>
        <v>858211.28017862258</v>
      </c>
      <c r="M66" s="75">
        <v>1077.8528347369015</v>
      </c>
      <c r="N66" s="75">
        <f t="shared" ref="N66" si="836">AVERAGE(M63:M66)</f>
        <v>1076.5653109615487</v>
      </c>
      <c r="O66" s="96">
        <f t="shared" si="2"/>
        <v>1527599.2191248627</v>
      </c>
      <c r="P66" s="74">
        <v>199199.03928545007</v>
      </c>
      <c r="Q66" s="75">
        <f t="shared" ref="Q66" si="837">AVERAGE(P63:P66)</f>
        <v>213467.31678582251</v>
      </c>
      <c r="R66" s="74">
        <v>829.99599702270859</v>
      </c>
      <c r="S66" s="75">
        <f t="shared" ref="S66" si="838">AVERAGE(R63:R66)</f>
        <v>896.43023930993411</v>
      </c>
      <c r="T66" s="96">
        <v>398390.08382198046</v>
      </c>
      <c r="U66" s="74">
        <v>659849.66999986034</v>
      </c>
      <c r="V66" s="75">
        <f t="shared" ref="V66" si="839">AVERAGE(U63:U66)</f>
        <v>644743.96339280007</v>
      </c>
      <c r="W66" s="74">
        <v>1184.6493177735374</v>
      </c>
      <c r="X66" s="75">
        <f t="shared" ref="X66" si="840">AVERAGE(W63:W66)</f>
        <v>1153.8239539949645</v>
      </c>
      <c r="Y66" s="96">
        <v>1129209.1353028822</v>
      </c>
      <c r="Z66" s="74">
        <v>0</v>
      </c>
      <c r="AA66" s="75">
        <f t="shared" ref="AA66" si="841">AVERAGE(Z63:Z66)</f>
        <v>0</v>
      </c>
      <c r="AB66" s="74">
        <v>0</v>
      </c>
      <c r="AC66" s="75">
        <f t="shared" ref="AC66" si="842">AVERAGE(AB63:AB66)</f>
        <v>0</v>
      </c>
      <c r="AD66" s="96" t="e">
        <v>#VALUE!</v>
      </c>
      <c r="AE66" s="74">
        <v>0</v>
      </c>
      <c r="AF66" s="75">
        <f t="shared" ref="AF66" si="843">AVERAGE(AE63:AE66)</f>
        <v>0</v>
      </c>
      <c r="AG66" s="74">
        <v>0</v>
      </c>
      <c r="AH66" s="75">
        <f t="shared" ref="AH66" si="844">AVERAGE(AG63:AG66)</f>
        <v>0</v>
      </c>
      <c r="AI66" s="96" t="e">
        <v>#VALUE!</v>
      </c>
      <c r="AJ66" s="74">
        <v>0</v>
      </c>
      <c r="AK66" s="75">
        <f t="shared" ref="AK66" si="845">AVERAGE(AJ63:AJ66)</f>
        <v>0</v>
      </c>
      <c r="AL66" s="74">
        <v>0</v>
      </c>
      <c r="AM66" s="75">
        <f t="shared" ref="AM66" si="846">AVERAGE(AL63:AL66)</f>
        <v>0</v>
      </c>
      <c r="AN66" s="96">
        <v>184746.16172198168</v>
      </c>
      <c r="AO66" s="74">
        <f t="shared" si="3"/>
        <v>100753.85892828998</v>
      </c>
      <c r="AP66" s="75">
        <f t="shared" si="66"/>
        <v>110983.65025513856</v>
      </c>
      <c r="AQ66" s="74">
        <v>748.37522400927026</v>
      </c>
      <c r="AR66" s="92">
        <f t="shared" si="67"/>
        <v>815.29384858334231</v>
      </c>
      <c r="AS66" s="74">
        <f t="shared" si="4"/>
        <v>24740.29178576</v>
      </c>
      <c r="AT66" s="75">
        <f t="shared" si="68"/>
        <v>31413.521989885718</v>
      </c>
      <c r="AU66" s="74">
        <v>886.00927213052569</v>
      </c>
      <c r="AV66" s="92">
        <f t="shared" si="69"/>
        <v>951.55502341760814</v>
      </c>
      <c r="AW66" s="74">
        <f t="shared" si="5"/>
        <v>41740.693928489993</v>
      </c>
      <c r="AX66" s="75">
        <f t="shared" si="70"/>
        <v>55400.272193801422</v>
      </c>
      <c r="AY66" s="74">
        <v>951.25832189562288</v>
      </c>
      <c r="AZ66" s="92">
        <f t="shared" si="71"/>
        <v>1080.6152097334391</v>
      </c>
      <c r="BA66" s="74">
        <f t="shared" si="6"/>
        <v>31964.194642909995</v>
      </c>
      <c r="BB66" s="75">
        <f t="shared" si="72"/>
        <v>32694.621530655717</v>
      </c>
      <c r="BC66" s="74">
        <v>971.27298071442146</v>
      </c>
      <c r="BD66" s="92">
        <f t="shared" si="73"/>
        <v>1020.2966116198908</v>
      </c>
      <c r="BE66" s="93">
        <f>AO66/SUM(Table5[[#This Row],[NWP (Standard)]],Table5[[#This Row],[NWP (Plus)]],Table5[[#This Row],[NWP (Essentials)]],Table5[[#This Row],[NWP (Premium)]])</f>
        <v>0.50579490387958559</v>
      </c>
      <c r="BF66" s="93">
        <f>AS66/SUM(Table5[[#This Row],[NWP (Standard)]],Table5[[#This Row],[NWP (Plus)]],Table5[[#This Row],[NWP (Essentials)]],Table5[[#This Row],[NWP (Premium)]])</f>
        <v>0.12419885093073889</v>
      </c>
      <c r="BG66" s="93">
        <f>AW66/SUM(Table5[[#This Row],[NWP (Standard)]],Table5[[#This Row],[NWP (Plus)]],Table5[[#This Row],[NWP (Essentials)]],Table5[[#This Row],[NWP (Premium)]])</f>
        <v>0.20954264678292975</v>
      </c>
      <c r="BH66" s="94">
        <f>BA66/SUM(Table5[[#This Row],[NWP (Standard)]],Table5[[#This Row],[NWP (Plus)]],Table5[[#This Row],[NWP (Essentials)]],Table5[[#This Row],[NWP (Premium)]])</f>
        <v>0.16046359840674565</v>
      </c>
      <c r="BI66" s="93">
        <f t="shared" si="74"/>
        <v>0.47896990321425725</v>
      </c>
      <c r="BJ66" s="93">
        <f t="shared" si="74"/>
        <v>0.13691575166918488</v>
      </c>
      <c r="BK66" s="93">
        <f t="shared" si="74"/>
        <v>0.24239478715019333</v>
      </c>
      <c r="BL66" s="94">
        <f t="shared" si="74"/>
        <v>0.14171955796636451</v>
      </c>
      <c r="BM66" s="74">
        <v>0</v>
      </c>
      <c r="BN66" s="75">
        <f t="shared" si="75"/>
        <v>0</v>
      </c>
      <c r="BO66" s="74">
        <v>0</v>
      </c>
      <c r="BP66" s="92">
        <f t="shared" si="76"/>
        <v>0</v>
      </c>
      <c r="BQ66" s="74">
        <v>0</v>
      </c>
      <c r="BR66" s="75">
        <f t="shared" si="77"/>
        <v>0</v>
      </c>
      <c r="BS66" s="74">
        <v>0</v>
      </c>
      <c r="BT66" s="92">
        <f t="shared" si="78"/>
        <v>0</v>
      </c>
      <c r="BU66" s="74">
        <v>0</v>
      </c>
      <c r="BV66" s="75">
        <f t="shared" si="79"/>
        <v>0</v>
      </c>
      <c r="BW66" s="74">
        <v>0</v>
      </c>
      <c r="BX66" s="92">
        <f t="shared" si="80"/>
        <v>0</v>
      </c>
      <c r="BY66" s="74">
        <v>0</v>
      </c>
      <c r="BZ66" s="75">
        <f t="shared" si="81"/>
        <v>0</v>
      </c>
      <c r="CA66" s="74">
        <v>0</v>
      </c>
      <c r="CB66" s="92">
        <f t="shared" si="82"/>
        <v>0</v>
      </c>
      <c r="CC66" s="74">
        <v>100753.85892828998</v>
      </c>
      <c r="CD66" s="75">
        <f t="shared" si="83"/>
        <v>110983.65025513856</v>
      </c>
      <c r="CE66" s="74">
        <v>748.37522400927026</v>
      </c>
      <c r="CF66" s="92">
        <f t="shared" si="84"/>
        <v>815.29384858334231</v>
      </c>
      <c r="CG66" s="74">
        <v>24740.29178576</v>
      </c>
      <c r="CH66" s="75">
        <f t="shared" si="85"/>
        <v>31413.521989885718</v>
      </c>
      <c r="CI66" s="74">
        <v>886.00927213052569</v>
      </c>
      <c r="CJ66" s="92">
        <f t="shared" si="86"/>
        <v>951.55502341760814</v>
      </c>
      <c r="CK66" s="74">
        <v>41740.693928489993</v>
      </c>
      <c r="CL66" s="75">
        <f t="shared" si="87"/>
        <v>55400.272193801422</v>
      </c>
      <c r="CM66" s="74">
        <v>951.25832189562288</v>
      </c>
      <c r="CN66" s="92">
        <f t="shared" si="88"/>
        <v>1080.6152097334391</v>
      </c>
      <c r="CO66" s="74">
        <v>31964.194642909995</v>
      </c>
      <c r="CP66" s="75">
        <f t="shared" si="89"/>
        <v>32694.621530655717</v>
      </c>
      <c r="CQ66" s="74">
        <v>971.27298071442146</v>
      </c>
      <c r="CR66" s="92">
        <f t="shared" si="90"/>
        <v>1020.2966116198908</v>
      </c>
    </row>
    <row r="67" spans="1:96" x14ac:dyDescent="0.25">
      <c r="A67" s="85">
        <f t="shared" si="7"/>
        <v>45590</v>
      </c>
      <c r="B67" s="74">
        <v>928467.92107098992</v>
      </c>
      <c r="C67" s="75">
        <f t="shared" si="8"/>
        <v>850024.05124989967</v>
      </c>
      <c r="D67" s="74">
        <v>1047.2650810937125</v>
      </c>
      <c r="E67" s="75">
        <f t="shared" si="8"/>
        <v>1066.265678682928</v>
      </c>
      <c r="F67" s="96">
        <f t="shared" si="0"/>
        <v>1712345.3808468443</v>
      </c>
      <c r="G67" s="75">
        <v>1059875.3771425304</v>
      </c>
      <c r="H67" s="75">
        <f t="shared" ref="H67" si="847">AVERAGE(G64:G67)</f>
        <v>1004638.9580356057</v>
      </c>
      <c r="I67" s="75">
        <f>Table5[[#This Row],[Average NWP (Boom)]]</f>
        <v>1047.2650810937125</v>
      </c>
      <c r="J67" s="92">
        <f t="shared" ref="J67" si="848">AVERAGE(I64:I67)</f>
        <v>1066.265678682928</v>
      </c>
      <c r="K67" s="75">
        <f t="shared" si="1"/>
        <v>928467.92107099015</v>
      </c>
      <c r="L67" s="75">
        <f t="shared" ref="L67" si="849">AVERAGE(K64:K67)</f>
        <v>850024.05124990013</v>
      </c>
      <c r="M67" s="75">
        <v>1044.3958617221488</v>
      </c>
      <c r="N67" s="75">
        <f t="shared" ref="N67" si="850">AVERAGE(M64:M67)</f>
        <v>1063.3444028801337</v>
      </c>
      <c r="O67" s="96">
        <f t="shared" si="2"/>
        <v>1527599.2191248627</v>
      </c>
      <c r="P67" s="74">
        <v>263874.65214267006</v>
      </c>
      <c r="Q67" s="75">
        <f t="shared" ref="Q67" si="851">AVERAGE(P64:P67)</f>
        <v>218874.970446455</v>
      </c>
      <c r="R67" s="74">
        <v>900.59608239819136</v>
      </c>
      <c r="S67" s="75">
        <f t="shared" ref="S67" si="852">AVERAGE(R64:R67)</f>
        <v>879.3352224093419</v>
      </c>
      <c r="T67" s="96">
        <v>398390.08382198046</v>
      </c>
      <c r="U67" s="74">
        <v>664593.26892832003</v>
      </c>
      <c r="V67" s="75">
        <f t="shared" ref="V67" si="853">AVERAGE(U64:U67)</f>
        <v>631149.08080344507</v>
      </c>
      <c r="W67" s="74">
        <v>1115.0893773965101</v>
      </c>
      <c r="X67" s="75">
        <f t="shared" ref="X67" si="854">AVERAGE(W64:W67)</f>
        <v>1145.4665861692758</v>
      </c>
      <c r="Y67" s="96">
        <v>1129209.1353028822</v>
      </c>
      <c r="Z67" s="74">
        <v>0</v>
      </c>
      <c r="AA67" s="75">
        <f t="shared" ref="AA67" si="855">AVERAGE(Z64:Z67)</f>
        <v>0</v>
      </c>
      <c r="AB67" s="74">
        <v>0</v>
      </c>
      <c r="AC67" s="75">
        <f t="shared" ref="AC67" si="856">AVERAGE(AB64:AB67)</f>
        <v>0</v>
      </c>
      <c r="AD67" s="96" t="e">
        <v>#VALUE!</v>
      </c>
      <c r="AE67" s="74">
        <v>0</v>
      </c>
      <c r="AF67" s="75">
        <f t="shared" ref="AF67" si="857">AVERAGE(AE64:AE67)</f>
        <v>0</v>
      </c>
      <c r="AG67" s="74">
        <v>0</v>
      </c>
      <c r="AH67" s="75">
        <f t="shared" ref="AH67" si="858">AVERAGE(AG64:AG67)</f>
        <v>0</v>
      </c>
      <c r="AI67" s="96" t="e">
        <v>#VALUE!</v>
      </c>
      <c r="AJ67" s="74">
        <v>0</v>
      </c>
      <c r="AK67" s="75">
        <f t="shared" ref="AK67" si="859">AVERAGE(AJ64:AJ67)</f>
        <v>0</v>
      </c>
      <c r="AL67" s="74">
        <v>0</v>
      </c>
      <c r="AM67" s="75">
        <f t="shared" ref="AM67" si="860">AVERAGE(AL64:AL67)</f>
        <v>0</v>
      </c>
      <c r="AN67" s="96">
        <v>184746.16172198168</v>
      </c>
      <c r="AO67" s="74">
        <f t="shared" si="3"/>
        <v>149511.78749982</v>
      </c>
      <c r="AP67" s="75">
        <f t="shared" si="66"/>
        <v>111113.76693877715</v>
      </c>
      <c r="AQ67" s="74">
        <v>828.30129372738554</v>
      </c>
      <c r="AR67" s="92">
        <f t="shared" si="67"/>
        <v>808.40477698532527</v>
      </c>
      <c r="AS67" s="74">
        <f t="shared" si="4"/>
        <v>33504.064642859994</v>
      </c>
      <c r="AT67" s="75">
        <f t="shared" si="68"/>
        <v>31030.563010279999</v>
      </c>
      <c r="AU67" s="74">
        <v>1158.486509502457</v>
      </c>
      <c r="AV67" s="92">
        <f t="shared" si="69"/>
        <v>968.95437690367737</v>
      </c>
      <c r="AW67" s="74">
        <f t="shared" si="5"/>
        <v>57984.536071520008</v>
      </c>
      <c r="AX67" s="75">
        <f t="shared" si="70"/>
        <v>56329.690306072858</v>
      </c>
      <c r="AY67" s="74">
        <v>1020.0672674726899</v>
      </c>
      <c r="AZ67" s="92">
        <f t="shared" si="71"/>
        <v>1084.5258247707836</v>
      </c>
      <c r="BA67" s="74">
        <f t="shared" si="6"/>
        <v>22874.263928469998</v>
      </c>
      <c r="BB67" s="75">
        <f t="shared" si="72"/>
        <v>30280.608826550004</v>
      </c>
      <c r="BC67" s="74">
        <v>882.19635816379753</v>
      </c>
      <c r="BD67" s="92">
        <f t="shared" si="73"/>
        <v>1007.3643228496805</v>
      </c>
      <c r="BE67" s="93">
        <f>AO67/SUM(Table5[[#This Row],[NWP (Standard)]],Table5[[#This Row],[NWP (Plus)]],Table5[[#This Row],[NWP (Essentials)]],Table5[[#This Row],[NWP (Premium)]])</f>
        <v>0.56660155223618425</v>
      </c>
      <c r="BF67" s="93">
        <f>AS67/SUM(Table5[[#This Row],[NWP (Standard)]],Table5[[#This Row],[NWP (Plus)]],Table5[[#This Row],[NWP (Essentials)]],Table5[[#This Row],[NWP (Premium)]])</f>
        <v>0.12696962126072359</v>
      </c>
      <c r="BG67" s="93">
        <f>AW67/SUM(Table5[[#This Row],[NWP (Standard)]],Table5[[#This Row],[NWP (Plus)]],Table5[[#This Row],[NWP (Essentials)]],Table5[[#This Row],[NWP (Premium)]])</f>
        <v>0.21974272860497912</v>
      </c>
      <c r="BH67" s="94">
        <f>BA67/SUM(Table5[[#This Row],[NWP (Standard)]],Table5[[#This Row],[NWP (Plus)]],Table5[[#This Row],[NWP (Essentials)]],Table5[[#This Row],[NWP (Premium)]])</f>
        <v>8.6686097898112977E-2</v>
      </c>
      <c r="BI67" s="93">
        <f t="shared" si="74"/>
        <v>0.48300759486670691</v>
      </c>
      <c r="BJ67" s="93">
        <f t="shared" si="74"/>
        <v>0.13632757890119682</v>
      </c>
      <c r="BK67" s="93">
        <f t="shared" si="74"/>
        <v>0.2471449061944275</v>
      </c>
      <c r="BL67" s="94">
        <f t="shared" si="74"/>
        <v>0.13351992003766872</v>
      </c>
      <c r="BM67" s="74">
        <v>0</v>
      </c>
      <c r="BN67" s="75">
        <f t="shared" si="75"/>
        <v>0</v>
      </c>
      <c r="BO67" s="74">
        <v>0</v>
      </c>
      <c r="BP67" s="92">
        <f t="shared" si="76"/>
        <v>0</v>
      </c>
      <c r="BQ67" s="74">
        <v>0</v>
      </c>
      <c r="BR67" s="75">
        <f t="shared" si="77"/>
        <v>0</v>
      </c>
      <c r="BS67" s="74">
        <v>0</v>
      </c>
      <c r="BT67" s="92">
        <f t="shared" si="78"/>
        <v>0</v>
      </c>
      <c r="BU67" s="74">
        <v>0</v>
      </c>
      <c r="BV67" s="75">
        <f t="shared" si="79"/>
        <v>0</v>
      </c>
      <c r="BW67" s="74">
        <v>0</v>
      </c>
      <c r="BX67" s="92">
        <f t="shared" si="80"/>
        <v>0</v>
      </c>
      <c r="BY67" s="74">
        <v>0</v>
      </c>
      <c r="BZ67" s="75">
        <f t="shared" si="81"/>
        <v>0</v>
      </c>
      <c r="CA67" s="74">
        <v>0</v>
      </c>
      <c r="CB67" s="92">
        <f t="shared" si="82"/>
        <v>0</v>
      </c>
      <c r="CC67" s="74">
        <v>149511.78749982</v>
      </c>
      <c r="CD67" s="75">
        <f t="shared" si="83"/>
        <v>111113.76693877715</v>
      </c>
      <c r="CE67" s="74">
        <v>828.30129372738554</v>
      </c>
      <c r="CF67" s="92">
        <f t="shared" si="84"/>
        <v>808.40477698532527</v>
      </c>
      <c r="CG67" s="74">
        <v>33504.064642859994</v>
      </c>
      <c r="CH67" s="75">
        <f t="shared" si="85"/>
        <v>31030.563010279999</v>
      </c>
      <c r="CI67" s="74">
        <v>1158.486509502457</v>
      </c>
      <c r="CJ67" s="92">
        <f t="shared" si="86"/>
        <v>968.95437690367737</v>
      </c>
      <c r="CK67" s="74">
        <v>57984.536071520008</v>
      </c>
      <c r="CL67" s="75">
        <f t="shared" si="87"/>
        <v>56329.690306072858</v>
      </c>
      <c r="CM67" s="74">
        <v>1020.0672674726899</v>
      </c>
      <c r="CN67" s="92">
        <f t="shared" si="88"/>
        <v>1084.5258247707836</v>
      </c>
      <c r="CO67" s="74">
        <v>22874.263928469998</v>
      </c>
      <c r="CP67" s="75">
        <f t="shared" si="89"/>
        <v>30280.608826550004</v>
      </c>
      <c r="CQ67" s="74">
        <v>882.19635816379753</v>
      </c>
      <c r="CR67" s="92">
        <f t="shared" si="90"/>
        <v>1007.3643228496805</v>
      </c>
    </row>
    <row r="68" spans="1:96" x14ac:dyDescent="0.25">
      <c r="A68" s="85">
        <f t="shared" si="7"/>
        <v>45597</v>
      </c>
      <c r="B68" s="74">
        <v>1017770.9810716601</v>
      </c>
      <c r="C68" s="75">
        <f t="shared" si="8"/>
        <v>887988.27053550491</v>
      </c>
      <c r="D68" s="74">
        <v>1064.1992233237181</v>
      </c>
      <c r="E68" s="75">
        <f t="shared" si="8"/>
        <v>1071.7233510185727</v>
      </c>
      <c r="F68" s="96">
        <f t="shared" si="0"/>
        <v>1678702.3467350905</v>
      </c>
      <c r="G68" s="75">
        <v>1129446.0128574271</v>
      </c>
      <c r="H68" s="75">
        <f t="shared" ref="H68" si="861">AVERAGE(G65:G68)</f>
        <v>1023073.7706247852</v>
      </c>
      <c r="I68" s="75">
        <f>Table5[[#This Row],[Average NWP (Boom)]]</f>
        <v>1064.1992233237181</v>
      </c>
      <c r="J68" s="92">
        <f t="shared" ref="J68" si="862">AVERAGE(I65:I68)</f>
        <v>1071.7233510185727</v>
      </c>
      <c r="K68" s="75">
        <f t="shared" si="1"/>
        <v>1017770.9810716598</v>
      </c>
      <c r="L68" s="75">
        <f t="shared" ref="L68" si="863">AVERAGE(K65:K68)</f>
        <v>887988.27053550514</v>
      </c>
      <c r="M68" s="75">
        <v>1061.2836090423982</v>
      </c>
      <c r="N68" s="75">
        <f t="shared" ref="N68" si="864">AVERAGE(M65:M68)</f>
        <v>1068.7871226889806</v>
      </c>
      <c r="O68" s="96">
        <f t="shared" si="2"/>
        <v>1503168.8517373868</v>
      </c>
      <c r="P68" s="74">
        <v>267540.47999994998</v>
      </c>
      <c r="Q68" s="75">
        <f t="shared" ref="Q68" si="865">AVERAGE(P65:P68)</f>
        <v>229880.30901777255</v>
      </c>
      <c r="R68" s="74">
        <v>903.85297297280397</v>
      </c>
      <c r="S68" s="75">
        <f t="shared" ref="S68" si="866">AVERAGE(R65:R68)</f>
        <v>887.86740950985802</v>
      </c>
      <c r="T68" s="96">
        <v>392018.76863050368</v>
      </c>
      <c r="U68" s="74">
        <v>750230.50107170991</v>
      </c>
      <c r="V68" s="75">
        <f t="shared" ref="V68" si="867">AVERAGE(U65:U68)</f>
        <v>658107.96151773259</v>
      </c>
      <c r="W68" s="74">
        <v>1131.5693832152488</v>
      </c>
      <c r="X68" s="75">
        <f t="shared" ref="X68" si="868">AVERAGE(W65:W68)</f>
        <v>1149.5416671230187</v>
      </c>
      <c r="Y68" s="96">
        <v>1111150.0831068831</v>
      </c>
      <c r="Z68" s="74">
        <v>0</v>
      </c>
      <c r="AA68" s="75">
        <f t="shared" ref="AA68" si="869">AVERAGE(Z65:Z68)</f>
        <v>0</v>
      </c>
      <c r="AB68" s="74">
        <v>0</v>
      </c>
      <c r="AC68" s="75">
        <f t="shared" ref="AC68" si="870">AVERAGE(AB65:AB68)</f>
        <v>0</v>
      </c>
      <c r="AD68" s="96" t="e">
        <v>#VALUE!</v>
      </c>
      <c r="AE68" s="74">
        <v>0</v>
      </c>
      <c r="AF68" s="75">
        <f t="shared" ref="AF68" si="871">AVERAGE(AE65:AE68)</f>
        <v>0</v>
      </c>
      <c r="AG68" s="74">
        <v>0</v>
      </c>
      <c r="AH68" s="75">
        <f t="shared" ref="AH68" si="872">AVERAGE(AG65:AG68)</f>
        <v>0</v>
      </c>
      <c r="AI68" s="96" t="e">
        <v>#VALUE!</v>
      </c>
      <c r="AJ68" s="74">
        <v>0</v>
      </c>
      <c r="AK68" s="75">
        <f t="shared" ref="AK68" si="873">AVERAGE(AJ65:AJ68)</f>
        <v>0</v>
      </c>
      <c r="AL68" s="74">
        <v>0</v>
      </c>
      <c r="AM68" s="75">
        <f t="shared" ref="AM68" si="874">AVERAGE(AL65:AL68)</f>
        <v>0</v>
      </c>
      <c r="AN68" s="96">
        <v>175533.49499770364</v>
      </c>
      <c r="AO68" s="74">
        <f t="shared" si="3"/>
        <v>141444.42571416998</v>
      </c>
      <c r="AP68" s="75">
        <f t="shared" si="66"/>
        <v>115750.83091835429</v>
      </c>
      <c r="AQ68" s="74">
        <v>870.14116133374421</v>
      </c>
      <c r="AR68" s="92">
        <f t="shared" si="67"/>
        <v>816.20278176652664</v>
      </c>
      <c r="AS68" s="74">
        <f t="shared" si="4"/>
        <v>25826.961428570001</v>
      </c>
      <c r="AT68" s="75">
        <f t="shared" si="68"/>
        <v>30402.695153137145</v>
      </c>
      <c r="AU68" s="74">
        <v>835.41660059988226</v>
      </c>
      <c r="AV68" s="92">
        <f t="shared" si="69"/>
        <v>968.04141508325017</v>
      </c>
      <c r="AW68" s="74">
        <f t="shared" si="5"/>
        <v>64387.616785770013</v>
      </c>
      <c r="AX68" s="75">
        <f t="shared" si="70"/>
        <v>55843.617091817141</v>
      </c>
      <c r="AY68" s="74">
        <v>1024.833426049207</v>
      </c>
      <c r="AZ68" s="92">
        <f t="shared" si="71"/>
        <v>1057.5215032303411</v>
      </c>
      <c r="BA68" s="74">
        <f t="shared" si="6"/>
        <v>35881.476071440004</v>
      </c>
      <c r="BB68" s="75">
        <f t="shared" si="72"/>
        <v>31920.933673487143</v>
      </c>
      <c r="BC68" s="74">
        <v>922.56542446575099</v>
      </c>
      <c r="BD68" s="92">
        <f t="shared" si="73"/>
        <v>1022.6535124527609</v>
      </c>
      <c r="BE68" s="93">
        <f>AO68/SUM(Table5[[#This Row],[NWP (Standard)]],Table5[[#This Row],[NWP (Plus)]],Table5[[#This Row],[NWP (Essentials)]],Table5[[#This Row],[NWP (Premium)]])</f>
        <v>0.52868420402847593</v>
      </c>
      <c r="BF68" s="93">
        <f>AS68/SUM(Table5[[#This Row],[NWP (Standard)]],Table5[[#This Row],[NWP (Plus)]],Table5[[#This Row],[NWP (Essentials)]],Table5[[#This Row],[NWP (Premium)]])</f>
        <v>9.653478018943086E-2</v>
      </c>
      <c r="BG68" s="93">
        <f>AW68/SUM(Table5[[#This Row],[NWP (Standard)]],Table5[[#This Row],[NWP (Plus)]],Table5[[#This Row],[NWP (Essentials)]],Table5[[#This Row],[NWP (Premium)]])</f>
        <v>0.24066495203186464</v>
      </c>
      <c r="BH68" s="94">
        <f>BA68/SUM(Table5[[#This Row],[NWP (Standard)]],Table5[[#This Row],[NWP (Plus)]],Table5[[#This Row],[NWP (Essentials)]],Table5[[#This Row],[NWP (Premium)]])</f>
        <v>0.13411606375022839</v>
      </c>
      <c r="BI68" s="93">
        <f t="shared" si="74"/>
        <v>0.49124986294244094</v>
      </c>
      <c r="BJ68" s="93">
        <f t="shared" si="74"/>
        <v>0.13146008564962236</v>
      </c>
      <c r="BK68" s="93">
        <f t="shared" si="74"/>
        <v>0.23967402710502603</v>
      </c>
      <c r="BL68" s="94">
        <f t="shared" si="74"/>
        <v>0.13761602430291056</v>
      </c>
      <c r="BM68" s="74">
        <v>0</v>
      </c>
      <c r="BN68" s="75">
        <f t="shared" si="75"/>
        <v>0</v>
      </c>
      <c r="BO68" s="74">
        <v>0</v>
      </c>
      <c r="BP68" s="92">
        <f t="shared" si="76"/>
        <v>0</v>
      </c>
      <c r="BQ68" s="74">
        <v>0</v>
      </c>
      <c r="BR68" s="75">
        <f t="shared" si="77"/>
        <v>0</v>
      </c>
      <c r="BS68" s="74">
        <v>0</v>
      </c>
      <c r="BT68" s="92">
        <f t="shared" si="78"/>
        <v>0</v>
      </c>
      <c r="BU68" s="74">
        <v>0</v>
      </c>
      <c r="BV68" s="75">
        <f t="shared" si="79"/>
        <v>0</v>
      </c>
      <c r="BW68" s="74">
        <v>0</v>
      </c>
      <c r="BX68" s="92">
        <f t="shared" si="80"/>
        <v>0</v>
      </c>
      <c r="BY68" s="74">
        <v>0</v>
      </c>
      <c r="BZ68" s="75">
        <f t="shared" si="81"/>
        <v>0</v>
      </c>
      <c r="CA68" s="74">
        <v>0</v>
      </c>
      <c r="CB68" s="92">
        <f t="shared" si="82"/>
        <v>0</v>
      </c>
      <c r="CC68" s="74">
        <v>141444.42571416998</v>
      </c>
      <c r="CD68" s="75">
        <f t="shared" si="83"/>
        <v>115750.83091835429</v>
      </c>
      <c r="CE68" s="74">
        <v>870.14116133374421</v>
      </c>
      <c r="CF68" s="92">
        <f t="shared" si="84"/>
        <v>816.20278176652664</v>
      </c>
      <c r="CG68" s="74">
        <v>25826.961428570001</v>
      </c>
      <c r="CH68" s="75">
        <f t="shared" si="85"/>
        <v>30402.695153137145</v>
      </c>
      <c r="CI68" s="74">
        <v>835.41660059988226</v>
      </c>
      <c r="CJ68" s="92">
        <f t="shared" si="86"/>
        <v>968.04141508325017</v>
      </c>
      <c r="CK68" s="74">
        <v>64387.616785770013</v>
      </c>
      <c r="CL68" s="75">
        <f t="shared" si="87"/>
        <v>55843.617091817141</v>
      </c>
      <c r="CM68" s="74">
        <v>1024.833426049207</v>
      </c>
      <c r="CN68" s="92">
        <f t="shared" si="88"/>
        <v>1057.5215032303411</v>
      </c>
      <c r="CO68" s="74">
        <v>35881.476071440004</v>
      </c>
      <c r="CP68" s="75">
        <f t="shared" si="89"/>
        <v>31920.933673487143</v>
      </c>
      <c r="CQ68" s="74">
        <v>922.56542446575099</v>
      </c>
      <c r="CR68" s="92">
        <f t="shared" si="90"/>
        <v>1022.6535124527609</v>
      </c>
    </row>
    <row r="69" spans="1:96" x14ac:dyDescent="0.25">
      <c r="A69" s="85">
        <f t="shared" si="7"/>
        <v>45604</v>
      </c>
      <c r="B69" s="74">
        <v>856975.50892791001</v>
      </c>
      <c r="C69" s="75">
        <f t="shared" si="8"/>
        <v>915565.78008896753</v>
      </c>
      <c r="D69" s="74">
        <v>1093.2949583022037</v>
      </c>
      <c r="E69" s="75">
        <f t="shared" si="8"/>
        <v>1071.3933078970517</v>
      </c>
      <c r="F69" s="96">
        <f t="shared" si="0"/>
        <v>1476844.1420645677</v>
      </c>
      <c r="G69" s="75">
        <v>946388.70857068698</v>
      </c>
      <c r="H69" s="75">
        <f t="shared" ref="H69" si="875">AVERAGE(G66:G69)</f>
        <v>1034938.6833032467</v>
      </c>
      <c r="I69" s="75">
        <f>Table5[[#This Row],[Average NWP (Boom)]]</f>
        <v>1093.2949583022037</v>
      </c>
      <c r="J69" s="92">
        <f t="shared" ref="J69" si="876">AVERAGE(I66:I69)</f>
        <v>1071.3933078970517</v>
      </c>
      <c r="K69" s="75">
        <f t="shared" si="1"/>
        <v>856975.50892791036</v>
      </c>
      <c r="L69" s="75">
        <f t="shared" ref="L69" si="877">AVERAGE(K66:K69)</f>
        <v>915565.78008896764</v>
      </c>
      <c r="M69" s="75">
        <v>1090.2996296792753</v>
      </c>
      <c r="N69" s="75">
        <f t="shared" ref="N69" si="878">AVERAGE(M66:M69)</f>
        <v>1068.457983795181</v>
      </c>
      <c r="O69" s="96">
        <f t="shared" si="2"/>
        <v>1356586.6474125322</v>
      </c>
      <c r="P69" s="74">
        <v>200149.47892895003</v>
      </c>
      <c r="Q69" s="75">
        <f t="shared" ref="Q69" si="879">AVERAGE(P66:P69)</f>
        <v>232690.91258925505</v>
      </c>
      <c r="R69" s="74">
        <v>848.09101241080521</v>
      </c>
      <c r="S69" s="75">
        <f t="shared" ref="S69" si="880">AVERAGE(R66:R69)</f>
        <v>870.63401620112722</v>
      </c>
      <c r="T69" s="96">
        <v>353790.87748164323</v>
      </c>
      <c r="U69" s="74">
        <v>656826.02999896032</v>
      </c>
      <c r="V69" s="75">
        <f t="shared" ref="V69" si="881">AVERAGE(U66:U69)</f>
        <v>682874.86749971262</v>
      </c>
      <c r="W69" s="74">
        <v>1194.2291454526551</v>
      </c>
      <c r="X69" s="75">
        <f t="shared" ref="X69" si="882">AVERAGE(W66:W69)</f>
        <v>1156.3843059594878</v>
      </c>
      <c r="Y69" s="96">
        <v>1002795.769930889</v>
      </c>
      <c r="Z69" s="74">
        <v>0</v>
      </c>
      <c r="AA69" s="75">
        <f t="shared" ref="AA69" si="883">AVERAGE(Z66:Z69)</f>
        <v>0</v>
      </c>
      <c r="AB69" s="74">
        <v>0</v>
      </c>
      <c r="AC69" s="75">
        <f t="shared" ref="AC69" si="884">AVERAGE(AB66:AB69)</f>
        <v>0</v>
      </c>
      <c r="AD69" s="96" t="e">
        <v>#VALUE!</v>
      </c>
      <c r="AE69" s="74">
        <v>0</v>
      </c>
      <c r="AF69" s="75">
        <f t="shared" ref="AF69" si="885">AVERAGE(AE66:AE69)</f>
        <v>0</v>
      </c>
      <c r="AG69" s="74">
        <v>0</v>
      </c>
      <c r="AH69" s="75">
        <f t="shared" ref="AH69" si="886">AVERAGE(AG66:AG69)</f>
        <v>0</v>
      </c>
      <c r="AI69" s="96" t="e">
        <v>#VALUE!</v>
      </c>
      <c r="AJ69" s="74">
        <v>0</v>
      </c>
      <c r="AK69" s="75">
        <f t="shared" ref="AK69" si="887">AVERAGE(AJ66:AJ69)</f>
        <v>0</v>
      </c>
      <c r="AL69" s="74">
        <v>0</v>
      </c>
      <c r="AM69" s="75">
        <f t="shared" ref="AM69" si="888">AVERAGE(AL66:AL69)</f>
        <v>0</v>
      </c>
      <c r="AN69" s="96">
        <v>120257.49465203536</v>
      </c>
      <c r="AO69" s="74">
        <f t="shared" si="3"/>
        <v>108709.10535722997</v>
      </c>
      <c r="AP69" s="75">
        <f t="shared" si="66"/>
        <v>114379.0020408214</v>
      </c>
      <c r="AQ69" s="74">
        <v>778.62683387556638</v>
      </c>
      <c r="AR69" s="92">
        <f t="shared" si="67"/>
        <v>798.06011549399284</v>
      </c>
      <c r="AS69" s="74">
        <f t="shared" si="4"/>
        <v>22666.368928650001</v>
      </c>
      <c r="AT69" s="75">
        <f t="shared" si="68"/>
        <v>28778.185306184285</v>
      </c>
      <c r="AU69" s="74">
        <v>874.17842970519496</v>
      </c>
      <c r="AV69" s="92">
        <f t="shared" si="69"/>
        <v>973.99913962416088</v>
      </c>
      <c r="AW69" s="74">
        <f t="shared" si="5"/>
        <v>45290.577500169995</v>
      </c>
      <c r="AX69" s="75">
        <f t="shared" si="70"/>
        <v>53159.901071424283</v>
      </c>
      <c r="AY69" s="74">
        <v>1032.1591400541897</v>
      </c>
      <c r="AZ69" s="92">
        <f t="shared" si="71"/>
        <v>1038.0828758924049</v>
      </c>
      <c r="BA69" s="74">
        <f t="shared" si="6"/>
        <v>23483.427142899996</v>
      </c>
      <c r="BB69" s="75">
        <f t="shared" si="72"/>
        <v>30173.465612264288</v>
      </c>
      <c r="BC69" s="74">
        <v>905.69007892255058</v>
      </c>
      <c r="BD69" s="92">
        <f t="shared" si="73"/>
        <v>1001.5595588734913</v>
      </c>
      <c r="BE69" s="93">
        <f>AO69/SUM(Table5[[#This Row],[NWP (Standard)]],Table5[[#This Row],[NWP (Plus)]],Table5[[#This Row],[NWP (Essentials)]],Table5[[#This Row],[NWP (Premium)]])</f>
        <v>0.54313958716734934</v>
      </c>
      <c r="BF69" s="93">
        <f>AS69/SUM(Table5[[#This Row],[NWP (Standard)]],Table5[[#This Row],[NWP (Plus)]],Table5[[#This Row],[NWP (Essentials)]],Table5[[#This Row],[NWP (Premium)]])</f>
        <v>0.11324720428923134</v>
      </c>
      <c r="BG69" s="93">
        <f>AW69/SUM(Table5[[#This Row],[NWP (Standard)]],Table5[[#This Row],[NWP (Plus)]],Table5[[#This Row],[NWP (Essentials)]],Table5[[#This Row],[NWP (Premium)]])</f>
        <v>0.22628376422727267</v>
      </c>
      <c r="BH69" s="94">
        <f>BA69/SUM(Table5[[#This Row],[NWP (Standard)]],Table5[[#This Row],[NWP (Plus)]],Table5[[#This Row],[NWP (Essentials)]],Table5[[#This Row],[NWP (Premium)]])</f>
        <v>0.11732944431614661</v>
      </c>
      <c r="BI69" s="93">
        <f t="shared" si="74"/>
        <v>0.50180879929528899</v>
      </c>
      <c r="BJ69" s="93">
        <f t="shared" si="74"/>
        <v>0.12835325210404774</v>
      </c>
      <c r="BK69" s="93">
        <f t="shared" si="74"/>
        <v>0.23569615888107087</v>
      </c>
      <c r="BL69" s="94">
        <f t="shared" si="74"/>
        <v>0.13414178971959237</v>
      </c>
      <c r="BM69" s="74">
        <v>0</v>
      </c>
      <c r="BN69" s="75">
        <f t="shared" si="75"/>
        <v>0</v>
      </c>
      <c r="BO69" s="74">
        <v>0</v>
      </c>
      <c r="BP69" s="92">
        <f t="shared" si="76"/>
        <v>0</v>
      </c>
      <c r="BQ69" s="74">
        <v>0</v>
      </c>
      <c r="BR69" s="75">
        <f t="shared" si="77"/>
        <v>0</v>
      </c>
      <c r="BS69" s="74">
        <v>0</v>
      </c>
      <c r="BT69" s="92">
        <f t="shared" si="78"/>
        <v>0</v>
      </c>
      <c r="BU69" s="74">
        <v>0</v>
      </c>
      <c r="BV69" s="75">
        <f t="shared" si="79"/>
        <v>0</v>
      </c>
      <c r="BW69" s="74">
        <v>0</v>
      </c>
      <c r="BX69" s="92">
        <f t="shared" si="80"/>
        <v>0</v>
      </c>
      <c r="BY69" s="74">
        <v>0</v>
      </c>
      <c r="BZ69" s="75">
        <f t="shared" si="81"/>
        <v>0</v>
      </c>
      <c r="CA69" s="74">
        <v>0</v>
      </c>
      <c r="CB69" s="92">
        <f t="shared" si="82"/>
        <v>0</v>
      </c>
      <c r="CC69" s="74">
        <v>108709.10535722997</v>
      </c>
      <c r="CD69" s="75">
        <f t="shared" si="83"/>
        <v>114379.0020408214</v>
      </c>
      <c r="CE69" s="74">
        <v>778.62683387556638</v>
      </c>
      <c r="CF69" s="92">
        <f t="shared" si="84"/>
        <v>798.06011549399284</v>
      </c>
      <c r="CG69" s="74">
        <v>22666.368928650001</v>
      </c>
      <c r="CH69" s="75">
        <f t="shared" si="85"/>
        <v>28778.185306184285</v>
      </c>
      <c r="CI69" s="74">
        <v>874.17842970519496</v>
      </c>
      <c r="CJ69" s="92">
        <f t="shared" si="86"/>
        <v>973.99913962416088</v>
      </c>
      <c r="CK69" s="74">
        <v>45290.577500169995</v>
      </c>
      <c r="CL69" s="75">
        <f t="shared" si="87"/>
        <v>53159.901071424283</v>
      </c>
      <c r="CM69" s="74">
        <v>1032.1591400541897</v>
      </c>
      <c r="CN69" s="92">
        <f t="shared" si="88"/>
        <v>1038.0828758924049</v>
      </c>
      <c r="CO69" s="74">
        <v>23483.427142899996</v>
      </c>
      <c r="CP69" s="75">
        <f t="shared" si="89"/>
        <v>30173.465612264288</v>
      </c>
      <c r="CQ69" s="74">
        <v>905.69007892255058</v>
      </c>
      <c r="CR69" s="92">
        <f t="shared" si="90"/>
        <v>1001.5595588734913</v>
      </c>
    </row>
    <row r="70" spans="1:96" x14ac:dyDescent="0.25">
      <c r="A70" s="85">
        <f t="shared" si="7"/>
        <v>45611</v>
      </c>
      <c r="B70" s="74">
        <v>878854.53678599012</v>
      </c>
      <c r="C70" s="75">
        <f t="shared" si="8"/>
        <v>920517.23696413753</v>
      </c>
      <c r="D70" s="74">
        <v>1092.0309446126396</v>
      </c>
      <c r="E70" s="75">
        <f t="shared" si="8"/>
        <v>1074.1975518330685</v>
      </c>
      <c r="F70" s="96">
        <f t="shared" ref="F70:F109" si="889">O70+AN70</f>
        <v>1476844.1420645677</v>
      </c>
      <c r="G70" s="75">
        <v>974611.27928592579</v>
      </c>
      <c r="H70" s="75">
        <f t="shared" ref="H70" si="890">AVERAGE(G67:G70)</f>
        <v>1027580.3444641427</v>
      </c>
      <c r="I70" s="75">
        <f>Table5[[#This Row],[Average NWP (Boom)]]</f>
        <v>1092.0309446126396</v>
      </c>
      <c r="J70" s="92">
        <f t="shared" ref="J70" si="891">AVERAGE(I67:I70)</f>
        <v>1074.1975518330685</v>
      </c>
      <c r="K70" s="75">
        <f t="shared" ref="K70:K109" si="892">P70+U70</f>
        <v>878854.53678599012</v>
      </c>
      <c r="L70" s="75">
        <f t="shared" ref="L70" si="893">AVERAGE(K67:K70)</f>
        <v>920517.23696413753</v>
      </c>
      <c r="M70" s="75">
        <v>1089.0390790408799</v>
      </c>
      <c r="N70" s="75">
        <f t="shared" ref="N70" si="894">AVERAGE(M67:M70)</f>
        <v>1071.2545448711755</v>
      </c>
      <c r="O70" s="96">
        <f t="shared" ref="O70:O109" si="895">T70+Y70</f>
        <v>1356586.6474125322</v>
      </c>
      <c r="P70" s="74">
        <v>225009.74571425002</v>
      </c>
      <c r="Q70" s="75">
        <f t="shared" ref="Q70" si="896">AVERAGE(P67:P70)</f>
        <v>239143.58919645502</v>
      </c>
      <c r="R70" s="74">
        <v>903.65359724598397</v>
      </c>
      <c r="S70" s="75">
        <f t="shared" ref="S70" si="897">AVERAGE(R67:R70)</f>
        <v>889.04841625694621</v>
      </c>
      <c r="T70" s="96">
        <v>353790.87748164323</v>
      </c>
      <c r="U70" s="74">
        <v>653844.7910717401</v>
      </c>
      <c r="V70" s="75">
        <f t="shared" ref="V70" si="898">AVERAGE(U67:U70)</f>
        <v>681373.64776768256</v>
      </c>
      <c r="W70" s="74">
        <v>1171.7648585515055</v>
      </c>
      <c r="X70" s="75">
        <f t="shared" ref="X70" si="899">AVERAGE(W67:W70)</f>
        <v>1153.1631911539798</v>
      </c>
      <c r="Y70" s="96">
        <v>1002795.769930889</v>
      </c>
      <c r="Z70" s="74">
        <v>0</v>
      </c>
      <c r="AA70" s="75">
        <f t="shared" ref="AA70" si="900">AVERAGE(Z67:Z70)</f>
        <v>0</v>
      </c>
      <c r="AB70" s="74">
        <v>0</v>
      </c>
      <c r="AC70" s="75">
        <f t="shared" ref="AC70" si="901">AVERAGE(AB67:AB70)</f>
        <v>0</v>
      </c>
      <c r="AD70" s="96" t="e">
        <v>#VALUE!</v>
      </c>
      <c r="AE70" s="74">
        <v>0</v>
      </c>
      <c r="AF70" s="75">
        <f t="shared" ref="AF70" si="902">AVERAGE(AE67:AE70)</f>
        <v>0</v>
      </c>
      <c r="AG70" s="74">
        <v>0</v>
      </c>
      <c r="AH70" s="75">
        <f t="shared" ref="AH70" si="903">AVERAGE(AG67:AG70)</f>
        <v>0</v>
      </c>
      <c r="AI70" s="96" t="e">
        <v>#VALUE!</v>
      </c>
      <c r="AJ70" s="74">
        <v>0</v>
      </c>
      <c r="AK70" s="75">
        <f t="shared" ref="AK70" si="904">AVERAGE(AJ67:AJ70)</f>
        <v>0</v>
      </c>
      <c r="AL70" s="74">
        <v>0</v>
      </c>
      <c r="AM70" s="75">
        <f t="shared" ref="AM70" si="905">AVERAGE(AL67:AL70)</f>
        <v>0</v>
      </c>
      <c r="AN70" s="96">
        <v>120257.49465203536</v>
      </c>
      <c r="AO70" s="74">
        <f t="shared" ref="AO70:AO109" si="906">BM70+CC70</f>
        <v>118951.53214273001</v>
      </c>
      <c r="AP70" s="75">
        <f t="shared" si="66"/>
        <v>114804.08280611427</v>
      </c>
      <c r="AQ70" s="74">
        <v>822.60911767532536</v>
      </c>
      <c r="AR70" s="92">
        <f t="shared" si="67"/>
        <v>790.66208173992823</v>
      </c>
      <c r="AS70" s="74">
        <f t="shared" ref="AS70:AS109" si="907">BQ70+CG70</f>
        <v>31002.835357350003</v>
      </c>
      <c r="AT70" s="75">
        <f t="shared" si="68"/>
        <v>29711.600357202864</v>
      </c>
      <c r="AU70" s="74">
        <v>1002.8389671323886</v>
      </c>
      <c r="AV70" s="92">
        <f t="shared" si="69"/>
        <v>987.44093739063214</v>
      </c>
      <c r="AW70" s="74">
        <f t="shared" ref="AW70:AW109" si="908">BU70+CK70</f>
        <v>54174.931428429998</v>
      </c>
      <c r="AX70" s="75">
        <f t="shared" si="70"/>
        <v>52666.173469378569</v>
      </c>
      <c r="AY70" s="74">
        <v>1086.4752731227316</v>
      </c>
      <c r="AZ70" s="92">
        <f t="shared" si="71"/>
        <v>1034.5316741628524</v>
      </c>
      <c r="BA70" s="74">
        <f t="shared" ref="BA70:BA109" si="909">BY70+CO70</f>
        <v>20880.446785740001</v>
      </c>
      <c r="BB70" s="75">
        <f t="shared" si="72"/>
        <v>26846.655714299999</v>
      </c>
      <c r="BC70" s="74">
        <v>910.33959347655559</v>
      </c>
      <c r="BD70" s="92">
        <f t="shared" si="73"/>
        <v>965.10635399987279</v>
      </c>
      <c r="BE70" s="93">
        <f>AO70/SUM(Table5[[#This Row],[NWP (Standard)]],Table5[[#This Row],[NWP (Plus)]],Table5[[#This Row],[NWP (Essentials)]],Table5[[#This Row],[NWP (Premium)]])</f>
        <v>0.52865057806781368</v>
      </c>
      <c r="BF70" s="93">
        <f>AS70/SUM(Table5[[#This Row],[NWP (Standard)]],Table5[[#This Row],[NWP (Plus)]],Table5[[#This Row],[NWP (Essentials)]],Table5[[#This Row],[NWP (Premium)]])</f>
        <v>0.13778441133266245</v>
      </c>
      <c r="BG70" s="93">
        <f>AW70/SUM(Table5[[#This Row],[NWP (Standard)]],Table5[[#This Row],[NWP (Plus)]],Table5[[#This Row],[NWP (Essentials)]],Table5[[#This Row],[NWP (Premium)]])</f>
        <v>0.24076704436273255</v>
      </c>
      <c r="BH70" s="94">
        <f>BA70/SUM(Table5[[#This Row],[NWP (Standard)]],Table5[[#This Row],[NWP (Plus)]],Table5[[#This Row],[NWP (Essentials)]],Table5[[#This Row],[NWP (Premium)]])</f>
        <v>9.2797966236791457E-2</v>
      </c>
      <c r="BI70" s="93">
        <f t="shared" si="74"/>
        <v>0.50893648979461104</v>
      </c>
      <c r="BJ70" s="93">
        <f t="shared" si="74"/>
        <v>0.1336068221329188</v>
      </c>
      <c r="BK70" s="93">
        <f t="shared" si="74"/>
        <v>0.23610504777781482</v>
      </c>
      <c r="BL70" s="94">
        <f t="shared" si="74"/>
        <v>0.12135164029465528</v>
      </c>
      <c r="BM70" s="74">
        <v>0</v>
      </c>
      <c r="BN70" s="75">
        <f t="shared" si="75"/>
        <v>0</v>
      </c>
      <c r="BO70" s="74">
        <v>0</v>
      </c>
      <c r="BP70" s="92">
        <f t="shared" si="76"/>
        <v>0</v>
      </c>
      <c r="BQ70" s="74">
        <v>0</v>
      </c>
      <c r="BR70" s="75">
        <f t="shared" si="77"/>
        <v>0</v>
      </c>
      <c r="BS70" s="74">
        <v>0</v>
      </c>
      <c r="BT70" s="92">
        <f t="shared" si="78"/>
        <v>0</v>
      </c>
      <c r="BU70" s="74">
        <v>0</v>
      </c>
      <c r="BV70" s="75">
        <f t="shared" si="79"/>
        <v>0</v>
      </c>
      <c r="BW70" s="74">
        <v>0</v>
      </c>
      <c r="BX70" s="92">
        <f t="shared" si="80"/>
        <v>0</v>
      </c>
      <c r="BY70" s="74">
        <v>0</v>
      </c>
      <c r="BZ70" s="75">
        <f t="shared" si="81"/>
        <v>0</v>
      </c>
      <c r="CA70" s="74">
        <v>0</v>
      </c>
      <c r="CB70" s="92">
        <f t="shared" si="82"/>
        <v>0</v>
      </c>
      <c r="CC70" s="74">
        <v>118951.53214273001</v>
      </c>
      <c r="CD70" s="75">
        <f t="shared" si="83"/>
        <v>114804.08280611427</v>
      </c>
      <c r="CE70" s="74">
        <v>822.60911767532536</v>
      </c>
      <c r="CF70" s="92">
        <f t="shared" si="84"/>
        <v>790.66208173992823</v>
      </c>
      <c r="CG70" s="74">
        <v>31002.835357350003</v>
      </c>
      <c r="CH70" s="75">
        <f t="shared" si="85"/>
        <v>29711.600357202864</v>
      </c>
      <c r="CI70" s="74">
        <v>1002.8389671323886</v>
      </c>
      <c r="CJ70" s="92">
        <f t="shared" si="86"/>
        <v>987.44093739063214</v>
      </c>
      <c r="CK70" s="74">
        <v>54174.931428429998</v>
      </c>
      <c r="CL70" s="75">
        <f t="shared" si="87"/>
        <v>52666.173469378569</v>
      </c>
      <c r="CM70" s="74">
        <v>1086.4752731227316</v>
      </c>
      <c r="CN70" s="92">
        <f t="shared" si="88"/>
        <v>1034.5316741628524</v>
      </c>
      <c r="CO70" s="74">
        <v>20880.446785740001</v>
      </c>
      <c r="CP70" s="75">
        <f t="shared" si="89"/>
        <v>26846.655714299999</v>
      </c>
      <c r="CQ70" s="74">
        <v>910.33959347655559</v>
      </c>
      <c r="CR70" s="92">
        <f t="shared" si="90"/>
        <v>965.10635399987279</v>
      </c>
    </row>
    <row r="71" spans="1:96" x14ac:dyDescent="0.25">
      <c r="A71" s="85">
        <f t="shared" ref="A71:A109" si="910">A70+7</f>
        <v>45618</v>
      </c>
      <c r="B71" s="74">
        <v>1140288.5360709599</v>
      </c>
      <c r="C71" s="75">
        <f t="shared" si="8"/>
        <v>973472.3907141299</v>
      </c>
      <c r="D71" s="74">
        <v>1121.0011733852236</v>
      </c>
      <c r="E71" s="75">
        <f t="shared" si="8"/>
        <v>1092.6315749059461</v>
      </c>
      <c r="F71" s="96">
        <f t="shared" si="889"/>
        <v>1476844.1420645677</v>
      </c>
      <c r="G71" s="75">
        <v>1227046.0732138127</v>
      </c>
      <c r="H71" s="75">
        <f t="shared" ref="H71" si="911">AVERAGE(G68:G71)</f>
        <v>1069373.0184819631</v>
      </c>
      <c r="I71" s="75">
        <f>Table5[[#This Row],[Average NWP (Boom)]]</f>
        <v>1121.0011733852236</v>
      </c>
      <c r="J71" s="92">
        <f t="shared" ref="J71" si="912">AVERAGE(I68:I71)</f>
        <v>1092.6315749059461</v>
      </c>
      <c r="K71" s="75">
        <f t="shared" si="892"/>
        <v>1140288.5360709601</v>
      </c>
      <c r="L71" s="75">
        <f t="shared" ref="L71" si="913">AVERAGE(K68:K71)</f>
        <v>973472.39071413013</v>
      </c>
      <c r="M71" s="75">
        <v>1117.9299373244708</v>
      </c>
      <c r="N71" s="75">
        <f t="shared" ref="N71" si="914">AVERAGE(M68:M71)</f>
        <v>1089.6380637717562</v>
      </c>
      <c r="O71" s="96">
        <f t="shared" si="895"/>
        <v>1356586.6474125322</v>
      </c>
      <c r="P71" s="74">
        <v>336902.94285678002</v>
      </c>
      <c r="Q71" s="75">
        <f t="shared" ref="Q71" si="915">AVERAGE(P68:P71)</f>
        <v>257400.66187498253</v>
      </c>
      <c r="R71" s="74">
        <v>973.70792733173414</v>
      </c>
      <c r="S71" s="75">
        <f t="shared" ref="S71" si="916">AVERAGE(R68:R71)</f>
        <v>907.32637749033188</v>
      </c>
      <c r="T71" s="96">
        <v>353790.87748164323</v>
      </c>
      <c r="U71" s="74">
        <v>803385.59321418009</v>
      </c>
      <c r="V71" s="75">
        <f t="shared" ref="V71" si="917">AVERAGE(U68:U71)</f>
        <v>716071.7288391476</v>
      </c>
      <c r="W71" s="74">
        <v>1191.966755510653</v>
      </c>
      <c r="X71" s="75">
        <f t="shared" ref="X71" si="918">AVERAGE(W68:W71)</f>
        <v>1172.3825356825155</v>
      </c>
      <c r="Y71" s="96">
        <v>1002795.769930889</v>
      </c>
      <c r="Z71" s="74">
        <v>0</v>
      </c>
      <c r="AA71" s="75">
        <f t="shared" ref="AA71" si="919">AVERAGE(Z68:Z71)</f>
        <v>0</v>
      </c>
      <c r="AB71" s="74">
        <v>0</v>
      </c>
      <c r="AC71" s="75">
        <f t="shared" ref="AC71" si="920">AVERAGE(AB68:AB71)</f>
        <v>0</v>
      </c>
      <c r="AD71" s="96" t="e">
        <v>#VALUE!</v>
      </c>
      <c r="AE71" s="74">
        <v>0</v>
      </c>
      <c r="AF71" s="75">
        <f t="shared" ref="AF71" si="921">AVERAGE(AE68:AE71)</f>
        <v>0</v>
      </c>
      <c r="AG71" s="74">
        <v>0</v>
      </c>
      <c r="AH71" s="75">
        <f t="shared" ref="AH71" si="922">AVERAGE(AG68:AG71)</f>
        <v>0</v>
      </c>
      <c r="AI71" s="96" t="e">
        <v>#VALUE!</v>
      </c>
      <c r="AJ71" s="74">
        <v>0</v>
      </c>
      <c r="AK71" s="75">
        <f t="shared" ref="AK71" si="923">AVERAGE(AJ68:AJ71)</f>
        <v>0</v>
      </c>
      <c r="AL71" s="74">
        <v>0</v>
      </c>
      <c r="AM71" s="75">
        <f t="shared" ref="AM71" si="924">AVERAGE(AL68:AL71)</f>
        <v>0</v>
      </c>
      <c r="AN71" s="96">
        <v>120257.49465203536</v>
      </c>
      <c r="AO71" s="74">
        <f t="shared" si="906"/>
        <v>171275.91392825992</v>
      </c>
      <c r="AP71" s="75">
        <f t="shared" si="66"/>
        <v>124335.86040806853</v>
      </c>
      <c r="AQ71" s="74">
        <v>867.40632398292541</v>
      </c>
      <c r="AR71" s="92">
        <f t="shared" si="67"/>
        <v>811.99341029193602</v>
      </c>
      <c r="AS71" s="74">
        <f t="shared" si="907"/>
        <v>52139.147857089993</v>
      </c>
      <c r="AT71" s="75">
        <f t="shared" si="68"/>
        <v>31005.712040861428</v>
      </c>
      <c r="AU71" s="74">
        <v>968.19235690450876</v>
      </c>
      <c r="AV71" s="92">
        <f t="shared" si="69"/>
        <v>967.51706630982665</v>
      </c>
      <c r="AW71" s="74">
        <f t="shared" si="908"/>
        <v>77303.617857090008</v>
      </c>
      <c r="AX71" s="75">
        <f t="shared" si="70"/>
        <v>56643.72571427287</v>
      </c>
      <c r="AY71" s="74">
        <v>1270.753941499851</v>
      </c>
      <c r="AZ71" s="92">
        <f t="shared" si="71"/>
        <v>1068.458923756066</v>
      </c>
      <c r="BA71" s="74">
        <f t="shared" si="909"/>
        <v>36184.263214339997</v>
      </c>
      <c r="BB71" s="75">
        <f t="shared" si="72"/>
        <v>28240.902346949999</v>
      </c>
      <c r="BC71" s="74">
        <v>1099.5051675717004</v>
      </c>
      <c r="BD71" s="92">
        <f t="shared" si="73"/>
        <v>964.4574989723676</v>
      </c>
      <c r="BE71" s="93">
        <f>AO71/SUM(Table5[[#This Row],[NWP (Standard)]],Table5[[#This Row],[NWP (Plus)]],Table5[[#This Row],[NWP (Essentials)]],Table5[[#This Row],[NWP (Premium)]])</f>
        <v>0.5083835495051483</v>
      </c>
      <c r="BF71" s="93">
        <f>AS71/SUM(Table5[[#This Row],[NWP (Standard)]],Table5[[#This Row],[NWP (Plus)]],Table5[[#This Row],[NWP (Essentials)]],Table5[[#This Row],[NWP (Premium)]])</f>
        <v>0.15476014372262328</v>
      </c>
      <c r="BG71" s="93">
        <f>AW71/SUM(Table5[[#This Row],[NWP (Standard)]],Table5[[#This Row],[NWP (Plus)]],Table5[[#This Row],[NWP (Essentials)]],Table5[[#This Row],[NWP (Premium)]])</f>
        <v>0.22945367351674451</v>
      </c>
      <c r="BH71" s="94">
        <f>BA71/SUM(Table5[[#This Row],[NWP (Standard)]],Table5[[#This Row],[NWP (Plus)]],Table5[[#This Row],[NWP (Essentials)]],Table5[[#This Row],[NWP (Premium)]])</f>
        <v>0.10740263325548395</v>
      </c>
      <c r="BI71" s="93">
        <f t="shared" si="74"/>
        <v>0.5147397488922093</v>
      </c>
      <c r="BJ71" s="93">
        <f t="shared" si="74"/>
        <v>0.12818158229910795</v>
      </c>
      <c r="BK71" s="93">
        <f t="shared" si="74"/>
        <v>0.23727243420412125</v>
      </c>
      <c r="BL71" s="94">
        <f t="shared" si="74"/>
        <v>0.1198062346045615</v>
      </c>
      <c r="BM71" s="74">
        <v>0</v>
      </c>
      <c r="BN71" s="75">
        <f t="shared" si="75"/>
        <v>0</v>
      </c>
      <c r="BO71" s="74">
        <v>0</v>
      </c>
      <c r="BP71" s="92">
        <f t="shared" si="76"/>
        <v>0</v>
      </c>
      <c r="BQ71" s="74">
        <v>0</v>
      </c>
      <c r="BR71" s="75">
        <f t="shared" si="77"/>
        <v>0</v>
      </c>
      <c r="BS71" s="74">
        <v>0</v>
      </c>
      <c r="BT71" s="92">
        <f t="shared" si="78"/>
        <v>0</v>
      </c>
      <c r="BU71" s="74">
        <v>0</v>
      </c>
      <c r="BV71" s="75">
        <f t="shared" si="79"/>
        <v>0</v>
      </c>
      <c r="BW71" s="74">
        <v>0</v>
      </c>
      <c r="BX71" s="92">
        <f t="shared" si="80"/>
        <v>0</v>
      </c>
      <c r="BY71" s="74">
        <v>0</v>
      </c>
      <c r="BZ71" s="75">
        <f t="shared" si="81"/>
        <v>0</v>
      </c>
      <c r="CA71" s="74">
        <v>0</v>
      </c>
      <c r="CB71" s="92">
        <f t="shared" si="82"/>
        <v>0</v>
      </c>
      <c r="CC71" s="74">
        <v>171275.91392825992</v>
      </c>
      <c r="CD71" s="75">
        <f t="shared" si="83"/>
        <v>124335.86040806853</v>
      </c>
      <c r="CE71" s="74">
        <v>867.40632398292541</v>
      </c>
      <c r="CF71" s="92">
        <f t="shared" si="84"/>
        <v>811.99341029193602</v>
      </c>
      <c r="CG71" s="74">
        <v>52139.147857089993</v>
      </c>
      <c r="CH71" s="75">
        <f t="shared" si="85"/>
        <v>31005.712040861428</v>
      </c>
      <c r="CI71" s="74">
        <v>968.19235690450876</v>
      </c>
      <c r="CJ71" s="92">
        <f t="shared" si="86"/>
        <v>967.51706630982665</v>
      </c>
      <c r="CK71" s="74">
        <v>77303.617857090008</v>
      </c>
      <c r="CL71" s="75">
        <f t="shared" si="87"/>
        <v>56643.72571427287</v>
      </c>
      <c r="CM71" s="74">
        <v>1270.753941499851</v>
      </c>
      <c r="CN71" s="92">
        <f t="shared" si="88"/>
        <v>1068.458923756066</v>
      </c>
      <c r="CO71" s="74">
        <v>36184.263214339997</v>
      </c>
      <c r="CP71" s="75">
        <f t="shared" si="89"/>
        <v>28240.902346949999</v>
      </c>
      <c r="CQ71" s="74">
        <v>1099.5051675717004</v>
      </c>
      <c r="CR71" s="92">
        <f t="shared" si="90"/>
        <v>964.4574989723676</v>
      </c>
    </row>
    <row r="72" spans="1:96" x14ac:dyDescent="0.25">
      <c r="A72" s="85">
        <f t="shared" si="910"/>
        <v>45625</v>
      </c>
      <c r="B72" s="74">
        <v>1183254.0621432196</v>
      </c>
      <c r="C72" s="75">
        <f t="shared" si="8"/>
        <v>1014843.16098202</v>
      </c>
      <c r="D72" s="74">
        <v>1110.9595131868386</v>
      </c>
      <c r="E72" s="75">
        <f t="shared" si="8"/>
        <v>1104.3216473717262</v>
      </c>
      <c r="F72" s="96">
        <f t="shared" si="889"/>
        <v>1476844.1420645677</v>
      </c>
      <c r="G72" s="75">
        <v>1243734.9678575704</v>
      </c>
      <c r="H72" s="75">
        <f t="shared" ref="H72" si="925">AVERAGE(G69:G72)</f>
        <v>1097945.257231999</v>
      </c>
      <c r="I72" s="75">
        <f>Table5[[#This Row],[Average NWP (Boom)]]</f>
        <v>1110.9595131868386</v>
      </c>
      <c r="J72" s="92">
        <f t="shared" ref="J72" si="926">AVERAGE(I69:I72)</f>
        <v>1104.3216473717262</v>
      </c>
      <c r="K72" s="75">
        <f t="shared" si="892"/>
        <v>1183254.0621432201</v>
      </c>
      <c r="L72" s="75">
        <f t="shared" ref="L72" si="927">AVERAGE(K69:K72)</f>
        <v>1014843.1609820202</v>
      </c>
      <c r="M72" s="75">
        <v>1107.9157885236143</v>
      </c>
      <c r="N72" s="75">
        <f t="shared" ref="N72" si="928">AVERAGE(M69:M72)</f>
        <v>1101.2961086420601</v>
      </c>
      <c r="O72" s="96">
        <f t="shared" si="895"/>
        <v>1356586.6474125322</v>
      </c>
      <c r="P72" s="74">
        <v>277881.89142839005</v>
      </c>
      <c r="Q72" s="75">
        <f t="shared" ref="Q72" si="929">AVERAGE(P69:P72)</f>
        <v>259986.01473209253</v>
      </c>
      <c r="R72" s="74">
        <v>908.11075630192829</v>
      </c>
      <c r="S72" s="75">
        <f t="shared" ref="S72" si="930">AVERAGE(R69:R72)</f>
        <v>908.39082332261285</v>
      </c>
      <c r="T72" s="96">
        <v>353790.87748164323</v>
      </c>
      <c r="U72" s="74">
        <v>905372.17071482993</v>
      </c>
      <c r="V72" s="75">
        <f t="shared" ref="V72" si="931">AVERAGE(U69:U72)</f>
        <v>754857.14624992758</v>
      </c>
      <c r="W72" s="74">
        <v>1188.1524550063384</v>
      </c>
      <c r="X72" s="75">
        <f t="shared" ref="X72" si="932">AVERAGE(W69:W72)</f>
        <v>1186.5283036302881</v>
      </c>
      <c r="Y72" s="96">
        <v>1002795.769930889</v>
      </c>
      <c r="Z72" s="74">
        <v>0</v>
      </c>
      <c r="AA72" s="75">
        <f t="shared" ref="AA72" si="933">AVERAGE(Z69:Z72)</f>
        <v>0</v>
      </c>
      <c r="AB72" s="74">
        <v>0</v>
      </c>
      <c r="AC72" s="75">
        <f t="shared" ref="AC72" si="934">AVERAGE(AB69:AB72)</f>
        <v>0</v>
      </c>
      <c r="AD72" s="96" t="e">
        <v>#VALUE!</v>
      </c>
      <c r="AE72" s="74">
        <v>0</v>
      </c>
      <c r="AF72" s="75">
        <f t="shared" ref="AF72" si="935">AVERAGE(AE69:AE72)</f>
        <v>0</v>
      </c>
      <c r="AG72" s="74">
        <v>0</v>
      </c>
      <c r="AH72" s="75">
        <f t="shared" ref="AH72" si="936">AVERAGE(AG69:AG72)</f>
        <v>0</v>
      </c>
      <c r="AI72" s="96" t="e">
        <v>#VALUE!</v>
      </c>
      <c r="AJ72" s="74">
        <v>0</v>
      </c>
      <c r="AK72" s="75">
        <f t="shared" ref="AK72" si="937">AVERAGE(AJ69:AJ72)</f>
        <v>0</v>
      </c>
      <c r="AL72" s="74">
        <v>0</v>
      </c>
      <c r="AM72" s="75">
        <f t="shared" ref="AM72" si="938">AVERAGE(AL69:AL72)</f>
        <v>0</v>
      </c>
      <c r="AN72" s="96">
        <v>120257.49465203536</v>
      </c>
      <c r="AO72" s="74">
        <f t="shared" si="906"/>
        <v>156570.35535668003</v>
      </c>
      <c r="AP72" s="75">
        <f t="shared" si="66"/>
        <v>135316.71127531139</v>
      </c>
      <c r="AQ72" s="74">
        <v>867.40604249314254</v>
      </c>
      <c r="AR72" s="92">
        <f t="shared" si="67"/>
        <v>826.12371387105134</v>
      </c>
      <c r="AS72" s="74">
        <f t="shared" si="907"/>
        <v>35868.981785909993</v>
      </c>
      <c r="AT72" s="75">
        <f t="shared" si="68"/>
        <v>32249.80739802714</v>
      </c>
      <c r="AU72" s="74">
        <v>899.18807359185939</v>
      </c>
      <c r="AV72" s="92">
        <f t="shared" si="69"/>
        <v>946.33002993811658</v>
      </c>
      <c r="AW72" s="74">
        <f t="shared" si="908"/>
        <v>54897.836428579998</v>
      </c>
      <c r="AX72" s="75">
        <f t="shared" si="70"/>
        <v>56539.972857150009</v>
      </c>
      <c r="AY72" s="74">
        <v>1019.4195307224876</v>
      </c>
      <c r="AZ72" s="92">
        <f t="shared" si="71"/>
        <v>1057.852414402397</v>
      </c>
      <c r="BA72" s="74">
        <f t="shared" si="909"/>
        <v>30544.717857219999</v>
      </c>
      <c r="BB72" s="75">
        <f t="shared" si="72"/>
        <v>28830.398520431427</v>
      </c>
      <c r="BC72" s="74">
        <v>988.02038440083436</v>
      </c>
      <c r="BD72" s="92">
        <f t="shared" si="73"/>
        <v>954.22714110223012</v>
      </c>
      <c r="BE72" s="93">
        <f>AO72/SUM(Table5[[#This Row],[NWP (Standard)]],Table5[[#This Row],[NWP (Plus)]],Table5[[#This Row],[NWP (Essentials)]],Table5[[#This Row],[NWP (Premium)]])</f>
        <v>0.56344209603535145</v>
      </c>
      <c r="BF72" s="93">
        <f>AS72/SUM(Table5[[#This Row],[NWP (Standard)]],Table5[[#This Row],[NWP (Plus)]],Table5[[#This Row],[NWP (Essentials)]],Table5[[#This Row],[NWP (Premium)]])</f>
        <v>0.12907995408241063</v>
      </c>
      <c r="BG72" s="93">
        <f>AW72/SUM(Table5[[#This Row],[NWP (Standard)]],Table5[[#This Row],[NWP (Plus)]],Table5[[#This Row],[NWP (Essentials)]],Table5[[#This Row],[NWP (Premium)]])</f>
        <v>0.19755816453670261</v>
      </c>
      <c r="BH72" s="94">
        <f>BA72/SUM(Table5[[#This Row],[NWP (Standard)]],Table5[[#This Row],[NWP (Plus)]],Table5[[#This Row],[NWP (Essentials)]],Table5[[#This Row],[NWP (Premium)]])</f>
        <v>0.1099197853455354</v>
      </c>
      <c r="BI72" s="93">
        <f t="shared" si="74"/>
        <v>0.53495663870284405</v>
      </c>
      <c r="BJ72" s="93">
        <f t="shared" si="74"/>
        <v>0.12608213797254586</v>
      </c>
      <c r="BK72" s="93">
        <f t="shared" si="74"/>
        <v>0.22343042486617512</v>
      </c>
      <c r="BL72" s="94">
        <f t="shared" si="74"/>
        <v>0.11553079845843492</v>
      </c>
      <c r="BM72" s="74">
        <v>0</v>
      </c>
      <c r="BN72" s="75">
        <f t="shared" si="75"/>
        <v>0</v>
      </c>
      <c r="BO72" s="74">
        <v>0</v>
      </c>
      <c r="BP72" s="92">
        <f t="shared" si="76"/>
        <v>0</v>
      </c>
      <c r="BQ72" s="74">
        <v>0</v>
      </c>
      <c r="BR72" s="75">
        <f t="shared" si="77"/>
        <v>0</v>
      </c>
      <c r="BS72" s="74">
        <v>0</v>
      </c>
      <c r="BT72" s="92">
        <f t="shared" si="78"/>
        <v>0</v>
      </c>
      <c r="BU72" s="74">
        <v>0</v>
      </c>
      <c r="BV72" s="75">
        <f t="shared" si="79"/>
        <v>0</v>
      </c>
      <c r="BW72" s="74">
        <v>0</v>
      </c>
      <c r="BX72" s="92">
        <f t="shared" si="80"/>
        <v>0</v>
      </c>
      <c r="BY72" s="74">
        <v>0</v>
      </c>
      <c r="BZ72" s="75">
        <f t="shared" si="81"/>
        <v>0</v>
      </c>
      <c r="CA72" s="74">
        <v>0</v>
      </c>
      <c r="CB72" s="92">
        <f t="shared" si="82"/>
        <v>0</v>
      </c>
      <c r="CC72" s="74">
        <v>156570.35535668003</v>
      </c>
      <c r="CD72" s="75">
        <f t="shared" si="83"/>
        <v>135316.71127531139</v>
      </c>
      <c r="CE72" s="74">
        <v>867.40604249314254</v>
      </c>
      <c r="CF72" s="92">
        <f t="shared" si="84"/>
        <v>826.12371387105134</v>
      </c>
      <c r="CG72" s="74">
        <v>35868.981785909993</v>
      </c>
      <c r="CH72" s="75">
        <f t="shared" si="85"/>
        <v>32249.80739802714</v>
      </c>
      <c r="CI72" s="74">
        <v>899.18807359185939</v>
      </c>
      <c r="CJ72" s="92">
        <f t="shared" si="86"/>
        <v>946.33002993811658</v>
      </c>
      <c r="CK72" s="74">
        <v>54897.836428579998</v>
      </c>
      <c r="CL72" s="75">
        <f t="shared" si="87"/>
        <v>56539.972857150009</v>
      </c>
      <c r="CM72" s="74">
        <v>1019.4195307224876</v>
      </c>
      <c r="CN72" s="92">
        <f t="shared" si="88"/>
        <v>1057.852414402397</v>
      </c>
      <c r="CO72" s="74">
        <v>30544.717857219999</v>
      </c>
      <c r="CP72" s="75">
        <f t="shared" si="89"/>
        <v>28830.398520431427</v>
      </c>
      <c r="CQ72" s="74">
        <v>988.02038440083436</v>
      </c>
      <c r="CR72" s="92">
        <f t="shared" si="90"/>
        <v>954.22714110223012</v>
      </c>
    </row>
    <row r="73" spans="1:96" x14ac:dyDescent="0.25">
      <c r="A73" s="85">
        <f t="shared" si="910"/>
        <v>45632</v>
      </c>
      <c r="B73" s="74">
        <v>1214129.1564283101</v>
      </c>
      <c r="C73" s="75">
        <f t="shared" ref="C73:E109" si="939">AVERAGE(B70:B73)</f>
        <v>1104131.5728571201</v>
      </c>
      <c r="D73" s="74">
        <v>1093.8586487469718</v>
      </c>
      <c r="E73" s="75">
        <f t="shared" si="939"/>
        <v>1104.4625699829185</v>
      </c>
      <c r="F73" s="96">
        <f t="shared" si="889"/>
        <v>1280989.8588068448</v>
      </c>
      <c r="G73" s="75">
        <v>1276385.0832140204</v>
      </c>
      <c r="H73" s="75">
        <f t="shared" ref="H73" si="940">AVERAGE(G70:G73)</f>
        <v>1180444.3508928323</v>
      </c>
      <c r="I73" s="75">
        <f>Table5[[#This Row],[Average NWP (Boom)]]</f>
        <v>1093.8586487469718</v>
      </c>
      <c r="J73" s="92">
        <f t="shared" ref="J73" si="941">AVERAGE(I70:I73)</f>
        <v>1104.4625699829185</v>
      </c>
      <c r="K73" s="75">
        <f t="shared" si="892"/>
        <v>1214129.1564283103</v>
      </c>
      <c r="L73" s="75">
        <f t="shared" ref="L73" si="942">AVERAGE(K70:K73)</f>
        <v>1104131.5728571201</v>
      </c>
      <c r="M73" s="75">
        <v>1090.8617757666759</v>
      </c>
      <c r="N73" s="75">
        <f t="shared" ref="N73" si="943">AVERAGE(M70:M73)</f>
        <v>1101.4366451639103</v>
      </c>
      <c r="O73" s="96">
        <f t="shared" si="895"/>
        <v>1215708.9919909483</v>
      </c>
      <c r="P73" s="74">
        <v>295611.88607181003</v>
      </c>
      <c r="Q73" s="75">
        <f t="shared" ref="Q73" si="944">AVERAGE(P70:P73)</f>
        <v>283851.61651780753</v>
      </c>
      <c r="R73" s="74">
        <v>915.20707762170287</v>
      </c>
      <c r="S73" s="75">
        <f t="shared" ref="S73" si="945">AVERAGE(R70:R73)</f>
        <v>925.16983962533732</v>
      </c>
      <c r="T73" s="96">
        <v>317050.70358694741</v>
      </c>
      <c r="U73" s="74">
        <v>918517.27035650029</v>
      </c>
      <c r="V73" s="75">
        <f t="shared" ref="V73" si="946">AVERAGE(U70:U73)</f>
        <v>820279.95633931272</v>
      </c>
      <c r="W73" s="74">
        <v>1162.6800890588611</v>
      </c>
      <c r="X73" s="75">
        <f t="shared" ref="X73" si="947">AVERAGE(W70:W73)</f>
        <v>1178.6410395318396</v>
      </c>
      <c r="Y73" s="96">
        <v>898658.28840400092</v>
      </c>
      <c r="Z73" s="74">
        <v>0</v>
      </c>
      <c r="AA73" s="75">
        <f t="shared" ref="AA73" si="948">AVERAGE(Z70:Z73)</f>
        <v>0</v>
      </c>
      <c r="AB73" s="74">
        <v>0</v>
      </c>
      <c r="AC73" s="75">
        <f t="shared" ref="AC73" si="949">AVERAGE(AB70:AB73)</f>
        <v>0</v>
      </c>
      <c r="AD73" s="96" t="e">
        <v>#VALUE!</v>
      </c>
      <c r="AE73" s="74">
        <v>0</v>
      </c>
      <c r="AF73" s="75">
        <f t="shared" ref="AF73" si="950">AVERAGE(AE70:AE73)</f>
        <v>0</v>
      </c>
      <c r="AG73" s="74">
        <v>0</v>
      </c>
      <c r="AH73" s="75">
        <f t="shared" ref="AH73" si="951">AVERAGE(AG70:AG73)</f>
        <v>0</v>
      </c>
      <c r="AI73" s="96" t="e">
        <v>#VALUE!</v>
      </c>
      <c r="AJ73" s="74">
        <v>0</v>
      </c>
      <c r="AK73" s="75">
        <f t="shared" ref="AK73" si="952">AVERAGE(AJ70:AJ73)</f>
        <v>0</v>
      </c>
      <c r="AL73" s="74">
        <v>0</v>
      </c>
      <c r="AM73" s="75">
        <f t="shared" ref="AM73" si="953">AVERAGE(AL70:AL73)</f>
        <v>0</v>
      </c>
      <c r="AN73" s="96">
        <v>65280.866815896377</v>
      </c>
      <c r="AO73" s="74">
        <f t="shared" si="906"/>
        <v>157921.13178580996</v>
      </c>
      <c r="AP73" s="75">
        <f t="shared" si="66"/>
        <v>143483.46454067141</v>
      </c>
      <c r="AQ73" s="74">
        <v>837.85704256406029</v>
      </c>
      <c r="AR73" s="92">
        <f t="shared" si="67"/>
        <v>838.90683080744986</v>
      </c>
      <c r="AS73" s="74">
        <f t="shared" si="907"/>
        <v>34752.811071590004</v>
      </c>
      <c r="AT73" s="75">
        <f t="shared" si="68"/>
        <v>33680.167296002859</v>
      </c>
      <c r="AU73" s="74">
        <v>893.54579041855959</v>
      </c>
      <c r="AV73" s="92">
        <f t="shared" si="69"/>
        <v>947.40667540783579</v>
      </c>
      <c r="AW73" s="74">
        <f t="shared" si="908"/>
        <v>65742.647857370001</v>
      </c>
      <c r="AX73" s="75">
        <f t="shared" si="70"/>
        <v>59968.823418418579</v>
      </c>
      <c r="AY73" s="74">
        <v>1136.6079228533924</v>
      </c>
      <c r="AZ73" s="92">
        <f t="shared" si="71"/>
        <v>1084.3309288249354</v>
      </c>
      <c r="BA73" s="74">
        <f t="shared" si="909"/>
        <v>37195.295357040006</v>
      </c>
      <c r="BB73" s="75">
        <f t="shared" si="72"/>
        <v>29577.698622450003</v>
      </c>
      <c r="BC73" s="74">
        <v>1008.0400063072935</v>
      </c>
      <c r="BD73" s="92">
        <f t="shared" si="73"/>
        <v>959.47957332978342</v>
      </c>
      <c r="BE73" s="93">
        <f>AO73/SUM(Table5[[#This Row],[NWP (Standard)]],Table5[[#This Row],[NWP (Plus)]],Table5[[#This Row],[NWP (Essentials)]],Table5[[#This Row],[NWP (Premium)]])</f>
        <v>0.53421780119980633</v>
      </c>
      <c r="BF73" s="93">
        <f>AS73/SUM(Table5[[#This Row],[NWP (Standard)]],Table5[[#This Row],[NWP (Plus)]],Table5[[#This Row],[NWP (Essentials)]],Table5[[#This Row],[NWP (Premium)]])</f>
        <v>0.11756229268517254</v>
      </c>
      <c r="BG73" s="93">
        <f>AW73/SUM(Table5[[#This Row],[NWP (Standard)]],Table5[[#This Row],[NWP (Plus)]],Table5[[#This Row],[NWP (Essentials)]],Table5[[#This Row],[NWP (Premium)]])</f>
        <v>0.22239514361543572</v>
      </c>
      <c r="BH73" s="94">
        <f>BA73/SUM(Table5[[#This Row],[NWP (Standard)]],Table5[[#This Row],[NWP (Plus)]],Table5[[#This Row],[NWP (Essentials)]],Table5[[#This Row],[NWP (Premium)]])</f>
        <v>0.12582476249958546</v>
      </c>
      <c r="BI73" s="93">
        <f t="shared" si="74"/>
        <v>0.53901705260573285</v>
      </c>
      <c r="BJ73" s="93">
        <f t="shared" si="74"/>
        <v>0.12513405822317925</v>
      </c>
      <c r="BK73" s="93">
        <f t="shared" si="74"/>
        <v>0.22526649584224739</v>
      </c>
      <c r="BL73" s="94">
        <f t="shared" si="74"/>
        <v>0.11058239332884059</v>
      </c>
      <c r="BM73" s="74">
        <v>0</v>
      </c>
      <c r="BN73" s="75">
        <f t="shared" si="75"/>
        <v>0</v>
      </c>
      <c r="BO73" s="74">
        <v>0</v>
      </c>
      <c r="BP73" s="92">
        <f t="shared" si="76"/>
        <v>0</v>
      </c>
      <c r="BQ73" s="74">
        <v>0</v>
      </c>
      <c r="BR73" s="75">
        <f t="shared" si="77"/>
        <v>0</v>
      </c>
      <c r="BS73" s="74">
        <v>0</v>
      </c>
      <c r="BT73" s="92">
        <f t="shared" si="78"/>
        <v>0</v>
      </c>
      <c r="BU73" s="74">
        <v>0</v>
      </c>
      <c r="BV73" s="75">
        <f t="shared" si="79"/>
        <v>0</v>
      </c>
      <c r="BW73" s="74">
        <v>0</v>
      </c>
      <c r="BX73" s="92">
        <f t="shared" si="80"/>
        <v>0</v>
      </c>
      <c r="BY73" s="74">
        <v>0</v>
      </c>
      <c r="BZ73" s="75">
        <f t="shared" si="81"/>
        <v>0</v>
      </c>
      <c r="CA73" s="74">
        <v>0</v>
      </c>
      <c r="CB73" s="92">
        <f t="shared" si="82"/>
        <v>0</v>
      </c>
      <c r="CC73" s="74">
        <v>157921.13178580996</v>
      </c>
      <c r="CD73" s="75">
        <f t="shared" si="83"/>
        <v>143483.46454067141</v>
      </c>
      <c r="CE73" s="74">
        <v>837.85704256406029</v>
      </c>
      <c r="CF73" s="92">
        <f t="shared" si="84"/>
        <v>838.90683080744986</v>
      </c>
      <c r="CG73" s="74">
        <v>34752.811071590004</v>
      </c>
      <c r="CH73" s="75">
        <f t="shared" si="85"/>
        <v>33680.167296002859</v>
      </c>
      <c r="CI73" s="74">
        <v>893.54579041855959</v>
      </c>
      <c r="CJ73" s="92">
        <f t="shared" si="86"/>
        <v>947.40667540783579</v>
      </c>
      <c r="CK73" s="74">
        <v>65742.647857370001</v>
      </c>
      <c r="CL73" s="75">
        <f t="shared" si="87"/>
        <v>59968.823418418579</v>
      </c>
      <c r="CM73" s="74">
        <v>1136.6079228533924</v>
      </c>
      <c r="CN73" s="92">
        <f t="shared" si="88"/>
        <v>1084.3309288249354</v>
      </c>
      <c r="CO73" s="74">
        <v>37195.295357040006</v>
      </c>
      <c r="CP73" s="75">
        <f t="shared" si="89"/>
        <v>29577.698622450003</v>
      </c>
      <c r="CQ73" s="74">
        <v>1008.0400063072935</v>
      </c>
      <c r="CR73" s="92">
        <f t="shared" si="90"/>
        <v>959.47957332978342</v>
      </c>
    </row>
    <row r="74" spans="1:96" x14ac:dyDescent="0.25">
      <c r="A74" s="85">
        <f t="shared" si="910"/>
        <v>45639</v>
      </c>
      <c r="B74" s="74">
        <v>1074605.0817860528</v>
      </c>
      <c r="C74" s="75">
        <f t="shared" si="939"/>
        <v>1153069.2091071354</v>
      </c>
      <c r="D74" s="74">
        <v>1095.0785503247944</v>
      </c>
      <c r="E74" s="75">
        <f t="shared" si="939"/>
        <v>1105.2244714109572</v>
      </c>
      <c r="F74" s="96">
        <f t="shared" si="889"/>
        <v>1248347.4782638908</v>
      </c>
      <c r="G74" s="75">
        <v>1128088.7050003572</v>
      </c>
      <c r="H74" s="75">
        <f t="shared" ref="H74" si="954">AVERAGE(G71:G74)</f>
        <v>1218813.7073214403</v>
      </c>
      <c r="I74" s="75">
        <f>Table5[[#This Row],[Average NWP (Boom)]]</f>
        <v>1095.0785503247944</v>
      </c>
      <c r="J74" s="92">
        <f t="shared" ref="J74" si="955">AVERAGE(I71:I74)</f>
        <v>1105.2244714109572</v>
      </c>
      <c r="K74" s="75">
        <f t="shared" si="892"/>
        <v>1074605.0817860528</v>
      </c>
      <c r="L74" s="75">
        <f t="shared" ref="L74" si="956">AVERAGE(K71:K74)</f>
        <v>1153069.2091071359</v>
      </c>
      <c r="M74" s="75">
        <v>1092.0783351484276</v>
      </c>
      <c r="N74" s="75">
        <f t="shared" ref="N74" si="957">AVERAGE(M71:M74)</f>
        <v>1102.1964591907972</v>
      </c>
      <c r="O74" s="96">
        <f t="shared" si="895"/>
        <v>1192229.3827540176</v>
      </c>
      <c r="P74" s="74">
        <v>267776.7503569228</v>
      </c>
      <c r="Q74" s="75">
        <f t="shared" ref="Q74" si="958">AVERAGE(P71:P74)</f>
        <v>294543.36767847574</v>
      </c>
      <c r="R74" s="74">
        <v>880.84457354250924</v>
      </c>
      <c r="S74" s="75">
        <f t="shared" ref="S74" si="959">AVERAGE(R71:R74)</f>
        <v>919.46758369946861</v>
      </c>
      <c r="T74" s="96">
        <v>310927.34127116471</v>
      </c>
      <c r="U74" s="74">
        <v>806828.33142913005</v>
      </c>
      <c r="V74" s="75">
        <f t="shared" ref="V74" si="960">AVERAGE(U71:U74)</f>
        <v>858525.84142865997</v>
      </c>
      <c r="W74" s="74">
        <v>1186.5122521016619</v>
      </c>
      <c r="X74" s="75">
        <f t="shared" ref="X74" si="961">AVERAGE(W71:W74)</f>
        <v>1182.3278879193786</v>
      </c>
      <c r="Y74" s="96">
        <v>881302.04148285277</v>
      </c>
      <c r="Z74" s="74">
        <v>0</v>
      </c>
      <c r="AA74" s="75">
        <f t="shared" ref="AA74" si="962">AVERAGE(Z71:Z74)</f>
        <v>0</v>
      </c>
      <c r="AB74" s="74">
        <v>0</v>
      </c>
      <c r="AC74" s="75">
        <f t="shared" ref="AC74" si="963">AVERAGE(AB71:AB74)</f>
        <v>0</v>
      </c>
      <c r="AD74" s="96" t="e">
        <v>#VALUE!</v>
      </c>
      <c r="AE74" s="74">
        <v>0</v>
      </c>
      <c r="AF74" s="75">
        <f t="shared" ref="AF74" si="964">AVERAGE(AE71:AE74)</f>
        <v>0</v>
      </c>
      <c r="AG74" s="74">
        <v>0</v>
      </c>
      <c r="AH74" s="75">
        <f t="shared" ref="AH74" si="965">AVERAGE(AG71:AG74)</f>
        <v>0</v>
      </c>
      <c r="AI74" s="96" t="e">
        <v>#VALUE!</v>
      </c>
      <c r="AJ74" s="74">
        <v>0</v>
      </c>
      <c r="AK74" s="75">
        <f t="shared" ref="AK74" si="966">AVERAGE(AJ71:AJ74)</f>
        <v>0</v>
      </c>
      <c r="AL74" s="74">
        <v>0</v>
      </c>
      <c r="AM74" s="75">
        <f t="shared" ref="AM74" si="967">AVERAGE(AL71:AL74)</f>
        <v>0</v>
      </c>
      <c r="AN74" s="96">
        <v>56118.095509873208</v>
      </c>
      <c r="AO74" s="74">
        <f t="shared" si="906"/>
        <v>142053.88999994998</v>
      </c>
      <c r="AP74" s="75">
        <f t="shared" si="66"/>
        <v>142418.05061211853</v>
      </c>
      <c r="AQ74" s="74">
        <v>828.16365078835463</v>
      </c>
      <c r="AR74" s="92">
        <f t="shared" si="67"/>
        <v>838.88716753044548</v>
      </c>
      <c r="AS74" s="74">
        <f t="shared" si="907"/>
        <v>39256.833214359998</v>
      </c>
      <c r="AT74" s="75">
        <f t="shared" si="68"/>
        <v>34501.991377645711</v>
      </c>
      <c r="AU74" s="74">
        <v>894.65185582216236</v>
      </c>
      <c r="AV74" s="92">
        <f t="shared" si="69"/>
        <v>909.71601059636509</v>
      </c>
      <c r="AW74" s="74">
        <f t="shared" si="908"/>
        <v>51891.978571280008</v>
      </c>
      <c r="AX74" s="75">
        <f t="shared" si="70"/>
        <v>59098.458061241428</v>
      </c>
      <c r="AY74" s="74">
        <v>946.08252637346948</v>
      </c>
      <c r="AZ74" s="92">
        <f t="shared" si="71"/>
        <v>1073.7616800964756</v>
      </c>
      <c r="BA74" s="74">
        <f t="shared" si="909"/>
        <v>34574.048571332896</v>
      </c>
      <c r="BB74" s="75">
        <f t="shared" si="72"/>
        <v>31249.096428573273</v>
      </c>
      <c r="BC74" s="74">
        <v>1050.5767339485365</v>
      </c>
      <c r="BD74" s="92">
        <f t="shared" si="73"/>
        <v>983.53391272760314</v>
      </c>
      <c r="BE74" s="93">
        <f>AO74/SUM(Table5[[#This Row],[NWP (Standard)]],Table5[[#This Row],[NWP (Plus)]],Table5[[#This Row],[NWP (Essentials)]],Table5[[#This Row],[NWP (Premium)]])</f>
        <v>0.53049374081433376</v>
      </c>
      <c r="BF74" s="93">
        <f>AS74/SUM(Table5[[#This Row],[NWP (Standard)]],Table5[[#This Row],[NWP (Plus)]],Table5[[#This Row],[NWP (Essentials)]],Table5[[#This Row],[NWP (Premium)]])</f>
        <v>0.14660284420523473</v>
      </c>
      <c r="BG74" s="93">
        <f>AW74/SUM(Table5[[#This Row],[NWP (Standard)]],Table5[[#This Row],[NWP (Plus)]],Table5[[#This Row],[NWP (Essentials)]],Table5[[#This Row],[NWP (Premium)]])</f>
        <v>0.19378821537759558</v>
      </c>
      <c r="BH74" s="94">
        <f>BA74/SUM(Table5[[#This Row],[NWP (Standard)]],Table5[[#This Row],[NWP (Plus)]],Table5[[#This Row],[NWP (Essentials)]],Table5[[#This Row],[NWP (Premium)]])</f>
        <v>0.12911519960283604</v>
      </c>
      <c r="BI74" s="93">
        <f t="shared" si="74"/>
        <v>0.53385879383118273</v>
      </c>
      <c r="BJ74" s="93">
        <f t="shared" si="74"/>
        <v>0.12793880435810939</v>
      </c>
      <c r="BK74" s="93">
        <f t="shared" si="74"/>
        <v>0.22155870823833546</v>
      </c>
      <c r="BL74" s="94">
        <f t="shared" si="74"/>
        <v>0.11664369357237246</v>
      </c>
      <c r="BM74" s="74">
        <v>0</v>
      </c>
      <c r="BN74" s="75">
        <f t="shared" si="75"/>
        <v>0</v>
      </c>
      <c r="BO74" s="74">
        <v>0</v>
      </c>
      <c r="BP74" s="92">
        <f t="shared" si="76"/>
        <v>0</v>
      </c>
      <c r="BQ74" s="74">
        <v>0</v>
      </c>
      <c r="BR74" s="75">
        <f t="shared" si="77"/>
        <v>0</v>
      </c>
      <c r="BS74" s="74">
        <v>0</v>
      </c>
      <c r="BT74" s="92">
        <f t="shared" si="78"/>
        <v>0</v>
      </c>
      <c r="BU74" s="74">
        <v>0</v>
      </c>
      <c r="BV74" s="75">
        <f t="shared" si="79"/>
        <v>0</v>
      </c>
      <c r="BW74" s="74">
        <v>0</v>
      </c>
      <c r="BX74" s="92">
        <f t="shared" si="80"/>
        <v>0</v>
      </c>
      <c r="BY74" s="74">
        <v>0</v>
      </c>
      <c r="BZ74" s="75">
        <f t="shared" si="81"/>
        <v>0</v>
      </c>
      <c r="CA74" s="74">
        <v>0</v>
      </c>
      <c r="CB74" s="92">
        <f t="shared" si="82"/>
        <v>0</v>
      </c>
      <c r="CC74" s="74">
        <v>142053.88999994998</v>
      </c>
      <c r="CD74" s="75">
        <f t="shared" si="83"/>
        <v>142418.05061211853</v>
      </c>
      <c r="CE74" s="74">
        <v>828.16365078835463</v>
      </c>
      <c r="CF74" s="92">
        <f t="shared" si="84"/>
        <v>838.88716753044548</v>
      </c>
      <c r="CG74" s="74">
        <v>39256.833214359998</v>
      </c>
      <c r="CH74" s="75">
        <f t="shared" si="85"/>
        <v>34501.991377645711</v>
      </c>
      <c r="CI74" s="74">
        <v>894.65185582216236</v>
      </c>
      <c r="CJ74" s="92">
        <f t="shared" si="86"/>
        <v>909.71601059636509</v>
      </c>
      <c r="CK74" s="74">
        <v>51891.978571280008</v>
      </c>
      <c r="CL74" s="75">
        <f t="shared" si="87"/>
        <v>59098.458061241428</v>
      </c>
      <c r="CM74" s="74">
        <v>946.08252637346948</v>
      </c>
      <c r="CN74" s="92">
        <f t="shared" si="88"/>
        <v>1073.7616800964756</v>
      </c>
      <c r="CO74" s="74">
        <v>34574.048571332896</v>
      </c>
      <c r="CP74" s="75">
        <f t="shared" si="89"/>
        <v>31249.096428573273</v>
      </c>
      <c r="CQ74" s="74">
        <v>1050.5767339485365</v>
      </c>
      <c r="CR74" s="92">
        <f t="shared" si="90"/>
        <v>983.53391272760314</v>
      </c>
    </row>
    <row r="75" spans="1:96" x14ac:dyDescent="0.25">
      <c r="A75" s="85">
        <f t="shared" si="910"/>
        <v>45646</v>
      </c>
      <c r="B75" s="74">
        <v>1084407.7996429801</v>
      </c>
      <c r="C75" s="75">
        <f t="shared" si="939"/>
        <v>1139099.0250001405</v>
      </c>
      <c r="D75" s="74">
        <v>1122.1743466664789</v>
      </c>
      <c r="E75" s="75">
        <f t="shared" si="939"/>
        <v>1105.5177647312707</v>
      </c>
      <c r="F75" s="96">
        <f t="shared" si="889"/>
        <v>1248347.4782638908</v>
      </c>
      <c r="G75" s="75">
        <v>1133257.613928715</v>
      </c>
      <c r="H75" s="75">
        <f t="shared" ref="H75" si="968">AVERAGE(G72:G75)</f>
        <v>1195366.5925001658</v>
      </c>
      <c r="I75" s="75">
        <f>Table5[[#This Row],[Average NWP (Boom)]]</f>
        <v>1122.1743466664789</v>
      </c>
      <c r="J75" s="92">
        <f t="shared" ref="J75" si="969">AVERAGE(I72:I75)</f>
        <v>1105.5177647312707</v>
      </c>
      <c r="K75" s="75">
        <f t="shared" si="892"/>
        <v>1083674.58535727</v>
      </c>
      <c r="L75" s="75">
        <f t="shared" ref="L75" si="970">AVERAGE(K72:K75)</f>
        <v>1138915.7214287133</v>
      </c>
      <c r="M75" s="75">
        <v>1119.4985385922209</v>
      </c>
      <c r="N75" s="75">
        <f t="shared" ref="N75" si="971">AVERAGE(M72:M75)</f>
        <v>1102.5886095077346</v>
      </c>
      <c r="O75" s="96">
        <f t="shared" si="895"/>
        <v>1192229.3827540176</v>
      </c>
      <c r="P75" s="74">
        <v>265513.19071465993</v>
      </c>
      <c r="Q75" s="75">
        <f t="shared" ref="Q75" si="972">AVERAGE(P72:P75)</f>
        <v>276695.9296429457</v>
      </c>
      <c r="R75" s="74">
        <v>951.66018177297462</v>
      </c>
      <c r="S75" s="75">
        <f t="shared" ref="S75" si="973">AVERAGE(R72:R75)</f>
        <v>913.95564730977878</v>
      </c>
      <c r="T75" s="96">
        <v>310927.34127116471</v>
      </c>
      <c r="U75" s="74">
        <v>818161.3946426101</v>
      </c>
      <c r="V75" s="75">
        <f t="shared" ref="V75" si="974">AVERAGE(U72:U75)</f>
        <v>862219.79178576753</v>
      </c>
      <c r="W75" s="74">
        <v>1187.4621112374602</v>
      </c>
      <c r="X75" s="75">
        <f t="shared" ref="X75" si="975">AVERAGE(W72:W75)</f>
        <v>1181.2017268510804</v>
      </c>
      <c r="Y75" s="96">
        <v>881302.04148285277</v>
      </c>
      <c r="Z75" s="74">
        <v>733.21428571000001</v>
      </c>
      <c r="AA75" s="75">
        <f t="shared" ref="AA75" si="976">AVERAGE(Z72:Z75)</f>
        <v>183.3035714275</v>
      </c>
      <c r="AB75" s="74">
        <v>735.22861065054326</v>
      </c>
      <c r="AC75" s="75">
        <f t="shared" ref="AC75" si="977">AVERAGE(AB72:AB75)</f>
        <v>183.80715266263581</v>
      </c>
      <c r="AD75" s="96" t="e">
        <v>#VALUE!</v>
      </c>
      <c r="AE75" s="74">
        <v>733.21428571000001</v>
      </c>
      <c r="AF75" s="75">
        <f t="shared" ref="AF75" si="978">AVERAGE(AE72:AE75)</f>
        <v>183.3035714275</v>
      </c>
      <c r="AG75" s="74">
        <v>733.21428571000001</v>
      </c>
      <c r="AH75" s="75">
        <f t="shared" ref="AH75" si="979">AVERAGE(AG72:AG75)</f>
        <v>183.3035714275</v>
      </c>
      <c r="AI75" s="96" t="e">
        <v>#VALUE!</v>
      </c>
      <c r="AJ75" s="74">
        <v>733.21428571000001</v>
      </c>
      <c r="AK75" s="75">
        <f t="shared" ref="AK75" si="980">AVERAGE(AJ72:AJ75)</f>
        <v>183.3035714275</v>
      </c>
      <c r="AL75" s="74">
        <v>735.22861065054326</v>
      </c>
      <c r="AM75" s="75">
        <f t="shared" ref="AM75" si="981">AVERAGE(AL72:AL75)</f>
        <v>183.80715266263581</v>
      </c>
      <c r="AN75" s="96">
        <v>56118.095509873208</v>
      </c>
      <c r="AO75" s="74">
        <f t="shared" si="906"/>
        <v>126589.55250022</v>
      </c>
      <c r="AP75" s="75">
        <f t="shared" si="66"/>
        <v>140295.92586726855</v>
      </c>
      <c r="AQ75" s="74">
        <v>863.51922443954061</v>
      </c>
      <c r="AR75" s="92">
        <f t="shared" si="67"/>
        <v>837.94117654555941</v>
      </c>
      <c r="AS75" s="74">
        <f t="shared" si="907"/>
        <v>31827.714642899999</v>
      </c>
      <c r="AT75" s="75">
        <f t="shared" si="68"/>
        <v>35359.24183683571</v>
      </c>
      <c r="AU75" s="74">
        <v>967.12586116711213</v>
      </c>
      <c r="AV75" s="92">
        <f t="shared" si="69"/>
        <v>928.53161924882647</v>
      </c>
      <c r="AW75" s="74">
        <f t="shared" si="908"/>
        <v>60601.273928549992</v>
      </c>
      <c r="AX75" s="75">
        <f t="shared" si="70"/>
        <v>58557.551938781442</v>
      </c>
      <c r="AY75" s="74">
        <v>1029.9620498841996</v>
      </c>
      <c r="AZ75" s="92">
        <f t="shared" si="71"/>
        <v>1074.4943406443315</v>
      </c>
      <c r="BA75" s="74">
        <f t="shared" si="909"/>
        <v>47227.863928699997</v>
      </c>
      <c r="BB75" s="75">
        <f t="shared" si="72"/>
        <v>32870.008979610408</v>
      </c>
      <c r="BC75" s="74">
        <v>1155.0636782030235</v>
      </c>
      <c r="BD75" s="92">
        <f t="shared" si="73"/>
        <v>1016.7479489757849</v>
      </c>
      <c r="BE75" s="93">
        <f>AO75/SUM(Table5[[#This Row],[NWP (Standard)]],Table5[[#This Row],[NWP (Plus)]],Table5[[#This Row],[NWP (Essentials)]],Table5[[#This Row],[NWP (Premium)]])</f>
        <v>0.4754601381379932</v>
      </c>
      <c r="BF75" s="93">
        <f>AS75/SUM(Table5[[#This Row],[NWP (Standard)]],Table5[[#This Row],[NWP (Plus)]],Table5[[#This Row],[NWP (Essentials)]],Table5[[#This Row],[NWP (Premium)]])</f>
        <v>0.11954232637565855</v>
      </c>
      <c r="BG75" s="93">
        <f>AW75/SUM(Table5[[#This Row],[NWP (Standard)]],Table5[[#This Row],[NWP (Plus)]],Table5[[#This Row],[NWP (Essentials)]],Table5[[#This Row],[NWP (Premium)]])</f>
        <v>0.22761349182711321</v>
      </c>
      <c r="BH75" s="94">
        <f>BA75/SUM(Table5[[#This Row],[NWP (Standard)]],Table5[[#This Row],[NWP (Plus)]],Table5[[#This Row],[NWP (Essentials)]],Table5[[#This Row],[NWP (Premium)]])</f>
        <v>0.17738404365923502</v>
      </c>
      <c r="BI75" s="93">
        <f t="shared" si="74"/>
        <v>0.52625535584682803</v>
      </c>
      <c r="BJ75" s="93">
        <f t="shared" si="74"/>
        <v>0.13122559667042763</v>
      </c>
      <c r="BK75" s="93">
        <f t="shared" si="74"/>
        <v>0.21969421392337102</v>
      </c>
      <c r="BL75" s="94">
        <f t="shared" si="74"/>
        <v>0.12282483355937342</v>
      </c>
      <c r="BM75" s="74">
        <v>0</v>
      </c>
      <c r="BN75" s="75">
        <f t="shared" si="75"/>
        <v>0</v>
      </c>
      <c r="BO75" s="74">
        <v>0</v>
      </c>
      <c r="BP75" s="92">
        <f t="shared" si="76"/>
        <v>0</v>
      </c>
      <c r="BQ75" s="74">
        <v>0</v>
      </c>
      <c r="BR75" s="75">
        <f t="shared" si="77"/>
        <v>0</v>
      </c>
      <c r="BS75" s="74">
        <v>0</v>
      </c>
      <c r="BT75" s="92">
        <f t="shared" si="78"/>
        <v>0</v>
      </c>
      <c r="BU75" s="74">
        <v>733.21428571000001</v>
      </c>
      <c r="BV75" s="75">
        <f t="shared" si="79"/>
        <v>104.74489795857143</v>
      </c>
      <c r="BW75" s="74">
        <v>735.22861065054326</v>
      </c>
      <c r="BX75" s="92">
        <f t="shared" si="80"/>
        <v>105.03265866436332</v>
      </c>
      <c r="BY75" s="74">
        <v>0</v>
      </c>
      <c r="BZ75" s="75">
        <f t="shared" si="81"/>
        <v>0</v>
      </c>
      <c r="CA75" s="74">
        <v>0</v>
      </c>
      <c r="CB75" s="92">
        <f t="shared" si="82"/>
        <v>0</v>
      </c>
      <c r="CC75" s="74">
        <v>126589.55250022</v>
      </c>
      <c r="CD75" s="75">
        <f t="shared" si="83"/>
        <v>140295.92586726855</v>
      </c>
      <c r="CE75" s="74">
        <v>863.51922443954061</v>
      </c>
      <c r="CF75" s="92">
        <f t="shared" si="84"/>
        <v>837.94117654555941</v>
      </c>
      <c r="CG75" s="74">
        <v>31827.714642899999</v>
      </c>
      <c r="CH75" s="75">
        <f t="shared" si="85"/>
        <v>35359.24183683571</v>
      </c>
      <c r="CI75" s="74">
        <v>967.12586116711213</v>
      </c>
      <c r="CJ75" s="92">
        <f t="shared" si="86"/>
        <v>928.53161924882647</v>
      </c>
      <c r="CK75" s="74">
        <v>59868.059642839995</v>
      </c>
      <c r="CL75" s="75">
        <f t="shared" si="87"/>
        <v>58452.807040822867</v>
      </c>
      <c r="CM75" s="74">
        <v>1035.0436609054696</v>
      </c>
      <c r="CN75" s="92">
        <f t="shared" si="88"/>
        <v>1075.2202850759415</v>
      </c>
      <c r="CO75" s="74">
        <v>47227.863928699997</v>
      </c>
      <c r="CP75" s="75">
        <f t="shared" si="89"/>
        <v>32870.008979610408</v>
      </c>
      <c r="CQ75" s="74">
        <v>1155.0636782030235</v>
      </c>
      <c r="CR75" s="92">
        <f t="shared" si="90"/>
        <v>1016.7479489757849</v>
      </c>
    </row>
    <row r="76" spans="1:96" x14ac:dyDescent="0.25">
      <c r="A76" s="85">
        <f t="shared" si="910"/>
        <v>45653</v>
      </c>
      <c r="B76" s="74">
        <v>863986.09321353014</v>
      </c>
      <c r="C76" s="75">
        <f t="shared" si="939"/>
        <v>1059282.0327677182</v>
      </c>
      <c r="D76" s="74">
        <v>1138.4489899578148</v>
      </c>
      <c r="E76" s="75">
        <f t="shared" si="939"/>
        <v>1112.3901339240151</v>
      </c>
      <c r="F76" s="96">
        <f t="shared" si="889"/>
        <v>1248347.4782638908</v>
      </c>
      <c r="G76" s="75">
        <v>896416.68071353948</v>
      </c>
      <c r="H76" s="75">
        <f t="shared" ref="H76" si="982">AVERAGE(G73:G76)</f>
        <v>1108537.0207141582</v>
      </c>
      <c r="I76" s="75">
        <f>Table5[[#This Row],[Average NWP (Boom)]]</f>
        <v>1138.4489899578148</v>
      </c>
      <c r="J76" s="92">
        <f t="shared" ref="J76" si="983">AVERAGE(I73:I76)</f>
        <v>1112.3901339240151</v>
      </c>
      <c r="K76" s="75">
        <f t="shared" si="892"/>
        <v>863986.09321353026</v>
      </c>
      <c r="L76" s="75">
        <f t="shared" ref="L76" si="984">AVERAGE(K73:K76)</f>
        <v>1059098.729196291</v>
      </c>
      <c r="M76" s="75">
        <v>1135.3299516603552</v>
      </c>
      <c r="N76" s="75">
        <f t="shared" ref="N76" si="985">AVERAGE(M73:M76)</f>
        <v>1109.4421502919199</v>
      </c>
      <c r="O76" s="96">
        <f t="shared" si="895"/>
        <v>1192229.3827540176</v>
      </c>
      <c r="P76" s="74">
        <v>207133.22357116005</v>
      </c>
      <c r="Q76" s="75">
        <f t="shared" ref="Q76" si="986">AVERAGE(P73:P76)</f>
        <v>259008.76267863822</v>
      </c>
      <c r="R76" s="74">
        <v>933.0325386088291</v>
      </c>
      <c r="S76" s="75">
        <f t="shared" ref="S76" si="987">AVERAGE(R73:R76)</f>
        <v>920.18609288650396</v>
      </c>
      <c r="T76" s="96">
        <v>310927.34127116471</v>
      </c>
      <c r="U76" s="74">
        <v>656852.86964237015</v>
      </c>
      <c r="V76" s="75">
        <f t="shared" ref="V76" si="988">AVERAGE(U73:U76)</f>
        <v>800089.96651765262</v>
      </c>
      <c r="W76" s="74">
        <v>1218.6509640860299</v>
      </c>
      <c r="X76" s="75">
        <f t="shared" ref="X76" si="989">AVERAGE(W73:W76)</f>
        <v>1188.8263541210033</v>
      </c>
      <c r="Y76" s="96">
        <v>881302.04148285277</v>
      </c>
      <c r="Z76" s="74">
        <v>0</v>
      </c>
      <c r="AA76" s="75">
        <f t="shared" ref="AA76" si="990">AVERAGE(Z73:Z76)</f>
        <v>183.3035714275</v>
      </c>
      <c r="AB76" s="74">
        <v>0</v>
      </c>
      <c r="AC76" s="75">
        <f t="shared" ref="AC76" si="991">AVERAGE(AB73:AB76)</f>
        <v>183.80715266263581</v>
      </c>
      <c r="AD76" s="96" t="e">
        <v>#VALUE!</v>
      </c>
      <c r="AE76" s="74">
        <v>0</v>
      </c>
      <c r="AF76" s="75">
        <f t="shared" ref="AF76" si="992">AVERAGE(AE73:AE76)</f>
        <v>183.3035714275</v>
      </c>
      <c r="AG76" s="74">
        <v>0</v>
      </c>
      <c r="AH76" s="75">
        <f t="shared" ref="AH76" si="993">AVERAGE(AG73:AG76)</f>
        <v>183.3035714275</v>
      </c>
      <c r="AI76" s="96" t="e">
        <v>#VALUE!</v>
      </c>
      <c r="AJ76" s="74">
        <v>0</v>
      </c>
      <c r="AK76" s="75">
        <f t="shared" ref="AK76" si="994">AVERAGE(AJ73:AJ76)</f>
        <v>183.3035714275</v>
      </c>
      <c r="AL76" s="74">
        <v>0</v>
      </c>
      <c r="AM76" s="75">
        <f t="shared" ref="AM76" si="995">AVERAGE(AL73:AL76)</f>
        <v>183.80715266263581</v>
      </c>
      <c r="AN76" s="96">
        <v>56118.095509873208</v>
      </c>
      <c r="AO76" s="74">
        <f t="shared" si="906"/>
        <v>122055.10071414999</v>
      </c>
      <c r="AP76" s="75">
        <f t="shared" ref="AP76:AP109" si="996">AVERAGE(AO70:AO76)</f>
        <v>142202.49663254284</v>
      </c>
      <c r="AQ76" s="74">
        <v>927.20012819349074</v>
      </c>
      <c r="AR76" s="92">
        <f t="shared" ref="AR76:AR109" si="997">AVERAGE(AQ70:AQ76)</f>
        <v>859.1659328766915</v>
      </c>
      <c r="AS76" s="74">
        <f t="shared" si="907"/>
        <v>19470.69214272</v>
      </c>
      <c r="AT76" s="75">
        <f t="shared" ref="AT76:AT109" si="998">AVERAGE(AS70:AS76)</f>
        <v>34902.716581702858</v>
      </c>
      <c r="AU76" s="74">
        <v>780.96732218654506</v>
      </c>
      <c r="AV76" s="92">
        <f t="shared" ref="AV76:AV109" si="999">AVERAGE(AU70:AU76)</f>
        <v>915.21574674616215</v>
      </c>
      <c r="AW76" s="74">
        <f t="shared" si="908"/>
        <v>47690.416785700007</v>
      </c>
      <c r="AX76" s="75">
        <f t="shared" ref="AX76:AX109" si="1000">AVERAGE(AW70:AW76)</f>
        <v>58900.386122428579</v>
      </c>
      <c r="AY76" s="74">
        <v>1062.6985425092973</v>
      </c>
      <c r="AZ76" s="92">
        <f t="shared" ref="AZ76:AZ109" si="1001">AVERAGE(AY70:AY76)</f>
        <v>1078.8571124236328</v>
      </c>
      <c r="BA76" s="74">
        <f t="shared" si="909"/>
        <v>17917.01392859</v>
      </c>
      <c r="BB76" s="75">
        <f t="shared" ref="BB76:BB109" si="1002">AVERAGE(BA70:BA76)</f>
        <v>32074.807091851842</v>
      </c>
      <c r="BC76" s="74">
        <v>898.31182469171529</v>
      </c>
      <c r="BD76" s="92">
        <f t="shared" ref="BD76:BD109" si="1003">AVERAGE(BC70:BC76)</f>
        <v>1015.6939126570942</v>
      </c>
      <c r="BE76" s="93">
        <f>AO76/SUM(Table5[[#This Row],[NWP (Standard)]],Table5[[#This Row],[NWP (Plus)]],Table5[[#This Row],[NWP (Essentials)]],Table5[[#This Row],[NWP (Premium)]])</f>
        <v>0.58925892529364476</v>
      </c>
      <c r="BF76" s="93">
        <f>AS76/SUM(Table5[[#This Row],[NWP (Standard)]],Table5[[#This Row],[NWP (Plus)]],Table5[[#This Row],[NWP (Essentials)]],Table5[[#This Row],[NWP (Premium)]])</f>
        <v>9.4000816513295379E-2</v>
      </c>
      <c r="BG76" s="93">
        <f>AW76/SUM(Table5[[#This Row],[NWP (Standard)]],Table5[[#This Row],[NWP (Plus)]],Table5[[#This Row],[NWP (Essentials)]],Table5[[#This Row],[NWP (Premium)]])</f>
        <v>0.23024030603818663</v>
      </c>
      <c r="BH76" s="94">
        <f>BA76/SUM(Table5[[#This Row],[NWP (Standard)]],Table5[[#This Row],[NWP (Plus)]],Table5[[#This Row],[NWP (Essentials)]],Table5[[#This Row],[NWP (Premium)]])</f>
        <v>8.649995215487323E-2</v>
      </c>
      <c r="BI76" s="93">
        <f t="shared" ref="BI76:BL109" si="1004">AVERAGE(BE70:BE76)</f>
        <v>0.53284383272201308</v>
      </c>
      <c r="BJ76" s="93">
        <f t="shared" si="1004"/>
        <v>0.12847611270243681</v>
      </c>
      <c r="BK76" s="93">
        <f t="shared" si="1004"/>
        <v>0.22025943418207294</v>
      </c>
      <c r="BL76" s="94">
        <f t="shared" si="1004"/>
        <v>0.11842062039347723</v>
      </c>
      <c r="BM76" s="74">
        <v>0</v>
      </c>
      <c r="BN76" s="75">
        <f t="shared" ref="BN76:BN109" si="1005">AVERAGE(BM70:BM76)</f>
        <v>0</v>
      </c>
      <c r="BO76" s="74">
        <v>0</v>
      </c>
      <c r="BP76" s="92">
        <f t="shared" ref="BP76:BP109" si="1006">AVERAGE(BO70:BO76)</f>
        <v>0</v>
      </c>
      <c r="BQ76" s="74">
        <v>0</v>
      </c>
      <c r="BR76" s="75">
        <f t="shared" ref="BR76:BR109" si="1007">AVERAGE(BQ70:BQ76)</f>
        <v>0</v>
      </c>
      <c r="BS76" s="74">
        <v>0</v>
      </c>
      <c r="BT76" s="92">
        <f t="shared" ref="BT76:BT109" si="1008">AVERAGE(BS70:BS76)</f>
        <v>0</v>
      </c>
      <c r="BU76" s="74">
        <v>0</v>
      </c>
      <c r="BV76" s="75">
        <f t="shared" ref="BV76:BV109" si="1009">AVERAGE(BU70:BU76)</f>
        <v>104.74489795857143</v>
      </c>
      <c r="BW76" s="74">
        <v>0</v>
      </c>
      <c r="BX76" s="92">
        <f t="shared" ref="BX76:BX109" si="1010">AVERAGE(BW70:BW76)</f>
        <v>105.03265866436332</v>
      </c>
      <c r="BY76" s="74">
        <v>0</v>
      </c>
      <c r="BZ76" s="75">
        <f t="shared" ref="BZ76:BZ109" si="1011">AVERAGE(BY70:BY76)</f>
        <v>0</v>
      </c>
      <c r="CA76" s="74">
        <v>0</v>
      </c>
      <c r="CB76" s="92">
        <f t="shared" ref="CB76:CB109" si="1012">AVERAGE(CA70:CA76)</f>
        <v>0</v>
      </c>
      <c r="CC76" s="74">
        <v>122055.10071414999</v>
      </c>
      <c r="CD76" s="75">
        <f t="shared" ref="CD76:CD109" si="1013">AVERAGE(CC70:CC76)</f>
        <v>142202.49663254284</v>
      </c>
      <c r="CE76" s="74">
        <v>927.20012819349074</v>
      </c>
      <c r="CF76" s="92">
        <f t="shared" ref="CF76:CF109" si="1014">AVERAGE(CE70:CE76)</f>
        <v>859.1659328766915</v>
      </c>
      <c r="CG76" s="74">
        <v>19470.69214272</v>
      </c>
      <c r="CH76" s="75">
        <f t="shared" ref="CH76:CH109" si="1015">AVERAGE(CG70:CG76)</f>
        <v>34902.716581702858</v>
      </c>
      <c r="CI76" s="74">
        <v>780.96732218654506</v>
      </c>
      <c r="CJ76" s="92">
        <f t="shared" ref="CJ76:CJ109" si="1016">AVERAGE(CI70:CI76)</f>
        <v>915.21574674616215</v>
      </c>
      <c r="CK76" s="74">
        <v>47690.416785700007</v>
      </c>
      <c r="CL76" s="75">
        <f t="shared" ref="CL76:CL109" si="1017">AVERAGE(CK70:CK76)</f>
        <v>58795.641224470004</v>
      </c>
      <c r="CM76" s="74">
        <v>1062.6985425092973</v>
      </c>
      <c r="CN76" s="92">
        <f t="shared" ref="CN76:CN109" si="1018">AVERAGE(CM70:CM76)</f>
        <v>1079.5830568552426</v>
      </c>
      <c r="CO76" s="74">
        <v>17917.01392859</v>
      </c>
      <c r="CP76" s="75">
        <f t="shared" ref="CP76:CP109" si="1019">AVERAGE(CO70:CO76)</f>
        <v>32074.807091851842</v>
      </c>
      <c r="CQ76" s="74">
        <v>898.31182469171529</v>
      </c>
      <c r="CR76" s="92">
        <f t="shared" ref="CR76:CR109" si="1020">AVERAGE(CQ70:CQ76)</f>
        <v>1015.6939126570942</v>
      </c>
    </row>
    <row r="77" spans="1:96" x14ac:dyDescent="0.25">
      <c r="A77" s="85">
        <f t="shared" si="910"/>
        <v>45660</v>
      </c>
      <c r="B77" s="74">
        <v>926285.87500062305</v>
      </c>
      <c r="C77" s="75">
        <f t="shared" si="939"/>
        <v>987321.21241079655</v>
      </c>
      <c r="D77" s="74">
        <v>1076.2811313904313</v>
      </c>
      <c r="E77" s="75">
        <f t="shared" si="939"/>
        <v>1107.9957545848797</v>
      </c>
      <c r="F77" s="96">
        <f t="shared" si="889"/>
        <v>1688959.5976721782</v>
      </c>
      <c r="G77" s="75">
        <v>946189.65500064217</v>
      </c>
      <c r="H77" s="75">
        <f t="shared" ref="H77" si="1021">AVERAGE(G74:G77)</f>
        <v>1025988.1636608136</v>
      </c>
      <c r="I77" s="75">
        <f>Table5[[#This Row],[Average NWP (Boom)]]</f>
        <v>1076.2811313904313</v>
      </c>
      <c r="J77" s="92">
        <f t="shared" ref="J77" si="1022">AVERAGE(I74:I77)</f>
        <v>1107.9957545848797</v>
      </c>
      <c r="K77" s="75">
        <f t="shared" si="892"/>
        <v>926285.87500062329</v>
      </c>
      <c r="L77" s="75">
        <f t="shared" ref="L77" si="1023">AVERAGE(K74:K77)</f>
        <v>987137.90883936896</v>
      </c>
      <c r="M77" s="75">
        <v>1073.3324159914523</v>
      </c>
      <c r="N77" s="75">
        <f t="shared" ref="N77" si="1024">AVERAGE(M74:M77)</f>
        <v>1105.0598103481141</v>
      </c>
      <c r="O77" s="96">
        <f t="shared" si="895"/>
        <v>1653562.550452387</v>
      </c>
      <c r="P77" s="74">
        <v>178162.81178603286</v>
      </c>
      <c r="Q77" s="75">
        <f t="shared" ref="Q77" si="1025">AVERAGE(P74:P77)</f>
        <v>229646.49410719392</v>
      </c>
      <c r="R77" s="74">
        <v>860.68991200982055</v>
      </c>
      <c r="S77" s="75">
        <f t="shared" ref="S77" si="1026">AVERAGE(R74:R77)</f>
        <v>906.55680148353338</v>
      </c>
      <c r="T77" s="96">
        <v>431240.67807327688</v>
      </c>
      <c r="U77" s="74">
        <v>748123.06321459042</v>
      </c>
      <c r="V77" s="75">
        <f t="shared" ref="V77" si="1027">AVERAGE(U74:U77)</f>
        <v>757491.41473217506</v>
      </c>
      <c r="W77" s="74">
        <v>1140.4314988027293</v>
      </c>
      <c r="X77" s="75">
        <f t="shared" ref="X77" si="1028">AVERAGE(W74:W77)</f>
        <v>1183.2642065569703</v>
      </c>
      <c r="Y77" s="96">
        <v>1222321.8723791102</v>
      </c>
      <c r="Z77" s="74">
        <v>0</v>
      </c>
      <c r="AA77" s="75">
        <f t="shared" ref="AA77" si="1029">AVERAGE(Z74:Z77)</f>
        <v>183.3035714275</v>
      </c>
      <c r="AB77" s="74">
        <v>0</v>
      </c>
      <c r="AC77" s="75">
        <f t="shared" ref="AC77" si="1030">AVERAGE(AB74:AB77)</f>
        <v>183.80715266263581</v>
      </c>
      <c r="AD77" s="96" t="e">
        <v>#VALUE!</v>
      </c>
      <c r="AE77" s="74">
        <v>0</v>
      </c>
      <c r="AF77" s="75">
        <f t="shared" ref="AF77" si="1031">AVERAGE(AE74:AE77)</f>
        <v>183.3035714275</v>
      </c>
      <c r="AG77" s="74">
        <v>0</v>
      </c>
      <c r="AH77" s="75">
        <f t="shared" ref="AH77" si="1032">AVERAGE(AG74:AG77)</f>
        <v>183.3035714275</v>
      </c>
      <c r="AI77" s="96" t="e">
        <v>#VALUE!</v>
      </c>
      <c r="AJ77" s="74">
        <v>0</v>
      </c>
      <c r="AK77" s="75">
        <f t="shared" ref="AK77" si="1033">AVERAGE(AJ74:AJ77)</f>
        <v>183.3035714275</v>
      </c>
      <c r="AL77" s="74">
        <v>0</v>
      </c>
      <c r="AM77" s="75">
        <f t="shared" ref="AM77" si="1034">AVERAGE(AL74:AL77)</f>
        <v>183.80715266263581</v>
      </c>
      <c r="AN77" s="96">
        <v>35397.047219791246</v>
      </c>
      <c r="AO77" s="74">
        <f t="shared" si="906"/>
        <v>86640.304285752922</v>
      </c>
      <c r="AP77" s="75">
        <f t="shared" si="996"/>
        <v>137586.60693868899</v>
      </c>
      <c r="AQ77" s="74">
        <v>827.41263902226694</v>
      </c>
      <c r="AR77" s="92">
        <f t="shared" si="997"/>
        <v>859.85215021196871</v>
      </c>
      <c r="AS77" s="74">
        <f t="shared" si="907"/>
        <v>27681.623571400003</v>
      </c>
      <c r="AT77" s="75">
        <f t="shared" si="998"/>
        <v>34428.257755138569</v>
      </c>
      <c r="AU77" s="74">
        <v>1028.0619254460141</v>
      </c>
      <c r="AV77" s="92">
        <f t="shared" si="999"/>
        <v>918.81902650525171</v>
      </c>
      <c r="AW77" s="74">
        <f t="shared" si="908"/>
        <v>41530.589285930007</v>
      </c>
      <c r="AX77" s="75">
        <f t="shared" si="1000"/>
        <v>57094.051530642864</v>
      </c>
      <c r="AY77" s="74">
        <v>867.59758979784851</v>
      </c>
      <c r="AZ77" s="92">
        <f t="shared" si="1001"/>
        <v>1047.5888719486495</v>
      </c>
      <c r="BA77" s="74">
        <f t="shared" si="909"/>
        <v>22310.294642949997</v>
      </c>
      <c r="BB77" s="75">
        <f t="shared" si="1002"/>
        <v>32279.071071453269</v>
      </c>
      <c r="BC77" s="74">
        <v>828.57728372537974</v>
      </c>
      <c r="BD77" s="92">
        <f t="shared" si="1003"/>
        <v>1004.0135826926405</v>
      </c>
      <c r="BE77" s="93">
        <f>AO77/SUM(Table5[[#This Row],[NWP (Standard)]],Table5[[#This Row],[NWP (Plus)]],Table5[[#This Row],[NWP (Essentials)]],Table5[[#This Row],[NWP (Premium)]])</f>
        <v>0.48629847843782792</v>
      </c>
      <c r="BF77" s="93">
        <f>AS77/SUM(Table5[[#This Row],[NWP (Standard)]],Table5[[#This Row],[NWP (Plus)]],Table5[[#This Row],[NWP (Essentials)]],Table5[[#This Row],[NWP (Premium)]])</f>
        <v>0.15537262402798532</v>
      </c>
      <c r="BG77" s="93">
        <f>AW77/SUM(Table5[[#This Row],[NWP (Standard)]],Table5[[#This Row],[NWP (Plus)]],Table5[[#This Row],[NWP (Essentials)]],Table5[[#This Row],[NWP (Premium)]])</f>
        <v>0.23310470276932282</v>
      </c>
      <c r="BH77" s="94">
        <f>BA77/SUM(Table5[[#This Row],[NWP (Standard)]],Table5[[#This Row],[NWP (Plus)]],Table5[[#This Row],[NWP (Essentials)]],Table5[[#This Row],[NWP (Premium)]])</f>
        <v>0.12522419476486402</v>
      </c>
      <c r="BI77" s="93">
        <f t="shared" si="1004"/>
        <v>0.52679353277487218</v>
      </c>
      <c r="BJ77" s="93">
        <f t="shared" si="1004"/>
        <v>0.13098871451605434</v>
      </c>
      <c r="BK77" s="93">
        <f t="shared" si="1004"/>
        <v>0.21916481395444296</v>
      </c>
      <c r="BL77" s="94">
        <f t="shared" si="1004"/>
        <v>0.12305293875463044</v>
      </c>
      <c r="BM77" s="74">
        <v>0</v>
      </c>
      <c r="BN77" s="75">
        <f t="shared" si="1005"/>
        <v>0</v>
      </c>
      <c r="BO77" s="74">
        <v>0</v>
      </c>
      <c r="BP77" s="92">
        <f t="shared" si="1006"/>
        <v>0</v>
      </c>
      <c r="BQ77" s="74">
        <v>0</v>
      </c>
      <c r="BR77" s="75">
        <f t="shared" si="1007"/>
        <v>0</v>
      </c>
      <c r="BS77" s="74">
        <v>0</v>
      </c>
      <c r="BT77" s="92">
        <f t="shared" si="1008"/>
        <v>0</v>
      </c>
      <c r="BU77" s="74">
        <v>0</v>
      </c>
      <c r="BV77" s="75">
        <f t="shared" si="1009"/>
        <v>104.74489795857143</v>
      </c>
      <c r="BW77" s="74">
        <v>0</v>
      </c>
      <c r="BX77" s="92">
        <f t="shared" si="1010"/>
        <v>105.03265866436332</v>
      </c>
      <c r="BY77" s="74">
        <v>0</v>
      </c>
      <c r="BZ77" s="75">
        <f t="shared" si="1011"/>
        <v>0</v>
      </c>
      <c r="CA77" s="74">
        <v>0</v>
      </c>
      <c r="CB77" s="92">
        <f t="shared" si="1012"/>
        <v>0</v>
      </c>
      <c r="CC77" s="74">
        <v>86640.304285752922</v>
      </c>
      <c r="CD77" s="75">
        <f t="shared" si="1013"/>
        <v>137586.60693868899</v>
      </c>
      <c r="CE77" s="74">
        <v>827.41263902226694</v>
      </c>
      <c r="CF77" s="92">
        <f t="shared" si="1014"/>
        <v>859.85215021196871</v>
      </c>
      <c r="CG77" s="74">
        <v>27681.623571400003</v>
      </c>
      <c r="CH77" s="75">
        <f t="shared" si="1015"/>
        <v>34428.257755138569</v>
      </c>
      <c r="CI77" s="74">
        <v>1028.0619254460141</v>
      </c>
      <c r="CJ77" s="92">
        <f t="shared" si="1016"/>
        <v>918.81902650525171</v>
      </c>
      <c r="CK77" s="74">
        <v>41530.589285930007</v>
      </c>
      <c r="CL77" s="75">
        <f t="shared" si="1017"/>
        <v>56989.306632684296</v>
      </c>
      <c r="CM77" s="74">
        <v>867.59758979784851</v>
      </c>
      <c r="CN77" s="92">
        <f t="shared" si="1018"/>
        <v>1048.3148163802593</v>
      </c>
      <c r="CO77" s="74">
        <v>22310.294642949997</v>
      </c>
      <c r="CP77" s="75">
        <f t="shared" si="1019"/>
        <v>32279.071071453269</v>
      </c>
      <c r="CQ77" s="74">
        <v>828.57728372537974</v>
      </c>
      <c r="CR77" s="92">
        <f t="shared" si="1020"/>
        <v>1004.0135826926405</v>
      </c>
    </row>
    <row r="78" spans="1:96" x14ac:dyDescent="0.25">
      <c r="A78" s="85">
        <f t="shared" si="910"/>
        <v>45667</v>
      </c>
      <c r="B78" s="74">
        <v>1057424.9767859604</v>
      </c>
      <c r="C78" s="75">
        <f t="shared" si="939"/>
        <v>983026.1861607735</v>
      </c>
      <c r="D78" s="74">
        <v>1062.4549002297781</v>
      </c>
      <c r="E78" s="75">
        <f t="shared" si="939"/>
        <v>1099.8398420611256</v>
      </c>
      <c r="F78" s="96">
        <f t="shared" si="889"/>
        <v>2276442.4235498947</v>
      </c>
      <c r="G78" s="75">
        <v>1068914.5121430974</v>
      </c>
      <c r="H78" s="75">
        <f t="shared" ref="H78" si="1035">AVERAGE(G75:G78)</f>
        <v>1011194.6154464985</v>
      </c>
      <c r="I78" s="75">
        <f>Table5[[#This Row],[Average NWP (Boom)]]</f>
        <v>1062.4549002297781</v>
      </c>
      <c r="J78" s="92">
        <f t="shared" ref="J78" si="1036">AVERAGE(I75:I78)</f>
        <v>1099.8398420611256</v>
      </c>
      <c r="K78" s="75">
        <f t="shared" si="892"/>
        <v>1057424.9767859601</v>
      </c>
      <c r="L78" s="75">
        <f t="shared" ref="L78" si="1037">AVERAGE(K75:K78)</f>
        <v>982842.88258934591</v>
      </c>
      <c r="M78" s="75">
        <v>1059.5440649157918</v>
      </c>
      <c r="N78" s="75">
        <f t="shared" ref="N78" si="1038">AVERAGE(M75:M78)</f>
        <v>1096.926242789955</v>
      </c>
      <c r="O78" s="96">
        <f t="shared" si="895"/>
        <v>2268673.4407168794</v>
      </c>
      <c r="P78" s="74">
        <v>237054.03821462006</v>
      </c>
      <c r="Q78" s="75">
        <f t="shared" ref="Q78" si="1039">AVERAGE(P75:P78)</f>
        <v>221965.81607161823</v>
      </c>
      <c r="R78" s="74">
        <v>908.2530199793872</v>
      </c>
      <c r="S78" s="75">
        <f t="shared" ref="S78" si="1040">AVERAGE(R75:R78)</f>
        <v>913.40891309275287</v>
      </c>
      <c r="T78" s="96">
        <v>591658.46047609311</v>
      </c>
      <c r="U78" s="74">
        <v>820370.93857134006</v>
      </c>
      <c r="V78" s="75">
        <f t="shared" ref="V78" si="1041">AVERAGE(U75:U78)</f>
        <v>760877.06651772768</v>
      </c>
      <c r="W78" s="74">
        <v>1113.1220333396743</v>
      </c>
      <c r="X78" s="75">
        <f t="shared" ref="X78" si="1042">AVERAGE(W75:W78)</f>
        <v>1164.9166518664733</v>
      </c>
      <c r="Y78" s="96">
        <v>1677014.9802407864</v>
      </c>
      <c r="Z78" s="74">
        <v>0</v>
      </c>
      <c r="AA78" s="75">
        <f t="shared" ref="AA78" si="1043">AVERAGE(Z75:Z78)</f>
        <v>183.3035714275</v>
      </c>
      <c r="AB78" s="74">
        <v>0</v>
      </c>
      <c r="AC78" s="75">
        <f t="shared" ref="AC78" si="1044">AVERAGE(AB75:AB78)</f>
        <v>183.80715266263581</v>
      </c>
      <c r="AD78" s="96" t="e">
        <v>#VALUE!</v>
      </c>
      <c r="AE78" s="74">
        <v>0</v>
      </c>
      <c r="AF78" s="75">
        <f t="shared" ref="AF78" si="1045">AVERAGE(AE75:AE78)</f>
        <v>183.3035714275</v>
      </c>
      <c r="AG78" s="74">
        <v>0</v>
      </c>
      <c r="AH78" s="75">
        <f t="shared" ref="AH78" si="1046">AVERAGE(AG75:AG78)</f>
        <v>183.3035714275</v>
      </c>
      <c r="AI78" s="96" t="e">
        <v>#VALUE!</v>
      </c>
      <c r="AJ78" s="74">
        <v>0</v>
      </c>
      <c r="AK78" s="75">
        <f t="shared" ref="AK78" si="1047">AVERAGE(AJ75:AJ78)</f>
        <v>183.3035714275</v>
      </c>
      <c r="AL78" s="74">
        <v>0</v>
      </c>
      <c r="AM78" s="75">
        <f t="shared" ref="AM78" si="1048">AVERAGE(AL75:AL78)</f>
        <v>183.80715266263581</v>
      </c>
      <c r="AN78" s="96">
        <v>7768.9828330152886</v>
      </c>
      <c r="AO78" s="74">
        <f t="shared" si="906"/>
        <v>110214.50464309999</v>
      </c>
      <c r="AP78" s="75">
        <f t="shared" si="996"/>
        <v>128863.5484693804</v>
      </c>
      <c r="AQ78" s="74">
        <v>800.84994015022949</v>
      </c>
      <c r="AR78" s="92">
        <f t="shared" si="997"/>
        <v>850.34409537872648</v>
      </c>
      <c r="AS78" s="74">
        <f t="shared" si="907"/>
        <v>27370.277857340003</v>
      </c>
      <c r="AT78" s="75">
        <f t="shared" si="998"/>
        <v>30889.847755174287</v>
      </c>
      <c r="AU78" s="74">
        <v>946.39554922836771</v>
      </c>
      <c r="AV78" s="92">
        <f t="shared" si="999"/>
        <v>915.70519683723148</v>
      </c>
      <c r="AW78" s="74">
        <f t="shared" si="908"/>
        <v>58593.25214271</v>
      </c>
      <c r="AX78" s="75">
        <f t="shared" si="1000"/>
        <v>54421.142142874291</v>
      </c>
      <c r="AY78" s="74">
        <v>1088.0411595188041</v>
      </c>
      <c r="AZ78" s="92">
        <f t="shared" si="1001"/>
        <v>1021.487045951357</v>
      </c>
      <c r="BA78" s="74">
        <f t="shared" si="909"/>
        <v>40876.003571469992</v>
      </c>
      <c r="BB78" s="75">
        <f t="shared" si="1002"/>
        <v>32949.319693900412</v>
      </c>
      <c r="BC78" s="74">
        <v>1024.7075070863095</v>
      </c>
      <c r="BD78" s="92">
        <f t="shared" si="1003"/>
        <v>993.32820262329892</v>
      </c>
      <c r="BE78" s="93">
        <f>AO78/SUM(Table5[[#This Row],[NWP (Standard)]],Table5[[#This Row],[NWP (Plus)]],Table5[[#This Row],[NWP (Essentials)]],Table5[[#This Row],[NWP (Premium)]])</f>
        <v>0.46493409466121749</v>
      </c>
      <c r="BF78" s="93">
        <f>AS78/SUM(Table5[[#This Row],[NWP (Standard)]],Table5[[#This Row],[NWP (Plus)]],Table5[[#This Row],[NWP (Essentials)]],Table5[[#This Row],[NWP (Premium)]])</f>
        <v>0.11546007848455196</v>
      </c>
      <c r="BG78" s="93">
        <f>AW78/SUM(Table5[[#This Row],[NWP (Standard)]],Table5[[#This Row],[NWP (Plus)]],Table5[[#This Row],[NWP (Essentials)]],Table5[[#This Row],[NWP (Premium)]])</f>
        <v>0.24717255434249061</v>
      </c>
      <c r="BH78" s="94">
        <f>BA78/SUM(Table5[[#This Row],[NWP (Standard)]],Table5[[#This Row],[NWP (Plus)]],Table5[[#This Row],[NWP (Essentials)]],Table5[[#This Row],[NWP (Premium)]])</f>
        <v>0.17243327251173998</v>
      </c>
      <c r="BI78" s="93">
        <f t="shared" si="1004"/>
        <v>0.52058646779716777</v>
      </c>
      <c r="BJ78" s="93">
        <f t="shared" si="1004"/>
        <v>0.12537441948204417</v>
      </c>
      <c r="BK78" s="93">
        <f t="shared" si="1004"/>
        <v>0.22169608264383531</v>
      </c>
      <c r="BL78" s="94">
        <f t="shared" si="1004"/>
        <v>0.13234303007695275</v>
      </c>
      <c r="BM78" s="74">
        <v>0</v>
      </c>
      <c r="BN78" s="75">
        <f t="shared" si="1005"/>
        <v>0</v>
      </c>
      <c r="BO78" s="74">
        <v>0</v>
      </c>
      <c r="BP78" s="92">
        <f t="shared" si="1006"/>
        <v>0</v>
      </c>
      <c r="BQ78" s="74">
        <v>0</v>
      </c>
      <c r="BR78" s="75">
        <f t="shared" si="1007"/>
        <v>0</v>
      </c>
      <c r="BS78" s="74">
        <v>0</v>
      </c>
      <c r="BT78" s="92">
        <f t="shared" si="1008"/>
        <v>0</v>
      </c>
      <c r="BU78" s="74">
        <v>0</v>
      </c>
      <c r="BV78" s="75">
        <f t="shared" si="1009"/>
        <v>104.74489795857143</v>
      </c>
      <c r="BW78" s="74">
        <v>0</v>
      </c>
      <c r="BX78" s="92">
        <f t="shared" si="1010"/>
        <v>105.03265866436332</v>
      </c>
      <c r="BY78" s="74">
        <v>0</v>
      </c>
      <c r="BZ78" s="75">
        <f t="shared" si="1011"/>
        <v>0</v>
      </c>
      <c r="CA78" s="74">
        <v>0</v>
      </c>
      <c r="CB78" s="92">
        <f t="shared" si="1012"/>
        <v>0</v>
      </c>
      <c r="CC78" s="74">
        <v>110214.50464309999</v>
      </c>
      <c r="CD78" s="75">
        <f t="shared" si="1013"/>
        <v>128863.5484693804</v>
      </c>
      <c r="CE78" s="74">
        <v>800.84994015022949</v>
      </c>
      <c r="CF78" s="92">
        <f t="shared" si="1014"/>
        <v>850.34409537872648</v>
      </c>
      <c r="CG78" s="74">
        <v>27370.277857340003</v>
      </c>
      <c r="CH78" s="75">
        <f t="shared" si="1015"/>
        <v>30889.847755174287</v>
      </c>
      <c r="CI78" s="74">
        <v>946.39554922836771</v>
      </c>
      <c r="CJ78" s="92">
        <f t="shared" si="1016"/>
        <v>915.70519683723148</v>
      </c>
      <c r="CK78" s="74">
        <v>58593.25214271</v>
      </c>
      <c r="CL78" s="75">
        <f t="shared" si="1017"/>
        <v>54316.397244915715</v>
      </c>
      <c r="CM78" s="74">
        <v>1088.0411595188041</v>
      </c>
      <c r="CN78" s="92">
        <f t="shared" si="1018"/>
        <v>1022.2129903829671</v>
      </c>
      <c r="CO78" s="74">
        <v>40876.003571469992</v>
      </c>
      <c r="CP78" s="75">
        <f t="shared" si="1019"/>
        <v>32949.319693900412</v>
      </c>
      <c r="CQ78" s="74">
        <v>1024.7075070863095</v>
      </c>
      <c r="CR78" s="92">
        <f t="shared" si="1020"/>
        <v>993.32820262329892</v>
      </c>
    </row>
    <row r="79" spans="1:96" x14ac:dyDescent="0.25">
      <c r="A79" s="85">
        <f t="shared" si="910"/>
        <v>45674</v>
      </c>
      <c r="B79" s="74">
        <v>1047838.1382132396</v>
      </c>
      <c r="C79" s="75">
        <f t="shared" si="939"/>
        <v>973883.77080333838</v>
      </c>
      <c r="D79" s="74">
        <v>1071.0670890807912</v>
      </c>
      <c r="E79" s="75">
        <f t="shared" si="939"/>
        <v>1087.0630276647039</v>
      </c>
      <c r="F79" s="96">
        <f t="shared" si="889"/>
        <v>2276442.4235498947</v>
      </c>
      <c r="G79" s="75">
        <v>1056859.4803561007</v>
      </c>
      <c r="H79" s="75">
        <f t="shared" ref="H79" si="1049">AVERAGE(G76:G79)</f>
        <v>992095.08205334493</v>
      </c>
      <c r="I79" s="75">
        <f>Table5[[#This Row],[Average NWP (Boom)]]</f>
        <v>1071.0670890807912</v>
      </c>
      <c r="J79" s="92">
        <f t="shared" ref="J79" si="1050">AVERAGE(I76:I79)</f>
        <v>1087.0630276647039</v>
      </c>
      <c r="K79" s="75">
        <f t="shared" si="892"/>
        <v>1047838.13821324</v>
      </c>
      <c r="L79" s="75">
        <f t="shared" ref="L79" si="1051">AVERAGE(K76:K79)</f>
        <v>973883.7708033385</v>
      </c>
      <c r="M79" s="75">
        <v>1068.1326587290928</v>
      </c>
      <c r="N79" s="75">
        <f t="shared" ref="N79" si="1052">AVERAGE(M76:M79)</f>
        <v>1084.0847728241729</v>
      </c>
      <c r="O79" s="96">
        <f t="shared" si="895"/>
        <v>2268673.4407168794</v>
      </c>
      <c r="P79" s="74">
        <v>219780.97249973996</v>
      </c>
      <c r="Q79" s="75">
        <f t="shared" ref="Q79" si="1053">AVERAGE(P76:P79)</f>
        <v>210532.76151788823</v>
      </c>
      <c r="R79" s="74">
        <v>897.06519387648962</v>
      </c>
      <c r="S79" s="75">
        <f t="shared" ref="S79" si="1054">AVERAGE(R76:R79)</f>
        <v>899.76016611863156</v>
      </c>
      <c r="T79" s="96">
        <v>591658.46047609311</v>
      </c>
      <c r="U79" s="74">
        <v>828057.1657135</v>
      </c>
      <c r="V79" s="75">
        <f t="shared" ref="V79" si="1055">AVERAGE(U76:U79)</f>
        <v>763351.00928545021</v>
      </c>
      <c r="W79" s="74">
        <v>1125.0776708063859</v>
      </c>
      <c r="X79" s="75">
        <f t="shared" ref="X79" si="1056">AVERAGE(W76:W79)</f>
        <v>1149.3205417587048</v>
      </c>
      <c r="Y79" s="96">
        <v>1677014.9802407864</v>
      </c>
      <c r="Z79" s="74">
        <v>0</v>
      </c>
      <c r="AA79" s="75">
        <f t="shared" ref="AA79" si="1057">AVERAGE(Z76:Z79)</f>
        <v>0</v>
      </c>
      <c r="AB79" s="74">
        <v>0</v>
      </c>
      <c r="AC79" s="75">
        <f t="shared" ref="AC79" si="1058">AVERAGE(AB76:AB79)</f>
        <v>0</v>
      </c>
      <c r="AD79" s="96" t="e">
        <v>#VALUE!</v>
      </c>
      <c r="AE79" s="74">
        <v>0</v>
      </c>
      <c r="AF79" s="75">
        <f t="shared" ref="AF79" si="1059">AVERAGE(AE76:AE79)</f>
        <v>0</v>
      </c>
      <c r="AG79" s="74">
        <v>0</v>
      </c>
      <c r="AH79" s="75">
        <f t="shared" ref="AH79" si="1060">AVERAGE(AG76:AG79)</f>
        <v>0</v>
      </c>
      <c r="AI79" s="96" t="e">
        <v>#VALUE!</v>
      </c>
      <c r="AJ79" s="74">
        <v>0</v>
      </c>
      <c r="AK79" s="75">
        <f t="shared" ref="AK79" si="1061">AVERAGE(AJ76:AJ79)</f>
        <v>0</v>
      </c>
      <c r="AL79" s="74">
        <v>0</v>
      </c>
      <c r="AM79" s="75">
        <f t="shared" ref="AM79" si="1062">AVERAGE(AL76:AL79)</f>
        <v>0</v>
      </c>
      <c r="AN79" s="96">
        <v>7768.9828330152886</v>
      </c>
      <c r="AO79" s="74">
        <f t="shared" si="906"/>
        <v>118372.77892836001</v>
      </c>
      <c r="AP79" s="75">
        <f t="shared" si="996"/>
        <v>123406.75183676326</v>
      </c>
      <c r="AQ79" s="74">
        <v>796.63073065241576</v>
      </c>
      <c r="AR79" s="92">
        <f t="shared" si="997"/>
        <v>840.23333654433702</v>
      </c>
      <c r="AS79" s="74">
        <f t="shared" si="907"/>
        <v>31907.668214280005</v>
      </c>
      <c r="AT79" s="75">
        <f t="shared" si="998"/>
        <v>30323.94581637</v>
      </c>
      <c r="AU79" s="74">
        <v>999.85395758003517</v>
      </c>
      <c r="AV79" s="92">
        <f t="shared" si="999"/>
        <v>930.08603740697083</v>
      </c>
      <c r="AW79" s="74">
        <f t="shared" si="908"/>
        <v>44973.831071249995</v>
      </c>
      <c r="AX79" s="75">
        <f t="shared" si="1000"/>
        <v>53003.42709182715</v>
      </c>
      <c r="AY79" s="74">
        <v>1099.9362329506348</v>
      </c>
      <c r="AZ79" s="92">
        <f t="shared" si="1001"/>
        <v>1032.9894319839495</v>
      </c>
      <c r="BA79" s="74">
        <f t="shared" si="909"/>
        <v>24526.694285850001</v>
      </c>
      <c r="BB79" s="75">
        <f t="shared" si="1002"/>
        <v>32089.60204084756</v>
      </c>
      <c r="BC79" s="74">
        <v>1069.3076223231378</v>
      </c>
      <c r="BD79" s="92">
        <f t="shared" si="1003"/>
        <v>1004.9406651836281</v>
      </c>
      <c r="BE79" s="93">
        <f>AO79/SUM(Table5[[#This Row],[NWP (Standard)]],Table5[[#This Row],[NWP (Plus)]],Table5[[#This Row],[NWP (Essentials)]],Table5[[#This Row],[NWP (Premium)]])</f>
        <v>0.5385942995065236</v>
      </c>
      <c r="BF79" s="93">
        <f>AS79/SUM(Table5[[#This Row],[NWP (Standard)]],Table5[[#This Row],[NWP (Plus)]],Table5[[#This Row],[NWP (Essentials)]],Table5[[#This Row],[NWP (Premium)]])</f>
        <v>0.14517939315387163</v>
      </c>
      <c r="BG79" s="93">
        <f>AW79/SUM(Table5[[#This Row],[NWP (Standard)]],Table5[[#This Row],[NWP (Plus)]],Table5[[#This Row],[NWP (Essentials)]],Table5[[#This Row],[NWP (Premium)]])</f>
        <v>0.2046302305414687</v>
      </c>
      <c r="BH79" s="94">
        <f>BA79/SUM(Table5[[#This Row],[NWP (Standard)]],Table5[[#This Row],[NWP (Plus)]],Table5[[#This Row],[NWP (Essentials)]],Table5[[#This Row],[NWP (Premium)]])</f>
        <v>0.11159607679813599</v>
      </c>
      <c r="BI79" s="93">
        <f t="shared" si="1004"/>
        <v>0.51703678257876384</v>
      </c>
      <c r="BJ79" s="93">
        <f t="shared" si="1004"/>
        <v>0.12767433934939573</v>
      </c>
      <c r="BK79" s="93">
        <f t="shared" si="1004"/>
        <v>0.22270637778737329</v>
      </c>
      <c r="BL79" s="94">
        <f t="shared" si="1004"/>
        <v>0.13258250028446711</v>
      </c>
      <c r="BM79" s="74">
        <v>0</v>
      </c>
      <c r="BN79" s="75">
        <f t="shared" si="1005"/>
        <v>0</v>
      </c>
      <c r="BO79" s="74">
        <v>0</v>
      </c>
      <c r="BP79" s="92">
        <f t="shared" si="1006"/>
        <v>0</v>
      </c>
      <c r="BQ79" s="74">
        <v>0</v>
      </c>
      <c r="BR79" s="75">
        <f t="shared" si="1007"/>
        <v>0</v>
      </c>
      <c r="BS79" s="74">
        <v>0</v>
      </c>
      <c r="BT79" s="92">
        <f t="shared" si="1008"/>
        <v>0</v>
      </c>
      <c r="BU79" s="74">
        <v>0</v>
      </c>
      <c r="BV79" s="75">
        <f t="shared" si="1009"/>
        <v>104.74489795857143</v>
      </c>
      <c r="BW79" s="74">
        <v>0</v>
      </c>
      <c r="BX79" s="92">
        <f t="shared" si="1010"/>
        <v>105.03265866436332</v>
      </c>
      <c r="BY79" s="74">
        <v>0</v>
      </c>
      <c r="BZ79" s="75">
        <f t="shared" si="1011"/>
        <v>0</v>
      </c>
      <c r="CA79" s="74">
        <v>0</v>
      </c>
      <c r="CB79" s="92">
        <f t="shared" si="1012"/>
        <v>0</v>
      </c>
      <c r="CC79" s="74">
        <v>118372.77892836001</v>
      </c>
      <c r="CD79" s="75">
        <f t="shared" si="1013"/>
        <v>123406.75183676326</v>
      </c>
      <c r="CE79" s="74">
        <v>796.63073065241576</v>
      </c>
      <c r="CF79" s="92">
        <f t="shared" si="1014"/>
        <v>840.23333654433702</v>
      </c>
      <c r="CG79" s="74">
        <v>31907.668214280005</v>
      </c>
      <c r="CH79" s="75">
        <f t="shared" si="1015"/>
        <v>30323.94581637</v>
      </c>
      <c r="CI79" s="74">
        <v>999.85395758003517</v>
      </c>
      <c r="CJ79" s="92">
        <f t="shared" si="1016"/>
        <v>930.08603740697083</v>
      </c>
      <c r="CK79" s="74">
        <v>44973.831071249995</v>
      </c>
      <c r="CL79" s="75">
        <f t="shared" si="1017"/>
        <v>52898.682193868575</v>
      </c>
      <c r="CM79" s="74">
        <v>1099.9362329506348</v>
      </c>
      <c r="CN79" s="92">
        <f t="shared" si="1018"/>
        <v>1033.7153764155596</v>
      </c>
      <c r="CO79" s="74">
        <v>24526.694285850001</v>
      </c>
      <c r="CP79" s="75">
        <f t="shared" si="1019"/>
        <v>32089.60204084756</v>
      </c>
      <c r="CQ79" s="74">
        <v>1069.3076223231378</v>
      </c>
      <c r="CR79" s="92">
        <f t="shared" si="1020"/>
        <v>1004.9406651836281</v>
      </c>
    </row>
    <row r="80" spans="1:96" x14ac:dyDescent="0.25">
      <c r="A80" s="85">
        <f t="shared" si="910"/>
        <v>45681</v>
      </c>
      <c r="B80" s="74">
        <v>934574.43750072038</v>
      </c>
      <c r="C80" s="75">
        <f t="shared" si="939"/>
        <v>991530.85687513591</v>
      </c>
      <c r="D80" s="74">
        <v>1079.6566240390671</v>
      </c>
      <c r="E80" s="75">
        <f t="shared" si="939"/>
        <v>1072.3649361850171</v>
      </c>
      <c r="F80" s="96">
        <f t="shared" si="889"/>
        <v>2276442.4235498947</v>
      </c>
      <c r="G80" s="75">
        <v>935922.92750071443</v>
      </c>
      <c r="H80" s="75">
        <f t="shared" ref="H80" si="1063">AVERAGE(G77:G80)</f>
        <v>1001971.6437501387</v>
      </c>
      <c r="I80" s="75">
        <f>Table5[[#This Row],[Average NWP (Boom)]]</f>
        <v>1079.6566240390671</v>
      </c>
      <c r="J80" s="92">
        <f t="shared" ref="J80" si="1064">AVERAGE(I77:I80)</f>
        <v>1072.3649361850171</v>
      </c>
      <c r="K80" s="75">
        <f t="shared" si="892"/>
        <v>934574.43750072015</v>
      </c>
      <c r="L80" s="75">
        <f t="shared" ref="L80" si="1065">AVERAGE(K77:K80)</f>
        <v>991530.8568751358</v>
      </c>
      <c r="M80" s="75">
        <v>1076.6986607151155</v>
      </c>
      <c r="N80" s="75">
        <f t="shared" ref="N80" si="1066">AVERAGE(M77:M80)</f>
        <v>1069.4269500878631</v>
      </c>
      <c r="O80" s="96">
        <f t="shared" si="895"/>
        <v>2268673.4407168794</v>
      </c>
      <c r="P80" s="74">
        <v>183433.01071439995</v>
      </c>
      <c r="Q80" s="75">
        <f t="shared" ref="Q80" si="1067">AVERAGE(P77:P80)</f>
        <v>204607.70830369822</v>
      </c>
      <c r="R80" s="74">
        <v>940.68210622769209</v>
      </c>
      <c r="S80" s="75">
        <f t="shared" ref="S80" si="1068">AVERAGE(R77:R80)</f>
        <v>901.67255802334739</v>
      </c>
      <c r="T80" s="96">
        <v>591658.46047609311</v>
      </c>
      <c r="U80" s="74">
        <v>751141.42678632017</v>
      </c>
      <c r="V80" s="75">
        <f t="shared" ref="V80" si="1069">AVERAGE(U77:U80)</f>
        <v>786923.14857143769</v>
      </c>
      <c r="W80" s="74">
        <v>1116.1091036943835</v>
      </c>
      <c r="X80" s="75">
        <f t="shared" ref="X80" si="1070">AVERAGE(W77:W80)</f>
        <v>1123.6850766607931</v>
      </c>
      <c r="Y80" s="96">
        <v>1677014.9802407864</v>
      </c>
      <c r="Z80" s="74">
        <v>0</v>
      </c>
      <c r="AA80" s="75">
        <f t="shared" ref="AA80" si="1071">AVERAGE(Z77:Z80)</f>
        <v>0</v>
      </c>
      <c r="AB80" s="74">
        <v>0</v>
      </c>
      <c r="AC80" s="75">
        <f t="shared" ref="AC80" si="1072">AVERAGE(AB77:AB80)</f>
        <v>0</v>
      </c>
      <c r="AD80" s="96" t="e">
        <v>#VALUE!</v>
      </c>
      <c r="AE80" s="74">
        <v>0</v>
      </c>
      <c r="AF80" s="75">
        <f t="shared" ref="AF80" si="1073">AVERAGE(AE77:AE80)</f>
        <v>0</v>
      </c>
      <c r="AG80" s="74">
        <v>0</v>
      </c>
      <c r="AH80" s="75">
        <f t="shared" ref="AH80" si="1074">AVERAGE(AG77:AG80)</f>
        <v>0</v>
      </c>
      <c r="AI80" s="96" t="e">
        <v>#VALUE!</v>
      </c>
      <c r="AJ80" s="74">
        <v>0</v>
      </c>
      <c r="AK80" s="75">
        <f t="shared" ref="AK80" si="1075">AVERAGE(AJ77:AJ80)</f>
        <v>0</v>
      </c>
      <c r="AL80" s="74">
        <v>0</v>
      </c>
      <c r="AM80" s="75">
        <f t="shared" ref="AM80" si="1076">AVERAGE(AL77:AL80)</f>
        <v>0</v>
      </c>
      <c r="AN80" s="96">
        <v>7768.9828330152886</v>
      </c>
      <c r="AO80" s="74">
        <f t="shared" si="906"/>
        <v>86318.827857079988</v>
      </c>
      <c r="AP80" s="75">
        <f t="shared" si="996"/>
        <v>113177.85127551612</v>
      </c>
      <c r="AQ80" s="74">
        <v>779.78349091596465</v>
      </c>
      <c r="AR80" s="92">
        <f t="shared" si="997"/>
        <v>831.93711488032329</v>
      </c>
      <c r="AS80" s="74">
        <f t="shared" si="907"/>
        <v>22710.548571519997</v>
      </c>
      <c r="AT80" s="75">
        <f t="shared" si="998"/>
        <v>28603.622602074287</v>
      </c>
      <c r="AU80" s="74">
        <v>1035.1336449022315</v>
      </c>
      <c r="AV80" s="92">
        <f t="shared" si="999"/>
        <v>950.31287376178102</v>
      </c>
      <c r="AW80" s="74">
        <f t="shared" si="908"/>
        <v>37883.349285679993</v>
      </c>
      <c r="AX80" s="75">
        <f t="shared" si="1000"/>
        <v>49023.527295871427</v>
      </c>
      <c r="AY80" s="74">
        <v>999.6690636851738</v>
      </c>
      <c r="AZ80" s="92">
        <f t="shared" si="1001"/>
        <v>1013.4267378170611</v>
      </c>
      <c r="BA80" s="74">
        <f t="shared" si="909"/>
        <v>36520.285000119999</v>
      </c>
      <c r="BB80" s="75">
        <f t="shared" si="1002"/>
        <v>31993.171989858987</v>
      </c>
      <c r="BC80" s="74">
        <v>1525.8589771837903</v>
      </c>
      <c r="BD80" s="92">
        <f t="shared" si="1003"/>
        <v>1078.9148038802705</v>
      </c>
      <c r="BE80" s="93">
        <f>AO80/SUM(Table5[[#This Row],[NWP (Standard)]],Table5[[#This Row],[NWP (Plus)]],Table5[[#This Row],[NWP (Essentials)]],Table5[[#This Row],[NWP (Premium)]])</f>
        <v>0.4705741214239566</v>
      </c>
      <c r="BF80" s="93">
        <f>AS80/SUM(Table5[[#This Row],[NWP (Standard)]],Table5[[#This Row],[NWP (Plus)]],Table5[[#This Row],[NWP (Essentials)]],Table5[[#This Row],[NWP (Premium)]])</f>
        <v>0.12380840549403445</v>
      </c>
      <c r="BG80" s="93">
        <f>AW80/SUM(Table5[[#This Row],[NWP (Standard)]],Table5[[#This Row],[NWP (Plus)]],Table5[[#This Row],[NWP (Essentials)]],Table5[[#This Row],[NWP (Premium)]])</f>
        <v>0.20652416453363076</v>
      </c>
      <c r="BH80" s="94">
        <f>BA80/SUM(Table5[[#This Row],[NWP (Standard)]],Table5[[#This Row],[NWP (Plus)]],Table5[[#This Row],[NWP (Essentials)]],Table5[[#This Row],[NWP (Premium)]])</f>
        <v>0.1990933085483782</v>
      </c>
      <c r="BI80" s="93">
        <f t="shared" si="1004"/>
        <v>0.50794482832507115</v>
      </c>
      <c r="BJ80" s="93">
        <f t="shared" si="1004"/>
        <v>0.12856664117923317</v>
      </c>
      <c r="BK80" s="93">
        <f t="shared" si="1004"/>
        <v>0.22043909506140119</v>
      </c>
      <c r="BL80" s="94">
        <f t="shared" si="1004"/>
        <v>0.14304943543429463</v>
      </c>
      <c r="BM80" s="74">
        <v>0</v>
      </c>
      <c r="BN80" s="75">
        <f t="shared" si="1005"/>
        <v>0</v>
      </c>
      <c r="BO80" s="74">
        <v>0</v>
      </c>
      <c r="BP80" s="92">
        <f t="shared" si="1006"/>
        <v>0</v>
      </c>
      <c r="BQ80" s="74">
        <v>0</v>
      </c>
      <c r="BR80" s="75">
        <f t="shared" si="1007"/>
        <v>0</v>
      </c>
      <c r="BS80" s="74">
        <v>0</v>
      </c>
      <c r="BT80" s="92">
        <f t="shared" si="1008"/>
        <v>0</v>
      </c>
      <c r="BU80" s="74">
        <v>0</v>
      </c>
      <c r="BV80" s="75">
        <f t="shared" si="1009"/>
        <v>104.74489795857143</v>
      </c>
      <c r="BW80" s="74">
        <v>0</v>
      </c>
      <c r="BX80" s="92">
        <f t="shared" si="1010"/>
        <v>105.03265866436332</v>
      </c>
      <c r="BY80" s="74">
        <v>0</v>
      </c>
      <c r="BZ80" s="75">
        <f t="shared" si="1011"/>
        <v>0</v>
      </c>
      <c r="CA80" s="74">
        <v>0</v>
      </c>
      <c r="CB80" s="92">
        <f t="shared" si="1012"/>
        <v>0</v>
      </c>
      <c r="CC80" s="74">
        <v>86318.827857079988</v>
      </c>
      <c r="CD80" s="75">
        <f t="shared" si="1013"/>
        <v>113177.85127551612</v>
      </c>
      <c r="CE80" s="74">
        <v>779.78349091596465</v>
      </c>
      <c r="CF80" s="92">
        <f t="shared" si="1014"/>
        <v>831.93711488032329</v>
      </c>
      <c r="CG80" s="74">
        <v>22710.548571519997</v>
      </c>
      <c r="CH80" s="75">
        <f t="shared" si="1015"/>
        <v>28603.622602074287</v>
      </c>
      <c r="CI80" s="74">
        <v>1035.1336449022315</v>
      </c>
      <c r="CJ80" s="92">
        <f t="shared" si="1016"/>
        <v>950.31287376178102</v>
      </c>
      <c r="CK80" s="74">
        <v>37883.349285679993</v>
      </c>
      <c r="CL80" s="75">
        <f t="shared" si="1017"/>
        <v>48918.782397912859</v>
      </c>
      <c r="CM80" s="74">
        <v>999.6690636851738</v>
      </c>
      <c r="CN80" s="92">
        <f t="shared" si="1018"/>
        <v>1014.1526822486711</v>
      </c>
      <c r="CO80" s="74">
        <v>36520.285000119999</v>
      </c>
      <c r="CP80" s="75">
        <f t="shared" si="1019"/>
        <v>31993.171989858987</v>
      </c>
      <c r="CQ80" s="74">
        <v>1525.8589771837903</v>
      </c>
      <c r="CR80" s="92">
        <f t="shared" si="1020"/>
        <v>1078.9148038802705</v>
      </c>
    </row>
    <row r="81" spans="1:96" x14ac:dyDescent="0.25">
      <c r="A81" s="85">
        <f t="shared" si="910"/>
        <v>45688</v>
      </c>
      <c r="B81" s="74">
        <v>1096834.5146434898</v>
      </c>
      <c r="C81" s="75">
        <f t="shared" si="939"/>
        <v>1034168.0167858526</v>
      </c>
      <c r="D81" s="74">
        <v>1013.6846048358616</v>
      </c>
      <c r="E81" s="75">
        <f t="shared" si="939"/>
        <v>1056.7158045463746</v>
      </c>
      <c r="F81" s="96">
        <f t="shared" si="889"/>
        <v>2276442.4235498947</v>
      </c>
      <c r="G81" s="75">
        <v>1096958.2650006299</v>
      </c>
      <c r="H81" s="75">
        <f t="shared" ref="H81" si="1077">AVERAGE(G78:G81)</f>
        <v>1039663.7962501356</v>
      </c>
      <c r="I81" s="75">
        <f>Table5[[#This Row],[Average NWP (Boom)]]</f>
        <v>1013.6846048358616</v>
      </c>
      <c r="J81" s="92">
        <f t="shared" ref="J81" si="1078">AVERAGE(I78:I81)</f>
        <v>1056.7158045463746</v>
      </c>
      <c r="K81" s="75">
        <f t="shared" si="892"/>
        <v>1096834.5146434896</v>
      </c>
      <c r="L81" s="75">
        <f t="shared" ref="L81" si="1079">AVERAGE(K78:K81)</f>
        <v>1034168.0167858524</v>
      </c>
      <c r="M81" s="75">
        <v>1010.9073867681932</v>
      </c>
      <c r="N81" s="75">
        <f t="shared" ref="N81" si="1080">AVERAGE(M78:M81)</f>
        <v>1053.8206927820484</v>
      </c>
      <c r="O81" s="96">
        <f t="shared" si="895"/>
        <v>2268673.4407168794</v>
      </c>
      <c r="P81" s="74">
        <v>216774.16285734999</v>
      </c>
      <c r="Q81" s="75">
        <f t="shared" ref="Q81" si="1081">AVERAGE(P78:P81)</f>
        <v>214260.5460715275</v>
      </c>
      <c r="R81" s="74">
        <v>884.79250145857134</v>
      </c>
      <c r="S81" s="75">
        <f t="shared" ref="S81" si="1082">AVERAGE(R78:R81)</f>
        <v>907.69820538553506</v>
      </c>
      <c r="T81" s="96">
        <v>591658.46047609311</v>
      </c>
      <c r="U81" s="74">
        <v>880060.35178613965</v>
      </c>
      <c r="V81" s="75">
        <f t="shared" ref="V81" si="1083">AVERAGE(U78:U81)</f>
        <v>819907.47071432509</v>
      </c>
      <c r="W81" s="74">
        <v>1047.6908949834997</v>
      </c>
      <c r="X81" s="75">
        <f t="shared" ref="X81" si="1084">AVERAGE(W78:W81)</f>
        <v>1100.4999257059858</v>
      </c>
      <c r="Y81" s="96">
        <v>1677014.9802407864</v>
      </c>
      <c r="Z81" s="74">
        <v>0</v>
      </c>
      <c r="AA81" s="75">
        <f t="shared" ref="AA81" si="1085">AVERAGE(Z78:Z81)</f>
        <v>0</v>
      </c>
      <c r="AB81" s="74">
        <v>0</v>
      </c>
      <c r="AC81" s="75">
        <f t="shared" ref="AC81" si="1086">AVERAGE(AB78:AB81)</f>
        <v>0</v>
      </c>
      <c r="AD81" s="96" t="e">
        <v>#VALUE!</v>
      </c>
      <c r="AE81" s="74">
        <v>0</v>
      </c>
      <c r="AF81" s="75">
        <f t="shared" ref="AF81" si="1087">AVERAGE(AE78:AE81)</f>
        <v>0</v>
      </c>
      <c r="AG81" s="74">
        <v>0</v>
      </c>
      <c r="AH81" s="75">
        <f t="shared" ref="AH81" si="1088">AVERAGE(AG78:AG81)</f>
        <v>0</v>
      </c>
      <c r="AI81" s="96" t="e">
        <v>#VALUE!</v>
      </c>
      <c r="AJ81" s="74">
        <v>0</v>
      </c>
      <c r="AK81" s="75">
        <f t="shared" ref="AK81" si="1089">AVERAGE(AJ78:AJ81)</f>
        <v>0</v>
      </c>
      <c r="AL81" s="74">
        <v>0</v>
      </c>
      <c r="AM81" s="75">
        <f t="shared" ref="AM81" si="1090">AVERAGE(AL78:AL81)</f>
        <v>0</v>
      </c>
      <c r="AN81" s="96">
        <v>7768.9828330152886</v>
      </c>
      <c r="AO81" s="74">
        <f t="shared" si="906"/>
        <v>112164.68928606001</v>
      </c>
      <c r="AP81" s="75">
        <f t="shared" si="996"/>
        <v>108907.96545924614</v>
      </c>
      <c r="AQ81" s="74">
        <v>803.37738595539986</v>
      </c>
      <c r="AR81" s="92">
        <f t="shared" si="997"/>
        <v>828.39621990418686</v>
      </c>
      <c r="AS81" s="74">
        <f t="shared" si="907"/>
        <v>23482.229999890002</v>
      </c>
      <c r="AT81" s="75">
        <f t="shared" si="998"/>
        <v>26350.10785715</v>
      </c>
      <c r="AU81" s="74">
        <v>872.10154148599736</v>
      </c>
      <c r="AV81" s="92">
        <f t="shared" si="999"/>
        <v>947.09140028518618</v>
      </c>
      <c r="AW81" s="74">
        <f t="shared" si="908"/>
        <v>49693.463214240001</v>
      </c>
      <c r="AX81" s="75">
        <f t="shared" si="1000"/>
        <v>48709.453673437136</v>
      </c>
      <c r="AY81" s="74">
        <v>1038.1246607543098</v>
      </c>
      <c r="AZ81" s="92">
        <f t="shared" si="1001"/>
        <v>1026.5756141571812</v>
      </c>
      <c r="BA81" s="74">
        <f t="shared" si="909"/>
        <v>31433.780357159998</v>
      </c>
      <c r="BB81" s="75">
        <f t="shared" si="1002"/>
        <v>31544.56224497714</v>
      </c>
      <c r="BC81" s="74">
        <v>1050.6712298578934</v>
      </c>
      <c r="BD81" s="92">
        <f t="shared" si="1003"/>
        <v>1078.9283032958926</v>
      </c>
      <c r="BE81" s="93">
        <f>AO81/SUM(Table5[[#This Row],[NWP (Standard)]],Table5[[#This Row],[NWP (Plus)]],Table5[[#This Row],[NWP (Essentials)]],Table5[[#This Row],[NWP (Premium)]])</f>
        <v>0.51742646728554487</v>
      </c>
      <c r="BF81" s="93">
        <f>AS81/SUM(Table5[[#This Row],[NWP (Standard)]],Table5[[#This Row],[NWP (Plus)]],Table5[[#This Row],[NWP (Essentials)]],Table5[[#This Row],[NWP (Premium)]])</f>
        <v>0.10832577872918679</v>
      </c>
      <c r="BG81" s="93">
        <f>AW81/SUM(Table5[[#This Row],[NWP (Standard)]],Table5[[#This Row],[NWP (Plus)]],Table5[[#This Row],[NWP (Essentials)]],Table5[[#This Row],[NWP (Premium)]])</f>
        <v>0.22924071097412649</v>
      </c>
      <c r="BH81" s="94">
        <f>BA81/SUM(Table5[[#This Row],[NWP (Standard)]],Table5[[#This Row],[NWP (Plus)]],Table5[[#This Row],[NWP (Essentials)]],Table5[[#This Row],[NWP (Premium)]])</f>
        <v>0.14500704301114173</v>
      </c>
      <c r="BI81" s="93">
        <f t="shared" si="1004"/>
        <v>0.50607807496381552</v>
      </c>
      <c r="BJ81" s="93">
        <f t="shared" si="1004"/>
        <v>0.12309848896836917</v>
      </c>
      <c r="BK81" s="93">
        <f t="shared" si="1004"/>
        <v>0.22550373728947706</v>
      </c>
      <c r="BL81" s="94">
        <f t="shared" si="1004"/>
        <v>0.14531969877833831</v>
      </c>
      <c r="BM81" s="74">
        <v>0</v>
      </c>
      <c r="BN81" s="75">
        <f t="shared" si="1005"/>
        <v>0</v>
      </c>
      <c r="BO81" s="74">
        <v>0</v>
      </c>
      <c r="BP81" s="92">
        <f t="shared" si="1006"/>
        <v>0</v>
      </c>
      <c r="BQ81" s="74">
        <v>0</v>
      </c>
      <c r="BR81" s="75">
        <f t="shared" si="1007"/>
        <v>0</v>
      </c>
      <c r="BS81" s="74">
        <v>0</v>
      </c>
      <c r="BT81" s="92">
        <f t="shared" si="1008"/>
        <v>0</v>
      </c>
      <c r="BU81" s="74">
        <v>0</v>
      </c>
      <c r="BV81" s="75">
        <f t="shared" si="1009"/>
        <v>104.74489795857143</v>
      </c>
      <c r="BW81" s="74">
        <v>0</v>
      </c>
      <c r="BX81" s="92">
        <f t="shared" si="1010"/>
        <v>105.03265866436332</v>
      </c>
      <c r="BY81" s="74">
        <v>0</v>
      </c>
      <c r="BZ81" s="75">
        <f t="shared" si="1011"/>
        <v>0</v>
      </c>
      <c r="CA81" s="74">
        <v>0</v>
      </c>
      <c r="CB81" s="92">
        <f t="shared" si="1012"/>
        <v>0</v>
      </c>
      <c r="CC81" s="74">
        <v>112164.68928606001</v>
      </c>
      <c r="CD81" s="75">
        <f t="shared" si="1013"/>
        <v>108907.96545924614</v>
      </c>
      <c r="CE81" s="74">
        <v>803.37738595539986</v>
      </c>
      <c r="CF81" s="92">
        <f t="shared" si="1014"/>
        <v>828.39621990418686</v>
      </c>
      <c r="CG81" s="74">
        <v>23482.229999890002</v>
      </c>
      <c r="CH81" s="75">
        <f t="shared" si="1015"/>
        <v>26350.10785715</v>
      </c>
      <c r="CI81" s="74">
        <v>872.10154148599736</v>
      </c>
      <c r="CJ81" s="92">
        <f t="shared" si="1016"/>
        <v>947.09140028518618</v>
      </c>
      <c r="CK81" s="74">
        <v>49693.463214240001</v>
      </c>
      <c r="CL81" s="75">
        <f t="shared" si="1017"/>
        <v>48604.708775478568</v>
      </c>
      <c r="CM81" s="74">
        <v>1038.1246607543098</v>
      </c>
      <c r="CN81" s="92">
        <f t="shared" si="1018"/>
        <v>1027.3015585887911</v>
      </c>
      <c r="CO81" s="74">
        <v>31433.780357159998</v>
      </c>
      <c r="CP81" s="75">
        <f t="shared" si="1019"/>
        <v>31544.56224497714</v>
      </c>
      <c r="CQ81" s="74">
        <v>1050.6712298578934</v>
      </c>
      <c r="CR81" s="92">
        <f t="shared" si="1020"/>
        <v>1078.9283032958926</v>
      </c>
    </row>
    <row r="82" spans="1:96" x14ac:dyDescent="0.25">
      <c r="A82" s="85">
        <f t="shared" si="910"/>
        <v>45695</v>
      </c>
      <c r="B82" s="74">
        <v>1049933.7260713601</v>
      </c>
      <c r="C82" s="75">
        <f t="shared" si="939"/>
        <v>1032295.2041072025</v>
      </c>
      <c r="D82" s="74">
        <v>1040.3341495610853</v>
      </c>
      <c r="E82" s="75">
        <f t="shared" si="939"/>
        <v>1051.1856168792012</v>
      </c>
      <c r="F82" s="96">
        <f t="shared" si="889"/>
        <v>2511745.5950794029</v>
      </c>
      <c r="G82" s="75">
        <v>1049933.7260713601</v>
      </c>
      <c r="H82" s="75">
        <f t="shared" ref="H82" si="1091">AVERAGE(G79:G82)</f>
        <v>1034918.5997322012</v>
      </c>
      <c r="I82" s="75">
        <f>Table5[[#This Row],[Average NWP (Boom)]]</f>
        <v>1040.3341495610853</v>
      </c>
      <c r="J82" s="92">
        <f t="shared" ref="J82" si="1092">AVERAGE(I79:I82)</f>
        <v>1051.1856168792012</v>
      </c>
      <c r="K82" s="75">
        <f t="shared" si="892"/>
        <v>1049933.7260713598</v>
      </c>
      <c r="L82" s="75">
        <f t="shared" ref="L82" si="1093">AVERAGE(K79:K82)</f>
        <v>1032295.2041072024</v>
      </c>
      <c r="M82" s="75">
        <v>1037.4839190428456</v>
      </c>
      <c r="N82" s="75">
        <f t="shared" ref="N82" si="1094">AVERAGE(M79:M82)</f>
        <v>1048.3056563138116</v>
      </c>
      <c r="O82" s="96">
        <f t="shared" si="895"/>
        <v>2511745.5950794029</v>
      </c>
      <c r="P82" s="74">
        <v>186125.53535706995</v>
      </c>
      <c r="Q82" s="75">
        <f t="shared" ref="Q82" si="1095">AVERAGE(P79:P82)</f>
        <v>201528.42035713996</v>
      </c>
      <c r="R82" s="74">
        <v>805.73824829900411</v>
      </c>
      <c r="S82" s="75">
        <f t="shared" ref="S82" si="1096">AVERAGE(R79:R82)</f>
        <v>882.06951246543929</v>
      </c>
      <c r="T82" s="96">
        <v>655050.43838424596</v>
      </c>
      <c r="U82" s="74">
        <v>863808.1907142899</v>
      </c>
      <c r="V82" s="75">
        <f t="shared" ref="V82" si="1097">AVERAGE(U79:U82)</f>
        <v>830766.78375006246</v>
      </c>
      <c r="W82" s="74">
        <v>1106.0284132065171</v>
      </c>
      <c r="X82" s="75">
        <f t="shared" ref="X82" si="1098">AVERAGE(W79:W82)</f>
        <v>1098.7265206726966</v>
      </c>
      <c r="Y82" s="96">
        <v>1856695.1566951568</v>
      </c>
      <c r="Z82" s="74">
        <v>0</v>
      </c>
      <c r="AA82" s="75">
        <f t="shared" ref="AA82" si="1099">AVERAGE(Z79:Z82)</f>
        <v>0</v>
      </c>
      <c r="AB82" s="74">
        <v>0</v>
      </c>
      <c r="AC82" s="75">
        <f t="shared" ref="AC82" si="1100">AVERAGE(AB79:AB82)</f>
        <v>0</v>
      </c>
      <c r="AD82" s="96" t="e">
        <v>#VALUE!</v>
      </c>
      <c r="AE82" s="74">
        <v>0</v>
      </c>
      <c r="AF82" s="75">
        <f t="shared" ref="AF82" si="1101">AVERAGE(AE79:AE82)</f>
        <v>0</v>
      </c>
      <c r="AG82" s="74">
        <v>0</v>
      </c>
      <c r="AH82" s="75">
        <f t="shared" ref="AH82" si="1102">AVERAGE(AG79:AG82)</f>
        <v>0</v>
      </c>
      <c r="AI82" s="96" t="e">
        <v>#VALUE!</v>
      </c>
      <c r="AJ82" s="74">
        <v>0</v>
      </c>
      <c r="AK82" s="75">
        <f t="shared" ref="AK82" si="1103">AVERAGE(AJ79:AJ82)</f>
        <v>0</v>
      </c>
      <c r="AL82" s="74">
        <v>0</v>
      </c>
      <c r="AM82" s="75">
        <f t="shared" ref="AM82" si="1104">AVERAGE(AL79:AL82)</f>
        <v>0</v>
      </c>
      <c r="AN82" s="96">
        <v>0</v>
      </c>
      <c r="AO82" s="74">
        <f t="shared" si="906"/>
        <v>106006.60678578001</v>
      </c>
      <c r="AP82" s="75">
        <f t="shared" si="996"/>
        <v>105967.54464289757</v>
      </c>
      <c r="AQ82" s="74">
        <v>764.73261672358933</v>
      </c>
      <c r="AR82" s="92">
        <f t="shared" si="997"/>
        <v>814.2838473733367</v>
      </c>
      <c r="AS82" s="74">
        <f t="shared" si="907"/>
        <v>23414.192857049999</v>
      </c>
      <c r="AT82" s="75">
        <f t="shared" si="998"/>
        <v>25148.176173457141</v>
      </c>
      <c r="AU82" s="74">
        <v>809.60405386400782</v>
      </c>
      <c r="AV82" s="92">
        <f t="shared" si="999"/>
        <v>924.58828495617126</v>
      </c>
      <c r="AW82" s="74">
        <f t="shared" si="908"/>
        <v>32335.225000029997</v>
      </c>
      <c r="AX82" s="75">
        <f t="shared" si="1000"/>
        <v>44671.446683648574</v>
      </c>
      <c r="AY82" s="74">
        <v>953.64876573098809</v>
      </c>
      <c r="AZ82" s="92">
        <f t="shared" si="1001"/>
        <v>1015.6737164210081</v>
      </c>
      <c r="BA82" s="74">
        <f t="shared" si="909"/>
        <v>24369.510714210002</v>
      </c>
      <c r="BB82" s="75">
        <f t="shared" si="1002"/>
        <v>28279.083214335707</v>
      </c>
      <c r="BC82" s="74">
        <v>842.63654892405134</v>
      </c>
      <c r="BD82" s="92">
        <f t="shared" si="1003"/>
        <v>1034.2958562560395</v>
      </c>
      <c r="BE82" s="93">
        <f>AO82/SUM(Table5[[#This Row],[NWP (Standard)]],Table5[[#This Row],[NWP (Plus)]],Table5[[#This Row],[NWP (Essentials)]],Table5[[#This Row],[NWP (Premium)]])</f>
        <v>0.56954359638194241</v>
      </c>
      <c r="BF82" s="93">
        <f>AS82/SUM(Table5[[#This Row],[NWP (Standard)]],Table5[[#This Row],[NWP (Plus)]],Table5[[#This Row],[NWP (Essentials)]],Table5[[#This Row],[NWP (Premium)]])</f>
        <v>0.12579785364824531</v>
      </c>
      <c r="BG82" s="93">
        <f>AW82/SUM(Table5[[#This Row],[NWP (Standard)]],Table5[[#This Row],[NWP (Plus)]],Table5[[#This Row],[NWP (Essentials)]],Table5[[#This Row],[NWP (Premium)]])</f>
        <v>0.17372804294691177</v>
      </c>
      <c r="BH82" s="94">
        <f>BA82/SUM(Table5[[#This Row],[NWP (Standard)]],Table5[[#This Row],[NWP (Plus)]],Table5[[#This Row],[NWP (Essentials)]],Table5[[#This Row],[NWP (Premium)]])</f>
        <v>0.13093050702290068</v>
      </c>
      <c r="BI82" s="93">
        <f t="shared" si="1004"/>
        <v>0.51951856899866533</v>
      </c>
      <c r="BJ82" s="93">
        <f t="shared" si="1004"/>
        <v>0.12399213572159584</v>
      </c>
      <c r="BK82" s="93">
        <f t="shared" si="1004"/>
        <v>0.21780581602087681</v>
      </c>
      <c r="BL82" s="94">
        <f t="shared" si="1004"/>
        <v>0.13868347925886199</v>
      </c>
      <c r="BM82" s="74">
        <v>0</v>
      </c>
      <c r="BN82" s="75">
        <f t="shared" si="1005"/>
        <v>0</v>
      </c>
      <c r="BO82" s="74">
        <v>0</v>
      </c>
      <c r="BP82" s="92">
        <f t="shared" si="1006"/>
        <v>0</v>
      </c>
      <c r="BQ82" s="74">
        <v>0</v>
      </c>
      <c r="BR82" s="75">
        <f t="shared" si="1007"/>
        <v>0</v>
      </c>
      <c r="BS82" s="74">
        <v>0</v>
      </c>
      <c r="BT82" s="92">
        <f t="shared" si="1008"/>
        <v>0</v>
      </c>
      <c r="BU82" s="74">
        <v>0</v>
      </c>
      <c r="BV82" s="75">
        <f t="shared" si="1009"/>
        <v>0</v>
      </c>
      <c r="BW82" s="74">
        <v>0</v>
      </c>
      <c r="BX82" s="92">
        <f t="shared" si="1010"/>
        <v>0</v>
      </c>
      <c r="BY82" s="74">
        <v>0</v>
      </c>
      <c r="BZ82" s="75">
        <f t="shared" si="1011"/>
        <v>0</v>
      </c>
      <c r="CA82" s="74">
        <v>0</v>
      </c>
      <c r="CB82" s="92">
        <f t="shared" si="1012"/>
        <v>0</v>
      </c>
      <c r="CC82" s="74">
        <v>106006.60678578001</v>
      </c>
      <c r="CD82" s="75">
        <f t="shared" si="1013"/>
        <v>105967.54464289757</v>
      </c>
      <c r="CE82" s="74">
        <v>764.73261672358933</v>
      </c>
      <c r="CF82" s="92">
        <f t="shared" si="1014"/>
        <v>814.2838473733367</v>
      </c>
      <c r="CG82" s="74">
        <v>23414.192857049999</v>
      </c>
      <c r="CH82" s="75">
        <f t="shared" si="1015"/>
        <v>25148.176173457141</v>
      </c>
      <c r="CI82" s="74">
        <v>809.60405386400782</v>
      </c>
      <c r="CJ82" s="92">
        <f t="shared" si="1016"/>
        <v>924.58828495617126</v>
      </c>
      <c r="CK82" s="74">
        <v>32335.225000029997</v>
      </c>
      <c r="CL82" s="75">
        <f t="shared" si="1017"/>
        <v>44671.446683648574</v>
      </c>
      <c r="CM82" s="74">
        <v>953.64876573098809</v>
      </c>
      <c r="CN82" s="92">
        <f t="shared" si="1018"/>
        <v>1015.6737164210081</v>
      </c>
      <c r="CO82" s="74">
        <v>24369.510714210002</v>
      </c>
      <c r="CP82" s="75">
        <f t="shared" si="1019"/>
        <v>28279.083214335707</v>
      </c>
      <c r="CQ82" s="74">
        <v>842.63654892405134</v>
      </c>
      <c r="CR82" s="92">
        <f t="shared" si="1020"/>
        <v>1034.2958562560395</v>
      </c>
    </row>
    <row r="83" spans="1:96" x14ac:dyDescent="0.25">
      <c r="A83" s="85">
        <f t="shared" si="910"/>
        <v>45702</v>
      </c>
      <c r="B83" s="74">
        <v>906157.79499872006</v>
      </c>
      <c r="C83" s="75">
        <f t="shared" si="939"/>
        <v>996875.11830357253</v>
      </c>
      <c r="D83" s="74">
        <v>1097.4000476636609</v>
      </c>
      <c r="E83" s="75">
        <f t="shared" si="939"/>
        <v>1057.7688565249186</v>
      </c>
      <c r="F83" s="96">
        <f t="shared" si="889"/>
        <v>2511745.5950794029</v>
      </c>
      <c r="G83" s="75">
        <v>906157.79499872006</v>
      </c>
      <c r="H83" s="75">
        <f t="shared" ref="H83" si="1105">AVERAGE(G80:G83)</f>
        <v>997243.17839285615</v>
      </c>
      <c r="I83" s="75">
        <f>Table5[[#This Row],[Average NWP (Boom)]]</f>
        <v>1097.4000476636609</v>
      </c>
      <c r="J83" s="92">
        <f t="shared" ref="J83" si="1106">AVERAGE(I80:I83)</f>
        <v>1057.7688565249186</v>
      </c>
      <c r="K83" s="75">
        <f t="shared" si="892"/>
        <v>906157.79499872006</v>
      </c>
      <c r="L83" s="75">
        <f t="shared" ref="L83" si="1107">AVERAGE(K80:K83)</f>
        <v>996875.11830357253</v>
      </c>
      <c r="M83" s="75">
        <v>1094.3934722206764</v>
      </c>
      <c r="N83" s="75">
        <f t="shared" ref="N83" si="1108">AVERAGE(M80:M83)</f>
        <v>1054.8708596867077</v>
      </c>
      <c r="O83" s="96">
        <f t="shared" si="895"/>
        <v>2511745.5950794029</v>
      </c>
      <c r="P83" s="74">
        <v>166826.85071400003</v>
      </c>
      <c r="Q83" s="75">
        <f t="shared" ref="Q83" si="1109">AVERAGE(P80:P83)</f>
        <v>188289.88991070498</v>
      </c>
      <c r="R83" s="74">
        <v>896.91855222580659</v>
      </c>
      <c r="S83" s="75">
        <f t="shared" ref="S83" si="1110">AVERAGE(R80:R83)</f>
        <v>882.03285205276859</v>
      </c>
      <c r="T83" s="96">
        <v>655050.43838424596</v>
      </c>
      <c r="U83" s="74">
        <v>739330.94428472</v>
      </c>
      <c r="V83" s="75">
        <f t="shared" ref="V83" si="1111">AVERAGE(U80:U83)</f>
        <v>808585.22839286737</v>
      </c>
      <c r="W83" s="74">
        <v>1151.60583221919</v>
      </c>
      <c r="X83" s="75">
        <f t="shared" ref="X83" si="1112">AVERAGE(W80:W83)</f>
        <v>1105.3585610258976</v>
      </c>
      <c r="Y83" s="96">
        <v>1856695.1566951568</v>
      </c>
      <c r="Z83" s="74">
        <v>0</v>
      </c>
      <c r="AA83" s="75">
        <f t="shared" ref="AA83" si="1113">AVERAGE(Z80:Z83)</f>
        <v>0</v>
      </c>
      <c r="AB83" s="74">
        <v>0</v>
      </c>
      <c r="AC83" s="75">
        <f t="shared" ref="AC83" si="1114">AVERAGE(AB80:AB83)</f>
        <v>0</v>
      </c>
      <c r="AD83" s="96" t="e">
        <v>#VALUE!</v>
      </c>
      <c r="AE83" s="74">
        <v>0</v>
      </c>
      <c r="AF83" s="75">
        <f t="shared" ref="AF83" si="1115">AVERAGE(AE80:AE83)</f>
        <v>0</v>
      </c>
      <c r="AG83" s="74">
        <v>0</v>
      </c>
      <c r="AH83" s="75">
        <f t="shared" ref="AH83" si="1116">AVERAGE(AG80:AG83)</f>
        <v>0</v>
      </c>
      <c r="AI83" s="96" t="e">
        <v>#VALUE!</v>
      </c>
      <c r="AJ83" s="74">
        <v>0</v>
      </c>
      <c r="AK83" s="75">
        <f t="shared" ref="AK83" si="1117">AVERAGE(AJ80:AJ83)</f>
        <v>0</v>
      </c>
      <c r="AL83" s="74">
        <v>0</v>
      </c>
      <c r="AM83" s="75">
        <f t="shared" ref="AM83" si="1118">AVERAGE(AL80:AL83)</f>
        <v>0</v>
      </c>
      <c r="AN83" s="96">
        <v>0</v>
      </c>
      <c r="AO83" s="74">
        <f t="shared" si="906"/>
        <v>78007.096428290009</v>
      </c>
      <c r="AP83" s="75">
        <f t="shared" si="996"/>
        <v>99674.972602060414</v>
      </c>
      <c r="AQ83" s="74">
        <v>744.96572986770377</v>
      </c>
      <c r="AR83" s="92">
        <f t="shared" si="997"/>
        <v>788.25036189822436</v>
      </c>
      <c r="AS83" s="74">
        <f t="shared" si="907"/>
        <v>28045.377142789999</v>
      </c>
      <c r="AT83" s="75">
        <f t="shared" si="998"/>
        <v>26373.131173467144</v>
      </c>
      <c r="AU83" s="74">
        <v>1081.6317262084874</v>
      </c>
      <c r="AV83" s="92">
        <f t="shared" si="999"/>
        <v>967.54034267359168</v>
      </c>
      <c r="AW83" s="74">
        <f t="shared" si="908"/>
        <v>41418.843571570003</v>
      </c>
      <c r="AX83" s="75">
        <f t="shared" si="1000"/>
        <v>43775.507653058572</v>
      </c>
      <c r="AY83" s="74">
        <v>1092.9639895320795</v>
      </c>
      <c r="AZ83" s="92">
        <f t="shared" si="1001"/>
        <v>1019.997351709977</v>
      </c>
      <c r="BA83" s="74">
        <f t="shared" si="909"/>
        <v>19355.533571350003</v>
      </c>
      <c r="BB83" s="75">
        <f t="shared" si="1002"/>
        <v>28484.586020444283</v>
      </c>
      <c r="BC83" s="74">
        <v>1141.6887125644253</v>
      </c>
      <c r="BD83" s="92">
        <f t="shared" si="1003"/>
        <v>1069.0639830949981</v>
      </c>
      <c r="BE83" s="93">
        <f>AO83/SUM(Table5[[#This Row],[NWP (Standard)]],Table5[[#This Row],[NWP (Plus)]],Table5[[#This Row],[NWP (Essentials)]],Table5[[#This Row],[NWP (Premium)]])</f>
        <v>0.46759317276822326</v>
      </c>
      <c r="BF83" s="93">
        <f>AS83/SUM(Table5[[#This Row],[NWP (Standard)]],Table5[[#This Row],[NWP (Plus)]],Table5[[#This Row],[NWP (Essentials)]],Table5[[#This Row],[NWP (Premium)]])</f>
        <v>0.16811069095148029</v>
      </c>
      <c r="BG83" s="93">
        <f>AW83/SUM(Table5[[#This Row],[NWP (Standard)]],Table5[[#This Row],[NWP (Plus)]],Table5[[#This Row],[NWP (Essentials)]],Table5[[#This Row],[NWP (Premium)]])</f>
        <v>0.24827444379787811</v>
      </c>
      <c r="BH83" s="94">
        <f>BA83/SUM(Table5[[#This Row],[NWP (Standard)]],Table5[[#This Row],[NWP (Plus)]],Table5[[#This Row],[NWP (Essentials)]],Table5[[#This Row],[NWP (Premium)]])</f>
        <v>0.11602169248241821</v>
      </c>
      <c r="BI83" s="93">
        <f t="shared" si="1004"/>
        <v>0.50213774720931947</v>
      </c>
      <c r="BJ83" s="93">
        <f t="shared" si="1004"/>
        <v>0.13457926064133652</v>
      </c>
      <c r="BK83" s="93">
        <f t="shared" si="1004"/>
        <v>0.22038212141511845</v>
      </c>
      <c r="BL83" s="94">
        <f t="shared" si="1004"/>
        <v>0.14290087073422555</v>
      </c>
      <c r="BM83" s="74">
        <v>0</v>
      </c>
      <c r="BN83" s="75">
        <f t="shared" si="1005"/>
        <v>0</v>
      </c>
      <c r="BO83" s="74">
        <v>0</v>
      </c>
      <c r="BP83" s="92">
        <f t="shared" si="1006"/>
        <v>0</v>
      </c>
      <c r="BQ83" s="74">
        <v>0</v>
      </c>
      <c r="BR83" s="75">
        <f t="shared" si="1007"/>
        <v>0</v>
      </c>
      <c r="BS83" s="74">
        <v>0</v>
      </c>
      <c r="BT83" s="92">
        <f t="shared" si="1008"/>
        <v>0</v>
      </c>
      <c r="BU83" s="74">
        <v>0</v>
      </c>
      <c r="BV83" s="75">
        <f t="shared" si="1009"/>
        <v>0</v>
      </c>
      <c r="BW83" s="74">
        <v>0</v>
      </c>
      <c r="BX83" s="92">
        <f t="shared" si="1010"/>
        <v>0</v>
      </c>
      <c r="BY83" s="74">
        <v>0</v>
      </c>
      <c r="BZ83" s="75">
        <f t="shared" si="1011"/>
        <v>0</v>
      </c>
      <c r="CA83" s="74">
        <v>0</v>
      </c>
      <c r="CB83" s="92">
        <f t="shared" si="1012"/>
        <v>0</v>
      </c>
      <c r="CC83" s="74">
        <v>78007.096428290009</v>
      </c>
      <c r="CD83" s="75">
        <f t="shared" si="1013"/>
        <v>99674.972602060414</v>
      </c>
      <c r="CE83" s="74">
        <v>744.96572986770377</v>
      </c>
      <c r="CF83" s="92">
        <f t="shared" si="1014"/>
        <v>788.25036189822436</v>
      </c>
      <c r="CG83" s="74">
        <v>28045.377142789999</v>
      </c>
      <c r="CH83" s="75">
        <f t="shared" si="1015"/>
        <v>26373.131173467144</v>
      </c>
      <c r="CI83" s="74">
        <v>1081.6317262084874</v>
      </c>
      <c r="CJ83" s="92">
        <f t="shared" si="1016"/>
        <v>967.54034267359168</v>
      </c>
      <c r="CK83" s="74">
        <v>41418.843571570003</v>
      </c>
      <c r="CL83" s="75">
        <f t="shared" si="1017"/>
        <v>43775.507653058572</v>
      </c>
      <c r="CM83" s="74">
        <v>1092.9639895320795</v>
      </c>
      <c r="CN83" s="92">
        <f t="shared" si="1018"/>
        <v>1019.997351709977</v>
      </c>
      <c r="CO83" s="74">
        <v>19355.533571350003</v>
      </c>
      <c r="CP83" s="75">
        <f t="shared" si="1019"/>
        <v>28484.586020444283</v>
      </c>
      <c r="CQ83" s="74">
        <v>1141.6887125644253</v>
      </c>
      <c r="CR83" s="92">
        <f t="shared" si="1020"/>
        <v>1069.0639830949981</v>
      </c>
    </row>
    <row r="84" spans="1:96" x14ac:dyDescent="0.25">
      <c r="A84" s="85">
        <f t="shared" si="910"/>
        <v>45709</v>
      </c>
      <c r="B84" s="74">
        <v>807862.18107179995</v>
      </c>
      <c r="C84" s="75">
        <f t="shared" si="939"/>
        <v>965197.05419634259</v>
      </c>
      <c r="D84" s="74">
        <v>1049.3284749299164</v>
      </c>
      <c r="E84" s="75">
        <f t="shared" si="939"/>
        <v>1050.1868192476311</v>
      </c>
      <c r="F84" s="96">
        <f t="shared" si="889"/>
        <v>2511745.5950794029</v>
      </c>
      <c r="G84" s="75">
        <v>807862.18107179995</v>
      </c>
      <c r="H84" s="75">
        <f t="shared" ref="H84" si="1119">AVERAGE(G81:G84)</f>
        <v>965227.99178562756</v>
      </c>
      <c r="I84" s="75">
        <f>Table5[[#This Row],[Average NWP (Boom)]]</f>
        <v>1049.3284749299164</v>
      </c>
      <c r="J84" s="92">
        <f t="shared" ref="J84" si="1120">AVERAGE(I81:I84)</f>
        <v>1050.1868192476311</v>
      </c>
      <c r="K84" s="75">
        <f t="shared" si="892"/>
        <v>807862.18107180041</v>
      </c>
      <c r="L84" s="75">
        <f t="shared" ref="L84" si="1121">AVERAGE(K81:K84)</f>
        <v>965197.05419634236</v>
      </c>
      <c r="M84" s="75">
        <v>1046.453602424612</v>
      </c>
      <c r="N84" s="75">
        <f t="shared" ref="N84" si="1122">AVERAGE(M81:M84)</f>
        <v>1047.3095951140817</v>
      </c>
      <c r="O84" s="96">
        <f t="shared" si="895"/>
        <v>2511745.5950794029</v>
      </c>
      <c r="P84" s="74">
        <v>159080.18750020006</v>
      </c>
      <c r="Q84" s="75">
        <f t="shared" ref="Q84" si="1123">AVERAGE(P81:P84)</f>
        <v>182201.68410715502</v>
      </c>
      <c r="R84" s="74">
        <v>864.5662364141308</v>
      </c>
      <c r="S84" s="75">
        <f t="shared" ref="S84" si="1124">AVERAGE(R81:R84)</f>
        <v>863.00388459937824</v>
      </c>
      <c r="T84" s="96">
        <v>655050.43838424596</v>
      </c>
      <c r="U84" s="74">
        <v>648781.99357160029</v>
      </c>
      <c r="V84" s="75">
        <f t="shared" ref="V84" si="1125">AVERAGE(U81:U84)</f>
        <v>782995.37008918752</v>
      </c>
      <c r="W84" s="74">
        <v>1103.3707373666671</v>
      </c>
      <c r="X84" s="75">
        <f t="shared" ref="X84" si="1126">AVERAGE(W81:W84)</f>
        <v>1102.1739694439684</v>
      </c>
      <c r="Y84" s="96">
        <v>1856695.1566951568</v>
      </c>
      <c r="Z84" s="74">
        <v>0</v>
      </c>
      <c r="AA84" s="75">
        <f t="shared" ref="AA84" si="1127">AVERAGE(Z81:Z84)</f>
        <v>0</v>
      </c>
      <c r="AB84" s="74">
        <v>0</v>
      </c>
      <c r="AC84" s="75">
        <f t="shared" ref="AC84" si="1128">AVERAGE(AB81:AB84)</f>
        <v>0</v>
      </c>
      <c r="AD84" s="96" t="e">
        <v>#VALUE!</v>
      </c>
      <c r="AE84" s="74">
        <v>0</v>
      </c>
      <c r="AF84" s="75">
        <f t="shared" ref="AF84" si="1129">AVERAGE(AE81:AE84)</f>
        <v>0</v>
      </c>
      <c r="AG84" s="74">
        <v>0</v>
      </c>
      <c r="AH84" s="75">
        <f t="shared" ref="AH84" si="1130">AVERAGE(AG81:AG84)</f>
        <v>0</v>
      </c>
      <c r="AI84" s="96" t="e">
        <v>#VALUE!</v>
      </c>
      <c r="AJ84" s="74">
        <v>0</v>
      </c>
      <c r="AK84" s="75">
        <f t="shared" ref="AK84" si="1131">AVERAGE(AJ81:AJ84)</f>
        <v>0</v>
      </c>
      <c r="AL84" s="74">
        <v>0</v>
      </c>
      <c r="AM84" s="75">
        <f t="shared" ref="AM84" si="1132">AVERAGE(AL81:AL84)</f>
        <v>0</v>
      </c>
      <c r="AN84" s="96">
        <v>0</v>
      </c>
      <c r="AO84" s="74">
        <f t="shared" si="906"/>
        <v>89611.908214570009</v>
      </c>
      <c r="AP84" s="75">
        <f t="shared" si="996"/>
        <v>100099.48744903428</v>
      </c>
      <c r="AQ84" s="74">
        <v>795.20437852327814</v>
      </c>
      <c r="AR84" s="92">
        <f t="shared" si="997"/>
        <v>783.64918182694021</v>
      </c>
      <c r="AS84" s="74">
        <f t="shared" si="907"/>
        <v>19111.594999969999</v>
      </c>
      <c r="AT84" s="75">
        <f t="shared" si="998"/>
        <v>25148.841377548571</v>
      </c>
      <c r="AU84" s="74">
        <v>1064.6721878506426</v>
      </c>
      <c r="AV84" s="92">
        <f t="shared" si="999"/>
        <v>972.7703801599672</v>
      </c>
      <c r="AW84" s="74">
        <f t="shared" si="908"/>
        <v>39455.393571410001</v>
      </c>
      <c r="AX84" s="75">
        <f t="shared" si="1000"/>
        <v>43479.05112241285</v>
      </c>
      <c r="AY84" s="74">
        <v>1014.4560899668226</v>
      </c>
      <c r="AZ84" s="92">
        <f t="shared" si="1001"/>
        <v>1040.9771374484019</v>
      </c>
      <c r="BA84" s="74">
        <f t="shared" si="909"/>
        <v>10901.290714250001</v>
      </c>
      <c r="BB84" s="75">
        <f t="shared" si="1002"/>
        <v>26854.728316344284</v>
      </c>
      <c r="BC84" s="74">
        <v>780.80280820092958</v>
      </c>
      <c r="BD84" s="92">
        <f t="shared" si="1003"/>
        <v>1062.2390580200768</v>
      </c>
      <c r="BE84" s="93">
        <f>AO84/SUM(Table5[[#This Row],[NWP (Standard)]],Table5[[#This Row],[NWP (Plus)]],Table5[[#This Row],[NWP (Essentials)]],Table5[[#This Row],[NWP (Premium)]])</f>
        <v>0.56331281489379281</v>
      </c>
      <c r="BF84" s="93">
        <f>AS84/SUM(Table5[[#This Row],[NWP (Standard)]],Table5[[#This Row],[NWP (Plus)]],Table5[[#This Row],[NWP (Essentials)]],Table5[[#This Row],[NWP (Premium)]])</f>
        <v>0.12013812216525059</v>
      </c>
      <c r="BG84" s="93">
        <f>AW84/SUM(Table5[[#This Row],[NWP (Standard)]],Table5[[#This Row],[NWP (Plus)]],Table5[[#This Row],[NWP (Essentials)]],Table5[[#This Row],[NWP (Premium)]])</f>
        <v>0.24802204593428956</v>
      </c>
      <c r="BH84" s="94">
        <f>BA84/SUM(Table5[[#This Row],[NWP (Standard)]],Table5[[#This Row],[NWP (Plus)]],Table5[[#This Row],[NWP (Essentials)]],Table5[[#This Row],[NWP (Premium)]])</f>
        <v>6.8527017006667121E-2</v>
      </c>
      <c r="BI84" s="93">
        <f t="shared" si="1004"/>
        <v>0.5131397952744573</v>
      </c>
      <c r="BJ84" s="93">
        <f t="shared" si="1004"/>
        <v>0.12954576037523158</v>
      </c>
      <c r="BK84" s="93">
        <f t="shared" si="1004"/>
        <v>0.22251317043868513</v>
      </c>
      <c r="BL84" s="94">
        <f t="shared" si="1004"/>
        <v>0.13480127391162597</v>
      </c>
      <c r="BM84" s="74">
        <v>0</v>
      </c>
      <c r="BN84" s="75">
        <f t="shared" si="1005"/>
        <v>0</v>
      </c>
      <c r="BO84" s="74">
        <v>0</v>
      </c>
      <c r="BP84" s="92">
        <f t="shared" si="1006"/>
        <v>0</v>
      </c>
      <c r="BQ84" s="74">
        <v>0</v>
      </c>
      <c r="BR84" s="75">
        <f t="shared" si="1007"/>
        <v>0</v>
      </c>
      <c r="BS84" s="74">
        <v>0</v>
      </c>
      <c r="BT84" s="92">
        <f t="shared" si="1008"/>
        <v>0</v>
      </c>
      <c r="BU84" s="74">
        <v>0</v>
      </c>
      <c r="BV84" s="75">
        <f t="shared" si="1009"/>
        <v>0</v>
      </c>
      <c r="BW84" s="74">
        <v>0</v>
      </c>
      <c r="BX84" s="92">
        <f t="shared" si="1010"/>
        <v>0</v>
      </c>
      <c r="BY84" s="74">
        <v>0</v>
      </c>
      <c r="BZ84" s="75">
        <f t="shared" si="1011"/>
        <v>0</v>
      </c>
      <c r="CA84" s="74">
        <v>0</v>
      </c>
      <c r="CB84" s="92">
        <f t="shared" si="1012"/>
        <v>0</v>
      </c>
      <c r="CC84" s="74">
        <v>89611.908214570009</v>
      </c>
      <c r="CD84" s="75">
        <f t="shared" si="1013"/>
        <v>100099.48744903428</v>
      </c>
      <c r="CE84" s="74">
        <v>795.20437852327814</v>
      </c>
      <c r="CF84" s="92">
        <f t="shared" si="1014"/>
        <v>783.64918182694021</v>
      </c>
      <c r="CG84" s="74">
        <v>19111.594999969999</v>
      </c>
      <c r="CH84" s="75">
        <f t="shared" si="1015"/>
        <v>25148.841377548571</v>
      </c>
      <c r="CI84" s="74">
        <v>1064.6721878506426</v>
      </c>
      <c r="CJ84" s="92">
        <f t="shared" si="1016"/>
        <v>972.7703801599672</v>
      </c>
      <c r="CK84" s="74">
        <v>39455.393571410001</v>
      </c>
      <c r="CL84" s="75">
        <f t="shared" si="1017"/>
        <v>43479.05112241285</v>
      </c>
      <c r="CM84" s="74">
        <v>1014.4560899668226</v>
      </c>
      <c r="CN84" s="92">
        <f t="shared" si="1018"/>
        <v>1040.9771374484019</v>
      </c>
      <c r="CO84" s="74">
        <v>10901.290714250001</v>
      </c>
      <c r="CP84" s="75">
        <f t="shared" si="1019"/>
        <v>26854.728316344284</v>
      </c>
      <c r="CQ84" s="74">
        <v>780.80280820092958</v>
      </c>
      <c r="CR84" s="92">
        <f t="shared" si="1020"/>
        <v>1062.2390580200768</v>
      </c>
    </row>
    <row r="85" spans="1:96" x14ac:dyDescent="0.25">
      <c r="A85" s="85">
        <f t="shared" si="910"/>
        <v>45716</v>
      </c>
      <c r="B85" s="74">
        <v>998074.90285724995</v>
      </c>
      <c r="C85" s="75">
        <f t="shared" si="939"/>
        <v>940507.15124978253</v>
      </c>
      <c r="D85" s="74">
        <v>1026.478837793429</v>
      </c>
      <c r="E85" s="75">
        <f t="shared" si="939"/>
        <v>1053.3853774870229</v>
      </c>
      <c r="F85" s="96">
        <f t="shared" si="889"/>
        <v>2511745.5950794029</v>
      </c>
      <c r="G85" s="75">
        <v>998074.90285724995</v>
      </c>
      <c r="H85" s="75">
        <f t="shared" ref="H85" si="1133">AVERAGE(G82:G85)</f>
        <v>940507.15124978253</v>
      </c>
      <c r="I85" s="75">
        <f>Table5[[#This Row],[Average NWP (Boom)]]</f>
        <v>1026.478837793429</v>
      </c>
      <c r="J85" s="92">
        <f t="shared" ref="J85" si="1134">AVERAGE(I82:I85)</f>
        <v>1053.3853774870229</v>
      </c>
      <c r="K85" s="75">
        <f t="shared" si="892"/>
        <v>998074.90285725007</v>
      </c>
      <c r="L85" s="75">
        <f t="shared" ref="L85" si="1135">AVERAGE(K82:K85)</f>
        <v>940507.15124978253</v>
      </c>
      <c r="M85" s="75">
        <v>1023.6665670330769</v>
      </c>
      <c r="N85" s="75">
        <f t="shared" ref="N85" si="1136">AVERAGE(M82:M85)</f>
        <v>1050.4993901803027</v>
      </c>
      <c r="O85" s="96">
        <f t="shared" si="895"/>
        <v>2511745.5950794029</v>
      </c>
      <c r="P85" s="74">
        <v>187675.14142844998</v>
      </c>
      <c r="Q85" s="75">
        <f t="shared" ref="Q85" si="1137">AVERAGE(P82:P85)</f>
        <v>174926.92874993</v>
      </c>
      <c r="R85" s="74">
        <v>924.50808585443338</v>
      </c>
      <c r="S85" s="75">
        <f t="shared" ref="S85" si="1138">AVERAGE(R82:R85)</f>
        <v>872.93278069834378</v>
      </c>
      <c r="T85" s="96">
        <v>655050.43838424596</v>
      </c>
      <c r="U85" s="74">
        <v>810399.76142880006</v>
      </c>
      <c r="V85" s="75">
        <f t="shared" ref="V85" si="1139">AVERAGE(U82:U85)</f>
        <v>765580.22249985253</v>
      </c>
      <c r="W85" s="74">
        <v>1049.7406236124352</v>
      </c>
      <c r="X85" s="75">
        <f t="shared" ref="X85" si="1140">AVERAGE(W82:W85)</f>
        <v>1102.6864016012023</v>
      </c>
      <c r="Y85" s="96">
        <v>1856695.1566951568</v>
      </c>
      <c r="Z85" s="74">
        <v>0</v>
      </c>
      <c r="AA85" s="75">
        <f t="shared" ref="AA85" si="1141">AVERAGE(Z82:Z85)</f>
        <v>0</v>
      </c>
      <c r="AB85" s="74">
        <v>0</v>
      </c>
      <c r="AC85" s="75">
        <f t="shared" ref="AC85" si="1142">AVERAGE(AB82:AB85)</f>
        <v>0</v>
      </c>
      <c r="AD85" s="96" t="e">
        <v>#VALUE!</v>
      </c>
      <c r="AE85" s="74">
        <v>0</v>
      </c>
      <c r="AF85" s="75">
        <f t="shared" ref="AF85" si="1143">AVERAGE(AE82:AE85)</f>
        <v>0</v>
      </c>
      <c r="AG85" s="74">
        <v>0</v>
      </c>
      <c r="AH85" s="75">
        <f t="shared" ref="AH85" si="1144">AVERAGE(AG82:AG85)</f>
        <v>0</v>
      </c>
      <c r="AI85" s="96" t="e">
        <v>#VALUE!</v>
      </c>
      <c r="AJ85" s="74">
        <v>0</v>
      </c>
      <c r="AK85" s="75">
        <f t="shared" ref="AK85" si="1145">AVERAGE(AJ82:AJ85)</f>
        <v>0</v>
      </c>
      <c r="AL85" s="74">
        <v>0</v>
      </c>
      <c r="AM85" s="75">
        <f t="shared" ref="AM85" si="1146">AVERAGE(AL82:AL85)</f>
        <v>0</v>
      </c>
      <c r="AN85" s="96">
        <v>0</v>
      </c>
      <c r="AO85" s="74">
        <f t="shared" si="906"/>
        <v>97096.915000019973</v>
      </c>
      <c r="AP85" s="75">
        <f t="shared" si="996"/>
        <v>98225.546071451419</v>
      </c>
      <c r="AQ85" s="74">
        <v>778.9093181106299</v>
      </c>
      <c r="AR85" s="92">
        <f t="shared" si="997"/>
        <v>780.51480724985447</v>
      </c>
      <c r="AS85" s="74">
        <f t="shared" si="907"/>
        <v>31352.632142679999</v>
      </c>
      <c r="AT85" s="75">
        <f t="shared" si="998"/>
        <v>25717.749132597142</v>
      </c>
      <c r="AU85" s="74">
        <v>1209.1832979463031</v>
      </c>
      <c r="AV85" s="92">
        <f t="shared" si="999"/>
        <v>1010.3114871196721</v>
      </c>
      <c r="AW85" s="74">
        <f t="shared" si="908"/>
        <v>34386.744642850004</v>
      </c>
      <c r="AX85" s="75">
        <f t="shared" si="1000"/>
        <v>40020.978622432856</v>
      </c>
      <c r="AY85" s="74">
        <v>1112.2972167932862</v>
      </c>
      <c r="AZ85" s="92">
        <f t="shared" si="1001"/>
        <v>1044.4422884876135</v>
      </c>
      <c r="BA85" s="74">
        <f t="shared" si="909"/>
        <v>24838.849642900004</v>
      </c>
      <c r="BB85" s="75">
        <f t="shared" si="1002"/>
        <v>24563.70632654857</v>
      </c>
      <c r="BC85" s="74">
        <v>1186.0518209588477</v>
      </c>
      <c r="BD85" s="92">
        <f t="shared" si="1003"/>
        <v>1085.2882457161536</v>
      </c>
      <c r="BE85" s="93">
        <f>AO85/SUM(Table5[[#This Row],[NWP (Standard)]],Table5[[#This Row],[NWP (Plus)]],Table5[[#This Row],[NWP (Essentials)]],Table5[[#This Row],[NWP (Premium)]])</f>
        <v>0.51736694727382204</v>
      </c>
      <c r="BF85" s="93">
        <f>AS85/SUM(Table5[[#This Row],[NWP (Standard)]],Table5[[#This Row],[NWP (Plus)]],Table5[[#This Row],[NWP (Essentials)]],Table5[[#This Row],[NWP (Premium)]])</f>
        <v>0.16705799129307172</v>
      </c>
      <c r="BG85" s="93">
        <f>AW85/SUM(Table5[[#This Row],[NWP (Standard)]],Table5[[#This Row],[NWP (Plus)]],Table5[[#This Row],[NWP (Essentials)]],Table5[[#This Row],[NWP (Premium)]])</f>
        <v>0.18322482338962159</v>
      </c>
      <c r="BH85" s="94">
        <f>BA85/SUM(Table5[[#This Row],[NWP (Standard)]],Table5[[#This Row],[NWP (Plus)]],Table5[[#This Row],[NWP (Essentials)]],Table5[[#This Row],[NWP (Premium)]])</f>
        <v>0.13235023804348467</v>
      </c>
      <c r="BI85" s="93">
        <f t="shared" si="1004"/>
        <v>0.52063020279054362</v>
      </c>
      <c r="BJ85" s="93">
        <f t="shared" si="1004"/>
        <v>0.13691689077644867</v>
      </c>
      <c r="BK85" s="93">
        <f t="shared" si="1004"/>
        <v>0.21337778030256099</v>
      </c>
      <c r="BL85" s="94">
        <f t="shared" si="1004"/>
        <v>0.12907512613044664</v>
      </c>
      <c r="BM85" s="74">
        <v>0</v>
      </c>
      <c r="BN85" s="75">
        <f t="shared" si="1005"/>
        <v>0</v>
      </c>
      <c r="BO85" s="74">
        <v>0</v>
      </c>
      <c r="BP85" s="92">
        <f t="shared" si="1006"/>
        <v>0</v>
      </c>
      <c r="BQ85" s="74">
        <v>0</v>
      </c>
      <c r="BR85" s="75">
        <f t="shared" si="1007"/>
        <v>0</v>
      </c>
      <c r="BS85" s="74">
        <v>0</v>
      </c>
      <c r="BT85" s="92">
        <f t="shared" si="1008"/>
        <v>0</v>
      </c>
      <c r="BU85" s="74">
        <v>0</v>
      </c>
      <c r="BV85" s="75">
        <f t="shared" si="1009"/>
        <v>0</v>
      </c>
      <c r="BW85" s="74">
        <v>0</v>
      </c>
      <c r="BX85" s="92">
        <f t="shared" si="1010"/>
        <v>0</v>
      </c>
      <c r="BY85" s="74">
        <v>0</v>
      </c>
      <c r="BZ85" s="75">
        <f t="shared" si="1011"/>
        <v>0</v>
      </c>
      <c r="CA85" s="74">
        <v>0</v>
      </c>
      <c r="CB85" s="92">
        <f t="shared" si="1012"/>
        <v>0</v>
      </c>
      <c r="CC85" s="74">
        <v>97096.915000019973</v>
      </c>
      <c r="CD85" s="75">
        <f t="shared" si="1013"/>
        <v>98225.546071451419</v>
      </c>
      <c r="CE85" s="74">
        <v>778.9093181106299</v>
      </c>
      <c r="CF85" s="92">
        <f t="shared" si="1014"/>
        <v>780.51480724985447</v>
      </c>
      <c r="CG85" s="74">
        <v>31352.632142679999</v>
      </c>
      <c r="CH85" s="75">
        <f t="shared" si="1015"/>
        <v>25717.749132597142</v>
      </c>
      <c r="CI85" s="74">
        <v>1209.1832979463031</v>
      </c>
      <c r="CJ85" s="92">
        <f t="shared" si="1016"/>
        <v>1010.3114871196721</v>
      </c>
      <c r="CK85" s="74">
        <v>34386.744642850004</v>
      </c>
      <c r="CL85" s="75">
        <f t="shared" si="1017"/>
        <v>40020.978622432856</v>
      </c>
      <c r="CM85" s="74">
        <v>1112.2972167932862</v>
      </c>
      <c r="CN85" s="92">
        <f t="shared" si="1018"/>
        <v>1044.4422884876135</v>
      </c>
      <c r="CO85" s="74">
        <v>24838.849642900004</v>
      </c>
      <c r="CP85" s="75">
        <f t="shared" si="1019"/>
        <v>24563.70632654857</v>
      </c>
      <c r="CQ85" s="74">
        <v>1186.0518209588477</v>
      </c>
      <c r="CR85" s="92">
        <f t="shared" si="1020"/>
        <v>1085.2882457161536</v>
      </c>
    </row>
    <row r="86" spans="1:96" x14ac:dyDescent="0.25">
      <c r="A86" s="85">
        <f t="shared" si="910"/>
        <v>45723</v>
      </c>
      <c r="B86" s="74">
        <v>1013544.6303568799</v>
      </c>
      <c r="C86" s="75">
        <f t="shared" si="939"/>
        <v>931409.87732116249</v>
      </c>
      <c r="D86" s="74">
        <v>1051.0125063073108</v>
      </c>
      <c r="E86" s="75">
        <f t="shared" si="939"/>
        <v>1056.0549666735794</v>
      </c>
      <c r="F86" s="96">
        <f t="shared" si="889"/>
        <v>2268673.4407168794</v>
      </c>
      <c r="G86" s="75">
        <v>1013544.6303568799</v>
      </c>
      <c r="H86" s="75">
        <f t="shared" ref="H86" si="1147">AVERAGE(G83:G86)</f>
        <v>931409.87732116249</v>
      </c>
      <c r="I86" s="75">
        <f>Table5[[#This Row],[Average NWP (Boom)]]</f>
        <v>1051.0125063073108</v>
      </c>
      <c r="J86" s="92">
        <f t="shared" ref="J86" si="1148">AVERAGE(I83:I86)</f>
        <v>1056.0549666735794</v>
      </c>
      <c r="K86" s="75">
        <f t="shared" si="892"/>
        <v>1013544.6303568796</v>
      </c>
      <c r="L86" s="75">
        <f t="shared" ref="L86" si="1149">AVERAGE(K83:K86)</f>
        <v>931409.87732116249</v>
      </c>
      <c r="M86" s="75">
        <v>1048.1330200174557</v>
      </c>
      <c r="N86" s="75">
        <f t="shared" ref="N86" si="1150">AVERAGE(M83:M86)</f>
        <v>1053.1616654239551</v>
      </c>
      <c r="O86" s="96">
        <f t="shared" si="895"/>
        <v>2268673.4407168794</v>
      </c>
      <c r="P86" s="74">
        <v>174287.98892822993</v>
      </c>
      <c r="Q86" s="75">
        <f t="shared" ref="Q86" si="1151">AVERAGE(P83:P86)</f>
        <v>171967.54214271999</v>
      </c>
      <c r="R86" s="74">
        <v>952.39338212147504</v>
      </c>
      <c r="S86" s="75">
        <f t="shared" ref="S86" si="1152">AVERAGE(R83:R86)</f>
        <v>909.59656415396148</v>
      </c>
      <c r="T86" s="96">
        <v>591658.46047609311</v>
      </c>
      <c r="U86" s="74">
        <v>839256.64142864966</v>
      </c>
      <c r="V86" s="75">
        <f t="shared" ref="V86" si="1153">AVERAGE(U83:U86)</f>
        <v>759442.33517844253</v>
      </c>
      <c r="W86" s="74">
        <v>1070.4804099855226</v>
      </c>
      <c r="X86" s="75">
        <f t="shared" ref="X86" si="1154">AVERAGE(W83:W86)</f>
        <v>1093.7994007959537</v>
      </c>
      <c r="Y86" s="96">
        <v>1677014.9802407864</v>
      </c>
      <c r="Z86" s="74">
        <v>0</v>
      </c>
      <c r="AA86" s="75">
        <f t="shared" ref="AA86" si="1155">AVERAGE(Z83:Z86)</f>
        <v>0</v>
      </c>
      <c r="AB86" s="74">
        <v>0</v>
      </c>
      <c r="AC86" s="75">
        <f t="shared" ref="AC86" si="1156">AVERAGE(AB83:AB86)</f>
        <v>0</v>
      </c>
      <c r="AD86" s="96" t="e">
        <v>#VALUE!</v>
      </c>
      <c r="AE86" s="74">
        <v>0</v>
      </c>
      <c r="AF86" s="75">
        <f t="shared" ref="AF86" si="1157">AVERAGE(AE83:AE86)</f>
        <v>0</v>
      </c>
      <c r="AG86" s="74">
        <v>0</v>
      </c>
      <c r="AH86" s="75">
        <f t="shared" ref="AH86" si="1158">AVERAGE(AG83:AG86)</f>
        <v>0</v>
      </c>
      <c r="AI86" s="96" t="e">
        <v>#VALUE!</v>
      </c>
      <c r="AJ86" s="74">
        <v>0</v>
      </c>
      <c r="AK86" s="75">
        <f t="shared" ref="AK86" si="1159">AVERAGE(AJ83:AJ86)</f>
        <v>0</v>
      </c>
      <c r="AL86" s="74">
        <v>0</v>
      </c>
      <c r="AM86" s="75">
        <f t="shared" ref="AM86" si="1160">AVERAGE(AL83:AL86)</f>
        <v>0</v>
      </c>
      <c r="AN86" s="96">
        <v>0</v>
      </c>
      <c r="AO86" s="74">
        <f t="shared" si="906"/>
        <v>93009.166071280008</v>
      </c>
      <c r="AP86" s="75">
        <f t="shared" si="996"/>
        <v>94602.172806154282</v>
      </c>
      <c r="AQ86" s="74">
        <v>888.23510243549333</v>
      </c>
      <c r="AR86" s="92">
        <f t="shared" si="997"/>
        <v>793.60114607600838</v>
      </c>
      <c r="AS86" s="74">
        <f t="shared" si="907"/>
        <v>23100.511785769999</v>
      </c>
      <c r="AT86" s="75">
        <f t="shared" si="998"/>
        <v>24459.583928524287</v>
      </c>
      <c r="AU86" s="74">
        <v>965.16561373333445</v>
      </c>
      <c r="AV86" s="92">
        <f t="shared" si="999"/>
        <v>1005.3560094272864</v>
      </c>
      <c r="AW86" s="74">
        <f t="shared" si="908"/>
        <v>42544.878571230009</v>
      </c>
      <c r="AX86" s="75">
        <f t="shared" si="1000"/>
        <v>39673.98540814429</v>
      </c>
      <c r="AY86" s="74">
        <v>1122.6778974893246</v>
      </c>
      <c r="AZ86" s="92">
        <f t="shared" si="1001"/>
        <v>1047.6910977074263</v>
      </c>
      <c r="BA86" s="74">
        <f t="shared" si="909"/>
        <v>15633.43249995</v>
      </c>
      <c r="BB86" s="75">
        <f t="shared" si="1002"/>
        <v>23293.240357134284</v>
      </c>
      <c r="BC86" s="74">
        <v>979.773843118988</v>
      </c>
      <c r="BD86" s="92">
        <f t="shared" si="1003"/>
        <v>1072.4977058298466</v>
      </c>
      <c r="BE86" s="93">
        <f>AO86/SUM(Table5[[#This Row],[NWP (Standard)]],Table5[[#This Row],[NWP (Plus)]],Table5[[#This Row],[NWP (Essentials)]],Table5[[#This Row],[NWP (Premium)]])</f>
        <v>0.53365218477321585</v>
      </c>
      <c r="BF86" s="93">
        <f>AS86/SUM(Table5[[#This Row],[NWP (Standard)]],Table5[[#This Row],[NWP (Plus)]],Table5[[#This Row],[NWP (Essentials)]],Table5[[#This Row],[NWP (Premium)]])</f>
        <v>0.13254219024400213</v>
      </c>
      <c r="BG86" s="93">
        <f>AW86/SUM(Table5[[#This Row],[NWP (Standard)]],Table5[[#This Row],[NWP (Plus)]],Table5[[#This Row],[NWP (Essentials)]],Table5[[#This Row],[NWP (Premium)]])</f>
        <v>0.24410677312221182</v>
      </c>
      <c r="BH86" s="94">
        <f>BA86/SUM(Table5[[#This Row],[NWP (Standard)]],Table5[[#This Row],[NWP (Plus)]],Table5[[#This Row],[NWP (Essentials)]],Table5[[#This Row],[NWP (Premium)]])</f>
        <v>8.9698851860570181E-2</v>
      </c>
      <c r="BI86" s="93">
        <f t="shared" si="1004"/>
        <v>0.5199241864000711</v>
      </c>
      <c r="BJ86" s="93">
        <f t="shared" si="1004"/>
        <v>0.13511157607503874</v>
      </c>
      <c r="BK86" s="93">
        <f t="shared" si="1004"/>
        <v>0.21901728638552428</v>
      </c>
      <c r="BL86" s="94">
        <f t="shared" si="1004"/>
        <v>0.1259469511393658</v>
      </c>
      <c r="BM86" s="74">
        <v>0</v>
      </c>
      <c r="BN86" s="75">
        <f t="shared" si="1005"/>
        <v>0</v>
      </c>
      <c r="BO86" s="74">
        <v>0</v>
      </c>
      <c r="BP86" s="92">
        <f t="shared" si="1006"/>
        <v>0</v>
      </c>
      <c r="BQ86" s="74">
        <v>0</v>
      </c>
      <c r="BR86" s="75">
        <f t="shared" si="1007"/>
        <v>0</v>
      </c>
      <c r="BS86" s="74">
        <v>0</v>
      </c>
      <c r="BT86" s="92">
        <f t="shared" si="1008"/>
        <v>0</v>
      </c>
      <c r="BU86" s="74">
        <v>0</v>
      </c>
      <c r="BV86" s="75">
        <f t="shared" si="1009"/>
        <v>0</v>
      </c>
      <c r="BW86" s="74">
        <v>0</v>
      </c>
      <c r="BX86" s="92">
        <f t="shared" si="1010"/>
        <v>0</v>
      </c>
      <c r="BY86" s="74">
        <v>0</v>
      </c>
      <c r="BZ86" s="75">
        <f t="shared" si="1011"/>
        <v>0</v>
      </c>
      <c r="CA86" s="74">
        <v>0</v>
      </c>
      <c r="CB86" s="92">
        <f t="shared" si="1012"/>
        <v>0</v>
      </c>
      <c r="CC86" s="74">
        <v>93009.166071280008</v>
      </c>
      <c r="CD86" s="75">
        <f t="shared" si="1013"/>
        <v>94602.172806154282</v>
      </c>
      <c r="CE86" s="74">
        <v>888.23510243549333</v>
      </c>
      <c r="CF86" s="92">
        <f t="shared" si="1014"/>
        <v>793.60114607600838</v>
      </c>
      <c r="CG86" s="74">
        <v>23100.511785769999</v>
      </c>
      <c r="CH86" s="75">
        <f t="shared" si="1015"/>
        <v>24459.583928524287</v>
      </c>
      <c r="CI86" s="74">
        <v>965.16561373333445</v>
      </c>
      <c r="CJ86" s="92">
        <f t="shared" si="1016"/>
        <v>1005.3560094272864</v>
      </c>
      <c r="CK86" s="74">
        <v>42544.878571230009</v>
      </c>
      <c r="CL86" s="75">
        <f t="shared" si="1017"/>
        <v>39673.98540814429</v>
      </c>
      <c r="CM86" s="74">
        <v>1122.6778974893246</v>
      </c>
      <c r="CN86" s="92">
        <f t="shared" si="1018"/>
        <v>1047.6910977074263</v>
      </c>
      <c r="CO86" s="74">
        <v>15633.43249995</v>
      </c>
      <c r="CP86" s="75">
        <f t="shared" si="1019"/>
        <v>23293.240357134284</v>
      </c>
      <c r="CQ86" s="74">
        <v>979.773843118988</v>
      </c>
      <c r="CR86" s="92">
        <f t="shared" si="1020"/>
        <v>1072.4977058298466</v>
      </c>
    </row>
    <row r="87" spans="1:96" x14ac:dyDescent="0.25">
      <c r="A87" s="85">
        <f t="shared" si="910"/>
        <v>45730</v>
      </c>
      <c r="B87" s="74">
        <v>1023509.2667853299</v>
      </c>
      <c r="C87" s="75">
        <f t="shared" si="939"/>
        <v>960747.74526781496</v>
      </c>
      <c r="D87" s="74">
        <v>1086.0540797906328</v>
      </c>
      <c r="E87" s="75">
        <f t="shared" si="939"/>
        <v>1053.2184747053225</v>
      </c>
      <c r="F87" s="96">
        <f t="shared" si="889"/>
        <v>2268673.4407168794</v>
      </c>
      <c r="G87" s="75">
        <v>1023509.2667853299</v>
      </c>
      <c r="H87" s="75">
        <f t="shared" ref="H87" si="1161">AVERAGE(G84:G87)</f>
        <v>960747.74526781496</v>
      </c>
      <c r="I87" s="75">
        <f>Table5[[#This Row],[Average NWP (Boom)]]</f>
        <v>1086.0540797906328</v>
      </c>
      <c r="J87" s="92">
        <f t="shared" ref="J87" si="1162">AVERAGE(I84:I87)</f>
        <v>1053.2184747053225</v>
      </c>
      <c r="K87" s="75">
        <f t="shared" si="892"/>
        <v>1023509.2667853301</v>
      </c>
      <c r="L87" s="75">
        <f t="shared" ref="L87" si="1163">AVERAGE(K84:K87)</f>
        <v>960747.74526781507</v>
      </c>
      <c r="M87" s="75">
        <v>1083.0785891908256</v>
      </c>
      <c r="N87" s="75">
        <f t="shared" ref="N87" si="1164">AVERAGE(M84:M87)</f>
        <v>1050.3329446664925</v>
      </c>
      <c r="O87" s="96">
        <f t="shared" si="895"/>
        <v>2268673.4407168794</v>
      </c>
      <c r="P87" s="74">
        <v>189021.92964290999</v>
      </c>
      <c r="Q87" s="75">
        <f t="shared" ref="Q87" si="1165">AVERAGE(P84:P87)</f>
        <v>177516.31187494748</v>
      </c>
      <c r="R87" s="74">
        <v>964.39760021892857</v>
      </c>
      <c r="S87" s="75">
        <f t="shared" ref="S87" si="1166">AVERAGE(R84:R87)</f>
        <v>926.46632615224189</v>
      </c>
      <c r="T87" s="96">
        <v>591658.46047609311</v>
      </c>
      <c r="U87" s="74">
        <v>834487.33714242012</v>
      </c>
      <c r="V87" s="75">
        <f t="shared" ref="V87" si="1167">AVERAGE(U84:U87)</f>
        <v>783231.43339286745</v>
      </c>
      <c r="W87" s="74">
        <v>1114.1352965853407</v>
      </c>
      <c r="X87" s="75">
        <f t="shared" ref="X87" si="1168">AVERAGE(W84:W87)</f>
        <v>1084.4317668874914</v>
      </c>
      <c r="Y87" s="96">
        <v>1677014.9802407864</v>
      </c>
      <c r="Z87" s="74">
        <v>0</v>
      </c>
      <c r="AA87" s="75">
        <f t="shared" ref="AA87" si="1169">AVERAGE(Z84:Z87)</f>
        <v>0</v>
      </c>
      <c r="AB87" s="74">
        <v>0</v>
      </c>
      <c r="AC87" s="75">
        <f t="shared" ref="AC87" si="1170">AVERAGE(AB84:AB87)</f>
        <v>0</v>
      </c>
      <c r="AD87" s="96" t="e">
        <v>#VALUE!</v>
      </c>
      <c r="AE87" s="74">
        <v>0</v>
      </c>
      <c r="AF87" s="75">
        <f t="shared" ref="AF87" si="1171">AVERAGE(AE84:AE87)</f>
        <v>0</v>
      </c>
      <c r="AG87" s="74">
        <v>0</v>
      </c>
      <c r="AH87" s="75">
        <f t="shared" ref="AH87" si="1172">AVERAGE(AG84:AG87)</f>
        <v>0</v>
      </c>
      <c r="AI87" s="96" t="e">
        <v>#VALUE!</v>
      </c>
      <c r="AJ87" s="74">
        <v>0</v>
      </c>
      <c r="AK87" s="75">
        <f t="shared" ref="AK87" si="1173">AVERAGE(AJ84:AJ87)</f>
        <v>0</v>
      </c>
      <c r="AL87" s="74">
        <v>0</v>
      </c>
      <c r="AM87" s="75">
        <f t="shared" ref="AM87" si="1174">AVERAGE(AL84:AL87)</f>
        <v>0</v>
      </c>
      <c r="AN87" s="96">
        <v>0</v>
      </c>
      <c r="AO87" s="74">
        <f t="shared" si="906"/>
        <v>99994.170357109993</v>
      </c>
      <c r="AP87" s="75">
        <f t="shared" si="996"/>
        <v>96555.793163301423</v>
      </c>
      <c r="AQ87" s="74">
        <v>887.33521781927607</v>
      </c>
      <c r="AR87" s="92">
        <f t="shared" si="997"/>
        <v>808.96567849076723</v>
      </c>
      <c r="AS87" s="74">
        <f t="shared" si="907"/>
        <v>30560.007142880004</v>
      </c>
      <c r="AT87" s="75">
        <f t="shared" si="998"/>
        <v>25580.935153004284</v>
      </c>
      <c r="AU87" s="74">
        <v>928.6049456247722</v>
      </c>
      <c r="AV87" s="92">
        <f t="shared" si="999"/>
        <v>990.13762381622075</v>
      </c>
      <c r="AW87" s="74">
        <f t="shared" si="908"/>
        <v>37890.830000080001</v>
      </c>
      <c r="AX87" s="75">
        <f t="shared" si="1000"/>
        <v>39675.054081630005</v>
      </c>
      <c r="AY87" s="74">
        <v>1117.4978142896939</v>
      </c>
      <c r="AZ87" s="92">
        <f t="shared" si="1001"/>
        <v>1064.5237763652149</v>
      </c>
      <c r="BA87" s="74">
        <f t="shared" si="909"/>
        <v>20576.922142840001</v>
      </c>
      <c r="BB87" s="75">
        <f t="shared" si="1002"/>
        <v>21015.617091808574</v>
      </c>
      <c r="BC87" s="74">
        <v>1289.5907592600045</v>
      </c>
      <c r="BD87" s="92">
        <f t="shared" si="1003"/>
        <v>1038.7451032693057</v>
      </c>
      <c r="BE87" s="93">
        <f>AO87/SUM(Table5[[#This Row],[NWP (Standard)]],Table5[[#This Row],[NWP (Plus)]],Table5[[#This Row],[NWP (Essentials)]],Table5[[#This Row],[NWP (Premium)]])</f>
        <v>0.52900830367150298</v>
      </c>
      <c r="BF87" s="93">
        <f>AS87/SUM(Table5[[#This Row],[NWP (Standard)]],Table5[[#This Row],[NWP (Plus)]],Table5[[#This Row],[NWP (Essentials)]],Table5[[#This Row],[NWP (Premium)]])</f>
        <v>0.16167440042862918</v>
      </c>
      <c r="BG87" s="93">
        <f>AW87/SUM(Table5[[#This Row],[NWP (Standard)]],Table5[[#This Row],[NWP (Plus)]],Table5[[#This Row],[NWP (Essentials)]],Table5[[#This Row],[NWP (Premium)]])</f>
        <v>0.20045732297655255</v>
      </c>
      <c r="BH87" s="94">
        <f>BA87/SUM(Table5[[#This Row],[NWP (Standard)]],Table5[[#This Row],[NWP (Plus)]],Table5[[#This Row],[NWP (Essentials)]],Table5[[#This Row],[NWP (Premium)]])</f>
        <v>0.10885997292331535</v>
      </c>
      <c r="BI87" s="93">
        <f t="shared" si="1004"/>
        <v>0.52827192672114909</v>
      </c>
      <c r="BJ87" s="93">
        <f t="shared" si="1004"/>
        <v>0.14052100392283801</v>
      </c>
      <c r="BK87" s="93">
        <f t="shared" si="1004"/>
        <v>0.21815059473451309</v>
      </c>
      <c r="BL87" s="94">
        <f t="shared" si="1004"/>
        <v>0.11305647462149972</v>
      </c>
      <c r="BM87" s="74">
        <v>0</v>
      </c>
      <c r="BN87" s="75">
        <f t="shared" si="1005"/>
        <v>0</v>
      </c>
      <c r="BO87" s="74">
        <v>0</v>
      </c>
      <c r="BP87" s="92">
        <f t="shared" si="1006"/>
        <v>0</v>
      </c>
      <c r="BQ87" s="74">
        <v>0</v>
      </c>
      <c r="BR87" s="75">
        <f t="shared" si="1007"/>
        <v>0</v>
      </c>
      <c r="BS87" s="74">
        <v>0</v>
      </c>
      <c r="BT87" s="92">
        <f t="shared" si="1008"/>
        <v>0</v>
      </c>
      <c r="BU87" s="74">
        <v>0</v>
      </c>
      <c r="BV87" s="75">
        <f t="shared" si="1009"/>
        <v>0</v>
      </c>
      <c r="BW87" s="74">
        <v>0</v>
      </c>
      <c r="BX87" s="92">
        <f t="shared" si="1010"/>
        <v>0</v>
      </c>
      <c r="BY87" s="74">
        <v>0</v>
      </c>
      <c r="BZ87" s="75">
        <f t="shared" si="1011"/>
        <v>0</v>
      </c>
      <c r="CA87" s="74">
        <v>0</v>
      </c>
      <c r="CB87" s="92">
        <f t="shared" si="1012"/>
        <v>0</v>
      </c>
      <c r="CC87" s="74">
        <v>99994.170357109993</v>
      </c>
      <c r="CD87" s="75">
        <f t="shared" si="1013"/>
        <v>96555.793163301423</v>
      </c>
      <c r="CE87" s="74">
        <v>887.33521781927607</v>
      </c>
      <c r="CF87" s="92">
        <f t="shared" si="1014"/>
        <v>808.96567849076723</v>
      </c>
      <c r="CG87" s="74">
        <v>30560.007142880004</v>
      </c>
      <c r="CH87" s="75">
        <f t="shared" si="1015"/>
        <v>25580.935153004284</v>
      </c>
      <c r="CI87" s="74">
        <v>928.6049456247722</v>
      </c>
      <c r="CJ87" s="92">
        <f t="shared" si="1016"/>
        <v>990.13762381622075</v>
      </c>
      <c r="CK87" s="74">
        <v>37890.830000080001</v>
      </c>
      <c r="CL87" s="75">
        <f t="shared" si="1017"/>
        <v>39675.054081630005</v>
      </c>
      <c r="CM87" s="74">
        <v>1117.4978142896939</v>
      </c>
      <c r="CN87" s="92">
        <f t="shared" si="1018"/>
        <v>1064.5237763652149</v>
      </c>
      <c r="CO87" s="74">
        <v>20576.922142840001</v>
      </c>
      <c r="CP87" s="75">
        <f t="shared" si="1019"/>
        <v>21015.617091808574</v>
      </c>
      <c r="CQ87" s="74">
        <v>1289.5907592600045</v>
      </c>
      <c r="CR87" s="92">
        <f t="shared" si="1020"/>
        <v>1038.7451032693057</v>
      </c>
    </row>
    <row r="88" spans="1:96" x14ac:dyDescent="0.25">
      <c r="A88" s="85">
        <f t="shared" si="910"/>
        <v>45737</v>
      </c>
      <c r="B88" s="74">
        <v>1048060.0546423199</v>
      </c>
      <c r="C88" s="75">
        <f t="shared" si="939"/>
        <v>1020797.2136604448</v>
      </c>
      <c r="D88" s="74">
        <v>1060.4836937213413</v>
      </c>
      <c r="E88" s="75">
        <f t="shared" si="939"/>
        <v>1056.0072794031785</v>
      </c>
      <c r="F88" s="96">
        <f t="shared" si="889"/>
        <v>2268673.4407168794</v>
      </c>
      <c r="G88" s="75">
        <v>1048060.0546423199</v>
      </c>
      <c r="H88" s="75">
        <f t="shared" ref="H88" si="1175">AVERAGE(G85:G88)</f>
        <v>1020797.2136604448</v>
      </c>
      <c r="I88" s="75">
        <f>Table5[[#This Row],[Average NWP (Boom)]]</f>
        <v>1060.4836937213413</v>
      </c>
      <c r="J88" s="92">
        <f t="shared" ref="J88" si="1176">AVERAGE(I85:I88)</f>
        <v>1056.0072794031785</v>
      </c>
      <c r="K88" s="75">
        <f t="shared" si="892"/>
        <v>1048060.0546423199</v>
      </c>
      <c r="L88" s="75">
        <f t="shared" ref="L88" si="1177">AVERAGE(K85:K88)</f>
        <v>1020797.2136604448</v>
      </c>
      <c r="M88" s="75">
        <v>1057.5782589730777</v>
      </c>
      <c r="N88" s="75">
        <f t="shared" ref="N88" si="1178">AVERAGE(M85:M88)</f>
        <v>1053.114108803609</v>
      </c>
      <c r="O88" s="96">
        <f t="shared" si="895"/>
        <v>2268673.4407168794</v>
      </c>
      <c r="P88" s="74">
        <v>166262.41821395999</v>
      </c>
      <c r="Q88" s="75">
        <f t="shared" ref="Q88" si="1179">AVERAGE(P85:P88)</f>
        <v>179311.86955338749</v>
      </c>
      <c r="R88" s="74">
        <v>857.02277429876278</v>
      </c>
      <c r="S88" s="75">
        <f t="shared" ref="S88" si="1180">AVERAGE(R85:R88)</f>
        <v>924.58046062339986</v>
      </c>
      <c r="T88" s="96">
        <v>591658.46047609311</v>
      </c>
      <c r="U88" s="74">
        <v>881797.6364283599</v>
      </c>
      <c r="V88" s="75">
        <f t="shared" ref="V88" si="1181">AVERAGE(U85:U88)</f>
        <v>841485.34410705743</v>
      </c>
      <c r="W88" s="74">
        <v>1106.3960306503889</v>
      </c>
      <c r="X88" s="75">
        <f t="shared" ref="X88" si="1182">AVERAGE(W85:W88)</f>
        <v>1085.188090208422</v>
      </c>
      <c r="Y88" s="96">
        <v>1677014.9802407864</v>
      </c>
      <c r="Z88" s="74">
        <v>0</v>
      </c>
      <c r="AA88" s="75">
        <f t="shared" ref="AA88" si="1183">AVERAGE(Z85:Z88)</f>
        <v>0</v>
      </c>
      <c r="AB88" s="74">
        <v>0</v>
      </c>
      <c r="AC88" s="75">
        <f t="shared" ref="AC88" si="1184">AVERAGE(AB85:AB88)</f>
        <v>0</v>
      </c>
      <c r="AD88" s="96" t="e">
        <v>#VALUE!</v>
      </c>
      <c r="AE88" s="74">
        <v>0</v>
      </c>
      <c r="AF88" s="75">
        <f t="shared" ref="AF88" si="1185">AVERAGE(AE85:AE88)</f>
        <v>0</v>
      </c>
      <c r="AG88" s="74">
        <v>0</v>
      </c>
      <c r="AH88" s="75">
        <f t="shared" ref="AH88" si="1186">AVERAGE(AG85:AG88)</f>
        <v>0</v>
      </c>
      <c r="AI88" s="96" t="e">
        <v>#VALUE!</v>
      </c>
      <c r="AJ88" s="74">
        <v>0</v>
      </c>
      <c r="AK88" s="75">
        <f t="shared" ref="AK88" si="1187">AVERAGE(AJ85:AJ88)</f>
        <v>0</v>
      </c>
      <c r="AL88" s="74">
        <v>0</v>
      </c>
      <c r="AM88" s="75">
        <f t="shared" ref="AM88" si="1188">AVERAGE(AL85:AL88)</f>
        <v>0</v>
      </c>
      <c r="AN88" s="96">
        <v>0</v>
      </c>
      <c r="AO88" s="74">
        <f t="shared" si="906"/>
        <v>90728.078571420017</v>
      </c>
      <c r="AP88" s="75">
        <f t="shared" si="996"/>
        <v>93493.420204067152</v>
      </c>
      <c r="AQ88" s="74">
        <v>764.51539102545325</v>
      </c>
      <c r="AR88" s="92">
        <f t="shared" si="997"/>
        <v>803.41396492934632</v>
      </c>
      <c r="AS88" s="74">
        <f t="shared" si="907"/>
        <v>17319.204999900001</v>
      </c>
      <c r="AT88" s="75">
        <f t="shared" si="998"/>
        <v>24700.503010148572</v>
      </c>
      <c r="AU88" s="74">
        <v>868.33926164695504</v>
      </c>
      <c r="AV88" s="92">
        <f t="shared" si="999"/>
        <v>989.60015526778625</v>
      </c>
      <c r="AW88" s="74">
        <f t="shared" si="908"/>
        <v>41583.46464274999</v>
      </c>
      <c r="AX88" s="75">
        <f t="shared" si="1000"/>
        <v>38516.482857131436</v>
      </c>
      <c r="AY88" s="74">
        <v>1158.2695813634593</v>
      </c>
      <c r="AZ88" s="92">
        <f t="shared" si="1001"/>
        <v>1081.6873364522364</v>
      </c>
      <c r="BA88" s="74">
        <f t="shared" si="909"/>
        <v>16631.669999889997</v>
      </c>
      <c r="BB88" s="75">
        <f t="shared" si="1002"/>
        <v>18901.02989791286</v>
      </c>
      <c r="BC88" s="74">
        <v>877.7558631858119</v>
      </c>
      <c r="BD88" s="92">
        <f t="shared" si="1003"/>
        <v>1014.0429080304368</v>
      </c>
      <c r="BE88" s="93">
        <f>AO88/SUM(Table5[[#This Row],[NWP (Standard)]],Table5[[#This Row],[NWP (Plus)]],Table5[[#This Row],[NWP (Essentials)]],Table5[[#This Row],[NWP (Premium)]])</f>
        <v>0.54569204241131475</v>
      </c>
      <c r="BF88" s="93">
        <f>AS88/SUM(Table5[[#This Row],[NWP (Standard)]],Table5[[#This Row],[NWP (Plus)]],Table5[[#This Row],[NWP (Essentials)]],Table5[[#This Row],[NWP (Premium)]])</f>
        <v>0.10416788824526922</v>
      </c>
      <c r="BG88" s="93">
        <f>AW88/SUM(Table5[[#This Row],[NWP (Standard)]],Table5[[#This Row],[NWP (Plus)]],Table5[[#This Row],[NWP (Essentials)]],Table5[[#This Row],[NWP (Premium)]])</f>
        <v>0.25010742108440287</v>
      </c>
      <c r="BH88" s="94">
        <f>BA88/SUM(Table5[[#This Row],[NWP (Standard)]],Table5[[#This Row],[NWP (Plus)]],Table5[[#This Row],[NWP (Essentials)]],Table5[[#This Row],[NWP (Premium)]])</f>
        <v>0.1000326482590131</v>
      </c>
      <c r="BI88" s="93">
        <f t="shared" si="1004"/>
        <v>0.53230986602483055</v>
      </c>
      <c r="BJ88" s="93">
        <f t="shared" si="1004"/>
        <v>0.13992701956799264</v>
      </c>
      <c r="BK88" s="93">
        <f t="shared" si="1004"/>
        <v>0.22113155332169546</v>
      </c>
      <c r="BL88" s="94">
        <f t="shared" si="1004"/>
        <v>0.10663156108548134</v>
      </c>
      <c r="BM88" s="74">
        <v>0</v>
      </c>
      <c r="BN88" s="75">
        <f t="shared" si="1005"/>
        <v>0</v>
      </c>
      <c r="BO88" s="74">
        <v>0</v>
      </c>
      <c r="BP88" s="92">
        <f t="shared" si="1006"/>
        <v>0</v>
      </c>
      <c r="BQ88" s="74">
        <v>0</v>
      </c>
      <c r="BR88" s="75">
        <f t="shared" si="1007"/>
        <v>0</v>
      </c>
      <c r="BS88" s="74">
        <v>0</v>
      </c>
      <c r="BT88" s="92">
        <f t="shared" si="1008"/>
        <v>0</v>
      </c>
      <c r="BU88" s="74">
        <v>0</v>
      </c>
      <c r="BV88" s="75">
        <f t="shared" si="1009"/>
        <v>0</v>
      </c>
      <c r="BW88" s="74">
        <v>0</v>
      </c>
      <c r="BX88" s="92">
        <f t="shared" si="1010"/>
        <v>0</v>
      </c>
      <c r="BY88" s="74">
        <v>0</v>
      </c>
      <c r="BZ88" s="75">
        <f t="shared" si="1011"/>
        <v>0</v>
      </c>
      <c r="CA88" s="74">
        <v>0</v>
      </c>
      <c r="CB88" s="92">
        <f t="shared" si="1012"/>
        <v>0</v>
      </c>
      <c r="CC88" s="74">
        <v>90728.078571420017</v>
      </c>
      <c r="CD88" s="75">
        <f t="shared" si="1013"/>
        <v>93493.420204067152</v>
      </c>
      <c r="CE88" s="74">
        <v>764.51539102545325</v>
      </c>
      <c r="CF88" s="92">
        <f t="shared" si="1014"/>
        <v>803.41396492934632</v>
      </c>
      <c r="CG88" s="74">
        <v>17319.204999900001</v>
      </c>
      <c r="CH88" s="75">
        <f t="shared" si="1015"/>
        <v>24700.503010148572</v>
      </c>
      <c r="CI88" s="74">
        <v>868.33926164695504</v>
      </c>
      <c r="CJ88" s="92">
        <f t="shared" si="1016"/>
        <v>989.60015526778625</v>
      </c>
      <c r="CK88" s="74">
        <v>41583.46464274999</v>
      </c>
      <c r="CL88" s="75">
        <f t="shared" si="1017"/>
        <v>38516.482857131436</v>
      </c>
      <c r="CM88" s="74">
        <v>1158.2695813634593</v>
      </c>
      <c r="CN88" s="92">
        <f t="shared" si="1018"/>
        <v>1081.6873364522364</v>
      </c>
      <c r="CO88" s="74">
        <v>16631.669999889997</v>
      </c>
      <c r="CP88" s="75">
        <f t="shared" si="1019"/>
        <v>18901.02989791286</v>
      </c>
      <c r="CQ88" s="74">
        <v>877.7558631858119</v>
      </c>
      <c r="CR88" s="92">
        <f t="shared" si="1020"/>
        <v>1014.0429080304368</v>
      </c>
    </row>
    <row r="89" spans="1:96" x14ac:dyDescent="0.25">
      <c r="A89" s="85">
        <f t="shared" si="910"/>
        <v>45744</v>
      </c>
      <c r="B89" s="74">
        <v>1183054.4014283889</v>
      </c>
      <c r="C89" s="75">
        <f t="shared" si="939"/>
        <v>1067042.0883032298</v>
      </c>
      <c r="D89" s="74">
        <v>1081.4079770740848</v>
      </c>
      <c r="E89" s="75">
        <f t="shared" si="939"/>
        <v>1069.7395642233423</v>
      </c>
      <c r="F89" s="96">
        <f t="shared" si="889"/>
        <v>2268673.4407168794</v>
      </c>
      <c r="G89" s="75">
        <v>1183054.4014283889</v>
      </c>
      <c r="H89" s="75">
        <f t="shared" ref="H89" si="1189">AVERAGE(G86:G89)</f>
        <v>1067042.0883032298</v>
      </c>
      <c r="I89" s="75">
        <f>Table5[[#This Row],[Average NWP (Boom)]]</f>
        <v>1081.4079770740848</v>
      </c>
      <c r="J89" s="92">
        <f t="shared" ref="J89" si="1190">AVERAGE(I86:I89)</f>
        <v>1069.7395642233423</v>
      </c>
      <c r="K89" s="75">
        <f t="shared" si="892"/>
        <v>1183054.4014283898</v>
      </c>
      <c r="L89" s="75">
        <f t="shared" ref="L89" si="1191">AVERAGE(K86:K89)</f>
        <v>1067042.0883032298</v>
      </c>
      <c r="M89" s="75">
        <v>1078.4452155226891</v>
      </c>
      <c r="N89" s="75">
        <f t="shared" ref="N89" si="1192">AVERAGE(M86:M89)</f>
        <v>1066.8087709260121</v>
      </c>
      <c r="O89" s="96">
        <f t="shared" si="895"/>
        <v>2268673.4407168794</v>
      </c>
      <c r="P89" s="74">
        <v>185372.90107152003</v>
      </c>
      <c r="Q89" s="75">
        <f t="shared" ref="Q89" si="1193">AVERAGE(P86:P89)</f>
        <v>178736.309464155</v>
      </c>
      <c r="R89" s="74">
        <v>882.72810034057159</v>
      </c>
      <c r="S89" s="75">
        <f t="shared" ref="S89" si="1194">AVERAGE(R86:R89)</f>
        <v>914.1354642449345</v>
      </c>
      <c r="T89" s="96">
        <v>591658.46047609311</v>
      </c>
      <c r="U89" s="74">
        <v>997681.50035686989</v>
      </c>
      <c r="V89" s="75">
        <f t="shared" ref="V89" si="1195">AVERAGE(U86:U89)</f>
        <v>888305.77883907489</v>
      </c>
      <c r="W89" s="74">
        <v>1124.7818493313077</v>
      </c>
      <c r="X89" s="75">
        <f t="shared" ref="X89" si="1196">AVERAGE(W86:W89)</f>
        <v>1103.9483966381399</v>
      </c>
      <c r="Y89" s="96">
        <v>1677014.9802407864</v>
      </c>
      <c r="Z89" s="74">
        <v>0</v>
      </c>
      <c r="AA89" s="75">
        <f t="shared" ref="AA89" si="1197">AVERAGE(Z86:Z89)</f>
        <v>0</v>
      </c>
      <c r="AB89" s="74">
        <v>0</v>
      </c>
      <c r="AC89" s="75">
        <f t="shared" ref="AC89" si="1198">AVERAGE(AB86:AB89)</f>
        <v>0</v>
      </c>
      <c r="AD89" s="96" t="e">
        <v>#VALUE!</v>
      </c>
      <c r="AE89" s="74">
        <v>0</v>
      </c>
      <c r="AF89" s="75">
        <f t="shared" ref="AF89" si="1199">AVERAGE(AE86:AE89)</f>
        <v>0</v>
      </c>
      <c r="AG89" s="74">
        <v>0</v>
      </c>
      <c r="AH89" s="75">
        <f t="shared" ref="AH89" si="1200">AVERAGE(AG86:AG89)</f>
        <v>0</v>
      </c>
      <c r="AI89" s="96" t="e">
        <v>#VALUE!</v>
      </c>
      <c r="AJ89" s="74">
        <v>0</v>
      </c>
      <c r="AK89" s="75">
        <f t="shared" ref="AK89" si="1201">AVERAGE(AJ86:AJ89)</f>
        <v>0</v>
      </c>
      <c r="AL89" s="74">
        <v>0</v>
      </c>
      <c r="AM89" s="75">
        <f t="shared" ref="AM89" si="1202">AVERAGE(AL86:AL89)</f>
        <v>0</v>
      </c>
      <c r="AN89" s="96">
        <v>0</v>
      </c>
      <c r="AO89" s="74">
        <f t="shared" si="906"/>
        <v>92942.619642910009</v>
      </c>
      <c r="AP89" s="75">
        <f t="shared" si="996"/>
        <v>91627.136326514286</v>
      </c>
      <c r="AQ89" s="74">
        <v>783.17610510504608</v>
      </c>
      <c r="AR89" s="92">
        <f t="shared" si="997"/>
        <v>806.04874898384003</v>
      </c>
      <c r="AS89" s="74">
        <f t="shared" si="907"/>
        <v>22555.613214289999</v>
      </c>
      <c r="AT89" s="75">
        <f t="shared" si="998"/>
        <v>24577.848775468574</v>
      </c>
      <c r="AU89" s="74">
        <v>1077.0275801922651</v>
      </c>
      <c r="AV89" s="92">
        <f t="shared" si="999"/>
        <v>1027.803516171823</v>
      </c>
      <c r="AW89" s="74">
        <f t="shared" si="908"/>
        <v>39324.646071570001</v>
      </c>
      <c r="AX89" s="75">
        <f t="shared" si="1000"/>
        <v>39514.971581637146</v>
      </c>
      <c r="AY89" s="74">
        <v>961.77270274247689</v>
      </c>
      <c r="AZ89" s="92">
        <f t="shared" si="1001"/>
        <v>1082.847898882449</v>
      </c>
      <c r="BA89" s="74">
        <f t="shared" si="909"/>
        <v>30550.022142749996</v>
      </c>
      <c r="BB89" s="75">
        <f t="shared" si="1002"/>
        <v>19783.96010199</v>
      </c>
      <c r="BC89" s="74">
        <v>1056.3431301437486</v>
      </c>
      <c r="BD89" s="92">
        <f t="shared" si="1003"/>
        <v>1044.5724196332508</v>
      </c>
      <c r="BE89" s="93">
        <f>AO89/SUM(Table5[[#This Row],[NWP (Standard)]],Table5[[#This Row],[NWP (Plus)]],Table5[[#This Row],[NWP (Essentials)]],Table5[[#This Row],[NWP (Premium)]])</f>
        <v>0.50138191238130947</v>
      </c>
      <c r="BF89" s="93">
        <f>AS89/SUM(Table5[[#This Row],[NWP (Standard)]],Table5[[#This Row],[NWP (Plus)]],Table5[[#This Row],[NWP (Essentials)]],Table5[[#This Row],[NWP (Premium)]])</f>
        <v>0.12167697157411189</v>
      </c>
      <c r="BG89" s="93">
        <f>AW89/SUM(Table5[[#This Row],[NWP (Standard)]],Table5[[#This Row],[NWP (Plus)]],Table5[[#This Row],[NWP (Essentials)]],Table5[[#This Row],[NWP (Premium)]])</f>
        <v>0.21213805170151531</v>
      </c>
      <c r="BH89" s="94">
        <f>BA89/SUM(Table5[[#This Row],[NWP (Standard)]],Table5[[#This Row],[NWP (Plus)]],Table5[[#This Row],[NWP (Essentials)]],Table5[[#This Row],[NWP (Premium)]])</f>
        <v>0.16480306434306316</v>
      </c>
      <c r="BI89" s="93">
        <f t="shared" si="1004"/>
        <v>0.52257248259616884</v>
      </c>
      <c r="BJ89" s="93">
        <f t="shared" si="1004"/>
        <v>0.13933832212883074</v>
      </c>
      <c r="BK89" s="93">
        <f t="shared" si="1004"/>
        <v>0.22661869742949597</v>
      </c>
      <c r="BL89" s="94">
        <f t="shared" si="1004"/>
        <v>0.11147049784550454</v>
      </c>
      <c r="BM89" s="74">
        <v>0</v>
      </c>
      <c r="BN89" s="75">
        <f t="shared" si="1005"/>
        <v>0</v>
      </c>
      <c r="BO89" s="74">
        <v>0</v>
      </c>
      <c r="BP89" s="92">
        <f t="shared" si="1006"/>
        <v>0</v>
      </c>
      <c r="BQ89" s="74">
        <v>0</v>
      </c>
      <c r="BR89" s="75">
        <f t="shared" si="1007"/>
        <v>0</v>
      </c>
      <c r="BS89" s="74">
        <v>0</v>
      </c>
      <c r="BT89" s="92">
        <f t="shared" si="1008"/>
        <v>0</v>
      </c>
      <c r="BU89" s="74">
        <v>0</v>
      </c>
      <c r="BV89" s="75">
        <f t="shared" si="1009"/>
        <v>0</v>
      </c>
      <c r="BW89" s="74">
        <v>0</v>
      </c>
      <c r="BX89" s="92">
        <f t="shared" si="1010"/>
        <v>0</v>
      </c>
      <c r="BY89" s="74">
        <v>0</v>
      </c>
      <c r="BZ89" s="75">
        <f t="shared" si="1011"/>
        <v>0</v>
      </c>
      <c r="CA89" s="74">
        <v>0</v>
      </c>
      <c r="CB89" s="92">
        <f t="shared" si="1012"/>
        <v>0</v>
      </c>
      <c r="CC89" s="74">
        <v>92942.619642910009</v>
      </c>
      <c r="CD89" s="75">
        <f t="shared" si="1013"/>
        <v>91627.136326514286</v>
      </c>
      <c r="CE89" s="74">
        <v>783.17610510504608</v>
      </c>
      <c r="CF89" s="92">
        <f t="shared" si="1014"/>
        <v>806.04874898384003</v>
      </c>
      <c r="CG89" s="74">
        <v>22555.613214289999</v>
      </c>
      <c r="CH89" s="75">
        <f t="shared" si="1015"/>
        <v>24577.848775468574</v>
      </c>
      <c r="CI89" s="74">
        <v>1077.0275801922651</v>
      </c>
      <c r="CJ89" s="92">
        <f t="shared" si="1016"/>
        <v>1027.803516171823</v>
      </c>
      <c r="CK89" s="74">
        <v>39324.646071570001</v>
      </c>
      <c r="CL89" s="75">
        <f t="shared" si="1017"/>
        <v>39514.971581637146</v>
      </c>
      <c r="CM89" s="74">
        <v>961.77270274247689</v>
      </c>
      <c r="CN89" s="92">
        <f t="shared" si="1018"/>
        <v>1082.847898882449</v>
      </c>
      <c r="CO89" s="74">
        <v>30550.022142749996</v>
      </c>
      <c r="CP89" s="75">
        <f t="shared" si="1019"/>
        <v>19783.96010199</v>
      </c>
      <c r="CQ89" s="74">
        <v>1056.3431301437486</v>
      </c>
      <c r="CR89" s="92">
        <f t="shared" si="1020"/>
        <v>1044.5724196332508</v>
      </c>
    </row>
    <row r="90" spans="1:96" x14ac:dyDescent="0.25">
      <c r="A90" s="85">
        <f t="shared" si="910"/>
        <v>45751</v>
      </c>
      <c r="B90" s="74">
        <v>1205201.850714433</v>
      </c>
      <c r="C90" s="75">
        <f t="shared" si="939"/>
        <v>1114956.3933926178</v>
      </c>
      <c r="D90" s="74">
        <v>1052.562924259485</v>
      </c>
      <c r="E90" s="75">
        <f t="shared" si="939"/>
        <v>1070.127168711386</v>
      </c>
      <c r="F90" s="96">
        <f t="shared" si="889"/>
        <v>1544962.4241043092</v>
      </c>
      <c r="G90" s="75">
        <v>1205201.850714433</v>
      </c>
      <c r="H90" s="75">
        <f t="shared" ref="H90" si="1203">AVERAGE(G87:G90)</f>
        <v>1114956.3933926178</v>
      </c>
      <c r="I90" s="75">
        <f>Table5[[#This Row],[Average NWP (Boom)]]</f>
        <v>1052.562924259485</v>
      </c>
      <c r="J90" s="92">
        <f t="shared" ref="J90" si="1204">AVERAGE(I87:I90)</f>
        <v>1070.127168711386</v>
      </c>
      <c r="K90" s="75">
        <f t="shared" si="892"/>
        <v>1205201.850714433</v>
      </c>
      <c r="L90" s="75">
        <f t="shared" ref="L90" si="1205">AVERAGE(K87:K90)</f>
        <v>1114956.3933926183</v>
      </c>
      <c r="M90" s="75">
        <v>1048.9137081935883</v>
      </c>
      <c r="N90" s="75">
        <f t="shared" ref="N90" si="1206">AVERAGE(M87:M90)</f>
        <v>1067.003942970045</v>
      </c>
      <c r="O90" s="96">
        <f t="shared" si="895"/>
        <v>1544962.4241043092</v>
      </c>
      <c r="P90" s="74">
        <v>208072.66750027006</v>
      </c>
      <c r="Q90" s="75">
        <f t="shared" ref="Q90" si="1207">AVERAGE(P87:P90)</f>
        <v>187182.47910716501</v>
      </c>
      <c r="R90" s="74">
        <v>916.61968061792982</v>
      </c>
      <c r="S90" s="75">
        <f t="shared" ref="S90" si="1208">AVERAGE(R87:R90)</f>
        <v>905.19203886904825</v>
      </c>
      <c r="T90" s="96">
        <v>351310.09182493121</v>
      </c>
      <c r="U90" s="74">
        <v>997129.18321416294</v>
      </c>
      <c r="V90" s="75">
        <f t="shared" ref="V90" si="1209">AVERAGE(U87:U90)</f>
        <v>927773.91428545315</v>
      </c>
      <c r="W90" s="74">
        <v>1081.4850143320639</v>
      </c>
      <c r="X90" s="75">
        <f t="shared" ref="X90" si="1210">AVERAGE(W87:W90)</f>
        <v>1106.6995477247754</v>
      </c>
      <c r="Y90" s="96">
        <v>1193652.3322793781</v>
      </c>
      <c r="Z90" s="74">
        <v>0</v>
      </c>
      <c r="AA90" s="75">
        <f t="shared" ref="AA90" si="1211">AVERAGE(Z87:Z90)</f>
        <v>0</v>
      </c>
      <c r="AB90" s="74">
        <v>0</v>
      </c>
      <c r="AC90" s="75">
        <f t="shared" ref="AC90" si="1212">AVERAGE(AB87:AB90)</f>
        <v>0</v>
      </c>
      <c r="AD90" s="96" t="e">
        <v>#VALUE!</v>
      </c>
      <c r="AE90" s="74">
        <v>0</v>
      </c>
      <c r="AF90" s="75">
        <f t="shared" ref="AF90" si="1213">AVERAGE(AE87:AE90)</f>
        <v>0</v>
      </c>
      <c r="AG90" s="74">
        <v>0</v>
      </c>
      <c r="AH90" s="75">
        <f t="shared" ref="AH90" si="1214">AVERAGE(AG87:AG90)</f>
        <v>0</v>
      </c>
      <c r="AI90" s="96" t="e">
        <v>#VALUE!</v>
      </c>
      <c r="AJ90" s="74">
        <v>0</v>
      </c>
      <c r="AK90" s="75">
        <f t="shared" ref="AK90" si="1215">AVERAGE(AJ87:AJ90)</f>
        <v>0</v>
      </c>
      <c r="AL90" s="74">
        <v>0</v>
      </c>
      <c r="AM90" s="75">
        <f t="shared" ref="AM90" si="1216">AVERAGE(AL87:AL90)</f>
        <v>0</v>
      </c>
      <c r="AN90" s="96">
        <v>0</v>
      </c>
      <c r="AO90" s="74">
        <f t="shared" si="906"/>
        <v>112662.4757146</v>
      </c>
      <c r="AP90" s="75">
        <f t="shared" si="996"/>
        <v>96577.904795987139</v>
      </c>
      <c r="AQ90" s="74">
        <v>830.67638240746771</v>
      </c>
      <c r="AR90" s="92">
        <f t="shared" si="997"/>
        <v>818.29312791809207</v>
      </c>
      <c r="AS90" s="74">
        <f t="shared" si="907"/>
        <v>33511.171428470007</v>
      </c>
      <c r="AT90" s="75">
        <f t="shared" si="998"/>
        <v>25358.676530565714</v>
      </c>
      <c r="AU90" s="74">
        <v>960.09243100906781</v>
      </c>
      <c r="AV90" s="92">
        <f t="shared" si="999"/>
        <v>1010.4407597147629</v>
      </c>
      <c r="AW90" s="74">
        <f t="shared" si="908"/>
        <v>42135.696428629999</v>
      </c>
      <c r="AX90" s="75">
        <f t="shared" si="1000"/>
        <v>39617.379132645714</v>
      </c>
      <c r="AY90" s="74">
        <v>1083.3706111600054</v>
      </c>
      <c r="AZ90" s="92">
        <f t="shared" si="1001"/>
        <v>1081.4774162578669</v>
      </c>
      <c r="BA90" s="74">
        <f t="shared" si="909"/>
        <v>19763.32392857</v>
      </c>
      <c r="BB90" s="75">
        <f t="shared" si="1002"/>
        <v>19842.215867307146</v>
      </c>
      <c r="BC90" s="74">
        <v>1165.7422808225394</v>
      </c>
      <c r="BD90" s="92">
        <f t="shared" si="1003"/>
        <v>1048.0086436701242</v>
      </c>
      <c r="BE90" s="93">
        <f>AO90/SUM(Table5[[#This Row],[NWP (Standard)]],Table5[[#This Row],[NWP (Plus)]],Table5[[#This Row],[NWP (Essentials)]],Table5[[#This Row],[NWP (Premium)]])</f>
        <v>0.54145735270325113</v>
      </c>
      <c r="BF90" s="93">
        <f>AS90/SUM(Table5[[#This Row],[NWP (Standard)]],Table5[[#This Row],[NWP (Plus)]],Table5[[#This Row],[NWP (Essentials)]],Table5[[#This Row],[NWP (Premium)]])</f>
        <v>0.16105513439638353</v>
      </c>
      <c r="BG90" s="93">
        <f>AW90/SUM(Table5[[#This Row],[NWP (Standard)]],Table5[[#This Row],[NWP (Plus)]],Table5[[#This Row],[NWP (Essentials)]],Table5[[#This Row],[NWP (Premium)]])</f>
        <v>0.20250471594773647</v>
      </c>
      <c r="BH90" s="94">
        <f>BA90/SUM(Table5[[#This Row],[NWP (Standard)]],Table5[[#This Row],[NWP (Plus)]],Table5[[#This Row],[NWP (Essentials)]],Table5[[#This Row],[NWP (Premium)]])</f>
        <v>9.4982796952628845E-2</v>
      </c>
      <c r="BI90" s="93">
        <f t="shared" si="1004"/>
        <v>0.53312450830117275</v>
      </c>
      <c r="BJ90" s="93">
        <f t="shared" si="1004"/>
        <v>0.13833038547810261</v>
      </c>
      <c r="BK90" s="93">
        <f t="shared" si="1004"/>
        <v>0.22008016487947571</v>
      </c>
      <c r="BL90" s="94">
        <f t="shared" si="1004"/>
        <v>0.10846494134124891</v>
      </c>
      <c r="BM90" s="74">
        <v>0</v>
      </c>
      <c r="BN90" s="75">
        <f t="shared" si="1005"/>
        <v>0</v>
      </c>
      <c r="BO90" s="74">
        <v>0</v>
      </c>
      <c r="BP90" s="92">
        <f t="shared" si="1006"/>
        <v>0</v>
      </c>
      <c r="BQ90" s="74">
        <v>0</v>
      </c>
      <c r="BR90" s="75">
        <f t="shared" si="1007"/>
        <v>0</v>
      </c>
      <c r="BS90" s="74">
        <v>0</v>
      </c>
      <c r="BT90" s="92">
        <f t="shared" si="1008"/>
        <v>0</v>
      </c>
      <c r="BU90" s="74">
        <v>0</v>
      </c>
      <c r="BV90" s="75">
        <f t="shared" si="1009"/>
        <v>0</v>
      </c>
      <c r="BW90" s="74">
        <v>0</v>
      </c>
      <c r="BX90" s="92">
        <f t="shared" si="1010"/>
        <v>0</v>
      </c>
      <c r="BY90" s="74">
        <v>0</v>
      </c>
      <c r="BZ90" s="75">
        <f t="shared" si="1011"/>
        <v>0</v>
      </c>
      <c r="CA90" s="74">
        <v>0</v>
      </c>
      <c r="CB90" s="92">
        <f t="shared" si="1012"/>
        <v>0</v>
      </c>
      <c r="CC90" s="74">
        <v>112662.4757146</v>
      </c>
      <c r="CD90" s="75">
        <f t="shared" si="1013"/>
        <v>96577.904795987139</v>
      </c>
      <c r="CE90" s="74">
        <v>830.67638240746771</v>
      </c>
      <c r="CF90" s="92">
        <f t="shared" si="1014"/>
        <v>818.29312791809207</v>
      </c>
      <c r="CG90" s="74">
        <v>33511.171428470007</v>
      </c>
      <c r="CH90" s="75">
        <f t="shared" si="1015"/>
        <v>25358.676530565714</v>
      </c>
      <c r="CI90" s="74">
        <v>960.09243100906781</v>
      </c>
      <c r="CJ90" s="92">
        <f t="shared" si="1016"/>
        <v>1010.4407597147629</v>
      </c>
      <c r="CK90" s="74">
        <v>42135.696428629999</v>
      </c>
      <c r="CL90" s="75">
        <f t="shared" si="1017"/>
        <v>39617.379132645714</v>
      </c>
      <c r="CM90" s="74">
        <v>1083.3706111600054</v>
      </c>
      <c r="CN90" s="92">
        <f t="shared" si="1018"/>
        <v>1081.4774162578669</v>
      </c>
      <c r="CO90" s="74">
        <v>19763.32392857</v>
      </c>
      <c r="CP90" s="75">
        <f t="shared" si="1019"/>
        <v>19842.215867307146</v>
      </c>
      <c r="CQ90" s="74">
        <v>1165.7422808225394</v>
      </c>
      <c r="CR90" s="92">
        <f t="shared" si="1020"/>
        <v>1048.0086436701242</v>
      </c>
    </row>
    <row r="91" spans="1:96" x14ac:dyDescent="0.25">
      <c r="A91" s="85">
        <f t="shared" si="910"/>
        <v>45758</v>
      </c>
      <c r="B91" s="74">
        <v>1098813.1646424602</v>
      </c>
      <c r="C91" s="75">
        <f t="shared" si="939"/>
        <v>1133782.3678569007</v>
      </c>
      <c r="D91" s="74">
        <v>1104.0399620215137</v>
      </c>
      <c r="E91" s="75">
        <f t="shared" si="939"/>
        <v>1074.6236392691062</v>
      </c>
      <c r="F91" s="96">
        <f t="shared" si="889"/>
        <v>1002179.1616448816</v>
      </c>
      <c r="G91" s="75">
        <v>1098813.1646424602</v>
      </c>
      <c r="H91" s="75">
        <f t="shared" ref="H91" si="1217">AVERAGE(G88:G91)</f>
        <v>1133782.3678569007</v>
      </c>
      <c r="I91" s="75">
        <f>Table5[[#This Row],[Average NWP (Boom)]]</f>
        <v>1104.0399620215137</v>
      </c>
      <c r="J91" s="92">
        <f t="shared" ref="J91" si="1218">AVERAGE(I88:I91)</f>
        <v>1074.6236392691062</v>
      </c>
      <c r="K91" s="75">
        <f t="shared" si="892"/>
        <v>1098813.1646424599</v>
      </c>
      <c r="L91" s="75">
        <f t="shared" ref="L91" si="1219">AVERAGE(K88:K91)</f>
        <v>1133782.3678569007</v>
      </c>
      <c r="M91" s="75">
        <v>1101.0151950325251</v>
      </c>
      <c r="N91" s="75">
        <f t="shared" ref="N91" si="1220">AVERAGE(M88:M91)</f>
        <v>1071.48809443047</v>
      </c>
      <c r="O91" s="96">
        <f t="shared" si="895"/>
        <v>1002179.1616448816</v>
      </c>
      <c r="P91" s="74">
        <v>187658.42142874998</v>
      </c>
      <c r="Q91" s="75">
        <f t="shared" ref="Q91" si="1221">AVERAGE(P88:P91)</f>
        <v>186841.60205362504</v>
      </c>
      <c r="R91" s="74">
        <v>1031.0902276304944</v>
      </c>
      <c r="S91" s="75">
        <f t="shared" ref="S91" si="1222">AVERAGE(R88:R91)</f>
        <v>921.8651957219397</v>
      </c>
      <c r="T91" s="96">
        <v>171048.81533655972</v>
      </c>
      <c r="U91" s="74">
        <v>911154.74321370991</v>
      </c>
      <c r="V91" s="75">
        <f t="shared" ref="V91" si="1223">AVERAGE(U88:U91)</f>
        <v>946940.76580327563</v>
      </c>
      <c r="W91" s="74">
        <v>1116.611204918762</v>
      </c>
      <c r="X91" s="75">
        <f t="shared" ref="X91" si="1224">AVERAGE(W88:W91)</f>
        <v>1107.3185248081306</v>
      </c>
      <c r="Y91" s="96">
        <v>831130.34630832192</v>
      </c>
      <c r="Z91" s="74">
        <v>0</v>
      </c>
      <c r="AA91" s="75">
        <f t="shared" ref="AA91" si="1225">AVERAGE(Z88:Z91)</f>
        <v>0</v>
      </c>
      <c r="AB91" s="74">
        <v>0</v>
      </c>
      <c r="AC91" s="75">
        <f t="shared" ref="AC91" si="1226">AVERAGE(AB88:AB91)</f>
        <v>0</v>
      </c>
      <c r="AD91" s="96" t="e">
        <v>#VALUE!</v>
      </c>
      <c r="AE91" s="74">
        <v>0</v>
      </c>
      <c r="AF91" s="75">
        <f t="shared" ref="AF91" si="1227">AVERAGE(AE88:AE91)</f>
        <v>0</v>
      </c>
      <c r="AG91" s="74">
        <v>0</v>
      </c>
      <c r="AH91" s="75">
        <f t="shared" ref="AH91" si="1228">AVERAGE(AG88:AG91)</f>
        <v>0</v>
      </c>
      <c r="AI91" s="96" t="e">
        <v>#VALUE!</v>
      </c>
      <c r="AJ91" s="74">
        <v>0</v>
      </c>
      <c r="AK91" s="75">
        <f t="shared" ref="AK91" si="1229">AVERAGE(AJ88:AJ91)</f>
        <v>0</v>
      </c>
      <c r="AL91" s="74">
        <v>0</v>
      </c>
      <c r="AM91" s="75">
        <f t="shared" ref="AM91" si="1230">AVERAGE(AL88:AL91)</f>
        <v>0</v>
      </c>
      <c r="AN91" s="96">
        <v>0</v>
      </c>
      <c r="AO91" s="74">
        <f t="shared" si="906"/>
        <v>91778.481428499988</v>
      </c>
      <c r="AP91" s="75">
        <f t="shared" si="996"/>
        <v>96887.41525512001</v>
      </c>
      <c r="AQ91" s="74">
        <v>911.19425852687948</v>
      </c>
      <c r="AR91" s="92">
        <f t="shared" si="997"/>
        <v>834.86311077574942</v>
      </c>
      <c r="AS91" s="74">
        <f t="shared" si="907"/>
        <v>20423.930357140001</v>
      </c>
      <c r="AT91" s="75">
        <f t="shared" si="998"/>
        <v>25546.153010161426</v>
      </c>
      <c r="AU91" s="74">
        <v>1137.7800030755955</v>
      </c>
      <c r="AV91" s="92">
        <f t="shared" si="999"/>
        <v>1020.8847333183276</v>
      </c>
      <c r="AW91" s="74">
        <f t="shared" si="908"/>
        <v>50476.71428593</v>
      </c>
      <c r="AX91" s="75">
        <f t="shared" si="1000"/>
        <v>41191.853520434284</v>
      </c>
      <c r="AY91" s="74">
        <v>1234.5216238178973</v>
      </c>
      <c r="AZ91" s="92">
        <f t="shared" si="1001"/>
        <v>1112.9153496651636</v>
      </c>
      <c r="BA91" s="74">
        <f t="shared" si="909"/>
        <v>24979.295357180003</v>
      </c>
      <c r="BB91" s="75">
        <f t="shared" si="1002"/>
        <v>21853.359387725715</v>
      </c>
      <c r="BC91" s="74">
        <v>1138.5418088311965</v>
      </c>
      <c r="BD91" s="92">
        <f t="shared" si="1003"/>
        <v>1099.1142151887336</v>
      </c>
      <c r="BE91" s="93">
        <f>AO91/SUM(Table5[[#This Row],[NWP (Standard)]],Table5[[#This Row],[NWP (Plus)]],Table5[[#This Row],[NWP (Essentials)]],Table5[[#This Row],[NWP (Premium)]])</f>
        <v>0.48907201035657422</v>
      </c>
      <c r="BF91" s="93">
        <f>AS91/SUM(Table5[[#This Row],[NWP (Standard)]],Table5[[#This Row],[NWP (Plus)]],Table5[[#This Row],[NWP (Essentials)]],Table5[[#This Row],[NWP (Premium)]])</f>
        <v>0.1088356717574465</v>
      </c>
      <c r="BG91" s="93">
        <f>AW91/SUM(Table5[[#This Row],[NWP (Standard)]],Table5[[#This Row],[NWP (Plus)]],Table5[[#This Row],[NWP (Essentials)]],Table5[[#This Row],[NWP (Premium)]])</f>
        <v>0.26898187622821368</v>
      </c>
      <c r="BH91" s="94">
        <f>BA91/SUM(Table5[[#This Row],[NWP (Standard)]],Table5[[#This Row],[NWP (Plus)]],Table5[[#This Row],[NWP (Essentials)]],Table5[[#This Row],[NWP (Premium)]])</f>
        <v>0.13311044165776553</v>
      </c>
      <c r="BI91" s="93">
        <f t="shared" si="1004"/>
        <v>0.52251867908157013</v>
      </c>
      <c r="BJ91" s="93">
        <f t="shared" si="1004"/>
        <v>0.13671574970555916</v>
      </c>
      <c r="BK91" s="93">
        <f t="shared" si="1004"/>
        <v>0.22307442635003633</v>
      </c>
      <c r="BL91" s="94">
        <f t="shared" si="1004"/>
        <v>0.11769114486283441</v>
      </c>
      <c r="BM91" s="74">
        <v>0</v>
      </c>
      <c r="BN91" s="75">
        <f t="shared" si="1005"/>
        <v>0</v>
      </c>
      <c r="BO91" s="74">
        <v>0</v>
      </c>
      <c r="BP91" s="92">
        <f t="shared" si="1006"/>
        <v>0</v>
      </c>
      <c r="BQ91" s="74">
        <v>0</v>
      </c>
      <c r="BR91" s="75">
        <f t="shared" si="1007"/>
        <v>0</v>
      </c>
      <c r="BS91" s="74">
        <v>0</v>
      </c>
      <c r="BT91" s="92">
        <f t="shared" si="1008"/>
        <v>0</v>
      </c>
      <c r="BU91" s="74">
        <v>0</v>
      </c>
      <c r="BV91" s="75">
        <f t="shared" si="1009"/>
        <v>0</v>
      </c>
      <c r="BW91" s="74">
        <v>0</v>
      </c>
      <c r="BX91" s="92">
        <f t="shared" si="1010"/>
        <v>0</v>
      </c>
      <c r="BY91" s="74">
        <v>0</v>
      </c>
      <c r="BZ91" s="75">
        <f t="shared" si="1011"/>
        <v>0</v>
      </c>
      <c r="CA91" s="74">
        <v>0</v>
      </c>
      <c r="CB91" s="92">
        <f t="shared" si="1012"/>
        <v>0</v>
      </c>
      <c r="CC91" s="74">
        <v>91778.481428499988</v>
      </c>
      <c r="CD91" s="75">
        <f t="shared" si="1013"/>
        <v>96887.41525512001</v>
      </c>
      <c r="CE91" s="74">
        <v>911.19425852687948</v>
      </c>
      <c r="CF91" s="92">
        <f t="shared" si="1014"/>
        <v>834.86311077574942</v>
      </c>
      <c r="CG91" s="74">
        <v>20423.930357140001</v>
      </c>
      <c r="CH91" s="75">
        <f t="shared" si="1015"/>
        <v>25546.153010161426</v>
      </c>
      <c r="CI91" s="74">
        <v>1137.7800030755955</v>
      </c>
      <c r="CJ91" s="92">
        <f t="shared" si="1016"/>
        <v>1020.8847333183276</v>
      </c>
      <c r="CK91" s="74">
        <v>50476.71428593</v>
      </c>
      <c r="CL91" s="75">
        <f t="shared" si="1017"/>
        <v>41191.853520434284</v>
      </c>
      <c r="CM91" s="74">
        <v>1234.5216238178973</v>
      </c>
      <c r="CN91" s="92">
        <f t="shared" si="1018"/>
        <v>1112.9153496651636</v>
      </c>
      <c r="CO91" s="74">
        <v>24979.295357180003</v>
      </c>
      <c r="CP91" s="75">
        <f t="shared" si="1019"/>
        <v>21853.359387725715</v>
      </c>
      <c r="CQ91" s="74">
        <v>1138.5418088311965</v>
      </c>
      <c r="CR91" s="92">
        <f t="shared" si="1020"/>
        <v>1099.1142151887336</v>
      </c>
    </row>
    <row r="92" spans="1:96" x14ac:dyDescent="0.25">
      <c r="A92" s="85">
        <f t="shared" si="910"/>
        <v>45765</v>
      </c>
      <c r="B92" s="74">
        <v>1079427.2932132601</v>
      </c>
      <c r="C92" s="75">
        <f t="shared" si="939"/>
        <v>1141624.1774996356</v>
      </c>
      <c r="D92" s="74">
        <v>1059.0927130922339</v>
      </c>
      <c r="E92" s="75">
        <f t="shared" si="939"/>
        <v>1074.2758941118293</v>
      </c>
      <c r="F92" s="96">
        <f t="shared" si="889"/>
        <v>1002179.1616448816</v>
      </c>
      <c r="G92" s="75">
        <v>1079427.2932132601</v>
      </c>
      <c r="H92" s="75">
        <f t="shared" ref="H92" si="1231">AVERAGE(G89:G92)</f>
        <v>1141624.1774996356</v>
      </c>
      <c r="I92" s="75">
        <f>Table5[[#This Row],[Average NWP (Boom)]]</f>
        <v>1059.0927130922339</v>
      </c>
      <c r="J92" s="92">
        <f t="shared" ref="J92" si="1232">AVERAGE(I89:I92)</f>
        <v>1074.2758941118293</v>
      </c>
      <c r="K92" s="75">
        <f t="shared" si="892"/>
        <v>1079427.2932132601</v>
      </c>
      <c r="L92" s="75">
        <f t="shared" ref="L92" si="1233">AVERAGE(K89:K92)</f>
        <v>1141624.1774996358</v>
      </c>
      <c r="M92" s="75">
        <v>1056.1910892497654</v>
      </c>
      <c r="N92" s="75">
        <f t="shared" ref="N92" si="1234">AVERAGE(M89:M92)</f>
        <v>1071.1413019996419</v>
      </c>
      <c r="O92" s="96">
        <f t="shared" si="895"/>
        <v>1002179.1616448816</v>
      </c>
      <c r="P92" s="74">
        <v>157295.61285700995</v>
      </c>
      <c r="Q92" s="75">
        <f t="shared" ref="Q92" si="1235">AVERAGE(P89:P92)</f>
        <v>184599.90071438754</v>
      </c>
      <c r="R92" s="74">
        <v>786.47806428504975</v>
      </c>
      <c r="S92" s="75">
        <f t="shared" ref="S92" si="1236">AVERAGE(R89:R92)</f>
        <v>904.22901821851144</v>
      </c>
      <c r="T92" s="96">
        <v>171048.81533655972</v>
      </c>
      <c r="U92" s="74">
        <v>922131.68035625014</v>
      </c>
      <c r="V92" s="75">
        <f t="shared" ref="V92" si="1237">AVERAGE(U89:U92)</f>
        <v>957024.27678524819</v>
      </c>
      <c r="W92" s="74">
        <v>1121.8146962971414</v>
      </c>
      <c r="X92" s="75">
        <f t="shared" ref="X92" si="1238">AVERAGE(W89:W92)</f>
        <v>1111.1731912198188</v>
      </c>
      <c r="Y92" s="96">
        <v>831130.34630832192</v>
      </c>
      <c r="Z92" s="74">
        <v>0</v>
      </c>
      <c r="AA92" s="75">
        <f t="shared" ref="AA92" si="1239">AVERAGE(Z89:Z92)</f>
        <v>0</v>
      </c>
      <c r="AB92" s="74">
        <v>0</v>
      </c>
      <c r="AC92" s="75">
        <f t="shared" ref="AC92" si="1240">AVERAGE(AB89:AB92)</f>
        <v>0</v>
      </c>
      <c r="AD92" s="96" t="e">
        <v>#VALUE!</v>
      </c>
      <c r="AE92" s="74">
        <v>0</v>
      </c>
      <c r="AF92" s="75">
        <f t="shared" ref="AF92" si="1241">AVERAGE(AE89:AE92)</f>
        <v>0</v>
      </c>
      <c r="AG92" s="74">
        <v>0</v>
      </c>
      <c r="AH92" s="75">
        <f t="shared" ref="AH92" si="1242">AVERAGE(AG89:AG92)</f>
        <v>0</v>
      </c>
      <c r="AI92" s="96" t="e">
        <v>#VALUE!</v>
      </c>
      <c r="AJ92" s="74">
        <v>0</v>
      </c>
      <c r="AK92" s="75">
        <f t="shared" ref="AK92" si="1243">AVERAGE(AJ89:AJ92)</f>
        <v>0</v>
      </c>
      <c r="AL92" s="74">
        <v>0</v>
      </c>
      <c r="AM92" s="75">
        <f t="shared" ref="AM92" si="1244">AVERAGE(AL89:AL92)</f>
        <v>0</v>
      </c>
      <c r="AN92" s="96">
        <v>0</v>
      </c>
      <c r="AO92" s="74">
        <f t="shared" si="906"/>
        <v>97138.679999879998</v>
      </c>
      <c r="AP92" s="75">
        <f t="shared" si="996"/>
        <v>96893.381683671454</v>
      </c>
      <c r="AQ92" s="74">
        <v>749.27341925152461</v>
      </c>
      <c r="AR92" s="92">
        <f t="shared" si="997"/>
        <v>830.6294109387344</v>
      </c>
      <c r="AS92" s="74">
        <f t="shared" si="907"/>
        <v>15250.358571410001</v>
      </c>
      <c r="AT92" s="75">
        <f t="shared" si="998"/>
        <v>23245.828214265715</v>
      </c>
      <c r="AU92" s="74">
        <v>764.61275802358887</v>
      </c>
      <c r="AV92" s="92">
        <f t="shared" si="999"/>
        <v>957.37465618651117</v>
      </c>
      <c r="AW92" s="74">
        <f t="shared" si="908"/>
        <v>27495.7671429</v>
      </c>
      <c r="AX92" s="75">
        <f t="shared" si="1000"/>
        <v>40207.428163298573</v>
      </c>
      <c r="AY92" s="74">
        <v>889.39693432140973</v>
      </c>
      <c r="AZ92" s="92">
        <f t="shared" si="1001"/>
        <v>1081.0724521691809</v>
      </c>
      <c r="BA92" s="74">
        <f t="shared" si="909"/>
        <v>17410.807142820002</v>
      </c>
      <c r="BB92" s="75">
        <f t="shared" si="1002"/>
        <v>20792.210459142858</v>
      </c>
      <c r="BC92" s="74">
        <v>918.87573842607208</v>
      </c>
      <c r="BD92" s="92">
        <f t="shared" si="1003"/>
        <v>1060.946203398337</v>
      </c>
      <c r="BE92" s="93">
        <f>AO92/SUM(Table5[[#This Row],[NWP (Standard)]],Table5[[#This Row],[NWP (Plus)]],Table5[[#This Row],[NWP (Essentials)]],Table5[[#This Row],[NWP (Premium)]])</f>
        <v>0.61755492245155097</v>
      </c>
      <c r="BF92" s="93">
        <f>AS92/SUM(Table5[[#This Row],[NWP (Standard)]],Table5[[#This Row],[NWP (Plus)]],Table5[[#This Row],[NWP (Essentials)]],Table5[[#This Row],[NWP (Premium)]])</f>
        <v>9.6953489639112683E-2</v>
      </c>
      <c r="BG92" s="93">
        <f>AW92/SUM(Table5[[#This Row],[NWP (Standard)]],Table5[[#This Row],[NWP (Plus)]],Table5[[#This Row],[NWP (Essentials)]],Table5[[#This Row],[NWP (Premium)]])</f>
        <v>0.17480314068196612</v>
      </c>
      <c r="BH92" s="94">
        <f>BA92/SUM(Table5[[#This Row],[NWP (Standard)]],Table5[[#This Row],[NWP (Plus)]],Table5[[#This Row],[NWP (Essentials)]],Table5[[#This Row],[NWP (Premium)]])</f>
        <v>0.11068844722737017</v>
      </c>
      <c r="BI92" s="93">
        <f t="shared" si="1004"/>
        <v>0.53683124696410278</v>
      </c>
      <c r="BJ92" s="93">
        <f t="shared" si="1004"/>
        <v>0.12670082089785073</v>
      </c>
      <c r="BK92" s="93">
        <f t="shared" si="1004"/>
        <v>0.22187132882037128</v>
      </c>
      <c r="BL92" s="94">
        <f t="shared" si="1004"/>
        <v>0.1145966033176752</v>
      </c>
      <c r="BM92" s="74">
        <v>0</v>
      </c>
      <c r="BN92" s="75">
        <f t="shared" si="1005"/>
        <v>0</v>
      </c>
      <c r="BO92" s="74">
        <v>0</v>
      </c>
      <c r="BP92" s="92">
        <f t="shared" si="1006"/>
        <v>0</v>
      </c>
      <c r="BQ92" s="74">
        <v>0</v>
      </c>
      <c r="BR92" s="75">
        <f t="shared" si="1007"/>
        <v>0</v>
      </c>
      <c r="BS92" s="74">
        <v>0</v>
      </c>
      <c r="BT92" s="92">
        <f t="shared" si="1008"/>
        <v>0</v>
      </c>
      <c r="BU92" s="74">
        <v>0</v>
      </c>
      <c r="BV92" s="75">
        <f t="shared" si="1009"/>
        <v>0</v>
      </c>
      <c r="BW92" s="74">
        <v>0</v>
      </c>
      <c r="BX92" s="92">
        <f t="shared" si="1010"/>
        <v>0</v>
      </c>
      <c r="BY92" s="74">
        <v>0</v>
      </c>
      <c r="BZ92" s="75">
        <f t="shared" si="1011"/>
        <v>0</v>
      </c>
      <c r="CA92" s="74">
        <v>0</v>
      </c>
      <c r="CB92" s="92">
        <f t="shared" si="1012"/>
        <v>0</v>
      </c>
      <c r="CC92" s="74">
        <v>97138.679999879998</v>
      </c>
      <c r="CD92" s="75">
        <f t="shared" si="1013"/>
        <v>96893.381683671454</v>
      </c>
      <c r="CE92" s="74">
        <v>749.27341925152461</v>
      </c>
      <c r="CF92" s="92">
        <f t="shared" si="1014"/>
        <v>830.6294109387344</v>
      </c>
      <c r="CG92" s="74">
        <v>15250.358571410001</v>
      </c>
      <c r="CH92" s="75">
        <f t="shared" si="1015"/>
        <v>23245.828214265715</v>
      </c>
      <c r="CI92" s="74">
        <v>764.61275802358887</v>
      </c>
      <c r="CJ92" s="92">
        <f t="shared" si="1016"/>
        <v>957.37465618651117</v>
      </c>
      <c r="CK92" s="74">
        <v>27495.7671429</v>
      </c>
      <c r="CL92" s="75">
        <f t="shared" si="1017"/>
        <v>40207.428163298573</v>
      </c>
      <c r="CM92" s="74">
        <v>889.39693432140973</v>
      </c>
      <c r="CN92" s="92">
        <f t="shared" si="1018"/>
        <v>1081.0724521691809</v>
      </c>
      <c r="CO92" s="74">
        <v>17410.807142820002</v>
      </c>
      <c r="CP92" s="75">
        <f t="shared" si="1019"/>
        <v>20792.210459142858</v>
      </c>
      <c r="CQ92" s="74">
        <v>918.87573842607208</v>
      </c>
      <c r="CR92" s="92">
        <f t="shared" si="1020"/>
        <v>1060.946203398337</v>
      </c>
    </row>
    <row r="93" spans="1:96" x14ac:dyDescent="0.25">
      <c r="A93" s="85">
        <f t="shared" si="910"/>
        <v>45772</v>
      </c>
      <c r="B93" s="74">
        <v>990825.61535694986</v>
      </c>
      <c r="C93" s="75">
        <f t="shared" si="939"/>
        <v>1093566.9809817758</v>
      </c>
      <c r="D93" s="74">
        <v>1025.3329862987541</v>
      </c>
      <c r="E93" s="75">
        <f t="shared" si="939"/>
        <v>1060.2571464179966</v>
      </c>
      <c r="F93" s="96">
        <f t="shared" si="889"/>
        <v>1002179.1616448816</v>
      </c>
      <c r="G93" s="75">
        <v>990825.61535694986</v>
      </c>
      <c r="H93" s="75">
        <f t="shared" ref="H93" si="1245">AVERAGE(G90:G93)</f>
        <v>1093566.9809817758</v>
      </c>
      <c r="I93" s="75">
        <f>Table5[[#This Row],[Average NWP (Boom)]]</f>
        <v>1025.3329862987541</v>
      </c>
      <c r="J93" s="92">
        <f t="shared" ref="J93" si="1246">AVERAGE(I90:I93)</f>
        <v>1060.2571464179966</v>
      </c>
      <c r="K93" s="75">
        <f t="shared" si="892"/>
        <v>990825.61535694997</v>
      </c>
      <c r="L93" s="75">
        <f t="shared" ref="L93" si="1247">AVERAGE(K90:K93)</f>
        <v>1093566.9809817758</v>
      </c>
      <c r="M93" s="75">
        <v>1022.5238548575335</v>
      </c>
      <c r="N93" s="75">
        <f t="shared" ref="N93" si="1248">AVERAGE(M90:M93)</f>
        <v>1057.160961833353</v>
      </c>
      <c r="O93" s="96">
        <f t="shared" si="895"/>
        <v>1002179.1616448816</v>
      </c>
      <c r="P93" s="74">
        <v>174947.03214283998</v>
      </c>
      <c r="Q93" s="75">
        <f t="shared" ref="Q93" si="1249">AVERAGE(P90:P93)</f>
        <v>181993.43348221749</v>
      </c>
      <c r="R93" s="74">
        <v>857.58349089627438</v>
      </c>
      <c r="S93" s="75">
        <f t="shared" ref="S93" si="1250">AVERAGE(R90:R93)</f>
        <v>897.94286585743703</v>
      </c>
      <c r="T93" s="96">
        <v>171048.81533655972</v>
      </c>
      <c r="U93" s="74">
        <v>815878.58321411</v>
      </c>
      <c r="V93" s="75">
        <f t="shared" ref="V93" si="1251">AVERAGE(U90:U93)</f>
        <v>911573.54749955819</v>
      </c>
      <c r="W93" s="74">
        <v>1066.5079519138692</v>
      </c>
      <c r="X93" s="75">
        <f t="shared" ref="X93" si="1252">AVERAGE(W90:W93)</f>
        <v>1096.6047168654591</v>
      </c>
      <c r="Y93" s="96">
        <v>831130.34630832192</v>
      </c>
      <c r="Z93" s="74">
        <v>0</v>
      </c>
      <c r="AA93" s="75">
        <f t="shared" ref="AA93" si="1253">AVERAGE(Z90:Z93)</f>
        <v>0</v>
      </c>
      <c r="AB93" s="74">
        <v>0</v>
      </c>
      <c r="AC93" s="75">
        <f t="shared" ref="AC93" si="1254">AVERAGE(AB90:AB93)</f>
        <v>0</v>
      </c>
      <c r="AD93" s="96" t="e">
        <v>#VALUE!</v>
      </c>
      <c r="AE93" s="74">
        <v>0</v>
      </c>
      <c r="AF93" s="75">
        <f t="shared" ref="AF93" si="1255">AVERAGE(AE90:AE93)</f>
        <v>0</v>
      </c>
      <c r="AG93" s="74">
        <v>0</v>
      </c>
      <c r="AH93" s="75">
        <f t="shared" ref="AH93" si="1256">AVERAGE(AG90:AG93)</f>
        <v>0</v>
      </c>
      <c r="AI93" s="96" t="e">
        <v>#VALUE!</v>
      </c>
      <c r="AJ93" s="74">
        <v>0</v>
      </c>
      <c r="AK93" s="75">
        <f t="shared" ref="AK93" si="1257">AVERAGE(AJ90:AJ93)</f>
        <v>0</v>
      </c>
      <c r="AL93" s="74">
        <v>0</v>
      </c>
      <c r="AM93" s="75">
        <f t="shared" ref="AM93" si="1258">AVERAGE(AL90:AL93)</f>
        <v>0</v>
      </c>
      <c r="AN93" s="96">
        <v>0</v>
      </c>
      <c r="AO93" s="74">
        <f t="shared" si="906"/>
        <v>99530.595714140014</v>
      </c>
      <c r="AP93" s="75">
        <f t="shared" si="996"/>
        <v>97825.014489794281</v>
      </c>
      <c r="AQ93" s="74">
        <v>811.41488954397983</v>
      </c>
      <c r="AR93" s="92">
        <f t="shared" si="997"/>
        <v>819.65509481137531</v>
      </c>
      <c r="AS93" s="74">
        <f t="shared" si="907"/>
        <v>13118.431785729999</v>
      </c>
      <c r="AT93" s="75">
        <f t="shared" si="998"/>
        <v>21819.816785688574</v>
      </c>
      <c r="AU93" s="74">
        <v>730.80396850731165</v>
      </c>
      <c r="AV93" s="92">
        <f t="shared" si="999"/>
        <v>923.8944211542223</v>
      </c>
      <c r="AW93" s="74">
        <f t="shared" si="908"/>
        <v>35280.099642919995</v>
      </c>
      <c r="AX93" s="75">
        <f t="shared" si="1000"/>
        <v>39169.60260211143</v>
      </c>
      <c r="AY93" s="74">
        <v>907.10315365680685</v>
      </c>
      <c r="AZ93" s="92">
        <f t="shared" si="1001"/>
        <v>1050.276060193107</v>
      </c>
      <c r="BA93" s="74">
        <f t="shared" si="909"/>
        <v>27017.905000050003</v>
      </c>
      <c r="BB93" s="75">
        <f t="shared" si="1002"/>
        <v>22418.563673442859</v>
      </c>
      <c r="BC93" s="74">
        <v>1128.8387505434214</v>
      </c>
      <c r="BD93" s="92">
        <f t="shared" si="1003"/>
        <v>1082.2411901732562</v>
      </c>
      <c r="BE93" s="93">
        <f>AO93/SUM(Table5[[#This Row],[NWP (Standard)]],Table5[[#This Row],[NWP (Plus)]],Table5[[#This Row],[NWP (Essentials)]],Table5[[#This Row],[NWP (Premium)]])</f>
        <v>0.56891845774711802</v>
      </c>
      <c r="BF93" s="93">
        <f>AS93/SUM(Table5[[#This Row],[NWP (Standard)]],Table5[[#This Row],[NWP (Plus)]],Table5[[#This Row],[NWP (Essentials)]],Table5[[#This Row],[NWP (Premium)]])</f>
        <v>7.4985163366584687E-2</v>
      </c>
      <c r="BG93" s="93">
        <f>AW93/SUM(Table5[[#This Row],[NWP (Standard)]],Table5[[#This Row],[NWP (Plus)]],Table5[[#This Row],[NWP (Essentials)]],Table5[[#This Row],[NWP (Premium)]])</f>
        <v>0.20166160700636893</v>
      </c>
      <c r="BH93" s="94">
        <f>BA93/SUM(Table5[[#This Row],[NWP (Standard)]],Table5[[#This Row],[NWP (Plus)]],Table5[[#This Row],[NWP (Essentials)]],Table5[[#This Row],[NWP (Premium)]])</f>
        <v>0.15443477187992843</v>
      </c>
      <c r="BI93" s="93">
        <f t="shared" si="1004"/>
        <v>0.54186928596037442</v>
      </c>
      <c r="BJ93" s="93">
        <f t="shared" si="1004"/>
        <v>0.11847838848679108</v>
      </c>
      <c r="BK93" s="93">
        <f t="shared" si="1004"/>
        <v>0.21580773366096512</v>
      </c>
      <c r="BL93" s="94">
        <f t="shared" si="1004"/>
        <v>0.12384459189186924</v>
      </c>
      <c r="BM93" s="74">
        <v>0</v>
      </c>
      <c r="BN93" s="75">
        <f t="shared" si="1005"/>
        <v>0</v>
      </c>
      <c r="BO93" s="74">
        <v>0</v>
      </c>
      <c r="BP93" s="92">
        <f t="shared" si="1006"/>
        <v>0</v>
      </c>
      <c r="BQ93" s="74">
        <v>0</v>
      </c>
      <c r="BR93" s="75">
        <f t="shared" si="1007"/>
        <v>0</v>
      </c>
      <c r="BS93" s="74">
        <v>0</v>
      </c>
      <c r="BT93" s="92">
        <f t="shared" si="1008"/>
        <v>0</v>
      </c>
      <c r="BU93" s="74">
        <v>0</v>
      </c>
      <c r="BV93" s="75">
        <f t="shared" si="1009"/>
        <v>0</v>
      </c>
      <c r="BW93" s="74">
        <v>0</v>
      </c>
      <c r="BX93" s="92">
        <f t="shared" si="1010"/>
        <v>0</v>
      </c>
      <c r="BY93" s="74">
        <v>0</v>
      </c>
      <c r="BZ93" s="75">
        <f t="shared" si="1011"/>
        <v>0</v>
      </c>
      <c r="CA93" s="74">
        <v>0</v>
      </c>
      <c r="CB93" s="92">
        <f t="shared" si="1012"/>
        <v>0</v>
      </c>
      <c r="CC93" s="74">
        <v>99530.595714140014</v>
      </c>
      <c r="CD93" s="75">
        <f t="shared" si="1013"/>
        <v>97825.014489794281</v>
      </c>
      <c r="CE93" s="74">
        <v>811.41488954397983</v>
      </c>
      <c r="CF93" s="92">
        <f t="shared" si="1014"/>
        <v>819.65509481137531</v>
      </c>
      <c r="CG93" s="74">
        <v>13118.431785729999</v>
      </c>
      <c r="CH93" s="75">
        <f t="shared" si="1015"/>
        <v>21819.816785688574</v>
      </c>
      <c r="CI93" s="74">
        <v>730.80396850731165</v>
      </c>
      <c r="CJ93" s="92">
        <f t="shared" si="1016"/>
        <v>923.8944211542223</v>
      </c>
      <c r="CK93" s="74">
        <v>35280.099642919995</v>
      </c>
      <c r="CL93" s="75">
        <f t="shared" si="1017"/>
        <v>39169.60260211143</v>
      </c>
      <c r="CM93" s="74">
        <v>907.10315365680685</v>
      </c>
      <c r="CN93" s="92">
        <f t="shared" si="1018"/>
        <v>1050.276060193107</v>
      </c>
      <c r="CO93" s="74">
        <v>27017.905000050003</v>
      </c>
      <c r="CP93" s="75">
        <f t="shared" si="1019"/>
        <v>22418.563673442859</v>
      </c>
      <c r="CQ93" s="74">
        <v>1128.8387505434214</v>
      </c>
      <c r="CR93" s="92">
        <f t="shared" si="1020"/>
        <v>1082.2411901732562</v>
      </c>
    </row>
    <row r="94" spans="1:96" x14ac:dyDescent="0.25">
      <c r="A94" s="85">
        <f t="shared" si="910"/>
        <v>45779</v>
      </c>
      <c r="B94" s="74">
        <v>1246788.5721422909</v>
      </c>
      <c r="C94" s="75">
        <f t="shared" si="939"/>
        <v>1103963.6613387403</v>
      </c>
      <c r="D94" s="74">
        <v>1028.9825641465065</v>
      </c>
      <c r="E94" s="75">
        <f t="shared" si="939"/>
        <v>1054.3620563897521</v>
      </c>
      <c r="F94" s="96">
        <f t="shared" si="889"/>
        <v>1003846.6397711438</v>
      </c>
      <c r="G94" s="75">
        <v>1246788.5721422909</v>
      </c>
      <c r="H94" s="75">
        <f t="shared" ref="H94" si="1259">AVERAGE(G91:G94)</f>
        <v>1103963.6613387403</v>
      </c>
      <c r="I94" s="75">
        <f>Table5[[#This Row],[Average NWP (Boom)]]</f>
        <v>1028.9825641465065</v>
      </c>
      <c r="J94" s="92">
        <f t="shared" ref="J94" si="1260">AVERAGE(I91:I94)</f>
        <v>1054.3620563897521</v>
      </c>
      <c r="K94" s="75">
        <f t="shared" si="892"/>
        <v>1246788.5721422902</v>
      </c>
      <c r="L94" s="75">
        <f t="shared" ref="L94" si="1261">AVERAGE(K91:K94)</f>
        <v>1103963.66133874</v>
      </c>
      <c r="M94" s="75">
        <v>1026.1634338619672</v>
      </c>
      <c r="N94" s="75">
        <f t="shared" ref="N94" si="1262">AVERAGE(M91:M94)</f>
        <v>1051.4733932504478</v>
      </c>
      <c r="O94" s="96">
        <f t="shared" si="895"/>
        <v>1003846.6397711438</v>
      </c>
      <c r="P94" s="74">
        <v>216081.86178546</v>
      </c>
      <c r="Q94" s="75">
        <f t="shared" ref="Q94" si="1263">AVERAGE(P91:P94)</f>
        <v>183995.73205351498</v>
      </c>
      <c r="R94" s="74">
        <v>854.0785050808696</v>
      </c>
      <c r="S94" s="75">
        <f t="shared" ref="S94" si="1264">AVERAGE(R91:R94)</f>
        <v>882.307571973172</v>
      </c>
      <c r="T94" s="96">
        <v>171333.41530532041</v>
      </c>
      <c r="U94" s="74">
        <v>1030706.7103568302</v>
      </c>
      <c r="V94" s="75">
        <f t="shared" ref="V94" si="1265">AVERAGE(U91:U94)</f>
        <v>919967.92928522511</v>
      </c>
      <c r="W94" s="74">
        <v>1071.4206968366218</v>
      </c>
      <c r="X94" s="75">
        <f t="shared" ref="X94" si="1266">AVERAGE(W91:W94)</f>
        <v>1094.0886374915985</v>
      </c>
      <c r="Y94" s="96">
        <v>832513.22446582338</v>
      </c>
      <c r="Z94" s="74">
        <v>0</v>
      </c>
      <c r="AA94" s="75">
        <f t="shared" ref="AA94" si="1267">AVERAGE(Z91:Z94)</f>
        <v>0</v>
      </c>
      <c r="AB94" s="74">
        <v>0</v>
      </c>
      <c r="AC94" s="75">
        <f t="shared" ref="AC94" si="1268">AVERAGE(AB91:AB94)</f>
        <v>0</v>
      </c>
      <c r="AD94" s="96" t="e">
        <v>#VALUE!</v>
      </c>
      <c r="AE94" s="74">
        <v>0</v>
      </c>
      <c r="AF94" s="75">
        <f t="shared" ref="AF94" si="1269">AVERAGE(AE91:AE94)</f>
        <v>0</v>
      </c>
      <c r="AG94" s="74">
        <v>0</v>
      </c>
      <c r="AH94" s="75">
        <f t="shared" ref="AH94" si="1270">AVERAGE(AG91:AG94)</f>
        <v>0</v>
      </c>
      <c r="AI94" s="96" t="e">
        <v>#VALUE!</v>
      </c>
      <c r="AJ94" s="74">
        <v>0</v>
      </c>
      <c r="AK94" s="75">
        <f t="shared" ref="AK94" si="1271">AVERAGE(AJ91:AJ94)</f>
        <v>0</v>
      </c>
      <c r="AL94" s="74">
        <v>0</v>
      </c>
      <c r="AM94" s="75">
        <f t="shared" ref="AM94" si="1272">AVERAGE(AL91:AL94)</f>
        <v>0</v>
      </c>
      <c r="AN94" s="96">
        <v>0</v>
      </c>
      <c r="AO94" s="74">
        <f t="shared" si="906"/>
        <v>124078.84392839999</v>
      </c>
      <c r="AP94" s="75">
        <f t="shared" si="996"/>
        <v>101265.68214283571</v>
      </c>
      <c r="AQ94" s="74">
        <v>846.39265217578293</v>
      </c>
      <c r="AR94" s="92">
        <f t="shared" si="997"/>
        <v>813.80615686230487</v>
      </c>
      <c r="AS94" s="74">
        <f t="shared" si="907"/>
        <v>15451.42178574</v>
      </c>
      <c r="AT94" s="75">
        <f t="shared" si="998"/>
        <v>19661.447448954288</v>
      </c>
      <c r="AU94" s="74">
        <v>673.64655418539917</v>
      </c>
      <c r="AV94" s="92">
        <f t="shared" si="999"/>
        <v>887.4717938057405</v>
      </c>
      <c r="AW94" s="74">
        <f t="shared" si="908"/>
        <v>50984.298214180002</v>
      </c>
      <c r="AX94" s="75">
        <f t="shared" si="1000"/>
        <v>41040.098061268567</v>
      </c>
      <c r="AY94" s="74">
        <v>964.61065973794632</v>
      </c>
      <c r="AZ94" s="92">
        <f t="shared" si="1001"/>
        <v>1028.435038114286</v>
      </c>
      <c r="BA94" s="74">
        <f t="shared" si="909"/>
        <v>25567.297857139998</v>
      </c>
      <c r="BB94" s="75">
        <f t="shared" si="1002"/>
        <v>23131.47448977143</v>
      </c>
      <c r="BC94" s="74">
        <v>854.58458952378419</v>
      </c>
      <c r="BD94" s="92">
        <f t="shared" si="1003"/>
        <v>1020.0974516395106</v>
      </c>
      <c r="BE94" s="93">
        <f>AO94/SUM(Table5[[#This Row],[NWP (Standard)]],Table5[[#This Row],[NWP (Plus)]],Table5[[#This Row],[NWP (Essentials)]],Table5[[#This Row],[NWP (Premium)]])</f>
        <v>0.57422146821186437</v>
      </c>
      <c r="BF94" s="93">
        <f>AS94/SUM(Table5[[#This Row],[NWP (Standard)]],Table5[[#This Row],[NWP (Plus)]],Table5[[#This Row],[NWP (Essentials)]],Table5[[#This Row],[NWP (Premium)]])</f>
        <v>7.1507259600906106E-2</v>
      </c>
      <c r="BG94" s="93">
        <f>AW94/SUM(Table5[[#This Row],[NWP (Standard)]],Table5[[#This Row],[NWP (Plus)]],Table5[[#This Row],[NWP (Essentials)]],Table5[[#This Row],[NWP (Premium)]])</f>
        <v>0.23594899540804817</v>
      </c>
      <c r="BH94" s="94">
        <f>BA94/SUM(Table5[[#This Row],[NWP (Standard)]],Table5[[#This Row],[NWP (Plus)]],Table5[[#This Row],[NWP (Essentials)]],Table5[[#This Row],[NWP (Premium)]])</f>
        <v>0.11832227677918131</v>
      </c>
      <c r="BI94" s="93">
        <f t="shared" si="1004"/>
        <v>0.54832830946614042</v>
      </c>
      <c r="BJ94" s="93">
        <f t="shared" si="1004"/>
        <v>0.10559736836854494</v>
      </c>
      <c r="BK94" s="93">
        <f t="shared" si="1004"/>
        <v>0.22087797257975025</v>
      </c>
      <c r="BL94" s="94">
        <f t="shared" si="1004"/>
        <v>0.12519634958556439</v>
      </c>
      <c r="BM94" s="74">
        <v>0</v>
      </c>
      <c r="BN94" s="75">
        <f t="shared" si="1005"/>
        <v>0</v>
      </c>
      <c r="BO94" s="74">
        <v>0</v>
      </c>
      <c r="BP94" s="92">
        <f t="shared" si="1006"/>
        <v>0</v>
      </c>
      <c r="BQ94" s="74">
        <v>0</v>
      </c>
      <c r="BR94" s="75">
        <f t="shared" si="1007"/>
        <v>0</v>
      </c>
      <c r="BS94" s="74">
        <v>0</v>
      </c>
      <c r="BT94" s="92">
        <f t="shared" si="1008"/>
        <v>0</v>
      </c>
      <c r="BU94" s="74">
        <v>0</v>
      </c>
      <c r="BV94" s="75">
        <f t="shared" si="1009"/>
        <v>0</v>
      </c>
      <c r="BW94" s="74">
        <v>0</v>
      </c>
      <c r="BX94" s="92">
        <f t="shared" si="1010"/>
        <v>0</v>
      </c>
      <c r="BY94" s="74">
        <v>0</v>
      </c>
      <c r="BZ94" s="75">
        <f t="shared" si="1011"/>
        <v>0</v>
      </c>
      <c r="CA94" s="74">
        <v>0</v>
      </c>
      <c r="CB94" s="92">
        <f t="shared" si="1012"/>
        <v>0</v>
      </c>
      <c r="CC94" s="74">
        <v>124078.84392839999</v>
      </c>
      <c r="CD94" s="75">
        <f t="shared" si="1013"/>
        <v>101265.68214283571</v>
      </c>
      <c r="CE94" s="74">
        <v>846.39265217578293</v>
      </c>
      <c r="CF94" s="92">
        <f t="shared" si="1014"/>
        <v>813.80615686230487</v>
      </c>
      <c r="CG94" s="74">
        <v>15451.42178574</v>
      </c>
      <c r="CH94" s="75">
        <f t="shared" si="1015"/>
        <v>19661.447448954288</v>
      </c>
      <c r="CI94" s="74">
        <v>673.64655418539917</v>
      </c>
      <c r="CJ94" s="92">
        <f t="shared" si="1016"/>
        <v>887.4717938057405</v>
      </c>
      <c r="CK94" s="74">
        <v>50984.298214180002</v>
      </c>
      <c r="CL94" s="75">
        <f t="shared" si="1017"/>
        <v>41040.098061268567</v>
      </c>
      <c r="CM94" s="74">
        <v>964.61065973794632</v>
      </c>
      <c r="CN94" s="92">
        <f t="shared" si="1018"/>
        <v>1028.435038114286</v>
      </c>
      <c r="CO94" s="74">
        <v>25567.297857139998</v>
      </c>
      <c r="CP94" s="75">
        <f t="shared" si="1019"/>
        <v>23131.47448977143</v>
      </c>
      <c r="CQ94" s="74">
        <v>854.58458952378419</v>
      </c>
      <c r="CR94" s="92">
        <f t="shared" si="1020"/>
        <v>1020.0974516395106</v>
      </c>
    </row>
    <row r="95" spans="1:96" x14ac:dyDescent="0.25">
      <c r="A95" s="85">
        <f t="shared" si="910"/>
        <v>45786</v>
      </c>
      <c r="B95" s="74">
        <v>1006313.7264285199</v>
      </c>
      <c r="C95" s="75">
        <f t="shared" si="939"/>
        <v>1080838.8017852553</v>
      </c>
      <c r="D95" s="74">
        <v>1070.0724544542165</v>
      </c>
      <c r="E95" s="75">
        <f t="shared" si="939"/>
        <v>1045.8701794979277</v>
      </c>
      <c r="F95" s="96">
        <f t="shared" si="889"/>
        <v>1008015.3350867983</v>
      </c>
      <c r="G95" s="75">
        <v>1006313.7264285199</v>
      </c>
      <c r="H95" s="75">
        <f t="shared" ref="H95" si="1273">AVERAGE(G92:G95)</f>
        <v>1080838.8017852553</v>
      </c>
      <c r="I95" s="75">
        <f>Table5[[#This Row],[Average NWP (Boom)]]</f>
        <v>1070.0724544542165</v>
      </c>
      <c r="J95" s="92">
        <f t="shared" ref="J95" si="1274">AVERAGE(I92:I95)</f>
        <v>1045.8701794979277</v>
      </c>
      <c r="K95" s="75">
        <f t="shared" si="892"/>
        <v>1006313.7264285202</v>
      </c>
      <c r="L95" s="75">
        <f t="shared" ref="L95" si="1275">AVERAGE(K92:K95)</f>
        <v>1080838.8017852551</v>
      </c>
      <c r="M95" s="75">
        <v>1067.1407491288655</v>
      </c>
      <c r="N95" s="75">
        <f t="shared" ref="N95" si="1276">AVERAGE(M92:M95)</f>
        <v>1043.0047817745328</v>
      </c>
      <c r="O95" s="96">
        <f t="shared" si="895"/>
        <v>1008015.3350867983</v>
      </c>
      <c r="P95" s="74">
        <v>187041.62821405003</v>
      </c>
      <c r="Q95" s="75">
        <f t="shared" ref="Q95" si="1277">AVERAGE(P92:P95)</f>
        <v>183841.53374983999</v>
      </c>
      <c r="R95" s="74">
        <v>921.38733110369469</v>
      </c>
      <c r="S95" s="75">
        <f t="shared" ref="S95" si="1278">AVERAGE(R92:R95)</f>
        <v>854.88184784147211</v>
      </c>
      <c r="T95" s="96">
        <v>172044.91522722205</v>
      </c>
      <c r="U95" s="74">
        <v>819272.09821447008</v>
      </c>
      <c r="V95" s="75">
        <f t="shared" ref="V95" si="1279">AVERAGE(U92:U95)</f>
        <v>896997.26803541509</v>
      </c>
      <c r="W95" s="74">
        <v>1107.1244570465813</v>
      </c>
      <c r="X95" s="75">
        <f t="shared" ref="X95" si="1280">AVERAGE(W92:W95)</f>
        <v>1091.7169505235534</v>
      </c>
      <c r="Y95" s="96">
        <v>835970.41985957627</v>
      </c>
      <c r="Z95" s="74">
        <v>0</v>
      </c>
      <c r="AA95" s="75">
        <f t="shared" ref="AA95" si="1281">AVERAGE(Z92:Z95)</f>
        <v>0</v>
      </c>
      <c r="AB95" s="74">
        <v>0</v>
      </c>
      <c r="AC95" s="75">
        <f t="shared" ref="AC95" si="1282">AVERAGE(AB92:AB95)</f>
        <v>0</v>
      </c>
      <c r="AD95" s="96" t="e">
        <v>#VALUE!</v>
      </c>
      <c r="AE95" s="74">
        <v>0</v>
      </c>
      <c r="AF95" s="75">
        <f t="shared" ref="AF95" si="1283">AVERAGE(AE92:AE95)</f>
        <v>0</v>
      </c>
      <c r="AG95" s="74">
        <v>0</v>
      </c>
      <c r="AH95" s="75">
        <f t="shared" ref="AH95" si="1284">AVERAGE(AG92:AG95)</f>
        <v>0</v>
      </c>
      <c r="AI95" s="96" t="e">
        <v>#VALUE!</v>
      </c>
      <c r="AJ95" s="74">
        <v>0</v>
      </c>
      <c r="AK95" s="75">
        <f t="shared" ref="AK95" si="1285">AVERAGE(AJ92:AJ95)</f>
        <v>0</v>
      </c>
      <c r="AL95" s="74">
        <v>0</v>
      </c>
      <c r="AM95" s="75">
        <f t="shared" ref="AM95" si="1286">AVERAGE(AL92:AL95)</f>
        <v>0</v>
      </c>
      <c r="AN95" s="96">
        <v>0</v>
      </c>
      <c r="AO95" s="74">
        <f t="shared" si="906"/>
        <v>93758.210714169996</v>
      </c>
      <c r="AP95" s="75">
        <f t="shared" si="996"/>
        <v>101698.55816322856</v>
      </c>
      <c r="AQ95" s="74">
        <v>790.04864044999294</v>
      </c>
      <c r="AR95" s="92">
        <f t="shared" si="997"/>
        <v>817.4537639229535</v>
      </c>
      <c r="AS95" s="74">
        <f t="shared" si="907"/>
        <v>22245.059642880002</v>
      </c>
      <c r="AT95" s="75">
        <f t="shared" si="998"/>
        <v>20365.140969380001</v>
      </c>
      <c r="AU95" s="74">
        <v>1062.1986877849477</v>
      </c>
      <c r="AV95" s="92">
        <f t="shared" si="999"/>
        <v>915.16599753973946</v>
      </c>
      <c r="AW95" s="74">
        <f t="shared" si="908"/>
        <v>46851.656785519997</v>
      </c>
      <c r="AX95" s="75">
        <f t="shared" si="1000"/>
        <v>41792.696938807145</v>
      </c>
      <c r="AY95" s="74">
        <v>1236.3255296591235</v>
      </c>
      <c r="AZ95" s="92">
        <f t="shared" si="1001"/>
        <v>1039.5858878708093</v>
      </c>
      <c r="BA95" s="74">
        <f t="shared" si="909"/>
        <v>24186.701071479998</v>
      </c>
      <c r="BB95" s="75">
        <f t="shared" si="1002"/>
        <v>24210.764642855713</v>
      </c>
      <c r="BC95" s="74">
        <v>970.12592207117234</v>
      </c>
      <c r="BD95" s="92">
        <f t="shared" si="1003"/>
        <v>1033.2931743374193</v>
      </c>
      <c r="BE95" s="93">
        <f>AO95/SUM(Table5[[#This Row],[NWP (Standard)]],Table5[[#This Row],[NWP (Plus)]],Table5[[#This Row],[NWP (Essentials)]],Table5[[#This Row],[NWP (Premium)]])</f>
        <v>0.50126921803136426</v>
      </c>
      <c r="BF95" s="93">
        <f>AS95/SUM(Table5[[#This Row],[NWP (Standard)]],Table5[[#This Row],[NWP (Plus)]],Table5[[#This Row],[NWP (Essentials)]],Table5[[#This Row],[NWP (Premium)]])</f>
        <v>0.11893106286170055</v>
      </c>
      <c r="BG95" s="93">
        <f>AW95/SUM(Table5[[#This Row],[NWP (Standard)]],Table5[[#This Row],[NWP (Plus)]],Table5[[#This Row],[NWP (Essentials)]],Table5[[#This Row],[NWP (Premium)]])</f>
        <v>0.25048785787890526</v>
      </c>
      <c r="BH95" s="94">
        <f>BA95/SUM(Table5[[#This Row],[NWP (Standard)]],Table5[[#This Row],[NWP (Plus)]],Table5[[#This Row],[NWP (Essentials)]],Table5[[#This Row],[NWP (Premium)]])</f>
        <v>0.12931186122802993</v>
      </c>
      <c r="BI95" s="93">
        <f t="shared" si="1004"/>
        <v>0.54198219169757611</v>
      </c>
      <c r="BJ95" s="93">
        <f t="shared" si="1004"/>
        <v>0.10770639331374941</v>
      </c>
      <c r="BK95" s="93">
        <f t="shared" si="1004"/>
        <v>0.22093232069325058</v>
      </c>
      <c r="BL95" s="94">
        <f t="shared" si="1004"/>
        <v>0.12937909429542391</v>
      </c>
      <c r="BM95" s="74">
        <v>0</v>
      </c>
      <c r="BN95" s="75">
        <f t="shared" si="1005"/>
        <v>0</v>
      </c>
      <c r="BO95" s="74">
        <v>0</v>
      </c>
      <c r="BP95" s="92">
        <f t="shared" si="1006"/>
        <v>0</v>
      </c>
      <c r="BQ95" s="74">
        <v>0</v>
      </c>
      <c r="BR95" s="75">
        <f t="shared" si="1007"/>
        <v>0</v>
      </c>
      <c r="BS95" s="74">
        <v>0</v>
      </c>
      <c r="BT95" s="92">
        <f t="shared" si="1008"/>
        <v>0</v>
      </c>
      <c r="BU95" s="74">
        <v>0</v>
      </c>
      <c r="BV95" s="75">
        <f t="shared" si="1009"/>
        <v>0</v>
      </c>
      <c r="BW95" s="74">
        <v>0</v>
      </c>
      <c r="BX95" s="92">
        <f t="shared" si="1010"/>
        <v>0</v>
      </c>
      <c r="BY95" s="74">
        <v>0</v>
      </c>
      <c r="BZ95" s="75">
        <f t="shared" si="1011"/>
        <v>0</v>
      </c>
      <c r="CA95" s="74">
        <v>0</v>
      </c>
      <c r="CB95" s="92">
        <f t="shared" si="1012"/>
        <v>0</v>
      </c>
      <c r="CC95" s="74">
        <v>93758.210714169996</v>
      </c>
      <c r="CD95" s="75">
        <f t="shared" si="1013"/>
        <v>101698.55816322856</v>
      </c>
      <c r="CE95" s="74">
        <v>790.04864044999294</v>
      </c>
      <c r="CF95" s="92">
        <f t="shared" si="1014"/>
        <v>817.4537639229535</v>
      </c>
      <c r="CG95" s="74">
        <v>22245.059642880002</v>
      </c>
      <c r="CH95" s="75">
        <f t="shared" si="1015"/>
        <v>20365.140969380001</v>
      </c>
      <c r="CI95" s="74">
        <v>1062.1986877849477</v>
      </c>
      <c r="CJ95" s="92">
        <f t="shared" si="1016"/>
        <v>915.16599753973946</v>
      </c>
      <c r="CK95" s="74">
        <v>46851.656785519997</v>
      </c>
      <c r="CL95" s="75">
        <f t="shared" si="1017"/>
        <v>41792.696938807145</v>
      </c>
      <c r="CM95" s="74">
        <v>1236.3255296591235</v>
      </c>
      <c r="CN95" s="92">
        <f t="shared" si="1018"/>
        <v>1039.5858878708093</v>
      </c>
      <c r="CO95" s="74">
        <v>24186.701071479998</v>
      </c>
      <c r="CP95" s="75">
        <f t="shared" si="1019"/>
        <v>24210.764642855713</v>
      </c>
      <c r="CQ95" s="74">
        <v>970.12592207117234</v>
      </c>
      <c r="CR95" s="92">
        <f t="shared" si="1020"/>
        <v>1033.2931743374193</v>
      </c>
    </row>
    <row r="96" spans="1:96" x14ac:dyDescent="0.25">
      <c r="A96" s="85">
        <f t="shared" si="910"/>
        <v>45793</v>
      </c>
      <c r="B96" s="74">
        <v>1004358.4399998693</v>
      </c>
      <c r="C96" s="75">
        <f t="shared" si="939"/>
        <v>1062071.5884819075</v>
      </c>
      <c r="D96" s="74">
        <v>1061.2409551693536</v>
      </c>
      <c r="E96" s="75">
        <f t="shared" si="939"/>
        <v>1046.4072400172076</v>
      </c>
      <c r="F96" s="96">
        <f t="shared" si="889"/>
        <v>1008015.3350867983</v>
      </c>
      <c r="G96" s="75">
        <v>1004358.4399998693</v>
      </c>
      <c r="H96" s="75">
        <f t="shared" ref="H96" si="1287">AVERAGE(G93:G96)</f>
        <v>1062071.5884819075</v>
      </c>
      <c r="I96" s="75">
        <f>Table5[[#This Row],[Average NWP (Boom)]]</f>
        <v>1061.2409551693536</v>
      </c>
      <c r="J96" s="92">
        <f t="shared" ref="J96" si="1288">AVERAGE(I93:I96)</f>
        <v>1046.4072400172076</v>
      </c>
      <c r="K96" s="75">
        <f t="shared" si="892"/>
        <v>1004358.4399998699</v>
      </c>
      <c r="L96" s="75">
        <f t="shared" ref="L96" si="1289">AVERAGE(K93:K96)</f>
        <v>1062071.5884819075</v>
      </c>
      <c r="M96" s="75">
        <v>1058.3334457322128</v>
      </c>
      <c r="N96" s="75">
        <f t="shared" ref="N96" si="1290">AVERAGE(M93:M96)</f>
        <v>1043.5403708951446</v>
      </c>
      <c r="O96" s="96">
        <f t="shared" si="895"/>
        <v>1008015.3350867983</v>
      </c>
      <c r="P96" s="74">
        <v>192963.01607138009</v>
      </c>
      <c r="Q96" s="75">
        <f t="shared" ref="Q96" si="1291">AVERAGE(P93:P96)</f>
        <v>192758.38455343252</v>
      </c>
      <c r="R96" s="74">
        <v>955.26245579891133</v>
      </c>
      <c r="S96" s="75">
        <f t="shared" ref="S96" si="1292">AVERAGE(R93:R96)</f>
        <v>897.07794571993759</v>
      </c>
      <c r="T96" s="96">
        <v>172044.91522722205</v>
      </c>
      <c r="U96" s="74">
        <v>811395.42392848979</v>
      </c>
      <c r="V96" s="75">
        <f t="shared" ref="V96" si="1293">AVERAGE(U93:U96)</f>
        <v>869313.20392847504</v>
      </c>
      <c r="W96" s="74">
        <v>1086.2053867851268</v>
      </c>
      <c r="X96" s="75">
        <f t="shared" ref="X96" si="1294">AVERAGE(W93:W96)</f>
        <v>1082.8146231455498</v>
      </c>
      <c r="Y96" s="96">
        <v>835970.41985957627</v>
      </c>
      <c r="Z96" s="74">
        <v>0</v>
      </c>
      <c r="AA96" s="75">
        <f t="shared" ref="AA96" si="1295">AVERAGE(Z93:Z96)</f>
        <v>0</v>
      </c>
      <c r="AB96" s="74">
        <v>0</v>
      </c>
      <c r="AC96" s="75">
        <f t="shared" ref="AC96" si="1296">AVERAGE(AB93:AB96)</f>
        <v>0</v>
      </c>
      <c r="AD96" s="96" t="e">
        <v>#VALUE!</v>
      </c>
      <c r="AE96" s="74">
        <v>0</v>
      </c>
      <c r="AF96" s="75">
        <f t="shared" ref="AF96" si="1297">AVERAGE(AE93:AE96)</f>
        <v>0</v>
      </c>
      <c r="AG96" s="74">
        <v>0</v>
      </c>
      <c r="AH96" s="75">
        <f t="shared" ref="AH96" si="1298">AVERAGE(AG93:AG96)</f>
        <v>0</v>
      </c>
      <c r="AI96" s="96" t="e">
        <v>#VALUE!</v>
      </c>
      <c r="AJ96" s="74">
        <v>0</v>
      </c>
      <c r="AK96" s="75">
        <f t="shared" ref="AK96" si="1299">AVERAGE(AJ93:AJ96)</f>
        <v>0</v>
      </c>
      <c r="AL96" s="74">
        <v>0</v>
      </c>
      <c r="AM96" s="75">
        <f t="shared" ref="AM96" si="1300">AVERAGE(AL93:AL96)</f>
        <v>0</v>
      </c>
      <c r="AN96" s="96">
        <v>0</v>
      </c>
      <c r="AO96" s="74">
        <f t="shared" si="906"/>
        <v>88593.638214180013</v>
      </c>
      <c r="AP96" s="75">
        <f t="shared" si="996"/>
        <v>101077.27510198143</v>
      </c>
      <c r="AQ96" s="74">
        <v>807.60933934284049</v>
      </c>
      <c r="AR96" s="92">
        <f t="shared" si="997"/>
        <v>820.9442259569239</v>
      </c>
      <c r="AS96" s="74">
        <f t="shared" si="907"/>
        <v>26548.652500029999</v>
      </c>
      <c r="AT96" s="75">
        <f t="shared" si="998"/>
        <v>20935.575153057143</v>
      </c>
      <c r="AU96" s="74">
        <v>985.98475399315566</v>
      </c>
      <c r="AV96" s="92">
        <f t="shared" si="999"/>
        <v>902.15987951129523</v>
      </c>
      <c r="AW96" s="74">
        <f t="shared" si="908"/>
        <v>51428.757500090003</v>
      </c>
      <c r="AX96" s="75">
        <f t="shared" si="1000"/>
        <v>43521.855714310004</v>
      </c>
      <c r="AY96" s="74">
        <v>1227.8582212857898</v>
      </c>
      <c r="AZ96" s="92">
        <f t="shared" si="1001"/>
        <v>1077.5981048055685</v>
      </c>
      <c r="BA96" s="74">
        <f t="shared" si="909"/>
        <v>26391.967857079999</v>
      </c>
      <c r="BB96" s="75">
        <f t="shared" si="1002"/>
        <v>23616.756887759995</v>
      </c>
      <c r="BC96" s="74">
        <v>1150.6292722849448</v>
      </c>
      <c r="BD96" s="92">
        <f t="shared" si="1003"/>
        <v>1046.7626232147329</v>
      </c>
      <c r="BE96" s="93">
        <f>AO96/SUM(Table5[[#This Row],[NWP (Standard)]],Table5[[#This Row],[NWP (Plus)]],Table5[[#This Row],[NWP (Essentials)]],Table5[[#This Row],[NWP (Premium)]])</f>
        <v>0.45912237493949543</v>
      </c>
      <c r="BF96" s="93">
        <f>AS96/SUM(Table5[[#This Row],[NWP (Standard)]],Table5[[#This Row],[NWP (Plus)]],Table5[[#This Row],[NWP (Essentials)]],Table5[[#This Row],[NWP (Premium)]])</f>
        <v>0.13758414975338715</v>
      </c>
      <c r="BG96" s="93">
        <f>AW96/SUM(Table5[[#This Row],[NWP (Standard)]],Table5[[#This Row],[NWP (Plus)]],Table5[[#This Row],[NWP (Essentials)]],Table5[[#This Row],[NWP (Premium)]])</f>
        <v>0.26652131868142914</v>
      </c>
      <c r="BH96" s="94">
        <f>BA96/SUM(Table5[[#This Row],[NWP (Standard)]],Table5[[#This Row],[NWP (Plus)]],Table5[[#This Row],[NWP (Essentials)]],Table5[[#This Row],[NWP (Premium)]])</f>
        <v>0.13677215662568831</v>
      </c>
      <c r="BI96" s="93">
        <f t="shared" si="1004"/>
        <v>0.53594511492017405</v>
      </c>
      <c r="BJ96" s="93">
        <f t="shared" si="1004"/>
        <v>0.10997884733936017</v>
      </c>
      <c r="BK96" s="93">
        <f t="shared" si="1004"/>
        <v>0.22870135883323828</v>
      </c>
      <c r="BL96" s="94">
        <f t="shared" si="1004"/>
        <v>0.1253746789072275</v>
      </c>
      <c r="BM96" s="74">
        <v>0</v>
      </c>
      <c r="BN96" s="75">
        <f t="shared" si="1005"/>
        <v>0</v>
      </c>
      <c r="BO96" s="74">
        <v>0</v>
      </c>
      <c r="BP96" s="92">
        <f t="shared" si="1006"/>
        <v>0</v>
      </c>
      <c r="BQ96" s="74">
        <v>0</v>
      </c>
      <c r="BR96" s="75">
        <f t="shared" si="1007"/>
        <v>0</v>
      </c>
      <c r="BS96" s="74">
        <v>0</v>
      </c>
      <c r="BT96" s="92">
        <f t="shared" si="1008"/>
        <v>0</v>
      </c>
      <c r="BU96" s="74">
        <v>0</v>
      </c>
      <c r="BV96" s="75">
        <f t="shared" si="1009"/>
        <v>0</v>
      </c>
      <c r="BW96" s="74">
        <v>0</v>
      </c>
      <c r="BX96" s="92">
        <f t="shared" si="1010"/>
        <v>0</v>
      </c>
      <c r="BY96" s="74">
        <v>0</v>
      </c>
      <c r="BZ96" s="75">
        <f t="shared" si="1011"/>
        <v>0</v>
      </c>
      <c r="CA96" s="74">
        <v>0</v>
      </c>
      <c r="CB96" s="92">
        <f t="shared" si="1012"/>
        <v>0</v>
      </c>
      <c r="CC96" s="74">
        <v>88593.638214180013</v>
      </c>
      <c r="CD96" s="75">
        <f t="shared" si="1013"/>
        <v>101077.27510198143</v>
      </c>
      <c r="CE96" s="74">
        <v>807.60933934284049</v>
      </c>
      <c r="CF96" s="92">
        <f t="shared" si="1014"/>
        <v>820.9442259569239</v>
      </c>
      <c r="CG96" s="74">
        <v>26548.652500029999</v>
      </c>
      <c r="CH96" s="75">
        <f t="shared" si="1015"/>
        <v>20935.575153057143</v>
      </c>
      <c r="CI96" s="74">
        <v>985.98475399315566</v>
      </c>
      <c r="CJ96" s="92">
        <f t="shared" si="1016"/>
        <v>902.15987951129523</v>
      </c>
      <c r="CK96" s="74">
        <v>51428.757500090003</v>
      </c>
      <c r="CL96" s="75">
        <f t="shared" si="1017"/>
        <v>43521.855714310004</v>
      </c>
      <c r="CM96" s="74">
        <v>1227.8582212857898</v>
      </c>
      <c r="CN96" s="92">
        <f t="shared" si="1018"/>
        <v>1077.5981048055685</v>
      </c>
      <c r="CO96" s="74">
        <v>26391.967857079999</v>
      </c>
      <c r="CP96" s="75">
        <f t="shared" si="1019"/>
        <v>23616.756887759995</v>
      </c>
      <c r="CQ96" s="74">
        <v>1150.6292722849448</v>
      </c>
      <c r="CR96" s="92">
        <f t="shared" si="1020"/>
        <v>1046.7626232147329</v>
      </c>
    </row>
    <row r="97" spans="1:96" x14ac:dyDescent="0.25">
      <c r="A97" s="85">
        <f t="shared" si="910"/>
        <v>45800</v>
      </c>
      <c r="B97" s="74">
        <v>953103.93749995995</v>
      </c>
      <c r="C97" s="75">
        <f t="shared" si="939"/>
        <v>1052641.16901766</v>
      </c>
      <c r="D97" s="74">
        <v>1077.4772884829958</v>
      </c>
      <c r="E97" s="75">
        <f t="shared" si="939"/>
        <v>1059.4433155632682</v>
      </c>
      <c r="F97" s="96">
        <f t="shared" si="889"/>
        <v>1008015.3350867983</v>
      </c>
      <c r="G97" s="75">
        <v>953103.93749995995</v>
      </c>
      <c r="H97" s="75">
        <f t="shared" ref="H97" si="1301">AVERAGE(G94:G97)</f>
        <v>1052641.16901766</v>
      </c>
      <c r="I97" s="75">
        <f>Table5[[#This Row],[Average NWP (Boom)]]</f>
        <v>1077.4772884829958</v>
      </c>
      <c r="J97" s="92">
        <f t="shared" ref="J97" si="1302">AVERAGE(I94:I97)</f>
        <v>1059.4433155632682</v>
      </c>
      <c r="K97" s="75">
        <f t="shared" si="892"/>
        <v>953103.93749996019</v>
      </c>
      <c r="L97" s="75">
        <f t="shared" ref="L97" si="1303">AVERAGE(K94:K97)</f>
        <v>1052641.1690176602</v>
      </c>
      <c r="M97" s="75">
        <v>1074.5252959413306</v>
      </c>
      <c r="N97" s="75">
        <f t="shared" ref="N97" si="1304">AVERAGE(M94:M97)</f>
        <v>1056.5407311660938</v>
      </c>
      <c r="O97" s="96">
        <f t="shared" si="895"/>
        <v>1008015.3350867983</v>
      </c>
      <c r="P97" s="74">
        <v>160106.94928573008</v>
      </c>
      <c r="Q97" s="75">
        <f t="shared" ref="Q97" si="1305">AVERAGE(P94:P97)</f>
        <v>189048.36383915506</v>
      </c>
      <c r="R97" s="74">
        <v>812.72563089203084</v>
      </c>
      <c r="S97" s="75">
        <f t="shared" ref="S97" si="1306">AVERAGE(R94:R97)</f>
        <v>885.86348071887664</v>
      </c>
      <c r="T97" s="96">
        <v>172044.91522722205</v>
      </c>
      <c r="U97" s="74">
        <v>792996.98821423005</v>
      </c>
      <c r="V97" s="75">
        <f t="shared" ref="V97" si="1307">AVERAGE(U94:U97)</f>
        <v>863592.80517850502</v>
      </c>
      <c r="W97" s="74">
        <v>1149.2709974119275</v>
      </c>
      <c r="X97" s="75">
        <f t="shared" ref="X97" si="1308">AVERAGE(W94:W97)</f>
        <v>1103.5053845200644</v>
      </c>
      <c r="Y97" s="96">
        <v>835970.41985957627</v>
      </c>
      <c r="Z97" s="74">
        <v>0</v>
      </c>
      <c r="AA97" s="75">
        <f t="shared" ref="AA97" si="1309">AVERAGE(Z94:Z97)</f>
        <v>0</v>
      </c>
      <c r="AB97" s="74">
        <v>0</v>
      </c>
      <c r="AC97" s="75">
        <f t="shared" ref="AC97" si="1310">AVERAGE(AB94:AB97)</f>
        <v>0</v>
      </c>
      <c r="AD97" s="96" t="e">
        <v>#VALUE!</v>
      </c>
      <c r="AE97" s="74">
        <v>0</v>
      </c>
      <c r="AF97" s="75">
        <f t="shared" ref="AF97" si="1311">AVERAGE(AE94:AE97)</f>
        <v>0</v>
      </c>
      <c r="AG97" s="74">
        <v>0</v>
      </c>
      <c r="AH97" s="75">
        <f t="shared" ref="AH97" si="1312">AVERAGE(AG94:AG97)</f>
        <v>0</v>
      </c>
      <c r="AI97" s="96" t="e">
        <v>#VALUE!</v>
      </c>
      <c r="AJ97" s="74">
        <v>0</v>
      </c>
      <c r="AK97" s="75">
        <f t="shared" ref="AK97" si="1313">AVERAGE(AJ94:AJ97)</f>
        <v>0</v>
      </c>
      <c r="AL97" s="74">
        <v>0</v>
      </c>
      <c r="AM97" s="75">
        <f t="shared" ref="AM97" si="1314">AVERAGE(AL94:AL97)</f>
        <v>0</v>
      </c>
      <c r="AN97" s="96">
        <v>0</v>
      </c>
      <c r="AO97" s="74">
        <f t="shared" si="906"/>
        <v>81459.475357119984</v>
      </c>
      <c r="AP97" s="75">
        <f t="shared" si="996"/>
        <v>96619.703622341418</v>
      </c>
      <c r="AQ97" s="74">
        <v>756.32652891056057</v>
      </c>
      <c r="AR97" s="92">
        <f t="shared" si="997"/>
        <v>810.32281831450848</v>
      </c>
      <c r="AS97" s="74">
        <f t="shared" si="907"/>
        <v>15991.962500070003</v>
      </c>
      <c r="AT97" s="75">
        <f t="shared" si="998"/>
        <v>18432.831020428574</v>
      </c>
      <c r="AU97" s="74">
        <v>801.79482312708672</v>
      </c>
      <c r="AV97" s="92">
        <f t="shared" si="999"/>
        <v>879.54593552815493</v>
      </c>
      <c r="AW97" s="74">
        <f t="shared" si="908"/>
        <v>43518.952142779999</v>
      </c>
      <c r="AX97" s="75">
        <f t="shared" si="1000"/>
        <v>43719.463673474289</v>
      </c>
      <c r="AY97" s="74">
        <v>969.74466005362137</v>
      </c>
      <c r="AZ97" s="92">
        <f t="shared" si="1001"/>
        <v>1061.3658260760851</v>
      </c>
      <c r="BA97" s="74">
        <f t="shared" si="909"/>
        <v>19136.559285759999</v>
      </c>
      <c r="BB97" s="75">
        <f t="shared" si="1002"/>
        <v>23527.219081644285</v>
      </c>
      <c r="BC97" s="74">
        <v>799.54717709598299</v>
      </c>
      <c r="BD97" s="92">
        <f t="shared" si="1003"/>
        <v>994.44903696808217</v>
      </c>
      <c r="BE97" s="93">
        <f>AO97/SUM(Table5[[#This Row],[NWP (Standard)]],Table5[[#This Row],[NWP (Plus)]],Table5[[#This Row],[NWP (Essentials)]],Table5[[#This Row],[NWP (Premium)]])</f>
        <v>0.50878163452946579</v>
      </c>
      <c r="BF97" s="93">
        <f>AS97/SUM(Table5[[#This Row],[NWP (Standard)]],Table5[[#This Row],[NWP (Plus)]],Table5[[#This Row],[NWP (Essentials)]],Table5[[#This Row],[NWP (Premium)]])</f>
        <v>9.9883000528168439E-2</v>
      </c>
      <c r="BG97" s="93">
        <f>AW97/SUM(Table5[[#This Row],[NWP (Standard)]],Table5[[#This Row],[NWP (Plus)]],Table5[[#This Row],[NWP (Essentials)]],Table5[[#This Row],[NWP (Premium)]])</f>
        <v>0.27181176293050985</v>
      </c>
      <c r="BH97" s="94">
        <f>BA97/SUM(Table5[[#This Row],[NWP (Standard)]],Table5[[#This Row],[NWP (Plus)]],Table5[[#This Row],[NWP (Essentials)]],Table5[[#This Row],[NWP (Premium)]])</f>
        <v>0.11952360201185599</v>
      </c>
      <c r="BI97" s="93">
        <f t="shared" si="1004"/>
        <v>0.53127715518106189</v>
      </c>
      <c r="BJ97" s="93">
        <f t="shared" si="1004"/>
        <v>0.1012399710724723</v>
      </c>
      <c r="BK97" s="93">
        <f t="shared" si="1004"/>
        <v>0.23860236554506306</v>
      </c>
      <c r="BL97" s="94">
        <f t="shared" si="1004"/>
        <v>0.12888050820140282</v>
      </c>
      <c r="BM97" s="74">
        <v>0</v>
      </c>
      <c r="BN97" s="75">
        <f t="shared" si="1005"/>
        <v>0</v>
      </c>
      <c r="BO97" s="74">
        <v>0</v>
      </c>
      <c r="BP97" s="92">
        <f t="shared" si="1006"/>
        <v>0</v>
      </c>
      <c r="BQ97" s="74">
        <v>0</v>
      </c>
      <c r="BR97" s="75">
        <f t="shared" si="1007"/>
        <v>0</v>
      </c>
      <c r="BS97" s="74">
        <v>0</v>
      </c>
      <c r="BT97" s="92">
        <f t="shared" si="1008"/>
        <v>0</v>
      </c>
      <c r="BU97" s="74">
        <v>0</v>
      </c>
      <c r="BV97" s="75">
        <f t="shared" si="1009"/>
        <v>0</v>
      </c>
      <c r="BW97" s="74">
        <v>0</v>
      </c>
      <c r="BX97" s="92">
        <f t="shared" si="1010"/>
        <v>0</v>
      </c>
      <c r="BY97" s="74">
        <v>0</v>
      </c>
      <c r="BZ97" s="75">
        <f t="shared" si="1011"/>
        <v>0</v>
      </c>
      <c r="CA97" s="74">
        <v>0</v>
      </c>
      <c r="CB97" s="92">
        <f t="shared" si="1012"/>
        <v>0</v>
      </c>
      <c r="CC97" s="74">
        <v>81459.475357119984</v>
      </c>
      <c r="CD97" s="75">
        <f t="shared" si="1013"/>
        <v>96619.703622341418</v>
      </c>
      <c r="CE97" s="74">
        <v>756.32652891056057</v>
      </c>
      <c r="CF97" s="92">
        <f t="shared" si="1014"/>
        <v>810.32281831450848</v>
      </c>
      <c r="CG97" s="74">
        <v>15991.962500070003</v>
      </c>
      <c r="CH97" s="75">
        <f t="shared" si="1015"/>
        <v>18432.831020428574</v>
      </c>
      <c r="CI97" s="74">
        <v>801.79482312708672</v>
      </c>
      <c r="CJ97" s="92">
        <f t="shared" si="1016"/>
        <v>879.54593552815493</v>
      </c>
      <c r="CK97" s="74">
        <v>43518.952142779999</v>
      </c>
      <c r="CL97" s="75">
        <f t="shared" si="1017"/>
        <v>43719.463673474289</v>
      </c>
      <c r="CM97" s="74">
        <v>969.74466005362137</v>
      </c>
      <c r="CN97" s="92">
        <f t="shared" si="1018"/>
        <v>1061.3658260760851</v>
      </c>
      <c r="CO97" s="74">
        <v>19136.559285759999</v>
      </c>
      <c r="CP97" s="75">
        <f t="shared" si="1019"/>
        <v>23527.219081644285</v>
      </c>
      <c r="CQ97" s="74">
        <v>799.54717709598299</v>
      </c>
      <c r="CR97" s="92">
        <f t="shared" si="1020"/>
        <v>994.44903696808217</v>
      </c>
    </row>
    <row r="98" spans="1:96" x14ac:dyDescent="0.25">
      <c r="A98" s="85">
        <f t="shared" si="910"/>
        <v>45807</v>
      </c>
      <c r="B98" s="74">
        <v>1026261.2646431505</v>
      </c>
      <c r="C98" s="75">
        <f t="shared" si="939"/>
        <v>997509.34214287484</v>
      </c>
      <c r="D98" s="74">
        <v>1041.5796191230449</v>
      </c>
      <c r="E98" s="75">
        <f t="shared" si="939"/>
        <v>1062.5925793074027</v>
      </c>
      <c r="F98" s="96">
        <f t="shared" si="889"/>
        <v>1008015.3350867983</v>
      </c>
      <c r="G98" s="75">
        <v>1026261.2646431505</v>
      </c>
      <c r="H98" s="75">
        <f t="shared" ref="H98" si="1315">AVERAGE(G95:G98)</f>
        <v>997509.34214287484</v>
      </c>
      <c r="I98" s="75">
        <f>Table5[[#This Row],[Average NWP (Boom)]]</f>
        <v>1041.5796191230449</v>
      </c>
      <c r="J98" s="92">
        <f t="shared" ref="J98" si="1316">AVERAGE(I95:I98)</f>
        <v>1062.5925793074027</v>
      </c>
      <c r="K98" s="75">
        <f t="shared" si="892"/>
        <v>1026261.2646431503</v>
      </c>
      <c r="L98" s="75">
        <f t="shared" ref="L98" si="1317">AVERAGE(K95:K98)</f>
        <v>997509.34214287507</v>
      </c>
      <c r="M98" s="75">
        <v>1038.7259763594639</v>
      </c>
      <c r="N98" s="75">
        <f t="shared" ref="N98" si="1318">AVERAGE(M95:M98)</f>
        <v>1059.681366790468</v>
      </c>
      <c r="O98" s="96">
        <f t="shared" si="895"/>
        <v>1008015.3350867983</v>
      </c>
      <c r="P98" s="74">
        <v>174314.16178590999</v>
      </c>
      <c r="Q98" s="75">
        <f t="shared" ref="Q98" si="1319">AVERAGE(P95:P98)</f>
        <v>178606.43883926756</v>
      </c>
      <c r="R98" s="74">
        <v>854.48118522504899</v>
      </c>
      <c r="S98" s="75">
        <f t="shared" ref="S98" si="1320">AVERAGE(R95:R98)</f>
        <v>885.96415075492155</v>
      </c>
      <c r="T98" s="96">
        <v>172044.91522722205</v>
      </c>
      <c r="U98" s="74">
        <v>851947.10285724024</v>
      </c>
      <c r="V98" s="75">
        <f t="shared" ref="V98" si="1321">AVERAGE(U95:U98)</f>
        <v>818902.9033036076</v>
      </c>
      <c r="W98" s="74">
        <v>1086.6672230321942</v>
      </c>
      <c r="X98" s="75">
        <f t="shared" ref="X98" si="1322">AVERAGE(W95:W98)</f>
        <v>1107.3170160689574</v>
      </c>
      <c r="Y98" s="96">
        <v>835970.41985957627</v>
      </c>
      <c r="Z98" s="74">
        <v>0</v>
      </c>
      <c r="AA98" s="75">
        <f t="shared" ref="AA98" si="1323">AVERAGE(Z95:Z98)</f>
        <v>0</v>
      </c>
      <c r="AB98" s="74">
        <v>0</v>
      </c>
      <c r="AC98" s="75">
        <f t="shared" ref="AC98" si="1324">AVERAGE(AB95:AB98)</f>
        <v>0</v>
      </c>
      <c r="AD98" s="96" t="e">
        <v>#VALUE!</v>
      </c>
      <c r="AE98" s="74">
        <v>0</v>
      </c>
      <c r="AF98" s="75">
        <f t="shared" ref="AF98" si="1325">AVERAGE(AE95:AE98)</f>
        <v>0</v>
      </c>
      <c r="AG98" s="74">
        <v>0</v>
      </c>
      <c r="AH98" s="75">
        <f t="shared" ref="AH98" si="1326">AVERAGE(AG95:AG98)</f>
        <v>0</v>
      </c>
      <c r="AI98" s="96" t="e">
        <v>#VALUE!</v>
      </c>
      <c r="AJ98" s="74">
        <v>0</v>
      </c>
      <c r="AK98" s="75">
        <f t="shared" ref="AK98" si="1327">AVERAGE(AJ95:AJ98)</f>
        <v>0</v>
      </c>
      <c r="AL98" s="74">
        <v>0</v>
      </c>
      <c r="AM98" s="75">
        <f t="shared" ref="AM98" si="1328">AVERAGE(AL95:AL98)</f>
        <v>0</v>
      </c>
      <c r="AN98" s="96">
        <v>0</v>
      </c>
      <c r="AO98" s="74">
        <f t="shared" si="906"/>
        <v>73652.344285900006</v>
      </c>
      <c r="AP98" s="75">
        <f t="shared" si="996"/>
        <v>94030.255459112843</v>
      </c>
      <c r="AQ98" s="74">
        <v>671.40623535501891</v>
      </c>
      <c r="AR98" s="92">
        <f t="shared" si="997"/>
        <v>776.06738643281437</v>
      </c>
      <c r="AS98" s="74">
        <f t="shared" si="907"/>
        <v>25446.344285789997</v>
      </c>
      <c r="AT98" s="75">
        <f t="shared" si="998"/>
        <v>19150.318724521432</v>
      </c>
      <c r="AU98" s="74">
        <v>1109.4022532319857</v>
      </c>
      <c r="AV98" s="92">
        <f t="shared" si="999"/>
        <v>875.49197126478225</v>
      </c>
      <c r="AW98" s="74">
        <f t="shared" si="908"/>
        <v>39852.529999860009</v>
      </c>
      <c r="AX98" s="75">
        <f t="shared" si="1000"/>
        <v>42201.723061178578</v>
      </c>
      <c r="AY98" s="74">
        <v>1024.6670505458783</v>
      </c>
      <c r="AZ98" s="92">
        <f t="shared" si="1001"/>
        <v>1031.3866013229394</v>
      </c>
      <c r="BA98" s="74">
        <f t="shared" si="909"/>
        <v>35362.943214359999</v>
      </c>
      <c r="BB98" s="75">
        <f t="shared" si="1002"/>
        <v>25010.59734695571</v>
      </c>
      <c r="BC98" s="74">
        <v>1108.1279423838255</v>
      </c>
      <c r="BD98" s="92">
        <f t="shared" si="1003"/>
        <v>990.10419890417199</v>
      </c>
      <c r="BE98" s="93">
        <f>AO98/SUM(Table5[[#This Row],[NWP (Standard)]],Table5[[#This Row],[NWP (Plus)]],Table5[[#This Row],[NWP (Essentials)]],Table5[[#This Row],[NWP (Premium)]])</f>
        <v>0.42252645184594173</v>
      </c>
      <c r="BF98" s="93">
        <f>AS98/SUM(Table5[[#This Row],[NWP (Standard)]],Table5[[#This Row],[NWP (Plus)]],Table5[[#This Row],[NWP (Essentials)]],Table5[[#This Row],[NWP (Premium)]])</f>
        <v>0.1459797874428746</v>
      </c>
      <c r="BG98" s="93">
        <f>AW98/SUM(Table5[[#This Row],[NWP (Standard)]],Table5[[#This Row],[NWP (Plus)]],Table5[[#This Row],[NWP (Essentials)]],Table5[[#This Row],[NWP (Premium)]])</f>
        <v>0.22862474047751941</v>
      </c>
      <c r="BH98" s="94">
        <f>BA98/SUM(Table5[[#This Row],[NWP (Standard)]],Table5[[#This Row],[NWP (Plus)]],Table5[[#This Row],[NWP (Essentials)]],Table5[[#This Row],[NWP (Premium)]])</f>
        <v>0.20286902023366421</v>
      </c>
      <c r="BI98" s="93">
        <f t="shared" si="1004"/>
        <v>0.52177064682240004</v>
      </c>
      <c r="BJ98" s="93">
        <f t="shared" si="1004"/>
        <v>0.10654627331324774</v>
      </c>
      <c r="BK98" s="93">
        <f t="shared" si="1004"/>
        <v>0.23283706043782099</v>
      </c>
      <c r="BL98" s="94">
        <f t="shared" si="1004"/>
        <v>0.13884601942653121</v>
      </c>
      <c r="BM98" s="74">
        <v>0</v>
      </c>
      <c r="BN98" s="75">
        <f t="shared" si="1005"/>
        <v>0</v>
      </c>
      <c r="BO98" s="74">
        <v>0</v>
      </c>
      <c r="BP98" s="92">
        <f t="shared" si="1006"/>
        <v>0</v>
      </c>
      <c r="BQ98" s="74">
        <v>0</v>
      </c>
      <c r="BR98" s="75">
        <f t="shared" si="1007"/>
        <v>0</v>
      </c>
      <c r="BS98" s="74">
        <v>0</v>
      </c>
      <c r="BT98" s="92">
        <f t="shared" si="1008"/>
        <v>0</v>
      </c>
      <c r="BU98" s="74">
        <v>0</v>
      </c>
      <c r="BV98" s="75">
        <f t="shared" si="1009"/>
        <v>0</v>
      </c>
      <c r="BW98" s="74">
        <v>0</v>
      </c>
      <c r="BX98" s="92">
        <f t="shared" si="1010"/>
        <v>0</v>
      </c>
      <c r="BY98" s="74">
        <v>0</v>
      </c>
      <c r="BZ98" s="75">
        <f t="shared" si="1011"/>
        <v>0</v>
      </c>
      <c r="CA98" s="74">
        <v>0</v>
      </c>
      <c r="CB98" s="92">
        <f t="shared" si="1012"/>
        <v>0</v>
      </c>
      <c r="CC98" s="74">
        <v>73652.344285900006</v>
      </c>
      <c r="CD98" s="75">
        <f t="shared" si="1013"/>
        <v>94030.255459112843</v>
      </c>
      <c r="CE98" s="74">
        <v>671.40623535501891</v>
      </c>
      <c r="CF98" s="92">
        <f t="shared" si="1014"/>
        <v>776.06738643281437</v>
      </c>
      <c r="CG98" s="74">
        <v>25446.344285789997</v>
      </c>
      <c r="CH98" s="75">
        <f t="shared" si="1015"/>
        <v>19150.318724521432</v>
      </c>
      <c r="CI98" s="74">
        <v>1109.4022532319857</v>
      </c>
      <c r="CJ98" s="92">
        <f t="shared" si="1016"/>
        <v>875.49197126478225</v>
      </c>
      <c r="CK98" s="74">
        <v>39852.529999860009</v>
      </c>
      <c r="CL98" s="75">
        <f t="shared" si="1017"/>
        <v>42201.723061178578</v>
      </c>
      <c r="CM98" s="74">
        <v>1024.6670505458783</v>
      </c>
      <c r="CN98" s="92">
        <f t="shared" si="1018"/>
        <v>1031.3866013229394</v>
      </c>
      <c r="CO98" s="74">
        <v>35362.943214359999</v>
      </c>
      <c r="CP98" s="75">
        <f t="shared" si="1019"/>
        <v>25010.59734695571</v>
      </c>
      <c r="CQ98" s="74">
        <v>1108.1279423838255</v>
      </c>
      <c r="CR98" s="92">
        <f t="shared" si="1020"/>
        <v>990.10419890417199</v>
      </c>
    </row>
    <row r="99" spans="1:96" x14ac:dyDescent="0.25">
      <c r="A99" s="85">
        <f t="shared" si="910"/>
        <v>45814</v>
      </c>
      <c r="B99" s="74">
        <v>1008617.2421435202</v>
      </c>
      <c r="C99" s="75">
        <f t="shared" si="939"/>
        <v>998085.22107162501</v>
      </c>
      <c r="D99" s="74">
        <v>1026.7900188884666</v>
      </c>
      <c r="E99" s="75">
        <f t="shared" si="939"/>
        <v>1051.7719704159654</v>
      </c>
      <c r="F99" s="96">
        <f t="shared" si="889"/>
        <v>1025646.2463739109</v>
      </c>
      <c r="G99" s="75">
        <v>1008617.2421435202</v>
      </c>
      <c r="H99" s="75">
        <f t="shared" ref="H99" si="1329">AVERAGE(G96:G99)</f>
        <v>998085.22107162501</v>
      </c>
      <c r="I99" s="75">
        <f>Table5[[#This Row],[Average NWP (Boom)]]</f>
        <v>1026.7900188884666</v>
      </c>
      <c r="J99" s="92">
        <f t="shared" ref="J99" si="1330">AVERAGE(I96:I99)</f>
        <v>1051.7719704159654</v>
      </c>
      <c r="K99" s="75">
        <f t="shared" si="892"/>
        <v>1008617.24214352</v>
      </c>
      <c r="L99" s="75">
        <f t="shared" ref="L99" si="1331">AVERAGE(K96:K99)</f>
        <v>998085.22107162513</v>
      </c>
      <c r="M99" s="75">
        <v>1023.9768955771777</v>
      </c>
      <c r="N99" s="75">
        <f t="shared" ref="N99" si="1332">AVERAGE(M96:M99)</f>
        <v>1048.8904034025463</v>
      </c>
      <c r="O99" s="96">
        <f t="shared" si="895"/>
        <v>1025646.2463739109</v>
      </c>
      <c r="P99" s="74">
        <v>175986.87785720002</v>
      </c>
      <c r="Q99" s="75">
        <f t="shared" ref="Q99" si="1333">AVERAGE(P96:P99)</f>
        <v>175842.75125005504</v>
      </c>
      <c r="R99" s="74">
        <v>862.68077380980401</v>
      </c>
      <c r="S99" s="75">
        <f t="shared" ref="S99" si="1334">AVERAGE(R96:R99)</f>
        <v>871.28751143144882</v>
      </c>
      <c r="T99" s="96">
        <v>175054.10420697974</v>
      </c>
      <c r="U99" s="74">
        <v>832630.36428632005</v>
      </c>
      <c r="V99" s="75">
        <f t="shared" ref="V99" si="1335">AVERAGE(U96:U99)</f>
        <v>822242.46982156998</v>
      </c>
      <c r="W99" s="74">
        <v>1066.1080208531628</v>
      </c>
      <c r="X99" s="75">
        <f t="shared" ref="X99" si="1336">AVERAGE(W96:W99)</f>
        <v>1097.0629070206028</v>
      </c>
      <c r="Y99" s="96">
        <v>850592.14216693118</v>
      </c>
      <c r="Z99" s="74">
        <v>0</v>
      </c>
      <c r="AA99" s="75">
        <f t="shared" ref="AA99" si="1337">AVERAGE(Z96:Z99)</f>
        <v>0</v>
      </c>
      <c r="AB99" s="74">
        <v>0</v>
      </c>
      <c r="AC99" s="75">
        <f t="shared" ref="AC99" si="1338">AVERAGE(AB96:AB99)</f>
        <v>0</v>
      </c>
      <c r="AD99" s="96" t="e">
        <v>#VALUE!</v>
      </c>
      <c r="AE99" s="74">
        <v>0</v>
      </c>
      <c r="AF99" s="75">
        <f t="shared" ref="AF99" si="1339">AVERAGE(AE96:AE99)</f>
        <v>0</v>
      </c>
      <c r="AG99" s="74">
        <v>0</v>
      </c>
      <c r="AH99" s="75">
        <f t="shared" ref="AH99" si="1340">AVERAGE(AG96:AG99)</f>
        <v>0</v>
      </c>
      <c r="AI99" s="96" t="e">
        <v>#VALUE!</v>
      </c>
      <c r="AJ99" s="74">
        <v>0</v>
      </c>
      <c r="AK99" s="75">
        <f t="shared" ref="AK99" si="1341">AVERAGE(AJ96:AJ99)</f>
        <v>0</v>
      </c>
      <c r="AL99" s="74">
        <v>0</v>
      </c>
      <c r="AM99" s="75">
        <f t="shared" ref="AM99" si="1342">AVERAGE(AL96:AL99)</f>
        <v>0</v>
      </c>
      <c r="AN99" s="96">
        <v>0</v>
      </c>
      <c r="AO99" s="74">
        <f t="shared" si="906"/>
        <v>86119.820714250003</v>
      </c>
      <c r="AP99" s="75">
        <f t="shared" si="996"/>
        <v>92456.13270402285</v>
      </c>
      <c r="AQ99" s="74">
        <v>792.26067546722675</v>
      </c>
      <c r="AR99" s="92">
        <f t="shared" si="997"/>
        <v>782.20842303505754</v>
      </c>
      <c r="AS99" s="74">
        <f t="shared" si="907"/>
        <v>26493.382142930001</v>
      </c>
      <c r="AT99" s="75">
        <f t="shared" si="998"/>
        <v>20756.464949024285</v>
      </c>
      <c r="AU99" s="74">
        <v>1155.0507025685367</v>
      </c>
      <c r="AV99" s="92">
        <f t="shared" si="999"/>
        <v>931.26882048548907</v>
      </c>
      <c r="AW99" s="74">
        <f t="shared" si="908"/>
        <v>41834.671785819999</v>
      </c>
      <c r="AX99" s="75">
        <f t="shared" si="1000"/>
        <v>44250.138010167146</v>
      </c>
      <c r="AY99" s="74">
        <v>838.9920440332312</v>
      </c>
      <c r="AZ99" s="92">
        <f t="shared" si="1001"/>
        <v>1024.1859027103426</v>
      </c>
      <c r="BA99" s="74">
        <f t="shared" si="909"/>
        <v>21539.003214199998</v>
      </c>
      <c r="BB99" s="75">
        <f t="shared" si="1002"/>
        <v>25600.339642867144</v>
      </c>
      <c r="BC99" s="74">
        <v>981.73528633454271</v>
      </c>
      <c r="BD99" s="92">
        <f t="shared" si="1003"/>
        <v>999.08413431966778</v>
      </c>
      <c r="BE99" s="93">
        <f>AO99/SUM(Table5[[#This Row],[NWP (Standard)]],Table5[[#This Row],[NWP (Plus)]],Table5[[#This Row],[NWP (Essentials)]],Table5[[#This Row],[NWP (Premium)]])</f>
        <v>0.4893536481971667</v>
      </c>
      <c r="BF99" s="93">
        <f>AS99/SUM(Table5[[#This Row],[NWP (Standard)]],Table5[[#This Row],[NWP (Plus)]],Table5[[#This Row],[NWP (Essentials)]],Table5[[#This Row],[NWP (Premium)]])</f>
        <v>0.1505418043976402</v>
      </c>
      <c r="BG99" s="93">
        <f>AW99/SUM(Table5[[#This Row],[NWP (Standard)]],Table5[[#This Row],[NWP (Plus)]],Table5[[#This Row],[NWP (Essentials)]],Table5[[#This Row],[NWP (Premium)]])</f>
        <v>0.23771472222926562</v>
      </c>
      <c r="BH99" s="94">
        <f>BA99/SUM(Table5[[#This Row],[NWP (Standard)]],Table5[[#This Row],[NWP (Plus)]],Table5[[#This Row],[NWP (Essentials)]],Table5[[#This Row],[NWP (Premium)]])</f>
        <v>0.12238982517592739</v>
      </c>
      <c r="BI99" s="93">
        <f t="shared" si="1004"/>
        <v>0.50345617907177365</v>
      </c>
      <c r="BJ99" s="93">
        <f t="shared" si="1004"/>
        <v>0.11420174685018025</v>
      </c>
      <c r="BK99" s="93">
        <f t="shared" si="1004"/>
        <v>0.24182442923029238</v>
      </c>
      <c r="BL99" s="94">
        <f t="shared" si="1004"/>
        <v>0.14051764484775367</v>
      </c>
      <c r="BM99" s="74">
        <v>0</v>
      </c>
      <c r="BN99" s="75">
        <f t="shared" si="1005"/>
        <v>0</v>
      </c>
      <c r="BO99" s="74">
        <v>0</v>
      </c>
      <c r="BP99" s="92">
        <f t="shared" si="1006"/>
        <v>0</v>
      </c>
      <c r="BQ99" s="74">
        <v>0</v>
      </c>
      <c r="BR99" s="75">
        <f t="shared" si="1007"/>
        <v>0</v>
      </c>
      <c r="BS99" s="74">
        <v>0</v>
      </c>
      <c r="BT99" s="92">
        <f t="shared" si="1008"/>
        <v>0</v>
      </c>
      <c r="BU99" s="74">
        <v>0</v>
      </c>
      <c r="BV99" s="75">
        <f t="shared" si="1009"/>
        <v>0</v>
      </c>
      <c r="BW99" s="74">
        <v>0</v>
      </c>
      <c r="BX99" s="92">
        <f t="shared" si="1010"/>
        <v>0</v>
      </c>
      <c r="BY99" s="74">
        <v>0</v>
      </c>
      <c r="BZ99" s="75">
        <f t="shared" si="1011"/>
        <v>0</v>
      </c>
      <c r="CA99" s="74">
        <v>0</v>
      </c>
      <c r="CB99" s="92">
        <f t="shared" si="1012"/>
        <v>0</v>
      </c>
      <c r="CC99" s="74">
        <v>86119.820714250003</v>
      </c>
      <c r="CD99" s="75">
        <f t="shared" si="1013"/>
        <v>92456.13270402285</v>
      </c>
      <c r="CE99" s="74">
        <v>792.26067546722675</v>
      </c>
      <c r="CF99" s="92">
        <f t="shared" si="1014"/>
        <v>782.20842303505754</v>
      </c>
      <c r="CG99" s="74">
        <v>26493.382142930001</v>
      </c>
      <c r="CH99" s="75">
        <f t="shared" si="1015"/>
        <v>20756.464949024285</v>
      </c>
      <c r="CI99" s="74">
        <v>1155.0507025685367</v>
      </c>
      <c r="CJ99" s="92">
        <f t="shared" si="1016"/>
        <v>931.26882048548907</v>
      </c>
      <c r="CK99" s="74">
        <v>41834.671785819999</v>
      </c>
      <c r="CL99" s="75">
        <f t="shared" si="1017"/>
        <v>44250.138010167146</v>
      </c>
      <c r="CM99" s="74">
        <v>838.9920440332312</v>
      </c>
      <c r="CN99" s="92">
        <f t="shared" si="1018"/>
        <v>1024.1859027103426</v>
      </c>
      <c r="CO99" s="74">
        <v>21539.003214199998</v>
      </c>
      <c r="CP99" s="75">
        <f t="shared" si="1019"/>
        <v>25600.339642867144</v>
      </c>
      <c r="CQ99" s="74">
        <v>981.73528633454271</v>
      </c>
      <c r="CR99" s="92">
        <f t="shared" si="1020"/>
        <v>999.08413431966778</v>
      </c>
    </row>
    <row r="100" spans="1:96" x14ac:dyDescent="0.25">
      <c r="A100" s="85">
        <f t="shared" si="910"/>
        <v>45821</v>
      </c>
      <c r="B100" s="74">
        <v>941529.16071509954</v>
      </c>
      <c r="C100" s="75">
        <f t="shared" si="939"/>
        <v>982377.90125043248</v>
      </c>
      <c r="D100" s="74">
        <v>1078.9894620143482</v>
      </c>
      <c r="E100" s="75">
        <f t="shared" si="939"/>
        <v>1056.2090971272141</v>
      </c>
      <c r="F100" s="96">
        <f t="shared" si="889"/>
        <v>1028584.7315884295</v>
      </c>
      <c r="G100" s="75">
        <v>941529.16071509954</v>
      </c>
      <c r="H100" s="75">
        <f t="shared" ref="H100" si="1343">AVERAGE(G97:G100)</f>
        <v>982377.90125043248</v>
      </c>
      <c r="I100" s="75">
        <f>Table5[[#This Row],[Average NWP (Boom)]]</f>
        <v>1078.9894620143482</v>
      </c>
      <c r="J100" s="92">
        <f t="shared" ref="J100" si="1344">AVERAGE(I97:I100)</f>
        <v>1056.2090971272141</v>
      </c>
      <c r="K100" s="75">
        <f t="shared" si="892"/>
        <v>941529.16071509977</v>
      </c>
      <c r="L100" s="75">
        <f t="shared" ref="L100" si="1345">AVERAGE(K97:K100)</f>
        <v>982377.90125043259</v>
      </c>
      <c r="M100" s="75">
        <v>1076.0333265315426</v>
      </c>
      <c r="N100" s="75">
        <f t="shared" ref="N100" si="1346">AVERAGE(M97:M100)</f>
        <v>1053.3153736023787</v>
      </c>
      <c r="O100" s="96">
        <f t="shared" si="895"/>
        <v>1028584.7315884295</v>
      </c>
      <c r="P100" s="74">
        <v>157791.67928603993</v>
      </c>
      <c r="Q100" s="75">
        <f t="shared" ref="Q100" si="1347">AVERAGE(P97:P100)</f>
        <v>167049.91705371998</v>
      </c>
      <c r="R100" s="74">
        <v>917.39348422116234</v>
      </c>
      <c r="S100" s="75">
        <f t="shared" ref="S100" si="1348">AVERAGE(R97:R100)</f>
        <v>861.82026853701154</v>
      </c>
      <c r="T100" s="96">
        <v>175555.63570360601</v>
      </c>
      <c r="U100" s="74">
        <v>783737.48142905987</v>
      </c>
      <c r="V100" s="75">
        <f t="shared" ref="V100" si="1349">AVERAGE(U97:U100)</f>
        <v>815327.9841967125</v>
      </c>
      <c r="W100" s="74">
        <v>1114.8470575093313</v>
      </c>
      <c r="X100" s="75">
        <f t="shared" ref="X100" si="1350">AVERAGE(W97:W100)</f>
        <v>1104.2233247016541</v>
      </c>
      <c r="Y100" s="96">
        <v>853029.09588482347</v>
      </c>
      <c r="Z100" s="74">
        <v>0</v>
      </c>
      <c r="AA100" s="75">
        <f t="shared" ref="AA100" si="1351">AVERAGE(Z97:Z100)</f>
        <v>0</v>
      </c>
      <c r="AB100" s="74">
        <v>0</v>
      </c>
      <c r="AC100" s="75">
        <f t="shared" ref="AC100" si="1352">AVERAGE(AB97:AB100)</f>
        <v>0</v>
      </c>
      <c r="AD100" s="96" t="e">
        <v>#VALUE!</v>
      </c>
      <c r="AE100" s="74">
        <v>0</v>
      </c>
      <c r="AF100" s="75">
        <f t="shared" ref="AF100" si="1353">AVERAGE(AE97:AE100)</f>
        <v>0</v>
      </c>
      <c r="AG100" s="74">
        <v>0</v>
      </c>
      <c r="AH100" s="75">
        <f t="shared" ref="AH100" si="1354">AVERAGE(AG97:AG100)</f>
        <v>0</v>
      </c>
      <c r="AI100" s="96" t="e">
        <v>#VALUE!</v>
      </c>
      <c r="AJ100" s="74">
        <v>0</v>
      </c>
      <c r="AK100" s="75">
        <f t="shared" ref="AK100" si="1355">AVERAGE(AJ97:AJ100)</f>
        <v>0</v>
      </c>
      <c r="AL100" s="74">
        <v>0</v>
      </c>
      <c r="AM100" s="75">
        <f t="shared" ref="AM100" si="1356">AVERAGE(AL97:AL100)</f>
        <v>0</v>
      </c>
      <c r="AN100" s="96">
        <v>0</v>
      </c>
      <c r="AO100" s="74">
        <f t="shared" si="906"/>
        <v>83342.140357299999</v>
      </c>
      <c r="AP100" s="75">
        <f t="shared" si="996"/>
        <v>90143.496224474293</v>
      </c>
      <c r="AQ100" s="74">
        <v>889.05427956449591</v>
      </c>
      <c r="AR100" s="92">
        <f t="shared" si="997"/>
        <v>793.29976446655985</v>
      </c>
      <c r="AS100" s="74">
        <f t="shared" si="907"/>
        <v>12089.6775</v>
      </c>
      <c r="AT100" s="75">
        <f t="shared" si="998"/>
        <v>20609.500051062852</v>
      </c>
      <c r="AU100" s="74">
        <v>713.1112293760134</v>
      </c>
      <c r="AV100" s="92">
        <f t="shared" si="999"/>
        <v>928.74128632387499</v>
      </c>
      <c r="AW100" s="74">
        <f t="shared" si="908"/>
        <v>35606.529642839996</v>
      </c>
      <c r="AX100" s="75">
        <f t="shared" si="1000"/>
        <v>44296.770867298575</v>
      </c>
      <c r="AY100" s="74">
        <v>1020.1242793783011</v>
      </c>
      <c r="AZ100" s="92">
        <f t="shared" si="1001"/>
        <v>1040.3317778134131</v>
      </c>
      <c r="BA100" s="74">
        <f t="shared" si="909"/>
        <v>26753.331785900002</v>
      </c>
      <c r="BB100" s="75">
        <f t="shared" si="1002"/>
        <v>25562.543469417142</v>
      </c>
      <c r="BC100" s="74">
        <v>1031.801151900384</v>
      </c>
      <c r="BD100" s="92">
        <f t="shared" si="1003"/>
        <v>985.22162022780515</v>
      </c>
      <c r="BE100" s="93">
        <f>AO100/SUM(Table5[[#This Row],[NWP (Standard)]],Table5[[#This Row],[NWP (Plus)]],Table5[[#This Row],[NWP (Essentials)]],Table5[[#This Row],[NWP (Premium)]])</f>
        <v>0.52817829643741787</v>
      </c>
      <c r="BF100" s="93">
        <f>AS100/SUM(Table5[[#This Row],[NWP (Standard)]],Table5[[#This Row],[NWP (Plus)]],Table5[[#This Row],[NWP (Essentials)]],Table5[[#This Row],[NWP (Premium)]])</f>
        <v>7.6617965881991767E-2</v>
      </c>
      <c r="BG100" s="93">
        <f>AW100/SUM(Table5[[#This Row],[NWP (Standard)]],Table5[[#This Row],[NWP (Plus)]],Table5[[#This Row],[NWP (Essentials)]],Table5[[#This Row],[NWP (Premium)]])</f>
        <v>0.2256553058054066</v>
      </c>
      <c r="BH100" s="94">
        <f>BA100/SUM(Table5[[#This Row],[NWP (Standard)]],Table5[[#This Row],[NWP (Plus)]],Table5[[#This Row],[NWP (Essentials)]],Table5[[#This Row],[NWP (Premium)]])</f>
        <v>0.16954843187518381</v>
      </c>
      <c r="BI100" s="93">
        <f t="shared" si="1004"/>
        <v>0.49763615602753086</v>
      </c>
      <c r="BJ100" s="93">
        <f t="shared" si="1004"/>
        <v>0.11443500435238126</v>
      </c>
      <c r="BK100" s="93">
        <f t="shared" si="1004"/>
        <v>0.2452521004872977</v>
      </c>
      <c r="BL100" s="94">
        <f t="shared" si="1004"/>
        <v>0.14267673913279014</v>
      </c>
      <c r="BM100" s="74">
        <v>0</v>
      </c>
      <c r="BN100" s="75">
        <f t="shared" si="1005"/>
        <v>0</v>
      </c>
      <c r="BO100" s="74">
        <v>0</v>
      </c>
      <c r="BP100" s="92">
        <f t="shared" si="1006"/>
        <v>0</v>
      </c>
      <c r="BQ100" s="74">
        <v>0</v>
      </c>
      <c r="BR100" s="75">
        <f t="shared" si="1007"/>
        <v>0</v>
      </c>
      <c r="BS100" s="74">
        <v>0</v>
      </c>
      <c r="BT100" s="92">
        <f t="shared" si="1008"/>
        <v>0</v>
      </c>
      <c r="BU100" s="74">
        <v>0</v>
      </c>
      <c r="BV100" s="75">
        <f t="shared" si="1009"/>
        <v>0</v>
      </c>
      <c r="BW100" s="74">
        <v>0</v>
      </c>
      <c r="BX100" s="92">
        <f t="shared" si="1010"/>
        <v>0</v>
      </c>
      <c r="BY100" s="74">
        <v>0</v>
      </c>
      <c r="BZ100" s="75">
        <f t="shared" si="1011"/>
        <v>0</v>
      </c>
      <c r="CA100" s="74">
        <v>0</v>
      </c>
      <c r="CB100" s="92">
        <f t="shared" si="1012"/>
        <v>0</v>
      </c>
      <c r="CC100" s="74">
        <v>83342.140357299999</v>
      </c>
      <c r="CD100" s="75">
        <f t="shared" si="1013"/>
        <v>90143.496224474293</v>
      </c>
      <c r="CE100" s="74">
        <v>889.05427956449591</v>
      </c>
      <c r="CF100" s="92">
        <f t="shared" si="1014"/>
        <v>793.29976446655985</v>
      </c>
      <c r="CG100" s="74">
        <v>12089.6775</v>
      </c>
      <c r="CH100" s="75">
        <f t="shared" si="1015"/>
        <v>20609.500051062852</v>
      </c>
      <c r="CI100" s="74">
        <v>713.1112293760134</v>
      </c>
      <c r="CJ100" s="92">
        <f t="shared" si="1016"/>
        <v>928.74128632387499</v>
      </c>
      <c r="CK100" s="74">
        <v>35606.529642839996</v>
      </c>
      <c r="CL100" s="75">
        <f t="shared" si="1017"/>
        <v>44296.770867298575</v>
      </c>
      <c r="CM100" s="74">
        <v>1020.1242793783011</v>
      </c>
      <c r="CN100" s="92">
        <f t="shared" si="1018"/>
        <v>1040.3317778134131</v>
      </c>
      <c r="CO100" s="74">
        <v>26753.331785900002</v>
      </c>
      <c r="CP100" s="75">
        <f t="shared" si="1019"/>
        <v>25562.543469417142</v>
      </c>
      <c r="CQ100" s="74">
        <v>1031.801151900384</v>
      </c>
      <c r="CR100" s="92">
        <f t="shared" si="1020"/>
        <v>985.22162022780515</v>
      </c>
    </row>
    <row r="101" spans="1:96" x14ac:dyDescent="0.25">
      <c r="A101" s="85">
        <f t="shared" si="910"/>
        <v>45828</v>
      </c>
      <c r="B101" s="74">
        <v>837941.95357232017</v>
      </c>
      <c r="C101" s="75">
        <f t="shared" si="939"/>
        <v>953587.40526852256</v>
      </c>
      <c r="D101" s="74">
        <v>1036.059176181536</v>
      </c>
      <c r="E101" s="75">
        <f t="shared" si="939"/>
        <v>1045.854569051849</v>
      </c>
      <c r="F101" s="96">
        <f t="shared" si="889"/>
        <v>1028584.7315884295</v>
      </c>
      <c r="G101" s="75">
        <v>837941.95357232017</v>
      </c>
      <c r="H101" s="75">
        <f t="shared" ref="H101" si="1357">AVERAGE(G98:G101)</f>
        <v>953587.40526852256</v>
      </c>
      <c r="I101" s="75">
        <f>Table5[[#This Row],[Average NWP (Boom)]]</f>
        <v>1036.059176181536</v>
      </c>
      <c r="J101" s="92">
        <f t="shared" ref="J101" si="1358">AVERAGE(I98:I101)</f>
        <v>1045.854569051849</v>
      </c>
      <c r="K101" s="75">
        <f t="shared" si="892"/>
        <v>837941.95357232029</v>
      </c>
      <c r="L101" s="75">
        <f t="shared" ref="L101" si="1359">AVERAGE(K98:K101)</f>
        <v>953587.40526852256</v>
      </c>
      <c r="M101" s="75">
        <v>1033.220657919014</v>
      </c>
      <c r="N101" s="75">
        <f t="shared" ref="N101" si="1360">AVERAGE(M98:M101)</f>
        <v>1042.9892140967995</v>
      </c>
      <c r="O101" s="96">
        <f t="shared" si="895"/>
        <v>1028584.7315884295</v>
      </c>
      <c r="P101" s="74">
        <v>157470.54071436994</v>
      </c>
      <c r="Q101" s="75">
        <f t="shared" ref="Q101" si="1361">AVERAGE(P98:P101)</f>
        <v>166390.81491087997</v>
      </c>
      <c r="R101" s="74">
        <v>851.19211196956724</v>
      </c>
      <c r="S101" s="75">
        <f t="shared" ref="S101" si="1362">AVERAGE(R98:R101)</f>
        <v>871.43688880639559</v>
      </c>
      <c r="T101" s="96">
        <v>175555.63570360601</v>
      </c>
      <c r="U101" s="74">
        <v>680471.41285795032</v>
      </c>
      <c r="V101" s="75">
        <f t="shared" ref="V101" si="1363">AVERAGE(U98:U101)</f>
        <v>787196.59035764262</v>
      </c>
      <c r="W101" s="74">
        <v>1087.0150365142977</v>
      </c>
      <c r="X101" s="75">
        <f t="shared" ref="X101" si="1364">AVERAGE(W98:W101)</f>
        <v>1088.6593344772464</v>
      </c>
      <c r="Y101" s="96">
        <v>853029.09588482347</v>
      </c>
      <c r="Z101" s="74">
        <v>0</v>
      </c>
      <c r="AA101" s="75">
        <f t="shared" ref="AA101" si="1365">AVERAGE(Z98:Z101)</f>
        <v>0</v>
      </c>
      <c r="AB101" s="74">
        <v>0</v>
      </c>
      <c r="AC101" s="75">
        <f t="shared" ref="AC101" si="1366">AVERAGE(AB98:AB101)</f>
        <v>0</v>
      </c>
      <c r="AD101" s="96" t="e">
        <v>#VALUE!</v>
      </c>
      <c r="AE101" s="74">
        <v>0</v>
      </c>
      <c r="AF101" s="75">
        <f t="shared" ref="AF101" si="1367">AVERAGE(AE98:AE101)</f>
        <v>0</v>
      </c>
      <c r="AG101" s="74">
        <v>0</v>
      </c>
      <c r="AH101" s="75">
        <f t="shared" ref="AH101" si="1368">AVERAGE(AG98:AG101)</f>
        <v>0</v>
      </c>
      <c r="AI101" s="96" t="e">
        <v>#VALUE!</v>
      </c>
      <c r="AJ101" s="74">
        <v>0</v>
      </c>
      <c r="AK101" s="75">
        <f t="shared" ref="AK101" si="1369">AVERAGE(AJ98:AJ101)</f>
        <v>0</v>
      </c>
      <c r="AL101" s="74">
        <v>0</v>
      </c>
      <c r="AM101" s="75">
        <f t="shared" ref="AM101" si="1370">AVERAGE(AL98:AL101)</f>
        <v>0</v>
      </c>
      <c r="AN101" s="96">
        <v>0</v>
      </c>
      <c r="AO101" s="74">
        <f t="shared" si="906"/>
        <v>74953.425714269993</v>
      </c>
      <c r="AP101" s="75">
        <f t="shared" si="996"/>
        <v>83125.579336741444</v>
      </c>
      <c r="AQ101" s="74">
        <v>736.85629134230112</v>
      </c>
      <c r="AR101" s="92">
        <f t="shared" si="997"/>
        <v>777.65171291891954</v>
      </c>
      <c r="AS101" s="74">
        <f t="shared" si="907"/>
        <v>18714.497500120004</v>
      </c>
      <c r="AT101" s="75">
        <f t="shared" si="998"/>
        <v>21075.653724545718</v>
      </c>
      <c r="AU101" s="74">
        <v>938.29554771375592</v>
      </c>
      <c r="AV101" s="92">
        <f t="shared" si="999"/>
        <v>966.54828539935443</v>
      </c>
      <c r="AW101" s="74">
        <f t="shared" si="908"/>
        <v>39684.35500009</v>
      </c>
      <c r="AX101" s="75">
        <f t="shared" si="1000"/>
        <v>42682.493265285717</v>
      </c>
      <c r="AY101" s="74">
        <v>1020.343024417788</v>
      </c>
      <c r="AZ101" s="92">
        <f t="shared" si="1001"/>
        <v>1048.2935441962477</v>
      </c>
      <c r="BA101" s="74">
        <f t="shared" si="909"/>
        <v>24118.262499889999</v>
      </c>
      <c r="BB101" s="75">
        <f t="shared" si="1002"/>
        <v>25355.538418381428</v>
      </c>
      <c r="BC101" s="74">
        <v>1007.688394255724</v>
      </c>
      <c r="BD101" s="92">
        <f t="shared" si="1003"/>
        <v>1007.0935923323681</v>
      </c>
      <c r="BE101" s="93">
        <f>AO101/SUM(Table5[[#This Row],[NWP (Standard)]],Table5[[#This Row],[NWP (Plus)]],Table5[[#This Row],[NWP (Essentials)]],Table5[[#This Row],[NWP (Premium)]])</f>
        <v>0.47598379591662954</v>
      </c>
      <c r="BF101" s="93">
        <f>AS101/SUM(Table5[[#This Row],[NWP (Standard)]],Table5[[#This Row],[NWP (Plus)]],Table5[[#This Row],[NWP (Essentials)]],Table5[[#This Row],[NWP (Premium)]])</f>
        <v>0.11884443537960246</v>
      </c>
      <c r="BG101" s="93">
        <f>AW101/SUM(Table5[[#This Row],[NWP (Standard)]],Table5[[#This Row],[NWP (Plus)]],Table5[[#This Row],[NWP (Essentials)]],Table5[[#This Row],[NWP (Premium)]])</f>
        <v>0.25201129570052083</v>
      </c>
      <c r="BH101" s="94">
        <f>BA101/SUM(Table5[[#This Row],[NWP (Standard)]],Table5[[#This Row],[NWP (Plus)]],Table5[[#This Row],[NWP (Essentials)]],Table5[[#This Row],[NWP (Premium)]])</f>
        <v>0.15316047300324717</v>
      </c>
      <c r="BI101" s="93">
        <f t="shared" si="1004"/>
        <v>0.48360220284249728</v>
      </c>
      <c r="BJ101" s="93">
        <f t="shared" si="1004"/>
        <v>0.12119745803505215</v>
      </c>
      <c r="BK101" s="93">
        <f t="shared" si="1004"/>
        <v>0.24754671481479384</v>
      </c>
      <c r="BL101" s="94">
        <f t="shared" si="1004"/>
        <v>0.14765362430765672</v>
      </c>
      <c r="BM101" s="74">
        <v>0</v>
      </c>
      <c r="BN101" s="75">
        <f t="shared" si="1005"/>
        <v>0</v>
      </c>
      <c r="BO101" s="74">
        <v>0</v>
      </c>
      <c r="BP101" s="92">
        <f t="shared" si="1006"/>
        <v>0</v>
      </c>
      <c r="BQ101" s="74">
        <v>0</v>
      </c>
      <c r="BR101" s="75">
        <f t="shared" si="1007"/>
        <v>0</v>
      </c>
      <c r="BS101" s="74">
        <v>0</v>
      </c>
      <c r="BT101" s="92">
        <f t="shared" si="1008"/>
        <v>0</v>
      </c>
      <c r="BU101" s="74">
        <v>0</v>
      </c>
      <c r="BV101" s="75">
        <f t="shared" si="1009"/>
        <v>0</v>
      </c>
      <c r="BW101" s="74">
        <v>0</v>
      </c>
      <c r="BX101" s="92">
        <f t="shared" si="1010"/>
        <v>0</v>
      </c>
      <c r="BY101" s="74">
        <v>0</v>
      </c>
      <c r="BZ101" s="75">
        <f t="shared" si="1011"/>
        <v>0</v>
      </c>
      <c r="CA101" s="74">
        <v>0</v>
      </c>
      <c r="CB101" s="92">
        <f t="shared" si="1012"/>
        <v>0</v>
      </c>
      <c r="CC101" s="74">
        <v>74953.425714269993</v>
      </c>
      <c r="CD101" s="75">
        <f t="shared" si="1013"/>
        <v>83125.579336741444</v>
      </c>
      <c r="CE101" s="74">
        <v>736.85629134230112</v>
      </c>
      <c r="CF101" s="92">
        <f t="shared" si="1014"/>
        <v>777.65171291891954</v>
      </c>
      <c r="CG101" s="74">
        <v>18714.497500120004</v>
      </c>
      <c r="CH101" s="75">
        <f t="shared" si="1015"/>
        <v>21075.653724545718</v>
      </c>
      <c r="CI101" s="74">
        <v>938.29554771375592</v>
      </c>
      <c r="CJ101" s="92">
        <f t="shared" si="1016"/>
        <v>966.54828539935443</v>
      </c>
      <c r="CK101" s="74">
        <v>39684.35500009</v>
      </c>
      <c r="CL101" s="75">
        <f t="shared" si="1017"/>
        <v>42682.493265285717</v>
      </c>
      <c r="CM101" s="74">
        <v>1020.343024417788</v>
      </c>
      <c r="CN101" s="92">
        <f t="shared" si="1018"/>
        <v>1048.2935441962477</v>
      </c>
      <c r="CO101" s="74">
        <v>24118.262499889999</v>
      </c>
      <c r="CP101" s="75">
        <f t="shared" si="1019"/>
        <v>25355.538418381428</v>
      </c>
      <c r="CQ101" s="74">
        <v>1007.688394255724</v>
      </c>
      <c r="CR101" s="92">
        <f t="shared" si="1020"/>
        <v>1007.0935923323681</v>
      </c>
    </row>
    <row r="102" spans="1:96" x14ac:dyDescent="0.25">
      <c r="A102" s="85">
        <f t="shared" si="910"/>
        <v>45835</v>
      </c>
      <c r="B102" s="74">
        <v>920580.07535721012</v>
      </c>
      <c r="C102" s="75">
        <f t="shared" si="939"/>
        <v>927167.10794703756</v>
      </c>
      <c r="D102" s="74">
        <v>1087.2899192849718</v>
      </c>
      <c r="E102" s="75">
        <f t="shared" si="939"/>
        <v>1057.2821440923306</v>
      </c>
      <c r="F102" s="96">
        <f t="shared" si="889"/>
        <v>1028584.7315884295</v>
      </c>
      <c r="G102" s="75">
        <v>920580.07535721012</v>
      </c>
      <c r="H102" s="75">
        <f t="shared" ref="H102" si="1371">AVERAGE(G99:G102)</f>
        <v>927167.10794703756</v>
      </c>
      <c r="I102" s="75">
        <f>Table5[[#This Row],[Average NWP (Boom)]]</f>
        <v>1087.2899192849718</v>
      </c>
      <c r="J102" s="92">
        <f t="shared" ref="J102" si="1372">AVERAGE(I99:I102)</f>
        <v>1057.2821440923306</v>
      </c>
      <c r="K102" s="75">
        <f t="shared" si="892"/>
        <v>920580.07535721012</v>
      </c>
      <c r="L102" s="75">
        <f t="shared" ref="L102" si="1373">AVERAGE(K99:K102)</f>
        <v>927167.10794703756</v>
      </c>
      <c r="M102" s="75">
        <v>1084.3110428235691</v>
      </c>
      <c r="N102" s="75">
        <f t="shared" ref="N102" si="1374">AVERAGE(M99:M102)</f>
        <v>1054.3854807128259</v>
      </c>
      <c r="O102" s="96">
        <f t="shared" si="895"/>
        <v>1028584.7315884295</v>
      </c>
      <c r="P102" s="74">
        <v>167559.77678565003</v>
      </c>
      <c r="Q102" s="75">
        <f t="shared" ref="Q102" si="1375">AVERAGE(P99:P102)</f>
        <v>164702.21866081498</v>
      </c>
      <c r="R102" s="74">
        <v>974.18474875377922</v>
      </c>
      <c r="S102" s="75">
        <f t="shared" ref="S102" si="1376">AVERAGE(R99:R102)</f>
        <v>901.36277968857826</v>
      </c>
      <c r="T102" s="96">
        <v>175555.63570360601</v>
      </c>
      <c r="U102" s="74">
        <v>753020.29857156007</v>
      </c>
      <c r="V102" s="75">
        <f t="shared" ref="V102" si="1377">AVERAGE(U99:U102)</f>
        <v>762464.88928622252</v>
      </c>
      <c r="W102" s="74">
        <v>1112.2899535768981</v>
      </c>
      <c r="X102" s="75">
        <f t="shared" ref="X102" si="1378">AVERAGE(W99:W102)</f>
        <v>1095.0650171134225</v>
      </c>
      <c r="Y102" s="96">
        <v>853029.09588482347</v>
      </c>
      <c r="Z102" s="74">
        <v>0</v>
      </c>
      <c r="AA102" s="75">
        <f t="shared" ref="AA102" si="1379">AVERAGE(Z99:Z102)</f>
        <v>0</v>
      </c>
      <c r="AB102" s="74">
        <v>0</v>
      </c>
      <c r="AC102" s="75">
        <f t="shared" ref="AC102" si="1380">AVERAGE(AB99:AB102)</f>
        <v>0</v>
      </c>
      <c r="AD102" s="96" t="e">
        <v>#VALUE!</v>
      </c>
      <c r="AE102" s="74">
        <v>0</v>
      </c>
      <c r="AF102" s="75">
        <f t="shared" ref="AF102" si="1381">AVERAGE(AE99:AE102)</f>
        <v>0</v>
      </c>
      <c r="AG102" s="74">
        <v>0</v>
      </c>
      <c r="AH102" s="75">
        <f t="shared" ref="AH102" si="1382">AVERAGE(AG99:AG102)</f>
        <v>0</v>
      </c>
      <c r="AI102" s="96" t="e">
        <v>#VALUE!</v>
      </c>
      <c r="AJ102" s="74">
        <v>0</v>
      </c>
      <c r="AK102" s="75">
        <f t="shared" ref="AK102" si="1383">AVERAGE(AJ99:AJ102)</f>
        <v>0</v>
      </c>
      <c r="AL102" s="74">
        <v>0</v>
      </c>
      <c r="AM102" s="75">
        <f t="shared" ref="AM102" si="1384">AVERAGE(AL99:AL102)</f>
        <v>0</v>
      </c>
      <c r="AN102" s="96">
        <v>0</v>
      </c>
      <c r="AO102" s="74">
        <f t="shared" si="906"/>
        <v>82745.80714284</v>
      </c>
      <c r="AP102" s="75">
        <f t="shared" si="996"/>
        <v>81552.378826551445</v>
      </c>
      <c r="AQ102" s="74">
        <v>829.73130786557329</v>
      </c>
      <c r="AR102" s="92">
        <f t="shared" si="997"/>
        <v>783.32066540685969</v>
      </c>
      <c r="AS102" s="74">
        <f t="shared" si="907"/>
        <v>18416.201428519998</v>
      </c>
      <c r="AT102" s="75">
        <f t="shared" si="998"/>
        <v>20528.673979637148</v>
      </c>
      <c r="AU102" s="74">
        <v>1086.2820816459489</v>
      </c>
      <c r="AV102" s="92">
        <f t="shared" si="999"/>
        <v>969.98877023664033</v>
      </c>
      <c r="AW102" s="74">
        <f t="shared" si="908"/>
        <v>41867.252142700003</v>
      </c>
      <c r="AX102" s="75">
        <f t="shared" si="1000"/>
        <v>41970.435459168577</v>
      </c>
      <c r="AY102" s="74">
        <v>1399.4090688338533</v>
      </c>
      <c r="AZ102" s="92">
        <f t="shared" si="1001"/>
        <v>1071.5911926497806</v>
      </c>
      <c r="BA102" s="74">
        <f t="shared" si="909"/>
        <v>24530.516071590006</v>
      </c>
      <c r="BB102" s="75">
        <f t="shared" si="1002"/>
        <v>25404.654846968573</v>
      </c>
      <c r="BC102" s="74">
        <v>983.91630394333765</v>
      </c>
      <c r="BD102" s="92">
        <f t="shared" si="1003"/>
        <v>1009.0636468855346</v>
      </c>
      <c r="BE102" s="93">
        <f>AO102/SUM(Table5[[#This Row],[NWP (Standard)]],Table5[[#This Row],[NWP (Plus)]],Table5[[#This Row],[NWP (Essentials)]],Table5[[#This Row],[NWP (Premium)]])</f>
        <v>0.49382858302975752</v>
      </c>
      <c r="BF102" s="93">
        <f>AS102/SUM(Table5[[#This Row],[NWP (Standard)]],Table5[[#This Row],[NWP (Plus)]],Table5[[#This Row],[NWP (Essentials)]],Table5[[#This Row],[NWP (Premium)]])</f>
        <v>0.10990824756277177</v>
      </c>
      <c r="BG102" s="93">
        <f>AW102/SUM(Table5[[#This Row],[NWP (Standard)]],Table5[[#This Row],[NWP (Plus)]],Table5[[#This Row],[NWP (Essentials)]],Table5[[#This Row],[NWP (Premium)]])</f>
        <v>0.24986457338301707</v>
      </c>
      <c r="BH102" s="94">
        <f>BA102/SUM(Table5[[#This Row],[NWP (Standard)]],Table5[[#This Row],[NWP (Plus)]],Table5[[#This Row],[NWP (Essentials)]],Table5[[#This Row],[NWP (Premium)]])</f>
        <v>0.14639859602445368</v>
      </c>
      <c r="BI102" s="93">
        <f t="shared" si="1004"/>
        <v>0.48253925498512501</v>
      </c>
      <c r="BJ102" s="93">
        <f t="shared" si="1004"/>
        <v>0.11990848442091948</v>
      </c>
      <c r="BK102" s="93">
        <f t="shared" si="1004"/>
        <v>0.24745767417252409</v>
      </c>
      <c r="BL102" s="94">
        <f t="shared" si="1004"/>
        <v>0.1500945864214315</v>
      </c>
      <c r="BM102" s="74">
        <v>0</v>
      </c>
      <c r="BN102" s="75">
        <f t="shared" si="1005"/>
        <v>0</v>
      </c>
      <c r="BO102" s="74">
        <v>0</v>
      </c>
      <c r="BP102" s="92">
        <f t="shared" si="1006"/>
        <v>0</v>
      </c>
      <c r="BQ102" s="74">
        <v>0</v>
      </c>
      <c r="BR102" s="75">
        <f t="shared" si="1007"/>
        <v>0</v>
      </c>
      <c r="BS102" s="74">
        <v>0</v>
      </c>
      <c r="BT102" s="92">
        <f t="shared" si="1008"/>
        <v>0</v>
      </c>
      <c r="BU102" s="74">
        <v>0</v>
      </c>
      <c r="BV102" s="75">
        <f t="shared" si="1009"/>
        <v>0</v>
      </c>
      <c r="BW102" s="74">
        <v>0</v>
      </c>
      <c r="BX102" s="92">
        <f t="shared" si="1010"/>
        <v>0</v>
      </c>
      <c r="BY102" s="74">
        <v>0</v>
      </c>
      <c r="BZ102" s="75">
        <f t="shared" si="1011"/>
        <v>0</v>
      </c>
      <c r="CA102" s="74">
        <v>0</v>
      </c>
      <c r="CB102" s="92">
        <f t="shared" si="1012"/>
        <v>0</v>
      </c>
      <c r="CC102" s="74">
        <v>82745.80714284</v>
      </c>
      <c r="CD102" s="75">
        <f t="shared" si="1013"/>
        <v>81552.378826551445</v>
      </c>
      <c r="CE102" s="74">
        <v>829.73130786557329</v>
      </c>
      <c r="CF102" s="92">
        <f t="shared" si="1014"/>
        <v>783.32066540685969</v>
      </c>
      <c r="CG102" s="74">
        <v>18416.201428519998</v>
      </c>
      <c r="CH102" s="75">
        <f t="shared" si="1015"/>
        <v>20528.673979637148</v>
      </c>
      <c r="CI102" s="74">
        <v>1086.2820816459489</v>
      </c>
      <c r="CJ102" s="92">
        <f t="shared" si="1016"/>
        <v>969.98877023664033</v>
      </c>
      <c r="CK102" s="74">
        <v>41867.252142700003</v>
      </c>
      <c r="CL102" s="75">
        <f t="shared" si="1017"/>
        <v>41970.435459168577</v>
      </c>
      <c r="CM102" s="74">
        <v>1399.4090688338533</v>
      </c>
      <c r="CN102" s="92">
        <f t="shared" si="1018"/>
        <v>1071.5911926497806</v>
      </c>
      <c r="CO102" s="74">
        <v>24530.516071590006</v>
      </c>
      <c r="CP102" s="75">
        <f t="shared" si="1019"/>
        <v>25404.654846968573</v>
      </c>
      <c r="CQ102" s="74">
        <v>983.91630394333765</v>
      </c>
      <c r="CR102" s="92">
        <f t="shared" si="1020"/>
        <v>1009.0636468855346</v>
      </c>
    </row>
    <row r="103" spans="1:96" x14ac:dyDescent="0.25">
      <c r="A103" s="85">
        <f t="shared" si="910"/>
        <v>45842</v>
      </c>
      <c r="B103" s="74">
        <v>1053507.4617857398</v>
      </c>
      <c r="C103" s="75">
        <f t="shared" si="939"/>
        <v>938389.66285759246</v>
      </c>
      <c r="D103" s="74">
        <v>1070.3158186680439</v>
      </c>
      <c r="E103" s="75">
        <f t="shared" si="939"/>
        <v>1068.163594037225</v>
      </c>
      <c r="F103" s="96">
        <f t="shared" si="889"/>
        <v>1044930.5913107597</v>
      </c>
      <c r="G103" s="75">
        <v>1053507.4617857398</v>
      </c>
      <c r="H103" s="75">
        <f t="shared" ref="H103" si="1385">AVERAGE(G100:G103)</f>
        <v>938389.66285759246</v>
      </c>
      <c r="I103" s="75">
        <f>Table5[[#This Row],[Average NWP (Boom)]]</f>
        <v>1070.3158186680439</v>
      </c>
      <c r="J103" s="92">
        <f t="shared" ref="J103" si="1386">AVERAGE(I100:I103)</f>
        <v>1068.163594037225</v>
      </c>
      <c r="K103" s="75">
        <f t="shared" si="892"/>
        <v>1053507.46178574</v>
      </c>
      <c r="L103" s="75">
        <f t="shared" ref="L103" si="1387">AVERAGE(K100:K103)</f>
        <v>938389.66285759257</v>
      </c>
      <c r="M103" s="75">
        <v>1067.3834465914285</v>
      </c>
      <c r="N103" s="75">
        <f t="shared" ref="N103" si="1388">AVERAGE(M100:M103)</f>
        <v>1065.2371184663884</v>
      </c>
      <c r="O103" s="96">
        <f t="shared" si="895"/>
        <v>1044930.5913107597</v>
      </c>
      <c r="P103" s="74">
        <v>193792.86321420007</v>
      </c>
      <c r="Q103" s="75">
        <f t="shared" ref="Q103" si="1389">AVERAGE(P100:P103)</f>
        <v>169153.71500006499</v>
      </c>
      <c r="R103" s="74">
        <v>949.96501575588275</v>
      </c>
      <c r="S103" s="75">
        <f t="shared" ref="S103" si="1390">AVERAGE(R100:R103)</f>
        <v>923.18384017509788</v>
      </c>
      <c r="T103" s="96">
        <v>178345.49608802385</v>
      </c>
      <c r="U103" s="74">
        <v>859714.59857153997</v>
      </c>
      <c r="V103" s="75">
        <f t="shared" ref="V103" si="1391">AVERAGE(U100:U103)</f>
        <v>769235.94785752753</v>
      </c>
      <c r="W103" s="74">
        <v>1097.9752216750192</v>
      </c>
      <c r="X103" s="75">
        <f t="shared" ref="X103" si="1392">AVERAGE(W100:W103)</f>
        <v>1103.0318173188866</v>
      </c>
      <c r="Y103" s="96">
        <v>866585.09522273578</v>
      </c>
      <c r="Z103" s="74">
        <v>0</v>
      </c>
      <c r="AA103" s="75">
        <f t="shared" ref="AA103" si="1393">AVERAGE(Z100:Z103)</f>
        <v>0</v>
      </c>
      <c r="AB103" s="74">
        <v>0</v>
      </c>
      <c r="AC103" s="75">
        <f t="shared" ref="AC103" si="1394">AVERAGE(AB100:AB103)</f>
        <v>0</v>
      </c>
      <c r="AD103" s="96" t="e">
        <v>#VALUE!</v>
      </c>
      <c r="AE103" s="74">
        <v>0</v>
      </c>
      <c r="AF103" s="75">
        <f t="shared" ref="AF103" si="1395">AVERAGE(AE100:AE103)</f>
        <v>0</v>
      </c>
      <c r="AG103" s="74">
        <v>0</v>
      </c>
      <c r="AH103" s="75">
        <f t="shared" ref="AH103" si="1396">AVERAGE(AG100:AG103)</f>
        <v>0</v>
      </c>
      <c r="AI103" s="96" t="e">
        <v>#VALUE!</v>
      </c>
      <c r="AJ103" s="74">
        <v>0</v>
      </c>
      <c r="AK103" s="75">
        <f t="shared" ref="AK103" si="1397">AVERAGE(AJ100:AJ103)</f>
        <v>0</v>
      </c>
      <c r="AL103" s="74">
        <v>0</v>
      </c>
      <c r="AM103" s="75">
        <f t="shared" ref="AM103" si="1398">AVERAGE(AL100:AL103)</f>
        <v>0</v>
      </c>
      <c r="AN103" s="96">
        <v>0</v>
      </c>
      <c r="AO103" s="74">
        <f t="shared" si="906"/>
        <v>112334.90428567001</v>
      </c>
      <c r="AP103" s="75">
        <f t="shared" si="996"/>
        <v>84943.988265335705</v>
      </c>
      <c r="AQ103" s="74">
        <v>938.6959721415551</v>
      </c>
      <c r="AR103" s="92">
        <f t="shared" si="997"/>
        <v>802.04732723524739</v>
      </c>
      <c r="AS103" s="74">
        <f t="shared" si="907"/>
        <v>13309.451071509999</v>
      </c>
      <c r="AT103" s="75">
        <f t="shared" si="998"/>
        <v>18637.359489848572</v>
      </c>
      <c r="AU103" s="74">
        <v>889.73436647759877</v>
      </c>
      <c r="AV103" s="92">
        <f t="shared" si="999"/>
        <v>956.23871487727513</v>
      </c>
      <c r="AW103" s="74">
        <f t="shared" si="908"/>
        <v>38621.374999880005</v>
      </c>
      <c r="AX103" s="75">
        <f t="shared" si="1000"/>
        <v>40140.809387709996</v>
      </c>
      <c r="AY103" s="74">
        <v>900.63901575318982</v>
      </c>
      <c r="AZ103" s="92">
        <f t="shared" si="1001"/>
        <v>1024.8455918594088</v>
      </c>
      <c r="BA103" s="74">
        <f t="shared" si="909"/>
        <v>29527.132857140001</v>
      </c>
      <c r="BB103" s="75">
        <f t="shared" si="1002"/>
        <v>25852.535561262859</v>
      </c>
      <c r="BC103" s="74">
        <v>1138.7788981994947</v>
      </c>
      <c r="BD103" s="92">
        <f t="shared" si="1003"/>
        <v>1007.3707363018988</v>
      </c>
      <c r="BE103" s="93">
        <f>AO103/SUM(Table5[[#This Row],[NWP (Standard)]],Table5[[#This Row],[NWP (Plus)]],Table5[[#This Row],[NWP (Essentials)]],Table5[[#This Row],[NWP (Premium)]])</f>
        <v>0.57966481542463089</v>
      </c>
      <c r="BF103" s="93">
        <f>AS103/SUM(Table5[[#This Row],[NWP (Standard)]],Table5[[#This Row],[NWP (Plus)]],Table5[[#This Row],[NWP (Essentials)]],Table5[[#This Row],[NWP (Premium)]])</f>
        <v>6.8678747249835553E-2</v>
      </c>
      <c r="BG103" s="93">
        <f>AW103/SUM(Table5[[#This Row],[NWP (Standard)]],Table5[[#This Row],[NWP (Plus)]],Table5[[#This Row],[NWP (Essentials)]],Table5[[#This Row],[NWP (Premium)]])</f>
        <v>0.19929203975479551</v>
      </c>
      <c r="BH103" s="94">
        <f>BA103/SUM(Table5[[#This Row],[NWP (Standard)]],Table5[[#This Row],[NWP (Plus)]],Table5[[#This Row],[NWP (Essentials)]],Table5[[#This Row],[NWP (Premium)]])</f>
        <v>0.15236439757073789</v>
      </c>
      <c r="BI103" s="93">
        <f t="shared" si="1004"/>
        <v>0.49975960362585858</v>
      </c>
      <c r="BJ103" s="93">
        <f t="shared" si="1004"/>
        <v>0.11006485549184068</v>
      </c>
      <c r="BK103" s="93">
        <f t="shared" si="1004"/>
        <v>0.23785349146871929</v>
      </c>
      <c r="BL103" s="94">
        <f t="shared" si="1004"/>
        <v>0.15232204941358146</v>
      </c>
      <c r="BM103" s="74">
        <v>0</v>
      </c>
      <c r="BN103" s="75">
        <f t="shared" si="1005"/>
        <v>0</v>
      </c>
      <c r="BO103" s="74">
        <v>0</v>
      </c>
      <c r="BP103" s="92">
        <f t="shared" si="1006"/>
        <v>0</v>
      </c>
      <c r="BQ103" s="74">
        <v>0</v>
      </c>
      <c r="BR103" s="75">
        <f t="shared" si="1007"/>
        <v>0</v>
      </c>
      <c r="BS103" s="74">
        <v>0</v>
      </c>
      <c r="BT103" s="92">
        <f t="shared" si="1008"/>
        <v>0</v>
      </c>
      <c r="BU103" s="74">
        <v>0</v>
      </c>
      <c r="BV103" s="75">
        <f t="shared" si="1009"/>
        <v>0</v>
      </c>
      <c r="BW103" s="74">
        <v>0</v>
      </c>
      <c r="BX103" s="92">
        <f t="shared" si="1010"/>
        <v>0</v>
      </c>
      <c r="BY103" s="74">
        <v>0</v>
      </c>
      <c r="BZ103" s="75">
        <f t="shared" si="1011"/>
        <v>0</v>
      </c>
      <c r="CA103" s="74">
        <v>0</v>
      </c>
      <c r="CB103" s="92">
        <f t="shared" si="1012"/>
        <v>0</v>
      </c>
      <c r="CC103" s="74">
        <v>112334.90428567001</v>
      </c>
      <c r="CD103" s="75">
        <f t="shared" si="1013"/>
        <v>84943.988265335705</v>
      </c>
      <c r="CE103" s="74">
        <v>938.6959721415551</v>
      </c>
      <c r="CF103" s="92">
        <f t="shared" si="1014"/>
        <v>802.04732723524739</v>
      </c>
      <c r="CG103" s="74">
        <v>13309.451071509999</v>
      </c>
      <c r="CH103" s="75">
        <f t="shared" si="1015"/>
        <v>18637.359489848572</v>
      </c>
      <c r="CI103" s="74">
        <v>889.73436647759877</v>
      </c>
      <c r="CJ103" s="92">
        <f t="shared" si="1016"/>
        <v>956.23871487727513</v>
      </c>
      <c r="CK103" s="74">
        <v>38621.374999880005</v>
      </c>
      <c r="CL103" s="75">
        <f t="shared" si="1017"/>
        <v>40140.809387709996</v>
      </c>
      <c r="CM103" s="74">
        <v>900.63901575318982</v>
      </c>
      <c r="CN103" s="92">
        <f t="shared" si="1018"/>
        <v>1024.8455918594088</v>
      </c>
      <c r="CO103" s="74">
        <v>29527.132857140001</v>
      </c>
      <c r="CP103" s="75">
        <f t="shared" si="1019"/>
        <v>25852.535561262859</v>
      </c>
      <c r="CQ103" s="74">
        <v>1138.7788981994947</v>
      </c>
      <c r="CR103" s="92">
        <f t="shared" si="1020"/>
        <v>1007.3707363018988</v>
      </c>
    </row>
    <row r="104" spans="1:96" x14ac:dyDescent="0.25">
      <c r="A104" s="85">
        <f t="shared" si="910"/>
        <v>45849</v>
      </c>
      <c r="B104" s="74">
        <v>957454.29142917914</v>
      </c>
      <c r="C104" s="75">
        <f t="shared" si="939"/>
        <v>942370.9455361123</v>
      </c>
      <c r="D104" s="74">
        <v>1101.0145187331423</v>
      </c>
      <c r="E104" s="75">
        <f t="shared" si="939"/>
        <v>1073.6698582169233</v>
      </c>
      <c r="F104" s="96">
        <f t="shared" si="889"/>
        <v>1057189.9861025074</v>
      </c>
      <c r="G104" s="75">
        <v>957454.29142917914</v>
      </c>
      <c r="H104" s="75">
        <f t="shared" ref="H104" si="1399">AVERAGE(G101:G104)</f>
        <v>942370.9455361123</v>
      </c>
      <c r="I104" s="75">
        <f>Table5[[#This Row],[Average NWP (Boom)]]</f>
        <v>1101.0145187331423</v>
      </c>
      <c r="J104" s="92">
        <f t="shared" ref="J104" si="1400">AVERAGE(I101:I104)</f>
        <v>1073.6698582169233</v>
      </c>
      <c r="K104" s="75">
        <f t="shared" si="892"/>
        <v>957454.29142917995</v>
      </c>
      <c r="L104" s="75">
        <f t="shared" ref="L104" si="1401">AVERAGE(K101:K104)</f>
        <v>942370.94553611265</v>
      </c>
      <c r="M104" s="75">
        <v>1097.9980406297934</v>
      </c>
      <c r="N104" s="75">
        <f t="shared" ref="N104" si="1402">AVERAGE(M101:M104)</f>
        <v>1070.7282969909513</v>
      </c>
      <c r="O104" s="96">
        <f t="shared" si="895"/>
        <v>1057189.9861025074</v>
      </c>
      <c r="P104" s="74">
        <v>175226.69178609006</v>
      </c>
      <c r="Q104" s="75">
        <f t="shared" ref="Q104" si="1403">AVERAGE(P101:P104)</f>
        <v>173512.46812507752</v>
      </c>
      <c r="R104" s="74">
        <v>917.41723448214691</v>
      </c>
      <c r="S104" s="75">
        <f t="shared" ref="S104" si="1404">AVERAGE(R101:R104)</f>
        <v>923.18977774034397</v>
      </c>
      <c r="T104" s="96">
        <v>180437.89137633727</v>
      </c>
      <c r="U104" s="74">
        <v>782227.59964308992</v>
      </c>
      <c r="V104" s="75">
        <f t="shared" ref="V104" si="1405">AVERAGE(U101:U104)</f>
        <v>768858.47741103498</v>
      </c>
      <c r="W104" s="74">
        <v>1148.6455207681204</v>
      </c>
      <c r="X104" s="75">
        <f t="shared" ref="X104" si="1406">AVERAGE(W101:W104)</f>
        <v>1111.4814331335838</v>
      </c>
      <c r="Y104" s="96">
        <v>876752.09472617006</v>
      </c>
      <c r="Z104" s="74">
        <v>0</v>
      </c>
      <c r="AA104" s="75">
        <f t="shared" ref="AA104" si="1407">AVERAGE(Z101:Z104)</f>
        <v>0</v>
      </c>
      <c r="AB104" s="74">
        <v>0</v>
      </c>
      <c r="AC104" s="75">
        <f t="shared" ref="AC104" si="1408">AVERAGE(AB101:AB104)</f>
        <v>0</v>
      </c>
      <c r="AD104" s="96" t="e">
        <v>#VALUE!</v>
      </c>
      <c r="AE104" s="74">
        <v>0</v>
      </c>
      <c r="AF104" s="75">
        <f t="shared" ref="AF104" si="1409">AVERAGE(AE101:AE104)</f>
        <v>0</v>
      </c>
      <c r="AG104" s="74">
        <v>0</v>
      </c>
      <c r="AH104" s="75">
        <f t="shared" ref="AH104" si="1410">AVERAGE(AG101:AG104)</f>
        <v>0</v>
      </c>
      <c r="AI104" s="96" t="e">
        <v>#VALUE!</v>
      </c>
      <c r="AJ104" s="74">
        <v>0</v>
      </c>
      <c r="AK104" s="75">
        <f t="shared" ref="AK104" si="1411">AVERAGE(AJ101:AJ104)</f>
        <v>0</v>
      </c>
      <c r="AL104" s="74">
        <v>0</v>
      </c>
      <c r="AM104" s="75">
        <f t="shared" ref="AM104" si="1412">AVERAGE(AL101:AL104)</f>
        <v>0</v>
      </c>
      <c r="AN104" s="96">
        <v>0</v>
      </c>
      <c r="AO104" s="74">
        <f t="shared" si="906"/>
        <v>90453.448928859987</v>
      </c>
      <c r="AP104" s="75">
        <f t="shared" si="996"/>
        <v>86228.841632727155</v>
      </c>
      <c r="AQ104" s="74">
        <v>872.13410973496605</v>
      </c>
      <c r="AR104" s="92">
        <f t="shared" si="997"/>
        <v>818.59126735301948</v>
      </c>
      <c r="AS104" s="74">
        <f t="shared" si="907"/>
        <v>18939.54678565</v>
      </c>
      <c r="AT104" s="75">
        <f t="shared" si="998"/>
        <v>19058.442959217144</v>
      </c>
      <c r="AU104" s="74">
        <v>791.31577112778575</v>
      </c>
      <c r="AV104" s="92">
        <f t="shared" si="999"/>
        <v>954.7417074488036</v>
      </c>
      <c r="AW104" s="74">
        <f t="shared" si="908"/>
        <v>41425.459642940004</v>
      </c>
      <c r="AX104" s="75">
        <f t="shared" si="1000"/>
        <v>39841.739030589997</v>
      </c>
      <c r="AY104" s="74">
        <v>944.0742238547524</v>
      </c>
      <c r="AZ104" s="92">
        <f t="shared" si="1001"/>
        <v>1021.1783866881422</v>
      </c>
      <c r="BA104" s="74">
        <f t="shared" si="909"/>
        <v>24408.236428639997</v>
      </c>
      <c r="BB104" s="75">
        <f t="shared" si="1002"/>
        <v>26605.632295960004</v>
      </c>
      <c r="BC104" s="74">
        <v>1288.1732643448302</v>
      </c>
      <c r="BD104" s="92">
        <f t="shared" si="1003"/>
        <v>1077.1744630517342</v>
      </c>
      <c r="BE104" s="93">
        <f>AO104/SUM(Table5[[#This Row],[NWP (Standard)]],Table5[[#This Row],[NWP (Plus)]],Table5[[#This Row],[NWP (Essentials)]],Table5[[#This Row],[NWP (Premium)]])</f>
        <v>0.51620816444609974</v>
      </c>
      <c r="BF104" s="93">
        <f>AS104/SUM(Table5[[#This Row],[NWP (Standard)]],Table5[[#This Row],[NWP (Plus)]],Table5[[#This Row],[NWP (Essentials)]],Table5[[#This Row],[NWP (Premium)]])</f>
        <v>0.1080859690529949</v>
      </c>
      <c r="BG104" s="93">
        <f>AW104/SUM(Table5[[#This Row],[NWP (Standard)]],Table5[[#This Row],[NWP (Plus)]],Table5[[#This Row],[NWP (Essentials)]],Table5[[#This Row],[NWP (Premium)]])</f>
        <v>0.23641067020491724</v>
      </c>
      <c r="BH104" s="94">
        <f>BA104/SUM(Table5[[#This Row],[NWP (Standard)]],Table5[[#This Row],[NWP (Plus)]],Table5[[#This Row],[NWP (Essentials)]],Table5[[#This Row],[NWP (Premium)]])</f>
        <v>0.13929519629598802</v>
      </c>
      <c r="BI104" s="93">
        <f t="shared" si="1004"/>
        <v>0.50082053647109204</v>
      </c>
      <c r="BJ104" s="93">
        <f t="shared" si="1004"/>
        <v>0.11123670813824448</v>
      </c>
      <c r="BK104" s="93">
        <f t="shared" si="1004"/>
        <v>0.23279619250792033</v>
      </c>
      <c r="BL104" s="94">
        <f t="shared" si="1004"/>
        <v>0.15514656288274317</v>
      </c>
      <c r="BM104" s="74">
        <v>0</v>
      </c>
      <c r="BN104" s="75">
        <f t="shared" si="1005"/>
        <v>0</v>
      </c>
      <c r="BO104" s="74">
        <v>0</v>
      </c>
      <c r="BP104" s="92">
        <f t="shared" si="1006"/>
        <v>0</v>
      </c>
      <c r="BQ104" s="74">
        <v>0</v>
      </c>
      <c r="BR104" s="75">
        <f t="shared" si="1007"/>
        <v>0</v>
      </c>
      <c r="BS104" s="74">
        <v>0</v>
      </c>
      <c r="BT104" s="92">
        <f t="shared" si="1008"/>
        <v>0</v>
      </c>
      <c r="BU104" s="74">
        <v>0</v>
      </c>
      <c r="BV104" s="75">
        <f t="shared" si="1009"/>
        <v>0</v>
      </c>
      <c r="BW104" s="74">
        <v>0</v>
      </c>
      <c r="BX104" s="92">
        <f t="shared" si="1010"/>
        <v>0</v>
      </c>
      <c r="BY104" s="74">
        <v>0</v>
      </c>
      <c r="BZ104" s="75">
        <f t="shared" si="1011"/>
        <v>0</v>
      </c>
      <c r="CA104" s="74">
        <v>0</v>
      </c>
      <c r="CB104" s="92">
        <f t="shared" si="1012"/>
        <v>0</v>
      </c>
      <c r="CC104" s="74">
        <v>90453.448928859987</v>
      </c>
      <c r="CD104" s="75">
        <f t="shared" si="1013"/>
        <v>86228.841632727155</v>
      </c>
      <c r="CE104" s="74">
        <v>872.13410973496605</v>
      </c>
      <c r="CF104" s="92">
        <f t="shared" si="1014"/>
        <v>818.59126735301948</v>
      </c>
      <c r="CG104" s="74">
        <v>18939.54678565</v>
      </c>
      <c r="CH104" s="75">
        <f t="shared" si="1015"/>
        <v>19058.442959217144</v>
      </c>
      <c r="CI104" s="74">
        <v>791.31577112778575</v>
      </c>
      <c r="CJ104" s="92">
        <f t="shared" si="1016"/>
        <v>954.7417074488036</v>
      </c>
      <c r="CK104" s="74">
        <v>41425.459642940004</v>
      </c>
      <c r="CL104" s="75">
        <f t="shared" si="1017"/>
        <v>39841.739030589997</v>
      </c>
      <c r="CM104" s="74">
        <v>944.0742238547524</v>
      </c>
      <c r="CN104" s="92">
        <f t="shared" si="1018"/>
        <v>1021.1783866881422</v>
      </c>
      <c r="CO104" s="74">
        <v>24408.236428639997</v>
      </c>
      <c r="CP104" s="75">
        <f t="shared" si="1019"/>
        <v>26605.632295960004</v>
      </c>
      <c r="CQ104" s="74">
        <v>1288.1732643448302</v>
      </c>
      <c r="CR104" s="92">
        <f t="shared" si="1020"/>
        <v>1077.1744630517342</v>
      </c>
    </row>
    <row r="105" spans="1:96" x14ac:dyDescent="0.25">
      <c r="A105" s="85">
        <f t="shared" si="910"/>
        <v>45856</v>
      </c>
      <c r="B105" s="74">
        <v>795522.61250023008</v>
      </c>
      <c r="C105" s="75">
        <f t="shared" si="939"/>
        <v>931766.11026808969</v>
      </c>
      <c r="D105" s="74">
        <v>1076.5291689082424</v>
      </c>
      <c r="E105" s="75">
        <f t="shared" si="939"/>
        <v>1083.7873563986</v>
      </c>
      <c r="F105" s="96">
        <f t="shared" si="889"/>
        <v>1057189.9861025074</v>
      </c>
      <c r="G105" s="75">
        <v>795522.61250023008</v>
      </c>
      <c r="H105" s="75">
        <f t="shared" ref="H105" si="1413">AVERAGE(G102:G105)</f>
        <v>931766.11026808969</v>
      </c>
      <c r="I105" s="75">
        <f>Table5[[#This Row],[Average NWP (Boom)]]</f>
        <v>1076.5291689082424</v>
      </c>
      <c r="J105" s="92">
        <f t="shared" ref="J105" si="1414">AVERAGE(I102:I105)</f>
        <v>1083.7873563986</v>
      </c>
      <c r="K105" s="75">
        <f t="shared" si="892"/>
        <v>795522.61250022985</v>
      </c>
      <c r="L105" s="75">
        <f t="shared" ref="L105" si="1415">AVERAGE(K102:K105)</f>
        <v>931766.11026808992</v>
      </c>
      <c r="M105" s="75">
        <v>1073.5797739544262</v>
      </c>
      <c r="N105" s="75">
        <f t="shared" ref="N105" si="1416">AVERAGE(M102:M105)</f>
        <v>1080.8180759998043</v>
      </c>
      <c r="O105" s="96">
        <f t="shared" si="895"/>
        <v>1057189.9861025074</v>
      </c>
      <c r="P105" s="74">
        <v>147777.13142838003</v>
      </c>
      <c r="Q105" s="75">
        <f t="shared" ref="Q105" si="1417">AVERAGE(P102:P105)</f>
        <v>171089.11580358003</v>
      </c>
      <c r="R105" s="74">
        <v>959.59176252194823</v>
      </c>
      <c r="S105" s="75">
        <f t="shared" ref="S105" si="1418">AVERAGE(R102:R105)</f>
        <v>950.28969037843922</v>
      </c>
      <c r="T105" s="96">
        <v>180437.89137633727</v>
      </c>
      <c r="U105" s="74">
        <v>647745.48107184982</v>
      </c>
      <c r="V105" s="75">
        <f t="shared" ref="V105" si="1419">AVERAGE(U102:U105)</f>
        <v>760676.99446450989</v>
      </c>
      <c r="W105" s="74">
        <v>1103.4846355568141</v>
      </c>
      <c r="X105" s="75">
        <f t="shared" ref="X105" si="1420">AVERAGE(W102:W105)</f>
        <v>1115.598832894213</v>
      </c>
      <c r="Y105" s="96">
        <v>876752.09472617006</v>
      </c>
      <c r="Z105" s="74">
        <v>0</v>
      </c>
      <c r="AA105" s="75">
        <f t="shared" ref="AA105" si="1421">AVERAGE(Z102:Z105)</f>
        <v>0</v>
      </c>
      <c r="AB105" s="74">
        <v>0</v>
      </c>
      <c r="AC105" s="75">
        <f t="shared" ref="AC105" si="1422">AVERAGE(AB102:AB105)</f>
        <v>0</v>
      </c>
      <c r="AD105" s="96" t="e">
        <v>#VALUE!</v>
      </c>
      <c r="AE105" s="74">
        <v>0</v>
      </c>
      <c r="AF105" s="75">
        <f t="shared" ref="AF105" si="1423">AVERAGE(AE102:AE105)</f>
        <v>0</v>
      </c>
      <c r="AG105" s="74">
        <v>0</v>
      </c>
      <c r="AH105" s="75">
        <f t="shared" ref="AH105" si="1424">AVERAGE(AG102:AG105)</f>
        <v>0</v>
      </c>
      <c r="AI105" s="96" t="e">
        <v>#VALUE!</v>
      </c>
      <c r="AJ105" s="74">
        <v>0</v>
      </c>
      <c r="AK105" s="75">
        <f t="shared" ref="AK105" si="1425">AVERAGE(AJ102:AJ105)</f>
        <v>0</v>
      </c>
      <c r="AL105" s="74">
        <v>0</v>
      </c>
      <c r="AM105" s="75">
        <f t="shared" ref="AM105" si="1426">AVERAGE(AL102:AL105)</f>
        <v>0</v>
      </c>
      <c r="AN105" s="96">
        <v>0</v>
      </c>
      <c r="AO105" s="74">
        <f t="shared" si="906"/>
        <v>70313.984285650004</v>
      </c>
      <c r="AP105" s="75">
        <f t="shared" si="996"/>
        <v>85751.933061262855</v>
      </c>
      <c r="AQ105" s="74">
        <v>870.45869839767965</v>
      </c>
      <c r="AR105" s="92">
        <f t="shared" si="997"/>
        <v>847.02733350197116</v>
      </c>
      <c r="AS105" s="74">
        <f t="shared" si="907"/>
        <v>18225.255357080001</v>
      </c>
      <c r="AT105" s="75">
        <f t="shared" si="998"/>
        <v>18026.858826544285</v>
      </c>
      <c r="AU105" s="74">
        <v>1075.0191023192385</v>
      </c>
      <c r="AV105" s="92">
        <f t="shared" si="999"/>
        <v>949.82982874698246</v>
      </c>
      <c r="AW105" s="74">
        <f t="shared" si="908"/>
        <v>35929.849999989994</v>
      </c>
      <c r="AX105" s="75">
        <f t="shared" si="1000"/>
        <v>39281.356173465712</v>
      </c>
      <c r="AY105" s="74">
        <v>1029.3873822320302</v>
      </c>
      <c r="AZ105" s="92">
        <f t="shared" si="1001"/>
        <v>1021.8527197861638</v>
      </c>
      <c r="BA105" s="74">
        <f t="shared" si="909"/>
        <v>23308.04178566</v>
      </c>
      <c r="BB105" s="75">
        <f t="shared" si="1002"/>
        <v>24883.50352043143</v>
      </c>
      <c r="BC105" s="74">
        <v>1112.9559460403163</v>
      </c>
      <c r="BD105" s="92">
        <f t="shared" si="1003"/>
        <v>1077.8641778598042</v>
      </c>
      <c r="BE105" s="93">
        <f>AO105/SUM(Table5[[#This Row],[NWP (Standard)]],Table5[[#This Row],[NWP (Plus)]],Table5[[#This Row],[NWP (Essentials)]],Table5[[#This Row],[NWP (Premium)]])</f>
        <v>0.47581099731745424</v>
      </c>
      <c r="BF105" s="93">
        <f>AS105/SUM(Table5[[#This Row],[NWP (Standard)]],Table5[[#This Row],[NWP (Plus)]],Table5[[#This Row],[NWP (Essentials)]],Table5[[#This Row],[NWP (Premium)]])</f>
        <v>0.12332933506638574</v>
      </c>
      <c r="BG105" s="93">
        <f>AW105/SUM(Table5[[#This Row],[NWP (Standard)]],Table5[[#This Row],[NWP (Plus)]],Table5[[#This Row],[NWP (Essentials)]],Table5[[#This Row],[NWP (Premium)]])</f>
        <v>0.24313538673203539</v>
      </c>
      <c r="BH105" s="94">
        <f>BA105/SUM(Table5[[#This Row],[NWP (Standard)]],Table5[[#This Row],[NWP (Plus)]],Table5[[#This Row],[NWP (Essentials)]],Table5[[#This Row],[NWP (Premium)]])</f>
        <v>0.15772428088412457</v>
      </c>
      <c r="BI105" s="93">
        <f t="shared" si="1004"/>
        <v>0.50843261439559373</v>
      </c>
      <c r="BJ105" s="93">
        <f t="shared" si="1004"/>
        <v>0.10800092922731749</v>
      </c>
      <c r="BK105" s="93">
        <f t="shared" si="1004"/>
        <v>0.23486914197285116</v>
      </c>
      <c r="BL105" s="94">
        <f t="shared" si="1004"/>
        <v>0.14869731440423753</v>
      </c>
      <c r="BM105" s="74">
        <v>0</v>
      </c>
      <c r="BN105" s="75">
        <f t="shared" si="1005"/>
        <v>0</v>
      </c>
      <c r="BO105" s="74">
        <v>0</v>
      </c>
      <c r="BP105" s="92">
        <f t="shared" si="1006"/>
        <v>0</v>
      </c>
      <c r="BQ105" s="74">
        <v>0</v>
      </c>
      <c r="BR105" s="75">
        <f t="shared" si="1007"/>
        <v>0</v>
      </c>
      <c r="BS105" s="74">
        <v>0</v>
      </c>
      <c r="BT105" s="92">
        <f t="shared" si="1008"/>
        <v>0</v>
      </c>
      <c r="BU105" s="74">
        <v>0</v>
      </c>
      <c r="BV105" s="75">
        <f t="shared" si="1009"/>
        <v>0</v>
      </c>
      <c r="BW105" s="74">
        <v>0</v>
      </c>
      <c r="BX105" s="92">
        <f t="shared" si="1010"/>
        <v>0</v>
      </c>
      <c r="BY105" s="74">
        <v>0</v>
      </c>
      <c r="BZ105" s="75">
        <f t="shared" si="1011"/>
        <v>0</v>
      </c>
      <c r="CA105" s="74">
        <v>0</v>
      </c>
      <c r="CB105" s="92">
        <f t="shared" si="1012"/>
        <v>0</v>
      </c>
      <c r="CC105" s="74">
        <v>70313.984285650004</v>
      </c>
      <c r="CD105" s="75">
        <f t="shared" si="1013"/>
        <v>85751.933061262855</v>
      </c>
      <c r="CE105" s="74">
        <v>870.45869839767965</v>
      </c>
      <c r="CF105" s="92">
        <f t="shared" si="1014"/>
        <v>847.02733350197116</v>
      </c>
      <c r="CG105" s="74">
        <v>18225.255357080001</v>
      </c>
      <c r="CH105" s="75">
        <f t="shared" si="1015"/>
        <v>18026.858826544285</v>
      </c>
      <c r="CI105" s="74">
        <v>1075.0191023192385</v>
      </c>
      <c r="CJ105" s="92">
        <f t="shared" si="1016"/>
        <v>949.82982874698246</v>
      </c>
      <c r="CK105" s="74">
        <v>35929.849999989994</v>
      </c>
      <c r="CL105" s="75">
        <f t="shared" si="1017"/>
        <v>39281.356173465712</v>
      </c>
      <c r="CM105" s="74">
        <v>1029.3873822320302</v>
      </c>
      <c r="CN105" s="92">
        <f t="shared" si="1018"/>
        <v>1021.8527197861638</v>
      </c>
      <c r="CO105" s="74">
        <v>23308.04178566</v>
      </c>
      <c r="CP105" s="75">
        <f t="shared" si="1019"/>
        <v>24883.50352043143</v>
      </c>
      <c r="CQ105" s="74">
        <v>1112.9559460403163</v>
      </c>
      <c r="CR105" s="92">
        <f t="shared" si="1020"/>
        <v>1077.8641778598042</v>
      </c>
    </row>
    <row r="106" spans="1:96" x14ac:dyDescent="0.25">
      <c r="A106" s="85">
        <f t="shared" si="910"/>
        <v>45863</v>
      </c>
      <c r="B106" s="74">
        <v>806869.89035676001</v>
      </c>
      <c r="C106" s="75">
        <f t="shared" si="939"/>
        <v>903338.56401797722</v>
      </c>
      <c r="D106" s="74">
        <v>1109.8581150308503</v>
      </c>
      <c r="E106" s="75">
        <f t="shared" si="939"/>
        <v>1089.4294053350698</v>
      </c>
      <c r="F106" s="96">
        <f t="shared" si="889"/>
        <v>1057189.9861025074</v>
      </c>
      <c r="G106" s="75">
        <v>806869.89035676001</v>
      </c>
      <c r="H106" s="75">
        <f t="shared" ref="H106" si="1427">AVERAGE(G103:G106)</f>
        <v>903338.56401797722</v>
      </c>
      <c r="I106" s="75">
        <f>Table5[[#This Row],[Average NWP (Boom)]]</f>
        <v>1109.8581150308503</v>
      </c>
      <c r="J106" s="92">
        <f t="shared" ref="J106" si="1428">AVERAGE(I103:I106)</f>
        <v>1089.4294053350698</v>
      </c>
      <c r="K106" s="75">
        <f t="shared" si="892"/>
        <v>806869.89035676001</v>
      </c>
      <c r="L106" s="75">
        <f t="shared" ref="L106" si="1429">AVERAGE(K103:K106)</f>
        <v>903338.56401797745</v>
      </c>
      <c r="M106" s="75">
        <v>1106.8174078967902</v>
      </c>
      <c r="N106" s="75">
        <f t="shared" ref="N106" si="1430">AVERAGE(M103:M106)</f>
        <v>1086.4446672681097</v>
      </c>
      <c r="O106" s="96">
        <f t="shared" si="895"/>
        <v>1057189.9861025074</v>
      </c>
      <c r="P106" s="74">
        <v>162268.09178566001</v>
      </c>
      <c r="Q106" s="75">
        <f t="shared" ref="Q106" si="1431">AVERAGE(P103:P106)</f>
        <v>169766.19455358255</v>
      </c>
      <c r="R106" s="74">
        <v>1014.1755736603751</v>
      </c>
      <c r="S106" s="75">
        <f t="shared" ref="S106" si="1432">AVERAGE(R103:R106)</f>
        <v>960.28739660508825</v>
      </c>
      <c r="T106" s="96">
        <v>180437.89137633727</v>
      </c>
      <c r="U106" s="74">
        <v>644601.79857109999</v>
      </c>
      <c r="V106" s="75">
        <f t="shared" ref="V106" si="1433">AVERAGE(U103:U106)</f>
        <v>733572.36946439499</v>
      </c>
      <c r="W106" s="74">
        <v>1132.8678358015818</v>
      </c>
      <c r="X106" s="75">
        <f t="shared" ref="X106" si="1434">AVERAGE(W103:W106)</f>
        <v>1120.7433034503838</v>
      </c>
      <c r="Y106" s="96">
        <v>876752.09472617006</v>
      </c>
      <c r="Z106" s="74">
        <v>0</v>
      </c>
      <c r="AA106" s="75">
        <f t="shared" ref="AA106" si="1435">AVERAGE(Z103:Z106)</f>
        <v>0</v>
      </c>
      <c r="AB106" s="74">
        <v>0</v>
      </c>
      <c r="AC106" s="75">
        <f t="shared" ref="AC106" si="1436">AVERAGE(AB103:AB106)</f>
        <v>0</v>
      </c>
      <c r="AD106" s="96" t="e">
        <v>#VALUE!</v>
      </c>
      <c r="AE106" s="74">
        <v>0</v>
      </c>
      <c r="AF106" s="75">
        <f t="shared" ref="AF106" si="1437">AVERAGE(AE103:AE106)</f>
        <v>0</v>
      </c>
      <c r="AG106" s="74">
        <v>0</v>
      </c>
      <c r="AH106" s="75">
        <f t="shared" ref="AH106" si="1438">AVERAGE(AG103:AG106)</f>
        <v>0</v>
      </c>
      <c r="AI106" s="96" t="e">
        <v>#VALUE!</v>
      </c>
      <c r="AJ106" s="74">
        <v>0</v>
      </c>
      <c r="AK106" s="75">
        <f t="shared" ref="AK106" si="1439">AVERAGE(AJ103:AJ106)</f>
        <v>0</v>
      </c>
      <c r="AL106" s="74">
        <v>0</v>
      </c>
      <c r="AM106" s="75">
        <f t="shared" ref="AM106" si="1440">AVERAGE(AL103:AL106)</f>
        <v>0</v>
      </c>
      <c r="AN106" s="96">
        <v>0</v>
      </c>
      <c r="AO106" s="74">
        <f t="shared" si="906"/>
        <v>79151.632857129996</v>
      </c>
      <c r="AP106" s="75">
        <f t="shared" si="996"/>
        <v>84756.477653102847</v>
      </c>
      <c r="AQ106" s="74">
        <v>862.70741734528076</v>
      </c>
      <c r="AR106" s="92">
        <f t="shared" si="997"/>
        <v>857.09115377026467</v>
      </c>
      <c r="AS106" s="74">
        <f t="shared" si="907"/>
        <v>26115.99535723</v>
      </c>
      <c r="AT106" s="75">
        <f t="shared" si="998"/>
        <v>17972.946428587144</v>
      </c>
      <c r="AU106" s="74">
        <v>1247.0353617382357</v>
      </c>
      <c r="AV106" s="92">
        <f t="shared" si="999"/>
        <v>962.97049434265375</v>
      </c>
      <c r="AW106" s="74">
        <f t="shared" si="908"/>
        <v>30116.822499910002</v>
      </c>
      <c r="AX106" s="75">
        <f t="shared" si="1000"/>
        <v>37607.377704049999</v>
      </c>
      <c r="AY106" s="74">
        <v>915.13821280096192</v>
      </c>
      <c r="AZ106" s="92">
        <f t="shared" si="1001"/>
        <v>1032.7307438958396</v>
      </c>
      <c r="BA106" s="74">
        <f t="shared" si="909"/>
        <v>26883.641071389997</v>
      </c>
      <c r="BB106" s="75">
        <f t="shared" si="1002"/>
        <v>25647.023214315712</v>
      </c>
      <c r="BC106" s="74">
        <v>1925.5355162456385</v>
      </c>
      <c r="BD106" s="92">
        <f t="shared" si="1003"/>
        <v>1212.6927821328179</v>
      </c>
      <c r="BE106" s="93">
        <f>AO106/SUM(Table5[[#This Row],[NWP (Standard)]],Table5[[#This Row],[NWP (Plus)]],Table5[[#This Row],[NWP (Essentials)]],Table5[[#This Row],[NWP (Premium)]])</f>
        <v>0.48778310009143028</v>
      </c>
      <c r="BF106" s="93">
        <f>AS106/SUM(Table5[[#This Row],[NWP (Standard)]],Table5[[#This Row],[NWP (Plus)]],Table5[[#This Row],[NWP (Essentials)]],Table5[[#This Row],[NWP (Premium)]])</f>
        <v>0.16094350447977554</v>
      </c>
      <c r="BG106" s="93">
        <f>AW106/SUM(Table5[[#This Row],[NWP (Standard)]],Table5[[#This Row],[NWP (Plus)]],Table5[[#This Row],[NWP (Essentials)]],Table5[[#This Row],[NWP (Premium)]])</f>
        <v>0.18559916597584278</v>
      </c>
      <c r="BH106" s="94">
        <f>BA106/SUM(Table5[[#This Row],[NWP (Standard)]],Table5[[#This Row],[NWP (Plus)]],Table5[[#This Row],[NWP (Essentials)]],Table5[[#This Row],[NWP (Premium)]])</f>
        <v>0.16567422945295129</v>
      </c>
      <c r="BI106" s="93">
        <f t="shared" si="1004"/>
        <v>0.50820825038048845</v>
      </c>
      <c r="BJ106" s="93">
        <f t="shared" si="1004"/>
        <v>0.10948688638190825</v>
      </c>
      <c r="BK106" s="93">
        <f t="shared" si="1004"/>
        <v>0.22742406250807648</v>
      </c>
      <c r="BL106" s="94">
        <f t="shared" si="1004"/>
        <v>0.15488080072952665</v>
      </c>
      <c r="BM106" s="74">
        <v>0</v>
      </c>
      <c r="BN106" s="75">
        <f t="shared" si="1005"/>
        <v>0</v>
      </c>
      <c r="BO106" s="74">
        <v>0</v>
      </c>
      <c r="BP106" s="92">
        <f t="shared" si="1006"/>
        <v>0</v>
      </c>
      <c r="BQ106" s="74">
        <v>0</v>
      </c>
      <c r="BR106" s="75">
        <f t="shared" si="1007"/>
        <v>0</v>
      </c>
      <c r="BS106" s="74">
        <v>0</v>
      </c>
      <c r="BT106" s="92">
        <f t="shared" si="1008"/>
        <v>0</v>
      </c>
      <c r="BU106" s="74">
        <v>0</v>
      </c>
      <c r="BV106" s="75">
        <f t="shared" si="1009"/>
        <v>0</v>
      </c>
      <c r="BW106" s="74">
        <v>0</v>
      </c>
      <c r="BX106" s="92">
        <f t="shared" si="1010"/>
        <v>0</v>
      </c>
      <c r="BY106" s="74">
        <v>0</v>
      </c>
      <c r="BZ106" s="75">
        <f t="shared" si="1011"/>
        <v>0</v>
      </c>
      <c r="CA106" s="74">
        <v>0</v>
      </c>
      <c r="CB106" s="92">
        <f t="shared" si="1012"/>
        <v>0</v>
      </c>
      <c r="CC106" s="74">
        <v>79151.632857129996</v>
      </c>
      <c r="CD106" s="75">
        <f t="shared" si="1013"/>
        <v>84756.477653102847</v>
      </c>
      <c r="CE106" s="74">
        <v>862.70741734528076</v>
      </c>
      <c r="CF106" s="92">
        <f t="shared" si="1014"/>
        <v>857.09115377026467</v>
      </c>
      <c r="CG106" s="74">
        <v>26115.99535723</v>
      </c>
      <c r="CH106" s="75">
        <f t="shared" si="1015"/>
        <v>17972.946428587144</v>
      </c>
      <c r="CI106" s="74">
        <v>1247.0353617382357</v>
      </c>
      <c r="CJ106" s="92">
        <f t="shared" si="1016"/>
        <v>962.97049434265375</v>
      </c>
      <c r="CK106" s="74">
        <v>30116.822499910002</v>
      </c>
      <c r="CL106" s="75">
        <f t="shared" si="1017"/>
        <v>37607.377704049999</v>
      </c>
      <c r="CM106" s="74">
        <v>915.13821280096192</v>
      </c>
      <c r="CN106" s="92">
        <f t="shared" si="1018"/>
        <v>1032.7307438958396</v>
      </c>
      <c r="CO106" s="74">
        <v>26883.641071389997</v>
      </c>
      <c r="CP106" s="75">
        <f t="shared" si="1019"/>
        <v>25647.023214315712</v>
      </c>
      <c r="CQ106" s="74">
        <v>1925.5355162456385</v>
      </c>
      <c r="CR106" s="92">
        <f t="shared" si="1020"/>
        <v>1212.6927821328179</v>
      </c>
    </row>
    <row r="107" spans="1:96" x14ac:dyDescent="0.25">
      <c r="A107" s="85">
        <f t="shared" si="910"/>
        <v>45870</v>
      </c>
      <c r="B107" s="74">
        <v>871173.21964277013</v>
      </c>
      <c r="C107" s="75">
        <f t="shared" si="939"/>
        <v>857755.00348223478</v>
      </c>
      <c r="D107" s="74">
        <v>1044.9360677509176</v>
      </c>
      <c r="E107" s="75">
        <f t="shared" si="939"/>
        <v>1083.0844676057882</v>
      </c>
      <c r="F107" s="96">
        <f t="shared" si="889"/>
        <v>1062080.7144619715</v>
      </c>
      <c r="G107" s="75">
        <v>871173.21964277013</v>
      </c>
      <c r="H107" s="75">
        <f t="shared" ref="H107" si="1441">AVERAGE(G104:G107)</f>
        <v>857755.00348223478</v>
      </c>
      <c r="I107" s="75">
        <f>Table5[[#This Row],[Average NWP (Boom)]]</f>
        <v>1044.9360677509176</v>
      </c>
      <c r="J107" s="92">
        <f t="shared" ref="J107" si="1442">AVERAGE(I104:I107)</f>
        <v>1083.0844676057882</v>
      </c>
      <c r="K107" s="75">
        <f t="shared" si="892"/>
        <v>871173.21964277013</v>
      </c>
      <c r="L107" s="75">
        <f t="shared" ref="L107" si="1443">AVERAGE(K104:K107)</f>
        <v>857755.00348223501</v>
      </c>
      <c r="M107" s="75">
        <v>1042.0732292377634</v>
      </c>
      <c r="N107" s="75">
        <f t="shared" ref="N107" si="1444">AVERAGE(M104:M107)</f>
        <v>1080.1171129296933</v>
      </c>
      <c r="O107" s="96">
        <f t="shared" si="895"/>
        <v>1062080.7144619715</v>
      </c>
      <c r="P107" s="74">
        <v>127811.77821454997</v>
      </c>
      <c r="Q107" s="75">
        <f t="shared" ref="Q107" si="1445">AVERAGE(P104:P107)</f>
        <v>153270.92330367002</v>
      </c>
      <c r="R107" s="74">
        <v>798.82361384093724</v>
      </c>
      <c r="S107" s="75">
        <f t="shared" ref="S107" si="1446">AVERAGE(R104:R107)</f>
        <v>922.50204612635184</v>
      </c>
      <c r="T107" s="96">
        <v>181272.62564744925</v>
      </c>
      <c r="U107" s="74">
        <v>743361.44142822013</v>
      </c>
      <c r="V107" s="75">
        <f t="shared" ref="V107" si="1447">AVERAGE(U104:U107)</f>
        <v>704484.08017856488</v>
      </c>
      <c r="W107" s="74">
        <v>1099.6471027044677</v>
      </c>
      <c r="X107" s="75">
        <f t="shared" ref="X107" si="1448">AVERAGE(W104:W107)</f>
        <v>1121.161273707746</v>
      </c>
      <c r="Y107" s="96">
        <v>880808.08881452226</v>
      </c>
      <c r="Z107" s="74">
        <v>0</v>
      </c>
      <c r="AA107" s="75">
        <f t="shared" ref="AA107" si="1449">AVERAGE(Z104:Z107)</f>
        <v>0</v>
      </c>
      <c r="AB107" s="74">
        <v>0</v>
      </c>
      <c r="AC107" s="75">
        <f t="shared" ref="AC107" si="1450">AVERAGE(AB104:AB107)</f>
        <v>0</v>
      </c>
      <c r="AD107" s="96" t="e">
        <v>#VALUE!</v>
      </c>
      <c r="AE107" s="74">
        <v>0</v>
      </c>
      <c r="AF107" s="75">
        <f t="shared" ref="AF107" si="1451">AVERAGE(AE104:AE107)</f>
        <v>0</v>
      </c>
      <c r="AG107" s="74">
        <v>0</v>
      </c>
      <c r="AH107" s="75">
        <f t="shared" ref="AH107" si="1452">AVERAGE(AG104:AG107)</f>
        <v>0</v>
      </c>
      <c r="AI107" s="96" t="e">
        <v>#VALUE!</v>
      </c>
      <c r="AJ107" s="74">
        <v>0</v>
      </c>
      <c r="AK107" s="75">
        <f t="shared" ref="AK107" si="1453">AVERAGE(AJ104:AJ107)</f>
        <v>0</v>
      </c>
      <c r="AL107" s="74">
        <v>0</v>
      </c>
      <c r="AM107" s="75">
        <f t="shared" ref="AM107" si="1454">AVERAGE(AL104:AL107)</f>
        <v>0</v>
      </c>
      <c r="AN107" s="96">
        <v>0</v>
      </c>
      <c r="AO107" s="74">
        <f t="shared" si="906"/>
        <v>62101.458571709991</v>
      </c>
      <c r="AP107" s="75">
        <f t="shared" si="996"/>
        <v>81722.094540875725</v>
      </c>
      <c r="AQ107" s="74">
        <v>699.68614576032314</v>
      </c>
      <c r="AR107" s="92">
        <f t="shared" si="997"/>
        <v>830.03856322681145</v>
      </c>
      <c r="AS107" s="74">
        <f t="shared" si="907"/>
        <v>10013.257857119999</v>
      </c>
      <c r="AT107" s="75">
        <f t="shared" si="998"/>
        <v>17676.31505103286</v>
      </c>
      <c r="AU107" s="74">
        <v>836.73056725008962</v>
      </c>
      <c r="AV107" s="92">
        <f t="shared" si="999"/>
        <v>980.63039975323613</v>
      </c>
      <c r="AW107" s="74">
        <f t="shared" si="908"/>
        <v>39536.897499949999</v>
      </c>
      <c r="AX107" s="75">
        <f t="shared" si="1000"/>
        <v>38168.858826494288</v>
      </c>
      <c r="AY107" s="74">
        <v>1016.5516756188571</v>
      </c>
      <c r="AZ107" s="92">
        <f t="shared" si="1001"/>
        <v>1032.2203719302047</v>
      </c>
      <c r="BA107" s="74">
        <f t="shared" si="909"/>
        <v>16160.164285770003</v>
      </c>
      <c r="BB107" s="75">
        <f t="shared" si="1002"/>
        <v>24133.713571439999</v>
      </c>
      <c r="BC107" s="74">
        <v>810.22801705274787</v>
      </c>
      <c r="BD107" s="92">
        <f t="shared" si="1003"/>
        <v>1181.0394771545841</v>
      </c>
      <c r="BE107" s="93">
        <f>AO107/SUM(Table5[[#This Row],[NWP (Standard)]],Table5[[#This Row],[NWP (Plus)]],Table5[[#This Row],[NWP (Essentials)]],Table5[[#This Row],[NWP (Premium)]])</f>
        <v>0.48588212635195471</v>
      </c>
      <c r="BF107" s="93">
        <f>AS107/SUM(Table5[[#This Row],[NWP (Standard)]],Table5[[#This Row],[NWP (Plus)]],Table5[[#This Row],[NWP (Essentials)]],Table5[[#This Row],[NWP (Premium)]])</f>
        <v>7.8343780182068529E-2</v>
      </c>
      <c r="BG107" s="93">
        <f>AW107/SUM(Table5[[#This Row],[NWP (Standard)]],Table5[[#This Row],[NWP (Plus)]],Table5[[#This Row],[NWP (Essentials)]],Table5[[#This Row],[NWP (Premium)]])</f>
        <v>0.30933688625771072</v>
      </c>
      <c r="BH107" s="94">
        <f>BA107/SUM(Table5[[#This Row],[NWP (Standard)]],Table5[[#This Row],[NWP (Plus)]],Table5[[#This Row],[NWP (Essentials)]],Table5[[#This Row],[NWP (Premium)]])</f>
        <v>0.12643720720826604</v>
      </c>
      <c r="BI107" s="93">
        <f t="shared" si="1004"/>
        <v>0.50216594036827955</v>
      </c>
      <c r="BJ107" s="93">
        <f t="shared" si="1004"/>
        <v>0.10973343128191922</v>
      </c>
      <c r="BK107" s="93">
        <f t="shared" si="1004"/>
        <v>0.23937857400126278</v>
      </c>
      <c r="BL107" s="94">
        <f t="shared" si="1004"/>
        <v>0.14872205434853839</v>
      </c>
      <c r="BM107" s="74">
        <v>0</v>
      </c>
      <c r="BN107" s="75">
        <f t="shared" si="1005"/>
        <v>0</v>
      </c>
      <c r="BO107" s="74">
        <v>0</v>
      </c>
      <c r="BP107" s="92">
        <f t="shared" si="1006"/>
        <v>0</v>
      </c>
      <c r="BQ107" s="74">
        <v>0</v>
      </c>
      <c r="BR107" s="75">
        <f t="shared" si="1007"/>
        <v>0</v>
      </c>
      <c r="BS107" s="74">
        <v>0</v>
      </c>
      <c r="BT107" s="92">
        <f t="shared" si="1008"/>
        <v>0</v>
      </c>
      <c r="BU107" s="74">
        <v>0</v>
      </c>
      <c r="BV107" s="75">
        <f t="shared" si="1009"/>
        <v>0</v>
      </c>
      <c r="BW107" s="74">
        <v>0</v>
      </c>
      <c r="BX107" s="92">
        <f t="shared" si="1010"/>
        <v>0</v>
      </c>
      <c r="BY107" s="74">
        <v>0</v>
      </c>
      <c r="BZ107" s="75">
        <f t="shared" si="1011"/>
        <v>0</v>
      </c>
      <c r="CA107" s="74">
        <v>0</v>
      </c>
      <c r="CB107" s="92">
        <f t="shared" si="1012"/>
        <v>0</v>
      </c>
      <c r="CC107" s="74">
        <v>62101.458571709991</v>
      </c>
      <c r="CD107" s="75">
        <f t="shared" si="1013"/>
        <v>81722.094540875725</v>
      </c>
      <c r="CE107" s="74">
        <v>699.68614576032314</v>
      </c>
      <c r="CF107" s="92">
        <f t="shared" si="1014"/>
        <v>830.03856322681145</v>
      </c>
      <c r="CG107" s="74">
        <v>10013.257857119999</v>
      </c>
      <c r="CH107" s="75">
        <f t="shared" si="1015"/>
        <v>17676.31505103286</v>
      </c>
      <c r="CI107" s="74">
        <v>836.73056725008962</v>
      </c>
      <c r="CJ107" s="92">
        <f t="shared" si="1016"/>
        <v>980.63039975323613</v>
      </c>
      <c r="CK107" s="74">
        <v>39536.897499949999</v>
      </c>
      <c r="CL107" s="75">
        <f t="shared" si="1017"/>
        <v>38168.858826494288</v>
      </c>
      <c r="CM107" s="74">
        <v>1016.5516756188571</v>
      </c>
      <c r="CN107" s="92">
        <f t="shared" si="1018"/>
        <v>1032.2203719302047</v>
      </c>
      <c r="CO107" s="74">
        <v>16160.164285770003</v>
      </c>
      <c r="CP107" s="75">
        <f t="shared" si="1019"/>
        <v>24133.713571439999</v>
      </c>
      <c r="CQ107" s="74">
        <v>810.22801705274787</v>
      </c>
      <c r="CR107" s="92">
        <f t="shared" si="1020"/>
        <v>1181.0394771545841</v>
      </c>
    </row>
    <row r="108" spans="1:96" x14ac:dyDescent="0.25">
      <c r="A108" s="85">
        <f t="shared" si="910"/>
        <v>45877</v>
      </c>
      <c r="B108" s="74">
        <v>740951.1235709301</v>
      </c>
      <c r="C108" s="75">
        <f t="shared" si="939"/>
        <v>803629.21151767264</v>
      </c>
      <c r="D108" s="74">
        <v>1202.2438568937348</v>
      </c>
      <c r="E108" s="75">
        <f t="shared" si="939"/>
        <v>1108.3918021459363</v>
      </c>
      <c r="F108" s="96">
        <f t="shared" si="889"/>
        <v>1091425.0846187568</v>
      </c>
      <c r="G108" s="75">
        <v>740951.1235709301</v>
      </c>
      <c r="H108" s="75">
        <f t="shared" ref="H108" si="1455">AVERAGE(G105:G108)</f>
        <v>803629.21151767264</v>
      </c>
      <c r="I108" s="75">
        <f>Table5[[#This Row],[Average NWP (Boom)]]</f>
        <v>1202.2438568937348</v>
      </c>
      <c r="J108" s="92">
        <f t="shared" ref="J108" si="1456">AVERAGE(I105:I108)</f>
        <v>1108.3918021459363</v>
      </c>
      <c r="K108" s="75">
        <f t="shared" si="892"/>
        <v>740951.12357093021</v>
      </c>
      <c r="L108" s="75">
        <f t="shared" ref="L108" si="1457">AVERAGE(K105:K108)</f>
        <v>803629.21151767252</v>
      </c>
      <c r="M108" s="75">
        <v>1198.9500381406638</v>
      </c>
      <c r="N108" s="75">
        <f t="shared" ref="N108" si="1458">AVERAGE(M105:M108)</f>
        <v>1105.3551123074108</v>
      </c>
      <c r="O108" s="96">
        <f t="shared" si="895"/>
        <v>1091425.0846187568</v>
      </c>
      <c r="P108" s="74">
        <v>129132.79964255002</v>
      </c>
      <c r="Q108" s="75">
        <f t="shared" ref="Q108" si="1459">AVERAGE(P105:P108)</f>
        <v>141747.45026778503</v>
      </c>
      <c r="R108" s="74">
        <v>970.92330558308288</v>
      </c>
      <c r="S108" s="75">
        <f t="shared" ref="S108" si="1460">AVERAGE(R105:R108)</f>
        <v>935.87856390158584</v>
      </c>
      <c r="T108" s="96">
        <v>186281.03127412123</v>
      </c>
      <c r="U108" s="74">
        <v>611818.32392838015</v>
      </c>
      <c r="V108" s="75">
        <f t="shared" ref="V108" si="1461">AVERAGE(U105:U108)</f>
        <v>661881.76124988752</v>
      </c>
      <c r="W108" s="74">
        <v>1261.4810802647014</v>
      </c>
      <c r="X108" s="75">
        <f t="shared" ref="X108" si="1462">AVERAGE(W105:W108)</f>
        <v>1149.3701635818911</v>
      </c>
      <c r="Y108" s="96">
        <v>905144.05334463553</v>
      </c>
      <c r="Z108" s="74">
        <v>0</v>
      </c>
      <c r="AA108" s="75">
        <f t="shared" ref="AA108" si="1463">AVERAGE(Z105:Z108)</f>
        <v>0</v>
      </c>
      <c r="AB108" s="74">
        <v>0</v>
      </c>
      <c r="AC108" s="75">
        <f t="shared" ref="AC108" si="1464">AVERAGE(AB105:AB108)</f>
        <v>0</v>
      </c>
      <c r="AD108" s="96" t="e">
        <v>#VALUE!</v>
      </c>
      <c r="AE108" s="74">
        <v>0</v>
      </c>
      <c r="AF108" s="75">
        <f t="shared" ref="AF108" si="1465">AVERAGE(AE105:AE108)</f>
        <v>0</v>
      </c>
      <c r="AG108" s="74">
        <v>0</v>
      </c>
      <c r="AH108" s="75">
        <f t="shared" ref="AH108" si="1466">AVERAGE(AG105:AG108)</f>
        <v>0</v>
      </c>
      <c r="AI108" s="96" t="e">
        <v>#VALUE!</v>
      </c>
      <c r="AJ108" s="74">
        <v>0</v>
      </c>
      <c r="AK108" s="75">
        <f t="shared" ref="AK108" si="1467">AVERAGE(AJ105:AJ108)</f>
        <v>0</v>
      </c>
      <c r="AL108" s="74">
        <v>0</v>
      </c>
      <c r="AM108" s="75">
        <f t="shared" ref="AM108" si="1468">AVERAGE(AL105:AL108)</f>
        <v>0</v>
      </c>
      <c r="AN108" s="96">
        <v>0</v>
      </c>
      <c r="AO108" s="74">
        <f t="shared" si="906"/>
        <v>62879.289642790005</v>
      </c>
      <c r="AP108" s="75">
        <f t="shared" si="996"/>
        <v>79997.217959235728</v>
      </c>
      <c r="AQ108" s="74">
        <v>970.03130680421941</v>
      </c>
      <c r="AR108" s="92">
        <f t="shared" si="997"/>
        <v>863.3492797213712</v>
      </c>
      <c r="AS108" s="74">
        <f t="shared" si="907"/>
        <v>14647.767500010003</v>
      </c>
      <c r="AT108" s="75">
        <f t="shared" si="998"/>
        <v>17095.353622445713</v>
      </c>
      <c r="AU108" s="74">
        <v>979.20057460746705</v>
      </c>
      <c r="AV108" s="92">
        <f t="shared" si="999"/>
        <v>986.47397502376623</v>
      </c>
      <c r="AW108" s="74">
        <f t="shared" si="908"/>
        <v>31701.357499790003</v>
      </c>
      <c r="AX108" s="75">
        <f t="shared" si="1000"/>
        <v>37028.430612165714</v>
      </c>
      <c r="AY108" s="74">
        <v>963.28633758786793</v>
      </c>
      <c r="AZ108" s="92">
        <f t="shared" si="1001"/>
        <v>1024.0694166687874</v>
      </c>
      <c r="BA108" s="74">
        <f t="shared" si="909"/>
        <v>19904.384999959999</v>
      </c>
      <c r="BB108" s="75">
        <f t="shared" si="1002"/>
        <v>23531.731071449998</v>
      </c>
      <c r="BC108" s="74">
        <v>997.95336878925934</v>
      </c>
      <c r="BD108" s="92">
        <f t="shared" si="1003"/>
        <v>1179.6487592308038</v>
      </c>
      <c r="BE108" s="93">
        <f>AO108/SUM(Table5[[#This Row],[NWP (Standard)]],Table5[[#This Row],[NWP (Plus)]],Table5[[#This Row],[NWP (Essentials)]],Table5[[#This Row],[NWP (Premium)]])</f>
        <v>0.48693507626911942</v>
      </c>
      <c r="BF108" s="93">
        <f>AS108/SUM(Table5[[#This Row],[NWP (Standard)]],Table5[[#This Row],[NWP (Plus)]],Table5[[#This Row],[NWP (Essentials)]],Table5[[#This Row],[NWP (Premium)]])</f>
        <v>0.11343181237111101</v>
      </c>
      <c r="BG108" s="93">
        <f>AW108/SUM(Table5[[#This Row],[NWP (Standard)]],Table5[[#This Row],[NWP (Plus)]],Table5[[#This Row],[NWP (Essentials)]],Table5[[#This Row],[NWP (Premium)]])</f>
        <v>0.24549423219772137</v>
      </c>
      <c r="BH108" s="94">
        <f>BA108/SUM(Table5[[#This Row],[NWP (Standard)]],Table5[[#This Row],[NWP (Plus)]],Table5[[#This Row],[NWP (Essentials)]],Table5[[#This Row],[NWP (Premium)]])</f>
        <v>0.15413887916204821</v>
      </c>
      <c r="BI108" s="93">
        <f t="shared" si="1004"/>
        <v>0.50373040899006383</v>
      </c>
      <c r="BJ108" s="93">
        <f t="shared" si="1004"/>
        <v>0.10896019942356329</v>
      </c>
      <c r="BK108" s="93">
        <f t="shared" si="1004"/>
        <v>0.23844756492943425</v>
      </c>
      <c r="BL108" s="94">
        <f t="shared" si="1004"/>
        <v>0.14886182665693853</v>
      </c>
      <c r="BM108" s="74">
        <v>0</v>
      </c>
      <c r="BN108" s="75">
        <f t="shared" si="1005"/>
        <v>0</v>
      </c>
      <c r="BO108" s="74">
        <v>0</v>
      </c>
      <c r="BP108" s="92">
        <f t="shared" si="1006"/>
        <v>0</v>
      </c>
      <c r="BQ108" s="74">
        <v>0</v>
      </c>
      <c r="BR108" s="75">
        <f t="shared" si="1007"/>
        <v>0</v>
      </c>
      <c r="BS108" s="74">
        <v>0</v>
      </c>
      <c r="BT108" s="92">
        <f t="shared" si="1008"/>
        <v>0</v>
      </c>
      <c r="BU108" s="74">
        <v>0</v>
      </c>
      <c r="BV108" s="75">
        <f t="shared" si="1009"/>
        <v>0</v>
      </c>
      <c r="BW108" s="74">
        <v>0</v>
      </c>
      <c r="BX108" s="92">
        <f t="shared" si="1010"/>
        <v>0</v>
      </c>
      <c r="BY108" s="74">
        <v>0</v>
      </c>
      <c r="BZ108" s="75">
        <f t="shared" si="1011"/>
        <v>0</v>
      </c>
      <c r="CA108" s="74">
        <v>0</v>
      </c>
      <c r="CB108" s="92">
        <f t="shared" si="1012"/>
        <v>0</v>
      </c>
      <c r="CC108" s="74">
        <v>62879.289642790005</v>
      </c>
      <c r="CD108" s="75">
        <f t="shared" si="1013"/>
        <v>79997.217959235728</v>
      </c>
      <c r="CE108" s="74">
        <v>970.03130680421941</v>
      </c>
      <c r="CF108" s="92">
        <f t="shared" si="1014"/>
        <v>863.3492797213712</v>
      </c>
      <c r="CG108" s="74">
        <v>14647.767500010003</v>
      </c>
      <c r="CH108" s="75">
        <f t="shared" si="1015"/>
        <v>17095.353622445713</v>
      </c>
      <c r="CI108" s="74">
        <v>979.20057460746705</v>
      </c>
      <c r="CJ108" s="92">
        <f t="shared" si="1016"/>
        <v>986.47397502376623</v>
      </c>
      <c r="CK108" s="74">
        <v>31701.357499790003</v>
      </c>
      <c r="CL108" s="75">
        <f t="shared" si="1017"/>
        <v>37028.430612165714</v>
      </c>
      <c r="CM108" s="74">
        <v>963.28633758786793</v>
      </c>
      <c r="CN108" s="92">
        <f t="shared" si="1018"/>
        <v>1024.0694166687874</v>
      </c>
      <c r="CO108" s="74">
        <v>19904.384999959999</v>
      </c>
      <c r="CP108" s="75">
        <f t="shared" si="1019"/>
        <v>23531.731071449998</v>
      </c>
      <c r="CQ108" s="74">
        <v>997.95336878925934</v>
      </c>
      <c r="CR108" s="92">
        <f t="shared" si="1020"/>
        <v>1179.6487592308038</v>
      </c>
    </row>
    <row r="109" spans="1:96" x14ac:dyDescent="0.25">
      <c r="A109" s="85">
        <f t="shared" si="910"/>
        <v>45884</v>
      </c>
      <c r="B109" s="74">
        <v>826916.67392845021</v>
      </c>
      <c r="C109" s="75">
        <f t="shared" si="939"/>
        <v>811477.72687472764</v>
      </c>
      <c r="D109" s="74">
        <v>1116.0005693268763</v>
      </c>
      <c r="E109" s="75">
        <f t="shared" si="939"/>
        <v>1118.2596522505946</v>
      </c>
      <c r="F109" s="96">
        <f t="shared" si="889"/>
        <v>1091425.0846187568</v>
      </c>
      <c r="G109" s="75">
        <v>826916.67392845021</v>
      </c>
      <c r="H109" s="75">
        <f t="shared" ref="H109" si="1469">AVERAGE(G106:G109)</f>
        <v>811477.72687472764</v>
      </c>
      <c r="I109" s="75">
        <f>Table5[[#This Row],[Average NWP (Boom)]]</f>
        <v>1116.0005693268763</v>
      </c>
      <c r="J109" s="92">
        <f t="shared" ref="J109" si="1470">AVERAGE(I106:I109)</f>
        <v>1118.2596522505946</v>
      </c>
      <c r="K109" s="75">
        <f t="shared" si="892"/>
        <v>826916.67392845009</v>
      </c>
      <c r="L109" s="75">
        <f t="shared" ref="L109" si="1471">AVERAGE(K106:K109)</f>
        <v>811477.72687472752</v>
      </c>
      <c r="M109" s="75">
        <v>1112.943033551077</v>
      </c>
      <c r="N109" s="75">
        <f t="shared" ref="N109" si="1472">AVERAGE(M106:M109)</f>
        <v>1115.1959272065737</v>
      </c>
      <c r="O109" s="96">
        <f t="shared" si="895"/>
        <v>1091425.0846187568</v>
      </c>
      <c r="P109" s="74">
        <v>144760.69499998004</v>
      </c>
      <c r="Q109" s="75">
        <f t="shared" ref="Q109" si="1473">AVERAGE(P106:P109)</f>
        <v>140993.341160685</v>
      </c>
      <c r="R109" s="74">
        <v>882.68716463402461</v>
      </c>
      <c r="S109" s="75">
        <f t="shared" ref="S109" si="1474">AVERAGE(R106:R109)</f>
        <v>916.65241442960496</v>
      </c>
      <c r="T109" s="96">
        <v>186281.03127412123</v>
      </c>
      <c r="U109" s="74">
        <v>682155.97892847005</v>
      </c>
      <c r="V109" s="75">
        <f t="shared" ref="V109" si="1475">AVERAGE(U106:U109)</f>
        <v>670484.38571404258</v>
      </c>
      <c r="W109" s="74">
        <v>1178.1623124844043</v>
      </c>
      <c r="X109" s="75">
        <f t="shared" ref="X109" si="1476">AVERAGE(W106:W109)</f>
        <v>1168.0395828137889</v>
      </c>
      <c r="Y109" s="96">
        <v>905144.05334463553</v>
      </c>
      <c r="Z109" s="74">
        <v>0</v>
      </c>
      <c r="AA109" s="75">
        <f t="shared" ref="AA109" si="1477">AVERAGE(Z106:Z109)</f>
        <v>0</v>
      </c>
      <c r="AB109" s="74">
        <v>0</v>
      </c>
      <c r="AC109" s="75">
        <f t="shared" ref="AC109" si="1478">AVERAGE(AB106:AB109)</f>
        <v>0</v>
      </c>
      <c r="AD109" s="96" t="e">
        <v>#VALUE!</v>
      </c>
      <c r="AE109" s="74">
        <v>0</v>
      </c>
      <c r="AF109" s="75">
        <f t="shared" ref="AF109" si="1479">AVERAGE(AE106:AE109)</f>
        <v>0</v>
      </c>
      <c r="AG109" s="74">
        <v>0</v>
      </c>
      <c r="AH109" s="75">
        <f t="shared" ref="AH109" si="1480">AVERAGE(AG106:AG109)</f>
        <v>0</v>
      </c>
      <c r="AI109" s="96" t="e">
        <v>#VALUE!</v>
      </c>
      <c r="AJ109" s="74">
        <v>0</v>
      </c>
      <c r="AK109" s="75">
        <f t="shared" ref="AK109" si="1481">AVERAGE(AJ106:AJ109)</f>
        <v>0</v>
      </c>
      <c r="AL109" s="74">
        <v>0</v>
      </c>
      <c r="AM109" s="75">
        <f t="shared" ref="AM109" si="1482">AVERAGE(AL106:AL109)</f>
        <v>0</v>
      </c>
      <c r="AN109" s="96">
        <v>0</v>
      </c>
      <c r="AO109" s="74">
        <f t="shared" si="906"/>
        <v>77480.143214279975</v>
      </c>
      <c r="AP109" s="75">
        <f t="shared" si="996"/>
        <v>79244.980255155708</v>
      </c>
      <c r="AQ109" s="74">
        <v>817.82106050998448</v>
      </c>
      <c r="AR109" s="92">
        <f t="shared" si="997"/>
        <v>861.64781581342982</v>
      </c>
      <c r="AS109" s="74">
        <f t="shared" si="907"/>
        <v>18764.013214160001</v>
      </c>
      <c r="AT109" s="75">
        <f t="shared" si="998"/>
        <v>17145.041020394285</v>
      </c>
      <c r="AU109" s="74">
        <v>895.979176214056</v>
      </c>
      <c r="AV109" s="92">
        <f t="shared" si="999"/>
        <v>959.28784567635296</v>
      </c>
      <c r="AW109" s="74">
        <f t="shared" si="908"/>
        <v>30492.017500059996</v>
      </c>
      <c r="AX109" s="75">
        <f t="shared" si="1000"/>
        <v>35403.397091788567</v>
      </c>
      <c r="AY109" s="74">
        <v>899.28784641371556</v>
      </c>
      <c r="AZ109" s="92">
        <f t="shared" si="1001"/>
        <v>952.62352775162503</v>
      </c>
      <c r="BA109" s="74">
        <f t="shared" si="909"/>
        <v>18024.521071480001</v>
      </c>
      <c r="BB109" s="75">
        <f t="shared" si="1002"/>
        <v>22602.303214291431</v>
      </c>
      <c r="BC109" s="74">
        <v>1291.0027847153572</v>
      </c>
      <c r="BD109" s="92">
        <f t="shared" si="1003"/>
        <v>1223.518256483949</v>
      </c>
      <c r="BE109" s="93">
        <f>AO109/SUM(Table5[[#This Row],[NWP (Standard)]],Table5[[#This Row],[NWP (Plus)]],Table5[[#This Row],[NWP (Essentials)]],Table5[[#This Row],[NWP (Premium)]])</f>
        <v>0.53522914638045005</v>
      </c>
      <c r="BF109" s="93">
        <f>AS109/SUM(Table5[[#This Row],[NWP (Standard)]],Table5[[#This Row],[NWP (Plus)]],Table5[[#This Row],[NWP (Essentials)]],Table5[[#This Row],[NWP (Premium)]])</f>
        <v>0.12962091135416692</v>
      </c>
      <c r="BG109" s="93">
        <f>AW109/SUM(Table5[[#This Row],[NWP (Standard)]],Table5[[#This Row],[NWP (Plus)]],Table5[[#This Row],[NWP (Essentials)]],Table5[[#This Row],[NWP (Premium)]])</f>
        <v>0.21063740748180446</v>
      </c>
      <c r="BH109" s="94">
        <f>BA109/SUM(Table5[[#This Row],[NWP (Standard)]],Table5[[#This Row],[NWP (Plus)]],Table5[[#This Row],[NWP (Essentials)]],Table5[[#This Row],[NWP (Premium)]])</f>
        <v>0.12451253478357847</v>
      </c>
      <c r="BI109" s="93">
        <f t="shared" si="1004"/>
        <v>0.50964477518301998</v>
      </c>
      <c r="BJ109" s="93">
        <f t="shared" si="1004"/>
        <v>0.11177629425090545</v>
      </c>
      <c r="BK109" s="93">
        <f t="shared" si="1004"/>
        <v>0.23284368408640393</v>
      </c>
      <c r="BL109" s="94">
        <f t="shared" si="1004"/>
        <v>0.14573524647967065</v>
      </c>
      <c r="BM109" s="74">
        <v>0</v>
      </c>
      <c r="BN109" s="75">
        <f t="shared" si="1005"/>
        <v>0</v>
      </c>
      <c r="BO109" s="74">
        <v>0</v>
      </c>
      <c r="BP109" s="92">
        <f t="shared" si="1006"/>
        <v>0</v>
      </c>
      <c r="BQ109" s="74">
        <v>0</v>
      </c>
      <c r="BR109" s="75">
        <f t="shared" si="1007"/>
        <v>0</v>
      </c>
      <c r="BS109" s="74">
        <v>0</v>
      </c>
      <c r="BT109" s="92">
        <f t="shared" si="1008"/>
        <v>0</v>
      </c>
      <c r="BU109" s="74">
        <v>0</v>
      </c>
      <c r="BV109" s="75">
        <f t="shared" si="1009"/>
        <v>0</v>
      </c>
      <c r="BW109" s="74">
        <v>0</v>
      </c>
      <c r="BX109" s="92">
        <f t="shared" si="1010"/>
        <v>0</v>
      </c>
      <c r="BY109" s="74">
        <v>0</v>
      </c>
      <c r="BZ109" s="75">
        <f t="shared" si="1011"/>
        <v>0</v>
      </c>
      <c r="CA109" s="74">
        <v>0</v>
      </c>
      <c r="CB109" s="92">
        <f t="shared" si="1012"/>
        <v>0</v>
      </c>
      <c r="CC109" s="74">
        <v>77480.143214279975</v>
      </c>
      <c r="CD109" s="75">
        <f t="shared" si="1013"/>
        <v>79244.980255155708</v>
      </c>
      <c r="CE109" s="74">
        <v>817.82106050998448</v>
      </c>
      <c r="CF109" s="92">
        <f t="shared" si="1014"/>
        <v>861.64781581342982</v>
      </c>
      <c r="CG109" s="74">
        <v>18764.013214160001</v>
      </c>
      <c r="CH109" s="75">
        <f t="shared" si="1015"/>
        <v>17145.041020394285</v>
      </c>
      <c r="CI109" s="74">
        <v>895.979176214056</v>
      </c>
      <c r="CJ109" s="92">
        <f t="shared" si="1016"/>
        <v>959.28784567635296</v>
      </c>
      <c r="CK109" s="74">
        <v>30492.017500059996</v>
      </c>
      <c r="CL109" s="75">
        <f t="shared" si="1017"/>
        <v>35403.397091788567</v>
      </c>
      <c r="CM109" s="74">
        <v>899.28784641371556</v>
      </c>
      <c r="CN109" s="92">
        <f t="shared" si="1018"/>
        <v>952.62352775162503</v>
      </c>
      <c r="CO109" s="74">
        <v>18024.521071480001</v>
      </c>
      <c r="CP109" s="75">
        <f t="shared" si="1019"/>
        <v>22602.303214291431</v>
      </c>
      <c r="CQ109" s="74">
        <v>1291.0027847153572</v>
      </c>
      <c r="CR109" s="92">
        <f t="shared" si="1020"/>
        <v>1223.518256483949</v>
      </c>
    </row>
  </sheetData>
  <phoneticPr fontId="1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5ADC2-884A-4672-9C62-033F32C0C098}">
  <sheetPr codeName="Sheet23"/>
  <dimension ref="A1:BE111"/>
  <sheetViews>
    <sheetView zoomScale="55" zoomScaleNormal="55" workbookViewId="0">
      <selection activeCell="B16" sqref="B16"/>
    </sheetView>
  </sheetViews>
  <sheetFormatPr defaultRowHeight="15" x14ac:dyDescent="0.25"/>
  <cols>
    <col min="1" max="1" width="17.85546875" bestFit="1" customWidth="1"/>
    <col min="2" max="6" width="14.28515625" style="75" customWidth="1"/>
    <col min="7" max="7" width="14.28515625" style="104" customWidth="1"/>
    <col min="8" max="8" width="14.28515625" style="75" customWidth="1"/>
    <col min="9" max="9" width="14.28515625" style="96" customWidth="1"/>
    <col min="10" max="14" width="14.28515625" style="75" customWidth="1"/>
    <col min="15" max="15" width="14.28515625" style="104" customWidth="1"/>
    <col min="16" max="16" width="14.28515625" style="75" customWidth="1"/>
    <col min="17" max="17" width="14.28515625" style="96" customWidth="1"/>
    <col min="18" max="24" width="14.28515625" style="75" customWidth="1"/>
    <col min="25" max="25" width="14.28515625" style="96" customWidth="1"/>
    <col min="26" max="30" width="14.28515625" style="75" customWidth="1"/>
    <col min="31" max="31" width="14.28515625" style="104" customWidth="1"/>
    <col min="32" max="32" width="14.28515625" style="75" customWidth="1"/>
    <col min="33" max="33" width="14.28515625" style="96" customWidth="1"/>
    <col min="34" max="40" width="14.28515625" style="75" customWidth="1"/>
    <col min="41" max="41" width="14.28515625" style="96" customWidth="1"/>
    <col min="42" max="46" width="14.28515625" style="75" customWidth="1"/>
    <col min="47" max="47" width="14.28515625" style="104" customWidth="1"/>
    <col min="48" max="48" width="14.28515625" style="75" customWidth="1"/>
    <col min="49" max="49" width="14.28515625" style="96" customWidth="1"/>
    <col min="50" max="54" width="14.28515625" style="75" customWidth="1"/>
    <col min="55" max="55" width="14.28515625" style="104" customWidth="1"/>
    <col min="56" max="56" width="14.28515625" style="75" customWidth="1"/>
    <col min="57" max="57" width="14.28515625" style="96" customWidth="1"/>
  </cols>
  <sheetData>
    <row r="1" spans="1:57" x14ac:dyDescent="0.25">
      <c r="B1" s="75" t="s">
        <v>1</v>
      </c>
      <c r="E1" s="75" t="s">
        <v>1</v>
      </c>
      <c r="J1" s="75" t="s">
        <v>109</v>
      </c>
      <c r="M1" s="75" t="s">
        <v>109</v>
      </c>
      <c r="R1" s="75" t="s">
        <v>72</v>
      </c>
      <c r="U1" s="75" t="s">
        <v>72</v>
      </c>
      <c r="W1" s="104"/>
      <c r="Z1" s="75" t="s">
        <v>72</v>
      </c>
      <c r="AC1" s="75" t="s">
        <v>72</v>
      </c>
      <c r="AH1" s="75" t="s">
        <v>353</v>
      </c>
      <c r="AK1" s="75" t="s">
        <v>353</v>
      </c>
      <c r="AM1" s="104"/>
      <c r="AP1" s="75" t="s">
        <v>73</v>
      </c>
      <c r="AS1" s="75" t="s">
        <v>73</v>
      </c>
      <c r="AX1" s="75" t="s">
        <v>73</v>
      </c>
      <c r="BA1" s="75" t="s">
        <v>73</v>
      </c>
    </row>
    <row r="2" spans="1:57" x14ac:dyDescent="0.25">
      <c r="B2" s="76" t="s">
        <v>84</v>
      </c>
      <c r="C2" s="89"/>
      <c r="D2" s="89"/>
      <c r="E2" s="89"/>
      <c r="F2" s="89"/>
      <c r="G2" s="102"/>
      <c r="H2" s="89"/>
      <c r="I2" s="90"/>
      <c r="J2" s="76" t="s">
        <v>84</v>
      </c>
      <c r="K2" s="89"/>
      <c r="L2" s="89"/>
      <c r="M2" s="89"/>
      <c r="N2" s="89"/>
      <c r="O2" s="102"/>
      <c r="P2" s="89"/>
      <c r="Q2" s="90"/>
      <c r="R2" s="76" t="s">
        <v>177</v>
      </c>
      <c r="S2" s="89"/>
      <c r="T2" s="89"/>
      <c r="U2" s="89"/>
      <c r="V2" s="89"/>
      <c r="W2" s="102"/>
      <c r="X2" s="89"/>
      <c r="Y2" s="90"/>
      <c r="Z2" s="76" t="s">
        <v>177</v>
      </c>
      <c r="AA2" s="89"/>
      <c r="AB2" s="89"/>
      <c r="AC2" s="89"/>
      <c r="AD2" s="89"/>
      <c r="AE2" s="102"/>
      <c r="AF2" s="89"/>
      <c r="AG2" s="90"/>
      <c r="AH2" s="76" t="s">
        <v>177</v>
      </c>
      <c r="AI2" s="89"/>
      <c r="AJ2" s="89"/>
      <c r="AK2" s="89"/>
      <c r="AL2" s="89"/>
      <c r="AM2" s="102"/>
      <c r="AN2" s="89"/>
      <c r="AO2" s="90"/>
      <c r="AP2" s="76" t="s">
        <v>84</v>
      </c>
      <c r="AQ2" s="89"/>
      <c r="AR2" s="89"/>
      <c r="AS2" s="89"/>
      <c r="AT2" s="89"/>
      <c r="AU2" s="102"/>
      <c r="AV2" s="89"/>
      <c r="AW2" s="90"/>
      <c r="AX2" s="76" t="s">
        <v>84</v>
      </c>
      <c r="AY2" s="89"/>
      <c r="AZ2" s="89"/>
      <c r="BA2" s="89"/>
      <c r="BB2" s="89"/>
      <c r="BC2" s="102"/>
      <c r="BD2" s="89"/>
      <c r="BE2" s="90"/>
    </row>
    <row r="3" spans="1:57" x14ac:dyDescent="0.25">
      <c r="B3" s="75" t="s">
        <v>110</v>
      </c>
      <c r="J3" s="75" t="s">
        <v>110</v>
      </c>
      <c r="R3" s="75" t="s">
        <v>110</v>
      </c>
      <c r="W3" s="104"/>
      <c r="AM3" s="104"/>
      <c r="AP3" s="75" t="s">
        <v>111</v>
      </c>
      <c r="AX3" s="75" t="s">
        <v>178</v>
      </c>
    </row>
    <row r="4" spans="1:57" x14ac:dyDescent="0.25">
      <c r="B4" s="76" t="s">
        <v>153</v>
      </c>
      <c r="C4" s="76"/>
      <c r="D4" s="102"/>
      <c r="E4" s="76" t="s">
        <v>154</v>
      </c>
      <c r="F4" s="76"/>
      <c r="G4" s="102"/>
      <c r="H4" s="101" t="s">
        <v>153</v>
      </c>
      <c r="I4" s="100" t="s">
        <v>154</v>
      </c>
      <c r="J4" s="76" t="s">
        <v>153</v>
      </c>
      <c r="K4" s="76"/>
      <c r="L4" s="102"/>
      <c r="M4" s="76" t="s">
        <v>154</v>
      </c>
      <c r="N4" s="76"/>
      <c r="O4" s="102"/>
      <c r="P4" s="101" t="s">
        <v>153</v>
      </c>
      <c r="Q4" s="100" t="s">
        <v>154</v>
      </c>
      <c r="R4" s="76" t="s">
        <v>153</v>
      </c>
      <c r="S4" s="76"/>
      <c r="T4" s="102"/>
      <c r="U4" s="76" t="s">
        <v>154</v>
      </c>
      <c r="V4" s="76"/>
      <c r="W4" s="102"/>
      <c r="X4" s="101" t="s">
        <v>153</v>
      </c>
      <c r="Y4" s="100" t="s">
        <v>154</v>
      </c>
      <c r="Z4" s="76" t="s">
        <v>153</v>
      </c>
      <c r="AA4" s="76"/>
      <c r="AB4" s="102"/>
      <c r="AC4" s="76" t="s">
        <v>154</v>
      </c>
      <c r="AD4" s="76"/>
      <c r="AE4" s="102"/>
      <c r="AF4" s="101" t="s">
        <v>153</v>
      </c>
      <c r="AG4" s="100" t="s">
        <v>154</v>
      </c>
      <c r="AH4" s="76" t="s">
        <v>153</v>
      </c>
      <c r="AI4" s="76"/>
      <c r="AJ4" s="102"/>
      <c r="AK4" s="76" t="s">
        <v>154</v>
      </c>
      <c r="AL4" s="76"/>
      <c r="AM4" s="102"/>
      <c r="AN4" s="101" t="s">
        <v>153</v>
      </c>
      <c r="AO4" s="100" t="s">
        <v>154</v>
      </c>
      <c r="AP4" s="76" t="s">
        <v>153</v>
      </c>
      <c r="AQ4" s="76"/>
      <c r="AR4" s="102"/>
      <c r="AS4" s="76" t="s">
        <v>154</v>
      </c>
      <c r="AT4" s="76"/>
      <c r="AU4" s="102"/>
      <c r="AV4" s="101" t="s">
        <v>153</v>
      </c>
      <c r="AW4" s="100" t="s">
        <v>154</v>
      </c>
      <c r="AX4" s="76" t="s">
        <v>153</v>
      </c>
      <c r="AY4" s="76"/>
      <c r="AZ4" s="102"/>
      <c r="BA4" s="76" t="s">
        <v>154</v>
      </c>
      <c r="BB4" s="76"/>
      <c r="BC4" s="102"/>
      <c r="BD4" s="101" t="s">
        <v>153</v>
      </c>
      <c r="BE4" s="100" t="s">
        <v>154</v>
      </c>
    </row>
    <row r="5" spans="1:57" x14ac:dyDescent="0.25">
      <c r="B5" t="str">
        <f>"NB NWP ("&amp;B1&amp;")"</f>
        <v>NB NWP (PC Annual Direct)</v>
      </c>
      <c r="C5" t="str">
        <f>"NB NWP - 4 Week Avg ("&amp;B1&amp;")"</f>
        <v>NB NWP - 4 Week Avg (PC Annual Direct)</v>
      </c>
      <c r="D5" s="103" t="str">
        <f>"NB Average NWP - 4 Week Avg ("&amp;B1&amp;")"</f>
        <v>NB Average NWP - 4 Week Avg (PC Annual Direct)</v>
      </c>
      <c r="E5" t="str">
        <f>"RN NWP ("&amp;E1&amp;")"</f>
        <v>RN NWP (PC Annual Direct)</v>
      </c>
      <c r="F5" t="str">
        <f>"RN NWP - 4 Week Avg ("&amp;E1&amp;")"</f>
        <v>RN NWP - 4 Week Avg (PC Annual Direct)</v>
      </c>
      <c r="G5" s="103" t="str">
        <f>"RN Average NWP - 4 Week Avg ("&amp;E1&amp;")"</f>
        <v>RN Average NWP - 4 Week Avg (PC Annual Direct)</v>
      </c>
      <c r="H5" t="str">
        <f>"NB Average NWP ("&amp;B1&amp;")"</f>
        <v>NB Average NWP (PC Annual Direct)</v>
      </c>
      <c r="I5" s="98" t="str">
        <f>"RN Average NWP ("&amp;E1&amp;")"</f>
        <v>RN Average NWP (PC Annual Direct)</v>
      </c>
      <c r="J5" t="str">
        <f>"NB NWP ("&amp;J1&amp;")"</f>
        <v>NB NWP (Boom)</v>
      </c>
      <c r="K5" t="str">
        <f>"NB NWP - 4 Week Avg ("&amp;J1&amp;")"</f>
        <v>NB NWP - 4 Week Avg (Boom)</v>
      </c>
      <c r="L5" s="103" t="str">
        <f>"NB Average NWP - 4 Week Avg ("&amp;J1&amp;")"</f>
        <v>NB Average NWP - 4 Week Avg (Boom)</v>
      </c>
      <c r="M5" t="str">
        <f>"RN NWP ("&amp;M1&amp;")"</f>
        <v>RN NWP (Boom)</v>
      </c>
      <c r="N5" t="str">
        <f>"RN NWP - 4 Week Avg ("&amp;M1&amp;")"</f>
        <v>RN NWP - 4 Week Avg (Boom)</v>
      </c>
      <c r="O5" s="103" t="str">
        <f>"RN Average NWP - 4 Week Avg ("&amp;M1&amp;")"</f>
        <v>RN Average NWP - 4 Week Avg (Boom)</v>
      </c>
      <c r="P5" t="str">
        <f>"NB Average NWP ("&amp;J1&amp;")"</f>
        <v>NB Average NWP (Boom)</v>
      </c>
      <c r="Q5" s="98" t="str">
        <f>"RN Average NWP ("&amp;M1&amp;")"</f>
        <v>RN Average NWP (Boom)</v>
      </c>
      <c r="R5" t="str">
        <f>"NB NWP ("&amp;R1&amp;")"</f>
        <v>NB NWP (Boom Annual)</v>
      </c>
      <c r="S5" t="str">
        <f>"NB NWP - 4 Week Avg ("&amp;R1&amp;")"</f>
        <v>NB NWP - 4 Week Avg (Boom Annual)</v>
      </c>
      <c r="T5" s="103" t="str">
        <f>"NB Average NWP - 4 Week Avg ("&amp;R1&amp;")"</f>
        <v>NB Average NWP - 4 Week Avg (Boom Annual)</v>
      </c>
      <c r="U5" t="str">
        <f>"RN NWP ("&amp;U1&amp;")"</f>
        <v>RN NWP (Boom Annual)</v>
      </c>
      <c r="V5" t="str">
        <f>"RN NWP - 4 Week Avg ("&amp;U1&amp;")"</f>
        <v>RN NWP - 4 Week Avg (Boom Annual)</v>
      </c>
      <c r="W5" s="103" t="str">
        <f>"RN Average NWP - 4 Week Avg ("&amp;U1&amp;")"</f>
        <v>RN Average NWP - 4 Week Avg (Boom Annual)</v>
      </c>
      <c r="X5" t="str">
        <f>"NB Average NWP ("&amp;R1&amp;")"</f>
        <v>NB Average NWP (Boom Annual)</v>
      </c>
      <c r="Y5" s="98" t="str">
        <f>"RN Average NWP ("&amp;U1&amp;")"</f>
        <v>RN Average NWP (Boom Annual)</v>
      </c>
      <c r="Z5" t="str">
        <f>"NB NWP ("&amp;Z1&amp;")"</f>
        <v>NB NWP (Boom Annual)</v>
      </c>
      <c r="AA5" t="str">
        <f>"NB NWP - 4 Week Avg ("&amp;Z1&amp;")"</f>
        <v>NB NWP - 4 Week Avg (Boom Annual)</v>
      </c>
      <c r="AB5" s="103" t="str">
        <f>"NB Average NWP - 4 Week Avg ("&amp;Z1&amp;")"</f>
        <v>NB Average NWP - 4 Week Avg (Boom Annual)</v>
      </c>
      <c r="AC5" t="str">
        <f>"RN NWP ("&amp;AC1&amp;")"</f>
        <v>RN NWP (Boom Annual)</v>
      </c>
      <c r="AD5" t="str">
        <f>"RN NWP - 4 Week Avg ("&amp;AC1&amp;")"</f>
        <v>RN NWP - 4 Week Avg (Boom Annual)</v>
      </c>
      <c r="AE5" s="103" t="str">
        <f>"RN Average NWP - 4 Week Avg ("&amp;AC1&amp;")"</f>
        <v>RN Average NWP - 4 Week Avg (Boom Annual)</v>
      </c>
      <c r="AF5" t="str">
        <f>"NB Average NWP ("&amp;Z1&amp;")"</f>
        <v>NB Average NWP (Boom Annual)</v>
      </c>
      <c r="AG5" s="98" t="str">
        <f>"RN Average NWP ("&amp;AC1&amp;")"</f>
        <v>RN Average NWP (Boom Annual)</v>
      </c>
      <c r="AH5" t="str">
        <f>"NB NWP ("&amp;AH1&amp;")"</f>
        <v>NB NWP (Boom Premium Finance)</v>
      </c>
      <c r="AI5" t="str">
        <f>"NB NWP - 4 Week Avg ("&amp;AH1&amp;")"</f>
        <v>NB NWP - 4 Week Avg (Boom Premium Finance)</v>
      </c>
      <c r="AJ5" s="103" t="str">
        <f>"NB Average NWP - 4 Week Avg ("&amp;AH1&amp;")"</f>
        <v>NB Average NWP - 4 Week Avg (Boom Premium Finance)</v>
      </c>
      <c r="AK5" t="str">
        <f>"RN NWP ("&amp;AK1&amp;")"</f>
        <v>RN NWP (Boom Premium Finance)</v>
      </c>
      <c r="AL5" t="str">
        <f>"RN NWP - 4 Week Avg ("&amp;AK1&amp;")"</f>
        <v>RN NWP - 4 Week Avg (Boom Premium Finance)</v>
      </c>
      <c r="AM5" s="103" t="str">
        <f>"RN Average NWP - 4 Week Avg ("&amp;AK1&amp;")"</f>
        <v>RN Average NWP - 4 Week Avg (Boom Premium Finance)</v>
      </c>
      <c r="AN5" t="str">
        <f>"NB Average NWP ("&amp;AH1&amp;")"</f>
        <v>NB Average NWP (Boom Premium Finance)</v>
      </c>
      <c r="AO5" s="98" t="str">
        <f>"RN Average NWP ("&amp;AK1&amp;")"</f>
        <v>RN Average NWP (Boom Premium Finance)</v>
      </c>
      <c r="AP5" t="str">
        <f>"NB NWP ("&amp;AP1&amp;")"</f>
        <v>NB NWP (Boom Subscription)</v>
      </c>
      <c r="AQ5" t="str">
        <f>"NB NWP - 4 Week Avg ("&amp;AP1&amp;")"</f>
        <v>NB NWP - 4 Week Avg (Boom Subscription)</v>
      </c>
      <c r="AR5" s="103" t="str">
        <f>"NB Average NWP - 4 Week Avg ("&amp;AP1&amp;")"</f>
        <v>NB Average NWP - 4 Week Avg (Boom Subscription)</v>
      </c>
      <c r="AS5" t="str">
        <f>"RN NWP ("&amp;AS1&amp;")"</f>
        <v>RN NWP (Boom Subscription)</v>
      </c>
      <c r="AT5" t="str">
        <f>"RN NWP - 4 Week Avg ("&amp;AS1&amp;")"</f>
        <v>RN NWP - 4 Week Avg (Boom Subscription)</v>
      </c>
      <c r="AU5" s="103" t="str">
        <f>"RN Average NWP - 4 Week Avg ("&amp;AS1&amp;")"</f>
        <v>RN Average NWP - 4 Week Avg (Boom Subscription)</v>
      </c>
      <c r="AV5" t="str">
        <f>"NB Average NWP ("&amp;AP1&amp;")"</f>
        <v>NB Average NWP (Boom Subscription)</v>
      </c>
      <c r="AW5" s="98" t="str">
        <f>"RN Average NWP ("&amp;AS1&amp;")"</f>
        <v>RN Average NWP (Boom Subscription)</v>
      </c>
      <c r="AX5" t="str">
        <f>"NB NWP ("&amp;AX1&amp;")"</f>
        <v>NB NWP (Boom Subscription)</v>
      </c>
      <c r="AY5" t="str">
        <f>"NB NWP - 4 Week Avg ("&amp;AX1&amp;")"</f>
        <v>NB NWP - 4 Week Avg (Boom Subscription)</v>
      </c>
      <c r="AZ5" s="103" t="str">
        <f>"NB Average NWP - 4 Week Avg ("&amp;AX1&amp;")"</f>
        <v>NB Average NWP - 4 Week Avg (Boom Subscription)</v>
      </c>
      <c r="BA5" t="str">
        <f>"RN NWP ("&amp;BA1&amp;")"</f>
        <v>RN NWP (Boom Subscription)</v>
      </c>
      <c r="BB5" t="str">
        <f>"RN NWP - 4 Week Avg ("&amp;BA1&amp;")"</f>
        <v>RN NWP - 4 Week Avg (Boom Subscription)</v>
      </c>
      <c r="BC5" s="103" t="str">
        <f>"RN Average NWP - 4 Week Avg ("&amp;BA1&amp;")"</f>
        <v>RN Average NWP - 4 Week Avg (Boom Subscription)</v>
      </c>
      <c r="BD5" t="str">
        <f>"NB Average NWP ("&amp;AX1&amp;")"</f>
        <v>NB Average NWP (Boom Subscription)</v>
      </c>
      <c r="BE5" s="98" t="str">
        <f>"RN Average NWP ("&amp;BA1&amp;")"</f>
        <v>RN Average NWP (Boom Subscription)</v>
      </c>
    </row>
    <row r="6" spans="1:57" x14ac:dyDescent="0.25">
      <c r="A6" s="80" t="s">
        <v>360</v>
      </c>
      <c r="B6" t="s">
        <v>161</v>
      </c>
      <c r="C6" t="s">
        <v>736</v>
      </c>
      <c r="D6" s="103" t="s">
        <v>737</v>
      </c>
      <c r="E6" t="s">
        <v>162</v>
      </c>
      <c r="F6" t="s">
        <v>738</v>
      </c>
      <c r="G6" s="103" t="s">
        <v>739</v>
      </c>
      <c r="H6" t="s">
        <v>163</v>
      </c>
      <c r="I6" s="98" t="s">
        <v>164</v>
      </c>
      <c r="J6" t="s">
        <v>165</v>
      </c>
      <c r="K6" t="s">
        <v>740</v>
      </c>
      <c r="L6" s="103" t="s">
        <v>741</v>
      </c>
      <c r="M6" t="s">
        <v>166</v>
      </c>
      <c r="N6" t="s">
        <v>742</v>
      </c>
      <c r="O6" s="103" t="s">
        <v>743</v>
      </c>
      <c r="P6" t="s">
        <v>167</v>
      </c>
      <c r="Q6" s="98" t="s">
        <v>168</v>
      </c>
      <c r="R6" t="s">
        <v>169</v>
      </c>
      <c r="S6" t="s">
        <v>744</v>
      </c>
      <c r="T6" s="103" t="s">
        <v>745</v>
      </c>
      <c r="U6" t="s">
        <v>175</v>
      </c>
      <c r="V6" t="s">
        <v>746</v>
      </c>
      <c r="W6" s="103" t="s">
        <v>747</v>
      </c>
      <c r="X6" t="s">
        <v>170</v>
      </c>
      <c r="Y6" s="98" t="s">
        <v>176</v>
      </c>
      <c r="Z6" t="s">
        <v>380</v>
      </c>
      <c r="AA6" t="s">
        <v>748</v>
      </c>
      <c r="AB6" s="103" t="s">
        <v>749</v>
      </c>
      <c r="AC6" t="s">
        <v>381</v>
      </c>
      <c r="AD6" t="s">
        <v>750</v>
      </c>
      <c r="AE6" s="103" t="s">
        <v>751</v>
      </c>
      <c r="AF6" t="s">
        <v>382</v>
      </c>
      <c r="AG6" s="98" t="s">
        <v>383</v>
      </c>
      <c r="AH6" t="s">
        <v>384</v>
      </c>
      <c r="AI6" t="s">
        <v>752</v>
      </c>
      <c r="AJ6" s="103" t="s">
        <v>753</v>
      </c>
      <c r="AK6" t="s">
        <v>385</v>
      </c>
      <c r="AL6" t="s">
        <v>754</v>
      </c>
      <c r="AM6" s="103" t="s">
        <v>755</v>
      </c>
      <c r="AN6" t="s">
        <v>386</v>
      </c>
      <c r="AO6" s="98" t="s">
        <v>387</v>
      </c>
      <c r="AP6" t="s">
        <v>171</v>
      </c>
      <c r="AQ6" t="s">
        <v>756</v>
      </c>
      <c r="AR6" s="103" t="s">
        <v>757</v>
      </c>
      <c r="AS6" t="s">
        <v>172</v>
      </c>
      <c r="AT6" t="s">
        <v>758</v>
      </c>
      <c r="AU6" s="103" t="s">
        <v>759</v>
      </c>
      <c r="AV6" t="s">
        <v>173</v>
      </c>
      <c r="AW6" s="98" t="s">
        <v>174</v>
      </c>
      <c r="AX6" t="s">
        <v>179</v>
      </c>
      <c r="AY6" t="s">
        <v>760</v>
      </c>
      <c r="AZ6" s="103" t="s">
        <v>761</v>
      </c>
      <c r="BA6" t="s">
        <v>180</v>
      </c>
      <c r="BB6" t="s">
        <v>762</v>
      </c>
      <c r="BC6" s="103" t="s">
        <v>763</v>
      </c>
      <c r="BD6" t="s">
        <v>181</v>
      </c>
      <c r="BE6" s="98" t="s">
        <v>182</v>
      </c>
    </row>
    <row r="7" spans="1:57" x14ac:dyDescent="0.25">
      <c r="A7" s="73">
        <v>45156</v>
      </c>
      <c r="B7" s="75">
        <v>937688.32785786199</v>
      </c>
      <c r="D7" s="104"/>
      <c r="E7" s="75">
        <v>47235.895356948007</v>
      </c>
      <c r="H7" s="75">
        <v>1540.0221136689663</v>
      </c>
      <c r="I7" s="96">
        <v>1319.7204351774478</v>
      </c>
      <c r="J7" s="75">
        <f>Z7+AP7</f>
        <v>329665.51607190102</v>
      </c>
      <c r="L7" s="104"/>
      <c r="M7" s="75">
        <f>AC7+AS7</f>
        <v>39345.638571284006</v>
      </c>
      <c r="P7" s="75">
        <f>H7</f>
        <v>1540.0221136689663</v>
      </c>
      <c r="Q7" s="96">
        <f>I7</f>
        <v>1319.7204351774478</v>
      </c>
      <c r="R7" s="75">
        <f>Z7+AH7</f>
        <v>274390.71500045003</v>
      </c>
      <c r="T7" s="104"/>
      <c r="U7" s="75">
        <f>AC7+AK7</f>
        <v>38628.342499860002</v>
      </c>
      <c r="W7" s="104"/>
      <c r="X7" s="75">
        <v>1258.6730045892202</v>
      </c>
      <c r="Y7" s="96">
        <v>1379.5836607092858</v>
      </c>
      <c r="Z7" s="75">
        <v>274390.71500045003</v>
      </c>
      <c r="AB7" s="104"/>
      <c r="AC7" s="75">
        <v>38628.342499860002</v>
      </c>
      <c r="AF7" s="75">
        <v>1258.6730045892202</v>
      </c>
      <c r="AG7" s="96">
        <v>1379.5836607092858</v>
      </c>
      <c r="AH7" s="75">
        <v>0</v>
      </c>
      <c r="AJ7" s="104"/>
      <c r="AK7" s="75">
        <v>0</v>
      </c>
      <c r="AM7" s="104"/>
      <c r="AN7" s="75">
        <v>0</v>
      </c>
      <c r="AO7" s="96">
        <v>0</v>
      </c>
      <c r="AP7" s="75">
        <v>55274.801071451009</v>
      </c>
      <c r="AR7" s="104"/>
      <c r="AS7" s="75">
        <v>717.29607142400005</v>
      </c>
      <c r="AV7" s="75">
        <v>1694.353198977602</v>
      </c>
      <c r="AW7" s="96">
        <v>1093.8765091184978</v>
      </c>
      <c r="AX7" s="75">
        <v>663297.61285741208</v>
      </c>
      <c r="AZ7" s="104"/>
      <c r="BA7" s="75">
        <v>8607.5528570879997</v>
      </c>
      <c r="BD7" s="75">
        <v>1694.3531989776025</v>
      </c>
      <c r="BE7" s="96">
        <v>1093.8765091184978</v>
      </c>
    </row>
    <row r="8" spans="1:57" x14ac:dyDescent="0.25">
      <c r="A8" s="85">
        <f>A7+7</f>
        <v>45163</v>
      </c>
      <c r="B8" s="75">
        <v>893022.99642840191</v>
      </c>
      <c r="D8" s="104"/>
      <c r="E8" s="75">
        <v>38729.742142826006</v>
      </c>
      <c r="H8" s="75">
        <v>1483.4403700176219</v>
      </c>
      <c r="I8" s="96">
        <v>1300.4665710792015</v>
      </c>
      <c r="J8" s="75">
        <f t="shared" ref="J8:J71" si="0">Z8+AP8</f>
        <v>313662.9396428261</v>
      </c>
      <c r="L8" s="104"/>
      <c r="M8" s="75">
        <f t="shared" ref="M8:M71" si="1">AC8+AS8</f>
        <v>25799.187142792998</v>
      </c>
      <c r="P8" s="75">
        <f t="shared" ref="P8:P71" si="2">H8</f>
        <v>1483.4403700176219</v>
      </c>
      <c r="Q8" s="96">
        <f t="shared" ref="Q8:Q71" si="3">I8</f>
        <v>1300.4665710792015</v>
      </c>
      <c r="R8" s="75">
        <f t="shared" ref="R8:R71" si="4">Z8+AH8</f>
        <v>260993.84357141011</v>
      </c>
      <c r="T8" s="104"/>
      <c r="U8" s="75">
        <f t="shared" ref="U8:U71" si="5">AC8+AK8</f>
        <v>24623.682142789999</v>
      </c>
      <c r="W8" s="104"/>
      <c r="X8" s="75">
        <v>1197.2194659238996</v>
      </c>
      <c r="Y8" s="96">
        <v>1231.1841071394999</v>
      </c>
      <c r="Z8" s="75">
        <v>260993.84357141011</v>
      </c>
      <c r="AB8" s="104"/>
      <c r="AC8" s="75">
        <v>24623.682142789999</v>
      </c>
      <c r="AF8" s="75">
        <v>1197.2194659238996</v>
      </c>
      <c r="AG8" s="96">
        <v>1231.1841071394999</v>
      </c>
      <c r="AH8" s="75">
        <v>0</v>
      </c>
      <c r="AJ8" s="104"/>
      <c r="AK8" s="75">
        <v>0</v>
      </c>
      <c r="AM8" s="104"/>
      <c r="AN8" s="75">
        <v>0</v>
      </c>
      <c r="AO8" s="96">
        <v>0</v>
      </c>
      <c r="AP8" s="75">
        <v>52669.096071415996</v>
      </c>
      <c r="AR8" s="104"/>
      <c r="AS8" s="75">
        <v>1175.5050000030001</v>
      </c>
      <c r="AV8" s="75">
        <v>1643.3835605803995</v>
      </c>
      <c r="AW8" s="96">
        <v>1434.116100261801</v>
      </c>
      <c r="AX8" s="75">
        <v>632029.15285699209</v>
      </c>
      <c r="AZ8" s="104"/>
      <c r="BA8" s="75">
        <v>14106.060000036001</v>
      </c>
      <c r="BD8" s="75">
        <v>1643.3835605804006</v>
      </c>
      <c r="BE8" s="96">
        <v>1434.116100261801</v>
      </c>
    </row>
    <row r="9" spans="1:57" x14ac:dyDescent="0.25">
      <c r="A9" s="85">
        <f t="shared" ref="A9:A72" si="6">A8+7</f>
        <v>45170</v>
      </c>
      <c r="B9" s="75">
        <v>822836.30821386003</v>
      </c>
      <c r="D9" s="104"/>
      <c r="E9" s="75">
        <v>31112.504642810003</v>
      </c>
      <c r="H9" s="75">
        <v>1443.544792604248</v>
      </c>
      <c r="I9" s="96">
        <v>1075.7842889791377</v>
      </c>
      <c r="J9" s="75">
        <f t="shared" si="0"/>
        <v>319635.17571396998</v>
      </c>
      <c r="L9" s="104"/>
      <c r="M9" s="75">
        <f t="shared" si="1"/>
        <v>31112.504642810003</v>
      </c>
      <c r="P9" s="75">
        <f t="shared" si="2"/>
        <v>1443.544792604248</v>
      </c>
      <c r="Q9" s="96">
        <f t="shared" si="3"/>
        <v>1075.7842889791377</v>
      </c>
      <c r="R9" s="75">
        <f t="shared" si="4"/>
        <v>273889.61821397999</v>
      </c>
      <c r="T9" s="104"/>
      <c r="U9" s="75">
        <f t="shared" si="5"/>
        <v>31112.504642810003</v>
      </c>
      <c r="W9" s="104"/>
      <c r="X9" s="75">
        <v>1291.932161386698</v>
      </c>
      <c r="Y9" s="96">
        <v>1072.8449876831035</v>
      </c>
      <c r="Z9" s="75">
        <v>273889.61821397999</v>
      </c>
      <c r="AB9" s="104"/>
      <c r="AC9" s="75">
        <v>31112.504642810003</v>
      </c>
      <c r="AF9" s="75">
        <v>1291.932161386698</v>
      </c>
      <c r="AG9" s="96">
        <v>1072.8449876831035</v>
      </c>
      <c r="AH9" s="75">
        <v>0</v>
      </c>
      <c r="AJ9" s="104"/>
      <c r="AK9" s="75">
        <v>0</v>
      </c>
      <c r="AM9" s="104"/>
      <c r="AN9" s="75">
        <v>0</v>
      </c>
      <c r="AO9" s="96">
        <v>0</v>
      </c>
      <c r="AP9" s="75">
        <v>45745.557499989984</v>
      </c>
      <c r="AR9" s="104"/>
      <c r="AS9" s="75">
        <v>0</v>
      </c>
      <c r="AV9" s="75">
        <v>1530.8470372034396</v>
      </c>
      <c r="AW9" s="96">
        <v>0</v>
      </c>
      <c r="AX9" s="75">
        <v>548946.68999987992</v>
      </c>
      <c r="AZ9" s="104"/>
      <c r="BA9" s="75">
        <v>0</v>
      </c>
      <c r="BD9" s="75">
        <v>1530.8470372034396</v>
      </c>
      <c r="BE9" s="96">
        <v>0</v>
      </c>
    </row>
    <row r="10" spans="1:57" x14ac:dyDescent="0.25">
      <c r="A10" s="85">
        <f t="shared" si="6"/>
        <v>45177</v>
      </c>
      <c r="B10" s="75">
        <v>868074.48071452207</v>
      </c>
      <c r="C10" s="75">
        <f>AVERAGE(B7:B10)</f>
        <v>880405.52830366162</v>
      </c>
      <c r="D10" s="104">
        <f>AVERAGE(H7:H10)</f>
        <v>1500.1732412212502</v>
      </c>
      <c r="E10" s="75">
        <v>25120.327857110002</v>
      </c>
      <c r="F10" s="75">
        <f>AVERAGE(E7:E10)</f>
        <v>35549.617499923508</v>
      </c>
      <c r="G10" s="104">
        <f>AVERAGE(I7:I10)</f>
        <v>1197.78793981132</v>
      </c>
      <c r="H10" s="75">
        <v>1533.685688594164</v>
      </c>
      <c r="I10" s="96">
        <v>1095.1804640094924</v>
      </c>
      <c r="J10" s="75">
        <f t="shared" si="0"/>
        <v>300104.26785699098</v>
      </c>
      <c r="K10" s="75">
        <f>AVERAGE(J7:J10)</f>
        <v>315766.97482142202</v>
      </c>
      <c r="L10" s="104">
        <f>AVERAGE(P7:P10)</f>
        <v>1500.1732412212502</v>
      </c>
      <c r="M10" s="75">
        <f t="shared" si="1"/>
        <v>25120.327857110002</v>
      </c>
      <c r="N10" s="75">
        <f>AVERAGE(M7:M10)</f>
        <v>30344.414553499249</v>
      </c>
      <c r="O10" s="104">
        <f>AVERAGE(Q7:Q10)</f>
        <v>1197.78793981132</v>
      </c>
      <c r="P10" s="75">
        <f t="shared" si="2"/>
        <v>1533.685688594164</v>
      </c>
      <c r="Q10" s="96">
        <f t="shared" si="3"/>
        <v>1095.1804640094924</v>
      </c>
      <c r="R10" s="75">
        <f t="shared" si="4"/>
        <v>248470.61214267</v>
      </c>
      <c r="S10" s="75">
        <f>AVERAGE(R7:R10)</f>
        <v>264436.19723212754</v>
      </c>
      <c r="T10" s="104">
        <f>AVERAGE(X7:X10)</f>
        <v>1263.8911739521518</v>
      </c>
      <c r="U10" s="75">
        <f t="shared" si="5"/>
        <v>25120.327857110002</v>
      </c>
      <c r="V10" s="75">
        <f>AVERAGE(U7:U10)</f>
        <v>29871.214285642505</v>
      </c>
      <c r="W10" s="104">
        <f>AVERAGE(Y7:Y10)</f>
        <v>1193.950230808081</v>
      </c>
      <c r="X10" s="75">
        <v>1307.7400639087894</v>
      </c>
      <c r="Y10" s="96">
        <v>1092.1881677004349</v>
      </c>
      <c r="Z10" s="75">
        <v>248470.61214267</v>
      </c>
      <c r="AA10" s="75">
        <f>AVERAGE(Z7:Z10)</f>
        <v>264436.19723212754</v>
      </c>
      <c r="AB10" s="104">
        <f>AVERAGE(AF7:AF10)</f>
        <v>1263.8911739521518</v>
      </c>
      <c r="AC10" s="75">
        <v>25120.327857110002</v>
      </c>
      <c r="AD10" s="75">
        <f>AVERAGE(AC7:AC10)</f>
        <v>29871.214285642505</v>
      </c>
      <c r="AE10" s="104">
        <f>AVERAGE(AG7:AG10)</f>
        <v>1193.950230808081</v>
      </c>
      <c r="AF10" s="75">
        <v>1307.7400639087894</v>
      </c>
      <c r="AG10" s="96">
        <v>1092.1881677004349</v>
      </c>
      <c r="AH10" s="75">
        <v>0</v>
      </c>
      <c r="AI10" s="75">
        <f>AVERAGE(AH7:AH10)</f>
        <v>0</v>
      </c>
      <c r="AJ10" s="104">
        <f>AVERAGE(AN7:AN10)</f>
        <v>0</v>
      </c>
      <c r="AK10" s="75">
        <v>0</v>
      </c>
      <c r="AL10" s="75">
        <f>AVERAGE(AK7:AK10)</f>
        <v>0</v>
      </c>
      <c r="AM10" s="104">
        <f>AVERAGE(AO7:AO10)</f>
        <v>0</v>
      </c>
      <c r="AN10" s="75">
        <v>0</v>
      </c>
      <c r="AO10" s="96">
        <v>0</v>
      </c>
      <c r="AP10" s="75">
        <v>51633.655714320987</v>
      </c>
      <c r="AQ10" s="75">
        <f>AVERAGE(AP7:AP10)</f>
        <v>51330.777589294492</v>
      </c>
      <c r="AR10" s="104">
        <f>AVERAGE(AV7:AV10)</f>
        <v>1628.5426312283682</v>
      </c>
      <c r="AS10" s="75">
        <v>0</v>
      </c>
      <c r="AT10" s="75">
        <f>AVERAGE(AS7:AS10)</f>
        <v>473.20026785675003</v>
      </c>
      <c r="AU10" s="104">
        <f>AVERAGE(AW7:AW10)</f>
        <v>631.99815234507469</v>
      </c>
      <c r="AV10" s="75">
        <v>1645.5867281520314</v>
      </c>
      <c r="AW10" s="96">
        <v>0</v>
      </c>
      <c r="AX10" s="75">
        <v>619603.86857185187</v>
      </c>
      <c r="AY10" s="75">
        <f>AVERAGE(AX7:AX10)</f>
        <v>615969.33107153396</v>
      </c>
      <c r="AZ10" s="104">
        <f>AVERAGE(BD7:BD10)</f>
        <v>1628.5426312283685</v>
      </c>
      <c r="BA10" s="75">
        <v>0</v>
      </c>
      <c r="BB10" s="75">
        <f>AVERAGE(BA7:BA10)</f>
        <v>5678.4032142810001</v>
      </c>
      <c r="BC10" s="104">
        <f>AVERAGE(BE7:BE10)</f>
        <v>631.99815234507469</v>
      </c>
      <c r="BD10" s="75">
        <v>1645.5867281520318</v>
      </c>
      <c r="BE10" s="96">
        <v>0</v>
      </c>
    </row>
    <row r="11" spans="1:57" x14ac:dyDescent="0.25">
      <c r="A11" s="85">
        <f t="shared" si="6"/>
        <v>45184</v>
      </c>
      <c r="B11" s="75">
        <v>816196.60214291816</v>
      </c>
      <c r="C11" s="75">
        <f t="shared" ref="C11:C74" si="7">AVERAGE(B8:B11)</f>
        <v>850032.59687492554</v>
      </c>
      <c r="D11" s="104">
        <f t="shared" ref="D11:D74" si="8">AVERAGE(H8:H11)</f>
        <v>1483.5074615695617</v>
      </c>
      <c r="E11" s="75">
        <v>38803.267857160004</v>
      </c>
      <c r="F11" s="75">
        <f t="shared" ref="F11:F74" si="9">AVERAGE(E8:E11)</f>
        <v>33441.460624976506</v>
      </c>
      <c r="G11" s="104">
        <f t="shared" ref="G11:G74" si="10">AVERAGE(I8:I11)</f>
        <v>1256.9536128030236</v>
      </c>
      <c r="H11" s="75">
        <v>1473.3589950622124</v>
      </c>
      <c r="I11" s="96">
        <v>1556.3831271442623</v>
      </c>
      <c r="J11" s="75">
        <f t="shared" si="0"/>
        <v>288840.938928494</v>
      </c>
      <c r="K11" s="75">
        <f t="shared" ref="K11:K74" si="11">AVERAGE(J8:J11)</f>
        <v>305560.83053557028</v>
      </c>
      <c r="L11" s="104">
        <f t="shared" ref="L11:L74" si="12">AVERAGE(P8:P11)</f>
        <v>1483.5074615695617</v>
      </c>
      <c r="M11" s="75">
        <f t="shared" si="1"/>
        <v>38803.267857160004</v>
      </c>
      <c r="N11" s="75">
        <f t="shared" ref="N11:N74" si="13">AVERAGE(M8:M11)</f>
        <v>30208.821874968256</v>
      </c>
      <c r="O11" s="104">
        <f t="shared" ref="O11:O74" si="14">AVERAGE(Q8:Q11)</f>
        <v>1256.9536128030236</v>
      </c>
      <c r="P11" s="75">
        <f t="shared" si="2"/>
        <v>1473.3589950622124</v>
      </c>
      <c r="Q11" s="96">
        <f t="shared" si="3"/>
        <v>1556.3831271442623</v>
      </c>
      <c r="R11" s="75">
        <f t="shared" si="4"/>
        <v>240899.51499991</v>
      </c>
      <c r="S11" s="75">
        <f t="shared" ref="S11:S74" si="15">AVERAGE(R8:R11)</f>
        <v>256063.39723199251</v>
      </c>
      <c r="T11" s="104">
        <f t="shared" ref="T11:T74" si="16">AVERAGE(X8:X11)</f>
        <v>1254.9329672209763</v>
      </c>
      <c r="U11" s="75">
        <f t="shared" si="5"/>
        <v>38803.267857160004</v>
      </c>
      <c r="V11" s="75">
        <f t="shared" ref="V11:V74" si="17">AVERAGE(U8:U11)</f>
        <v>29914.945624967506</v>
      </c>
      <c r="W11" s="104">
        <f t="shared" ref="W11:W74" si="18">AVERAGE(Y8:Y11)</f>
        <v>1237.0869942023596</v>
      </c>
      <c r="X11" s="75">
        <v>1222.8401776645178</v>
      </c>
      <c r="Y11" s="96">
        <v>1552.1307142864002</v>
      </c>
      <c r="Z11" s="75">
        <v>240899.51499991</v>
      </c>
      <c r="AA11" s="75">
        <f t="shared" ref="AA11:AA74" si="19">AVERAGE(Z8:Z11)</f>
        <v>256063.39723199251</v>
      </c>
      <c r="AB11" s="104">
        <f t="shared" ref="AB11:AB74" si="20">AVERAGE(AF8:AF11)</f>
        <v>1254.9329672209763</v>
      </c>
      <c r="AC11" s="75">
        <v>38803.267857160004</v>
      </c>
      <c r="AD11" s="75">
        <f t="shared" ref="AD11:AD74" si="21">AVERAGE(AC8:AC11)</f>
        <v>29914.945624967506</v>
      </c>
      <c r="AE11" s="104">
        <f t="shared" ref="AE11:AE74" si="22">AVERAGE(AG8:AG11)</f>
        <v>1237.0869942023596</v>
      </c>
      <c r="AF11" s="75">
        <v>1222.8401776645178</v>
      </c>
      <c r="AG11" s="96">
        <v>1552.1307142864002</v>
      </c>
      <c r="AH11" s="75">
        <v>0</v>
      </c>
      <c r="AI11" s="75">
        <f t="shared" ref="AI11:AI74" si="23">AVERAGE(AH8:AH11)</f>
        <v>0</v>
      </c>
      <c r="AJ11" s="104">
        <f t="shared" ref="AJ11:AJ74" si="24">AVERAGE(AN8:AN11)</f>
        <v>0</v>
      </c>
      <c r="AK11" s="75">
        <v>0</v>
      </c>
      <c r="AL11" s="75">
        <f t="shared" ref="AL11:AL74" si="25">AVERAGE(AK8:AK11)</f>
        <v>0</v>
      </c>
      <c r="AM11" s="104">
        <f t="shared" ref="AM11:AM74" si="26">AVERAGE(AO8:AO11)</f>
        <v>0</v>
      </c>
      <c r="AN11" s="75">
        <v>0</v>
      </c>
      <c r="AO11" s="96">
        <v>0</v>
      </c>
      <c r="AP11" s="75">
        <v>47941.423928584016</v>
      </c>
      <c r="AQ11" s="75">
        <f t="shared" ref="AQ11:AQ74" si="27">AVERAGE(AP8:AP11)</f>
        <v>49497.433303577738</v>
      </c>
      <c r="AR11" s="104">
        <f t="shared" ref="AR11:AR74" si="28">AVERAGE(AV8:AV11)</f>
        <v>1607.2507629059298</v>
      </c>
      <c r="AS11" s="75">
        <v>0</v>
      </c>
      <c r="AT11" s="75">
        <f t="shared" ref="AT11:AT74" si="29">AVERAGE(AS8:AS11)</f>
        <v>293.87625000075002</v>
      </c>
      <c r="AU11" s="104">
        <f t="shared" ref="AU11:AU74" si="30">AVERAGE(AW8:AW11)</f>
        <v>358.52902506545024</v>
      </c>
      <c r="AV11" s="75">
        <v>1609.1857256878491</v>
      </c>
      <c r="AW11" s="96">
        <v>0</v>
      </c>
      <c r="AX11" s="75">
        <v>575297.08714300802</v>
      </c>
      <c r="AY11" s="75">
        <f t="shared" ref="AY11:AY74" si="31">AVERAGE(AX8:AX11)</f>
        <v>593969.19964293297</v>
      </c>
      <c r="AZ11" s="104">
        <f t="shared" ref="AZ11:AZ74" si="32">AVERAGE(BD8:BD11)</f>
        <v>1607.2507629059303</v>
      </c>
      <c r="BA11" s="75">
        <v>0</v>
      </c>
      <c r="BB11" s="75">
        <f t="shared" ref="BB11:BB74" si="33">AVERAGE(BA8:BA11)</f>
        <v>3526.5150000090002</v>
      </c>
      <c r="BC11" s="104">
        <f t="shared" ref="BC11:BC74" si="34">AVERAGE(BE8:BE11)</f>
        <v>358.52902506545024</v>
      </c>
      <c r="BD11" s="75">
        <v>1609.1857256878491</v>
      </c>
      <c r="BE11" s="96">
        <v>0</v>
      </c>
    </row>
    <row r="12" spans="1:57" x14ac:dyDescent="0.25">
      <c r="A12" s="85">
        <f t="shared" si="6"/>
        <v>45191</v>
      </c>
      <c r="B12" s="75">
        <v>943709.37035722786</v>
      </c>
      <c r="C12" s="75">
        <f t="shared" si="7"/>
        <v>862704.190357132</v>
      </c>
      <c r="D12" s="104">
        <f t="shared" si="8"/>
        <v>1512.8652418931147</v>
      </c>
      <c r="E12" s="75">
        <v>40090.741785713988</v>
      </c>
      <c r="F12" s="75">
        <f t="shared" si="9"/>
        <v>33781.710535698498</v>
      </c>
      <c r="G12" s="104">
        <f t="shared" si="10"/>
        <v>1183.6770684276428</v>
      </c>
      <c r="H12" s="75">
        <v>1600.871491311834</v>
      </c>
      <c r="I12" s="96">
        <v>1007.3603935776787</v>
      </c>
      <c r="J12" s="75">
        <f t="shared" si="0"/>
        <v>299208.22499988403</v>
      </c>
      <c r="K12" s="75">
        <f t="shared" si="11"/>
        <v>301947.15187483479</v>
      </c>
      <c r="L12" s="104">
        <f t="shared" si="12"/>
        <v>1512.8652418931147</v>
      </c>
      <c r="M12" s="75">
        <f t="shared" si="1"/>
        <v>38432.825714286992</v>
      </c>
      <c r="N12" s="75">
        <f t="shared" si="13"/>
        <v>33367.231517841748</v>
      </c>
      <c r="O12" s="104">
        <f t="shared" si="14"/>
        <v>1183.6770684276428</v>
      </c>
      <c r="P12" s="75">
        <f t="shared" si="2"/>
        <v>1600.871491311834</v>
      </c>
      <c r="Q12" s="96">
        <f t="shared" si="3"/>
        <v>1007.3603935776787</v>
      </c>
      <c r="R12" s="75">
        <f t="shared" si="4"/>
        <v>240617.21178558003</v>
      </c>
      <c r="S12" s="75">
        <f t="shared" si="15"/>
        <v>250969.239285535</v>
      </c>
      <c r="T12" s="104">
        <f t="shared" si="16"/>
        <v>1282.5536602312786</v>
      </c>
      <c r="U12" s="75">
        <f t="shared" si="5"/>
        <v>38282.106071429989</v>
      </c>
      <c r="V12" s="75">
        <f t="shared" si="17"/>
        <v>33329.551607127498</v>
      </c>
      <c r="W12" s="104">
        <f t="shared" si="18"/>
        <v>1181.1469284137347</v>
      </c>
      <c r="X12" s="75">
        <v>1307.7022379651089</v>
      </c>
      <c r="Y12" s="96">
        <v>1007.4238439849997</v>
      </c>
      <c r="Z12" s="75">
        <v>240617.21178558003</v>
      </c>
      <c r="AA12" s="75">
        <f t="shared" si="19"/>
        <v>250969.239285535</v>
      </c>
      <c r="AB12" s="104">
        <f t="shared" si="20"/>
        <v>1282.5536602312786</v>
      </c>
      <c r="AC12" s="75">
        <v>38282.106071429989</v>
      </c>
      <c r="AD12" s="75">
        <f t="shared" si="21"/>
        <v>33329.551607127498</v>
      </c>
      <c r="AE12" s="104">
        <f t="shared" si="22"/>
        <v>1181.1469284137347</v>
      </c>
      <c r="AF12" s="75">
        <v>1307.7022379651089</v>
      </c>
      <c r="AG12" s="96">
        <v>1007.4238439849997</v>
      </c>
      <c r="AH12" s="75">
        <v>0</v>
      </c>
      <c r="AI12" s="75">
        <f t="shared" si="23"/>
        <v>0</v>
      </c>
      <c r="AJ12" s="104">
        <f t="shared" si="24"/>
        <v>0</v>
      </c>
      <c r="AK12" s="75">
        <v>0</v>
      </c>
      <c r="AL12" s="75">
        <f t="shared" si="25"/>
        <v>0</v>
      </c>
      <c r="AM12" s="104">
        <f t="shared" si="26"/>
        <v>0</v>
      </c>
      <c r="AN12" s="75">
        <v>0</v>
      </c>
      <c r="AO12" s="96">
        <v>0</v>
      </c>
      <c r="AP12" s="75">
        <v>58591.013214303988</v>
      </c>
      <c r="AQ12" s="75">
        <f t="shared" si="27"/>
        <v>50977.91258929974</v>
      </c>
      <c r="AR12" s="104">
        <f t="shared" si="28"/>
        <v>1629.3433939263734</v>
      </c>
      <c r="AS12" s="75">
        <v>150.719642857</v>
      </c>
      <c r="AT12" s="75">
        <f t="shared" si="29"/>
        <v>37.679910714249999</v>
      </c>
      <c r="AU12" s="104">
        <f t="shared" si="30"/>
        <v>237.77322961234515</v>
      </c>
      <c r="AV12" s="75">
        <v>1731.754084662173</v>
      </c>
      <c r="AW12" s="96">
        <v>951.09291844938059</v>
      </c>
      <c r="AX12" s="75">
        <v>703092.15857164783</v>
      </c>
      <c r="AY12" s="75">
        <f t="shared" si="31"/>
        <v>611734.95107159694</v>
      </c>
      <c r="AZ12" s="104">
        <f t="shared" si="32"/>
        <v>1629.3433939263737</v>
      </c>
      <c r="BA12" s="75">
        <v>1808.635714284</v>
      </c>
      <c r="BB12" s="75">
        <f t="shared" si="33"/>
        <v>452.15892857099999</v>
      </c>
      <c r="BC12" s="104">
        <f t="shared" si="34"/>
        <v>237.77322961234515</v>
      </c>
      <c r="BD12" s="75">
        <v>1731.7540846621737</v>
      </c>
      <c r="BE12" s="96">
        <v>951.09291844938059</v>
      </c>
    </row>
    <row r="13" spans="1:57" x14ac:dyDescent="0.25">
      <c r="A13" s="85">
        <f t="shared" si="6"/>
        <v>45198</v>
      </c>
      <c r="B13" s="75">
        <v>829174.2128570003</v>
      </c>
      <c r="C13" s="75">
        <f t="shared" si="7"/>
        <v>864288.66651791707</v>
      </c>
      <c r="D13" s="104">
        <f t="shared" si="8"/>
        <v>1535.0612980246128</v>
      </c>
      <c r="E13" s="75">
        <v>89967.893214137992</v>
      </c>
      <c r="F13" s="75">
        <f t="shared" si="9"/>
        <v>48495.557678530495</v>
      </c>
      <c r="G13" s="104">
        <f t="shared" si="10"/>
        <v>1222.517664387972</v>
      </c>
      <c r="H13" s="75">
        <v>1532.3290171302408</v>
      </c>
      <c r="I13" s="96">
        <v>1231.1466728204548</v>
      </c>
      <c r="J13" s="75">
        <f t="shared" si="0"/>
        <v>263365.25642862503</v>
      </c>
      <c r="K13" s="75">
        <f t="shared" si="11"/>
        <v>287879.67205349851</v>
      </c>
      <c r="L13" s="104">
        <f t="shared" si="12"/>
        <v>1535.0612980246128</v>
      </c>
      <c r="M13" s="75">
        <f t="shared" si="1"/>
        <v>43848.483928529</v>
      </c>
      <c r="N13" s="75">
        <f t="shared" si="13"/>
        <v>36551.226339271496</v>
      </c>
      <c r="O13" s="104">
        <f t="shared" si="14"/>
        <v>1222.517664387972</v>
      </c>
      <c r="P13" s="75">
        <f t="shared" si="2"/>
        <v>1532.3290171302408</v>
      </c>
      <c r="Q13" s="96">
        <f t="shared" si="3"/>
        <v>1231.1466728204548</v>
      </c>
      <c r="R13" s="75">
        <f t="shared" si="4"/>
        <v>211928.07857150002</v>
      </c>
      <c r="S13" s="75">
        <f t="shared" si="15"/>
        <v>235478.85437491501</v>
      </c>
      <c r="T13" s="104">
        <f t="shared" si="16"/>
        <v>1278.7394129139716</v>
      </c>
      <c r="U13" s="75">
        <f t="shared" si="5"/>
        <v>39655.81035711</v>
      </c>
      <c r="V13" s="75">
        <f t="shared" si="17"/>
        <v>35465.378035702495</v>
      </c>
      <c r="W13" s="104">
        <f t="shared" si="18"/>
        <v>1173.8291706844718</v>
      </c>
      <c r="X13" s="75">
        <v>1276.6751721174701</v>
      </c>
      <c r="Y13" s="96">
        <v>1043.5739567660526</v>
      </c>
      <c r="Z13" s="75">
        <v>211928.07857150002</v>
      </c>
      <c r="AA13" s="75">
        <f t="shared" si="19"/>
        <v>235478.85437491501</v>
      </c>
      <c r="AB13" s="104">
        <f t="shared" si="20"/>
        <v>1278.7394129139716</v>
      </c>
      <c r="AC13" s="75">
        <v>39655.81035711</v>
      </c>
      <c r="AD13" s="75">
        <f t="shared" si="21"/>
        <v>35465.378035702495</v>
      </c>
      <c r="AE13" s="104">
        <f t="shared" si="22"/>
        <v>1173.8291706844718</v>
      </c>
      <c r="AF13" s="75">
        <v>1276.6751721174701</v>
      </c>
      <c r="AG13" s="96">
        <v>1043.5739567660526</v>
      </c>
      <c r="AH13" s="75">
        <v>0</v>
      </c>
      <c r="AI13" s="75">
        <f t="shared" si="23"/>
        <v>0</v>
      </c>
      <c r="AJ13" s="104">
        <f t="shared" si="24"/>
        <v>0</v>
      </c>
      <c r="AK13" s="75">
        <v>0</v>
      </c>
      <c r="AL13" s="75">
        <f t="shared" si="25"/>
        <v>0</v>
      </c>
      <c r="AM13" s="104">
        <f t="shared" si="26"/>
        <v>0</v>
      </c>
      <c r="AN13" s="75">
        <v>0</v>
      </c>
      <c r="AO13" s="96">
        <v>0</v>
      </c>
      <c r="AP13" s="75">
        <v>51437.177857125003</v>
      </c>
      <c r="AQ13" s="75">
        <f t="shared" si="27"/>
        <v>52400.817678583502</v>
      </c>
      <c r="AR13" s="104">
        <f t="shared" si="28"/>
        <v>1657.5004056945777</v>
      </c>
      <c r="AS13" s="75">
        <v>4192.6735714189999</v>
      </c>
      <c r="AT13" s="75">
        <f t="shared" si="29"/>
        <v>1085.8483035689999</v>
      </c>
      <c r="AU13" s="104">
        <f t="shared" si="30"/>
        <v>595.30317525667306</v>
      </c>
      <c r="AV13" s="75">
        <v>1643.4750842762573</v>
      </c>
      <c r="AW13" s="96">
        <v>1430.1197825773118</v>
      </c>
      <c r="AX13" s="75">
        <v>617246.13428550016</v>
      </c>
      <c r="AY13" s="75">
        <f t="shared" si="31"/>
        <v>628809.81214300205</v>
      </c>
      <c r="AZ13" s="104">
        <f t="shared" si="32"/>
        <v>1657.5004056945781</v>
      </c>
      <c r="BA13" s="75">
        <v>50312.082857027992</v>
      </c>
      <c r="BB13" s="75">
        <f t="shared" si="33"/>
        <v>13030.179642827998</v>
      </c>
      <c r="BC13" s="104">
        <f t="shared" si="34"/>
        <v>595.30317525667306</v>
      </c>
      <c r="BD13" s="75">
        <v>1643.4750842762587</v>
      </c>
      <c r="BE13" s="96">
        <v>1430.1197825773118</v>
      </c>
    </row>
    <row r="14" spans="1:57" x14ac:dyDescent="0.25">
      <c r="A14" s="85">
        <f t="shared" si="6"/>
        <v>45205</v>
      </c>
      <c r="B14" s="75">
        <v>771051.68035735993</v>
      </c>
      <c r="C14" s="75">
        <f t="shared" si="7"/>
        <v>840032.96642862645</v>
      </c>
      <c r="D14" s="104">
        <f t="shared" si="8"/>
        <v>1537.6065195120077</v>
      </c>
      <c r="E14" s="75">
        <v>82228.649642920005</v>
      </c>
      <c r="F14" s="75">
        <f t="shared" si="9"/>
        <v>62772.638124983001</v>
      </c>
      <c r="G14" s="104">
        <f t="shared" si="10"/>
        <v>1279.5025291524009</v>
      </c>
      <c r="H14" s="75">
        <v>1543.8665745437438</v>
      </c>
      <c r="I14" s="96">
        <v>1323.119923067208</v>
      </c>
      <c r="J14" s="75">
        <f t="shared" si="0"/>
        <v>240741.181428765</v>
      </c>
      <c r="K14" s="75">
        <f t="shared" si="11"/>
        <v>273038.90044644201</v>
      </c>
      <c r="L14" s="104">
        <f t="shared" si="12"/>
        <v>1537.6065195120077</v>
      </c>
      <c r="M14" s="75">
        <f t="shared" si="1"/>
        <v>41287.98535707999</v>
      </c>
      <c r="N14" s="75">
        <f t="shared" si="13"/>
        <v>40593.140714263995</v>
      </c>
      <c r="O14" s="104">
        <f t="shared" si="14"/>
        <v>1279.5025291524009</v>
      </c>
      <c r="P14" s="75">
        <f t="shared" si="2"/>
        <v>1543.8665745437438</v>
      </c>
      <c r="Q14" s="96">
        <f t="shared" si="3"/>
        <v>1323.119923067208</v>
      </c>
      <c r="R14" s="75">
        <f t="shared" si="4"/>
        <v>192531.13607162001</v>
      </c>
      <c r="S14" s="75">
        <f t="shared" si="15"/>
        <v>221493.98535715253</v>
      </c>
      <c r="T14" s="104">
        <f t="shared" si="16"/>
        <v>1288.3972921668792</v>
      </c>
      <c r="U14" s="75">
        <f t="shared" si="5"/>
        <v>37566.10678563999</v>
      </c>
      <c r="V14" s="75">
        <f t="shared" si="17"/>
        <v>38576.822767834994</v>
      </c>
      <c r="W14" s="104">
        <f t="shared" si="18"/>
        <v>1213.8330186396963</v>
      </c>
      <c r="X14" s="75">
        <v>1346.3715809204198</v>
      </c>
      <c r="Y14" s="96">
        <v>1252.2035595213331</v>
      </c>
      <c r="Z14" s="75">
        <v>192531.13607162001</v>
      </c>
      <c r="AA14" s="75">
        <f t="shared" si="19"/>
        <v>221493.98535715253</v>
      </c>
      <c r="AB14" s="104">
        <f t="shared" si="20"/>
        <v>1288.3972921668792</v>
      </c>
      <c r="AC14" s="75">
        <v>37566.10678563999</v>
      </c>
      <c r="AD14" s="75">
        <f t="shared" si="21"/>
        <v>38576.822767834994</v>
      </c>
      <c r="AE14" s="104">
        <f t="shared" si="22"/>
        <v>1213.8330186396963</v>
      </c>
      <c r="AF14" s="75">
        <v>1346.3715809204198</v>
      </c>
      <c r="AG14" s="96">
        <v>1252.2035595213331</v>
      </c>
      <c r="AH14" s="75">
        <v>0</v>
      </c>
      <c r="AI14" s="75">
        <f t="shared" si="23"/>
        <v>0</v>
      </c>
      <c r="AJ14" s="104">
        <f t="shared" si="24"/>
        <v>0</v>
      </c>
      <c r="AK14" s="75">
        <v>0</v>
      </c>
      <c r="AL14" s="75">
        <f t="shared" si="25"/>
        <v>0</v>
      </c>
      <c r="AM14" s="104">
        <f t="shared" si="26"/>
        <v>0</v>
      </c>
      <c r="AN14" s="75">
        <v>0</v>
      </c>
      <c r="AO14" s="96">
        <v>0</v>
      </c>
      <c r="AP14" s="75">
        <v>48210.045357145005</v>
      </c>
      <c r="AQ14" s="75">
        <f t="shared" si="27"/>
        <v>51544.915089289498</v>
      </c>
      <c r="AR14" s="104">
        <f t="shared" si="28"/>
        <v>1651.4348961832939</v>
      </c>
      <c r="AS14" s="75">
        <v>3721.8785714399992</v>
      </c>
      <c r="AT14" s="75">
        <f t="shared" si="29"/>
        <v>2016.3179464289997</v>
      </c>
      <c r="AU14" s="104">
        <f t="shared" si="30"/>
        <v>941.74456825312734</v>
      </c>
      <c r="AV14" s="75">
        <v>1621.3246901068956</v>
      </c>
      <c r="AW14" s="96">
        <v>1385.7655719858171</v>
      </c>
      <c r="AX14" s="75">
        <v>578520.54428574</v>
      </c>
      <c r="AY14" s="75">
        <f t="shared" si="31"/>
        <v>618538.98107147403</v>
      </c>
      <c r="AZ14" s="104">
        <f t="shared" si="32"/>
        <v>1651.4348961832943</v>
      </c>
      <c r="BA14" s="75">
        <v>44662.542857279994</v>
      </c>
      <c r="BB14" s="75">
        <f t="shared" si="33"/>
        <v>24195.815357147996</v>
      </c>
      <c r="BC14" s="104">
        <f t="shared" si="34"/>
        <v>941.74456825312734</v>
      </c>
      <c r="BD14" s="75">
        <v>1621.3246901068962</v>
      </c>
      <c r="BE14" s="96">
        <v>1385.7655719858171</v>
      </c>
    </row>
    <row r="15" spans="1:57" x14ac:dyDescent="0.25">
      <c r="A15" s="85">
        <f t="shared" si="6"/>
        <v>45212</v>
      </c>
      <c r="B15" s="75">
        <v>1033669.2746433163</v>
      </c>
      <c r="C15" s="75">
        <f t="shared" si="7"/>
        <v>894401.13455372606</v>
      </c>
      <c r="D15" s="104">
        <f t="shared" si="8"/>
        <v>1545.7075215548889</v>
      </c>
      <c r="E15" s="75">
        <v>57374.683214202014</v>
      </c>
      <c r="F15" s="75">
        <f t="shared" si="9"/>
        <v>67415.491964243498</v>
      </c>
      <c r="G15" s="104">
        <f t="shared" si="10"/>
        <v>1179.8902607065411</v>
      </c>
      <c r="H15" s="75">
        <v>1505.7630032337365</v>
      </c>
      <c r="I15" s="96">
        <v>1157.9340533608233</v>
      </c>
      <c r="J15" s="75">
        <f t="shared" si="0"/>
        <v>328068.90428526804</v>
      </c>
      <c r="K15" s="75">
        <f t="shared" si="11"/>
        <v>282845.8917856355</v>
      </c>
      <c r="L15" s="104">
        <f t="shared" si="12"/>
        <v>1545.7075215548889</v>
      </c>
      <c r="M15" s="75">
        <f t="shared" si="1"/>
        <v>35188.315714246004</v>
      </c>
      <c r="N15" s="75">
        <f t="shared" si="13"/>
        <v>39689.402678535494</v>
      </c>
      <c r="O15" s="104">
        <f t="shared" si="14"/>
        <v>1179.8902607065411</v>
      </c>
      <c r="P15" s="75">
        <f t="shared" si="2"/>
        <v>1505.7630032337365</v>
      </c>
      <c r="Q15" s="96">
        <f t="shared" si="3"/>
        <v>1157.9340533608233</v>
      </c>
      <c r="R15" s="75">
        <f t="shared" si="4"/>
        <v>263923.41607090004</v>
      </c>
      <c r="S15" s="75">
        <f t="shared" si="15"/>
        <v>227249.96062490004</v>
      </c>
      <c r="T15" s="104">
        <f t="shared" si="16"/>
        <v>1296.8817906922975</v>
      </c>
      <c r="U15" s="75">
        <f t="shared" si="5"/>
        <v>33171.373214250001</v>
      </c>
      <c r="V15" s="75">
        <f t="shared" si="17"/>
        <v>37168.849107107497</v>
      </c>
      <c r="W15" s="104">
        <f t="shared" si="18"/>
        <v>1132.9426846444853</v>
      </c>
      <c r="X15" s="75">
        <v>1256.7781717661908</v>
      </c>
      <c r="Y15" s="96">
        <v>1228.5693783055556</v>
      </c>
      <c r="Z15" s="75">
        <v>263923.41607090004</v>
      </c>
      <c r="AA15" s="75">
        <f t="shared" si="19"/>
        <v>227249.96062490004</v>
      </c>
      <c r="AB15" s="104">
        <f t="shared" si="20"/>
        <v>1296.8817906922975</v>
      </c>
      <c r="AC15" s="75">
        <v>33171.373214250001</v>
      </c>
      <c r="AD15" s="75">
        <f t="shared" si="21"/>
        <v>37168.849107107497</v>
      </c>
      <c r="AE15" s="104">
        <f t="shared" si="22"/>
        <v>1132.9426846444853</v>
      </c>
      <c r="AF15" s="75">
        <v>1256.7781717661908</v>
      </c>
      <c r="AG15" s="96">
        <v>1228.5693783055556</v>
      </c>
      <c r="AH15" s="75">
        <v>0</v>
      </c>
      <c r="AI15" s="75">
        <f t="shared" si="23"/>
        <v>0</v>
      </c>
      <c r="AJ15" s="104">
        <f t="shared" si="24"/>
        <v>0</v>
      </c>
      <c r="AK15" s="75">
        <v>0</v>
      </c>
      <c r="AL15" s="75">
        <f t="shared" si="25"/>
        <v>0</v>
      </c>
      <c r="AM15" s="104">
        <f t="shared" si="26"/>
        <v>0</v>
      </c>
      <c r="AN15" s="75">
        <v>0</v>
      </c>
      <c r="AO15" s="96">
        <v>0</v>
      </c>
      <c r="AP15" s="75">
        <v>64145.488214368008</v>
      </c>
      <c r="AQ15" s="75">
        <f t="shared" si="27"/>
        <v>55595.931160735505</v>
      </c>
      <c r="AR15" s="104">
        <f t="shared" si="28"/>
        <v>1652.5276175222348</v>
      </c>
      <c r="AS15" s="75">
        <v>2016.9424999960002</v>
      </c>
      <c r="AT15" s="75">
        <f t="shared" si="29"/>
        <v>2520.5535714279995</v>
      </c>
      <c r="AU15" s="104">
        <f t="shared" si="30"/>
        <v>1209.2086824311752</v>
      </c>
      <c r="AV15" s="75">
        <v>1613.5566110436143</v>
      </c>
      <c r="AW15" s="96">
        <v>1069.8564567121916</v>
      </c>
      <c r="AX15" s="75">
        <v>769745.85857241589</v>
      </c>
      <c r="AY15" s="75">
        <f t="shared" si="31"/>
        <v>667151.173928826</v>
      </c>
      <c r="AZ15" s="104">
        <f t="shared" si="32"/>
        <v>1652.5276175222357</v>
      </c>
      <c r="BA15" s="75">
        <v>24203.309999952002</v>
      </c>
      <c r="BB15" s="75">
        <f t="shared" si="33"/>
        <v>30246.642857135997</v>
      </c>
      <c r="BC15" s="104">
        <f t="shared" si="34"/>
        <v>1209.2086824311752</v>
      </c>
      <c r="BD15" s="75">
        <v>1613.5566110436143</v>
      </c>
      <c r="BE15" s="96">
        <v>1069.8564567121914</v>
      </c>
    </row>
    <row r="16" spans="1:57" x14ac:dyDescent="0.25">
      <c r="A16" s="85">
        <f t="shared" si="6"/>
        <v>45219</v>
      </c>
      <c r="B16" s="75">
        <v>1295070.6114270862</v>
      </c>
      <c r="C16" s="75">
        <f t="shared" si="7"/>
        <v>982241.44482119079</v>
      </c>
      <c r="D16" s="104">
        <f t="shared" si="8"/>
        <v>1492.0842492901722</v>
      </c>
      <c r="E16" s="75">
        <v>50660.164999958004</v>
      </c>
      <c r="F16" s="75">
        <f t="shared" si="9"/>
        <v>70057.847767804502</v>
      </c>
      <c r="G16" s="104">
        <f t="shared" si="10"/>
        <v>1232.8105237779673</v>
      </c>
      <c r="H16" s="75">
        <v>1386.3784022529678</v>
      </c>
      <c r="I16" s="96">
        <v>1219.0414458633832</v>
      </c>
      <c r="J16" s="75">
        <f t="shared" si="0"/>
        <v>393507.59821360797</v>
      </c>
      <c r="K16" s="75">
        <f t="shared" si="11"/>
        <v>306420.7350890665</v>
      </c>
      <c r="L16" s="104">
        <f t="shared" si="12"/>
        <v>1492.0842492901722</v>
      </c>
      <c r="M16" s="75">
        <f t="shared" si="1"/>
        <v>20016.058571374</v>
      </c>
      <c r="N16" s="75">
        <f t="shared" si="13"/>
        <v>35085.210892807256</v>
      </c>
      <c r="O16" s="104">
        <f t="shared" si="14"/>
        <v>1232.8105237779673</v>
      </c>
      <c r="P16" s="75">
        <f t="shared" si="2"/>
        <v>1386.3784022529678</v>
      </c>
      <c r="Q16" s="96">
        <f t="shared" si="3"/>
        <v>1219.0414458633832</v>
      </c>
      <c r="R16" s="75">
        <f t="shared" si="4"/>
        <v>311547.32428510999</v>
      </c>
      <c r="S16" s="75">
        <f t="shared" si="15"/>
        <v>244982.48874978253</v>
      </c>
      <c r="T16" s="104">
        <f t="shared" si="16"/>
        <v>1261.6672089960671</v>
      </c>
      <c r="U16" s="75">
        <f t="shared" si="5"/>
        <v>17230.230714229998</v>
      </c>
      <c r="V16" s="75">
        <f t="shared" si="17"/>
        <v>31905.880267807497</v>
      </c>
      <c r="W16" s="104">
        <f t="shared" si="18"/>
        <v>1120.3954835680966</v>
      </c>
      <c r="X16" s="75">
        <v>1166.8439111801872</v>
      </c>
      <c r="Y16" s="96">
        <v>957.2350396794443</v>
      </c>
      <c r="Z16" s="75">
        <v>311547.32428510999</v>
      </c>
      <c r="AA16" s="75">
        <f t="shared" si="19"/>
        <v>244982.48874978253</v>
      </c>
      <c r="AB16" s="104">
        <f t="shared" si="20"/>
        <v>1261.6672089960671</v>
      </c>
      <c r="AC16" s="75">
        <v>17230.230714229998</v>
      </c>
      <c r="AD16" s="75">
        <f t="shared" si="21"/>
        <v>31905.880267807497</v>
      </c>
      <c r="AE16" s="104">
        <f t="shared" si="22"/>
        <v>1120.3954835680966</v>
      </c>
      <c r="AF16" s="75">
        <v>1166.8439111801872</v>
      </c>
      <c r="AG16" s="96">
        <v>957.2350396794443</v>
      </c>
      <c r="AH16" s="75">
        <v>0</v>
      </c>
      <c r="AI16" s="75">
        <f t="shared" si="23"/>
        <v>0</v>
      </c>
      <c r="AJ16" s="104">
        <f t="shared" si="24"/>
        <v>0</v>
      </c>
      <c r="AK16" s="75">
        <v>0</v>
      </c>
      <c r="AL16" s="75">
        <f t="shared" si="25"/>
        <v>0</v>
      </c>
      <c r="AM16" s="104">
        <f t="shared" si="26"/>
        <v>0</v>
      </c>
      <c r="AN16" s="75">
        <v>0</v>
      </c>
      <c r="AO16" s="96">
        <v>0</v>
      </c>
      <c r="AP16" s="75">
        <v>81960.273928497976</v>
      </c>
      <c r="AQ16" s="75">
        <f t="shared" si="27"/>
        <v>61438.246339284</v>
      </c>
      <c r="AR16" s="104">
        <f t="shared" si="28"/>
        <v>1587.7464388116473</v>
      </c>
      <c r="AS16" s="75">
        <v>2785.8278571440005</v>
      </c>
      <c r="AT16" s="75">
        <f t="shared" si="29"/>
        <v>3179.3306249997499</v>
      </c>
      <c r="AU16" s="104">
        <f t="shared" si="30"/>
        <v>1325.4677430612728</v>
      </c>
      <c r="AV16" s="75">
        <v>1472.6293698198228</v>
      </c>
      <c r="AW16" s="96">
        <v>1416.1291609697701</v>
      </c>
      <c r="AX16" s="75">
        <v>983523.28714197583</v>
      </c>
      <c r="AY16" s="75">
        <f t="shared" si="31"/>
        <v>737258.956071408</v>
      </c>
      <c r="AZ16" s="104">
        <f t="shared" si="32"/>
        <v>1587.746438811648</v>
      </c>
      <c r="BA16" s="75">
        <v>33429.934285727999</v>
      </c>
      <c r="BB16" s="75">
        <f t="shared" si="33"/>
        <v>38151.967499997001</v>
      </c>
      <c r="BC16" s="104">
        <f t="shared" si="34"/>
        <v>1325.4677430612724</v>
      </c>
      <c r="BD16" s="75">
        <v>1472.6293698198231</v>
      </c>
      <c r="BE16" s="96">
        <v>1416.1291609697696</v>
      </c>
    </row>
    <row r="17" spans="1:57" x14ac:dyDescent="0.25">
      <c r="A17" s="85">
        <f t="shared" si="6"/>
        <v>45226</v>
      </c>
      <c r="B17" s="75">
        <v>1416672.3478580397</v>
      </c>
      <c r="C17" s="75">
        <f t="shared" si="7"/>
        <v>1129115.9785714506</v>
      </c>
      <c r="D17" s="104">
        <f t="shared" si="8"/>
        <v>1457.8703334836437</v>
      </c>
      <c r="E17" s="75">
        <v>58097.709285720004</v>
      </c>
      <c r="F17" s="75">
        <f t="shared" si="9"/>
        <v>62090.301785700009</v>
      </c>
      <c r="G17" s="104">
        <f t="shared" si="10"/>
        <v>1291.5140589503051</v>
      </c>
      <c r="H17" s="75">
        <v>1395.4733539041258</v>
      </c>
      <c r="I17" s="96">
        <v>1465.9608135098058</v>
      </c>
      <c r="J17" s="75">
        <f t="shared" si="0"/>
        <v>471021.64500035509</v>
      </c>
      <c r="K17" s="75">
        <f t="shared" si="11"/>
        <v>358334.83223199903</v>
      </c>
      <c r="L17" s="104">
        <f t="shared" si="12"/>
        <v>1457.8703334836437</v>
      </c>
      <c r="M17" s="75">
        <f t="shared" si="1"/>
        <v>25186.220000044996</v>
      </c>
      <c r="N17" s="75">
        <f t="shared" si="13"/>
        <v>30419.644910686246</v>
      </c>
      <c r="O17" s="104">
        <f t="shared" si="14"/>
        <v>1291.5140589503051</v>
      </c>
      <c r="P17" s="75">
        <f t="shared" si="2"/>
        <v>1395.4733539041258</v>
      </c>
      <c r="Q17" s="96">
        <f t="shared" si="3"/>
        <v>1465.9608135098058</v>
      </c>
      <c r="R17" s="75">
        <f t="shared" si="4"/>
        <v>385053.39928602014</v>
      </c>
      <c r="S17" s="75">
        <f t="shared" si="15"/>
        <v>288263.81892841257</v>
      </c>
      <c r="T17" s="104">
        <f t="shared" si="16"/>
        <v>1267.7124356339461</v>
      </c>
      <c r="U17" s="75">
        <f t="shared" si="5"/>
        <v>22194.266428619998</v>
      </c>
      <c r="V17" s="75">
        <f t="shared" si="17"/>
        <v>27540.494285684999</v>
      </c>
      <c r="W17" s="104">
        <f t="shared" si="18"/>
        <v>1123.7194518601548</v>
      </c>
      <c r="X17" s="75">
        <v>1300.856078668987</v>
      </c>
      <c r="Y17" s="96">
        <v>1056.8698299342857</v>
      </c>
      <c r="Z17" s="75">
        <v>385053.39928602014</v>
      </c>
      <c r="AA17" s="75">
        <f t="shared" si="19"/>
        <v>288263.81892841257</v>
      </c>
      <c r="AB17" s="104">
        <f t="shared" si="20"/>
        <v>1267.7124356339461</v>
      </c>
      <c r="AC17" s="75">
        <v>22194.266428619998</v>
      </c>
      <c r="AD17" s="75">
        <f t="shared" si="21"/>
        <v>27540.494285684999</v>
      </c>
      <c r="AE17" s="104">
        <f t="shared" si="22"/>
        <v>1123.7194518601548</v>
      </c>
      <c r="AF17" s="75">
        <v>1300.856078668987</v>
      </c>
      <c r="AG17" s="96">
        <v>1056.8698299342857</v>
      </c>
      <c r="AH17" s="75">
        <v>0</v>
      </c>
      <c r="AI17" s="75">
        <f t="shared" si="23"/>
        <v>0</v>
      </c>
      <c r="AJ17" s="104">
        <f t="shared" si="24"/>
        <v>0</v>
      </c>
      <c r="AK17" s="75">
        <v>0</v>
      </c>
      <c r="AL17" s="75">
        <f t="shared" si="25"/>
        <v>0</v>
      </c>
      <c r="AM17" s="104">
        <f t="shared" si="26"/>
        <v>0</v>
      </c>
      <c r="AN17" s="75">
        <v>0</v>
      </c>
      <c r="AO17" s="96">
        <v>0</v>
      </c>
      <c r="AP17" s="75">
        <v>85968.245714334975</v>
      </c>
      <c r="AQ17" s="75">
        <f t="shared" si="27"/>
        <v>70071.013303586486</v>
      </c>
      <c r="AR17" s="104">
        <f t="shared" si="28"/>
        <v>1535.0786916167881</v>
      </c>
      <c r="AS17" s="75">
        <v>2991.9535714249996</v>
      </c>
      <c r="AT17" s="75">
        <f t="shared" si="29"/>
        <v>2879.1506250012499</v>
      </c>
      <c r="AU17" s="104">
        <f t="shared" si="30"/>
        <v>1448.2250813374094</v>
      </c>
      <c r="AV17" s="75">
        <v>1432.8040954968205</v>
      </c>
      <c r="AW17" s="96">
        <v>1921.1491356818592</v>
      </c>
      <c r="AX17" s="75">
        <v>1031618.94857202</v>
      </c>
      <c r="AY17" s="75">
        <f t="shared" si="31"/>
        <v>840852.15964303794</v>
      </c>
      <c r="AZ17" s="104">
        <f t="shared" si="32"/>
        <v>1535.0786916167888</v>
      </c>
      <c r="BA17" s="75">
        <v>35903.442857099995</v>
      </c>
      <c r="BB17" s="75">
        <f t="shared" si="33"/>
        <v>34549.807500014998</v>
      </c>
      <c r="BC17" s="104">
        <f t="shared" si="34"/>
        <v>1448.2250813374094</v>
      </c>
      <c r="BD17" s="75">
        <v>1432.8040954968212</v>
      </c>
      <c r="BE17" s="96">
        <v>1921.149135681859</v>
      </c>
    </row>
    <row r="18" spans="1:57" x14ac:dyDescent="0.25">
      <c r="A18" s="85">
        <f t="shared" si="6"/>
        <v>45233</v>
      </c>
      <c r="B18" s="75">
        <v>1736165.5196417759</v>
      </c>
      <c r="C18" s="75">
        <f t="shared" si="7"/>
        <v>1370394.4383925544</v>
      </c>
      <c r="D18" s="104">
        <f t="shared" si="8"/>
        <v>1401.7983934384224</v>
      </c>
      <c r="E18" s="75">
        <v>45921.141428436</v>
      </c>
      <c r="F18" s="75">
        <f t="shared" si="9"/>
        <v>53013.424732079009</v>
      </c>
      <c r="G18" s="104">
        <f t="shared" si="10"/>
        <v>1269.0087986985084</v>
      </c>
      <c r="H18" s="75">
        <v>1319.5788143628592</v>
      </c>
      <c r="I18" s="96">
        <v>1233.0988820600214</v>
      </c>
      <c r="J18" s="75">
        <f t="shared" si="0"/>
        <v>582882.2346424578</v>
      </c>
      <c r="K18" s="75">
        <f t="shared" si="11"/>
        <v>443870.09553542221</v>
      </c>
      <c r="L18" s="104">
        <f t="shared" si="12"/>
        <v>1401.7983934384224</v>
      </c>
      <c r="M18" s="75">
        <f t="shared" si="1"/>
        <v>17327.435000028003</v>
      </c>
      <c r="N18" s="75">
        <f t="shared" si="13"/>
        <v>24429.507321423247</v>
      </c>
      <c r="O18" s="104">
        <f t="shared" si="14"/>
        <v>1269.0087986985084</v>
      </c>
      <c r="P18" s="75">
        <f t="shared" si="2"/>
        <v>1319.5788143628592</v>
      </c>
      <c r="Q18" s="96">
        <f t="shared" si="3"/>
        <v>1233.0988820600214</v>
      </c>
      <c r="R18" s="75">
        <f t="shared" si="4"/>
        <v>478038.29964251979</v>
      </c>
      <c r="S18" s="75">
        <f t="shared" si="15"/>
        <v>359640.60982113751</v>
      </c>
      <c r="T18" s="104">
        <f t="shared" si="16"/>
        <v>1194.9375865641723</v>
      </c>
      <c r="U18" s="75">
        <f t="shared" si="5"/>
        <v>14728.007142900002</v>
      </c>
      <c r="V18" s="75">
        <f t="shared" si="17"/>
        <v>21830.969375000001</v>
      </c>
      <c r="W18" s="104">
        <f t="shared" si="18"/>
        <v>1073.668689531607</v>
      </c>
      <c r="X18" s="75">
        <v>1055.272184641324</v>
      </c>
      <c r="Y18" s="96">
        <v>1052.000510207143</v>
      </c>
      <c r="Z18" s="75">
        <v>478038.29964251979</v>
      </c>
      <c r="AA18" s="75">
        <f t="shared" si="19"/>
        <v>359640.60982113751</v>
      </c>
      <c r="AB18" s="104">
        <f t="shared" si="20"/>
        <v>1194.9375865641723</v>
      </c>
      <c r="AC18" s="75">
        <v>14728.007142900002</v>
      </c>
      <c r="AD18" s="75">
        <f t="shared" si="21"/>
        <v>21830.969375000001</v>
      </c>
      <c r="AE18" s="104">
        <f t="shared" si="22"/>
        <v>1073.668689531607</v>
      </c>
      <c r="AF18" s="75">
        <v>1055.272184641324</v>
      </c>
      <c r="AG18" s="96">
        <v>1052.000510207143</v>
      </c>
      <c r="AH18" s="75">
        <v>0</v>
      </c>
      <c r="AI18" s="75">
        <f t="shared" si="23"/>
        <v>0</v>
      </c>
      <c r="AJ18" s="104">
        <f t="shared" si="24"/>
        <v>0</v>
      </c>
      <c r="AK18" s="75">
        <v>0</v>
      </c>
      <c r="AL18" s="75">
        <f t="shared" si="25"/>
        <v>0</v>
      </c>
      <c r="AM18" s="104">
        <f t="shared" si="26"/>
        <v>0</v>
      </c>
      <c r="AN18" s="75">
        <v>0</v>
      </c>
      <c r="AO18" s="96">
        <v>0</v>
      </c>
      <c r="AP18" s="75">
        <v>104843.93499993802</v>
      </c>
      <c r="AQ18" s="75">
        <f t="shared" si="27"/>
        <v>84229.485714284747</v>
      </c>
      <c r="AR18" s="104">
        <f t="shared" si="28"/>
        <v>1493.8165912749355</v>
      </c>
      <c r="AS18" s="75">
        <v>2599.4278571279997</v>
      </c>
      <c r="AT18" s="75">
        <f t="shared" si="29"/>
        <v>2598.5379464232501</v>
      </c>
      <c r="AU18" s="104">
        <f t="shared" si="30"/>
        <v>1436.7803769678117</v>
      </c>
      <c r="AV18" s="75">
        <v>1456.2762887394838</v>
      </c>
      <c r="AW18" s="96">
        <v>1339.9867545074255</v>
      </c>
      <c r="AX18" s="75">
        <v>1258127.2199992556</v>
      </c>
      <c r="AY18" s="75">
        <f t="shared" si="31"/>
        <v>1010753.8285714169</v>
      </c>
      <c r="AZ18" s="104">
        <f t="shared" si="32"/>
        <v>1493.8165912749353</v>
      </c>
      <c r="BA18" s="75">
        <v>31193.134285536002</v>
      </c>
      <c r="BB18" s="75">
        <f t="shared" si="33"/>
        <v>31182.455357078998</v>
      </c>
      <c r="BC18" s="104">
        <f t="shared" si="34"/>
        <v>1436.7803769678112</v>
      </c>
      <c r="BD18" s="75">
        <v>1456.2762887394827</v>
      </c>
      <c r="BE18" s="96">
        <v>1339.9867545074253</v>
      </c>
    </row>
    <row r="19" spans="1:57" x14ac:dyDescent="0.25">
      <c r="A19" s="85">
        <f t="shared" si="6"/>
        <v>45240</v>
      </c>
      <c r="B19" s="75">
        <v>1452274.0067867299</v>
      </c>
      <c r="C19" s="75">
        <f t="shared" si="7"/>
        <v>1475045.621428408</v>
      </c>
      <c r="D19" s="104">
        <f t="shared" si="8"/>
        <v>1355.4108989847971</v>
      </c>
      <c r="E19" s="75">
        <v>41187.158571330008</v>
      </c>
      <c r="F19" s="75">
        <f t="shared" si="9"/>
        <v>48966.543571361006</v>
      </c>
      <c r="G19" s="104">
        <f t="shared" si="10"/>
        <v>1231.7928406592316</v>
      </c>
      <c r="H19" s="75">
        <v>1320.213025419235</v>
      </c>
      <c r="I19" s="96">
        <v>1009.0702212037157</v>
      </c>
      <c r="J19" s="75">
        <f t="shared" si="0"/>
        <v>464579.35142893507</v>
      </c>
      <c r="K19" s="75">
        <f t="shared" si="11"/>
        <v>477997.707321339</v>
      </c>
      <c r="L19" s="104">
        <f t="shared" si="12"/>
        <v>1355.4108989847971</v>
      </c>
      <c r="M19" s="75">
        <f t="shared" si="1"/>
        <v>17551.01857144</v>
      </c>
      <c r="N19" s="75">
        <f t="shared" si="13"/>
        <v>20020.183035721748</v>
      </c>
      <c r="O19" s="104">
        <f t="shared" si="14"/>
        <v>1231.7928406592316</v>
      </c>
      <c r="P19" s="75">
        <f t="shared" si="2"/>
        <v>1320.213025419235</v>
      </c>
      <c r="Q19" s="96">
        <f t="shared" si="3"/>
        <v>1009.0702212037157</v>
      </c>
      <c r="R19" s="75">
        <f t="shared" si="4"/>
        <v>374788.92821459007</v>
      </c>
      <c r="S19" s="75">
        <f t="shared" si="15"/>
        <v>387356.98785705998</v>
      </c>
      <c r="T19" s="104">
        <f t="shared" si="16"/>
        <v>1136.0488530331083</v>
      </c>
      <c r="U19" s="75">
        <f t="shared" si="5"/>
        <v>15402.278571450001</v>
      </c>
      <c r="V19" s="75">
        <f t="shared" si="17"/>
        <v>17388.6957143</v>
      </c>
      <c r="W19" s="104">
        <f t="shared" si="18"/>
        <v>969.18790510587621</v>
      </c>
      <c r="X19" s="75">
        <v>1021.2232376419348</v>
      </c>
      <c r="Y19" s="96">
        <v>810.64624060263156</v>
      </c>
      <c r="Z19" s="75">
        <v>374788.92821459007</v>
      </c>
      <c r="AA19" s="75">
        <f t="shared" si="19"/>
        <v>387356.98785705998</v>
      </c>
      <c r="AB19" s="104">
        <f t="shared" si="20"/>
        <v>1136.0488530331083</v>
      </c>
      <c r="AC19" s="75">
        <v>15402.278571450001</v>
      </c>
      <c r="AD19" s="75">
        <f t="shared" si="21"/>
        <v>17388.6957143</v>
      </c>
      <c r="AE19" s="104">
        <f t="shared" si="22"/>
        <v>969.18790510587621</v>
      </c>
      <c r="AF19" s="75">
        <v>1021.2232376419348</v>
      </c>
      <c r="AG19" s="96">
        <v>810.64624060263156</v>
      </c>
      <c r="AH19" s="75">
        <v>0</v>
      </c>
      <c r="AI19" s="75">
        <f t="shared" si="23"/>
        <v>0</v>
      </c>
      <c r="AJ19" s="104">
        <f t="shared" si="24"/>
        <v>0</v>
      </c>
      <c r="AK19" s="75">
        <v>0</v>
      </c>
      <c r="AL19" s="75">
        <f t="shared" si="25"/>
        <v>0</v>
      </c>
      <c r="AM19" s="104">
        <f t="shared" si="26"/>
        <v>0</v>
      </c>
      <c r="AN19" s="75">
        <v>0</v>
      </c>
      <c r="AO19" s="96">
        <v>0</v>
      </c>
      <c r="AP19" s="75">
        <v>89790.423214345021</v>
      </c>
      <c r="AQ19" s="75">
        <f t="shared" si="27"/>
        <v>90640.719464278998</v>
      </c>
      <c r="AR19" s="104">
        <f t="shared" si="28"/>
        <v>1457.4018766857967</v>
      </c>
      <c r="AS19" s="75">
        <v>2148.7399999899999</v>
      </c>
      <c r="AT19" s="75">
        <f t="shared" si="29"/>
        <v>2631.4873214217496</v>
      </c>
      <c r="AU19" s="104">
        <f t="shared" si="30"/>
        <v>1464.0834441143393</v>
      </c>
      <c r="AV19" s="75">
        <v>1467.8977526870597</v>
      </c>
      <c r="AW19" s="96">
        <v>1179.0687252983023</v>
      </c>
      <c r="AX19" s="75">
        <v>1077485.0785721398</v>
      </c>
      <c r="AY19" s="75">
        <f t="shared" si="31"/>
        <v>1087688.6335713479</v>
      </c>
      <c r="AZ19" s="104">
        <f t="shared" si="32"/>
        <v>1457.4018766857967</v>
      </c>
      <c r="BA19" s="75">
        <v>25784.879999880002</v>
      </c>
      <c r="BB19" s="75">
        <f t="shared" si="33"/>
        <v>31577.847857060995</v>
      </c>
      <c r="BC19" s="104">
        <f t="shared" si="34"/>
        <v>1464.0834441143393</v>
      </c>
      <c r="BD19" s="75">
        <v>1467.8977526870594</v>
      </c>
      <c r="BE19" s="96">
        <v>1179.0687252983025</v>
      </c>
    </row>
    <row r="20" spans="1:57" x14ac:dyDescent="0.25">
      <c r="A20" s="85">
        <f t="shared" si="6"/>
        <v>45247</v>
      </c>
      <c r="B20" s="75">
        <v>1376619.8689287119</v>
      </c>
      <c r="C20" s="75">
        <f t="shared" si="7"/>
        <v>1495432.9358038143</v>
      </c>
      <c r="D20" s="104">
        <f t="shared" si="8"/>
        <v>1313.6929857058071</v>
      </c>
      <c r="E20" s="75">
        <v>85251.108214112013</v>
      </c>
      <c r="F20" s="75">
        <f t="shared" si="9"/>
        <v>57614.279374899503</v>
      </c>
      <c r="G20" s="104">
        <f t="shared" si="10"/>
        <v>1177.0958375506211</v>
      </c>
      <c r="H20" s="75">
        <v>1219.5067491370087</v>
      </c>
      <c r="I20" s="96">
        <v>1000.2534334289409</v>
      </c>
      <c r="J20" s="75">
        <f t="shared" si="0"/>
        <v>444687.67071388103</v>
      </c>
      <c r="K20" s="75">
        <f t="shared" si="11"/>
        <v>490792.72544640728</v>
      </c>
      <c r="L20" s="104">
        <f t="shared" si="12"/>
        <v>1313.6929857058071</v>
      </c>
      <c r="M20" s="75">
        <f t="shared" si="1"/>
        <v>50382.015714265995</v>
      </c>
      <c r="N20" s="75">
        <f t="shared" si="13"/>
        <v>27611.672321444748</v>
      </c>
      <c r="O20" s="104">
        <f t="shared" si="14"/>
        <v>1177.0958375506211</v>
      </c>
      <c r="P20" s="75">
        <f t="shared" si="2"/>
        <v>1219.5067491370087</v>
      </c>
      <c r="Q20" s="96">
        <f t="shared" si="3"/>
        <v>1000.2534334289409</v>
      </c>
      <c r="R20" s="75">
        <f t="shared" si="4"/>
        <v>359966.56178526004</v>
      </c>
      <c r="S20" s="75">
        <f t="shared" si="15"/>
        <v>399461.79723209748</v>
      </c>
      <c r="T20" s="104">
        <f t="shared" si="16"/>
        <v>1085.6023268367612</v>
      </c>
      <c r="U20" s="75">
        <f t="shared" si="5"/>
        <v>47212.098214279999</v>
      </c>
      <c r="V20" s="75">
        <f t="shared" si="17"/>
        <v>24884.162589312498</v>
      </c>
      <c r="W20" s="104">
        <f t="shared" si="18"/>
        <v>948.45367395582991</v>
      </c>
      <c r="X20" s="75">
        <v>965.05780639479906</v>
      </c>
      <c r="Y20" s="96">
        <v>874.29811507925922</v>
      </c>
      <c r="Z20" s="75">
        <v>359966.56178526004</v>
      </c>
      <c r="AA20" s="75">
        <f t="shared" si="19"/>
        <v>399461.79723209748</v>
      </c>
      <c r="AB20" s="104">
        <f t="shared" si="20"/>
        <v>1085.6023268367612</v>
      </c>
      <c r="AC20" s="75">
        <v>47212.098214279999</v>
      </c>
      <c r="AD20" s="75">
        <f t="shared" si="21"/>
        <v>24884.162589312498</v>
      </c>
      <c r="AE20" s="104">
        <f t="shared" si="22"/>
        <v>948.45367395582991</v>
      </c>
      <c r="AF20" s="75">
        <v>965.05780639479906</v>
      </c>
      <c r="AG20" s="96">
        <v>874.29811507925922</v>
      </c>
      <c r="AH20" s="75">
        <v>0</v>
      </c>
      <c r="AI20" s="75">
        <f t="shared" si="23"/>
        <v>0</v>
      </c>
      <c r="AJ20" s="104">
        <f t="shared" si="24"/>
        <v>0</v>
      </c>
      <c r="AK20" s="75">
        <v>0</v>
      </c>
      <c r="AL20" s="75">
        <f t="shared" si="25"/>
        <v>0</v>
      </c>
      <c r="AM20" s="104">
        <f t="shared" si="26"/>
        <v>0</v>
      </c>
      <c r="AN20" s="75">
        <v>0</v>
      </c>
      <c r="AO20" s="96">
        <v>0</v>
      </c>
      <c r="AP20" s="75">
        <v>84721.10892862099</v>
      </c>
      <c r="AQ20" s="75">
        <f t="shared" si="27"/>
        <v>91330.928214309752</v>
      </c>
      <c r="AR20" s="104">
        <f t="shared" si="28"/>
        <v>1425.0607473991342</v>
      </c>
      <c r="AS20" s="75">
        <v>3169.9174999859997</v>
      </c>
      <c r="AT20" s="75">
        <f t="shared" si="29"/>
        <v>2727.5097321322496</v>
      </c>
      <c r="AU20" s="104">
        <f t="shared" si="30"/>
        <v>1413.1310401484961</v>
      </c>
      <c r="AV20" s="75">
        <v>1343.2648526731725</v>
      </c>
      <c r="AW20" s="96">
        <v>1212.3195451063973</v>
      </c>
      <c r="AX20" s="75">
        <v>1016653.307143452</v>
      </c>
      <c r="AY20" s="75">
        <f t="shared" si="31"/>
        <v>1095971.1385717168</v>
      </c>
      <c r="AZ20" s="104">
        <f t="shared" si="32"/>
        <v>1425.060747399134</v>
      </c>
      <c r="BA20" s="75">
        <v>38039.009999831993</v>
      </c>
      <c r="BB20" s="75">
        <f t="shared" si="33"/>
        <v>32730.116785587001</v>
      </c>
      <c r="BC20" s="104">
        <f t="shared" si="34"/>
        <v>1413.1310401484961</v>
      </c>
      <c r="BD20" s="75">
        <v>1343.2648526731723</v>
      </c>
      <c r="BE20" s="96">
        <v>1212.3195451063971</v>
      </c>
    </row>
    <row r="21" spans="1:57" x14ac:dyDescent="0.25">
      <c r="A21" s="85">
        <f t="shared" si="6"/>
        <v>45254</v>
      </c>
      <c r="B21" s="75">
        <v>1302707.9167845938</v>
      </c>
      <c r="C21" s="75">
        <f t="shared" si="7"/>
        <v>1466941.8280354529</v>
      </c>
      <c r="D21" s="104">
        <f t="shared" si="8"/>
        <v>1279.1133826251489</v>
      </c>
      <c r="E21" s="75">
        <v>103653.13607145401</v>
      </c>
      <c r="F21" s="75">
        <f t="shared" si="9"/>
        <v>69003.136071333007</v>
      </c>
      <c r="G21" s="104">
        <f t="shared" si="10"/>
        <v>1050.3796690478425</v>
      </c>
      <c r="H21" s="75">
        <v>1257.1549415814932</v>
      </c>
      <c r="I21" s="96">
        <v>959.09613949869174</v>
      </c>
      <c r="J21" s="75">
        <f t="shared" si="0"/>
        <v>495087.87749983207</v>
      </c>
      <c r="K21" s="75">
        <f t="shared" si="11"/>
        <v>496809.28357127652</v>
      </c>
      <c r="L21" s="104">
        <f t="shared" si="12"/>
        <v>1279.1133826251489</v>
      </c>
      <c r="M21" s="75">
        <f t="shared" si="1"/>
        <v>71340.726428622002</v>
      </c>
      <c r="N21" s="75">
        <f t="shared" si="13"/>
        <v>39150.298928589</v>
      </c>
      <c r="O21" s="104">
        <f t="shared" si="14"/>
        <v>1050.3796690478425</v>
      </c>
      <c r="P21" s="75">
        <f t="shared" si="2"/>
        <v>1257.1549415814932</v>
      </c>
      <c r="Q21" s="96">
        <f t="shared" si="3"/>
        <v>959.09613949869174</v>
      </c>
      <c r="R21" s="75">
        <f t="shared" si="4"/>
        <v>421667.87392849004</v>
      </c>
      <c r="S21" s="75">
        <f t="shared" si="15"/>
        <v>408615.41589271498</v>
      </c>
      <c r="T21" s="104">
        <f t="shared" si="16"/>
        <v>1020.036012790506</v>
      </c>
      <c r="U21" s="75">
        <f t="shared" si="5"/>
        <v>68403.23464291</v>
      </c>
      <c r="V21" s="75">
        <f t="shared" si="17"/>
        <v>36436.404642884998</v>
      </c>
      <c r="W21" s="104">
        <f t="shared" si="18"/>
        <v>912.24699861529177</v>
      </c>
      <c r="X21" s="75">
        <v>1038.5908224839657</v>
      </c>
      <c r="Y21" s="96">
        <v>912.04312857213336</v>
      </c>
      <c r="Z21" s="75">
        <v>421667.87392849004</v>
      </c>
      <c r="AA21" s="75">
        <f t="shared" si="19"/>
        <v>408615.41589271498</v>
      </c>
      <c r="AB21" s="104">
        <f t="shared" si="20"/>
        <v>1020.036012790506</v>
      </c>
      <c r="AC21" s="75">
        <v>68403.23464291</v>
      </c>
      <c r="AD21" s="75">
        <f t="shared" si="21"/>
        <v>36436.404642884998</v>
      </c>
      <c r="AE21" s="104">
        <f t="shared" si="22"/>
        <v>912.24699861529177</v>
      </c>
      <c r="AF21" s="75">
        <v>1038.5908224839657</v>
      </c>
      <c r="AG21" s="96">
        <v>912.04312857213336</v>
      </c>
      <c r="AH21" s="75">
        <v>0</v>
      </c>
      <c r="AI21" s="75">
        <f t="shared" si="23"/>
        <v>0</v>
      </c>
      <c r="AJ21" s="104">
        <f t="shared" si="24"/>
        <v>0</v>
      </c>
      <c r="AK21" s="75">
        <v>0</v>
      </c>
      <c r="AL21" s="75">
        <f t="shared" si="25"/>
        <v>0</v>
      </c>
      <c r="AM21" s="104">
        <f t="shared" si="26"/>
        <v>0</v>
      </c>
      <c r="AN21" s="75">
        <v>0</v>
      </c>
      <c r="AO21" s="96">
        <v>0</v>
      </c>
      <c r="AP21" s="75">
        <v>73420.003571342022</v>
      </c>
      <c r="AQ21" s="75">
        <f t="shared" si="27"/>
        <v>88193.867678561524</v>
      </c>
      <c r="AR21" s="104">
        <f t="shared" si="28"/>
        <v>1415.7343768734042</v>
      </c>
      <c r="AS21" s="75">
        <v>2937.4917857119999</v>
      </c>
      <c r="AT21" s="75">
        <f t="shared" si="29"/>
        <v>2713.8942857040001</v>
      </c>
      <c r="AU21" s="104">
        <f t="shared" si="30"/>
        <v>1197.6521289537927</v>
      </c>
      <c r="AV21" s="75">
        <v>1395.4986133939012</v>
      </c>
      <c r="AW21" s="96">
        <v>1059.2334909030465</v>
      </c>
      <c r="AX21" s="75">
        <v>881040.04285610374</v>
      </c>
      <c r="AY21" s="75">
        <f t="shared" si="31"/>
        <v>1058326.4121427378</v>
      </c>
      <c r="AZ21" s="104">
        <f t="shared" si="32"/>
        <v>1415.734376873404</v>
      </c>
      <c r="BA21" s="75">
        <v>35249.901428543999</v>
      </c>
      <c r="BB21" s="75">
        <f t="shared" si="33"/>
        <v>32566.731428448002</v>
      </c>
      <c r="BC21" s="104">
        <f t="shared" si="34"/>
        <v>1197.6521289537927</v>
      </c>
      <c r="BD21" s="75">
        <v>1395.4986133939015</v>
      </c>
      <c r="BE21" s="96">
        <v>1059.2334909030462</v>
      </c>
    </row>
    <row r="22" spans="1:57" x14ac:dyDescent="0.25">
      <c r="A22" s="85">
        <f t="shared" si="6"/>
        <v>45261</v>
      </c>
      <c r="B22" s="75">
        <v>1673605.6042865356</v>
      </c>
      <c r="C22" s="75">
        <f t="shared" si="7"/>
        <v>1451301.8491966429</v>
      </c>
      <c r="D22" s="104">
        <f t="shared" si="8"/>
        <v>1268.4226494615086</v>
      </c>
      <c r="E22" s="75">
        <v>148271.51821476201</v>
      </c>
      <c r="F22" s="75">
        <f t="shared" si="9"/>
        <v>94590.730267914507</v>
      </c>
      <c r="G22" s="104">
        <f t="shared" si="10"/>
        <v>997.55296049468564</v>
      </c>
      <c r="H22" s="75">
        <v>1276.8158817082976</v>
      </c>
      <c r="I22" s="96">
        <v>1021.7920478473944</v>
      </c>
      <c r="J22" s="75">
        <f t="shared" si="0"/>
        <v>605803.11892832292</v>
      </c>
      <c r="K22" s="75">
        <f t="shared" si="11"/>
        <v>502539.5046427428</v>
      </c>
      <c r="L22" s="104">
        <f t="shared" si="12"/>
        <v>1268.4226494615086</v>
      </c>
      <c r="M22" s="75">
        <f t="shared" si="1"/>
        <v>80680.242500150984</v>
      </c>
      <c r="N22" s="75">
        <f t="shared" si="13"/>
        <v>54988.500803619747</v>
      </c>
      <c r="O22" s="104">
        <f t="shared" si="14"/>
        <v>997.55296049468564</v>
      </c>
      <c r="P22" s="75">
        <f t="shared" si="2"/>
        <v>1276.8158817082976</v>
      </c>
      <c r="Q22" s="96">
        <f t="shared" si="3"/>
        <v>1021.7920478473944</v>
      </c>
      <c r="R22" s="75">
        <f t="shared" si="4"/>
        <v>508730.16571393987</v>
      </c>
      <c r="S22" s="75">
        <f t="shared" si="15"/>
        <v>416288.38241056999</v>
      </c>
      <c r="T22" s="104">
        <f t="shared" si="16"/>
        <v>1010.5830494871449</v>
      </c>
      <c r="U22" s="75">
        <f t="shared" si="5"/>
        <v>74535.581071549983</v>
      </c>
      <c r="V22" s="75">
        <f t="shared" si="17"/>
        <v>51388.298125047499</v>
      </c>
      <c r="W22" s="104">
        <f t="shared" si="18"/>
        <v>865.92007185289549</v>
      </c>
      <c r="X22" s="75">
        <v>1017.4603314278797</v>
      </c>
      <c r="Y22" s="96">
        <v>866.69280315755793</v>
      </c>
      <c r="Z22" s="75">
        <v>508730.16571393987</v>
      </c>
      <c r="AA22" s="75">
        <f t="shared" si="19"/>
        <v>416288.38241056999</v>
      </c>
      <c r="AB22" s="104">
        <f t="shared" si="20"/>
        <v>1010.5830494871449</v>
      </c>
      <c r="AC22" s="75">
        <v>74535.581071549983</v>
      </c>
      <c r="AD22" s="75">
        <f t="shared" si="21"/>
        <v>51388.298125047499</v>
      </c>
      <c r="AE22" s="104">
        <f t="shared" si="22"/>
        <v>865.92007185289549</v>
      </c>
      <c r="AF22" s="75">
        <v>1017.4603314278797</v>
      </c>
      <c r="AG22" s="96">
        <v>866.69280315755793</v>
      </c>
      <c r="AH22" s="75">
        <v>0</v>
      </c>
      <c r="AI22" s="75">
        <f t="shared" si="23"/>
        <v>0</v>
      </c>
      <c r="AJ22" s="104">
        <f t="shared" si="24"/>
        <v>0</v>
      </c>
      <c r="AK22" s="75">
        <v>0</v>
      </c>
      <c r="AL22" s="75">
        <f t="shared" si="25"/>
        <v>0</v>
      </c>
      <c r="AM22" s="104">
        <f t="shared" si="26"/>
        <v>0</v>
      </c>
      <c r="AN22" s="75">
        <v>0</v>
      </c>
      <c r="AO22" s="96">
        <v>0</v>
      </c>
      <c r="AP22" s="75">
        <v>97072.953214383</v>
      </c>
      <c r="AQ22" s="75">
        <f t="shared" si="27"/>
        <v>86251.122232172755</v>
      </c>
      <c r="AR22" s="104">
        <f t="shared" si="28"/>
        <v>1410.251304587227</v>
      </c>
      <c r="AS22" s="75">
        <v>6144.661428600999</v>
      </c>
      <c r="AT22" s="75">
        <f t="shared" si="29"/>
        <v>3600.2026785722496</v>
      </c>
      <c r="AU22" s="104">
        <f t="shared" si="30"/>
        <v>1173.2833522660319</v>
      </c>
      <c r="AV22" s="75">
        <v>1434.3439995947749</v>
      </c>
      <c r="AW22" s="96">
        <v>1242.5116477563815</v>
      </c>
      <c r="AX22" s="75">
        <v>1164875.4385725961</v>
      </c>
      <c r="AY22" s="75">
        <f t="shared" si="31"/>
        <v>1035013.4667860728</v>
      </c>
      <c r="AZ22" s="104">
        <f t="shared" si="32"/>
        <v>1410.251304587227</v>
      </c>
      <c r="BA22" s="75">
        <v>73735.937143211995</v>
      </c>
      <c r="BB22" s="75">
        <f t="shared" si="33"/>
        <v>43202.432142866994</v>
      </c>
      <c r="BC22" s="104">
        <f t="shared" si="34"/>
        <v>1173.2833522660319</v>
      </c>
      <c r="BD22" s="75">
        <v>1434.3439995947749</v>
      </c>
      <c r="BE22" s="96">
        <v>1242.5116477563815</v>
      </c>
    </row>
    <row r="23" spans="1:57" x14ac:dyDescent="0.25">
      <c r="A23" s="85">
        <f t="shared" si="6"/>
        <v>45268</v>
      </c>
      <c r="B23" s="75">
        <v>1316487.9835717692</v>
      </c>
      <c r="C23" s="75">
        <f t="shared" si="7"/>
        <v>1417355.3433929025</v>
      </c>
      <c r="D23" s="104">
        <f t="shared" si="8"/>
        <v>1261.7439800511836</v>
      </c>
      <c r="E23" s="75">
        <v>82815.170000045982</v>
      </c>
      <c r="F23" s="75">
        <f t="shared" si="9"/>
        <v>104997.73312509349</v>
      </c>
      <c r="G23" s="104">
        <f t="shared" si="10"/>
        <v>990.63389330316818</v>
      </c>
      <c r="H23" s="75">
        <v>1293.4983477779351</v>
      </c>
      <c r="I23" s="96">
        <v>981.39395243764568</v>
      </c>
      <c r="J23" s="75">
        <f t="shared" si="0"/>
        <v>433310.75535727997</v>
      </c>
      <c r="K23" s="75">
        <f t="shared" si="11"/>
        <v>494722.35562482895</v>
      </c>
      <c r="L23" s="104">
        <f t="shared" si="12"/>
        <v>1261.7439800511836</v>
      </c>
      <c r="M23" s="75">
        <f t="shared" si="1"/>
        <v>48295.083928443004</v>
      </c>
      <c r="N23" s="75">
        <f t="shared" si="13"/>
        <v>62674.517142870493</v>
      </c>
      <c r="O23" s="104">
        <f t="shared" si="14"/>
        <v>990.63389330316818</v>
      </c>
      <c r="P23" s="75">
        <f t="shared" si="2"/>
        <v>1293.4983477779351</v>
      </c>
      <c r="Q23" s="96">
        <f t="shared" si="3"/>
        <v>981.39395243764568</v>
      </c>
      <c r="R23" s="75">
        <f t="shared" si="4"/>
        <v>353021.91642869002</v>
      </c>
      <c r="S23" s="75">
        <f t="shared" si="15"/>
        <v>410846.62946409499</v>
      </c>
      <c r="T23" s="104">
        <f t="shared" si="16"/>
        <v>1014.0909617985747</v>
      </c>
      <c r="U23" s="75">
        <f t="shared" si="5"/>
        <v>45156.894285570001</v>
      </c>
      <c r="V23" s="75">
        <f t="shared" si="17"/>
        <v>58826.952053577494</v>
      </c>
      <c r="W23" s="104">
        <f t="shared" si="18"/>
        <v>861.31506558631668</v>
      </c>
      <c r="X23" s="75">
        <v>1035.254886887654</v>
      </c>
      <c r="Y23" s="96">
        <v>792.22621553631575</v>
      </c>
      <c r="Z23" s="75">
        <v>353021.91642869002</v>
      </c>
      <c r="AA23" s="75">
        <f t="shared" si="19"/>
        <v>410846.62946409499</v>
      </c>
      <c r="AB23" s="104">
        <f t="shared" si="20"/>
        <v>1014.0909617985747</v>
      </c>
      <c r="AC23" s="75">
        <v>45156.894285570001</v>
      </c>
      <c r="AD23" s="75">
        <f t="shared" si="21"/>
        <v>58826.952053577494</v>
      </c>
      <c r="AE23" s="104">
        <f t="shared" si="22"/>
        <v>861.31506558631668</v>
      </c>
      <c r="AF23" s="75">
        <v>1035.254886887654</v>
      </c>
      <c r="AG23" s="96">
        <v>792.22621553631575</v>
      </c>
      <c r="AH23" s="75">
        <v>0</v>
      </c>
      <c r="AI23" s="75">
        <f t="shared" si="23"/>
        <v>0</v>
      </c>
      <c r="AJ23" s="104">
        <f t="shared" si="24"/>
        <v>0</v>
      </c>
      <c r="AK23" s="75">
        <v>0</v>
      </c>
      <c r="AL23" s="75">
        <f t="shared" si="25"/>
        <v>0</v>
      </c>
      <c r="AM23" s="104">
        <f t="shared" si="26"/>
        <v>0</v>
      </c>
      <c r="AN23" s="75">
        <v>0</v>
      </c>
      <c r="AO23" s="96">
        <v>0</v>
      </c>
      <c r="AP23" s="75">
        <v>80288.838928589961</v>
      </c>
      <c r="AQ23" s="75">
        <f t="shared" si="27"/>
        <v>83875.72616073399</v>
      </c>
      <c r="AR23" s="104">
        <f t="shared" si="28"/>
        <v>1398.6919009238479</v>
      </c>
      <c r="AS23" s="75">
        <v>3138.1896428730001</v>
      </c>
      <c r="AT23" s="75">
        <f t="shared" si="29"/>
        <v>3847.5650892929998</v>
      </c>
      <c r="AU23" s="104">
        <f t="shared" si="30"/>
        <v>1220.3546856730818</v>
      </c>
      <c r="AV23" s="75">
        <v>1421.6601380335435</v>
      </c>
      <c r="AW23" s="96">
        <v>1367.3540589265021</v>
      </c>
      <c r="AX23" s="75">
        <v>963466.06714307994</v>
      </c>
      <c r="AY23" s="75">
        <f t="shared" si="31"/>
        <v>1006508.713928808</v>
      </c>
      <c r="AZ23" s="104">
        <f t="shared" si="32"/>
        <v>1398.6919009238482</v>
      </c>
      <c r="BA23" s="75">
        <v>37658.275714475996</v>
      </c>
      <c r="BB23" s="75">
        <f t="shared" si="33"/>
        <v>46170.781071516001</v>
      </c>
      <c r="BC23" s="104">
        <f t="shared" si="34"/>
        <v>1220.3546856730818</v>
      </c>
      <c r="BD23" s="75">
        <v>1421.6601380335442</v>
      </c>
      <c r="BE23" s="96">
        <v>1367.3540589265019</v>
      </c>
    </row>
    <row r="24" spans="1:57" x14ac:dyDescent="0.25">
      <c r="A24" s="85">
        <f t="shared" si="6"/>
        <v>45275</v>
      </c>
      <c r="B24" s="75">
        <v>1308175.2350003242</v>
      </c>
      <c r="C24" s="75">
        <f t="shared" si="7"/>
        <v>1400244.1849108057</v>
      </c>
      <c r="D24" s="104">
        <f t="shared" si="8"/>
        <v>1277.1467298329362</v>
      </c>
      <c r="E24" s="75">
        <v>125215.196785686</v>
      </c>
      <c r="F24" s="75">
        <f t="shared" si="9"/>
        <v>114988.755267987</v>
      </c>
      <c r="G24" s="104">
        <f t="shared" si="10"/>
        <v>1012.5513184801309</v>
      </c>
      <c r="H24" s="75">
        <v>1281.1177482640185</v>
      </c>
      <c r="I24" s="96">
        <v>1087.923134136792</v>
      </c>
      <c r="J24" s="75">
        <f t="shared" si="0"/>
        <v>455715.74642785214</v>
      </c>
      <c r="K24" s="75">
        <f t="shared" si="11"/>
        <v>497479.37455332174</v>
      </c>
      <c r="L24" s="104">
        <f t="shared" si="12"/>
        <v>1277.1467298329362</v>
      </c>
      <c r="M24" s="75">
        <f t="shared" si="1"/>
        <v>73889.852857112986</v>
      </c>
      <c r="N24" s="75">
        <f t="shared" si="13"/>
        <v>68551.476428582246</v>
      </c>
      <c r="O24" s="104">
        <f t="shared" si="14"/>
        <v>1012.5513184801309</v>
      </c>
      <c r="P24" s="75">
        <f t="shared" si="2"/>
        <v>1281.1177482640185</v>
      </c>
      <c r="Q24" s="96">
        <f t="shared" si="3"/>
        <v>1087.923134136792</v>
      </c>
      <c r="R24" s="75">
        <f t="shared" si="4"/>
        <v>378219.42928490014</v>
      </c>
      <c r="S24" s="75">
        <f t="shared" si="15"/>
        <v>415409.84633900505</v>
      </c>
      <c r="T24" s="104">
        <f t="shared" si="16"/>
        <v>1028.380178635618</v>
      </c>
      <c r="U24" s="75">
        <f t="shared" si="5"/>
        <v>69223.912499969985</v>
      </c>
      <c r="V24" s="75">
        <f t="shared" si="17"/>
        <v>64329.905624999999</v>
      </c>
      <c r="W24" s="104">
        <f t="shared" si="18"/>
        <v>879.80873030954967</v>
      </c>
      <c r="X24" s="75">
        <v>1022.2146737429733</v>
      </c>
      <c r="Y24" s="96">
        <v>948.27277397219154</v>
      </c>
      <c r="Z24" s="75">
        <v>378219.42928490014</v>
      </c>
      <c r="AA24" s="75">
        <f t="shared" si="19"/>
        <v>415409.84633900505</v>
      </c>
      <c r="AB24" s="104">
        <f t="shared" si="20"/>
        <v>1028.380178635618</v>
      </c>
      <c r="AC24" s="75">
        <v>69223.912499969985</v>
      </c>
      <c r="AD24" s="75">
        <f t="shared" si="21"/>
        <v>64329.905624999999</v>
      </c>
      <c r="AE24" s="104">
        <f t="shared" si="22"/>
        <v>879.80873030954967</v>
      </c>
      <c r="AF24" s="75">
        <v>1022.2146737429733</v>
      </c>
      <c r="AG24" s="96">
        <v>948.27277397219154</v>
      </c>
      <c r="AH24" s="75">
        <v>0</v>
      </c>
      <c r="AI24" s="75">
        <f t="shared" si="23"/>
        <v>0</v>
      </c>
      <c r="AJ24" s="104">
        <f t="shared" si="24"/>
        <v>0</v>
      </c>
      <c r="AK24" s="75">
        <v>0</v>
      </c>
      <c r="AL24" s="75">
        <f t="shared" si="25"/>
        <v>0</v>
      </c>
      <c r="AM24" s="104">
        <f t="shared" si="26"/>
        <v>0</v>
      </c>
      <c r="AN24" s="75">
        <v>0</v>
      </c>
      <c r="AO24" s="96">
        <v>0</v>
      </c>
      <c r="AP24" s="75">
        <v>77496.317142952015</v>
      </c>
      <c r="AQ24" s="75">
        <f t="shared" si="27"/>
        <v>82069.528214316742</v>
      </c>
      <c r="AR24" s="104">
        <f t="shared" si="28"/>
        <v>1419.38212414854</v>
      </c>
      <c r="AS24" s="75">
        <v>4665.9403571430003</v>
      </c>
      <c r="AT24" s="75">
        <f t="shared" si="29"/>
        <v>4221.5708035822499</v>
      </c>
      <c r="AU24" s="104">
        <f t="shared" si="30"/>
        <v>1248.2310340906163</v>
      </c>
      <c r="AV24" s="75">
        <v>1426.02574557194</v>
      </c>
      <c r="AW24" s="96">
        <v>1323.824938776535</v>
      </c>
      <c r="AX24" s="75">
        <v>929955.80571542413</v>
      </c>
      <c r="AY24" s="75">
        <f t="shared" si="31"/>
        <v>984834.33857180097</v>
      </c>
      <c r="AZ24" s="104">
        <f t="shared" si="32"/>
        <v>1419.3821241485402</v>
      </c>
      <c r="BA24" s="75">
        <v>55991.284285715999</v>
      </c>
      <c r="BB24" s="75">
        <f t="shared" si="33"/>
        <v>50658.849642986999</v>
      </c>
      <c r="BC24" s="104">
        <f t="shared" si="34"/>
        <v>1248.231034090616</v>
      </c>
      <c r="BD24" s="75">
        <v>1426.0257455719402</v>
      </c>
      <c r="BE24" s="96">
        <v>1323.8249387765347</v>
      </c>
    </row>
    <row r="25" spans="1:57" x14ac:dyDescent="0.25">
      <c r="A25" s="85">
        <f t="shared" si="6"/>
        <v>45282</v>
      </c>
      <c r="B25" s="75">
        <v>1310795.9724997673</v>
      </c>
      <c r="C25" s="75">
        <f t="shared" si="7"/>
        <v>1402266.198839599</v>
      </c>
      <c r="D25" s="104">
        <f t="shared" si="8"/>
        <v>1285.6750412730557</v>
      </c>
      <c r="E25" s="75">
        <v>129367.39678546801</v>
      </c>
      <c r="F25" s="75">
        <f t="shared" si="9"/>
        <v>121417.32044649051</v>
      </c>
      <c r="G25" s="104">
        <f t="shared" si="10"/>
        <v>1035.7950995476515</v>
      </c>
      <c r="H25" s="75">
        <v>1291.268187341972</v>
      </c>
      <c r="I25" s="96">
        <v>1052.0712637687741</v>
      </c>
      <c r="J25" s="75">
        <f t="shared" si="0"/>
        <v>438491.75714258908</v>
      </c>
      <c r="K25" s="75">
        <f t="shared" si="11"/>
        <v>483330.34446401102</v>
      </c>
      <c r="L25" s="104">
        <f t="shared" si="12"/>
        <v>1285.6750412730557</v>
      </c>
      <c r="M25" s="75">
        <f t="shared" si="1"/>
        <v>69861.337142724005</v>
      </c>
      <c r="N25" s="75">
        <f t="shared" si="13"/>
        <v>68181.629107107743</v>
      </c>
      <c r="O25" s="104">
        <f t="shared" si="14"/>
        <v>1035.7950995476515</v>
      </c>
      <c r="P25" s="75">
        <f t="shared" si="2"/>
        <v>1291.268187341972</v>
      </c>
      <c r="Q25" s="96">
        <f t="shared" si="3"/>
        <v>1052.0712637687741</v>
      </c>
      <c r="R25" s="75">
        <f t="shared" si="4"/>
        <v>359191.37392830011</v>
      </c>
      <c r="S25" s="75">
        <f t="shared" si="15"/>
        <v>399790.72133895755</v>
      </c>
      <c r="T25" s="104">
        <f t="shared" si="16"/>
        <v>1016.1094523040897</v>
      </c>
      <c r="U25" s="75">
        <f t="shared" si="5"/>
        <v>64451.695357020013</v>
      </c>
      <c r="V25" s="75">
        <f t="shared" si="17"/>
        <v>63342.020803527499</v>
      </c>
      <c r="W25" s="104">
        <f t="shared" si="18"/>
        <v>872.52293226589995</v>
      </c>
      <c r="X25" s="75">
        <v>989.50791715785158</v>
      </c>
      <c r="Y25" s="96">
        <v>882.89993639753447</v>
      </c>
      <c r="Z25" s="75">
        <v>359191.37392830011</v>
      </c>
      <c r="AA25" s="75">
        <f t="shared" si="19"/>
        <v>399790.72133895755</v>
      </c>
      <c r="AB25" s="104">
        <f t="shared" si="20"/>
        <v>1016.1094523040897</v>
      </c>
      <c r="AC25" s="75">
        <v>64451.695357020013</v>
      </c>
      <c r="AD25" s="75">
        <f t="shared" si="21"/>
        <v>63342.020803527499</v>
      </c>
      <c r="AE25" s="104">
        <f t="shared" si="22"/>
        <v>872.52293226589995</v>
      </c>
      <c r="AF25" s="75">
        <v>989.50791715785158</v>
      </c>
      <c r="AG25" s="96">
        <v>882.89993639753447</v>
      </c>
      <c r="AH25" s="75">
        <v>0</v>
      </c>
      <c r="AI25" s="75">
        <f t="shared" si="23"/>
        <v>0</v>
      </c>
      <c r="AJ25" s="104">
        <f t="shared" si="24"/>
        <v>0</v>
      </c>
      <c r="AK25" s="75">
        <v>0</v>
      </c>
      <c r="AL25" s="75">
        <f t="shared" si="25"/>
        <v>0</v>
      </c>
      <c r="AM25" s="104">
        <f t="shared" si="26"/>
        <v>0</v>
      </c>
      <c r="AN25" s="75">
        <v>0</v>
      </c>
      <c r="AO25" s="96">
        <v>0</v>
      </c>
      <c r="AP25" s="75">
        <v>79300.383214288988</v>
      </c>
      <c r="AQ25" s="75">
        <f t="shared" si="27"/>
        <v>83539.623125053491</v>
      </c>
      <c r="AR25" s="104">
        <f t="shared" si="28"/>
        <v>1434.7637491842772</v>
      </c>
      <c r="AS25" s="75">
        <v>5409.6417857039987</v>
      </c>
      <c r="AT25" s="75">
        <f t="shared" si="29"/>
        <v>4839.6083035802494</v>
      </c>
      <c r="AU25" s="104">
        <f t="shared" si="30"/>
        <v>1306.9404544896995</v>
      </c>
      <c r="AV25" s="75">
        <v>1457.025113536851</v>
      </c>
      <c r="AW25" s="96">
        <v>1294.0711724993796</v>
      </c>
      <c r="AX25" s="75">
        <v>951604.5985714678</v>
      </c>
      <c r="AY25" s="75">
        <f t="shared" si="31"/>
        <v>1002475.477500642</v>
      </c>
      <c r="AZ25" s="104">
        <f t="shared" si="32"/>
        <v>1434.7637491842775</v>
      </c>
      <c r="BA25" s="75">
        <v>64915.701428447996</v>
      </c>
      <c r="BB25" s="75">
        <f t="shared" si="33"/>
        <v>58075.299642962993</v>
      </c>
      <c r="BC25" s="104">
        <f t="shared" si="34"/>
        <v>1306.9404544896995</v>
      </c>
      <c r="BD25" s="75">
        <v>1457.0251135368505</v>
      </c>
      <c r="BE25" s="96">
        <v>1294.0711724993796</v>
      </c>
    </row>
    <row r="26" spans="1:57" x14ac:dyDescent="0.25">
      <c r="A26" s="85">
        <f t="shared" si="6"/>
        <v>45289</v>
      </c>
      <c r="B26" s="75">
        <v>1012872.2785715944</v>
      </c>
      <c r="C26" s="75">
        <f t="shared" si="7"/>
        <v>1237082.8674108637</v>
      </c>
      <c r="D26" s="104">
        <f t="shared" si="8"/>
        <v>1285.5106711724929</v>
      </c>
      <c r="E26" s="75">
        <v>86421.648214525994</v>
      </c>
      <c r="F26" s="75">
        <f t="shared" si="9"/>
        <v>105954.85294643149</v>
      </c>
      <c r="G26" s="104">
        <f t="shared" si="10"/>
        <v>1042.9265600106353</v>
      </c>
      <c r="H26" s="75">
        <v>1276.158401306046</v>
      </c>
      <c r="I26" s="96">
        <v>1050.3178896993297</v>
      </c>
      <c r="J26" s="75">
        <f t="shared" si="0"/>
        <v>346510.81749983691</v>
      </c>
      <c r="K26" s="75">
        <f t="shared" si="11"/>
        <v>418507.26910688949</v>
      </c>
      <c r="L26" s="104">
        <f t="shared" si="12"/>
        <v>1285.5106711724929</v>
      </c>
      <c r="M26" s="75">
        <f t="shared" si="1"/>
        <v>47538.467142977999</v>
      </c>
      <c r="N26" s="75">
        <f t="shared" si="13"/>
        <v>59896.185267814493</v>
      </c>
      <c r="O26" s="104">
        <f t="shared" si="14"/>
        <v>1042.9265600106353</v>
      </c>
      <c r="P26" s="75">
        <f t="shared" si="2"/>
        <v>1276.158401306046</v>
      </c>
      <c r="Q26" s="96">
        <f t="shared" si="3"/>
        <v>1050.3178896993297</v>
      </c>
      <c r="R26" s="75">
        <f t="shared" si="4"/>
        <v>285932.50285694993</v>
      </c>
      <c r="S26" s="75">
        <f t="shared" si="15"/>
        <v>344091.30562471005</v>
      </c>
      <c r="T26" s="104">
        <f t="shared" si="16"/>
        <v>1015.2306308451249</v>
      </c>
      <c r="U26" s="75">
        <f t="shared" si="5"/>
        <v>44003.632500109998</v>
      </c>
      <c r="V26" s="75">
        <f t="shared" si="17"/>
        <v>55709.033660667497</v>
      </c>
      <c r="W26" s="104">
        <f t="shared" si="18"/>
        <v>889.91160647709557</v>
      </c>
      <c r="X26" s="75">
        <v>1013.945045592021</v>
      </c>
      <c r="Y26" s="96">
        <v>936.24750000234042</v>
      </c>
      <c r="Z26" s="75">
        <v>285932.50285694993</v>
      </c>
      <c r="AA26" s="75">
        <f t="shared" si="19"/>
        <v>344091.30562471005</v>
      </c>
      <c r="AB26" s="104">
        <f t="shared" si="20"/>
        <v>1015.2306308451249</v>
      </c>
      <c r="AC26" s="75">
        <v>44003.632500109998</v>
      </c>
      <c r="AD26" s="75">
        <f t="shared" si="21"/>
        <v>55709.033660667497</v>
      </c>
      <c r="AE26" s="104">
        <f t="shared" si="22"/>
        <v>889.91160647709557</v>
      </c>
      <c r="AF26" s="75">
        <v>1013.945045592021</v>
      </c>
      <c r="AG26" s="96">
        <v>936.24750000234042</v>
      </c>
      <c r="AH26" s="75">
        <v>0</v>
      </c>
      <c r="AI26" s="75">
        <f t="shared" si="23"/>
        <v>0</v>
      </c>
      <c r="AJ26" s="104">
        <f t="shared" si="24"/>
        <v>0</v>
      </c>
      <c r="AK26" s="75">
        <v>0</v>
      </c>
      <c r="AL26" s="75">
        <f t="shared" si="25"/>
        <v>0</v>
      </c>
      <c r="AM26" s="104">
        <f t="shared" si="26"/>
        <v>0</v>
      </c>
      <c r="AN26" s="75">
        <v>0</v>
      </c>
      <c r="AO26" s="96">
        <v>0</v>
      </c>
      <c r="AP26" s="75">
        <v>60578.314642887002</v>
      </c>
      <c r="AQ26" s="75">
        <f t="shared" si="27"/>
        <v>74415.96348217949</v>
      </c>
      <c r="AR26" s="104">
        <f t="shared" si="28"/>
        <v>1430.8108772972205</v>
      </c>
      <c r="AS26" s="75">
        <v>3534.8346428679997</v>
      </c>
      <c r="AT26" s="75">
        <f t="shared" si="29"/>
        <v>4187.1516071469996</v>
      </c>
      <c r="AU26" s="104">
        <f t="shared" si="30"/>
        <v>1295.7915887363824</v>
      </c>
      <c r="AV26" s="75">
        <v>1418.5325120465473</v>
      </c>
      <c r="AW26" s="96">
        <v>1197.9161847431137</v>
      </c>
      <c r="AX26" s="75">
        <v>726939.775714644</v>
      </c>
      <c r="AY26" s="75">
        <f t="shared" si="31"/>
        <v>892991.56178615405</v>
      </c>
      <c r="AZ26" s="104">
        <f t="shared" si="32"/>
        <v>1430.8108772972207</v>
      </c>
      <c r="BA26" s="75">
        <v>42418.015714416004</v>
      </c>
      <c r="BB26" s="75">
        <f t="shared" si="33"/>
        <v>50245.819285763995</v>
      </c>
      <c r="BC26" s="104">
        <f t="shared" si="34"/>
        <v>1295.7915887363824</v>
      </c>
      <c r="BD26" s="75">
        <v>1418.5325120465475</v>
      </c>
      <c r="BE26" s="96">
        <v>1197.9161847431137</v>
      </c>
    </row>
    <row r="27" spans="1:57" x14ac:dyDescent="0.25">
      <c r="A27" s="85">
        <f t="shared" si="6"/>
        <v>45296</v>
      </c>
      <c r="B27" s="75">
        <v>1098107.708929728</v>
      </c>
      <c r="C27" s="75">
        <f t="shared" si="7"/>
        <v>1182487.7987503535</v>
      </c>
      <c r="D27" s="104">
        <f t="shared" si="8"/>
        <v>1277.4961023627304</v>
      </c>
      <c r="E27" s="75">
        <v>63631.440714246011</v>
      </c>
      <c r="F27" s="75">
        <f t="shared" si="9"/>
        <v>101158.9206249815</v>
      </c>
      <c r="G27" s="104">
        <f t="shared" si="10"/>
        <v>1017.2866313591451</v>
      </c>
      <c r="H27" s="75">
        <v>1261.4400725388857</v>
      </c>
      <c r="I27" s="96">
        <v>878.83423783168496</v>
      </c>
      <c r="J27" s="75">
        <f t="shared" si="0"/>
        <v>360843.28464318399</v>
      </c>
      <c r="K27" s="75">
        <f t="shared" si="11"/>
        <v>400390.4014283655</v>
      </c>
      <c r="L27" s="104">
        <f t="shared" si="12"/>
        <v>1277.4961023627304</v>
      </c>
      <c r="M27" s="75">
        <f t="shared" si="1"/>
        <v>36153.256071402997</v>
      </c>
      <c r="N27" s="75">
        <f t="shared" si="13"/>
        <v>56860.728303554497</v>
      </c>
      <c r="O27" s="104">
        <f t="shared" si="14"/>
        <v>1017.2866313591451</v>
      </c>
      <c r="P27" s="75">
        <f t="shared" si="2"/>
        <v>1261.4400725388857</v>
      </c>
      <c r="Q27" s="96">
        <f t="shared" si="3"/>
        <v>878.83423783168496</v>
      </c>
      <c r="R27" s="75">
        <f t="shared" si="4"/>
        <v>293819.24607167998</v>
      </c>
      <c r="S27" s="75">
        <f t="shared" si="15"/>
        <v>329290.63803545758</v>
      </c>
      <c r="T27" s="104">
        <f t="shared" si="16"/>
        <v>1009.7093626332804</v>
      </c>
      <c r="U27" s="75">
        <f t="shared" si="5"/>
        <v>33655.239285689997</v>
      </c>
      <c r="V27" s="75">
        <f t="shared" si="17"/>
        <v>52833.619910697496</v>
      </c>
      <c r="W27" s="104">
        <f t="shared" si="18"/>
        <v>883.07800307989157</v>
      </c>
      <c r="X27" s="75">
        <v>1013.1698140402758</v>
      </c>
      <c r="Y27" s="96">
        <v>764.89180194749997</v>
      </c>
      <c r="Z27" s="75">
        <v>293819.24607167998</v>
      </c>
      <c r="AA27" s="75">
        <f t="shared" si="19"/>
        <v>329290.63803545758</v>
      </c>
      <c r="AB27" s="104">
        <f t="shared" si="20"/>
        <v>1009.7093626332804</v>
      </c>
      <c r="AC27" s="75">
        <v>33655.239285689997</v>
      </c>
      <c r="AD27" s="75">
        <f t="shared" si="21"/>
        <v>52833.619910697496</v>
      </c>
      <c r="AE27" s="104">
        <f t="shared" si="22"/>
        <v>883.07800307989157</v>
      </c>
      <c r="AF27" s="75">
        <v>1013.1698140402758</v>
      </c>
      <c r="AG27" s="96">
        <v>764.89180194749997</v>
      </c>
      <c r="AH27" s="75">
        <v>0</v>
      </c>
      <c r="AI27" s="75">
        <f t="shared" si="23"/>
        <v>0</v>
      </c>
      <c r="AJ27" s="104">
        <f t="shared" si="24"/>
        <v>0</v>
      </c>
      <c r="AK27" s="75">
        <v>0</v>
      </c>
      <c r="AL27" s="75">
        <f t="shared" si="25"/>
        <v>0</v>
      </c>
      <c r="AM27" s="104">
        <f t="shared" si="26"/>
        <v>0</v>
      </c>
      <c r="AN27" s="75">
        <v>0</v>
      </c>
      <c r="AO27" s="96">
        <v>0</v>
      </c>
      <c r="AP27" s="75">
        <v>67024.038571504003</v>
      </c>
      <c r="AQ27" s="75">
        <f t="shared" si="27"/>
        <v>71099.763392908004</v>
      </c>
      <c r="AR27" s="104">
        <f t="shared" si="28"/>
        <v>1421.2897813334766</v>
      </c>
      <c r="AS27" s="75">
        <v>2498.0167857129995</v>
      </c>
      <c r="AT27" s="75">
        <f t="shared" si="29"/>
        <v>4027.1083928569997</v>
      </c>
      <c r="AU27" s="104">
        <f t="shared" si="30"/>
        <v>1216.6755291011727</v>
      </c>
      <c r="AV27" s="75">
        <v>1383.5757541785679</v>
      </c>
      <c r="AW27" s="96">
        <v>1050.8898203856634</v>
      </c>
      <c r="AX27" s="75">
        <v>804288.46285804815</v>
      </c>
      <c r="AY27" s="75">
        <f t="shared" si="31"/>
        <v>853197.16071489605</v>
      </c>
      <c r="AZ27" s="104">
        <f t="shared" si="32"/>
        <v>1421.2897813334766</v>
      </c>
      <c r="BA27" s="75">
        <v>29976.201428556</v>
      </c>
      <c r="BB27" s="75">
        <f t="shared" si="33"/>
        <v>48325.300714284</v>
      </c>
      <c r="BC27" s="104">
        <f t="shared" si="34"/>
        <v>1216.6755291011727</v>
      </c>
      <c r="BD27" s="75">
        <v>1383.5757541785683</v>
      </c>
      <c r="BE27" s="96">
        <v>1050.8898203856634</v>
      </c>
    </row>
    <row r="28" spans="1:57" x14ac:dyDescent="0.25">
      <c r="A28" s="85">
        <f t="shared" si="6"/>
        <v>45303</v>
      </c>
      <c r="B28" s="75">
        <v>1262294.6592859458</v>
      </c>
      <c r="C28" s="75">
        <f t="shared" si="7"/>
        <v>1171017.6548217589</v>
      </c>
      <c r="D28" s="104">
        <f t="shared" si="8"/>
        <v>1276.1143593929023</v>
      </c>
      <c r="E28" s="75">
        <v>81177.335714204004</v>
      </c>
      <c r="F28" s="75">
        <f t="shared" si="9"/>
        <v>90149.455357111001</v>
      </c>
      <c r="G28" s="104">
        <f t="shared" si="10"/>
        <v>977.42229213771657</v>
      </c>
      <c r="H28" s="75">
        <v>1275.5907763847056</v>
      </c>
      <c r="I28" s="96">
        <v>928.4657772510775</v>
      </c>
      <c r="J28" s="75">
        <f t="shared" si="0"/>
        <v>441696.15607158793</v>
      </c>
      <c r="K28" s="75">
        <f t="shared" si="11"/>
        <v>396885.50383929949</v>
      </c>
      <c r="L28" s="104">
        <f t="shared" si="12"/>
        <v>1276.1143593929023</v>
      </c>
      <c r="M28" s="75">
        <f t="shared" si="1"/>
        <v>58056.577142721995</v>
      </c>
      <c r="N28" s="75">
        <f t="shared" si="13"/>
        <v>52902.409374956747</v>
      </c>
      <c r="O28" s="104">
        <f t="shared" si="14"/>
        <v>977.42229213771657</v>
      </c>
      <c r="P28" s="75">
        <f t="shared" si="2"/>
        <v>1275.5907763847056</v>
      </c>
      <c r="Q28" s="96">
        <f t="shared" si="3"/>
        <v>928.4657772510775</v>
      </c>
      <c r="R28" s="75">
        <f t="shared" si="4"/>
        <v>367096.29214300995</v>
      </c>
      <c r="S28" s="75">
        <f t="shared" si="15"/>
        <v>326509.85374998499</v>
      </c>
      <c r="T28" s="104">
        <f t="shared" si="16"/>
        <v>1005.5915107338452</v>
      </c>
      <c r="U28" s="75">
        <f t="shared" si="5"/>
        <v>55954.689999859998</v>
      </c>
      <c r="V28" s="75">
        <f t="shared" si="17"/>
        <v>49516.31428567</v>
      </c>
      <c r="W28" s="104">
        <f t="shared" si="18"/>
        <v>864.58281739879681</v>
      </c>
      <c r="X28" s="75">
        <v>1005.7432661452327</v>
      </c>
      <c r="Y28" s="96">
        <v>874.29203124781247</v>
      </c>
      <c r="Z28" s="75">
        <v>367096.29214300995</v>
      </c>
      <c r="AA28" s="75">
        <f t="shared" si="19"/>
        <v>326509.85374998499</v>
      </c>
      <c r="AB28" s="104">
        <f t="shared" si="20"/>
        <v>1005.5915107338452</v>
      </c>
      <c r="AC28" s="75">
        <v>55954.689999859998</v>
      </c>
      <c r="AD28" s="75">
        <f t="shared" si="21"/>
        <v>49516.31428567</v>
      </c>
      <c r="AE28" s="104">
        <f t="shared" si="22"/>
        <v>864.58281739879681</v>
      </c>
      <c r="AF28" s="75">
        <v>1005.7432661452327</v>
      </c>
      <c r="AG28" s="96">
        <v>874.29203124781247</v>
      </c>
      <c r="AH28" s="75">
        <v>0</v>
      </c>
      <c r="AI28" s="75">
        <f t="shared" si="23"/>
        <v>0</v>
      </c>
      <c r="AJ28" s="104">
        <f t="shared" si="24"/>
        <v>0</v>
      </c>
      <c r="AK28" s="75">
        <v>0</v>
      </c>
      <c r="AL28" s="75">
        <f t="shared" si="25"/>
        <v>0</v>
      </c>
      <c r="AM28" s="104">
        <f t="shared" si="26"/>
        <v>0</v>
      </c>
      <c r="AN28" s="75">
        <v>0</v>
      </c>
      <c r="AO28" s="96">
        <v>0</v>
      </c>
      <c r="AP28" s="75">
        <v>74599.863928578008</v>
      </c>
      <c r="AQ28" s="75">
        <f t="shared" si="27"/>
        <v>70375.650089314498</v>
      </c>
      <c r="AR28" s="104">
        <f t="shared" si="28"/>
        <v>1422.5342647881616</v>
      </c>
      <c r="AS28" s="75">
        <v>2101.887142862</v>
      </c>
      <c r="AT28" s="75">
        <f t="shared" si="29"/>
        <v>3386.0950892867495</v>
      </c>
      <c r="AU28" s="104">
        <f t="shared" si="30"/>
        <v>1152.8341188604991</v>
      </c>
      <c r="AV28" s="75">
        <v>1431.0036793906802</v>
      </c>
      <c r="AW28" s="96">
        <v>1068.4592978138394</v>
      </c>
      <c r="AX28" s="75">
        <v>895198.36714293633</v>
      </c>
      <c r="AY28" s="75">
        <f t="shared" si="31"/>
        <v>844507.8010717741</v>
      </c>
      <c r="AZ28" s="104">
        <f t="shared" si="32"/>
        <v>1422.5342647881616</v>
      </c>
      <c r="BA28" s="75">
        <v>25222.645714343995</v>
      </c>
      <c r="BB28" s="75">
        <f t="shared" si="33"/>
        <v>40633.141071441001</v>
      </c>
      <c r="BC28" s="104">
        <f t="shared" si="34"/>
        <v>1152.8341188604988</v>
      </c>
      <c r="BD28" s="75">
        <v>1431.0036793906806</v>
      </c>
      <c r="BE28" s="96">
        <v>1068.4592978138392</v>
      </c>
    </row>
    <row r="29" spans="1:57" x14ac:dyDescent="0.25">
      <c r="A29" s="85">
        <f t="shared" si="6"/>
        <v>45310</v>
      </c>
      <c r="B29" s="75">
        <v>1269630.4499993096</v>
      </c>
      <c r="C29" s="75">
        <f t="shared" si="7"/>
        <v>1160726.2741966443</v>
      </c>
      <c r="D29" s="104">
        <f t="shared" si="8"/>
        <v>1271.9062374300304</v>
      </c>
      <c r="E29" s="75">
        <v>66063.556071375991</v>
      </c>
      <c r="F29" s="75">
        <f t="shared" si="9"/>
        <v>74323.495178587997</v>
      </c>
      <c r="G29" s="104">
        <f t="shared" si="10"/>
        <v>927.66308902750984</v>
      </c>
      <c r="H29" s="75">
        <v>1274.4356994904847</v>
      </c>
      <c r="I29" s="96">
        <v>853.03445132794684</v>
      </c>
      <c r="J29" s="75">
        <f t="shared" si="0"/>
        <v>433799.78321412997</v>
      </c>
      <c r="K29" s="75">
        <f t="shared" si="11"/>
        <v>395712.51035718468</v>
      </c>
      <c r="L29" s="104">
        <f t="shared" si="12"/>
        <v>1271.9062374300304</v>
      </c>
      <c r="M29" s="75">
        <f t="shared" si="1"/>
        <v>41609.459999992992</v>
      </c>
      <c r="N29" s="75">
        <f t="shared" si="13"/>
        <v>45839.440089273994</v>
      </c>
      <c r="O29" s="104">
        <f t="shared" si="14"/>
        <v>927.66308902750984</v>
      </c>
      <c r="P29" s="75">
        <f t="shared" si="2"/>
        <v>1274.4356994904847</v>
      </c>
      <c r="Q29" s="96">
        <f t="shared" si="3"/>
        <v>853.03445132794684</v>
      </c>
      <c r="R29" s="75">
        <f t="shared" si="4"/>
        <v>357815.17714274995</v>
      </c>
      <c r="S29" s="75">
        <f t="shared" si="15"/>
        <v>326165.80455359747</v>
      </c>
      <c r="T29" s="104">
        <f t="shared" si="16"/>
        <v>1015.2656644492315</v>
      </c>
      <c r="U29" s="75">
        <f t="shared" si="5"/>
        <v>39386.360357139994</v>
      </c>
      <c r="V29" s="75">
        <f t="shared" si="17"/>
        <v>43249.980535699993</v>
      </c>
      <c r="W29" s="104">
        <f t="shared" si="18"/>
        <v>829.64255196516785</v>
      </c>
      <c r="X29" s="75">
        <v>1028.2045320193963</v>
      </c>
      <c r="Y29" s="96">
        <v>743.13887466301878</v>
      </c>
      <c r="Z29" s="75">
        <v>357815.17714274995</v>
      </c>
      <c r="AA29" s="75">
        <f t="shared" si="19"/>
        <v>326165.80455359747</v>
      </c>
      <c r="AB29" s="104">
        <f t="shared" si="20"/>
        <v>1015.2656644492315</v>
      </c>
      <c r="AC29" s="75">
        <v>39386.360357139994</v>
      </c>
      <c r="AD29" s="75">
        <f t="shared" si="21"/>
        <v>43249.980535699993</v>
      </c>
      <c r="AE29" s="104">
        <f t="shared" si="22"/>
        <v>829.64255196516785</v>
      </c>
      <c r="AF29" s="75">
        <v>1028.2045320193963</v>
      </c>
      <c r="AG29" s="96">
        <v>743.13887466301878</v>
      </c>
      <c r="AH29" s="75">
        <v>0</v>
      </c>
      <c r="AI29" s="75">
        <f t="shared" si="23"/>
        <v>0</v>
      </c>
      <c r="AJ29" s="104">
        <f t="shared" si="24"/>
        <v>0</v>
      </c>
      <c r="AK29" s="75">
        <v>0</v>
      </c>
      <c r="AL29" s="75">
        <f t="shared" si="25"/>
        <v>0</v>
      </c>
      <c r="AM29" s="104">
        <f t="shared" si="26"/>
        <v>0</v>
      </c>
      <c r="AN29" s="75">
        <v>0</v>
      </c>
      <c r="AO29" s="96">
        <v>0</v>
      </c>
      <c r="AP29" s="75">
        <v>75984.606071379996</v>
      </c>
      <c r="AQ29" s="75">
        <f t="shared" si="27"/>
        <v>69546.705803587247</v>
      </c>
      <c r="AR29" s="104">
        <f t="shared" si="28"/>
        <v>1409.4189690697435</v>
      </c>
      <c r="AS29" s="75">
        <v>2223.0996428530002</v>
      </c>
      <c r="AT29" s="75">
        <f t="shared" si="29"/>
        <v>2589.459553574</v>
      </c>
      <c r="AU29" s="104">
        <f t="shared" si="30"/>
        <v>1100.5344822125394</v>
      </c>
      <c r="AV29" s="75">
        <v>1404.5639306631788</v>
      </c>
      <c r="AW29" s="96">
        <v>1084.8726259075411</v>
      </c>
      <c r="AX29" s="75">
        <v>911815.27285655984</v>
      </c>
      <c r="AY29" s="75">
        <f t="shared" si="31"/>
        <v>834560.46964304708</v>
      </c>
      <c r="AZ29" s="104">
        <f t="shared" si="32"/>
        <v>1409.4189690697435</v>
      </c>
      <c r="BA29" s="75">
        <v>26677.195714236001</v>
      </c>
      <c r="BB29" s="75">
        <f t="shared" si="33"/>
        <v>31073.514642888</v>
      </c>
      <c r="BC29" s="104">
        <f t="shared" si="34"/>
        <v>1100.5344822125394</v>
      </c>
      <c r="BD29" s="75">
        <v>1404.5639306631786</v>
      </c>
      <c r="BE29" s="96">
        <v>1084.8726259075409</v>
      </c>
    </row>
    <row r="30" spans="1:57" x14ac:dyDescent="0.25">
      <c r="A30" s="85">
        <f t="shared" si="6"/>
        <v>45317</v>
      </c>
      <c r="B30" s="75">
        <v>1208195.8907147741</v>
      </c>
      <c r="C30" s="75">
        <f t="shared" si="7"/>
        <v>1209557.1772324394</v>
      </c>
      <c r="D30" s="104">
        <f t="shared" si="8"/>
        <v>1260.5180598921045</v>
      </c>
      <c r="E30" s="75">
        <v>101518.89857133001</v>
      </c>
      <c r="F30" s="75">
        <f t="shared" si="9"/>
        <v>78097.807767788996</v>
      </c>
      <c r="G30" s="104">
        <f t="shared" si="10"/>
        <v>918.50004600557054</v>
      </c>
      <c r="H30" s="75">
        <v>1230.6056911543421</v>
      </c>
      <c r="I30" s="96">
        <v>1013.6657176115727</v>
      </c>
      <c r="J30" s="75">
        <f t="shared" si="0"/>
        <v>421284.92035698704</v>
      </c>
      <c r="K30" s="75">
        <f t="shared" si="11"/>
        <v>414406.03607147222</v>
      </c>
      <c r="L30" s="104">
        <f t="shared" si="12"/>
        <v>1260.5180598921045</v>
      </c>
      <c r="M30" s="75">
        <f t="shared" si="1"/>
        <v>51302.672857169993</v>
      </c>
      <c r="N30" s="75">
        <f t="shared" si="13"/>
        <v>46780.491517821996</v>
      </c>
      <c r="O30" s="104">
        <f t="shared" si="14"/>
        <v>918.50004600557054</v>
      </c>
      <c r="P30" s="75">
        <f t="shared" si="2"/>
        <v>1230.6056911543421</v>
      </c>
      <c r="Q30" s="96">
        <f t="shared" si="3"/>
        <v>1013.6657176115727</v>
      </c>
      <c r="R30" s="75">
        <f t="shared" si="4"/>
        <v>561459.11357185012</v>
      </c>
      <c r="S30" s="75">
        <f t="shared" si="15"/>
        <v>395047.45723232249</v>
      </c>
      <c r="T30" s="104">
        <f t="shared" si="16"/>
        <v>1034.3323708045514</v>
      </c>
      <c r="U30" s="75">
        <f t="shared" si="5"/>
        <v>46737.561428609995</v>
      </c>
      <c r="V30" s="75">
        <f t="shared" si="17"/>
        <v>43933.462767824996</v>
      </c>
      <c r="W30" s="104">
        <f t="shared" si="18"/>
        <v>793.62119149259127</v>
      </c>
      <c r="X30" s="75">
        <v>1090.2118710133011</v>
      </c>
      <c r="Y30" s="96">
        <v>792.16205811203383</v>
      </c>
      <c r="Z30" s="75">
        <v>367390.18892841006</v>
      </c>
      <c r="AA30" s="75">
        <f t="shared" si="19"/>
        <v>346530.2260714625</v>
      </c>
      <c r="AB30" s="104">
        <f t="shared" si="20"/>
        <v>1004.1212163285415</v>
      </c>
      <c r="AC30" s="75">
        <v>46737.561428609995</v>
      </c>
      <c r="AD30" s="75">
        <f t="shared" si="21"/>
        <v>43933.462767824996</v>
      </c>
      <c r="AE30" s="104">
        <f t="shared" si="22"/>
        <v>793.62119149259127</v>
      </c>
      <c r="AF30" s="75">
        <v>969.36725310926136</v>
      </c>
      <c r="AG30" s="96">
        <v>792.16205811203383</v>
      </c>
      <c r="AH30" s="75">
        <v>194068.92464344</v>
      </c>
      <c r="AI30" s="75">
        <f t="shared" si="23"/>
        <v>48517.231160859999</v>
      </c>
      <c r="AJ30" s="104">
        <f t="shared" si="24"/>
        <v>356.74434677102943</v>
      </c>
      <c r="AK30" s="75">
        <v>0</v>
      </c>
      <c r="AL30" s="75">
        <f t="shared" si="25"/>
        <v>0</v>
      </c>
      <c r="AM30" s="104">
        <f t="shared" si="26"/>
        <v>0</v>
      </c>
      <c r="AN30" s="75">
        <v>1426.9773870841177</v>
      </c>
      <c r="AO30" s="96">
        <v>0</v>
      </c>
      <c r="AP30" s="75">
        <v>53894.731428576997</v>
      </c>
      <c r="AQ30" s="75">
        <f t="shared" si="27"/>
        <v>67875.810000009747</v>
      </c>
      <c r="AR30" s="104">
        <f t="shared" si="28"/>
        <v>1400.1197294756444</v>
      </c>
      <c r="AS30" s="75">
        <v>4565.1114285599997</v>
      </c>
      <c r="AT30" s="75">
        <f t="shared" si="29"/>
        <v>2847.028749997</v>
      </c>
      <c r="AU30" s="104">
        <f t="shared" si="30"/>
        <v>1132.5694803032907</v>
      </c>
      <c r="AV30" s="75">
        <v>1381.3355536701513</v>
      </c>
      <c r="AW30" s="96">
        <v>1326.0561771061186</v>
      </c>
      <c r="AX30" s="75">
        <v>646736.77714292391</v>
      </c>
      <c r="AY30" s="75">
        <f t="shared" si="31"/>
        <v>814509.72000011697</v>
      </c>
      <c r="AZ30" s="104">
        <f t="shared" si="32"/>
        <v>1400.1197294756448</v>
      </c>
      <c r="BA30" s="75">
        <v>54781.337142719996</v>
      </c>
      <c r="BB30" s="75">
        <f t="shared" si="33"/>
        <v>34164.344999964</v>
      </c>
      <c r="BC30" s="104">
        <f t="shared" si="34"/>
        <v>1132.5694803032904</v>
      </c>
      <c r="BD30" s="75">
        <v>1381.3355536701515</v>
      </c>
      <c r="BE30" s="96">
        <v>1326.0561771061184</v>
      </c>
    </row>
    <row r="31" spans="1:57" x14ac:dyDescent="0.25">
      <c r="A31" s="85">
        <f t="shared" si="6"/>
        <v>45324</v>
      </c>
      <c r="B31" s="75">
        <v>1399245.594283564</v>
      </c>
      <c r="C31" s="75">
        <f t="shared" si="7"/>
        <v>1284841.6485708985</v>
      </c>
      <c r="D31" s="104">
        <f t="shared" si="8"/>
        <v>1254.6553074321414</v>
      </c>
      <c r="E31" s="75">
        <v>105118.97750030202</v>
      </c>
      <c r="F31" s="75">
        <f t="shared" si="9"/>
        <v>88469.691964302998</v>
      </c>
      <c r="G31" s="104">
        <f t="shared" si="10"/>
        <v>955.4665977475878</v>
      </c>
      <c r="H31" s="75">
        <v>1237.9890626990334</v>
      </c>
      <c r="I31" s="96">
        <v>1026.7004447997542</v>
      </c>
      <c r="J31" s="75">
        <f t="shared" si="0"/>
        <v>483639.59142775193</v>
      </c>
      <c r="K31" s="75">
        <f t="shared" si="11"/>
        <v>445105.11276761419</v>
      </c>
      <c r="L31" s="104">
        <f t="shared" si="12"/>
        <v>1254.6553074321414</v>
      </c>
      <c r="M31" s="75">
        <f t="shared" si="1"/>
        <v>53159.035714285994</v>
      </c>
      <c r="N31" s="75">
        <f t="shared" si="13"/>
        <v>51031.936428542744</v>
      </c>
      <c r="O31" s="104">
        <f t="shared" si="14"/>
        <v>955.4665977475878</v>
      </c>
      <c r="P31" s="75">
        <f t="shared" si="2"/>
        <v>1237.9890626990334</v>
      </c>
      <c r="Q31" s="96">
        <f t="shared" si="3"/>
        <v>1026.7004447997542</v>
      </c>
      <c r="R31" s="75">
        <f t="shared" si="4"/>
        <v>1064207.0171409398</v>
      </c>
      <c r="S31" s="75">
        <f t="shared" si="15"/>
        <v>587644.39999963739</v>
      </c>
      <c r="T31" s="104">
        <f t="shared" si="16"/>
        <v>1092.5759293380834</v>
      </c>
      <c r="U31" s="75">
        <f t="shared" si="5"/>
        <v>48435.404642829992</v>
      </c>
      <c r="V31" s="75">
        <f t="shared" si="17"/>
        <v>47628.504107109999</v>
      </c>
      <c r="W31" s="104">
        <f t="shared" si="18"/>
        <v>814.83422628128642</v>
      </c>
      <c r="X31" s="75">
        <v>1246.1440481744025</v>
      </c>
      <c r="Y31" s="96">
        <v>849.74394110228059</v>
      </c>
      <c r="Z31" s="75">
        <v>455719.70999919996</v>
      </c>
      <c r="AA31" s="75">
        <f t="shared" si="19"/>
        <v>387005.34205334249</v>
      </c>
      <c r="AB31" s="104">
        <f t="shared" si="20"/>
        <v>1009.1732696207401</v>
      </c>
      <c r="AC31" s="75">
        <v>48435.404642829992</v>
      </c>
      <c r="AD31" s="75">
        <f t="shared" si="21"/>
        <v>47628.504107109999</v>
      </c>
      <c r="AE31" s="104">
        <f t="shared" si="22"/>
        <v>814.83422628128642</v>
      </c>
      <c r="AF31" s="75">
        <v>1033.3780272090703</v>
      </c>
      <c r="AG31" s="96">
        <v>849.74394110228059</v>
      </c>
      <c r="AH31" s="75">
        <v>608487.30714173988</v>
      </c>
      <c r="AI31" s="75">
        <f t="shared" si="23"/>
        <v>200639.05794629495</v>
      </c>
      <c r="AJ31" s="104">
        <f t="shared" si="24"/>
        <v>725.07806780113833</v>
      </c>
      <c r="AK31" s="75">
        <v>0</v>
      </c>
      <c r="AL31" s="75">
        <f t="shared" si="25"/>
        <v>0</v>
      </c>
      <c r="AM31" s="104">
        <f t="shared" si="26"/>
        <v>0</v>
      </c>
      <c r="AN31" s="75">
        <v>1473.3348841204356</v>
      </c>
      <c r="AO31" s="96">
        <v>0</v>
      </c>
      <c r="AP31" s="75">
        <v>27919.881428551995</v>
      </c>
      <c r="AQ31" s="75">
        <f t="shared" si="27"/>
        <v>58099.770714271748</v>
      </c>
      <c r="AR31" s="104">
        <f t="shared" si="28"/>
        <v>1354.8812165295233</v>
      </c>
      <c r="AS31" s="75">
        <v>4723.6310714560004</v>
      </c>
      <c r="AT31" s="75">
        <f t="shared" si="29"/>
        <v>3403.4323214327501</v>
      </c>
      <c r="AU31" s="104">
        <f t="shared" si="30"/>
        <v>1181.0149468273412</v>
      </c>
      <c r="AV31" s="75">
        <v>1202.6217023940828</v>
      </c>
      <c r="AW31" s="96">
        <v>1244.671686481865</v>
      </c>
      <c r="AX31" s="75">
        <v>335038.57714262395</v>
      </c>
      <c r="AY31" s="75">
        <f t="shared" si="31"/>
        <v>697197.24857126107</v>
      </c>
      <c r="AZ31" s="104">
        <f t="shared" si="32"/>
        <v>1354.8812165295235</v>
      </c>
      <c r="BA31" s="75">
        <v>56683.572857471998</v>
      </c>
      <c r="BB31" s="75">
        <f t="shared" si="33"/>
        <v>40841.187857192999</v>
      </c>
      <c r="BC31" s="104">
        <f t="shared" si="34"/>
        <v>1181.0149468273407</v>
      </c>
      <c r="BD31" s="75">
        <v>1202.6217023940831</v>
      </c>
      <c r="BE31" s="96">
        <v>1244.6716864818645</v>
      </c>
    </row>
    <row r="32" spans="1:57" x14ac:dyDescent="0.25">
      <c r="A32" s="85">
        <f t="shared" si="6"/>
        <v>45331</v>
      </c>
      <c r="B32" s="75">
        <v>1025142.8675010221</v>
      </c>
      <c r="C32" s="75">
        <f t="shared" si="7"/>
        <v>1225553.7006246676</v>
      </c>
      <c r="D32" s="104">
        <f t="shared" si="8"/>
        <v>1262.884087683881</v>
      </c>
      <c r="E32" s="75">
        <v>79982.106071319999</v>
      </c>
      <c r="F32" s="75">
        <f t="shared" si="9"/>
        <v>88170.884553582</v>
      </c>
      <c r="G32" s="104">
        <f t="shared" si="10"/>
        <v>949.49077227972396</v>
      </c>
      <c r="H32" s="75">
        <v>1308.5058973916637</v>
      </c>
      <c r="I32" s="96">
        <v>904.5624753796219</v>
      </c>
      <c r="J32" s="75">
        <f t="shared" si="0"/>
        <v>344770.15428593103</v>
      </c>
      <c r="K32" s="75">
        <f t="shared" si="11"/>
        <v>420873.61232119997</v>
      </c>
      <c r="L32" s="104">
        <f t="shared" si="12"/>
        <v>1262.884087683881</v>
      </c>
      <c r="M32" s="75">
        <f t="shared" si="1"/>
        <v>38590.70107132</v>
      </c>
      <c r="N32" s="75">
        <f t="shared" si="13"/>
        <v>46165.467410692247</v>
      </c>
      <c r="O32" s="104">
        <f t="shared" si="14"/>
        <v>949.49077227972396</v>
      </c>
      <c r="P32" s="75">
        <f t="shared" si="2"/>
        <v>1308.5058973916637</v>
      </c>
      <c r="Q32" s="96">
        <f t="shared" si="3"/>
        <v>904.5624753796219</v>
      </c>
      <c r="R32" s="75">
        <f t="shared" si="4"/>
        <v>884071.09035781003</v>
      </c>
      <c r="S32" s="75">
        <f t="shared" si="15"/>
        <v>716888.09955333755</v>
      </c>
      <c r="T32" s="104">
        <f t="shared" si="16"/>
        <v>1173.497665567869</v>
      </c>
      <c r="U32" s="75">
        <f t="shared" si="5"/>
        <v>34827.846071319997</v>
      </c>
      <c r="V32" s="75">
        <f t="shared" si="17"/>
        <v>42346.793124974996</v>
      </c>
      <c r="W32" s="104">
        <f t="shared" si="18"/>
        <v>770.40044882593327</v>
      </c>
      <c r="X32" s="75">
        <v>1329.430211064376</v>
      </c>
      <c r="Y32" s="96">
        <v>696.55692142639998</v>
      </c>
      <c r="Z32" s="75">
        <v>333014.17285733001</v>
      </c>
      <c r="AA32" s="75">
        <f t="shared" si="19"/>
        <v>378484.81223192246</v>
      </c>
      <c r="AB32" s="104">
        <f t="shared" si="20"/>
        <v>1032.5016221086316</v>
      </c>
      <c r="AC32" s="75">
        <v>34827.846071319997</v>
      </c>
      <c r="AD32" s="75">
        <f t="shared" si="21"/>
        <v>42346.793124974996</v>
      </c>
      <c r="AE32" s="104">
        <f t="shared" si="22"/>
        <v>770.40044882593327</v>
      </c>
      <c r="AF32" s="75">
        <v>1099.0566760967988</v>
      </c>
      <c r="AG32" s="96">
        <v>696.55692142639998</v>
      </c>
      <c r="AH32" s="75">
        <v>551056.91750047996</v>
      </c>
      <c r="AI32" s="75">
        <f t="shared" si="23"/>
        <v>338403.28732141491</v>
      </c>
      <c r="AJ32" s="104">
        <f t="shared" si="24"/>
        <v>1105.6422373456687</v>
      </c>
      <c r="AK32" s="75">
        <v>0</v>
      </c>
      <c r="AL32" s="75">
        <f t="shared" si="25"/>
        <v>0</v>
      </c>
      <c r="AM32" s="104">
        <f t="shared" si="26"/>
        <v>0</v>
      </c>
      <c r="AN32" s="75">
        <v>1522.2566781781215</v>
      </c>
      <c r="AO32" s="96">
        <v>0</v>
      </c>
      <c r="AP32" s="75">
        <v>11755.981428601001</v>
      </c>
      <c r="AQ32" s="75">
        <f t="shared" si="27"/>
        <v>42388.800089277494</v>
      </c>
      <c r="AR32" s="104">
        <f t="shared" si="28"/>
        <v>1290.3888302929658</v>
      </c>
      <c r="AS32" s="75">
        <v>3762.855</v>
      </c>
      <c r="AT32" s="75">
        <f t="shared" si="29"/>
        <v>3818.6742857172499</v>
      </c>
      <c r="AU32" s="104">
        <f t="shared" si="30"/>
        <v>1206.6732794163877</v>
      </c>
      <c r="AV32" s="75">
        <v>1173.034134444451</v>
      </c>
      <c r="AW32" s="96">
        <v>1171.0926281700267</v>
      </c>
      <c r="AX32" s="75">
        <v>141071.77714321201</v>
      </c>
      <c r="AY32" s="75">
        <f t="shared" si="31"/>
        <v>508665.60107132996</v>
      </c>
      <c r="AZ32" s="104">
        <f t="shared" si="32"/>
        <v>1290.3888302929658</v>
      </c>
      <c r="BA32" s="75">
        <v>45154.26</v>
      </c>
      <c r="BB32" s="75">
        <f t="shared" si="33"/>
        <v>45824.091428607004</v>
      </c>
      <c r="BC32" s="104">
        <f t="shared" si="34"/>
        <v>1206.6732794163877</v>
      </c>
      <c r="BD32" s="75">
        <v>1173.0341344444503</v>
      </c>
      <c r="BE32" s="96">
        <v>1171.0926281700267</v>
      </c>
    </row>
    <row r="33" spans="1:57" x14ac:dyDescent="0.25">
      <c r="A33" s="85">
        <f t="shared" si="6"/>
        <v>45338</v>
      </c>
      <c r="B33" s="75">
        <v>993881.88214339176</v>
      </c>
      <c r="C33" s="75">
        <f t="shared" si="7"/>
        <v>1156616.5586606879</v>
      </c>
      <c r="D33" s="104">
        <f t="shared" si="8"/>
        <v>1251.3488928285024</v>
      </c>
      <c r="E33" s="75">
        <v>103781.28357149202</v>
      </c>
      <c r="F33" s="75">
        <f t="shared" si="9"/>
        <v>97600.316428611011</v>
      </c>
      <c r="G33" s="104">
        <f t="shared" si="10"/>
        <v>988.75143743838044</v>
      </c>
      <c r="H33" s="75">
        <v>1228.2949200689704</v>
      </c>
      <c r="I33" s="96">
        <v>1010.0771119625726</v>
      </c>
      <c r="J33" s="75">
        <f t="shared" si="0"/>
        <v>342617.36142849602</v>
      </c>
      <c r="K33" s="75">
        <f t="shared" si="11"/>
        <v>398078.00687479146</v>
      </c>
      <c r="L33" s="104">
        <f t="shared" si="12"/>
        <v>1251.3488928285024</v>
      </c>
      <c r="M33" s="75">
        <f t="shared" si="1"/>
        <v>50541.028214400991</v>
      </c>
      <c r="N33" s="75">
        <f t="shared" si="13"/>
        <v>48398.359464294248</v>
      </c>
      <c r="O33" s="104">
        <f t="shared" si="14"/>
        <v>988.75143743838044</v>
      </c>
      <c r="P33" s="75">
        <f t="shared" si="2"/>
        <v>1228.2949200689704</v>
      </c>
      <c r="Q33" s="96">
        <f t="shared" si="3"/>
        <v>1010.0771119625726</v>
      </c>
      <c r="R33" s="75">
        <f t="shared" si="4"/>
        <v>896525.66357184015</v>
      </c>
      <c r="S33" s="75">
        <f t="shared" si="15"/>
        <v>851565.72116060997</v>
      </c>
      <c r="T33" s="104">
        <f t="shared" si="16"/>
        <v>1226.4484909211942</v>
      </c>
      <c r="U33" s="75">
        <f t="shared" si="5"/>
        <v>45701.005000119992</v>
      </c>
      <c r="V33" s="75">
        <f t="shared" si="17"/>
        <v>43925.454285719999</v>
      </c>
      <c r="W33" s="104">
        <f t="shared" si="18"/>
        <v>785.05873454666983</v>
      </c>
      <c r="X33" s="75">
        <v>1240.0078334326972</v>
      </c>
      <c r="Y33" s="96">
        <v>801.77201754596479</v>
      </c>
      <c r="Z33" s="75">
        <v>334504.34321419999</v>
      </c>
      <c r="AA33" s="75">
        <f t="shared" si="19"/>
        <v>372657.10374978499</v>
      </c>
      <c r="AB33" s="104">
        <f t="shared" si="20"/>
        <v>1034.3547795172501</v>
      </c>
      <c r="AC33" s="75">
        <v>45701.005000119992</v>
      </c>
      <c r="AD33" s="75">
        <f t="shared" si="21"/>
        <v>43925.454285719999</v>
      </c>
      <c r="AE33" s="104">
        <f t="shared" si="22"/>
        <v>785.05873454666983</v>
      </c>
      <c r="AF33" s="75">
        <v>1035.61716165387</v>
      </c>
      <c r="AG33" s="96">
        <v>801.77201754596479</v>
      </c>
      <c r="AH33" s="75">
        <v>562021.32035764016</v>
      </c>
      <c r="AI33" s="75">
        <f t="shared" si="23"/>
        <v>478908.61741082498</v>
      </c>
      <c r="AJ33" s="104">
        <f t="shared" si="24"/>
        <v>1456.9055625691938</v>
      </c>
      <c r="AK33" s="75">
        <v>0</v>
      </c>
      <c r="AL33" s="75">
        <f t="shared" si="25"/>
        <v>0</v>
      </c>
      <c r="AM33" s="104">
        <f t="shared" si="26"/>
        <v>0</v>
      </c>
      <c r="AN33" s="75">
        <v>1405.0533008941004</v>
      </c>
      <c r="AO33" s="96">
        <v>0</v>
      </c>
      <c r="AP33" s="75">
        <v>8113.0182142960002</v>
      </c>
      <c r="AQ33" s="75">
        <f t="shared" si="27"/>
        <v>25420.903125006495</v>
      </c>
      <c r="AR33" s="104">
        <f t="shared" si="28"/>
        <v>1215.4164365410345</v>
      </c>
      <c r="AS33" s="75">
        <v>4840.0232142810009</v>
      </c>
      <c r="AT33" s="75">
        <f t="shared" si="29"/>
        <v>4472.9051785742504</v>
      </c>
      <c r="AU33" s="104">
        <f t="shared" si="30"/>
        <v>1251.7852117543569</v>
      </c>
      <c r="AV33" s="75">
        <v>1104.6743556554532</v>
      </c>
      <c r="AW33" s="96">
        <v>1265.3203552594171</v>
      </c>
      <c r="AX33" s="75">
        <v>97356.218571551988</v>
      </c>
      <c r="AY33" s="75">
        <f t="shared" si="31"/>
        <v>305050.83750007796</v>
      </c>
      <c r="AZ33" s="104">
        <f t="shared" si="32"/>
        <v>1215.4164365410343</v>
      </c>
      <c r="BA33" s="75">
        <v>58080.278571372</v>
      </c>
      <c r="BB33" s="75">
        <f t="shared" si="33"/>
        <v>53674.862142891005</v>
      </c>
      <c r="BC33" s="104">
        <f t="shared" si="34"/>
        <v>1251.7852117543566</v>
      </c>
      <c r="BD33" s="75">
        <v>1104.6743556554522</v>
      </c>
      <c r="BE33" s="96">
        <v>1265.3203552594164</v>
      </c>
    </row>
    <row r="34" spans="1:57" x14ac:dyDescent="0.25">
      <c r="A34" s="85">
        <f t="shared" si="6"/>
        <v>45345</v>
      </c>
      <c r="B34" s="75">
        <v>1262394.5049996418</v>
      </c>
      <c r="C34" s="75">
        <f t="shared" si="7"/>
        <v>1170166.212231905</v>
      </c>
      <c r="D34" s="104">
        <f t="shared" si="8"/>
        <v>1271.2676218295228</v>
      </c>
      <c r="E34" s="75">
        <v>80408.747499770019</v>
      </c>
      <c r="F34" s="75">
        <f t="shared" si="9"/>
        <v>92322.778660721015</v>
      </c>
      <c r="G34" s="104">
        <f t="shared" si="10"/>
        <v>959.66651387767888</v>
      </c>
      <c r="H34" s="75">
        <v>1310.2806071584232</v>
      </c>
      <c r="I34" s="96">
        <v>897.32602336876676</v>
      </c>
      <c r="J34" s="75">
        <f t="shared" si="0"/>
        <v>367291.75178533094</v>
      </c>
      <c r="K34" s="75">
        <f t="shared" si="11"/>
        <v>384579.7147318775</v>
      </c>
      <c r="L34" s="104">
        <f t="shared" si="12"/>
        <v>1271.2676218295228</v>
      </c>
      <c r="M34" s="75">
        <f t="shared" si="1"/>
        <v>52147.492499879998</v>
      </c>
      <c r="N34" s="75">
        <f t="shared" si="13"/>
        <v>48609.564374971742</v>
      </c>
      <c r="O34" s="104">
        <f t="shared" si="14"/>
        <v>959.66651387767888</v>
      </c>
      <c r="P34" s="75">
        <f t="shared" si="2"/>
        <v>1310.2806071584232</v>
      </c>
      <c r="Q34" s="96">
        <f t="shared" si="3"/>
        <v>897.32602336876676</v>
      </c>
      <c r="R34" s="75">
        <f t="shared" si="4"/>
        <v>1237381.7478567897</v>
      </c>
      <c r="S34" s="75">
        <f t="shared" si="15"/>
        <v>1020546.379731845</v>
      </c>
      <c r="T34" s="104">
        <f t="shared" si="16"/>
        <v>1281.5919606299426</v>
      </c>
      <c r="U34" s="75">
        <f t="shared" si="5"/>
        <v>49578.287499890001</v>
      </c>
      <c r="V34" s="75">
        <f t="shared" si="17"/>
        <v>44635.635803539997</v>
      </c>
      <c r="W34" s="104">
        <f t="shared" si="18"/>
        <v>777.70394117208446</v>
      </c>
      <c r="X34" s="75">
        <v>1310.7857498482942</v>
      </c>
      <c r="Y34" s="96">
        <v>762.74288461369235</v>
      </c>
      <c r="Z34" s="75">
        <v>365207.35535675992</v>
      </c>
      <c r="AA34" s="75">
        <f t="shared" si="19"/>
        <v>372111.39535687247</v>
      </c>
      <c r="AB34" s="104">
        <f t="shared" si="20"/>
        <v>1056.6559773680217</v>
      </c>
      <c r="AC34" s="75">
        <v>49578.287499890001</v>
      </c>
      <c r="AD34" s="75">
        <f t="shared" si="21"/>
        <v>44635.635803539997</v>
      </c>
      <c r="AE34" s="104">
        <f t="shared" si="22"/>
        <v>777.70394117208446</v>
      </c>
      <c r="AF34" s="75">
        <v>1058.5720445123475</v>
      </c>
      <c r="AG34" s="96">
        <v>762.74288461369235</v>
      </c>
      <c r="AH34" s="75">
        <v>872174.39250002988</v>
      </c>
      <c r="AI34" s="75">
        <f t="shared" si="23"/>
        <v>648434.98437497253</v>
      </c>
      <c r="AJ34" s="104">
        <f t="shared" si="24"/>
        <v>1464.1739004809815</v>
      </c>
      <c r="AK34" s="75">
        <v>0</v>
      </c>
      <c r="AL34" s="75">
        <f t="shared" si="25"/>
        <v>0</v>
      </c>
      <c r="AM34" s="104">
        <f t="shared" si="26"/>
        <v>0</v>
      </c>
      <c r="AN34" s="75">
        <v>1456.0507387312687</v>
      </c>
      <c r="AO34" s="96">
        <v>0</v>
      </c>
      <c r="AP34" s="75">
        <v>2084.3964285709999</v>
      </c>
      <c r="AQ34" s="75">
        <f t="shared" si="27"/>
        <v>12468.319375005</v>
      </c>
      <c r="AR34" s="104">
        <f t="shared" si="28"/>
        <v>1153.8954548423312</v>
      </c>
      <c r="AS34" s="75">
        <v>2569.20499999</v>
      </c>
      <c r="AT34" s="75">
        <f t="shared" si="29"/>
        <v>3973.9285714317502</v>
      </c>
      <c r="AU34" s="104">
        <f t="shared" si="30"/>
        <v>1231.2265347044711</v>
      </c>
      <c r="AV34" s="75">
        <v>1135.2516268753382</v>
      </c>
      <c r="AW34" s="96">
        <v>1243.8214689065753</v>
      </c>
      <c r="AX34" s="75">
        <v>25012.757142852002</v>
      </c>
      <c r="AY34" s="75">
        <f t="shared" si="31"/>
        <v>149619.83250005997</v>
      </c>
      <c r="AZ34" s="104">
        <f t="shared" si="32"/>
        <v>1153.8954548423308</v>
      </c>
      <c r="BA34" s="75">
        <v>30830.45999988</v>
      </c>
      <c r="BB34" s="75">
        <f t="shared" si="33"/>
        <v>47687.142857181003</v>
      </c>
      <c r="BC34" s="104">
        <f t="shared" si="34"/>
        <v>1231.2265347044709</v>
      </c>
      <c r="BD34" s="75">
        <v>1135.2516268753382</v>
      </c>
      <c r="BE34" s="96">
        <v>1243.8214689065753</v>
      </c>
    </row>
    <row r="35" spans="1:57" x14ac:dyDescent="0.25">
      <c r="A35" s="85">
        <f t="shared" si="6"/>
        <v>45352</v>
      </c>
      <c r="B35" s="75">
        <v>1629316.4317851202</v>
      </c>
      <c r="C35" s="75">
        <f t="shared" si="7"/>
        <v>1227683.9216072941</v>
      </c>
      <c r="D35" s="104">
        <f t="shared" si="8"/>
        <v>1281.5043990603169</v>
      </c>
      <c r="E35" s="75">
        <v>56167.109642889998</v>
      </c>
      <c r="F35" s="75">
        <f t="shared" si="9"/>
        <v>80084.811696368008</v>
      </c>
      <c r="G35" s="104">
        <f t="shared" si="10"/>
        <v>881.22272912982135</v>
      </c>
      <c r="H35" s="75">
        <v>1278.9361716222104</v>
      </c>
      <c r="I35" s="96">
        <v>712.92530580832431</v>
      </c>
      <c r="J35" s="75">
        <f t="shared" si="0"/>
        <v>365265.27785729995</v>
      </c>
      <c r="K35" s="75">
        <f t="shared" si="11"/>
        <v>354986.13633926446</v>
      </c>
      <c r="L35" s="104">
        <f t="shared" si="12"/>
        <v>1281.5043990603169</v>
      </c>
      <c r="M35" s="75">
        <f t="shared" si="1"/>
        <v>56167.109642889998</v>
      </c>
      <c r="N35" s="75">
        <f t="shared" si="13"/>
        <v>49361.582857122747</v>
      </c>
      <c r="O35" s="104">
        <f t="shared" si="14"/>
        <v>881.22272912982135</v>
      </c>
      <c r="P35" s="75">
        <f t="shared" si="2"/>
        <v>1278.9361716222104</v>
      </c>
      <c r="Q35" s="96">
        <f t="shared" si="3"/>
        <v>712.92530580832431</v>
      </c>
      <c r="R35" s="75">
        <f t="shared" si="4"/>
        <v>1627927.5003566002</v>
      </c>
      <c r="S35" s="75">
        <f t="shared" si="15"/>
        <v>1161476.5005357601</v>
      </c>
      <c r="T35" s="104">
        <f t="shared" si="16"/>
        <v>1288.7574952497325</v>
      </c>
      <c r="U35" s="75">
        <f t="shared" si="5"/>
        <v>56167.109642889998</v>
      </c>
      <c r="V35" s="75">
        <f t="shared" si="17"/>
        <v>46568.562053554997</v>
      </c>
      <c r="W35" s="104">
        <f t="shared" si="18"/>
        <v>743.01197375376114</v>
      </c>
      <c r="X35" s="75">
        <v>1274.8061866535631</v>
      </c>
      <c r="Y35" s="96">
        <v>710.97607142898732</v>
      </c>
      <c r="Z35" s="75">
        <v>365149.53357158997</v>
      </c>
      <c r="AA35" s="75">
        <f t="shared" si="19"/>
        <v>349468.85124996997</v>
      </c>
      <c r="AB35" s="104">
        <f t="shared" si="20"/>
        <v>1039.1752789902857</v>
      </c>
      <c r="AC35" s="75">
        <v>56167.109642889998</v>
      </c>
      <c r="AD35" s="75">
        <f t="shared" si="21"/>
        <v>46568.562053554997</v>
      </c>
      <c r="AE35" s="104">
        <f t="shared" si="22"/>
        <v>743.01197375376114</v>
      </c>
      <c r="AF35" s="75">
        <v>963.45523369812656</v>
      </c>
      <c r="AG35" s="96">
        <v>710.97607142898732</v>
      </c>
      <c r="AH35" s="75">
        <v>1262777.9667850102</v>
      </c>
      <c r="AI35" s="75">
        <f t="shared" si="23"/>
        <v>812007.64928579004</v>
      </c>
      <c r="AJ35" s="104">
        <f t="shared" si="24"/>
        <v>1447.3930655268778</v>
      </c>
      <c r="AK35" s="75">
        <v>0</v>
      </c>
      <c r="AL35" s="75">
        <f t="shared" si="25"/>
        <v>0</v>
      </c>
      <c r="AM35" s="104">
        <f t="shared" si="26"/>
        <v>0</v>
      </c>
      <c r="AN35" s="75">
        <v>1406.2115443040202</v>
      </c>
      <c r="AO35" s="96">
        <v>0</v>
      </c>
      <c r="AP35" s="75">
        <v>115.74428571</v>
      </c>
      <c r="AQ35" s="75">
        <f t="shared" si="27"/>
        <v>5517.2850892944998</v>
      </c>
      <c r="AR35" s="104">
        <f t="shared" si="28"/>
        <v>1231.4758202460566</v>
      </c>
      <c r="AS35" s="75">
        <v>0</v>
      </c>
      <c r="AT35" s="75">
        <f t="shared" si="29"/>
        <v>2793.0208035677506</v>
      </c>
      <c r="AU35" s="104">
        <f t="shared" si="30"/>
        <v>920.05861308400472</v>
      </c>
      <c r="AV35" s="75">
        <v>1512.943164008984</v>
      </c>
      <c r="AW35" s="96">
        <v>0</v>
      </c>
      <c r="AX35" s="75">
        <v>1388.9314285200001</v>
      </c>
      <c r="AY35" s="75">
        <f t="shared" si="31"/>
        <v>66207.421071534001</v>
      </c>
      <c r="AZ35" s="104">
        <f t="shared" si="32"/>
        <v>1231.4758202460562</v>
      </c>
      <c r="BA35" s="75">
        <v>0</v>
      </c>
      <c r="BB35" s="75">
        <f t="shared" si="33"/>
        <v>33516.249642813003</v>
      </c>
      <c r="BC35" s="104">
        <f t="shared" si="34"/>
        <v>920.05861308400461</v>
      </c>
      <c r="BD35" s="75">
        <v>1512.9431640089845</v>
      </c>
      <c r="BE35" s="96">
        <v>0</v>
      </c>
    </row>
    <row r="36" spans="1:57" x14ac:dyDescent="0.25">
      <c r="A36" s="85">
        <f t="shared" si="6"/>
        <v>45359</v>
      </c>
      <c r="B36" s="75">
        <v>1560230.6199999005</v>
      </c>
      <c r="C36" s="75">
        <f t="shared" si="7"/>
        <v>1361455.8597320137</v>
      </c>
      <c r="D36" s="104">
        <f t="shared" si="8"/>
        <v>1291.2678833286934</v>
      </c>
      <c r="E36" s="75">
        <v>58736.486785740002</v>
      </c>
      <c r="F36" s="75">
        <f t="shared" si="9"/>
        <v>74773.406874973007</v>
      </c>
      <c r="G36" s="104">
        <f t="shared" si="10"/>
        <v>865.43157728065887</v>
      </c>
      <c r="H36" s="75">
        <v>1347.5598344651698</v>
      </c>
      <c r="I36" s="96">
        <v>841.39786798297189</v>
      </c>
      <c r="J36" s="75">
        <f t="shared" si="0"/>
        <v>408603.85785694997</v>
      </c>
      <c r="K36" s="75">
        <f t="shared" si="11"/>
        <v>370944.56223201921</v>
      </c>
      <c r="L36" s="104">
        <f t="shared" si="12"/>
        <v>1291.2678833286934</v>
      </c>
      <c r="M36" s="75">
        <f t="shared" si="1"/>
        <v>58736.486785740002</v>
      </c>
      <c r="N36" s="75">
        <f t="shared" si="13"/>
        <v>54398.029285727745</v>
      </c>
      <c r="O36" s="104">
        <f t="shared" si="14"/>
        <v>865.43157728065887</v>
      </c>
      <c r="P36" s="75">
        <f t="shared" si="2"/>
        <v>1347.5598344651698</v>
      </c>
      <c r="Q36" s="96">
        <f t="shared" si="3"/>
        <v>841.39786798297189</v>
      </c>
      <c r="R36" s="75">
        <f t="shared" si="4"/>
        <v>1560230.6199999005</v>
      </c>
      <c r="S36" s="75">
        <f t="shared" si="15"/>
        <v>1330516.3829462826</v>
      </c>
      <c r="T36" s="104">
        <f t="shared" si="16"/>
        <v>1292.366914921171</v>
      </c>
      <c r="U36" s="75">
        <f t="shared" si="5"/>
        <v>58736.486785740002</v>
      </c>
      <c r="V36" s="75">
        <f t="shared" si="17"/>
        <v>52545.722232159998</v>
      </c>
      <c r="W36" s="104">
        <f t="shared" si="18"/>
        <v>778.64591048908972</v>
      </c>
      <c r="X36" s="75">
        <v>1343.8678897501295</v>
      </c>
      <c r="Y36" s="96">
        <v>839.09266836771428</v>
      </c>
      <c r="Z36" s="75">
        <v>408603.85785694997</v>
      </c>
      <c r="AA36" s="75">
        <f t="shared" si="19"/>
        <v>368366.27249987499</v>
      </c>
      <c r="AB36" s="104">
        <f t="shared" si="20"/>
        <v>1048.9541864681403</v>
      </c>
      <c r="AC36" s="75">
        <v>58736.486785740002</v>
      </c>
      <c r="AD36" s="75">
        <f t="shared" si="21"/>
        <v>52545.722232159998</v>
      </c>
      <c r="AE36" s="104">
        <f t="shared" si="22"/>
        <v>778.64591048908972</v>
      </c>
      <c r="AF36" s="75">
        <v>1138.1723060082172</v>
      </c>
      <c r="AG36" s="96">
        <v>839.09266836771428</v>
      </c>
      <c r="AH36" s="75">
        <v>1151626.7621429504</v>
      </c>
      <c r="AI36" s="75">
        <f t="shared" si="23"/>
        <v>962150.11044640769</v>
      </c>
      <c r="AJ36" s="104">
        <f t="shared" si="24"/>
        <v>1425.8147944059604</v>
      </c>
      <c r="AK36" s="75">
        <v>0</v>
      </c>
      <c r="AL36" s="75">
        <f t="shared" si="25"/>
        <v>0</v>
      </c>
      <c r="AM36" s="104">
        <f t="shared" si="26"/>
        <v>0</v>
      </c>
      <c r="AN36" s="75">
        <v>1435.9435936944519</v>
      </c>
      <c r="AO36" s="96">
        <v>0</v>
      </c>
      <c r="AP36" s="75">
        <v>0</v>
      </c>
      <c r="AQ36" s="75">
        <f t="shared" si="27"/>
        <v>2578.2897321442497</v>
      </c>
      <c r="AR36" s="104">
        <f t="shared" si="28"/>
        <v>938.21728663494378</v>
      </c>
      <c r="AS36" s="75">
        <v>0</v>
      </c>
      <c r="AT36" s="75">
        <f t="shared" si="29"/>
        <v>1852.3070535677502</v>
      </c>
      <c r="AU36" s="104">
        <f t="shared" si="30"/>
        <v>627.28545604149804</v>
      </c>
      <c r="AV36" s="75">
        <v>0</v>
      </c>
      <c r="AW36" s="96">
        <v>0</v>
      </c>
      <c r="AX36" s="75">
        <v>0</v>
      </c>
      <c r="AY36" s="75">
        <f t="shared" si="31"/>
        <v>30939.476785730996</v>
      </c>
      <c r="AZ36" s="104">
        <f t="shared" si="32"/>
        <v>938.21728663494378</v>
      </c>
      <c r="BA36" s="75">
        <v>0</v>
      </c>
      <c r="BB36" s="75">
        <f t="shared" si="33"/>
        <v>22227.684642813001</v>
      </c>
      <c r="BC36" s="104">
        <f t="shared" si="34"/>
        <v>627.28545604149792</v>
      </c>
      <c r="BD36" s="75">
        <v>0</v>
      </c>
      <c r="BE36" s="96">
        <v>0</v>
      </c>
    </row>
    <row r="37" spans="1:57" x14ac:dyDescent="0.25">
      <c r="A37" s="85">
        <f t="shared" si="6"/>
        <v>45366</v>
      </c>
      <c r="B37" s="75">
        <v>1511844.8553573396</v>
      </c>
      <c r="C37" s="75">
        <f t="shared" si="7"/>
        <v>1490946.6030355005</v>
      </c>
      <c r="D37" s="104">
        <f t="shared" si="8"/>
        <v>1310.6365037093819</v>
      </c>
      <c r="E37" s="75">
        <v>66577.578571579987</v>
      </c>
      <c r="F37" s="75">
        <f t="shared" si="9"/>
        <v>65472.480624995005</v>
      </c>
      <c r="G37" s="104">
        <f t="shared" si="10"/>
        <v>816.45036028203447</v>
      </c>
      <c r="H37" s="75">
        <v>1305.7694015917243</v>
      </c>
      <c r="I37" s="96">
        <v>814.15224396807469</v>
      </c>
      <c r="J37" s="75">
        <f t="shared" si="0"/>
        <v>450388.37321433</v>
      </c>
      <c r="K37" s="75">
        <f t="shared" si="11"/>
        <v>397887.31517847773</v>
      </c>
      <c r="L37" s="104">
        <f t="shared" si="12"/>
        <v>1310.6365037093819</v>
      </c>
      <c r="M37" s="75">
        <f t="shared" si="1"/>
        <v>66577.578571579987</v>
      </c>
      <c r="N37" s="75">
        <f t="shared" si="13"/>
        <v>58407.166875022493</v>
      </c>
      <c r="O37" s="104">
        <f t="shared" si="14"/>
        <v>816.45036028203447</v>
      </c>
      <c r="P37" s="75">
        <f t="shared" si="2"/>
        <v>1305.7694015917243</v>
      </c>
      <c r="Q37" s="96">
        <f t="shared" si="3"/>
        <v>814.15224396807469</v>
      </c>
      <c r="R37" s="75">
        <f t="shared" si="4"/>
        <v>1511844.8553573401</v>
      </c>
      <c r="S37" s="75">
        <f t="shared" si="15"/>
        <v>1484346.1808926575</v>
      </c>
      <c r="T37" s="104">
        <f t="shared" si="16"/>
        <v>1307.9129443660415</v>
      </c>
      <c r="U37" s="75">
        <f t="shared" si="5"/>
        <v>66577.578571579987</v>
      </c>
      <c r="V37" s="75">
        <f t="shared" si="17"/>
        <v>57764.865625024991</v>
      </c>
      <c r="W37" s="104">
        <f t="shared" si="18"/>
        <v>781.18332857692769</v>
      </c>
      <c r="X37" s="75">
        <v>1302.1919512121792</v>
      </c>
      <c r="Y37" s="96">
        <v>811.92168989731692</v>
      </c>
      <c r="Z37" s="75">
        <v>450388.37321433</v>
      </c>
      <c r="AA37" s="75">
        <f t="shared" si="19"/>
        <v>397337.27999990748</v>
      </c>
      <c r="AB37" s="104">
        <f t="shared" si="20"/>
        <v>1064.6769528926789</v>
      </c>
      <c r="AC37" s="75">
        <v>66577.578571579987</v>
      </c>
      <c r="AD37" s="75">
        <f t="shared" si="21"/>
        <v>57764.865625024991</v>
      </c>
      <c r="AE37" s="104">
        <f t="shared" si="22"/>
        <v>781.18332857692769</v>
      </c>
      <c r="AF37" s="75">
        <v>1098.5082273520243</v>
      </c>
      <c r="AG37" s="96">
        <v>811.92168989731692</v>
      </c>
      <c r="AH37" s="75">
        <v>1061456.48214301</v>
      </c>
      <c r="AI37" s="75">
        <f t="shared" si="23"/>
        <v>1087008.9008927501</v>
      </c>
      <c r="AJ37" s="104">
        <f t="shared" si="24"/>
        <v>1427.8991663006141</v>
      </c>
      <c r="AK37" s="75">
        <v>0</v>
      </c>
      <c r="AL37" s="75">
        <f t="shared" si="25"/>
        <v>0</v>
      </c>
      <c r="AM37" s="104">
        <f t="shared" si="26"/>
        <v>0</v>
      </c>
      <c r="AN37" s="75">
        <v>1413.3907884727164</v>
      </c>
      <c r="AO37" s="96">
        <v>0</v>
      </c>
      <c r="AP37" s="75">
        <v>0</v>
      </c>
      <c r="AQ37" s="75">
        <f t="shared" si="27"/>
        <v>550.03517857024997</v>
      </c>
      <c r="AR37" s="104">
        <f t="shared" si="28"/>
        <v>662.04869772108054</v>
      </c>
      <c r="AS37" s="75">
        <v>0</v>
      </c>
      <c r="AT37" s="75">
        <f t="shared" si="29"/>
        <v>642.30124999750001</v>
      </c>
      <c r="AU37" s="104">
        <f t="shared" si="30"/>
        <v>310.95536722664383</v>
      </c>
      <c r="AV37" s="75">
        <v>0</v>
      </c>
      <c r="AW37" s="96">
        <v>0</v>
      </c>
      <c r="AX37" s="75">
        <v>0</v>
      </c>
      <c r="AY37" s="75">
        <f t="shared" si="31"/>
        <v>6600.422142843001</v>
      </c>
      <c r="AZ37" s="104">
        <f t="shared" si="32"/>
        <v>662.04869772108066</v>
      </c>
      <c r="BA37" s="75">
        <v>0</v>
      </c>
      <c r="BB37" s="75">
        <f t="shared" si="33"/>
        <v>7707.6149999700001</v>
      </c>
      <c r="BC37" s="104">
        <f t="shared" si="34"/>
        <v>310.95536722664383</v>
      </c>
      <c r="BD37" s="75">
        <v>0</v>
      </c>
      <c r="BE37" s="96">
        <v>0</v>
      </c>
    </row>
    <row r="38" spans="1:57" x14ac:dyDescent="0.25">
      <c r="A38" s="85">
        <f t="shared" si="6"/>
        <v>45373</v>
      </c>
      <c r="B38" s="75">
        <v>1588336.0314285695</v>
      </c>
      <c r="C38" s="75">
        <f t="shared" si="7"/>
        <v>1572431.9846427324</v>
      </c>
      <c r="D38" s="104">
        <f t="shared" si="8"/>
        <v>1301.0974205920438</v>
      </c>
      <c r="E38" s="75">
        <v>73524.891071420017</v>
      </c>
      <c r="F38" s="75">
        <f t="shared" si="9"/>
        <v>63751.516517907505</v>
      </c>
      <c r="G38" s="104">
        <f t="shared" si="10"/>
        <v>825.43177383345653</v>
      </c>
      <c r="H38" s="75">
        <v>1272.1242746890709</v>
      </c>
      <c r="I38" s="96">
        <v>933.25167757445536</v>
      </c>
      <c r="J38" s="75">
        <f t="shared" si="0"/>
        <v>403433.47178619</v>
      </c>
      <c r="K38" s="75">
        <f t="shared" si="11"/>
        <v>406922.74517869251</v>
      </c>
      <c r="L38" s="104">
        <f t="shared" si="12"/>
        <v>1301.0974205920438</v>
      </c>
      <c r="M38" s="75">
        <f t="shared" si="1"/>
        <v>73524.891071420017</v>
      </c>
      <c r="N38" s="75">
        <f t="shared" si="13"/>
        <v>63751.516517907505</v>
      </c>
      <c r="O38" s="104">
        <f t="shared" si="14"/>
        <v>825.43177383345653</v>
      </c>
      <c r="P38" s="75">
        <f t="shared" si="2"/>
        <v>1272.1242746890709</v>
      </c>
      <c r="Q38" s="96">
        <f t="shared" si="3"/>
        <v>933.25167757445536</v>
      </c>
      <c r="R38" s="75">
        <f t="shared" si="4"/>
        <v>1588336.0314285702</v>
      </c>
      <c r="S38" s="75">
        <f t="shared" si="15"/>
        <v>1572084.7517856027</v>
      </c>
      <c r="T38" s="104">
        <f t="shared" si="16"/>
        <v>1297.3762575885867</v>
      </c>
      <c r="U38" s="75">
        <f t="shared" si="5"/>
        <v>73524.891071420017</v>
      </c>
      <c r="V38" s="75">
        <f t="shared" si="17"/>
        <v>63751.516517907505</v>
      </c>
      <c r="W38" s="104">
        <f t="shared" si="18"/>
        <v>823.17131334571991</v>
      </c>
      <c r="X38" s="75">
        <v>1268.6390027384746</v>
      </c>
      <c r="Y38" s="96">
        <v>930.69482368886099</v>
      </c>
      <c r="Z38" s="75">
        <v>403433.47178619</v>
      </c>
      <c r="AA38" s="75">
        <f t="shared" si="19"/>
        <v>406893.80910726503</v>
      </c>
      <c r="AB38" s="104">
        <f t="shared" si="20"/>
        <v>1059.9781890495083</v>
      </c>
      <c r="AC38" s="75">
        <v>73524.891071420017</v>
      </c>
      <c r="AD38" s="75">
        <f t="shared" si="21"/>
        <v>63751.516517907505</v>
      </c>
      <c r="AE38" s="104">
        <f t="shared" si="22"/>
        <v>823.17131334571991</v>
      </c>
      <c r="AF38" s="75">
        <v>1039.7769891396649</v>
      </c>
      <c r="AG38" s="96">
        <v>930.69482368886099</v>
      </c>
      <c r="AH38" s="75">
        <v>1184902.5596423801</v>
      </c>
      <c r="AI38" s="75">
        <f t="shared" si="23"/>
        <v>1165190.9426783377</v>
      </c>
      <c r="AJ38" s="104">
        <f t="shared" si="24"/>
        <v>1406.740231514319</v>
      </c>
      <c r="AK38" s="75">
        <v>0</v>
      </c>
      <c r="AL38" s="75">
        <f t="shared" si="25"/>
        <v>0</v>
      </c>
      <c r="AM38" s="104">
        <f t="shared" si="26"/>
        <v>0</v>
      </c>
      <c r="AN38" s="75">
        <v>1371.414999586088</v>
      </c>
      <c r="AO38" s="96">
        <v>0</v>
      </c>
      <c r="AP38" s="75">
        <v>0</v>
      </c>
      <c r="AQ38" s="75">
        <f t="shared" si="27"/>
        <v>28.9360714275</v>
      </c>
      <c r="AR38" s="104">
        <f t="shared" si="28"/>
        <v>378.235791002246</v>
      </c>
      <c r="AS38" s="75">
        <v>0</v>
      </c>
      <c r="AT38" s="75">
        <f t="shared" si="29"/>
        <v>0</v>
      </c>
      <c r="AU38" s="104">
        <f t="shared" si="30"/>
        <v>0</v>
      </c>
      <c r="AV38" s="75">
        <v>0</v>
      </c>
      <c r="AW38" s="96">
        <v>0</v>
      </c>
      <c r="AX38" s="75">
        <v>0</v>
      </c>
      <c r="AY38" s="75">
        <f t="shared" si="31"/>
        <v>347.23285713000001</v>
      </c>
      <c r="AZ38" s="104">
        <f t="shared" si="32"/>
        <v>378.23579100224612</v>
      </c>
      <c r="BA38" s="75">
        <v>0</v>
      </c>
      <c r="BB38" s="75">
        <f t="shared" si="33"/>
        <v>0</v>
      </c>
      <c r="BC38" s="104">
        <f t="shared" si="34"/>
        <v>0</v>
      </c>
      <c r="BD38" s="75">
        <v>0</v>
      </c>
      <c r="BE38" s="96">
        <v>0</v>
      </c>
    </row>
    <row r="39" spans="1:57" x14ac:dyDescent="0.25">
      <c r="A39" s="85">
        <f t="shared" si="6"/>
        <v>45380</v>
      </c>
      <c r="B39" s="75">
        <v>1817304.87893031</v>
      </c>
      <c r="C39" s="75">
        <f t="shared" si="7"/>
        <v>1619429.0964290299</v>
      </c>
      <c r="D39" s="104">
        <f t="shared" si="8"/>
        <v>1291.2779142003494</v>
      </c>
      <c r="E39" s="75">
        <v>42171.665357120008</v>
      </c>
      <c r="F39" s="75">
        <f t="shared" si="9"/>
        <v>60252.655446465003</v>
      </c>
      <c r="G39" s="104">
        <f t="shared" si="10"/>
        <v>817.71464729858053</v>
      </c>
      <c r="H39" s="75">
        <v>1239.6581460554326</v>
      </c>
      <c r="I39" s="96">
        <v>682.05679966881996</v>
      </c>
      <c r="J39" s="75">
        <f t="shared" si="0"/>
        <v>454533.34000001993</v>
      </c>
      <c r="K39" s="75">
        <f t="shared" si="11"/>
        <v>429239.76071437245</v>
      </c>
      <c r="L39" s="104">
        <f t="shared" si="12"/>
        <v>1291.2779142003494</v>
      </c>
      <c r="M39" s="75">
        <f t="shared" si="1"/>
        <v>42171.665357120008</v>
      </c>
      <c r="N39" s="75">
        <f t="shared" si="13"/>
        <v>60252.655446465003</v>
      </c>
      <c r="O39" s="104">
        <f t="shared" si="14"/>
        <v>817.71464729858053</v>
      </c>
      <c r="P39" s="75">
        <f t="shared" si="2"/>
        <v>1239.6581460554326</v>
      </c>
      <c r="Q39" s="96">
        <f t="shared" si="3"/>
        <v>682.05679966881996</v>
      </c>
      <c r="R39" s="75">
        <f t="shared" si="4"/>
        <v>1817304.8789303098</v>
      </c>
      <c r="S39" s="75">
        <f t="shared" si="15"/>
        <v>1619429.0964290302</v>
      </c>
      <c r="T39" s="104">
        <f t="shared" si="16"/>
        <v>1287.7401665255886</v>
      </c>
      <c r="U39" s="75">
        <f t="shared" si="5"/>
        <v>42171.665357120008</v>
      </c>
      <c r="V39" s="75">
        <f t="shared" si="17"/>
        <v>60252.655446465003</v>
      </c>
      <c r="W39" s="104">
        <f t="shared" si="18"/>
        <v>815.47433321879566</v>
      </c>
      <c r="X39" s="75">
        <v>1236.2618224015712</v>
      </c>
      <c r="Y39" s="96">
        <v>680.18815092129046</v>
      </c>
      <c r="Z39" s="75">
        <v>454533.34000001993</v>
      </c>
      <c r="AA39" s="75">
        <f t="shared" si="19"/>
        <v>429239.76071437245</v>
      </c>
      <c r="AB39" s="104">
        <f t="shared" si="20"/>
        <v>1085.8592984653637</v>
      </c>
      <c r="AC39" s="75">
        <v>42171.665357120008</v>
      </c>
      <c r="AD39" s="75">
        <f t="shared" si="21"/>
        <v>60252.655446465003</v>
      </c>
      <c r="AE39" s="104">
        <f t="shared" si="22"/>
        <v>815.47433321879566</v>
      </c>
      <c r="AF39" s="75">
        <v>1066.9796713615492</v>
      </c>
      <c r="AG39" s="96">
        <v>680.18815092129046</v>
      </c>
      <c r="AH39" s="75">
        <v>1362771.5389302899</v>
      </c>
      <c r="AI39" s="75">
        <f t="shared" si="23"/>
        <v>1190189.3357146578</v>
      </c>
      <c r="AJ39" s="104">
        <f t="shared" si="24"/>
        <v>1381.52152621664</v>
      </c>
      <c r="AK39" s="75">
        <v>0</v>
      </c>
      <c r="AL39" s="75">
        <f t="shared" si="25"/>
        <v>0</v>
      </c>
      <c r="AM39" s="104">
        <f t="shared" si="26"/>
        <v>0</v>
      </c>
      <c r="AN39" s="75">
        <v>1305.3367231133045</v>
      </c>
      <c r="AO39" s="96">
        <v>0</v>
      </c>
      <c r="AP39" s="75">
        <v>0</v>
      </c>
      <c r="AQ39" s="75">
        <f t="shared" si="27"/>
        <v>0</v>
      </c>
      <c r="AR39" s="104">
        <f t="shared" si="28"/>
        <v>0</v>
      </c>
      <c r="AS39" s="75">
        <v>0</v>
      </c>
      <c r="AT39" s="75">
        <f t="shared" si="29"/>
        <v>0</v>
      </c>
      <c r="AU39" s="104">
        <f t="shared" si="30"/>
        <v>0</v>
      </c>
      <c r="AV39" s="75">
        <v>0</v>
      </c>
      <c r="AW39" s="96">
        <v>0</v>
      </c>
      <c r="AX39" s="75">
        <v>0</v>
      </c>
      <c r="AY39" s="75">
        <f t="shared" si="31"/>
        <v>0</v>
      </c>
      <c r="AZ39" s="104">
        <f t="shared" si="32"/>
        <v>0</v>
      </c>
      <c r="BA39" s="75">
        <v>0</v>
      </c>
      <c r="BB39" s="75">
        <f t="shared" si="33"/>
        <v>0</v>
      </c>
      <c r="BC39" s="104">
        <f t="shared" si="34"/>
        <v>0</v>
      </c>
      <c r="BD39" s="75">
        <v>0</v>
      </c>
      <c r="BE39" s="96">
        <v>0</v>
      </c>
    </row>
    <row r="40" spans="1:57" x14ac:dyDescent="0.25">
      <c r="A40" s="85">
        <f t="shared" si="6"/>
        <v>45387</v>
      </c>
      <c r="B40" s="75">
        <v>1686320.4721442205</v>
      </c>
      <c r="C40" s="75">
        <f t="shared" si="7"/>
        <v>1650951.5594651098</v>
      </c>
      <c r="D40" s="104">
        <f t="shared" si="8"/>
        <v>1247.5490548641565</v>
      </c>
      <c r="E40" s="75">
        <v>52763.322500100003</v>
      </c>
      <c r="F40" s="75">
        <f t="shared" si="9"/>
        <v>58759.364375055004</v>
      </c>
      <c r="G40" s="104">
        <f t="shared" si="10"/>
        <v>796.32331130761986</v>
      </c>
      <c r="H40" s="75">
        <v>1172.6443971203976</v>
      </c>
      <c r="I40" s="96">
        <v>755.83252401912955</v>
      </c>
      <c r="J40" s="75">
        <f t="shared" si="0"/>
        <v>464821.22285745997</v>
      </c>
      <c r="K40" s="75">
        <f t="shared" si="11"/>
        <v>443294.10196449998</v>
      </c>
      <c r="L40" s="104">
        <f t="shared" si="12"/>
        <v>1247.5490548641565</v>
      </c>
      <c r="M40" s="75">
        <f t="shared" si="1"/>
        <v>52763.322500100003</v>
      </c>
      <c r="N40" s="75">
        <f t="shared" si="13"/>
        <v>58759.364375055004</v>
      </c>
      <c r="O40" s="104">
        <f t="shared" si="14"/>
        <v>796.32331130761986</v>
      </c>
      <c r="P40" s="75">
        <f t="shared" si="2"/>
        <v>1172.6443971203976</v>
      </c>
      <c r="Q40" s="96">
        <f t="shared" si="3"/>
        <v>755.83252401912955</v>
      </c>
      <c r="R40" s="75">
        <f t="shared" si="4"/>
        <v>1686320.4721442196</v>
      </c>
      <c r="S40" s="75">
        <f t="shared" si="15"/>
        <v>1650951.5594651098</v>
      </c>
      <c r="T40" s="104">
        <f t="shared" si="16"/>
        <v>1244.131112282269</v>
      </c>
      <c r="U40" s="75">
        <f t="shared" si="5"/>
        <v>52763.322500100003</v>
      </c>
      <c r="V40" s="75">
        <f t="shared" si="17"/>
        <v>58759.364375055004</v>
      </c>
      <c r="W40" s="104">
        <f t="shared" si="18"/>
        <v>794.14160362722419</v>
      </c>
      <c r="X40" s="75">
        <v>1169.4316727768512</v>
      </c>
      <c r="Y40" s="96">
        <v>753.7617500014286</v>
      </c>
      <c r="Z40" s="75">
        <v>464821.22285745997</v>
      </c>
      <c r="AA40" s="75">
        <f t="shared" si="19"/>
        <v>443294.10196449998</v>
      </c>
      <c r="AB40" s="104">
        <f t="shared" si="20"/>
        <v>1058.9776537024782</v>
      </c>
      <c r="AC40" s="75">
        <v>52763.322500100003</v>
      </c>
      <c r="AD40" s="75">
        <f t="shared" si="21"/>
        <v>58759.364375055004</v>
      </c>
      <c r="AE40" s="104">
        <f t="shared" si="22"/>
        <v>794.14160362722419</v>
      </c>
      <c r="AF40" s="75">
        <v>1030.645726956674</v>
      </c>
      <c r="AG40" s="96">
        <v>753.7617500014286</v>
      </c>
      <c r="AH40" s="75">
        <v>1221499.2492867596</v>
      </c>
      <c r="AI40" s="75">
        <f t="shared" si="23"/>
        <v>1207657.45750061</v>
      </c>
      <c r="AJ40" s="104">
        <f t="shared" si="24"/>
        <v>1330.6837734254086</v>
      </c>
      <c r="AK40" s="75">
        <v>0</v>
      </c>
      <c r="AL40" s="75">
        <f t="shared" si="25"/>
        <v>0</v>
      </c>
      <c r="AM40" s="104">
        <f t="shared" si="26"/>
        <v>0</v>
      </c>
      <c r="AN40" s="75">
        <v>1232.5925825295253</v>
      </c>
      <c r="AO40" s="96">
        <v>0</v>
      </c>
      <c r="AP40" s="75">
        <v>0</v>
      </c>
      <c r="AQ40" s="75">
        <f t="shared" si="27"/>
        <v>0</v>
      </c>
      <c r="AR40" s="104">
        <f t="shared" si="28"/>
        <v>0</v>
      </c>
      <c r="AS40" s="75">
        <v>0</v>
      </c>
      <c r="AT40" s="75">
        <f t="shared" si="29"/>
        <v>0</v>
      </c>
      <c r="AU40" s="104">
        <f t="shared" si="30"/>
        <v>0</v>
      </c>
      <c r="AV40" s="75">
        <v>0</v>
      </c>
      <c r="AW40" s="96">
        <v>0</v>
      </c>
      <c r="AX40" s="75">
        <v>0</v>
      </c>
      <c r="AY40" s="75">
        <f t="shared" si="31"/>
        <v>0</v>
      </c>
      <c r="AZ40" s="104">
        <f t="shared" si="32"/>
        <v>0</v>
      </c>
      <c r="BA40" s="75">
        <v>0</v>
      </c>
      <c r="BB40" s="75">
        <f t="shared" si="33"/>
        <v>0</v>
      </c>
      <c r="BC40" s="104">
        <f t="shared" si="34"/>
        <v>0</v>
      </c>
      <c r="BD40" s="75">
        <v>0</v>
      </c>
      <c r="BE40" s="96">
        <v>0</v>
      </c>
    </row>
    <row r="41" spans="1:57" x14ac:dyDescent="0.25">
      <c r="A41" s="85">
        <f t="shared" si="6"/>
        <v>45394</v>
      </c>
      <c r="B41" s="75">
        <v>1476667.8832152598</v>
      </c>
      <c r="C41" s="75">
        <f t="shared" si="7"/>
        <v>1642157.3164295899</v>
      </c>
      <c r="D41" s="104">
        <f t="shared" si="8"/>
        <v>1208.9614212379056</v>
      </c>
      <c r="E41" s="75">
        <v>45080.889285560013</v>
      </c>
      <c r="F41" s="75">
        <f t="shared" si="9"/>
        <v>53385.19205355001</v>
      </c>
      <c r="G41" s="104">
        <f t="shared" si="10"/>
        <v>794.59211585692469</v>
      </c>
      <c r="H41" s="75">
        <v>1151.4188670867215</v>
      </c>
      <c r="I41" s="96">
        <v>807.22746216529436</v>
      </c>
      <c r="J41" s="75">
        <f t="shared" si="0"/>
        <v>399046.82607120991</v>
      </c>
      <c r="K41" s="75">
        <f t="shared" si="11"/>
        <v>430458.71517871995</v>
      </c>
      <c r="L41" s="104">
        <f t="shared" si="12"/>
        <v>1208.9614212379056</v>
      </c>
      <c r="M41" s="75">
        <f t="shared" si="1"/>
        <v>45080.889285560013</v>
      </c>
      <c r="N41" s="75">
        <f t="shared" si="13"/>
        <v>53385.19205355001</v>
      </c>
      <c r="O41" s="104">
        <f t="shared" si="14"/>
        <v>794.59211585692469</v>
      </c>
      <c r="P41" s="75">
        <f t="shared" si="2"/>
        <v>1151.4188670867215</v>
      </c>
      <c r="Q41" s="96">
        <f t="shared" si="3"/>
        <v>807.22746216529436</v>
      </c>
      <c r="R41" s="75">
        <f t="shared" si="4"/>
        <v>1476667.88321526</v>
      </c>
      <c r="S41" s="75">
        <f t="shared" si="15"/>
        <v>1642157.3164295899</v>
      </c>
      <c r="T41" s="104">
        <f t="shared" si="16"/>
        <v>1205.6491981991426</v>
      </c>
      <c r="U41" s="75">
        <f t="shared" si="5"/>
        <v>45080.889285560013</v>
      </c>
      <c r="V41" s="75">
        <f t="shared" si="17"/>
        <v>53385.19205355001</v>
      </c>
      <c r="W41" s="104">
        <f t="shared" si="18"/>
        <v>792.41515117771644</v>
      </c>
      <c r="X41" s="75">
        <v>1148.2642948796733</v>
      </c>
      <c r="Y41" s="96">
        <v>805.01588009928594</v>
      </c>
      <c r="Z41" s="75">
        <v>399046.82607120991</v>
      </c>
      <c r="AA41" s="75">
        <f t="shared" si="19"/>
        <v>430458.71517871995</v>
      </c>
      <c r="AB41" s="104">
        <f t="shared" si="20"/>
        <v>1027.6718322737465</v>
      </c>
      <c r="AC41" s="75">
        <v>45080.889285560013</v>
      </c>
      <c r="AD41" s="75">
        <f t="shared" si="21"/>
        <v>53385.19205355001</v>
      </c>
      <c r="AE41" s="104">
        <f t="shared" si="22"/>
        <v>792.41515117771644</v>
      </c>
      <c r="AF41" s="75">
        <v>973.2849416370974</v>
      </c>
      <c r="AG41" s="96">
        <v>805.01588009928594</v>
      </c>
      <c r="AH41" s="75">
        <v>1077621.05714405</v>
      </c>
      <c r="AI41" s="75">
        <f t="shared" si="23"/>
        <v>1211698.6012508699</v>
      </c>
      <c r="AJ41" s="104">
        <f t="shared" si="24"/>
        <v>1284.8763323414903</v>
      </c>
      <c r="AK41" s="75">
        <v>0</v>
      </c>
      <c r="AL41" s="75">
        <f t="shared" si="25"/>
        <v>0</v>
      </c>
      <c r="AM41" s="104">
        <f t="shared" si="26"/>
        <v>0</v>
      </c>
      <c r="AN41" s="75">
        <v>1230.1610241370433</v>
      </c>
      <c r="AO41" s="96">
        <v>0</v>
      </c>
      <c r="AP41" s="75">
        <v>0</v>
      </c>
      <c r="AQ41" s="75">
        <f t="shared" si="27"/>
        <v>0</v>
      </c>
      <c r="AR41" s="104">
        <f t="shared" si="28"/>
        <v>0</v>
      </c>
      <c r="AS41" s="75">
        <v>0</v>
      </c>
      <c r="AT41" s="75">
        <f t="shared" si="29"/>
        <v>0</v>
      </c>
      <c r="AU41" s="104">
        <f t="shared" si="30"/>
        <v>0</v>
      </c>
      <c r="AV41" s="75">
        <v>0</v>
      </c>
      <c r="AW41" s="96">
        <v>0</v>
      </c>
      <c r="AX41" s="75">
        <v>0</v>
      </c>
      <c r="AY41" s="75">
        <f t="shared" si="31"/>
        <v>0</v>
      </c>
      <c r="AZ41" s="104">
        <f t="shared" si="32"/>
        <v>0</v>
      </c>
      <c r="BA41" s="75">
        <v>0</v>
      </c>
      <c r="BB41" s="75">
        <f t="shared" si="33"/>
        <v>0</v>
      </c>
      <c r="BC41" s="104">
        <f t="shared" si="34"/>
        <v>0</v>
      </c>
      <c r="BD41" s="75">
        <v>0</v>
      </c>
      <c r="BE41" s="96">
        <v>0</v>
      </c>
    </row>
    <row r="42" spans="1:57" x14ac:dyDescent="0.25">
      <c r="A42" s="85">
        <f t="shared" si="6"/>
        <v>45401</v>
      </c>
      <c r="B42" s="75">
        <v>1422448.4314291694</v>
      </c>
      <c r="C42" s="75">
        <f t="shared" si="7"/>
        <v>1600685.4164297399</v>
      </c>
      <c r="D42" s="104">
        <f t="shared" si="8"/>
        <v>1171.9304031470117</v>
      </c>
      <c r="E42" s="75">
        <v>28812.74178574</v>
      </c>
      <c r="F42" s="75">
        <f t="shared" si="9"/>
        <v>42207.154732130002</v>
      </c>
      <c r="G42" s="104">
        <f t="shared" si="10"/>
        <v>746.48366870031748</v>
      </c>
      <c r="H42" s="75">
        <v>1124.0002023254951</v>
      </c>
      <c r="I42" s="96">
        <v>740.81788894802639</v>
      </c>
      <c r="J42" s="75">
        <f t="shared" si="0"/>
        <v>341095.6278573001</v>
      </c>
      <c r="K42" s="75">
        <f t="shared" si="11"/>
        <v>414874.2541964975</v>
      </c>
      <c r="L42" s="104">
        <f t="shared" si="12"/>
        <v>1171.9304031470117</v>
      </c>
      <c r="M42" s="75">
        <f t="shared" si="1"/>
        <v>28812.74178574</v>
      </c>
      <c r="N42" s="75">
        <f t="shared" si="13"/>
        <v>42207.154732130002</v>
      </c>
      <c r="O42" s="104">
        <f t="shared" si="14"/>
        <v>746.48366870031748</v>
      </c>
      <c r="P42" s="75">
        <f t="shared" si="2"/>
        <v>1124.0002023254951</v>
      </c>
      <c r="Q42" s="96">
        <f t="shared" si="3"/>
        <v>740.81788894802639</v>
      </c>
      <c r="R42" s="75">
        <f t="shared" si="4"/>
        <v>1422448.4314291701</v>
      </c>
      <c r="S42" s="75">
        <f t="shared" si="15"/>
        <v>1600685.4164297399</v>
      </c>
      <c r="T42" s="104">
        <f t="shared" si="16"/>
        <v>1168.7196349513188</v>
      </c>
      <c r="U42" s="75">
        <f t="shared" si="5"/>
        <v>28812.74178574</v>
      </c>
      <c r="V42" s="75">
        <f t="shared" si="17"/>
        <v>42207.154732130002</v>
      </c>
      <c r="W42" s="104">
        <f t="shared" si="18"/>
        <v>744.4385079846038</v>
      </c>
      <c r="X42" s="75">
        <v>1120.9207497471789</v>
      </c>
      <c r="Y42" s="96">
        <v>738.78825091641022</v>
      </c>
      <c r="Z42" s="75">
        <v>341095.6278573001</v>
      </c>
      <c r="AA42" s="75">
        <f t="shared" si="19"/>
        <v>414874.2541964975</v>
      </c>
      <c r="AB42" s="104">
        <f t="shared" si="20"/>
        <v>991.54361376658608</v>
      </c>
      <c r="AC42" s="75">
        <v>28812.74178574</v>
      </c>
      <c r="AD42" s="75">
        <f t="shared" si="21"/>
        <v>42207.154732130002</v>
      </c>
      <c r="AE42" s="104">
        <f t="shared" si="22"/>
        <v>744.4385079846038</v>
      </c>
      <c r="AF42" s="75">
        <v>895.2641151110239</v>
      </c>
      <c r="AG42" s="96">
        <v>738.78825091641022</v>
      </c>
      <c r="AH42" s="75">
        <v>1081352.8035718701</v>
      </c>
      <c r="AI42" s="75">
        <f t="shared" si="23"/>
        <v>1185811.1622332423</v>
      </c>
      <c r="AJ42" s="104">
        <f t="shared" si="24"/>
        <v>1246.4574933604722</v>
      </c>
      <c r="AK42" s="75">
        <v>0</v>
      </c>
      <c r="AL42" s="75">
        <f t="shared" si="25"/>
        <v>0</v>
      </c>
      <c r="AM42" s="104">
        <f t="shared" si="26"/>
        <v>0</v>
      </c>
      <c r="AN42" s="75">
        <v>1217.7396436620159</v>
      </c>
      <c r="AO42" s="96">
        <v>0</v>
      </c>
      <c r="AP42" s="75">
        <v>0</v>
      </c>
      <c r="AQ42" s="75">
        <f t="shared" si="27"/>
        <v>0</v>
      </c>
      <c r="AR42" s="104">
        <f t="shared" si="28"/>
        <v>0</v>
      </c>
      <c r="AS42" s="75">
        <v>0</v>
      </c>
      <c r="AT42" s="75">
        <f t="shared" si="29"/>
        <v>0</v>
      </c>
      <c r="AU42" s="104">
        <f t="shared" si="30"/>
        <v>0</v>
      </c>
      <c r="AV42" s="75">
        <v>0</v>
      </c>
      <c r="AW42" s="96">
        <v>0</v>
      </c>
      <c r="AX42" s="75">
        <v>0</v>
      </c>
      <c r="AY42" s="75">
        <f t="shared" si="31"/>
        <v>0</v>
      </c>
      <c r="AZ42" s="104">
        <f t="shared" si="32"/>
        <v>0</v>
      </c>
      <c r="BA42" s="75">
        <v>0</v>
      </c>
      <c r="BB42" s="75">
        <f t="shared" si="33"/>
        <v>0</v>
      </c>
      <c r="BC42" s="104">
        <f t="shared" si="34"/>
        <v>0</v>
      </c>
      <c r="BD42" s="75">
        <v>0</v>
      </c>
      <c r="BE42" s="96">
        <v>0</v>
      </c>
    </row>
    <row r="43" spans="1:57" x14ac:dyDescent="0.25">
      <c r="A43" s="85">
        <f t="shared" si="6"/>
        <v>45408</v>
      </c>
      <c r="B43" s="75">
        <v>1706802.3475002202</v>
      </c>
      <c r="C43" s="75">
        <f t="shared" si="7"/>
        <v>1573059.7835722174</v>
      </c>
      <c r="D43" s="104">
        <f t="shared" si="8"/>
        <v>1147.6452666484054</v>
      </c>
      <c r="E43" s="75">
        <v>29529.122857220002</v>
      </c>
      <c r="F43" s="75">
        <f t="shared" si="9"/>
        <v>39046.519107155</v>
      </c>
      <c r="G43" s="104">
        <f t="shared" si="10"/>
        <v>770.77372417982303</v>
      </c>
      <c r="H43" s="75">
        <v>1142.5176000610074</v>
      </c>
      <c r="I43" s="96">
        <v>779.21702158684195</v>
      </c>
      <c r="J43" s="75">
        <f t="shared" si="0"/>
        <v>391243.15250011993</v>
      </c>
      <c r="K43" s="75">
        <f t="shared" si="11"/>
        <v>399051.70732152252</v>
      </c>
      <c r="L43" s="104">
        <f t="shared" si="12"/>
        <v>1147.6452666484054</v>
      </c>
      <c r="M43" s="75">
        <f t="shared" si="1"/>
        <v>29529.122857220002</v>
      </c>
      <c r="N43" s="75">
        <f t="shared" si="13"/>
        <v>39046.519107155</v>
      </c>
      <c r="O43" s="104">
        <f t="shared" si="14"/>
        <v>770.77372417982303</v>
      </c>
      <c r="P43" s="75">
        <f t="shared" si="2"/>
        <v>1142.5176000610074</v>
      </c>
      <c r="Q43" s="96">
        <f t="shared" si="3"/>
        <v>779.21702158684195</v>
      </c>
      <c r="R43" s="75">
        <f t="shared" si="4"/>
        <v>1706802.3475002202</v>
      </c>
      <c r="S43" s="75">
        <f t="shared" si="15"/>
        <v>1573059.7835722174</v>
      </c>
      <c r="T43" s="104">
        <f t="shared" si="16"/>
        <v>1144.5010330725916</v>
      </c>
      <c r="U43" s="75">
        <f t="shared" si="5"/>
        <v>29529.122857220002</v>
      </c>
      <c r="V43" s="75">
        <f t="shared" si="17"/>
        <v>39046.519107155</v>
      </c>
      <c r="W43" s="104">
        <f t="shared" si="18"/>
        <v>768.66201536757069</v>
      </c>
      <c r="X43" s="75">
        <v>1139.3874148866623</v>
      </c>
      <c r="Y43" s="96">
        <v>777.08218045315789</v>
      </c>
      <c r="Z43" s="75">
        <v>391243.15250011993</v>
      </c>
      <c r="AA43" s="75">
        <f t="shared" si="19"/>
        <v>399051.70732152252</v>
      </c>
      <c r="AB43" s="104">
        <f t="shared" si="20"/>
        <v>953.86377350238138</v>
      </c>
      <c r="AC43" s="75">
        <v>29529.122857220002</v>
      </c>
      <c r="AD43" s="75">
        <f t="shared" si="21"/>
        <v>39046.519107155</v>
      </c>
      <c r="AE43" s="104">
        <f t="shared" si="22"/>
        <v>768.66201536757069</v>
      </c>
      <c r="AF43" s="75">
        <v>916.26031030473052</v>
      </c>
      <c r="AG43" s="96">
        <v>777.08218045315789</v>
      </c>
      <c r="AH43" s="75">
        <v>1315559.1950001002</v>
      </c>
      <c r="AI43" s="75">
        <f t="shared" si="23"/>
        <v>1174008.0762506949</v>
      </c>
      <c r="AJ43" s="104">
        <f t="shared" si="24"/>
        <v>1227.2099594075662</v>
      </c>
      <c r="AK43" s="75">
        <v>0</v>
      </c>
      <c r="AL43" s="75">
        <f t="shared" si="25"/>
        <v>0</v>
      </c>
      <c r="AM43" s="104">
        <f t="shared" si="26"/>
        <v>0</v>
      </c>
      <c r="AN43" s="75">
        <v>1228.3465873016808</v>
      </c>
      <c r="AO43" s="96">
        <v>0</v>
      </c>
      <c r="AP43" s="75">
        <v>0</v>
      </c>
      <c r="AQ43" s="75">
        <f t="shared" si="27"/>
        <v>0</v>
      </c>
      <c r="AR43" s="104">
        <f t="shared" si="28"/>
        <v>0</v>
      </c>
      <c r="AS43" s="75">
        <v>0</v>
      </c>
      <c r="AT43" s="75">
        <f t="shared" si="29"/>
        <v>0</v>
      </c>
      <c r="AU43" s="104">
        <f t="shared" si="30"/>
        <v>0</v>
      </c>
      <c r="AV43" s="75">
        <v>0</v>
      </c>
      <c r="AW43" s="96">
        <v>0</v>
      </c>
      <c r="AX43" s="75">
        <v>0</v>
      </c>
      <c r="AY43" s="75">
        <f t="shared" si="31"/>
        <v>0</v>
      </c>
      <c r="AZ43" s="104">
        <f t="shared" si="32"/>
        <v>0</v>
      </c>
      <c r="BA43" s="75">
        <v>0</v>
      </c>
      <c r="BB43" s="75">
        <f t="shared" si="33"/>
        <v>0</v>
      </c>
      <c r="BC43" s="104">
        <f t="shared" si="34"/>
        <v>0</v>
      </c>
      <c r="BD43" s="75">
        <v>0</v>
      </c>
      <c r="BE43" s="96">
        <v>0</v>
      </c>
    </row>
    <row r="44" spans="1:57" x14ac:dyDescent="0.25">
      <c r="A44" s="85">
        <f t="shared" si="6"/>
        <v>45415</v>
      </c>
      <c r="B44" s="75">
        <v>1623827.9724988702</v>
      </c>
      <c r="C44" s="75">
        <f t="shared" si="7"/>
        <v>1557436.6586608798</v>
      </c>
      <c r="D44" s="104">
        <f t="shared" si="8"/>
        <v>1118.4739595720434</v>
      </c>
      <c r="E44" s="75">
        <v>38229.68250001</v>
      </c>
      <c r="F44" s="75">
        <f t="shared" si="9"/>
        <v>35413.109107132506</v>
      </c>
      <c r="G44" s="104">
        <f t="shared" si="10"/>
        <v>785.72362029861313</v>
      </c>
      <c r="H44" s="75">
        <v>1055.959168814949</v>
      </c>
      <c r="I44" s="96">
        <v>815.6321084942897</v>
      </c>
      <c r="J44" s="75">
        <f t="shared" si="0"/>
        <v>440270.42964213993</v>
      </c>
      <c r="K44" s="75">
        <f t="shared" si="11"/>
        <v>392914.00901769247</v>
      </c>
      <c r="L44" s="104">
        <f t="shared" si="12"/>
        <v>1118.4739595720434</v>
      </c>
      <c r="M44" s="75">
        <f t="shared" si="1"/>
        <v>38229.68250001</v>
      </c>
      <c r="N44" s="75">
        <f t="shared" si="13"/>
        <v>35413.109107132506</v>
      </c>
      <c r="O44" s="104">
        <f t="shared" si="14"/>
        <v>785.72362029861313</v>
      </c>
      <c r="P44" s="75">
        <f t="shared" si="2"/>
        <v>1055.959168814949</v>
      </c>
      <c r="Q44" s="96">
        <f t="shared" si="3"/>
        <v>815.6321084942897</v>
      </c>
      <c r="R44" s="75">
        <f t="shared" si="4"/>
        <v>1623827.97249887</v>
      </c>
      <c r="S44" s="75">
        <f t="shared" si="15"/>
        <v>1557436.6586608798</v>
      </c>
      <c r="T44" s="104">
        <f t="shared" si="16"/>
        <v>1115.4096473846805</v>
      </c>
      <c r="U44" s="75">
        <f t="shared" si="5"/>
        <v>38229.68250001</v>
      </c>
      <c r="V44" s="75">
        <f t="shared" si="17"/>
        <v>35413.109107132506</v>
      </c>
      <c r="W44" s="104">
        <f t="shared" si="18"/>
        <v>783.57095286726667</v>
      </c>
      <c r="X44" s="75">
        <v>1053.0661300252075</v>
      </c>
      <c r="Y44" s="96">
        <v>813.39750000021274</v>
      </c>
      <c r="Z44" s="75">
        <v>440270.42964213993</v>
      </c>
      <c r="AA44" s="75">
        <f t="shared" si="19"/>
        <v>392914.00901769247</v>
      </c>
      <c r="AB44" s="104">
        <f t="shared" si="20"/>
        <v>915.89816493793353</v>
      </c>
      <c r="AC44" s="75">
        <v>38229.68250001</v>
      </c>
      <c r="AD44" s="75">
        <f t="shared" si="21"/>
        <v>35413.109107132506</v>
      </c>
      <c r="AE44" s="104">
        <f t="shared" si="22"/>
        <v>783.57095286726667</v>
      </c>
      <c r="AF44" s="75">
        <v>878.78329269888206</v>
      </c>
      <c r="AG44" s="96">
        <v>813.39750000021274</v>
      </c>
      <c r="AH44" s="75">
        <v>1183557.5428567301</v>
      </c>
      <c r="AI44" s="75">
        <f t="shared" si="23"/>
        <v>1164522.6496431874</v>
      </c>
      <c r="AJ44" s="104">
        <f t="shared" si="24"/>
        <v>1203.2975349223343</v>
      </c>
      <c r="AK44" s="75">
        <v>0</v>
      </c>
      <c r="AL44" s="75">
        <f t="shared" si="25"/>
        <v>0</v>
      </c>
      <c r="AM44" s="104">
        <f t="shared" si="26"/>
        <v>0</v>
      </c>
      <c r="AN44" s="75">
        <v>1136.9428845885975</v>
      </c>
      <c r="AO44" s="96">
        <v>0</v>
      </c>
      <c r="AP44" s="75">
        <v>0</v>
      </c>
      <c r="AQ44" s="75">
        <f t="shared" si="27"/>
        <v>0</v>
      </c>
      <c r="AR44" s="104">
        <f t="shared" si="28"/>
        <v>0</v>
      </c>
      <c r="AS44" s="75">
        <v>0</v>
      </c>
      <c r="AT44" s="75">
        <f t="shared" si="29"/>
        <v>0</v>
      </c>
      <c r="AU44" s="104">
        <f t="shared" si="30"/>
        <v>0</v>
      </c>
      <c r="AV44" s="75">
        <v>0</v>
      </c>
      <c r="AW44" s="96">
        <v>0</v>
      </c>
      <c r="AX44" s="75">
        <v>0</v>
      </c>
      <c r="AY44" s="75">
        <f t="shared" si="31"/>
        <v>0</v>
      </c>
      <c r="AZ44" s="104">
        <f t="shared" si="32"/>
        <v>0</v>
      </c>
      <c r="BA44" s="75">
        <v>0</v>
      </c>
      <c r="BB44" s="75">
        <f t="shared" si="33"/>
        <v>0</v>
      </c>
      <c r="BC44" s="104">
        <f t="shared" si="34"/>
        <v>0</v>
      </c>
      <c r="BD44" s="75">
        <v>0</v>
      </c>
      <c r="BE44" s="96">
        <v>0</v>
      </c>
    </row>
    <row r="45" spans="1:57" x14ac:dyDescent="0.25">
      <c r="A45" s="85">
        <f t="shared" si="6"/>
        <v>45422</v>
      </c>
      <c r="B45" s="75">
        <v>1349898.2332144808</v>
      </c>
      <c r="C45" s="75">
        <f t="shared" si="7"/>
        <v>1525744.2461606851</v>
      </c>
      <c r="D45" s="104">
        <f t="shared" si="8"/>
        <v>1100.0473369100373</v>
      </c>
      <c r="E45" s="75">
        <v>33117.165357290003</v>
      </c>
      <c r="F45" s="75">
        <f t="shared" si="9"/>
        <v>32422.178125065002</v>
      </c>
      <c r="G45" s="104">
        <f t="shared" si="10"/>
        <v>781.58429392328196</v>
      </c>
      <c r="H45" s="75">
        <v>1077.7123764386974</v>
      </c>
      <c r="I45" s="96">
        <v>790.67015666397003</v>
      </c>
      <c r="J45" s="75">
        <f t="shared" si="0"/>
        <v>355106.58214260993</v>
      </c>
      <c r="K45" s="75">
        <f t="shared" si="11"/>
        <v>381928.94803554245</v>
      </c>
      <c r="L45" s="104">
        <f t="shared" si="12"/>
        <v>1100.0473369100373</v>
      </c>
      <c r="M45" s="75">
        <f t="shared" si="1"/>
        <v>33117.165357290003</v>
      </c>
      <c r="N45" s="75">
        <f t="shared" si="13"/>
        <v>32422.178125065002</v>
      </c>
      <c r="O45" s="104">
        <f t="shared" si="14"/>
        <v>781.58429392328196</v>
      </c>
      <c r="P45" s="75">
        <f t="shared" si="2"/>
        <v>1077.7123764386974</v>
      </c>
      <c r="Q45" s="96">
        <f t="shared" si="3"/>
        <v>790.67015666397003</v>
      </c>
      <c r="R45" s="75">
        <f t="shared" si="4"/>
        <v>1349898.2332144794</v>
      </c>
      <c r="S45" s="75">
        <f t="shared" si="15"/>
        <v>1525744.2461606846</v>
      </c>
      <c r="T45" s="104">
        <f t="shared" si="16"/>
        <v>1097.0335086198736</v>
      </c>
      <c r="U45" s="75">
        <f t="shared" si="5"/>
        <v>33117.165357290003</v>
      </c>
      <c r="V45" s="75">
        <f t="shared" si="17"/>
        <v>32422.178125065002</v>
      </c>
      <c r="W45" s="104">
        <f t="shared" si="18"/>
        <v>779.44296711202855</v>
      </c>
      <c r="X45" s="75">
        <v>1074.7597398204455</v>
      </c>
      <c r="Y45" s="96">
        <v>788.50393707833337</v>
      </c>
      <c r="Z45" s="75">
        <v>355106.58214260993</v>
      </c>
      <c r="AA45" s="75">
        <f t="shared" si="19"/>
        <v>381928.94803554245</v>
      </c>
      <c r="AB45" s="104">
        <f t="shared" si="20"/>
        <v>891.23861804011835</v>
      </c>
      <c r="AC45" s="75">
        <v>33117.165357290003</v>
      </c>
      <c r="AD45" s="75">
        <f t="shared" si="21"/>
        <v>32422.178125065002</v>
      </c>
      <c r="AE45" s="104">
        <f t="shared" si="22"/>
        <v>779.44296711202855</v>
      </c>
      <c r="AF45" s="75">
        <v>874.64675404583727</v>
      </c>
      <c r="AG45" s="96">
        <v>788.50393707833337</v>
      </c>
      <c r="AH45" s="75">
        <v>994791.65107186954</v>
      </c>
      <c r="AI45" s="75">
        <f t="shared" si="23"/>
        <v>1143815.2981251425</v>
      </c>
      <c r="AJ45" s="104">
        <f t="shared" si="24"/>
        <v>1188.3430586150942</v>
      </c>
      <c r="AK45" s="75">
        <v>0</v>
      </c>
      <c r="AL45" s="75">
        <f t="shared" si="25"/>
        <v>0</v>
      </c>
      <c r="AM45" s="104">
        <f t="shared" si="26"/>
        <v>0</v>
      </c>
      <c r="AN45" s="75">
        <v>1170.3431189080818</v>
      </c>
      <c r="AO45" s="96">
        <v>0</v>
      </c>
      <c r="AP45" s="75">
        <v>0</v>
      </c>
      <c r="AQ45" s="75">
        <f t="shared" si="27"/>
        <v>0</v>
      </c>
      <c r="AR45" s="104">
        <f t="shared" si="28"/>
        <v>0</v>
      </c>
      <c r="AS45" s="75">
        <v>0</v>
      </c>
      <c r="AT45" s="75">
        <f t="shared" si="29"/>
        <v>0</v>
      </c>
      <c r="AU45" s="104">
        <f t="shared" si="30"/>
        <v>0</v>
      </c>
      <c r="AV45" s="75">
        <v>0</v>
      </c>
      <c r="AW45" s="96">
        <v>0</v>
      </c>
      <c r="AX45" s="75">
        <v>0</v>
      </c>
      <c r="AY45" s="75">
        <f t="shared" si="31"/>
        <v>0</v>
      </c>
      <c r="AZ45" s="104">
        <f t="shared" si="32"/>
        <v>0</v>
      </c>
      <c r="BA45" s="75">
        <v>0</v>
      </c>
      <c r="BB45" s="75">
        <f t="shared" si="33"/>
        <v>0</v>
      </c>
      <c r="BC45" s="104">
        <f t="shared" si="34"/>
        <v>0</v>
      </c>
      <c r="BD45" s="75">
        <v>0</v>
      </c>
      <c r="BE45" s="96">
        <v>0</v>
      </c>
    </row>
    <row r="46" spans="1:57" x14ac:dyDescent="0.25">
      <c r="A46" s="85">
        <f t="shared" si="6"/>
        <v>45429</v>
      </c>
      <c r="B46" s="75">
        <v>1332888.5375001598</v>
      </c>
      <c r="C46" s="75">
        <f t="shared" si="7"/>
        <v>1503354.2726784328</v>
      </c>
      <c r="D46" s="104">
        <f t="shared" si="8"/>
        <v>1102.4549027747769</v>
      </c>
      <c r="E46" s="75">
        <v>47754.365000090002</v>
      </c>
      <c r="F46" s="75">
        <f t="shared" si="9"/>
        <v>37157.583928652501</v>
      </c>
      <c r="G46" s="104">
        <f t="shared" si="10"/>
        <v>802.78309026047486</v>
      </c>
      <c r="H46" s="75">
        <v>1133.6304657844537</v>
      </c>
      <c r="I46" s="96">
        <v>825.61307429679812</v>
      </c>
      <c r="J46" s="75">
        <f t="shared" si="0"/>
        <v>352155.50571459997</v>
      </c>
      <c r="K46" s="75">
        <f t="shared" si="11"/>
        <v>384693.91749986744</v>
      </c>
      <c r="L46" s="104">
        <f t="shared" si="12"/>
        <v>1102.4549027747769</v>
      </c>
      <c r="M46" s="75">
        <f t="shared" si="1"/>
        <v>47754.365000090002</v>
      </c>
      <c r="N46" s="75">
        <f t="shared" si="13"/>
        <v>37157.583928652501</v>
      </c>
      <c r="O46" s="104">
        <f t="shared" si="14"/>
        <v>802.78309026047486</v>
      </c>
      <c r="P46" s="75">
        <f t="shared" si="2"/>
        <v>1133.6304657844537</v>
      </c>
      <c r="Q46" s="96">
        <f t="shared" si="3"/>
        <v>825.61307429679812</v>
      </c>
      <c r="R46" s="75">
        <f t="shared" si="4"/>
        <v>1332888.5375001598</v>
      </c>
      <c r="S46" s="75">
        <f t="shared" si="15"/>
        <v>1503354.2726784325</v>
      </c>
      <c r="T46" s="104">
        <f t="shared" si="16"/>
        <v>1099.4344784138168</v>
      </c>
      <c r="U46" s="75">
        <f t="shared" si="5"/>
        <v>47754.365000090002</v>
      </c>
      <c r="V46" s="75">
        <f t="shared" si="17"/>
        <v>37157.583928652501</v>
      </c>
      <c r="W46" s="104">
        <f t="shared" si="18"/>
        <v>800.58368455572781</v>
      </c>
      <c r="X46" s="75">
        <v>1130.5246289229515</v>
      </c>
      <c r="Y46" s="96">
        <v>823.35112069120692</v>
      </c>
      <c r="Z46" s="75">
        <v>352155.50571459997</v>
      </c>
      <c r="AA46" s="75">
        <f t="shared" si="19"/>
        <v>384693.91749986744</v>
      </c>
      <c r="AB46" s="104">
        <f t="shared" si="20"/>
        <v>894.32690995475923</v>
      </c>
      <c r="AC46" s="75">
        <v>47754.365000090002</v>
      </c>
      <c r="AD46" s="75">
        <f t="shared" si="21"/>
        <v>37157.583928652501</v>
      </c>
      <c r="AE46" s="104">
        <f t="shared" si="22"/>
        <v>800.58368455572781</v>
      </c>
      <c r="AF46" s="75">
        <v>907.61728276958752</v>
      </c>
      <c r="AG46" s="96">
        <v>823.35112069120692</v>
      </c>
      <c r="AH46" s="75">
        <v>980733.03178555984</v>
      </c>
      <c r="AI46" s="75">
        <f t="shared" si="23"/>
        <v>1118660.355178565</v>
      </c>
      <c r="AJ46" s="104">
        <f t="shared" si="24"/>
        <v>1193.8743397936355</v>
      </c>
      <c r="AK46" s="75">
        <v>0</v>
      </c>
      <c r="AL46" s="75">
        <f t="shared" si="25"/>
        <v>0</v>
      </c>
      <c r="AM46" s="104">
        <f t="shared" si="26"/>
        <v>0</v>
      </c>
      <c r="AN46" s="75">
        <v>1239.8647683761819</v>
      </c>
      <c r="AO46" s="96">
        <v>0</v>
      </c>
      <c r="AP46" s="75">
        <v>0</v>
      </c>
      <c r="AQ46" s="75">
        <f t="shared" si="27"/>
        <v>0</v>
      </c>
      <c r="AR46" s="104">
        <f t="shared" si="28"/>
        <v>0</v>
      </c>
      <c r="AS46" s="75">
        <v>0</v>
      </c>
      <c r="AT46" s="75">
        <f t="shared" si="29"/>
        <v>0</v>
      </c>
      <c r="AU46" s="104">
        <f t="shared" si="30"/>
        <v>0</v>
      </c>
      <c r="AV46" s="75">
        <v>0</v>
      </c>
      <c r="AW46" s="96">
        <v>0</v>
      </c>
      <c r="AX46" s="75">
        <v>0</v>
      </c>
      <c r="AY46" s="75">
        <f t="shared" si="31"/>
        <v>0</v>
      </c>
      <c r="AZ46" s="104">
        <f t="shared" si="32"/>
        <v>0</v>
      </c>
      <c r="BA46" s="75">
        <v>0</v>
      </c>
      <c r="BB46" s="75">
        <f t="shared" si="33"/>
        <v>0</v>
      </c>
      <c r="BC46" s="104">
        <f t="shared" si="34"/>
        <v>0</v>
      </c>
      <c r="BD46" s="75">
        <v>0</v>
      </c>
      <c r="BE46" s="96">
        <v>0</v>
      </c>
    </row>
    <row r="47" spans="1:57" x14ac:dyDescent="0.25">
      <c r="A47" s="85">
        <f t="shared" si="6"/>
        <v>45436</v>
      </c>
      <c r="B47" s="75">
        <v>1418563.4242857706</v>
      </c>
      <c r="C47" s="75">
        <f t="shared" si="7"/>
        <v>1431294.5418748204</v>
      </c>
      <c r="D47" s="104">
        <f t="shared" si="8"/>
        <v>1088.2874448418179</v>
      </c>
      <c r="E47" s="75">
        <v>42277.441428500002</v>
      </c>
      <c r="F47" s="75">
        <f t="shared" si="9"/>
        <v>40344.663571472498</v>
      </c>
      <c r="G47" s="104">
        <f t="shared" si="10"/>
        <v>793.91562540958284</v>
      </c>
      <c r="H47" s="75">
        <v>1085.847768329171</v>
      </c>
      <c r="I47" s="96">
        <v>743.74716218327387</v>
      </c>
      <c r="J47" s="75">
        <f t="shared" si="0"/>
        <v>365567.29071467998</v>
      </c>
      <c r="K47" s="75">
        <f t="shared" si="11"/>
        <v>378274.95205350744</v>
      </c>
      <c r="L47" s="104">
        <f t="shared" si="12"/>
        <v>1088.2874448418179</v>
      </c>
      <c r="M47" s="75">
        <f t="shared" si="1"/>
        <v>42277.441428500002</v>
      </c>
      <c r="N47" s="75">
        <f t="shared" si="13"/>
        <v>40344.663571472498</v>
      </c>
      <c r="O47" s="104">
        <f t="shared" si="14"/>
        <v>793.91562540958284</v>
      </c>
      <c r="P47" s="75">
        <f t="shared" si="2"/>
        <v>1085.847768329171</v>
      </c>
      <c r="Q47" s="96">
        <f t="shared" si="3"/>
        <v>743.74716218327387</v>
      </c>
      <c r="R47" s="75">
        <f t="shared" si="4"/>
        <v>1418563.4242857702</v>
      </c>
      <c r="S47" s="75">
        <f t="shared" si="15"/>
        <v>1431294.5418748199</v>
      </c>
      <c r="T47" s="104">
        <f t="shared" si="16"/>
        <v>1085.3058354337104</v>
      </c>
      <c r="U47" s="75">
        <f t="shared" si="5"/>
        <v>42277.441428500002</v>
      </c>
      <c r="V47" s="75">
        <f t="shared" si="17"/>
        <v>40344.663571472498</v>
      </c>
      <c r="W47" s="104">
        <f t="shared" si="18"/>
        <v>791.74051412884182</v>
      </c>
      <c r="X47" s="75">
        <v>1082.8728429662367</v>
      </c>
      <c r="Y47" s="96">
        <v>741.70949874561404</v>
      </c>
      <c r="Z47" s="75">
        <v>365567.29071467998</v>
      </c>
      <c r="AA47" s="75">
        <f t="shared" si="19"/>
        <v>378274.95205350744</v>
      </c>
      <c r="AB47" s="104">
        <f t="shared" si="20"/>
        <v>883.38074091955514</v>
      </c>
      <c r="AC47" s="75">
        <v>42277.441428500002</v>
      </c>
      <c r="AD47" s="75">
        <f t="shared" si="21"/>
        <v>40344.663571472498</v>
      </c>
      <c r="AE47" s="104">
        <f t="shared" si="22"/>
        <v>791.74051412884182</v>
      </c>
      <c r="AF47" s="75">
        <v>872.47563416391404</v>
      </c>
      <c r="AG47" s="96">
        <v>741.70949874561404</v>
      </c>
      <c r="AH47" s="75">
        <v>1052996.1335710902</v>
      </c>
      <c r="AI47" s="75">
        <f t="shared" si="23"/>
        <v>1053019.5898213123</v>
      </c>
      <c r="AJ47" s="104">
        <f t="shared" si="24"/>
        <v>1182.2411535661643</v>
      </c>
      <c r="AK47" s="75">
        <v>0</v>
      </c>
      <c r="AL47" s="75">
        <f t="shared" si="25"/>
        <v>0</v>
      </c>
      <c r="AM47" s="104">
        <f t="shared" si="26"/>
        <v>0</v>
      </c>
      <c r="AN47" s="75">
        <v>1181.813842391796</v>
      </c>
      <c r="AO47" s="96">
        <v>0</v>
      </c>
      <c r="AP47" s="75">
        <v>0</v>
      </c>
      <c r="AQ47" s="75">
        <f t="shared" si="27"/>
        <v>0</v>
      </c>
      <c r="AR47" s="104">
        <f t="shared" si="28"/>
        <v>0</v>
      </c>
      <c r="AS47" s="75">
        <v>0</v>
      </c>
      <c r="AT47" s="75">
        <f t="shared" si="29"/>
        <v>0</v>
      </c>
      <c r="AU47" s="104">
        <f t="shared" si="30"/>
        <v>0</v>
      </c>
      <c r="AV47" s="75">
        <v>0</v>
      </c>
      <c r="AW47" s="96">
        <v>0</v>
      </c>
      <c r="AX47" s="75">
        <v>0</v>
      </c>
      <c r="AY47" s="75">
        <f t="shared" si="31"/>
        <v>0</v>
      </c>
      <c r="AZ47" s="104">
        <f t="shared" si="32"/>
        <v>0</v>
      </c>
      <c r="BA47" s="75">
        <v>0</v>
      </c>
      <c r="BB47" s="75">
        <f t="shared" si="33"/>
        <v>0</v>
      </c>
      <c r="BC47" s="104">
        <f t="shared" si="34"/>
        <v>0</v>
      </c>
      <c r="BD47" s="75">
        <v>0</v>
      </c>
      <c r="BE47" s="96">
        <v>0</v>
      </c>
    </row>
    <row r="48" spans="1:57" x14ac:dyDescent="0.25">
      <c r="A48" s="85">
        <f t="shared" si="6"/>
        <v>45443</v>
      </c>
      <c r="B48" s="75">
        <v>1360691.82571357</v>
      </c>
      <c r="C48" s="75">
        <f t="shared" si="7"/>
        <v>1365510.5051784953</v>
      </c>
      <c r="D48" s="104">
        <f t="shared" si="8"/>
        <v>1092.0429411059854</v>
      </c>
      <c r="E48" s="75">
        <v>42331.919285709992</v>
      </c>
      <c r="F48" s="75">
        <f t="shared" si="9"/>
        <v>41370.222767897503</v>
      </c>
      <c r="G48" s="104">
        <f t="shared" si="10"/>
        <v>766.87516397808554</v>
      </c>
      <c r="H48" s="75">
        <v>1070.981153871619</v>
      </c>
      <c r="I48" s="96">
        <v>707.47026276829979</v>
      </c>
      <c r="J48" s="75">
        <f t="shared" si="0"/>
        <v>325108.62714344996</v>
      </c>
      <c r="K48" s="75">
        <f t="shared" si="11"/>
        <v>349484.50142883498</v>
      </c>
      <c r="L48" s="104">
        <f t="shared" si="12"/>
        <v>1092.0429411059854</v>
      </c>
      <c r="M48" s="75">
        <f t="shared" si="1"/>
        <v>42331.919285709992</v>
      </c>
      <c r="N48" s="75">
        <f t="shared" si="13"/>
        <v>41370.222767897503</v>
      </c>
      <c r="O48" s="104">
        <f t="shared" si="14"/>
        <v>766.87516397808554</v>
      </c>
      <c r="P48" s="75">
        <f t="shared" si="2"/>
        <v>1070.981153871619</v>
      </c>
      <c r="Q48" s="96">
        <f t="shared" si="3"/>
        <v>707.47026276829979</v>
      </c>
      <c r="R48" s="75">
        <f t="shared" si="4"/>
        <v>1360691.82571357</v>
      </c>
      <c r="S48" s="75">
        <f t="shared" si="15"/>
        <v>1365510.5051784948</v>
      </c>
      <c r="T48" s="104">
        <f t="shared" si="16"/>
        <v>1089.0510426671199</v>
      </c>
      <c r="U48" s="75">
        <f t="shared" si="5"/>
        <v>42331.919285709992</v>
      </c>
      <c r="V48" s="75">
        <f t="shared" si="17"/>
        <v>41370.222767897503</v>
      </c>
      <c r="W48" s="104">
        <f t="shared" si="18"/>
        <v>764.77413615258024</v>
      </c>
      <c r="X48" s="75">
        <v>1068.0469589588461</v>
      </c>
      <c r="Y48" s="96">
        <v>705.53198809516653</v>
      </c>
      <c r="Z48" s="75">
        <v>325108.62714344996</v>
      </c>
      <c r="AA48" s="75">
        <f t="shared" si="19"/>
        <v>349484.50142883498</v>
      </c>
      <c r="AB48" s="104">
        <f t="shared" si="20"/>
        <v>886.36205962391</v>
      </c>
      <c r="AC48" s="75">
        <v>42331.919285709992</v>
      </c>
      <c r="AD48" s="75">
        <f t="shared" si="21"/>
        <v>41370.222767897503</v>
      </c>
      <c r="AE48" s="104">
        <f t="shared" si="22"/>
        <v>764.77413615258024</v>
      </c>
      <c r="AF48" s="75">
        <v>890.70856751630129</v>
      </c>
      <c r="AG48" s="96">
        <v>705.53198809516653</v>
      </c>
      <c r="AH48" s="75">
        <v>1035583.19857012</v>
      </c>
      <c r="AI48" s="75">
        <f t="shared" si="23"/>
        <v>1016026.00374966</v>
      </c>
      <c r="AJ48" s="104">
        <f t="shared" si="24"/>
        <v>1182.8192934118974</v>
      </c>
      <c r="AK48" s="75">
        <v>0</v>
      </c>
      <c r="AL48" s="75">
        <f t="shared" si="25"/>
        <v>0</v>
      </c>
      <c r="AM48" s="104">
        <f t="shared" si="26"/>
        <v>0</v>
      </c>
      <c r="AN48" s="75">
        <v>1139.2554439715291</v>
      </c>
      <c r="AO48" s="96">
        <v>0</v>
      </c>
      <c r="AP48" s="75">
        <v>0</v>
      </c>
      <c r="AQ48" s="75">
        <f t="shared" si="27"/>
        <v>0</v>
      </c>
      <c r="AR48" s="104">
        <f t="shared" si="28"/>
        <v>0</v>
      </c>
      <c r="AS48" s="75">
        <v>0</v>
      </c>
      <c r="AT48" s="75">
        <f t="shared" si="29"/>
        <v>0</v>
      </c>
      <c r="AU48" s="104">
        <f t="shared" si="30"/>
        <v>0</v>
      </c>
      <c r="AV48" s="75">
        <v>0</v>
      </c>
      <c r="AW48" s="96">
        <v>0</v>
      </c>
      <c r="AX48" s="75">
        <v>0</v>
      </c>
      <c r="AY48" s="75">
        <f t="shared" si="31"/>
        <v>0</v>
      </c>
      <c r="AZ48" s="104">
        <f t="shared" si="32"/>
        <v>0</v>
      </c>
      <c r="BA48" s="75">
        <v>0</v>
      </c>
      <c r="BB48" s="75">
        <f t="shared" si="33"/>
        <v>0</v>
      </c>
      <c r="BC48" s="104">
        <f t="shared" si="34"/>
        <v>0</v>
      </c>
      <c r="BD48" s="75">
        <v>0</v>
      </c>
      <c r="BE48" s="96">
        <v>0</v>
      </c>
    </row>
    <row r="49" spans="1:57" x14ac:dyDescent="0.25">
      <c r="A49" s="85">
        <f t="shared" si="6"/>
        <v>45450</v>
      </c>
      <c r="B49" s="75">
        <v>1230352.5414282104</v>
      </c>
      <c r="C49" s="75">
        <f t="shared" si="7"/>
        <v>1335624.0822319277</v>
      </c>
      <c r="D49" s="104">
        <f t="shared" si="8"/>
        <v>1075.4289106835743</v>
      </c>
      <c r="E49" s="75">
        <v>38044.921071490004</v>
      </c>
      <c r="F49" s="75">
        <f t="shared" si="9"/>
        <v>42602.161696447503</v>
      </c>
      <c r="G49" s="104">
        <f t="shared" si="10"/>
        <v>767.90262525154412</v>
      </c>
      <c r="H49" s="75">
        <v>1011.2562547490531</v>
      </c>
      <c r="I49" s="96">
        <v>794.78000175780448</v>
      </c>
      <c r="J49" s="75">
        <f t="shared" si="0"/>
        <v>322055.48607153998</v>
      </c>
      <c r="K49" s="75">
        <f t="shared" si="11"/>
        <v>341221.72741106746</v>
      </c>
      <c r="L49" s="104">
        <f t="shared" si="12"/>
        <v>1075.4289106835743</v>
      </c>
      <c r="M49" s="75">
        <f t="shared" si="1"/>
        <v>38044.921071490004</v>
      </c>
      <c r="N49" s="75">
        <f t="shared" si="13"/>
        <v>42602.161696447503</v>
      </c>
      <c r="O49" s="104">
        <f t="shared" si="14"/>
        <v>767.90262525154412</v>
      </c>
      <c r="P49" s="75">
        <f t="shared" si="2"/>
        <v>1011.2562547490531</v>
      </c>
      <c r="Q49" s="96">
        <f t="shared" si="3"/>
        <v>794.78000175780448</v>
      </c>
      <c r="R49" s="75">
        <f t="shared" si="4"/>
        <v>1230352.54142821</v>
      </c>
      <c r="S49" s="75">
        <f t="shared" si="15"/>
        <v>1335624.0822319277</v>
      </c>
      <c r="T49" s="104">
        <f t="shared" si="16"/>
        <v>1072.4825301358221</v>
      </c>
      <c r="U49" s="75">
        <f t="shared" si="5"/>
        <v>38044.921071490004</v>
      </c>
      <c r="V49" s="75">
        <f t="shared" si="17"/>
        <v>42602.161696447503</v>
      </c>
      <c r="W49" s="104">
        <f t="shared" si="18"/>
        <v>765.798782463674</v>
      </c>
      <c r="X49" s="75">
        <v>1008.4856896952541</v>
      </c>
      <c r="Y49" s="96">
        <v>792.60252232270841</v>
      </c>
      <c r="Z49" s="75">
        <v>322055.48607153998</v>
      </c>
      <c r="AA49" s="75">
        <f t="shared" si="19"/>
        <v>341221.72741106746</v>
      </c>
      <c r="AB49" s="104">
        <f t="shared" si="20"/>
        <v>883.55525453841585</v>
      </c>
      <c r="AC49" s="75">
        <v>38044.921071490004</v>
      </c>
      <c r="AD49" s="75">
        <f t="shared" si="21"/>
        <v>42602.161696447503</v>
      </c>
      <c r="AE49" s="104">
        <f t="shared" si="22"/>
        <v>765.798782463674</v>
      </c>
      <c r="AF49" s="75">
        <v>863.41953370386057</v>
      </c>
      <c r="AG49" s="96">
        <v>792.60252232270841</v>
      </c>
      <c r="AH49" s="75">
        <v>908297.05535666994</v>
      </c>
      <c r="AI49" s="75">
        <f t="shared" si="23"/>
        <v>994402.35482086008</v>
      </c>
      <c r="AJ49" s="104">
        <f t="shared" si="24"/>
        <v>1158.3259149117571</v>
      </c>
      <c r="AK49" s="75">
        <v>0</v>
      </c>
      <c r="AL49" s="75">
        <f t="shared" si="25"/>
        <v>0</v>
      </c>
      <c r="AM49" s="104">
        <f t="shared" si="26"/>
        <v>0</v>
      </c>
      <c r="AN49" s="75">
        <v>1072.3696049075206</v>
      </c>
      <c r="AO49" s="96">
        <v>0</v>
      </c>
      <c r="AP49" s="75">
        <v>0</v>
      </c>
      <c r="AQ49" s="75">
        <f t="shared" si="27"/>
        <v>0</v>
      </c>
      <c r="AR49" s="104">
        <f t="shared" si="28"/>
        <v>0</v>
      </c>
      <c r="AS49" s="75">
        <v>0</v>
      </c>
      <c r="AT49" s="75">
        <f t="shared" si="29"/>
        <v>0</v>
      </c>
      <c r="AU49" s="104">
        <f t="shared" si="30"/>
        <v>0</v>
      </c>
      <c r="AV49" s="75">
        <v>0</v>
      </c>
      <c r="AW49" s="96">
        <v>0</v>
      </c>
      <c r="AX49" s="75">
        <v>0</v>
      </c>
      <c r="AY49" s="75">
        <f t="shared" si="31"/>
        <v>0</v>
      </c>
      <c r="AZ49" s="104">
        <f t="shared" si="32"/>
        <v>0</v>
      </c>
      <c r="BA49" s="75">
        <v>0</v>
      </c>
      <c r="BB49" s="75">
        <f t="shared" si="33"/>
        <v>0</v>
      </c>
      <c r="BC49" s="104">
        <f t="shared" si="34"/>
        <v>0</v>
      </c>
      <c r="BD49" s="75">
        <v>0</v>
      </c>
      <c r="BE49" s="96">
        <v>0</v>
      </c>
    </row>
    <row r="50" spans="1:57" x14ac:dyDescent="0.25">
      <c r="A50" s="85">
        <f t="shared" si="6"/>
        <v>45457</v>
      </c>
      <c r="B50" s="75">
        <v>1222368.5942860502</v>
      </c>
      <c r="C50" s="75">
        <f t="shared" si="7"/>
        <v>1307994.0964284004</v>
      </c>
      <c r="D50" s="104">
        <f t="shared" si="8"/>
        <v>1065.8655189316485</v>
      </c>
      <c r="E50" s="75">
        <v>26502.586071420003</v>
      </c>
      <c r="F50" s="75">
        <f t="shared" si="9"/>
        <v>37289.21696428</v>
      </c>
      <c r="G50" s="104">
        <f t="shared" si="10"/>
        <v>727.59557775911912</v>
      </c>
      <c r="H50" s="75">
        <v>1095.376898776751</v>
      </c>
      <c r="I50" s="96">
        <v>664.38488432709812</v>
      </c>
      <c r="J50" s="75">
        <f t="shared" si="0"/>
        <v>309602.68071435002</v>
      </c>
      <c r="K50" s="75">
        <f t="shared" si="11"/>
        <v>330583.52116100496</v>
      </c>
      <c r="L50" s="104">
        <f t="shared" si="12"/>
        <v>1065.8655189316485</v>
      </c>
      <c r="M50" s="75">
        <f t="shared" si="1"/>
        <v>26502.586071420003</v>
      </c>
      <c r="N50" s="75">
        <f t="shared" si="13"/>
        <v>37289.21696428</v>
      </c>
      <c r="O50" s="104">
        <f t="shared" si="14"/>
        <v>727.59557775911912</v>
      </c>
      <c r="P50" s="75">
        <f t="shared" si="2"/>
        <v>1095.376898776751</v>
      </c>
      <c r="Q50" s="96">
        <f t="shared" si="3"/>
        <v>664.38488432709812</v>
      </c>
      <c r="R50" s="75">
        <f t="shared" si="4"/>
        <v>1222368.5942860502</v>
      </c>
      <c r="S50" s="75">
        <f t="shared" si="15"/>
        <v>1307994.0964283999</v>
      </c>
      <c r="T50" s="104">
        <f t="shared" si="16"/>
        <v>1062.9453394569273</v>
      </c>
      <c r="U50" s="75">
        <f t="shared" si="5"/>
        <v>26502.586071420003</v>
      </c>
      <c r="V50" s="75">
        <f t="shared" si="17"/>
        <v>37289.21696428</v>
      </c>
      <c r="W50" s="104">
        <f t="shared" si="18"/>
        <v>725.60216523724716</v>
      </c>
      <c r="X50" s="75">
        <v>1092.3758662073728</v>
      </c>
      <c r="Y50" s="96">
        <v>662.56465178550002</v>
      </c>
      <c r="Z50" s="75">
        <v>309602.68071435002</v>
      </c>
      <c r="AA50" s="75">
        <f t="shared" si="19"/>
        <v>330583.52116100496</v>
      </c>
      <c r="AB50" s="104">
        <f t="shared" si="20"/>
        <v>877.16566369954455</v>
      </c>
      <c r="AC50" s="75">
        <v>26502.586071420003</v>
      </c>
      <c r="AD50" s="75">
        <f t="shared" si="21"/>
        <v>37289.21696428</v>
      </c>
      <c r="AE50" s="104">
        <f t="shared" si="22"/>
        <v>725.60216523724716</v>
      </c>
      <c r="AF50" s="75">
        <v>882.05891941410266</v>
      </c>
      <c r="AG50" s="96">
        <v>662.56465178550002</v>
      </c>
      <c r="AH50" s="75">
        <v>912765.91357170022</v>
      </c>
      <c r="AI50" s="75">
        <f t="shared" si="23"/>
        <v>977410.57526739524</v>
      </c>
      <c r="AJ50" s="104">
        <f t="shared" si="24"/>
        <v>1145.4840436418326</v>
      </c>
      <c r="AK50" s="75">
        <v>0</v>
      </c>
      <c r="AL50" s="75">
        <f t="shared" si="25"/>
        <v>0</v>
      </c>
      <c r="AM50" s="104">
        <f t="shared" si="26"/>
        <v>0</v>
      </c>
      <c r="AN50" s="75">
        <v>1188.4972832964847</v>
      </c>
      <c r="AO50" s="96">
        <v>0</v>
      </c>
      <c r="AP50" s="75">
        <v>0</v>
      </c>
      <c r="AQ50" s="75">
        <f t="shared" si="27"/>
        <v>0</v>
      </c>
      <c r="AR50" s="104">
        <f t="shared" si="28"/>
        <v>0</v>
      </c>
      <c r="AS50" s="75">
        <v>0</v>
      </c>
      <c r="AT50" s="75">
        <f t="shared" si="29"/>
        <v>0</v>
      </c>
      <c r="AU50" s="104">
        <f t="shared" si="30"/>
        <v>0</v>
      </c>
      <c r="AV50" s="75">
        <v>0</v>
      </c>
      <c r="AW50" s="96">
        <v>0</v>
      </c>
      <c r="AX50" s="75">
        <v>0</v>
      </c>
      <c r="AY50" s="75">
        <f t="shared" si="31"/>
        <v>0</v>
      </c>
      <c r="AZ50" s="104">
        <f t="shared" si="32"/>
        <v>0</v>
      </c>
      <c r="BA50" s="75">
        <v>0</v>
      </c>
      <c r="BB50" s="75">
        <f t="shared" si="33"/>
        <v>0</v>
      </c>
      <c r="BC50" s="104">
        <f t="shared" si="34"/>
        <v>0</v>
      </c>
      <c r="BD50" s="75">
        <v>0</v>
      </c>
      <c r="BE50" s="96">
        <v>0</v>
      </c>
    </row>
    <row r="51" spans="1:57" x14ac:dyDescent="0.25">
      <c r="A51" s="85">
        <f t="shared" si="6"/>
        <v>45464</v>
      </c>
      <c r="B51" s="75">
        <v>1154720.6757147496</v>
      </c>
      <c r="C51" s="75">
        <f t="shared" si="7"/>
        <v>1242033.409285645</v>
      </c>
      <c r="D51" s="104">
        <f t="shared" si="8"/>
        <v>1053.324190720466</v>
      </c>
      <c r="E51" s="75">
        <v>28586.966428429998</v>
      </c>
      <c r="F51" s="75">
        <f t="shared" si="9"/>
        <v>33866.5982142625</v>
      </c>
      <c r="G51" s="104">
        <f t="shared" si="10"/>
        <v>730.24761648763365</v>
      </c>
      <c r="H51" s="75">
        <v>1035.6824554844416</v>
      </c>
      <c r="I51" s="96">
        <v>754.35531709733209</v>
      </c>
      <c r="J51" s="75">
        <f t="shared" si="0"/>
        <v>334276.51678567997</v>
      </c>
      <c r="K51" s="75">
        <f t="shared" si="11"/>
        <v>322760.82767875493</v>
      </c>
      <c r="L51" s="104">
        <f t="shared" si="12"/>
        <v>1053.324190720466</v>
      </c>
      <c r="M51" s="75">
        <f t="shared" si="1"/>
        <v>28586.966428429998</v>
      </c>
      <c r="N51" s="75">
        <f t="shared" si="13"/>
        <v>33866.5982142625</v>
      </c>
      <c r="O51" s="104">
        <f t="shared" si="14"/>
        <v>730.24761648763365</v>
      </c>
      <c r="P51" s="75">
        <f t="shared" si="2"/>
        <v>1035.6824554844416</v>
      </c>
      <c r="Q51" s="96">
        <f t="shared" si="3"/>
        <v>754.35531709733209</v>
      </c>
      <c r="R51" s="75">
        <f t="shared" si="4"/>
        <v>1153721.1960718899</v>
      </c>
      <c r="S51" s="75">
        <f t="shared" si="15"/>
        <v>1241783.5393749301</v>
      </c>
      <c r="T51" s="104">
        <f t="shared" si="16"/>
        <v>1050.4458386687904</v>
      </c>
      <c r="U51" s="75">
        <f t="shared" si="5"/>
        <v>28586.966428429998</v>
      </c>
      <c r="V51" s="75">
        <f t="shared" si="17"/>
        <v>33866.5982142625</v>
      </c>
      <c r="W51" s="104">
        <f t="shared" si="18"/>
        <v>728.24693810630424</v>
      </c>
      <c r="X51" s="75">
        <v>1032.8748398136884</v>
      </c>
      <c r="Y51" s="96">
        <v>752.28859022184201</v>
      </c>
      <c r="Z51" s="75">
        <v>333277.03714281996</v>
      </c>
      <c r="AA51" s="75">
        <f t="shared" si="19"/>
        <v>322510.95776803995</v>
      </c>
      <c r="AB51" s="104">
        <f t="shared" si="20"/>
        <v>877.15999936198239</v>
      </c>
      <c r="AC51" s="75">
        <v>28586.966428429998</v>
      </c>
      <c r="AD51" s="75">
        <f t="shared" si="21"/>
        <v>33866.5982142625</v>
      </c>
      <c r="AE51" s="104">
        <f t="shared" si="22"/>
        <v>728.24693810630424</v>
      </c>
      <c r="AF51" s="75">
        <v>872.4529768136648</v>
      </c>
      <c r="AG51" s="96">
        <v>752.28859022184201</v>
      </c>
      <c r="AH51" s="75">
        <v>820444.15892906999</v>
      </c>
      <c r="AI51" s="75">
        <f t="shared" si="23"/>
        <v>919272.58160688996</v>
      </c>
      <c r="AJ51" s="104">
        <f t="shared" si="24"/>
        <v>1129.0932221354039</v>
      </c>
      <c r="AK51" s="75">
        <v>0</v>
      </c>
      <c r="AL51" s="75">
        <f t="shared" si="25"/>
        <v>0</v>
      </c>
      <c r="AM51" s="104">
        <f t="shared" si="26"/>
        <v>0</v>
      </c>
      <c r="AN51" s="75">
        <v>1116.2505563660816</v>
      </c>
      <c r="AO51" s="96">
        <v>0</v>
      </c>
      <c r="AP51" s="75">
        <v>999.47964286000001</v>
      </c>
      <c r="AQ51" s="75">
        <f t="shared" si="27"/>
        <v>249.869910715</v>
      </c>
      <c r="AR51" s="104">
        <f t="shared" si="28"/>
        <v>250.55636650678417</v>
      </c>
      <c r="AS51" s="75">
        <v>0</v>
      </c>
      <c r="AT51" s="75">
        <f t="shared" si="29"/>
        <v>0</v>
      </c>
      <c r="AU51" s="104">
        <f t="shared" si="30"/>
        <v>0</v>
      </c>
      <c r="AV51" s="75">
        <v>1002.2254660271367</v>
      </c>
      <c r="AW51" s="96">
        <v>0</v>
      </c>
      <c r="AX51" s="75">
        <v>999.47964286000001</v>
      </c>
      <c r="AY51" s="75">
        <f t="shared" si="31"/>
        <v>249.869910715</v>
      </c>
      <c r="AZ51" s="104">
        <f t="shared" si="32"/>
        <v>250.55636650678417</v>
      </c>
      <c r="BA51" s="75">
        <v>0</v>
      </c>
      <c r="BB51" s="75">
        <f t="shared" si="33"/>
        <v>0</v>
      </c>
      <c r="BC51" s="104">
        <f t="shared" si="34"/>
        <v>0</v>
      </c>
      <c r="BD51" s="75">
        <v>1002.2254660271367</v>
      </c>
      <c r="BE51" s="96">
        <v>0</v>
      </c>
    </row>
    <row r="52" spans="1:57" x14ac:dyDescent="0.25">
      <c r="A52" s="85">
        <f t="shared" si="6"/>
        <v>45471</v>
      </c>
      <c r="B52" s="75">
        <v>1274768.6085705999</v>
      </c>
      <c r="C52" s="75">
        <f t="shared" si="7"/>
        <v>1220552.6049999027</v>
      </c>
      <c r="D52" s="104">
        <f t="shared" si="8"/>
        <v>1063.2224122650482</v>
      </c>
      <c r="E52" s="75">
        <v>22491.167857189997</v>
      </c>
      <c r="F52" s="75">
        <f t="shared" si="9"/>
        <v>28906.410357132499</v>
      </c>
      <c r="G52" s="104">
        <f t="shared" si="10"/>
        <v>788.30668391279823</v>
      </c>
      <c r="H52" s="75">
        <v>1110.5740400499471</v>
      </c>
      <c r="I52" s="96">
        <v>939.70653246895813</v>
      </c>
      <c r="J52" s="75">
        <f t="shared" si="0"/>
        <v>296989.29071392992</v>
      </c>
      <c r="K52" s="75">
        <f t="shared" si="11"/>
        <v>315730.99357137497</v>
      </c>
      <c r="L52" s="104">
        <f t="shared" si="12"/>
        <v>1063.2224122650482</v>
      </c>
      <c r="M52" s="75">
        <f t="shared" si="1"/>
        <v>22491.167857189997</v>
      </c>
      <c r="N52" s="75">
        <f t="shared" si="13"/>
        <v>28906.410357132499</v>
      </c>
      <c r="O52" s="104">
        <f t="shared" si="14"/>
        <v>788.30668391279823</v>
      </c>
      <c r="P52" s="75">
        <f t="shared" si="2"/>
        <v>1110.5740400499471</v>
      </c>
      <c r="Q52" s="96">
        <f t="shared" si="3"/>
        <v>939.70653246895813</v>
      </c>
      <c r="R52" s="75">
        <f t="shared" si="4"/>
        <v>1274768.6085706002</v>
      </c>
      <c r="S52" s="75">
        <f t="shared" si="15"/>
        <v>1220302.7350891875</v>
      </c>
      <c r="T52" s="104">
        <f t="shared" si="16"/>
        <v>1060.3169417984532</v>
      </c>
      <c r="U52" s="75">
        <f t="shared" si="5"/>
        <v>22491.167857189997</v>
      </c>
      <c r="V52" s="75">
        <f t="shared" si="17"/>
        <v>28906.410357132499</v>
      </c>
      <c r="W52" s="104">
        <f t="shared" si="18"/>
        <v>786.14693959490842</v>
      </c>
      <c r="X52" s="75">
        <v>1107.5313714774979</v>
      </c>
      <c r="Y52" s="96">
        <v>937.13199404958323</v>
      </c>
      <c r="Z52" s="75">
        <v>296989.29071392992</v>
      </c>
      <c r="AA52" s="75">
        <f t="shared" si="19"/>
        <v>315481.12366066</v>
      </c>
      <c r="AB52" s="104">
        <f t="shared" si="20"/>
        <v>885.78292813238511</v>
      </c>
      <c r="AC52" s="75">
        <v>22491.167857189997</v>
      </c>
      <c r="AD52" s="75">
        <f t="shared" si="21"/>
        <v>28906.410357132499</v>
      </c>
      <c r="AE52" s="104">
        <f t="shared" si="22"/>
        <v>786.14693959490842</v>
      </c>
      <c r="AF52" s="75">
        <v>925.20028259791252</v>
      </c>
      <c r="AG52" s="96">
        <v>937.13199404958323</v>
      </c>
      <c r="AH52" s="75">
        <v>977779.31785667024</v>
      </c>
      <c r="AI52" s="75">
        <f t="shared" si="23"/>
        <v>904821.61142852763</v>
      </c>
      <c r="AJ52" s="104">
        <f t="shared" si="24"/>
        <v>1138.7912038704344</v>
      </c>
      <c r="AK52" s="75">
        <v>0</v>
      </c>
      <c r="AL52" s="75">
        <f t="shared" si="25"/>
        <v>0</v>
      </c>
      <c r="AM52" s="104">
        <f t="shared" si="26"/>
        <v>0</v>
      </c>
      <c r="AN52" s="75">
        <v>1178.0473709116509</v>
      </c>
      <c r="AO52" s="96">
        <v>0</v>
      </c>
      <c r="AP52" s="75">
        <v>0</v>
      </c>
      <c r="AQ52" s="75">
        <f t="shared" si="27"/>
        <v>249.869910715</v>
      </c>
      <c r="AR52" s="104">
        <f t="shared" si="28"/>
        <v>250.55636650678417</v>
      </c>
      <c r="AS52" s="75">
        <v>0</v>
      </c>
      <c r="AT52" s="75">
        <f t="shared" si="29"/>
        <v>0</v>
      </c>
      <c r="AU52" s="104">
        <f t="shared" si="30"/>
        <v>0</v>
      </c>
      <c r="AV52" s="75">
        <v>0</v>
      </c>
      <c r="AW52" s="96">
        <v>0</v>
      </c>
      <c r="AX52" s="75">
        <v>0</v>
      </c>
      <c r="AY52" s="75">
        <f t="shared" si="31"/>
        <v>249.869910715</v>
      </c>
      <c r="AZ52" s="104">
        <f t="shared" si="32"/>
        <v>250.55636650678417</v>
      </c>
      <c r="BA52" s="75">
        <v>0</v>
      </c>
      <c r="BB52" s="75">
        <f t="shared" si="33"/>
        <v>0</v>
      </c>
      <c r="BC52" s="104">
        <f t="shared" si="34"/>
        <v>0</v>
      </c>
      <c r="BD52" s="75">
        <v>0</v>
      </c>
      <c r="BE52" s="96">
        <v>0</v>
      </c>
    </row>
    <row r="53" spans="1:57" x14ac:dyDescent="0.25">
      <c r="A53" s="85">
        <f t="shared" si="6"/>
        <v>45478</v>
      </c>
      <c r="B53" s="75">
        <v>1190118.8128574803</v>
      </c>
      <c r="C53" s="75">
        <f t="shared" si="7"/>
        <v>1210494.1728572198</v>
      </c>
      <c r="D53" s="104">
        <f t="shared" si="8"/>
        <v>1077.2662130685885</v>
      </c>
      <c r="E53" s="75">
        <v>37856.337142799995</v>
      </c>
      <c r="F53" s="75">
        <f t="shared" si="9"/>
        <v>28859.264374959999</v>
      </c>
      <c r="G53" s="104">
        <f t="shared" si="10"/>
        <v>853.22514227871943</v>
      </c>
      <c r="H53" s="75">
        <v>1067.4314579632141</v>
      </c>
      <c r="I53" s="96">
        <v>1054.4538352214897</v>
      </c>
      <c r="J53" s="75">
        <f t="shared" si="0"/>
        <v>296914.95928583003</v>
      </c>
      <c r="K53" s="75">
        <f t="shared" si="11"/>
        <v>309445.8618749475</v>
      </c>
      <c r="L53" s="104">
        <f t="shared" si="12"/>
        <v>1077.2662130685885</v>
      </c>
      <c r="M53" s="75">
        <f t="shared" si="1"/>
        <v>37856.337142799995</v>
      </c>
      <c r="N53" s="75">
        <f t="shared" si="13"/>
        <v>28859.264374959999</v>
      </c>
      <c r="O53" s="104">
        <f t="shared" si="14"/>
        <v>853.22514227871943</v>
      </c>
      <c r="P53" s="75">
        <f t="shared" si="2"/>
        <v>1067.4314579632141</v>
      </c>
      <c r="Q53" s="96">
        <f t="shared" si="3"/>
        <v>1054.4538352214897</v>
      </c>
      <c r="R53" s="75">
        <f t="shared" si="4"/>
        <v>1190118.8128574803</v>
      </c>
      <c r="S53" s="75">
        <f t="shared" si="15"/>
        <v>1210244.3029465051</v>
      </c>
      <c r="T53" s="104">
        <f t="shared" si="16"/>
        <v>1074.3222664357936</v>
      </c>
      <c r="U53" s="75">
        <f t="shared" si="5"/>
        <v>37856.337142799995</v>
      </c>
      <c r="V53" s="75">
        <f t="shared" si="17"/>
        <v>28859.264374959999</v>
      </c>
      <c r="W53" s="104">
        <f t="shared" si="18"/>
        <v>850.88753917256463</v>
      </c>
      <c r="X53" s="75">
        <v>1064.5069882446155</v>
      </c>
      <c r="Y53" s="96">
        <v>1051.5649206333333</v>
      </c>
      <c r="Z53" s="75">
        <v>296914.95928583003</v>
      </c>
      <c r="AA53" s="75">
        <f t="shared" si="19"/>
        <v>309195.99196423247</v>
      </c>
      <c r="AB53" s="104">
        <f t="shared" si="20"/>
        <v>892.1697806988077</v>
      </c>
      <c r="AC53" s="75">
        <v>37856.337142799995</v>
      </c>
      <c r="AD53" s="75">
        <f t="shared" si="21"/>
        <v>28859.264374959999</v>
      </c>
      <c r="AE53" s="104">
        <f t="shared" si="22"/>
        <v>850.88753917256463</v>
      </c>
      <c r="AF53" s="75">
        <v>888.96694396955104</v>
      </c>
      <c r="AG53" s="96">
        <v>1051.5649206333333</v>
      </c>
      <c r="AH53" s="75">
        <v>893203.85357165011</v>
      </c>
      <c r="AI53" s="75">
        <f t="shared" si="23"/>
        <v>901048.31098227261</v>
      </c>
      <c r="AJ53" s="104">
        <f t="shared" si="24"/>
        <v>1155.5214600324734</v>
      </c>
      <c r="AK53" s="75">
        <v>0</v>
      </c>
      <c r="AL53" s="75">
        <f t="shared" si="25"/>
        <v>0</v>
      </c>
      <c r="AM53" s="104">
        <f t="shared" si="26"/>
        <v>0</v>
      </c>
      <c r="AN53" s="75">
        <v>1139.2906295556761</v>
      </c>
      <c r="AO53" s="96">
        <v>0</v>
      </c>
      <c r="AP53" s="75">
        <v>0</v>
      </c>
      <c r="AQ53" s="75">
        <f t="shared" si="27"/>
        <v>249.869910715</v>
      </c>
      <c r="AR53" s="104">
        <f t="shared" si="28"/>
        <v>250.55636650678417</v>
      </c>
      <c r="AS53" s="75">
        <v>0</v>
      </c>
      <c r="AT53" s="75">
        <f t="shared" si="29"/>
        <v>0</v>
      </c>
      <c r="AU53" s="104">
        <f t="shared" si="30"/>
        <v>0</v>
      </c>
      <c r="AV53" s="75">
        <v>0</v>
      </c>
      <c r="AW53" s="96">
        <v>0</v>
      </c>
      <c r="AX53" s="75">
        <v>0</v>
      </c>
      <c r="AY53" s="75">
        <f t="shared" si="31"/>
        <v>249.869910715</v>
      </c>
      <c r="AZ53" s="104">
        <f t="shared" si="32"/>
        <v>250.55636650678417</v>
      </c>
      <c r="BA53" s="75">
        <v>0</v>
      </c>
      <c r="BB53" s="75">
        <f t="shared" si="33"/>
        <v>0</v>
      </c>
      <c r="BC53" s="104">
        <f t="shared" si="34"/>
        <v>0</v>
      </c>
      <c r="BD53" s="75">
        <v>0</v>
      </c>
      <c r="BE53" s="96">
        <v>0</v>
      </c>
    </row>
    <row r="54" spans="1:57" x14ac:dyDescent="0.25">
      <c r="A54" s="85">
        <f t="shared" si="6"/>
        <v>45485</v>
      </c>
      <c r="B54" s="75">
        <v>1011332.03500055</v>
      </c>
      <c r="C54" s="75">
        <f t="shared" si="7"/>
        <v>1157735.033035845</v>
      </c>
      <c r="D54" s="104">
        <f t="shared" si="8"/>
        <v>1067.5132435005023</v>
      </c>
      <c r="E54" s="75">
        <v>20441.228214270002</v>
      </c>
      <c r="F54" s="75">
        <f t="shared" si="9"/>
        <v>27343.924910672496</v>
      </c>
      <c r="G54" s="104">
        <f t="shared" si="10"/>
        <v>956.83136111899444</v>
      </c>
      <c r="H54" s="75">
        <v>1056.3650205044062</v>
      </c>
      <c r="I54" s="96">
        <v>1078.809759688198</v>
      </c>
      <c r="J54" s="75">
        <f t="shared" si="0"/>
        <v>253226.02357143999</v>
      </c>
      <c r="K54" s="75">
        <f t="shared" si="11"/>
        <v>295351.69758921996</v>
      </c>
      <c r="L54" s="104">
        <f t="shared" si="12"/>
        <v>1067.5132435005023</v>
      </c>
      <c r="M54" s="75">
        <f t="shared" si="1"/>
        <v>20441.228214270002</v>
      </c>
      <c r="N54" s="75">
        <f t="shared" si="13"/>
        <v>27343.924910672496</v>
      </c>
      <c r="O54" s="104">
        <f t="shared" si="14"/>
        <v>956.83136111899444</v>
      </c>
      <c r="P54" s="75">
        <f t="shared" si="2"/>
        <v>1056.3650205044062</v>
      </c>
      <c r="Q54" s="96">
        <f t="shared" si="3"/>
        <v>1078.809759688198</v>
      </c>
      <c r="R54" s="75">
        <f t="shared" si="4"/>
        <v>1011332.0350005502</v>
      </c>
      <c r="S54" s="75">
        <f t="shared" si="15"/>
        <v>1157485.1631251301</v>
      </c>
      <c r="T54" s="104">
        <f t="shared" si="16"/>
        <v>1064.5960173320104</v>
      </c>
      <c r="U54" s="75">
        <f t="shared" si="5"/>
        <v>20441.228214270002</v>
      </c>
      <c r="V54" s="75">
        <f t="shared" si="17"/>
        <v>27343.924910672496</v>
      </c>
      <c r="W54" s="104">
        <f t="shared" si="18"/>
        <v>954.20990536132126</v>
      </c>
      <c r="X54" s="75">
        <v>1053.4708697922399</v>
      </c>
      <c r="Y54" s="96">
        <v>1075.8541165405265</v>
      </c>
      <c r="Z54" s="75">
        <v>253226.02357143999</v>
      </c>
      <c r="AA54" s="75">
        <f t="shared" si="19"/>
        <v>295101.82767850498</v>
      </c>
      <c r="AB54" s="104">
        <f t="shared" si="20"/>
        <v>882.67673715481556</v>
      </c>
      <c r="AC54" s="75">
        <v>20441.228214270002</v>
      </c>
      <c r="AD54" s="75">
        <f t="shared" si="21"/>
        <v>27343.924910672496</v>
      </c>
      <c r="AE54" s="104">
        <f t="shared" si="22"/>
        <v>954.20990536132126</v>
      </c>
      <c r="AF54" s="75">
        <v>844.08674523813329</v>
      </c>
      <c r="AG54" s="96">
        <v>1075.8541165405265</v>
      </c>
      <c r="AH54" s="75">
        <v>758106.01142911019</v>
      </c>
      <c r="AI54" s="75">
        <f t="shared" si="23"/>
        <v>862383.33544662513</v>
      </c>
      <c r="AJ54" s="104">
        <f t="shared" si="24"/>
        <v>1145.5585071739242</v>
      </c>
      <c r="AK54" s="75">
        <v>0</v>
      </c>
      <c r="AL54" s="75">
        <f t="shared" si="25"/>
        <v>0</v>
      </c>
      <c r="AM54" s="104">
        <f t="shared" si="26"/>
        <v>0</v>
      </c>
      <c r="AN54" s="75">
        <v>1148.6454718622881</v>
      </c>
      <c r="AO54" s="96">
        <v>0</v>
      </c>
      <c r="AP54" s="75">
        <v>0</v>
      </c>
      <c r="AQ54" s="75">
        <f t="shared" si="27"/>
        <v>249.869910715</v>
      </c>
      <c r="AR54" s="104">
        <f t="shared" si="28"/>
        <v>250.55636650678417</v>
      </c>
      <c r="AS54" s="75">
        <v>0</v>
      </c>
      <c r="AT54" s="75">
        <f t="shared" si="29"/>
        <v>0</v>
      </c>
      <c r="AU54" s="104">
        <f t="shared" si="30"/>
        <v>0</v>
      </c>
      <c r="AV54" s="75">
        <v>0</v>
      </c>
      <c r="AW54" s="96">
        <v>0</v>
      </c>
      <c r="AX54" s="75">
        <v>0</v>
      </c>
      <c r="AY54" s="75">
        <f t="shared" si="31"/>
        <v>249.869910715</v>
      </c>
      <c r="AZ54" s="104">
        <f t="shared" si="32"/>
        <v>250.55636650678417</v>
      </c>
      <c r="BA54" s="75">
        <v>0</v>
      </c>
      <c r="BB54" s="75">
        <f t="shared" si="33"/>
        <v>0</v>
      </c>
      <c r="BC54" s="104">
        <f t="shared" si="34"/>
        <v>0</v>
      </c>
      <c r="BD54" s="75">
        <v>0</v>
      </c>
      <c r="BE54" s="96">
        <v>0</v>
      </c>
    </row>
    <row r="55" spans="1:57" x14ac:dyDescent="0.25">
      <c r="A55" s="85">
        <f t="shared" si="6"/>
        <v>45492</v>
      </c>
      <c r="B55" s="75">
        <v>945117.60071502009</v>
      </c>
      <c r="C55" s="75">
        <f t="shared" si="7"/>
        <v>1105334.2642859125</v>
      </c>
      <c r="D55" s="104">
        <f t="shared" si="8"/>
        <v>1075.4040253540611</v>
      </c>
      <c r="E55" s="75">
        <v>30133.783571290001</v>
      </c>
      <c r="F55" s="75">
        <f t="shared" si="9"/>
        <v>27730.629196387497</v>
      </c>
      <c r="G55" s="104">
        <f t="shared" si="10"/>
        <v>1011.9245374104778</v>
      </c>
      <c r="H55" s="75">
        <v>1067.2455828986767</v>
      </c>
      <c r="I55" s="96">
        <v>974.72802226326542</v>
      </c>
      <c r="J55" s="75">
        <f t="shared" si="0"/>
        <v>217153.16249996005</v>
      </c>
      <c r="K55" s="75">
        <f t="shared" si="11"/>
        <v>266070.85901779</v>
      </c>
      <c r="L55" s="104">
        <f t="shared" si="12"/>
        <v>1075.4040253540611</v>
      </c>
      <c r="M55" s="75">
        <f t="shared" si="1"/>
        <v>30133.783571290001</v>
      </c>
      <c r="N55" s="75">
        <f t="shared" si="13"/>
        <v>27730.629196387497</v>
      </c>
      <c r="O55" s="104">
        <f t="shared" si="14"/>
        <v>1011.9245374104778</v>
      </c>
      <c r="P55" s="75">
        <f t="shared" si="2"/>
        <v>1067.2455828986767</v>
      </c>
      <c r="Q55" s="96">
        <f t="shared" si="3"/>
        <v>974.72802226326542</v>
      </c>
      <c r="R55" s="75">
        <f t="shared" si="4"/>
        <v>945117.60071502009</v>
      </c>
      <c r="S55" s="75">
        <f t="shared" si="15"/>
        <v>1105334.2642859127</v>
      </c>
      <c r="T55" s="104">
        <f t="shared" si="16"/>
        <v>1072.4577129852944</v>
      </c>
      <c r="U55" s="75">
        <f t="shared" si="5"/>
        <v>30133.783571290001</v>
      </c>
      <c r="V55" s="75">
        <f t="shared" si="17"/>
        <v>27730.629196387497</v>
      </c>
      <c r="W55" s="104">
        <f t="shared" si="18"/>
        <v>1009.1521414452961</v>
      </c>
      <c r="X55" s="75">
        <v>1064.3216224268244</v>
      </c>
      <c r="Y55" s="96">
        <v>972.05753455774197</v>
      </c>
      <c r="Z55" s="75">
        <v>217153.16249996005</v>
      </c>
      <c r="AA55" s="75">
        <f t="shared" si="19"/>
        <v>266070.85901779</v>
      </c>
      <c r="AB55" s="104">
        <f t="shared" si="20"/>
        <v>873.3646107398223</v>
      </c>
      <c r="AC55" s="75">
        <v>30133.783571290001</v>
      </c>
      <c r="AD55" s="75">
        <f t="shared" si="21"/>
        <v>27730.629196387497</v>
      </c>
      <c r="AE55" s="104">
        <f t="shared" si="22"/>
        <v>1009.1521414452961</v>
      </c>
      <c r="AF55" s="75">
        <v>835.20447115369245</v>
      </c>
      <c r="AG55" s="96">
        <v>972.05753455774197</v>
      </c>
      <c r="AH55" s="75">
        <v>727964.43821506004</v>
      </c>
      <c r="AI55" s="75">
        <f t="shared" si="23"/>
        <v>839263.40526812267</v>
      </c>
      <c r="AJ55" s="104">
        <f t="shared" si="24"/>
        <v>1156.2906285183353</v>
      </c>
      <c r="AK55" s="75">
        <v>0</v>
      </c>
      <c r="AL55" s="75">
        <f t="shared" si="25"/>
        <v>0</v>
      </c>
      <c r="AM55" s="104">
        <f t="shared" si="26"/>
        <v>0</v>
      </c>
      <c r="AN55" s="75">
        <v>1159.1790417437262</v>
      </c>
      <c r="AO55" s="96">
        <v>0</v>
      </c>
      <c r="AP55" s="75">
        <v>0</v>
      </c>
      <c r="AQ55" s="75">
        <f t="shared" si="27"/>
        <v>0</v>
      </c>
      <c r="AR55" s="104">
        <f t="shared" si="28"/>
        <v>0</v>
      </c>
      <c r="AS55" s="75">
        <v>0</v>
      </c>
      <c r="AT55" s="75">
        <f t="shared" si="29"/>
        <v>0</v>
      </c>
      <c r="AU55" s="104">
        <f t="shared" si="30"/>
        <v>0</v>
      </c>
      <c r="AV55" s="75">
        <v>0</v>
      </c>
      <c r="AW55" s="96">
        <v>0</v>
      </c>
      <c r="AX55" s="75">
        <v>0</v>
      </c>
      <c r="AY55" s="75">
        <f t="shared" si="31"/>
        <v>0</v>
      </c>
      <c r="AZ55" s="104">
        <f t="shared" si="32"/>
        <v>0</v>
      </c>
      <c r="BA55" s="75">
        <v>0</v>
      </c>
      <c r="BB55" s="75">
        <f t="shared" si="33"/>
        <v>0</v>
      </c>
      <c r="BC55" s="104">
        <f t="shared" si="34"/>
        <v>0</v>
      </c>
      <c r="BD55" s="75">
        <v>0</v>
      </c>
      <c r="BE55" s="96">
        <v>0</v>
      </c>
    </row>
    <row r="56" spans="1:57" x14ac:dyDescent="0.25">
      <c r="A56" s="85">
        <f t="shared" si="6"/>
        <v>45499</v>
      </c>
      <c r="B56" s="75">
        <v>953215.49357133987</v>
      </c>
      <c r="C56" s="75">
        <f t="shared" si="7"/>
        <v>1024945.9855360975</v>
      </c>
      <c r="D56" s="104">
        <f t="shared" si="8"/>
        <v>1060.9307293912764</v>
      </c>
      <c r="E56" s="75">
        <v>39812.520714300001</v>
      </c>
      <c r="F56" s="75">
        <f t="shared" si="9"/>
        <v>32060.967410664998</v>
      </c>
      <c r="G56" s="104">
        <f t="shared" si="10"/>
        <v>993.96472913079617</v>
      </c>
      <c r="H56" s="75">
        <v>1052.6808561988084</v>
      </c>
      <c r="I56" s="96">
        <v>867.86729935023197</v>
      </c>
      <c r="J56" s="75">
        <f t="shared" si="0"/>
        <v>217891.25142868009</v>
      </c>
      <c r="K56" s="75">
        <f t="shared" si="11"/>
        <v>246296.34919647756</v>
      </c>
      <c r="L56" s="104">
        <f t="shared" si="12"/>
        <v>1060.9307293912764</v>
      </c>
      <c r="M56" s="75">
        <f t="shared" si="1"/>
        <v>39812.520714300001</v>
      </c>
      <c r="N56" s="75">
        <f t="shared" si="13"/>
        <v>32060.967410664998</v>
      </c>
      <c r="O56" s="104">
        <f t="shared" si="14"/>
        <v>993.96472913079617</v>
      </c>
      <c r="P56" s="75">
        <f t="shared" si="2"/>
        <v>1052.6808561988084</v>
      </c>
      <c r="Q56" s="96">
        <f t="shared" si="3"/>
        <v>867.86729935023197</v>
      </c>
      <c r="R56" s="75">
        <f t="shared" si="4"/>
        <v>953215.49357134011</v>
      </c>
      <c r="S56" s="75">
        <f t="shared" si="15"/>
        <v>1024945.9855360977</v>
      </c>
      <c r="T56" s="104">
        <f t="shared" si="16"/>
        <v>1058.0240698877647</v>
      </c>
      <c r="U56" s="75">
        <f t="shared" si="5"/>
        <v>39812.520714300001</v>
      </c>
      <c r="V56" s="75">
        <f t="shared" si="17"/>
        <v>32060.967410664998</v>
      </c>
      <c r="W56" s="104">
        <f t="shared" si="18"/>
        <v>991.24153811931342</v>
      </c>
      <c r="X56" s="75">
        <v>1049.796799087379</v>
      </c>
      <c r="Y56" s="96">
        <v>865.48958074565223</v>
      </c>
      <c r="Z56" s="75">
        <v>217891.25142868009</v>
      </c>
      <c r="AA56" s="75">
        <f t="shared" si="19"/>
        <v>246296.34919647756</v>
      </c>
      <c r="AB56" s="104">
        <f t="shared" si="20"/>
        <v>858.22649587276487</v>
      </c>
      <c r="AC56" s="75">
        <v>39812.520714300001</v>
      </c>
      <c r="AD56" s="75">
        <f t="shared" si="21"/>
        <v>32060.967410664998</v>
      </c>
      <c r="AE56" s="104">
        <f t="shared" si="22"/>
        <v>991.24153811931342</v>
      </c>
      <c r="AF56" s="75">
        <v>864.64782312968293</v>
      </c>
      <c r="AG56" s="96">
        <v>865.48958074565223</v>
      </c>
      <c r="AH56" s="75">
        <v>735324.24214265996</v>
      </c>
      <c r="AI56" s="75">
        <f t="shared" si="23"/>
        <v>778649.6363396201</v>
      </c>
      <c r="AJ56" s="104">
        <f t="shared" si="24"/>
        <v>1142.009060997229</v>
      </c>
      <c r="AK56" s="75">
        <v>0</v>
      </c>
      <c r="AL56" s="75">
        <f t="shared" si="25"/>
        <v>0</v>
      </c>
      <c r="AM56" s="104">
        <f t="shared" si="26"/>
        <v>0</v>
      </c>
      <c r="AN56" s="75">
        <v>1120.9211008272255</v>
      </c>
      <c r="AO56" s="96">
        <v>0</v>
      </c>
      <c r="AP56" s="75">
        <v>0</v>
      </c>
      <c r="AQ56" s="75">
        <f t="shared" si="27"/>
        <v>0</v>
      </c>
      <c r="AR56" s="104">
        <f t="shared" si="28"/>
        <v>0</v>
      </c>
      <c r="AS56" s="75">
        <v>0</v>
      </c>
      <c r="AT56" s="75">
        <f t="shared" si="29"/>
        <v>0</v>
      </c>
      <c r="AU56" s="104">
        <f t="shared" si="30"/>
        <v>0</v>
      </c>
      <c r="AV56" s="75">
        <v>0</v>
      </c>
      <c r="AW56" s="96">
        <v>0</v>
      </c>
      <c r="AX56" s="75">
        <v>0</v>
      </c>
      <c r="AY56" s="75">
        <f t="shared" si="31"/>
        <v>0</v>
      </c>
      <c r="AZ56" s="104">
        <f t="shared" si="32"/>
        <v>0</v>
      </c>
      <c r="BA56" s="75">
        <v>0</v>
      </c>
      <c r="BB56" s="75">
        <f t="shared" si="33"/>
        <v>0</v>
      </c>
      <c r="BC56" s="104">
        <f t="shared" si="34"/>
        <v>0</v>
      </c>
      <c r="BD56" s="75">
        <v>0</v>
      </c>
      <c r="BE56" s="96">
        <v>0</v>
      </c>
    </row>
    <row r="57" spans="1:57" x14ac:dyDescent="0.25">
      <c r="A57" s="85">
        <f t="shared" si="6"/>
        <v>45506</v>
      </c>
      <c r="B57" s="75">
        <v>1074245.7014296497</v>
      </c>
      <c r="C57" s="75">
        <f t="shared" si="7"/>
        <v>995977.70767913992</v>
      </c>
      <c r="D57" s="104">
        <f t="shared" si="8"/>
        <v>1062.2991910594701</v>
      </c>
      <c r="E57" s="75">
        <v>30883.025714259995</v>
      </c>
      <c r="F57" s="75">
        <f t="shared" si="9"/>
        <v>30317.639553530003</v>
      </c>
      <c r="G57" s="104">
        <f t="shared" si="10"/>
        <v>972.28774837734738</v>
      </c>
      <c r="H57" s="75">
        <v>1072.9053046359891</v>
      </c>
      <c r="I57" s="96">
        <v>967.74591220769423</v>
      </c>
      <c r="J57" s="75">
        <f t="shared" si="0"/>
        <v>267783.62750037998</v>
      </c>
      <c r="K57" s="75">
        <f t="shared" si="11"/>
        <v>239013.516250115</v>
      </c>
      <c r="L57" s="104">
        <f t="shared" si="12"/>
        <v>1062.2991910594701</v>
      </c>
      <c r="M57" s="75">
        <f t="shared" si="1"/>
        <v>30883.025714259995</v>
      </c>
      <c r="N57" s="75">
        <f t="shared" si="13"/>
        <v>30317.639553530003</v>
      </c>
      <c r="O57" s="104">
        <f t="shared" si="14"/>
        <v>972.28774837734738</v>
      </c>
      <c r="P57" s="75">
        <f t="shared" si="2"/>
        <v>1072.9053046359891</v>
      </c>
      <c r="Q57" s="96">
        <f t="shared" si="3"/>
        <v>967.74591220769423</v>
      </c>
      <c r="R57" s="75">
        <f t="shared" si="4"/>
        <v>1074245.7014296497</v>
      </c>
      <c r="S57" s="75">
        <f t="shared" si="15"/>
        <v>995977.70767914003</v>
      </c>
      <c r="T57" s="104">
        <f t="shared" si="16"/>
        <v>1059.3887823459459</v>
      </c>
      <c r="U57" s="75">
        <f t="shared" si="5"/>
        <v>30883.025714259995</v>
      </c>
      <c r="V57" s="75">
        <f t="shared" si="17"/>
        <v>30317.639553530003</v>
      </c>
      <c r="W57" s="104">
        <f t="shared" si="18"/>
        <v>969.62394635363648</v>
      </c>
      <c r="X57" s="75">
        <v>1069.9658380773403</v>
      </c>
      <c r="Y57" s="96">
        <v>965.09455357062484</v>
      </c>
      <c r="Z57" s="75">
        <v>267783.62750037998</v>
      </c>
      <c r="AA57" s="75">
        <f t="shared" si="19"/>
        <v>239013.516250115</v>
      </c>
      <c r="AB57" s="104">
        <f t="shared" si="20"/>
        <v>870.06135734574423</v>
      </c>
      <c r="AC57" s="75">
        <v>30883.025714259995</v>
      </c>
      <c r="AD57" s="75">
        <f t="shared" si="21"/>
        <v>30317.639553530003</v>
      </c>
      <c r="AE57" s="104">
        <f t="shared" si="22"/>
        <v>969.62394635363648</v>
      </c>
      <c r="AF57" s="75">
        <v>936.30638986146846</v>
      </c>
      <c r="AG57" s="96">
        <v>965.09455357062484</v>
      </c>
      <c r="AH57" s="75">
        <v>806462.0739292698</v>
      </c>
      <c r="AI57" s="75">
        <f t="shared" si="23"/>
        <v>756964.19142902503</v>
      </c>
      <c r="AJ57" s="104">
        <f t="shared" si="24"/>
        <v>1137.9879613831254</v>
      </c>
      <c r="AK57" s="75">
        <v>0</v>
      </c>
      <c r="AL57" s="75">
        <f t="shared" si="25"/>
        <v>0</v>
      </c>
      <c r="AM57" s="104">
        <f t="shared" si="26"/>
        <v>0</v>
      </c>
      <c r="AN57" s="75">
        <v>1123.2062310992615</v>
      </c>
      <c r="AO57" s="96">
        <v>0</v>
      </c>
      <c r="AP57" s="75">
        <v>0</v>
      </c>
      <c r="AQ57" s="75">
        <f t="shared" si="27"/>
        <v>0</v>
      </c>
      <c r="AR57" s="104">
        <f t="shared" si="28"/>
        <v>0</v>
      </c>
      <c r="AS57" s="75">
        <v>0</v>
      </c>
      <c r="AT57" s="75">
        <f t="shared" si="29"/>
        <v>0</v>
      </c>
      <c r="AU57" s="104">
        <f t="shared" si="30"/>
        <v>0</v>
      </c>
      <c r="AV57" s="75">
        <v>0</v>
      </c>
      <c r="AW57" s="96">
        <v>0</v>
      </c>
      <c r="AX57" s="75">
        <v>0</v>
      </c>
      <c r="AY57" s="75">
        <f t="shared" si="31"/>
        <v>0</v>
      </c>
      <c r="AZ57" s="104">
        <f t="shared" si="32"/>
        <v>0</v>
      </c>
      <c r="BA57" s="75">
        <v>0</v>
      </c>
      <c r="BB57" s="75">
        <f t="shared" si="33"/>
        <v>0</v>
      </c>
      <c r="BC57" s="104">
        <f t="shared" si="34"/>
        <v>0</v>
      </c>
      <c r="BD57" s="75">
        <v>0</v>
      </c>
      <c r="BE57" s="96">
        <v>0</v>
      </c>
    </row>
    <row r="58" spans="1:57" x14ac:dyDescent="0.25">
      <c r="A58" s="85">
        <f t="shared" si="6"/>
        <v>45513</v>
      </c>
      <c r="B58" s="75">
        <v>919647.52321449982</v>
      </c>
      <c r="C58" s="75">
        <f t="shared" si="7"/>
        <v>973056.57973262738</v>
      </c>
      <c r="D58" s="104">
        <f t="shared" si="8"/>
        <v>1084.2420635307074</v>
      </c>
      <c r="E58" s="75">
        <v>24389.817142969998</v>
      </c>
      <c r="F58" s="75">
        <f t="shared" si="9"/>
        <v>31304.786785704997</v>
      </c>
      <c r="G58" s="104">
        <f t="shared" si="10"/>
        <v>906.3921595757073</v>
      </c>
      <c r="H58" s="75">
        <v>1144.1365103893554</v>
      </c>
      <c r="I58" s="96">
        <v>815.22740448163756</v>
      </c>
      <c r="J58" s="75">
        <f t="shared" si="0"/>
        <v>188232.82642836001</v>
      </c>
      <c r="K58" s="75">
        <f t="shared" si="11"/>
        <v>222765.21696434502</v>
      </c>
      <c r="L58" s="104">
        <f t="shared" si="12"/>
        <v>1084.2420635307074</v>
      </c>
      <c r="M58" s="75">
        <f t="shared" si="1"/>
        <v>24389.817142969998</v>
      </c>
      <c r="N58" s="75">
        <f t="shared" si="13"/>
        <v>31304.786785704997</v>
      </c>
      <c r="O58" s="104">
        <f t="shared" si="14"/>
        <v>906.3921595757073</v>
      </c>
      <c r="P58" s="75">
        <f t="shared" si="2"/>
        <v>1144.1365103893554</v>
      </c>
      <c r="Q58" s="96">
        <f t="shared" si="3"/>
        <v>815.22740448163756</v>
      </c>
      <c r="R58" s="75">
        <f t="shared" si="4"/>
        <v>919647.52321450016</v>
      </c>
      <c r="S58" s="75">
        <f t="shared" si="15"/>
        <v>973056.57973262761</v>
      </c>
      <c r="T58" s="104">
        <f t="shared" si="16"/>
        <v>1081.2715373589592</v>
      </c>
      <c r="U58" s="75">
        <f t="shared" si="5"/>
        <v>24389.817142969998</v>
      </c>
      <c r="V58" s="75">
        <f t="shared" si="17"/>
        <v>31304.786785704997</v>
      </c>
      <c r="W58" s="104">
        <f t="shared" si="18"/>
        <v>903.90889340992146</v>
      </c>
      <c r="X58" s="75">
        <v>1141.0018898442929</v>
      </c>
      <c r="Y58" s="96">
        <v>812.99390476566657</v>
      </c>
      <c r="Z58" s="75">
        <v>188232.82642836001</v>
      </c>
      <c r="AA58" s="75">
        <f t="shared" si="19"/>
        <v>222765.21696434502</v>
      </c>
      <c r="AB58" s="104">
        <f t="shared" si="20"/>
        <v>886.37400247142841</v>
      </c>
      <c r="AC58" s="75">
        <v>24389.817142969998</v>
      </c>
      <c r="AD58" s="75">
        <f t="shared" si="21"/>
        <v>31304.786785704997</v>
      </c>
      <c r="AE58" s="104">
        <f t="shared" si="22"/>
        <v>903.90889340992146</v>
      </c>
      <c r="AF58" s="75">
        <v>909.33732574086969</v>
      </c>
      <c r="AG58" s="96">
        <v>812.99390476566657</v>
      </c>
      <c r="AH58" s="75">
        <v>731414.69678614009</v>
      </c>
      <c r="AI58" s="75">
        <f t="shared" si="23"/>
        <v>750291.36276828242</v>
      </c>
      <c r="AJ58" s="104">
        <f t="shared" si="24"/>
        <v>1156.0914919092645</v>
      </c>
      <c r="AK58" s="75">
        <v>0</v>
      </c>
      <c r="AL58" s="75">
        <f t="shared" si="25"/>
        <v>0</v>
      </c>
      <c r="AM58" s="104">
        <f t="shared" si="26"/>
        <v>0</v>
      </c>
      <c r="AN58" s="75">
        <v>1221.0595939668449</v>
      </c>
      <c r="AO58" s="96">
        <v>0</v>
      </c>
      <c r="AP58" s="75">
        <v>0</v>
      </c>
      <c r="AQ58" s="75">
        <f t="shared" si="27"/>
        <v>0</v>
      </c>
      <c r="AR58" s="104">
        <f t="shared" si="28"/>
        <v>0</v>
      </c>
      <c r="AS58" s="75">
        <v>0</v>
      </c>
      <c r="AT58" s="75">
        <f t="shared" si="29"/>
        <v>0</v>
      </c>
      <c r="AU58" s="104">
        <f t="shared" si="30"/>
        <v>0</v>
      </c>
      <c r="AV58" s="75">
        <v>0</v>
      </c>
      <c r="AW58" s="96">
        <v>0</v>
      </c>
      <c r="AX58" s="75">
        <v>0</v>
      </c>
      <c r="AY58" s="75">
        <f t="shared" si="31"/>
        <v>0</v>
      </c>
      <c r="AZ58" s="104">
        <f t="shared" si="32"/>
        <v>0</v>
      </c>
      <c r="BA58" s="75">
        <v>0</v>
      </c>
      <c r="BB58" s="75">
        <f t="shared" si="33"/>
        <v>0</v>
      </c>
      <c r="BC58" s="104">
        <f t="shared" si="34"/>
        <v>0</v>
      </c>
      <c r="BD58" s="75">
        <v>0</v>
      </c>
      <c r="BE58" s="96">
        <v>0</v>
      </c>
    </row>
    <row r="59" spans="1:57" x14ac:dyDescent="0.25">
      <c r="A59" s="85">
        <f t="shared" si="6"/>
        <v>45520</v>
      </c>
      <c r="B59" s="75">
        <v>855677.67000041995</v>
      </c>
      <c r="C59" s="75">
        <f t="shared" si="7"/>
        <v>950696.59705397731</v>
      </c>
      <c r="D59" s="104">
        <f t="shared" si="8"/>
        <v>1096.3735913452188</v>
      </c>
      <c r="E59" s="75">
        <v>36151.392857179999</v>
      </c>
      <c r="F59" s="75">
        <f t="shared" si="9"/>
        <v>32809.189107177495</v>
      </c>
      <c r="G59" s="104">
        <f t="shared" si="10"/>
        <v>901.20166630941731</v>
      </c>
      <c r="H59" s="75">
        <v>1115.7716941567219</v>
      </c>
      <c r="I59" s="96">
        <v>953.96604919810545</v>
      </c>
      <c r="J59" s="75">
        <f t="shared" si="0"/>
        <v>189401.11428593998</v>
      </c>
      <c r="K59" s="75">
        <f t="shared" si="11"/>
        <v>215827.20491084</v>
      </c>
      <c r="L59" s="104">
        <f t="shared" si="12"/>
        <v>1096.3735913452188</v>
      </c>
      <c r="M59" s="75">
        <f t="shared" si="1"/>
        <v>36151.392857179999</v>
      </c>
      <c r="N59" s="75">
        <f t="shared" si="13"/>
        <v>32809.189107177495</v>
      </c>
      <c r="O59" s="104">
        <f t="shared" si="14"/>
        <v>901.20166630941731</v>
      </c>
      <c r="P59" s="75">
        <f t="shared" si="2"/>
        <v>1115.7716941567219</v>
      </c>
      <c r="Q59" s="96">
        <f t="shared" si="3"/>
        <v>953.96604919810545</v>
      </c>
      <c r="R59" s="75">
        <f t="shared" si="4"/>
        <v>855677.67000041984</v>
      </c>
      <c r="S59" s="75">
        <f t="shared" si="15"/>
        <v>950696.59705397743</v>
      </c>
      <c r="T59" s="104">
        <f t="shared" si="16"/>
        <v>1093.3698281112972</v>
      </c>
      <c r="U59" s="75">
        <f t="shared" si="5"/>
        <v>36151.392857179999</v>
      </c>
      <c r="V59" s="75">
        <f t="shared" si="17"/>
        <v>32809.189107177495</v>
      </c>
      <c r="W59" s="104">
        <f t="shared" si="18"/>
        <v>898.73262067298595</v>
      </c>
      <c r="X59" s="75">
        <v>1112.7147854361767</v>
      </c>
      <c r="Y59" s="96">
        <v>951.35244361000002</v>
      </c>
      <c r="Z59" s="75">
        <v>189401.11428593998</v>
      </c>
      <c r="AA59" s="75">
        <f t="shared" si="19"/>
        <v>215827.20491084</v>
      </c>
      <c r="AB59" s="104">
        <f t="shared" si="20"/>
        <v>896.78713732876918</v>
      </c>
      <c r="AC59" s="75">
        <v>36151.392857179999</v>
      </c>
      <c r="AD59" s="75">
        <f t="shared" si="21"/>
        <v>32809.189107177495</v>
      </c>
      <c r="AE59" s="104">
        <f t="shared" si="22"/>
        <v>898.73262067298595</v>
      </c>
      <c r="AF59" s="75">
        <v>876.85701058305551</v>
      </c>
      <c r="AG59" s="96">
        <v>951.35244361000002</v>
      </c>
      <c r="AH59" s="75">
        <v>666276.55571447988</v>
      </c>
      <c r="AI59" s="75">
        <f t="shared" si="23"/>
        <v>734869.39214313752</v>
      </c>
      <c r="AJ59" s="104">
        <f t="shared" si="24"/>
        <v>1167.5067476191196</v>
      </c>
      <c r="AK59" s="75">
        <v>0</v>
      </c>
      <c r="AL59" s="75">
        <f t="shared" si="25"/>
        <v>0</v>
      </c>
      <c r="AM59" s="104">
        <f t="shared" si="26"/>
        <v>0</v>
      </c>
      <c r="AN59" s="75">
        <v>1204.8400645831462</v>
      </c>
      <c r="AO59" s="96">
        <v>0</v>
      </c>
      <c r="AP59" s="75">
        <v>0</v>
      </c>
      <c r="AQ59" s="75">
        <f t="shared" si="27"/>
        <v>0</v>
      </c>
      <c r="AR59" s="104">
        <f t="shared" si="28"/>
        <v>0</v>
      </c>
      <c r="AS59" s="75">
        <v>0</v>
      </c>
      <c r="AT59" s="75">
        <f t="shared" si="29"/>
        <v>0</v>
      </c>
      <c r="AU59" s="104">
        <f t="shared" si="30"/>
        <v>0</v>
      </c>
      <c r="AV59" s="75">
        <v>0</v>
      </c>
      <c r="AW59" s="96">
        <v>0</v>
      </c>
      <c r="AX59" s="75">
        <v>0</v>
      </c>
      <c r="AY59" s="75">
        <f t="shared" si="31"/>
        <v>0</v>
      </c>
      <c r="AZ59" s="104">
        <f t="shared" si="32"/>
        <v>0</v>
      </c>
      <c r="BA59" s="75">
        <v>0</v>
      </c>
      <c r="BB59" s="75">
        <f t="shared" si="33"/>
        <v>0</v>
      </c>
      <c r="BC59" s="104">
        <f t="shared" si="34"/>
        <v>0</v>
      </c>
      <c r="BD59" s="75">
        <v>0</v>
      </c>
      <c r="BE59" s="96">
        <v>0</v>
      </c>
    </row>
    <row r="60" spans="1:57" x14ac:dyDescent="0.25">
      <c r="A60" s="85">
        <f t="shared" si="6"/>
        <v>45527</v>
      </c>
      <c r="B60" s="75">
        <v>833355.98321480991</v>
      </c>
      <c r="C60" s="75">
        <f t="shared" si="7"/>
        <v>920731.71946484491</v>
      </c>
      <c r="D60" s="104">
        <f t="shared" si="8"/>
        <v>1094.6694044251094</v>
      </c>
      <c r="E60" s="75">
        <v>40674.965357170011</v>
      </c>
      <c r="F60" s="75">
        <f t="shared" si="9"/>
        <v>33024.800267895</v>
      </c>
      <c r="G60" s="104">
        <f t="shared" si="10"/>
        <v>896.66562150504376</v>
      </c>
      <c r="H60" s="75">
        <v>1045.8641085183713</v>
      </c>
      <c r="I60" s="96">
        <v>849.72312013273756</v>
      </c>
      <c r="J60" s="75">
        <f t="shared" si="0"/>
        <v>195376.05428556996</v>
      </c>
      <c r="K60" s="75">
        <f t="shared" si="11"/>
        <v>210198.40562506247</v>
      </c>
      <c r="L60" s="104">
        <f t="shared" si="12"/>
        <v>1094.6694044251094</v>
      </c>
      <c r="M60" s="75">
        <f t="shared" si="1"/>
        <v>40674.965357170011</v>
      </c>
      <c r="N60" s="75">
        <f t="shared" si="13"/>
        <v>33024.800267895</v>
      </c>
      <c r="O60" s="104">
        <f t="shared" si="14"/>
        <v>896.66562150504376</v>
      </c>
      <c r="P60" s="75">
        <f t="shared" si="2"/>
        <v>1045.8641085183713</v>
      </c>
      <c r="Q60" s="96">
        <f t="shared" si="3"/>
        <v>849.72312013273756</v>
      </c>
      <c r="R60" s="75">
        <f t="shared" si="4"/>
        <v>833355.98321481002</v>
      </c>
      <c r="S60" s="75">
        <f t="shared" si="15"/>
        <v>920731.71946484491</v>
      </c>
      <c r="T60" s="104">
        <f t="shared" si="16"/>
        <v>1091.6703101964017</v>
      </c>
      <c r="U60" s="75">
        <f t="shared" si="5"/>
        <v>40674.965357170011</v>
      </c>
      <c r="V60" s="75">
        <f t="shared" si="17"/>
        <v>33024.800267895</v>
      </c>
      <c r="W60" s="104">
        <f t="shared" si="18"/>
        <v>894.20900338850004</v>
      </c>
      <c r="X60" s="75">
        <v>1042.9987274277973</v>
      </c>
      <c r="Y60" s="96">
        <v>847.3951116077086</v>
      </c>
      <c r="Z60" s="75">
        <v>195376.05428556996</v>
      </c>
      <c r="AA60" s="75">
        <f t="shared" si="19"/>
        <v>210198.40562506247</v>
      </c>
      <c r="AB60" s="104">
        <f t="shared" si="20"/>
        <v>884.14190476048373</v>
      </c>
      <c r="AC60" s="75">
        <v>40674.965357170011</v>
      </c>
      <c r="AD60" s="75">
        <f t="shared" si="21"/>
        <v>33024.800267895</v>
      </c>
      <c r="AE60" s="104">
        <f t="shared" si="22"/>
        <v>894.20900338850004</v>
      </c>
      <c r="AF60" s="75">
        <v>814.06689285654147</v>
      </c>
      <c r="AG60" s="96">
        <v>847.3951116077086</v>
      </c>
      <c r="AH60" s="75">
        <v>637979.92892924009</v>
      </c>
      <c r="AI60" s="75">
        <f t="shared" si="23"/>
        <v>710533.31383978238</v>
      </c>
      <c r="AJ60" s="104">
        <f t="shared" si="24"/>
        <v>1172.5984442053543</v>
      </c>
      <c r="AK60" s="75">
        <v>0</v>
      </c>
      <c r="AL60" s="75">
        <f t="shared" si="25"/>
        <v>0</v>
      </c>
      <c r="AM60" s="104">
        <f t="shared" si="26"/>
        <v>0</v>
      </c>
      <c r="AN60" s="75">
        <v>1141.2878871721648</v>
      </c>
      <c r="AO60" s="96">
        <v>0</v>
      </c>
      <c r="AP60" s="75">
        <v>0</v>
      </c>
      <c r="AQ60" s="75">
        <f t="shared" si="27"/>
        <v>0</v>
      </c>
      <c r="AR60" s="104">
        <f t="shared" si="28"/>
        <v>0</v>
      </c>
      <c r="AS60" s="75">
        <v>0</v>
      </c>
      <c r="AT60" s="75">
        <f t="shared" si="29"/>
        <v>0</v>
      </c>
      <c r="AU60" s="104">
        <f t="shared" si="30"/>
        <v>0</v>
      </c>
      <c r="AV60" s="75">
        <v>0</v>
      </c>
      <c r="AW60" s="96">
        <v>0</v>
      </c>
      <c r="AX60" s="75">
        <v>0</v>
      </c>
      <c r="AY60" s="75">
        <f t="shared" si="31"/>
        <v>0</v>
      </c>
      <c r="AZ60" s="104">
        <f t="shared" si="32"/>
        <v>0</v>
      </c>
      <c r="BA60" s="75">
        <v>0</v>
      </c>
      <c r="BB60" s="75">
        <f t="shared" si="33"/>
        <v>0</v>
      </c>
      <c r="BC60" s="104">
        <f t="shared" si="34"/>
        <v>0</v>
      </c>
      <c r="BD60" s="75">
        <v>0</v>
      </c>
      <c r="BE60" s="96">
        <v>0</v>
      </c>
    </row>
    <row r="61" spans="1:57" x14ac:dyDescent="0.25">
      <c r="A61" s="85">
        <f t="shared" si="6"/>
        <v>45534</v>
      </c>
      <c r="B61" s="75">
        <v>791515.13749990007</v>
      </c>
      <c r="C61" s="75">
        <f t="shared" si="7"/>
        <v>850049.07848240749</v>
      </c>
      <c r="D61" s="104">
        <f t="shared" si="8"/>
        <v>1092.4248576274003</v>
      </c>
      <c r="E61" s="75">
        <v>39714.672856889993</v>
      </c>
      <c r="F61" s="75">
        <f t="shared" si="9"/>
        <v>35232.712053552495</v>
      </c>
      <c r="G61" s="104">
        <f t="shared" si="10"/>
        <v>871.16272551783914</v>
      </c>
      <c r="H61" s="75">
        <v>1063.9271174451524</v>
      </c>
      <c r="I61" s="96">
        <v>865.73432825887562</v>
      </c>
      <c r="J61" s="75">
        <f t="shared" si="0"/>
        <v>170778.77642862999</v>
      </c>
      <c r="K61" s="75">
        <f t="shared" si="11"/>
        <v>185947.19285712499</v>
      </c>
      <c r="L61" s="104">
        <f t="shared" si="12"/>
        <v>1092.4248576274003</v>
      </c>
      <c r="M61" s="75">
        <f t="shared" si="1"/>
        <v>39714.672856889993</v>
      </c>
      <c r="N61" s="75">
        <f t="shared" si="13"/>
        <v>35232.712053552495</v>
      </c>
      <c r="O61" s="104">
        <f t="shared" si="14"/>
        <v>871.16272551783914</v>
      </c>
      <c r="P61" s="75">
        <f t="shared" si="2"/>
        <v>1063.9271174451524</v>
      </c>
      <c r="Q61" s="96">
        <f t="shared" si="3"/>
        <v>865.73432825887562</v>
      </c>
      <c r="R61" s="75">
        <f t="shared" si="4"/>
        <v>791515.13749990007</v>
      </c>
      <c r="S61" s="75">
        <f t="shared" si="15"/>
        <v>850049.07848240749</v>
      </c>
      <c r="T61" s="104">
        <f t="shared" si="16"/>
        <v>1089.4319128419127</v>
      </c>
      <c r="U61" s="75">
        <f t="shared" si="5"/>
        <v>39714.672856889993</v>
      </c>
      <c r="V61" s="75">
        <f t="shared" si="17"/>
        <v>35232.712053552495</v>
      </c>
      <c r="W61" s="104">
        <f t="shared" si="18"/>
        <v>868.77597834850678</v>
      </c>
      <c r="X61" s="75">
        <v>1061.0122486593834</v>
      </c>
      <c r="Y61" s="96">
        <v>863.36245341065205</v>
      </c>
      <c r="Z61" s="75">
        <v>170778.77642862999</v>
      </c>
      <c r="AA61" s="75">
        <f t="shared" si="19"/>
        <v>185947.19285712499</v>
      </c>
      <c r="AB61" s="104">
        <f t="shared" si="20"/>
        <v>870.14105011551612</v>
      </c>
      <c r="AC61" s="75">
        <v>39714.672856889993</v>
      </c>
      <c r="AD61" s="75">
        <f t="shared" si="21"/>
        <v>35232.712053552495</v>
      </c>
      <c r="AE61" s="104">
        <f t="shared" si="22"/>
        <v>868.77597834850678</v>
      </c>
      <c r="AF61" s="75">
        <v>880.30297128159793</v>
      </c>
      <c r="AG61" s="96">
        <v>863.36245341065205</v>
      </c>
      <c r="AH61" s="75">
        <v>620736.36107127008</v>
      </c>
      <c r="AI61" s="75">
        <f t="shared" si="23"/>
        <v>664101.88562528254</v>
      </c>
      <c r="AJ61" s="104">
        <f t="shared" si="24"/>
        <v>1172.9274847418026</v>
      </c>
      <c r="AK61" s="75">
        <v>0</v>
      </c>
      <c r="AL61" s="75">
        <f t="shared" si="25"/>
        <v>0</v>
      </c>
      <c r="AM61" s="104">
        <f t="shared" si="26"/>
        <v>0</v>
      </c>
      <c r="AN61" s="75">
        <v>1124.5223932450544</v>
      </c>
      <c r="AO61" s="96">
        <v>0</v>
      </c>
      <c r="AP61" s="75">
        <v>0</v>
      </c>
      <c r="AQ61" s="75">
        <f t="shared" si="27"/>
        <v>0</v>
      </c>
      <c r="AR61" s="104">
        <f t="shared" si="28"/>
        <v>0</v>
      </c>
      <c r="AS61" s="75">
        <v>0</v>
      </c>
      <c r="AT61" s="75">
        <f t="shared" si="29"/>
        <v>0</v>
      </c>
      <c r="AU61" s="104">
        <f t="shared" si="30"/>
        <v>0</v>
      </c>
      <c r="AV61" s="75">
        <v>0</v>
      </c>
      <c r="AW61" s="96">
        <v>0</v>
      </c>
      <c r="AX61" s="75">
        <v>0</v>
      </c>
      <c r="AY61" s="75">
        <f t="shared" si="31"/>
        <v>0</v>
      </c>
      <c r="AZ61" s="104">
        <f t="shared" si="32"/>
        <v>0</v>
      </c>
      <c r="BA61" s="75">
        <v>0</v>
      </c>
      <c r="BB61" s="75">
        <f t="shared" si="33"/>
        <v>0</v>
      </c>
      <c r="BC61" s="104">
        <f t="shared" si="34"/>
        <v>0</v>
      </c>
      <c r="BD61" s="75">
        <v>0</v>
      </c>
      <c r="BE61" s="96">
        <v>0</v>
      </c>
    </row>
    <row r="62" spans="1:57" x14ac:dyDescent="0.25">
      <c r="A62" s="85">
        <f t="shared" si="6"/>
        <v>45541</v>
      </c>
      <c r="B62" s="75">
        <v>916387.11500056996</v>
      </c>
      <c r="C62" s="75">
        <f t="shared" si="7"/>
        <v>849233.97642892506</v>
      </c>
      <c r="D62" s="104">
        <f t="shared" si="8"/>
        <v>1064.5100171071842</v>
      </c>
      <c r="E62" s="75">
        <v>51596.097857179986</v>
      </c>
      <c r="F62" s="75">
        <f t="shared" si="9"/>
        <v>42034.282232104997</v>
      </c>
      <c r="G62" s="104">
        <f t="shared" si="10"/>
        <v>926.0451012841512</v>
      </c>
      <c r="H62" s="75">
        <v>1032.4771483084915</v>
      </c>
      <c r="I62" s="96">
        <v>1034.7569075468859</v>
      </c>
      <c r="J62" s="75">
        <f t="shared" si="0"/>
        <v>224440.61250010005</v>
      </c>
      <c r="K62" s="75">
        <f t="shared" si="11"/>
        <v>194999.13937506001</v>
      </c>
      <c r="L62" s="104">
        <f t="shared" si="12"/>
        <v>1064.5100171071842</v>
      </c>
      <c r="M62" s="75">
        <f t="shared" si="1"/>
        <v>51596.097857179986</v>
      </c>
      <c r="N62" s="75">
        <f t="shared" si="13"/>
        <v>42034.282232104997</v>
      </c>
      <c r="O62" s="104">
        <f t="shared" si="14"/>
        <v>926.0451012841512</v>
      </c>
      <c r="P62" s="75">
        <f t="shared" si="2"/>
        <v>1032.4771483084915</v>
      </c>
      <c r="Q62" s="96">
        <f t="shared" si="3"/>
        <v>1034.7569075468859</v>
      </c>
      <c r="R62" s="75">
        <f t="shared" si="4"/>
        <v>916387.11500057019</v>
      </c>
      <c r="S62" s="75">
        <f t="shared" si="15"/>
        <v>849233.97642892506</v>
      </c>
      <c r="T62" s="104">
        <f t="shared" si="16"/>
        <v>1061.5935513360557</v>
      </c>
      <c r="U62" s="75">
        <f t="shared" si="5"/>
        <v>51596.097857179986</v>
      </c>
      <c r="V62" s="75">
        <f t="shared" si="17"/>
        <v>42034.282232104997</v>
      </c>
      <c r="W62" s="104">
        <f t="shared" si="18"/>
        <v>923.50799144299003</v>
      </c>
      <c r="X62" s="75">
        <v>1029.6484438208654</v>
      </c>
      <c r="Y62" s="96">
        <v>1031.9219571435997</v>
      </c>
      <c r="Z62" s="75">
        <v>224440.61250010005</v>
      </c>
      <c r="AA62" s="75">
        <f t="shared" si="19"/>
        <v>194999.13937506001</v>
      </c>
      <c r="AB62" s="104">
        <f t="shared" si="20"/>
        <v>869.05733611991559</v>
      </c>
      <c r="AC62" s="75">
        <v>51596.097857179986</v>
      </c>
      <c r="AD62" s="75">
        <f t="shared" si="21"/>
        <v>42034.282232104997</v>
      </c>
      <c r="AE62" s="104">
        <f t="shared" si="22"/>
        <v>923.50799144299003</v>
      </c>
      <c r="AF62" s="75">
        <v>905.0024697584679</v>
      </c>
      <c r="AG62" s="96">
        <v>1031.9219571435997</v>
      </c>
      <c r="AH62" s="75">
        <v>691946.50250047015</v>
      </c>
      <c r="AI62" s="75">
        <f t="shared" si="23"/>
        <v>654234.83705386508</v>
      </c>
      <c r="AJ62" s="104">
        <f t="shared" si="24"/>
        <v>1137.1121588748852</v>
      </c>
      <c r="AK62" s="75">
        <v>0</v>
      </c>
      <c r="AL62" s="75">
        <f t="shared" si="25"/>
        <v>0</v>
      </c>
      <c r="AM62" s="104">
        <f t="shared" si="26"/>
        <v>0</v>
      </c>
      <c r="AN62" s="75">
        <v>1077.7982904991748</v>
      </c>
      <c r="AO62" s="96">
        <v>0</v>
      </c>
      <c r="AP62" s="75">
        <v>0</v>
      </c>
      <c r="AQ62" s="75">
        <f t="shared" si="27"/>
        <v>0</v>
      </c>
      <c r="AR62" s="104">
        <f t="shared" si="28"/>
        <v>0</v>
      </c>
      <c r="AS62" s="75">
        <v>0</v>
      </c>
      <c r="AT62" s="75">
        <f t="shared" si="29"/>
        <v>0</v>
      </c>
      <c r="AU62" s="104">
        <f t="shared" si="30"/>
        <v>0</v>
      </c>
      <c r="AV62" s="75">
        <v>0</v>
      </c>
      <c r="AW62" s="96">
        <v>0</v>
      </c>
      <c r="AX62" s="75">
        <v>0</v>
      </c>
      <c r="AY62" s="75">
        <f t="shared" si="31"/>
        <v>0</v>
      </c>
      <c r="AZ62" s="104">
        <f t="shared" si="32"/>
        <v>0</v>
      </c>
      <c r="BA62" s="75">
        <v>0</v>
      </c>
      <c r="BB62" s="75">
        <f t="shared" si="33"/>
        <v>0</v>
      </c>
      <c r="BC62" s="104">
        <f t="shared" si="34"/>
        <v>0</v>
      </c>
      <c r="BD62" s="75">
        <v>0</v>
      </c>
      <c r="BE62" s="96">
        <v>0</v>
      </c>
    </row>
    <row r="63" spans="1:57" x14ac:dyDescent="0.25">
      <c r="A63" s="85">
        <f t="shared" si="6"/>
        <v>45548</v>
      </c>
      <c r="B63" s="75">
        <v>749337.63678586995</v>
      </c>
      <c r="C63" s="75">
        <f t="shared" si="7"/>
        <v>822648.96812528756</v>
      </c>
      <c r="D63" s="104">
        <f t="shared" si="8"/>
        <v>1044.6692510323164</v>
      </c>
      <c r="E63" s="75">
        <v>43521.431071440005</v>
      </c>
      <c r="F63" s="75">
        <f t="shared" si="9"/>
        <v>43876.791785669993</v>
      </c>
      <c r="G63" s="104">
        <f t="shared" si="10"/>
        <v>930.00356365860512</v>
      </c>
      <c r="H63" s="75">
        <v>1036.4086298572506</v>
      </c>
      <c r="I63" s="96">
        <v>969.79989869592157</v>
      </c>
      <c r="J63" s="75">
        <f t="shared" si="0"/>
        <v>187874.91464269999</v>
      </c>
      <c r="K63" s="75">
        <f t="shared" si="11"/>
        <v>194617.58946424999</v>
      </c>
      <c r="L63" s="104">
        <f t="shared" si="12"/>
        <v>1044.6692510323164</v>
      </c>
      <c r="M63" s="75">
        <f t="shared" si="1"/>
        <v>43521.431071440005</v>
      </c>
      <c r="N63" s="75">
        <f t="shared" si="13"/>
        <v>43876.791785669993</v>
      </c>
      <c r="O63" s="104">
        <f t="shared" si="14"/>
        <v>930.00356365860512</v>
      </c>
      <c r="P63" s="75">
        <f t="shared" si="2"/>
        <v>1036.4086298572506</v>
      </c>
      <c r="Q63" s="96">
        <f t="shared" si="3"/>
        <v>969.79989869592157</v>
      </c>
      <c r="R63" s="75">
        <f t="shared" si="4"/>
        <v>749337.63678587007</v>
      </c>
      <c r="S63" s="75">
        <f t="shared" si="15"/>
        <v>822648.96812528756</v>
      </c>
      <c r="T63" s="104">
        <f t="shared" si="16"/>
        <v>1041.8071435238635</v>
      </c>
      <c r="U63" s="75">
        <f t="shared" si="5"/>
        <v>43521.431071440005</v>
      </c>
      <c r="V63" s="75">
        <f t="shared" si="17"/>
        <v>43876.791785669993</v>
      </c>
      <c r="W63" s="104">
        <f t="shared" si="18"/>
        <v>927.45560871515681</v>
      </c>
      <c r="X63" s="75">
        <v>1033.5691541874071</v>
      </c>
      <c r="Y63" s="96">
        <v>967.14291269866681</v>
      </c>
      <c r="Z63" s="75">
        <v>187874.91464269999</v>
      </c>
      <c r="AA63" s="75">
        <f t="shared" si="19"/>
        <v>194617.58946424999</v>
      </c>
      <c r="AB63" s="104">
        <f t="shared" si="20"/>
        <v>872.44369324038405</v>
      </c>
      <c r="AC63" s="75">
        <v>43521.431071440005</v>
      </c>
      <c r="AD63" s="75">
        <f t="shared" si="21"/>
        <v>43876.791785669993</v>
      </c>
      <c r="AE63" s="104">
        <f t="shared" si="22"/>
        <v>927.45560871515681</v>
      </c>
      <c r="AF63" s="75">
        <v>890.4024390649289</v>
      </c>
      <c r="AG63" s="96">
        <v>967.14291269866681</v>
      </c>
      <c r="AH63" s="75">
        <v>561462.72214317007</v>
      </c>
      <c r="AI63" s="75">
        <f t="shared" si="23"/>
        <v>628031.37866103754</v>
      </c>
      <c r="AJ63" s="104">
        <f t="shared" si="24"/>
        <v>1108.9871243162436</v>
      </c>
      <c r="AK63" s="75">
        <v>0</v>
      </c>
      <c r="AL63" s="75">
        <f t="shared" si="25"/>
        <v>0</v>
      </c>
      <c r="AM63" s="104">
        <f t="shared" si="26"/>
        <v>0</v>
      </c>
      <c r="AN63" s="75">
        <v>1092.3399263485799</v>
      </c>
      <c r="AO63" s="96">
        <v>0</v>
      </c>
      <c r="AP63" s="75">
        <v>0</v>
      </c>
      <c r="AQ63" s="75">
        <f t="shared" si="27"/>
        <v>0</v>
      </c>
      <c r="AR63" s="104">
        <f t="shared" si="28"/>
        <v>0</v>
      </c>
      <c r="AS63" s="75">
        <v>0</v>
      </c>
      <c r="AT63" s="75">
        <f t="shared" si="29"/>
        <v>0</v>
      </c>
      <c r="AU63" s="104">
        <f t="shared" si="30"/>
        <v>0</v>
      </c>
      <c r="AV63" s="75">
        <v>0</v>
      </c>
      <c r="AW63" s="96">
        <v>0</v>
      </c>
      <c r="AX63" s="75">
        <v>0</v>
      </c>
      <c r="AY63" s="75">
        <f t="shared" si="31"/>
        <v>0</v>
      </c>
      <c r="AZ63" s="104">
        <f t="shared" si="32"/>
        <v>0</v>
      </c>
      <c r="BA63" s="75">
        <v>0</v>
      </c>
      <c r="BB63" s="75">
        <f t="shared" si="33"/>
        <v>0</v>
      </c>
      <c r="BC63" s="104">
        <f t="shared" si="34"/>
        <v>0</v>
      </c>
      <c r="BD63" s="75">
        <v>0</v>
      </c>
      <c r="BE63" s="96">
        <v>0</v>
      </c>
    </row>
    <row r="64" spans="1:57" x14ac:dyDescent="0.25">
      <c r="A64" s="85">
        <f t="shared" si="6"/>
        <v>45555</v>
      </c>
      <c r="B64" s="75">
        <v>843793.09892808006</v>
      </c>
      <c r="C64" s="75">
        <f t="shared" si="7"/>
        <v>825258.24705360504</v>
      </c>
      <c r="D64" s="104">
        <f t="shared" si="8"/>
        <v>1057.5583509500575</v>
      </c>
      <c r="E64" s="75">
        <v>47128.993928590004</v>
      </c>
      <c r="F64" s="75">
        <f t="shared" si="9"/>
        <v>45490.298928525001</v>
      </c>
      <c r="G64" s="104">
        <f t="shared" si="10"/>
        <v>1028.4837651079029</v>
      </c>
      <c r="H64" s="75">
        <v>1097.4205081893358</v>
      </c>
      <c r="I64" s="96">
        <v>1243.6439259299284</v>
      </c>
      <c r="J64" s="75">
        <f t="shared" si="0"/>
        <v>205013.14464306997</v>
      </c>
      <c r="K64" s="75">
        <f t="shared" si="11"/>
        <v>197026.86205362499</v>
      </c>
      <c r="L64" s="104">
        <f t="shared" si="12"/>
        <v>1057.5583509500575</v>
      </c>
      <c r="M64" s="75">
        <f t="shared" si="1"/>
        <v>47128.993928590004</v>
      </c>
      <c r="N64" s="75">
        <f t="shared" si="13"/>
        <v>45490.298928525001</v>
      </c>
      <c r="O64" s="104">
        <f t="shared" si="14"/>
        <v>1028.4837651079029</v>
      </c>
      <c r="P64" s="75">
        <f t="shared" si="2"/>
        <v>1097.4205081893358</v>
      </c>
      <c r="Q64" s="96">
        <f t="shared" si="3"/>
        <v>1243.6439259299284</v>
      </c>
      <c r="R64" s="75">
        <f t="shared" si="4"/>
        <v>843793.09892808029</v>
      </c>
      <c r="S64" s="75">
        <f t="shared" si="15"/>
        <v>825258.24705360516</v>
      </c>
      <c r="T64" s="104">
        <f t="shared" si="16"/>
        <v>1054.6609308394434</v>
      </c>
      <c r="U64" s="75">
        <f t="shared" si="5"/>
        <v>47128.993928590004</v>
      </c>
      <c r="V64" s="75">
        <f t="shared" si="17"/>
        <v>45490.298928525001</v>
      </c>
      <c r="W64" s="104">
        <f t="shared" si="18"/>
        <v>1025.6660013960586</v>
      </c>
      <c r="X64" s="75">
        <v>1094.4138766901171</v>
      </c>
      <c r="Y64" s="96">
        <v>1240.2366823313159</v>
      </c>
      <c r="Z64" s="75">
        <v>205013.14464306997</v>
      </c>
      <c r="AA64" s="75">
        <f t="shared" si="19"/>
        <v>197026.86205362499</v>
      </c>
      <c r="AB64" s="104">
        <f t="shared" si="20"/>
        <v>898.76233397587873</v>
      </c>
      <c r="AC64" s="75">
        <v>47128.993928590004</v>
      </c>
      <c r="AD64" s="75">
        <f t="shared" si="21"/>
        <v>45490.298928525001</v>
      </c>
      <c r="AE64" s="104">
        <f t="shared" si="22"/>
        <v>1025.6660013960586</v>
      </c>
      <c r="AF64" s="75">
        <v>919.34145579852009</v>
      </c>
      <c r="AG64" s="96">
        <v>1240.2366823313159</v>
      </c>
      <c r="AH64" s="75">
        <v>638779.95428501035</v>
      </c>
      <c r="AI64" s="75">
        <f t="shared" si="23"/>
        <v>628231.3849999801</v>
      </c>
      <c r="AJ64" s="104">
        <f t="shared" si="24"/>
        <v>1115.0793652444661</v>
      </c>
      <c r="AK64" s="75">
        <v>0</v>
      </c>
      <c r="AL64" s="75">
        <f t="shared" si="25"/>
        <v>0</v>
      </c>
      <c r="AM64" s="104">
        <f t="shared" si="26"/>
        <v>0</v>
      </c>
      <c r="AN64" s="75">
        <v>1165.6568508850553</v>
      </c>
      <c r="AO64" s="96">
        <v>0</v>
      </c>
      <c r="AP64" s="75">
        <v>0</v>
      </c>
      <c r="AQ64" s="75">
        <f t="shared" si="27"/>
        <v>0</v>
      </c>
      <c r="AR64" s="104">
        <f t="shared" si="28"/>
        <v>0</v>
      </c>
      <c r="AS64" s="75">
        <v>0</v>
      </c>
      <c r="AT64" s="75">
        <f t="shared" si="29"/>
        <v>0</v>
      </c>
      <c r="AU64" s="104">
        <f t="shared" si="30"/>
        <v>0</v>
      </c>
      <c r="AV64" s="75">
        <v>0</v>
      </c>
      <c r="AW64" s="96">
        <v>0</v>
      </c>
      <c r="AX64" s="75">
        <v>0</v>
      </c>
      <c r="AY64" s="75">
        <f t="shared" si="31"/>
        <v>0</v>
      </c>
      <c r="AZ64" s="104">
        <f t="shared" si="32"/>
        <v>0</v>
      </c>
      <c r="BA64" s="75">
        <v>0</v>
      </c>
      <c r="BB64" s="75">
        <f t="shared" si="33"/>
        <v>0</v>
      </c>
      <c r="BC64" s="104">
        <f t="shared" si="34"/>
        <v>0</v>
      </c>
      <c r="BD64" s="75">
        <v>0</v>
      </c>
      <c r="BE64" s="96">
        <v>0</v>
      </c>
    </row>
    <row r="65" spans="1:57" x14ac:dyDescent="0.25">
      <c r="A65" s="85">
        <f t="shared" si="6"/>
        <v>45562</v>
      </c>
      <c r="B65" s="75">
        <v>928060.91071449034</v>
      </c>
      <c r="C65" s="75">
        <f t="shared" si="7"/>
        <v>859394.69035725261</v>
      </c>
      <c r="D65" s="104">
        <f t="shared" si="8"/>
        <v>1070.2024783479017</v>
      </c>
      <c r="E65" s="75">
        <v>33155.926071390008</v>
      </c>
      <c r="F65" s="75">
        <f t="shared" si="9"/>
        <v>43850.612232150001</v>
      </c>
      <c r="G65" s="104">
        <f t="shared" si="10"/>
        <v>1014.7758768204034</v>
      </c>
      <c r="H65" s="75">
        <v>1114.5036270365292</v>
      </c>
      <c r="I65" s="96">
        <v>810.90277510887734</v>
      </c>
      <c r="J65" s="75">
        <f t="shared" si="0"/>
        <v>209088.11142875001</v>
      </c>
      <c r="K65" s="75">
        <f t="shared" si="11"/>
        <v>206604.19580365499</v>
      </c>
      <c r="L65" s="104">
        <f t="shared" si="12"/>
        <v>1070.2024783479017</v>
      </c>
      <c r="M65" s="75">
        <f t="shared" si="1"/>
        <v>33155.926071390008</v>
      </c>
      <c r="N65" s="75">
        <f t="shared" si="13"/>
        <v>43850.612232150001</v>
      </c>
      <c r="O65" s="104">
        <f t="shared" si="14"/>
        <v>1014.7758768204034</v>
      </c>
      <c r="P65" s="75">
        <f t="shared" si="2"/>
        <v>1114.5036270365292</v>
      </c>
      <c r="Q65" s="96">
        <f t="shared" si="3"/>
        <v>810.90277510887734</v>
      </c>
      <c r="R65" s="75">
        <f t="shared" si="4"/>
        <v>928060.91071449022</v>
      </c>
      <c r="S65" s="75">
        <f t="shared" si="15"/>
        <v>859394.69035725272</v>
      </c>
      <c r="T65" s="104">
        <f t="shared" si="16"/>
        <v>1067.2704167927084</v>
      </c>
      <c r="U65" s="75">
        <f t="shared" si="5"/>
        <v>33155.926071390008</v>
      </c>
      <c r="V65" s="75">
        <f t="shared" si="17"/>
        <v>43850.612232150001</v>
      </c>
      <c r="W65" s="104">
        <f t="shared" si="18"/>
        <v>1011.9956689665054</v>
      </c>
      <c r="X65" s="75">
        <v>1111.4501924724434</v>
      </c>
      <c r="Y65" s="96">
        <v>808.6811236924392</v>
      </c>
      <c r="Z65" s="75">
        <v>209088.11142875001</v>
      </c>
      <c r="AA65" s="75">
        <f t="shared" si="19"/>
        <v>206604.19580365499</v>
      </c>
      <c r="AB65" s="104">
        <f t="shared" si="20"/>
        <v>928.7919876013525</v>
      </c>
      <c r="AC65" s="75">
        <v>33155.926071390008</v>
      </c>
      <c r="AD65" s="75">
        <f t="shared" si="21"/>
        <v>43850.612232150001</v>
      </c>
      <c r="AE65" s="104">
        <f t="shared" si="22"/>
        <v>1011.9956689665054</v>
      </c>
      <c r="AF65" s="75">
        <v>1000.4215857834929</v>
      </c>
      <c r="AG65" s="96">
        <v>808.6811236924392</v>
      </c>
      <c r="AH65" s="75">
        <v>718972.79928574024</v>
      </c>
      <c r="AI65" s="75">
        <f t="shared" si="23"/>
        <v>652790.49455359764</v>
      </c>
      <c r="AJ65" s="104">
        <f t="shared" si="24"/>
        <v>1121.0784791080189</v>
      </c>
      <c r="AK65" s="75">
        <v>0</v>
      </c>
      <c r="AL65" s="75">
        <f t="shared" si="25"/>
        <v>0</v>
      </c>
      <c r="AM65" s="104">
        <f t="shared" si="26"/>
        <v>0</v>
      </c>
      <c r="AN65" s="75">
        <v>1148.5188486992656</v>
      </c>
      <c r="AO65" s="96">
        <v>0</v>
      </c>
      <c r="AP65" s="75">
        <v>0</v>
      </c>
      <c r="AQ65" s="75">
        <f t="shared" si="27"/>
        <v>0</v>
      </c>
      <c r="AR65" s="104">
        <f t="shared" si="28"/>
        <v>0</v>
      </c>
      <c r="AS65" s="75">
        <v>0</v>
      </c>
      <c r="AT65" s="75">
        <f t="shared" si="29"/>
        <v>0</v>
      </c>
      <c r="AU65" s="104">
        <f t="shared" si="30"/>
        <v>0</v>
      </c>
      <c r="AV65" s="75">
        <v>0</v>
      </c>
      <c r="AW65" s="96">
        <v>0</v>
      </c>
      <c r="AX65" s="75">
        <v>0</v>
      </c>
      <c r="AY65" s="75">
        <f t="shared" si="31"/>
        <v>0</v>
      </c>
      <c r="AZ65" s="104">
        <f t="shared" si="32"/>
        <v>0</v>
      </c>
      <c r="BA65" s="75">
        <v>0</v>
      </c>
      <c r="BB65" s="75">
        <f t="shared" si="33"/>
        <v>0</v>
      </c>
      <c r="BC65" s="104">
        <f t="shared" si="34"/>
        <v>0</v>
      </c>
      <c r="BD65" s="75">
        <v>0</v>
      </c>
      <c r="BE65" s="96">
        <v>0</v>
      </c>
    </row>
    <row r="66" spans="1:57" x14ac:dyDescent="0.25">
      <c r="A66" s="85">
        <f t="shared" si="6"/>
        <v>45569</v>
      </c>
      <c r="B66" s="75">
        <v>833109.83250065963</v>
      </c>
      <c r="C66" s="75">
        <f t="shared" si="7"/>
        <v>838575.36973227491</v>
      </c>
      <c r="D66" s="104">
        <f t="shared" si="8"/>
        <v>1075.118013611399</v>
      </c>
      <c r="E66" s="75">
        <v>32804.271428579996</v>
      </c>
      <c r="F66" s="75">
        <f t="shared" si="9"/>
        <v>39152.655624999999</v>
      </c>
      <c r="G66" s="104">
        <f t="shared" si="10"/>
        <v>966.94814385983636</v>
      </c>
      <c r="H66" s="75">
        <v>1052.1392893624809</v>
      </c>
      <c r="I66" s="96">
        <v>843.44597570461804</v>
      </c>
      <c r="J66" s="75">
        <f t="shared" si="0"/>
        <v>190714.85428609993</v>
      </c>
      <c r="K66" s="75">
        <f t="shared" si="11"/>
        <v>198172.75625015495</v>
      </c>
      <c r="L66" s="104">
        <f t="shared" si="12"/>
        <v>1075.118013611399</v>
      </c>
      <c r="M66" s="75">
        <f t="shared" si="1"/>
        <v>32804.271428579996</v>
      </c>
      <c r="N66" s="75">
        <f t="shared" si="13"/>
        <v>39152.655624999999</v>
      </c>
      <c r="O66" s="104">
        <f t="shared" si="14"/>
        <v>966.94814385983636</v>
      </c>
      <c r="P66" s="75">
        <f t="shared" si="2"/>
        <v>1052.1392893624809</v>
      </c>
      <c r="Q66" s="96">
        <f t="shared" si="3"/>
        <v>843.44597570461804</v>
      </c>
      <c r="R66" s="75">
        <f t="shared" si="4"/>
        <v>833109.83250065963</v>
      </c>
      <c r="S66" s="75">
        <f t="shared" si="15"/>
        <v>838575.36973227514</v>
      </c>
      <c r="T66" s="104">
        <f t="shared" si="16"/>
        <v>1072.1724848364402</v>
      </c>
      <c r="U66" s="75">
        <f t="shared" si="5"/>
        <v>32804.271428579996</v>
      </c>
      <c r="V66" s="75">
        <f t="shared" si="17"/>
        <v>39152.655624999999</v>
      </c>
      <c r="W66" s="104">
        <f t="shared" si="18"/>
        <v>964.29897088945154</v>
      </c>
      <c r="X66" s="75">
        <v>1049.256715995793</v>
      </c>
      <c r="Y66" s="96">
        <v>841.13516483538456</v>
      </c>
      <c r="Z66" s="75">
        <v>190714.85428609993</v>
      </c>
      <c r="AA66" s="75">
        <f t="shared" si="19"/>
        <v>198172.75625015495</v>
      </c>
      <c r="AB66" s="104">
        <f t="shared" si="20"/>
        <v>921.25106544396021</v>
      </c>
      <c r="AC66" s="75">
        <v>32804.271428579996</v>
      </c>
      <c r="AD66" s="75">
        <f t="shared" si="21"/>
        <v>39152.655624999999</v>
      </c>
      <c r="AE66" s="104">
        <f t="shared" si="22"/>
        <v>964.29897088945154</v>
      </c>
      <c r="AF66" s="75">
        <v>874.83878112889875</v>
      </c>
      <c r="AG66" s="96">
        <v>841.13516483538456</v>
      </c>
      <c r="AH66" s="75">
        <v>642394.97821455973</v>
      </c>
      <c r="AI66" s="75">
        <f t="shared" si="23"/>
        <v>640402.6134821201</v>
      </c>
      <c r="AJ66" s="104">
        <f t="shared" si="24"/>
        <v>1130.4461713332944</v>
      </c>
      <c r="AK66" s="75">
        <v>0</v>
      </c>
      <c r="AL66" s="75">
        <f t="shared" si="25"/>
        <v>0</v>
      </c>
      <c r="AM66" s="104">
        <f t="shared" si="26"/>
        <v>0</v>
      </c>
      <c r="AN66" s="75">
        <v>1115.2690594002772</v>
      </c>
      <c r="AO66" s="96">
        <v>0</v>
      </c>
      <c r="AP66" s="75">
        <v>0</v>
      </c>
      <c r="AQ66" s="75">
        <f t="shared" si="27"/>
        <v>0</v>
      </c>
      <c r="AR66" s="104">
        <f t="shared" si="28"/>
        <v>0</v>
      </c>
      <c r="AS66" s="75">
        <v>0</v>
      </c>
      <c r="AT66" s="75">
        <f t="shared" si="29"/>
        <v>0</v>
      </c>
      <c r="AU66" s="104">
        <f t="shared" si="30"/>
        <v>0</v>
      </c>
      <c r="AV66" s="75">
        <v>0</v>
      </c>
      <c r="AW66" s="96">
        <v>0</v>
      </c>
      <c r="AX66" s="75">
        <v>0</v>
      </c>
      <c r="AY66" s="75">
        <f t="shared" si="31"/>
        <v>0</v>
      </c>
      <c r="AZ66" s="104">
        <f t="shared" si="32"/>
        <v>0</v>
      </c>
      <c r="BA66" s="75">
        <v>0</v>
      </c>
      <c r="BB66" s="75">
        <f t="shared" si="33"/>
        <v>0</v>
      </c>
      <c r="BC66" s="104">
        <f t="shared" si="34"/>
        <v>0</v>
      </c>
      <c r="BD66" s="75">
        <v>0</v>
      </c>
      <c r="BE66" s="96">
        <v>0</v>
      </c>
    </row>
    <row r="67" spans="1:57" x14ac:dyDescent="0.25">
      <c r="A67" s="85">
        <f t="shared" si="6"/>
        <v>45576</v>
      </c>
      <c r="B67" s="75">
        <v>713125.13357105968</v>
      </c>
      <c r="C67" s="75">
        <f t="shared" si="7"/>
        <v>829522.2439285724</v>
      </c>
      <c r="D67" s="104">
        <f t="shared" si="8"/>
        <v>1091.8971325875773</v>
      </c>
      <c r="E67" s="75">
        <v>33540.337142999997</v>
      </c>
      <c r="F67" s="75">
        <f t="shared" si="9"/>
        <v>36657.382142889997</v>
      </c>
      <c r="G67" s="104">
        <f t="shared" si="10"/>
        <v>958.05706450138314</v>
      </c>
      <c r="H67" s="75">
        <v>1103.5251057619635</v>
      </c>
      <c r="I67" s="96">
        <v>934.23558126210912</v>
      </c>
      <c r="J67" s="75">
        <f t="shared" si="0"/>
        <v>155366.72750002003</v>
      </c>
      <c r="K67" s="75">
        <f t="shared" si="11"/>
        <v>190045.709464485</v>
      </c>
      <c r="L67" s="104">
        <f t="shared" si="12"/>
        <v>1091.8971325875773</v>
      </c>
      <c r="M67" s="75">
        <f t="shared" si="1"/>
        <v>33540.337142999997</v>
      </c>
      <c r="N67" s="75">
        <f t="shared" si="13"/>
        <v>36657.382142889997</v>
      </c>
      <c r="O67" s="104">
        <f t="shared" si="14"/>
        <v>958.05706450138314</v>
      </c>
      <c r="P67" s="75">
        <f t="shared" si="2"/>
        <v>1103.5251057619635</v>
      </c>
      <c r="Q67" s="96">
        <f t="shared" si="3"/>
        <v>934.23558126210912</v>
      </c>
      <c r="R67" s="75">
        <f t="shared" si="4"/>
        <v>713125.13357106014</v>
      </c>
      <c r="S67" s="75">
        <f t="shared" si="15"/>
        <v>829522.24392857263</v>
      </c>
      <c r="T67" s="104">
        <f t="shared" si="16"/>
        <v>1088.9056336241024</v>
      </c>
      <c r="U67" s="75">
        <f t="shared" si="5"/>
        <v>33540.337142999997</v>
      </c>
      <c r="V67" s="75">
        <f t="shared" si="17"/>
        <v>36657.382142889997</v>
      </c>
      <c r="W67" s="104">
        <f t="shared" si="18"/>
        <v>955.43225065228478</v>
      </c>
      <c r="X67" s="75">
        <v>1100.5017493380558</v>
      </c>
      <c r="Y67" s="96">
        <v>931.67603174999988</v>
      </c>
      <c r="Z67" s="75">
        <v>155366.72750002003</v>
      </c>
      <c r="AA67" s="75">
        <f t="shared" si="19"/>
        <v>190045.709464485</v>
      </c>
      <c r="AB67" s="104">
        <f t="shared" si="20"/>
        <v>927.13093729540446</v>
      </c>
      <c r="AC67" s="75">
        <v>33540.337142999997</v>
      </c>
      <c r="AD67" s="75">
        <f t="shared" si="21"/>
        <v>36657.382142889997</v>
      </c>
      <c r="AE67" s="104">
        <f t="shared" si="22"/>
        <v>955.43225065228478</v>
      </c>
      <c r="AF67" s="75">
        <v>913.92192647070601</v>
      </c>
      <c r="AG67" s="96">
        <v>931.67603174999988</v>
      </c>
      <c r="AH67" s="75">
        <v>557758.40607104008</v>
      </c>
      <c r="AI67" s="75">
        <f t="shared" si="23"/>
        <v>639476.53446408757</v>
      </c>
      <c r="AJ67" s="104">
        <f t="shared" si="24"/>
        <v>1149.075837272844</v>
      </c>
      <c r="AK67" s="75">
        <v>0</v>
      </c>
      <c r="AL67" s="75">
        <f t="shared" si="25"/>
        <v>0</v>
      </c>
      <c r="AM67" s="104">
        <f t="shared" si="26"/>
        <v>0</v>
      </c>
      <c r="AN67" s="75">
        <v>1166.8585901067784</v>
      </c>
      <c r="AO67" s="96">
        <v>0</v>
      </c>
      <c r="AP67" s="75">
        <v>0</v>
      </c>
      <c r="AQ67" s="75">
        <f t="shared" si="27"/>
        <v>0</v>
      </c>
      <c r="AR67" s="104">
        <f t="shared" si="28"/>
        <v>0</v>
      </c>
      <c r="AS67" s="75">
        <v>0</v>
      </c>
      <c r="AT67" s="75">
        <f t="shared" si="29"/>
        <v>0</v>
      </c>
      <c r="AU67" s="104">
        <f t="shared" si="30"/>
        <v>0</v>
      </c>
      <c r="AV67" s="75">
        <v>0</v>
      </c>
      <c r="AW67" s="96">
        <v>0</v>
      </c>
      <c r="AX67" s="75">
        <v>0</v>
      </c>
      <c r="AY67" s="75">
        <f t="shared" si="31"/>
        <v>0</v>
      </c>
      <c r="AZ67" s="104">
        <f t="shared" si="32"/>
        <v>0</v>
      </c>
      <c r="BA67" s="75">
        <v>0</v>
      </c>
      <c r="BB67" s="75">
        <f t="shared" si="33"/>
        <v>0</v>
      </c>
      <c r="BC67" s="104">
        <f t="shared" si="34"/>
        <v>0</v>
      </c>
      <c r="BD67" s="75">
        <v>0</v>
      </c>
      <c r="BE67" s="96">
        <v>0</v>
      </c>
    </row>
    <row r="68" spans="1:57" x14ac:dyDescent="0.25">
      <c r="A68" s="85">
        <f t="shared" si="6"/>
        <v>45583</v>
      </c>
      <c r="B68" s="75">
        <v>821714.6096424401</v>
      </c>
      <c r="C68" s="75">
        <f t="shared" si="7"/>
        <v>824002.62160716241</v>
      </c>
      <c r="D68" s="104">
        <f t="shared" si="8"/>
        <v>1091.8336391416419</v>
      </c>
      <c r="E68" s="75">
        <v>37334.099642869987</v>
      </c>
      <c r="F68" s="75">
        <f t="shared" si="9"/>
        <v>34208.658571459993</v>
      </c>
      <c r="G68" s="104">
        <f t="shared" si="10"/>
        <v>850.60622350613801</v>
      </c>
      <c r="H68" s="75">
        <v>1097.1665344055939</v>
      </c>
      <c r="I68" s="96">
        <v>813.84056194894765</v>
      </c>
      <c r="J68" s="75">
        <f t="shared" si="0"/>
        <v>161864.93964258002</v>
      </c>
      <c r="K68" s="75">
        <f t="shared" si="11"/>
        <v>179258.65821436248</v>
      </c>
      <c r="L68" s="104">
        <f t="shared" si="12"/>
        <v>1091.8336391416419</v>
      </c>
      <c r="M68" s="75">
        <f t="shared" si="1"/>
        <v>37334.099642869987</v>
      </c>
      <c r="N68" s="75">
        <f t="shared" si="13"/>
        <v>34208.658571459993</v>
      </c>
      <c r="O68" s="104">
        <f t="shared" si="14"/>
        <v>850.60622350613801</v>
      </c>
      <c r="P68" s="75">
        <f t="shared" si="2"/>
        <v>1097.1665344055939</v>
      </c>
      <c r="Q68" s="96">
        <f t="shared" si="3"/>
        <v>813.84056194894765</v>
      </c>
      <c r="R68" s="75">
        <f t="shared" si="4"/>
        <v>821714.60964244034</v>
      </c>
      <c r="S68" s="75">
        <f t="shared" si="15"/>
        <v>824002.62160716252</v>
      </c>
      <c r="T68" s="104">
        <f t="shared" si="16"/>
        <v>1088.8423141328115</v>
      </c>
      <c r="U68" s="75">
        <f t="shared" si="5"/>
        <v>37334.099642869987</v>
      </c>
      <c r="V68" s="75">
        <f t="shared" si="17"/>
        <v>34208.658571459993</v>
      </c>
      <c r="W68" s="104">
        <f t="shared" si="18"/>
        <v>848.27579551983627</v>
      </c>
      <c r="X68" s="75">
        <v>1094.1605987249538</v>
      </c>
      <c r="Y68" s="96">
        <v>811.61086180152142</v>
      </c>
      <c r="Z68" s="75">
        <v>161864.93964258002</v>
      </c>
      <c r="AA68" s="75">
        <f t="shared" si="19"/>
        <v>179258.65821436248</v>
      </c>
      <c r="AB68" s="104">
        <f t="shared" si="20"/>
        <v>905.88441309136726</v>
      </c>
      <c r="AC68" s="75">
        <v>37334.099642869987</v>
      </c>
      <c r="AD68" s="75">
        <f t="shared" si="21"/>
        <v>34208.658571459993</v>
      </c>
      <c r="AE68" s="104">
        <f t="shared" si="22"/>
        <v>848.27579551983627</v>
      </c>
      <c r="AF68" s="75">
        <v>834.35535898237129</v>
      </c>
      <c r="AG68" s="96">
        <v>811.61086180152142</v>
      </c>
      <c r="AH68" s="75">
        <v>659849.66999986034</v>
      </c>
      <c r="AI68" s="75">
        <f t="shared" si="23"/>
        <v>644743.96339280007</v>
      </c>
      <c r="AJ68" s="104">
        <f t="shared" si="24"/>
        <v>1153.8239539949645</v>
      </c>
      <c r="AK68" s="75">
        <v>0</v>
      </c>
      <c r="AL68" s="75">
        <f t="shared" si="25"/>
        <v>0</v>
      </c>
      <c r="AM68" s="104">
        <f t="shared" si="26"/>
        <v>0</v>
      </c>
      <c r="AN68" s="75">
        <v>1184.6493177735374</v>
      </c>
      <c r="AO68" s="96">
        <v>0</v>
      </c>
      <c r="AP68" s="75">
        <v>0</v>
      </c>
      <c r="AQ68" s="75">
        <f t="shared" si="27"/>
        <v>0</v>
      </c>
      <c r="AR68" s="104">
        <f t="shared" si="28"/>
        <v>0</v>
      </c>
      <c r="AS68" s="75">
        <v>0</v>
      </c>
      <c r="AT68" s="75">
        <f t="shared" si="29"/>
        <v>0</v>
      </c>
      <c r="AU68" s="104">
        <f t="shared" si="30"/>
        <v>0</v>
      </c>
      <c r="AV68" s="75">
        <v>0</v>
      </c>
      <c r="AW68" s="96">
        <v>0</v>
      </c>
      <c r="AX68" s="75">
        <v>0</v>
      </c>
      <c r="AY68" s="75">
        <f t="shared" si="31"/>
        <v>0</v>
      </c>
      <c r="AZ68" s="104">
        <f t="shared" si="32"/>
        <v>0</v>
      </c>
      <c r="BA68" s="75">
        <v>0</v>
      </c>
      <c r="BB68" s="75">
        <f t="shared" si="33"/>
        <v>0</v>
      </c>
      <c r="BC68" s="104">
        <f t="shared" si="34"/>
        <v>0</v>
      </c>
      <c r="BD68" s="75">
        <v>0</v>
      </c>
      <c r="BE68" s="96">
        <v>0</v>
      </c>
    </row>
    <row r="69" spans="1:57" x14ac:dyDescent="0.25">
      <c r="A69" s="85">
        <f t="shared" si="6"/>
        <v>45590</v>
      </c>
      <c r="B69" s="75">
        <v>866327.13142820995</v>
      </c>
      <c r="C69" s="75">
        <f t="shared" si="7"/>
        <v>808569.17678559234</v>
      </c>
      <c r="D69" s="104">
        <f t="shared" si="8"/>
        <v>1077.0920431346904</v>
      </c>
      <c r="E69" s="75">
        <v>62140.789642780008</v>
      </c>
      <c r="F69" s="75">
        <f t="shared" si="9"/>
        <v>41454.874464307497</v>
      </c>
      <c r="G69" s="104">
        <f t="shared" si="10"/>
        <v>883.90896191123215</v>
      </c>
      <c r="H69" s="75">
        <v>1055.5372430087241</v>
      </c>
      <c r="I69" s="96">
        <v>944.11372872925392</v>
      </c>
      <c r="J69" s="75">
        <f t="shared" si="0"/>
        <v>201733.86249989003</v>
      </c>
      <c r="K69" s="75">
        <f t="shared" si="11"/>
        <v>177420.0959821475</v>
      </c>
      <c r="L69" s="104">
        <f t="shared" si="12"/>
        <v>1077.0920431346904</v>
      </c>
      <c r="M69" s="75">
        <f t="shared" si="1"/>
        <v>62140.789642780008</v>
      </c>
      <c r="N69" s="75">
        <f t="shared" si="13"/>
        <v>41454.874464307497</v>
      </c>
      <c r="O69" s="104">
        <f t="shared" si="14"/>
        <v>883.90896191123215</v>
      </c>
      <c r="P69" s="75">
        <f t="shared" si="2"/>
        <v>1055.5372430087241</v>
      </c>
      <c r="Q69" s="96">
        <f t="shared" si="3"/>
        <v>944.11372872925392</v>
      </c>
      <c r="R69" s="75">
        <f t="shared" si="4"/>
        <v>866327.13142821006</v>
      </c>
      <c r="S69" s="75">
        <f t="shared" si="15"/>
        <v>808569.17678559257</v>
      </c>
      <c r="T69" s="104">
        <f t="shared" si="16"/>
        <v>1074.141106059722</v>
      </c>
      <c r="U69" s="75">
        <f t="shared" si="5"/>
        <v>62140.789642780008</v>
      </c>
      <c r="V69" s="75">
        <f t="shared" si="17"/>
        <v>41454.874464307497</v>
      </c>
      <c r="W69" s="104">
        <f t="shared" si="18"/>
        <v>881.48729354665079</v>
      </c>
      <c r="X69" s="75">
        <v>1052.6453601800852</v>
      </c>
      <c r="Y69" s="96">
        <v>941.52711579969707</v>
      </c>
      <c r="Z69" s="75">
        <v>201733.86249989003</v>
      </c>
      <c r="AA69" s="75">
        <f t="shared" si="19"/>
        <v>177420.0959821475</v>
      </c>
      <c r="AB69" s="104">
        <f t="shared" si="20"/>
        <v>877.95287402422753</v>
      </c>
      <c r="AC69" s="75">
        <v>62140.789642780008</v>
      </c>
      <c r="AD69" s="75">
        <f t="shared" si="21"/>
        <v>41454.874464307497</v>
      </c>
      <c r="AE69" s="104">
        <f t="shared" si="22"/>
        <v>881.48729354665079</v>
      </c>
      <c r="AF69" s="75">
        <v>888.69542951493406</v>
      </c>
      <c r="AG69" s="96">
        <v>941.52711579969707</v>
      </c>
      <c r="AH69" s="75">
        <v>664593.26892832003</v>
      </c>
      <c r="AI69" s="75">
        <f t="shared" si="23"/>
        <v>631149.08080344507</v>
      </c>
      <c r="AJ69" s="104">
        <f t="shared" si="24"/>
        <v>1145.4665861692758</v>
      </c>
      <c r="AK69" s="75">
        <v>0</v>
      </c>
      <c r="AL69" s="75">
        <f t="shared" si="25"/>
        <v>0</v>
      </c>
      <c r="AM69" s="104">
        <f t="shared" si="26"/>
        <v>0</v>
      </c>
      <c r="AN69" s="75">
        <v>1115.0893773965101</v>
      </c>
      <c r="AO69" s="96">
        <v>0</v>
      </c>
      <c r="AP69" s="75">
        <v>0</v>
      </c>
      <c r="AQ69" s="75">
        <f t="shared" si="27"/>
        <v>0</v>
      </c>
      <c r="AR69" s="104">
        <f t="shared" si="28"/>
        <v>0</v>
      </c>
      <c r="AS69" s="75">
        <v>0</v>
      </c>
      <c r="AT69" s="75">
        <f t="shared" si="29"/>
        <v>0</v>
      </c>
      <c r="AU69" s="104">
        <f t="shared" si="30"/>
        <v>0</v>
      </c>
      <c r="AV69" s="75">
        <v>0</v>
      </c>
      <c r="AW69" s="96">
        <v>0</v>
      </c>
      <c r="AX69" s="75">
        <v>0</v>
      </c>
      <c r="AY69" s="75">
        <f t="shared" si="31"/>
        <v>0</v>
      </c>
      <c r="AZ69" s="104">
        <f t="shared" si="32"/>
        <v>0</v>
      </c>
      <c r="BA69" s="75">
        <v>0</v>
      </c>
      <c r="BB69" s="75">
        <f t="shared" si="33"/>
        <v>0</v>
      </c>
      <c r="BC69" s="104">
        <f t="shared" si="34"/>
        <v>0</v>
      </c>
      <c r="BD69" s="75">
        <v>0</v>
      </c>
      <c r="BE69" s="96">
        <v>0</v>
      </c>
    </row>
    <row r="70" spans="1:57" x14ac:dyDescent="0.25">
      <c r="A70" s="85">
        <f t="shared" si="6"/>
        <v>45597</v>
      </c>
      <c r="B70" s="75">
        <v>943578.43464309012</v>
      </c>
      <c r="C70" s="75">
        <f t="shared" si="7"/>
        <v>836186.32732120005</v>
      </c>
      <c r="D70" s="104">
        <f t="shared" si="8"/>
        <v>1082.8557103008652</v>
      </c>
      <c r="E70" s="75">
        <v>74192.54642857</v>
      </c>
      <c r="F70" s="75">
        <f t="shared" si="9"/>
        <v>51801.943214305</v>
      </c>
      <c r="G70" s="104">
        <f t="shared" si="10"/>
        <v>908.4790252747224</v>
      </c>
      <c r="H70" s="75">
        <v>1075.1939580271794</v>
      </c>
      <c r="I70" s="96">
        <v>941.7262291585788</v>
      </c>
      <c r="J70" s="75">
        <f t="shared" si="0"/>
        <v>193347.93357137992</v>
      </c>
      <c r="K70" s="75">
        <f t="shared" si="11"/>
        <v>178078.36580346752</v>
      </c>
      <c r="L70" s="104">
        <f t="shared" si="12"/>
        <v>1082.8557103008652</v>
      </c>
      <c r="M70" s="75">
        <f t="shared" si="1"/>
        <v>74192.54642857</v>
      </c>
      <c r="N70" s="75">
        <f t="shared" si="13"/>
        <v>51801.943214305</v>
      </c>
      <c r="O70" s="104">
        <f t="shared" si="14"/>
        <v>908.4790252747224</v>
      </c>
      <c r="P70" s="75">
        <f t="shared" si="2"/>
        <v>1075.1939580271794</v>
      </c>
      <c r="Q70" s="96">
        <f t="shared" si="3"/>
        <v>941.7262291585788</v>
      </c>
      <c r="R70" s="75">
        <f t="shared" si="4"/>
        <v>943578.43464308977</v>
      </c>
      <c r="S70" s="75">
        <f t="shared" si="15"/>
        <v>836186.32732120005</v>
      </c>
      <c r="T70" s="104">
        <f t="shared" si="16"/>
        <v>1079.888982357106</v>
      </c>
      <c r="U70" s="75">
        <f t="shared" si="5"/>
        <v>74192.54642857</v>
      </c>
      <c r="V70" s="75">
        <f t="shared" si="17"/>
        <v>51801.943214305</v>
      </c>
      <c r="W70" s="104">
        <f t="shared" si="18"/>
        <v>905.99004166872237</v>
      </c>
      <c r="X70" s="75">
        <v>1072.2482211853294</v>
      </c>
      <c r="Y70" s="96">
        <v>939.14615732367088</v>
      </c>
      <c r="Z70" s="75">
        <v>193347.93357137992</v>
      </c>
      <c r="AA70" s="75">
        <f t="shared" si="19"/>
        <v>178078.36580346752</v>
      </c>
      <c r="AB70" s="104">
        <f t="shared" si="20"/>
        <v>881.9942542850672</v>
      </c>
      <c r="AC70" s="75">
        <v>74192.54642857</v>
      </c>
      <c r="AD70" s="75">
        <f t="shared" si="21"/>
        <v>51801.943214305</v>
      </c>
      <c r="AE70" s="104">
        <f t="shared" si="22"/>
        <v>905.99004166872237</v>
      </c>
      <c r="AF70" s="75">
        <v>891.00430217225767</v>
      </c>
      <c r="AG70" s="96">
        <v>939.14615732367088</v>
      </c>
      <c r="AH70" s="75">
        <v>750230.50107170991</v>
      </c>
      <c r="AI70" s="75">
        <f t="shared" si="23"/>
        <v>658107.96151773259</v>
      </c>
      <c r="AJ70" s="104">
        <f t="shared" si="24"/>
        <v>1149.5416671230187</v>
      </c>
      <c r="AK70" s="75">
        <v>0</v>
      </c>
      <c r="AL70" s="75">
        <f t="shared" si="25"/>
        <v>0</v>
      </c>
      <c r="AM70" s="104">
        <f t="shared" si="26"/>
        <v>0</v>
      </c>
      <c r="AN70" s="75">
        <v>1131.5693832152488</v>
      </c>
      <c r="AO70" s="96">
        <v>0</v>
      </c>
      <c r="AP70" s="75">
        <v>0</v>
      </c>
      <c r="AQ70" s="75">
        <f t="shared" si="27"/>
        <v>0</v>
      </c>
      <c r="AR70" s="104">
        <f t="shared" si="28"/>
        <v>0</v>
      </c>
      <c r="AS70" s="75">
        <v>0</v>
      </c>
      <c r="AT70" s="75">
        <f t="shared" si="29"/>
        <v>0</v>
      </c>
      <c r="AU70" s="104">
        <f t="shared" si="30"/>
        <v>0</v>
      </c>
      <c r="AV70" s="75">
        <v>0</v>
      </c>
      <c r="AW70" s="96">
        <v>0</v>
      </c>
      <c r="AX70" s="75">
        <v>0</v>
      </c>
      <c r="AY70" s="75">
        <f t="shared" si="31"/>
        <v>0</v>
      </c>
      <c r="AZ70" s="104">
        <f t="shared" si="32"/>
        <v>0</v>
      </c>
      <c r="BA70" s="75">
        <v>0</v>
      </c>
      <c r="BB70" s="75">
        <f t="shared" si="33"/>
        <v>0</v>
      </c>
      <c r="BC70" s="104">
        <f t="shared" si="34"/>
        <v>0</v>
      </c>
      <c r="BD70" s="75">
        <v>0</v>
      </c>
      <c r="BE70" s="96">
        <v>0</v>
      </c>
    </row>
    <row r="71" spans="1:57" x14ac:dyDescent="0.25">
      <c r="A71" s="85">
        <f t="shared" si="6"/>
        <v>45604</v>
      </c>
      <c r="B71" s="75">
        <v>805118.34392788017</v>
      </c>
      <c r="C71" s="75">
        <f t="shared" si="7"/>
        <v>859184.62991040514</v>
      </c>
      <c r="D71" s="104">
        <f t="shared" si="8"/>
        <v>1084.2169501680391</v>
      </c>
      <c r="E71" s="75">
        <v>51857.165000029992</v>
      </c>
      <c r="F71" s="75">
        <f t="shared" si="9"/>
        <v>56381.150178562493</v>
      </c>
      <c r="G71" s="104">
        <f t="shared" si="10"/>
        <v>899.05646503511116</v>
      </c>
      <c r="H71" s="75">
        <v>1108.970065230659</v>
      </c>
      <c r="I71" s="96">
        <v>896.54534030366403</v>
      </c>
      <c r="J71" s="75">
        <f t="shared" si="0"/>
        <v>148292.31392891996</v>
      </c>
      <c r="K71" s="75">
        <f t="shared" si="11"/>
        <v>176309.76241069249</v>
      </c>
      <c r="L71" s="104">
        <f t="shared" si="12"/>
        <v>1084.2169501680391</v>
      </c>
      <c r="M71" s="75">
        <f t="shared" si="1"/>
        <v>51857.165000029992</v>
      </c>
      <c r="N71" s="75">
        <f t="shared" si="13"/>
        <v>56381.150178562493</v>
      </c>
      <c r="O71" s="104">
        <f t="shared" si="14"/>
        <v>899.05646503511116</v>
      </c>
      <c r="P71" s="75">
        <f t="shared" si="2"/>
        <v>1108.970065230659</v>
      </c>
      <c r="Q71" s="96">
        <f t="shared" si="3"/>
        <v>896.54534030366403</v>
      </c>
      <c r="R71" s="75">
        <f t="shared" si="4"/>
        <v>805118.34392788028</v>
      </c>
      <c r="S71" s="75">
        <f t="shared" si="15"/>
        <v>859184.62991040514</v>
      </c>
      <c r="T71" s="104">
        <f t="shared" si="16"/>
        <v>1081.2464928000236</v>
      </c>
      <c r="U71" s="75">
        <f t="shared" si="5"/>
        <v>51857.165000029992</v>
      </c>
      <c r="V71" s="75">
        <f t="shared" si="17"/>
        <v>56381.150178562493</v>
      </c>
      <c r="W71" s="104">
        <f t="shared" si="18"/>
        <v>896.59329666238614</v>
      </c>
      <c r="X71" s="75">
        <v>1105.9317911097257</v>
      </c>
      <c r="Y71" s="96">
        <v>894.08905172465506</v>
      </c>
      <c r="Z71" s="75">
        <v>148292.31392891996</v>
      </c>
      <c r="AA71" s="75">
        <f t="shared" si="19"/>
        <v>176309.76241069249</v>
      </c>
      <c r="AB71" s="104">
        <f t="shared" si="20"/>
        <v>861.78949447767161</v>
      </c>
      <c r="AC71" s="75">
        <v>51857.165000029992</v>
      </c>
      <c r="AD71" s="75">
        <f t="shared" si="21"/>
        <v>56381.150178562493</v>
      </c>
      <c r="AE71" s="104">
        <f t="shared" si="22"/>
        <v>896.59329666238614</v>
      </c>
      <c r="AF71" s="75">
        <v>833.10288724112343</v>
      </c>
      <c r="AG71" s="96">
        <v>894.08905172465506</v>
      </c>
      <c r="AH71" s="75">
        <v>656826.02999896032</v>
      </c>
      <c r="AI71" s="75">
        <f t="shared" si="23"/>
        <v>682874.86749971262</v>
      </c>
      <c r="AJ71" s="104">
        <f t="shared" si="24"/>
        <v>1156.3843059594878</v>
      </c>
      <c r="AK71" s="75">
        <v>0</v>
      </c>
      <c r="AL71" s="75">
        <f t="shared" si="25"/>
        <v>0</v>
      </c>
      <c r="AM71" s="104">
        <f t="shared" si="26"/>
        <v>0</v>
      </c>
      <c r="AN71" s="75">
        <v>1194.2291454526551</v>
      </c>
      <c r="AO71" s="96">
        <v>0</v>
      </c>
      <c r="AP71" s="75">
        <v>0</v>
      </c>
      <c r="AQ71" s="75">
        <f t="shared" si="27"/>
        <v>0</v>
      </c>
      <c r="AR71" s="104">
        <f t="shared" si="28"/>
        <v>0</v>
      </c>
      <c r="AS71" s="75">
        <v>0</v>
      </c>
      <c r="AT71" s="75">
        <f t="shared" si="29"/>
        <v>0</v>
      </c>
      <c r="AU71" s="104">
        <f t="shared" si="30"/>
        <v>0</v>
      </c>
      <c r="AV71" s="75">
        <v>0</v>
      </c>
      <c r="AW71" s="96">
        <v>0</v>
      </c>
      <c r="AX71" s="75">
        <v>0</v>
      </c>
      <c r="AY71" s="75">
        <f t="shared" si="31"/>
        <v>0</v>
      </c>
      <c r="AZ71" s="104">
        <f t="shared" si="32"/>
        <v>0</v>
      </c>
      <c r="BA71" s="75">
        <v>0</v>
      </c>
      <c r="BB71" s="75">
        <f t="shared" si="33"/>
        <v>0</v>
      </c>
      <c r="BC71" s="104">
        <f t="shared" si="34"/>
        <v>0</v>
      </c>
      <c r="BD71" s="75">
        <v>0</v>
      </c>
      <c r="BE71" s="96">
        <v>0</v>
      </c>
    </row>
    <row r="72" spans="1:57" x14ac:dyDescent="0.25">
      <c r="A72" s="85">
        <f t="shared" si="6"/>
        <v>45611</v>
      </c>
      <c r="B72" s="75">
        <v>826310.11035741982</v>
      </c>
      <c r="C72" s="75">
        <f t="shared" si="7"/>
        <v>860333.50508915004</v>
      </c>
      <c r="D72" s="104">
        <f t="shared" si="8"/>
        <v>1088.7208054816538</v>
      </c>
      <c r="E72" s="75">
        <v>52544.426428570005</v>
      </c>
      <c r="F72" s="75">
        <f t="shared" si="9"/>
        <v>60183.731874987498</v>
      </c>
      <c r="G72" s="104">
        <f t="shared" si="10"/>
        <v>901.41186848139466</v>
      </c>
      <c r="H72" s="75">
        <v>1115.1819556600522</v>
      </c>
      <c r="I72" s="96">
        <v>823.26217573408167</v>
      </c>
      <c r="J72" s="75">
        <f t="shared" ref="J72:J111" si="35">Z72+AP72</f>
        <v>172465.31928568005</v>
      </c>
      <c r="K72" s="75">
        <f t="shared" si="11"/>
        <v>178959.85732146748</v>
      </c>
      <c r="L72" s="104">
        <f t="shared" si="12"/>
        <v>1088.7208054816538</v>
      </c>
      <c r="M72" s="75">
        <f t="shared" ref="M72:M111" si="36">AC72+AS72</f>
        <v>52544.426428570005</v>
      </c>
      <c r="N72" s="75">
        <f t="shared" si="13"/>
        <v>60183.731874987498</v>
      </c>
      <c r="O72" s="104">
        <f t="shared" si="14"/>
        <v>901.41186848139466</v>
      </c>
      <c r="P72" s="75">
        <f t="shared" ref="P72:P111" si="37">H72</f>
        <v>1115.1819556600522</v>
      </c>
      <c r="Q72" s="96">
        <f t="shared" ref="Q72:Q111" si="38">I72</f>
        <v>823.26217573408167</v>
      </c>
      <c r="R72" s="75">
        <f t="shared" ref="R72:R111" si="39">Z72+AH72</f>
        <v>826310.11035742017</v>
      </c>
      <c r="S72" s="75">
        <f t="shared" si="15"/>
        <v>860333.50508915004</v>
      </c>
      <c r="T72" s="104">
        <f t="shared" si="16"/>
        <v>1085.738008784135</v>
      </c>
      <c r="U72" s="75">
        <f t="shared" ref="U72:U111" si="40">AC72+AK72</f>
        <v>52544.426428570005</v>
      </c>
      <c r="V72" s="75">
        <f t="shared" si="17"/>
        <v>60183.731874987498</v>
      </c>
      <c r="W72" s="104">
        <f t="shared" si="18"/>
        <v>898.94224694860736</v>
      </c>
      <c r="X72" s="75">
        <v>1112.1266626613999</v>
      </c>
      <c r="Y72" s="96">
        <v>821.00666294640632</v>
      </c>
      <c r="Z72" s="75">
        <v>172465.31928568005</v>
      </c>
      <c r="AA72" s="75">
        <f t="shared" si="19"/>
        <v>178959.85732146748</v>
      </c>
      <c r="AB72" s="104">
        <f t="shared" si="20"/>
        <v>886.26189701002477</v>
      </c>
      <c r="AC72" s="75">
        <v>52544.426428570005</v>
      </c>
      <c r="AD72" s="75">
        <f t="shared" si="21"/>
        <v>60183.731874987498</v>
      </c>
      <c r="AE72" s="104">
        <f t="shared" si="22"/>
        <v>898.94224694860736</v>
      </c>
      <c r="AF72" s="75">
        <v>932.24496911178403</v>
      </c>
      <c r="AG72" s="96">
        <v>821.00666294640632</v>
      </c>
      <c r="AH72" s="75">
        <v>653844.7910717401</v>
      </c>
      <c r="AI72" s="75">
        <f t="shared" si="23"/>
        <v>681373.64776768256</v>
      </c>
      <c r="AJ72" s="104">
        <f t="shared" si="24"/>
        <v>1153.1631911539798</v>
      </c>
      <c r="AK72" s="75">
        <v>0</v>
      </c>
      <c r="AL72" s="75">
        <f t="shared" si="25"/>
        <v>0</v>
      </c>
      <c r="AM72" s="104">
        <f t="shared" si="26"/>
        <v>0</v>
      </c>
      <c r="AN72" s="75">
        <v>1171.7648585515055</v>
      </c>
      <c r="AO72" s="96">
        <v>0</v>
      </c>
      <c r="AP72" s="75">
        <v>0</v>
      </c>
      <c r="AQ72" s="75">
        <f t="shared" si="27"/>
        <v>0</v>
      </c>
      <c r="AR72" s="104">
        <f t="shared" si="28"/>
        <v>0</v>
      </c>
      <c r="AS72" s="75">
        <v>0</v>
      </c>
      <c r="AT72" s="75">
        <f t="shared" si="29"/>
        <v>0</v>
      </c>
      <c r="AU72" s="104">
        <f t="shared" si="30"/>
        <v>0</v>
      </c>
      <c r="AV72" s="75">
        <v>0</v>
      </c>
      <c r="AW72" s="96">
        <v>0</v>
      </c>
      <c r="AX72" s="75">
        <v>0</v>
      </c>
      <c r="AY72" s="75">
        <f t="shared" si="31"/>
        <v>0</v>
      </c>
      <c r="AZ72" s="104">
        <f t="shared" si="32"/>
        <v>0</v>
      </c>
      <c r="BA72" s="75">
        <v>0</v>
      </c>
      <c r="BB72" s="75">
        <f t="shared" si="33"/>
        <v>0</v>
      </c>
      <c r="BC72" s="104">
        <f t="shared" si="34"/>
        <v>0</v>
      </c>
      <c r="BD72" s="75">
        <v>0</v>
      </c>
      <c r="BE72" s="96">
        <v>0</v>
      </c>
    </row>
    <row r="73" spans="1:57" x14ac:dyDescent="0.25">
      <c r="A73" s="85">
        <f t="shared" ref="A73:A111" si="41">A72+7</f>
        <v>45618</v>
      </c>
      <c r="B73" s="75">
        <v>1044250.3903569499</v>
      </c>
      <c r="C73" s="75">
        <f t="shared" si="7"/>
        <v>904814.31982133503</v>
      </c>
      <c r="D73" s="104">
        <f t="shared" si="8"/>
        <v>1113.4581072107048</v>
      </c>
      <c r="E73" s="75">
        <v>96038.145714010025</v>
      </c>
      <c r="F73" s="75">
        <f t="shared" si="9"/>
        <v>68658.070892795004</v>
      </c>
      <c r="G73" s="104">
        <f t="shared" si="10"/>
        <v>878.44092915531621</v>
      </c>
      <c r="H73" s="75">
        <v>1154.4864499249286</v>
      </c>
      <c r="I73" s="96">
        <v>852.22997142494035</v>
      </c>
      <c r="J73" s="75">
        <f t="shared" si="35"/>
        <v>240864.79714276997</v>
      </c>
      <c r="K73" s="75">
        <f t="shared" si="11"/>
        <v>188742.59098218748</v>
      </c>
      <c r="L73" s="104">
        <f t="shared" si="12"/>
        <v>1113.4581072107048</v>
      </c>
      <c r="M73" s="75">
        <f t="shared" si="36"/>
        <v>96038.145714010025</v>
      </c>
      <c r="N73" s="75">
        <f t="shared" si="13"/>
        <v>68658.070892795004</v>
      </c>
      <c r="O73" s="104">
        <f t="shared" si="14"/>
        <v>878.44092915531621</v>
      </c>
      <c r="P73" s="75">
        <f t="shared" si="37"/>
        <v>1154.4864499249286</v>
      </c>
      <c r="Q73" s="96">
        <f t="shared" si="38"/>
        <v>852.22997142494035</v>
      </c>
      <c r="R73" s="75">
        <f t="shared" si="39"/>
        <v>1044250.39035695</v>
      </c>
      <c r="S73" s="75">
        <f t="shared" si="15"/>
        <v>904814.31982133503</v>
      </c>
      <c r="T73" s="104">
        <f t="shared" si="16"/>
        <v>1110.4075370844694</v>
      </c>
      <c r="U73" s="75">
        <f t="shared" si="40"/>
        <v>96038.145714010025</v>
      </c>
      <c r="V73" s="75">
        <f t="shared" si="17"/>
        <v>68658.070892795004</v>
      </c>
      <c r="W73" s="104">
        <f t="shared" si="18"/>
        <v>876.03424170224503</v>
      </c>
      <c r="X73" s="75">
        <v>1151.3234733814222</v>
      </c>
      <c r="Y73" s="96">
        <v>849.89509481424795</v>
      </c>
      <c r="Z73" s="75">
        <v>240864.79714276997</v>
      </c>
      <c r="AA73" s="75">
        <f t="shared" si="19"/>
        <v>188742.59098218748</v>
      </c>
      <c r="AB73" s="104">
        <f t="shared" si="20"/>
        <v>922.52666317503588</v>
      </c>
      <c r="AC73" s="75">
        <v>96038.145714010025</v>
      </c>
      <c r="AD73" s="75">
        <f t="shared" si="21"/>
        <v>68658.070892795004</v>
      </c>
      <c r="AE73" s="104">
        <f t="shared" si="22"/>
        <v>876.03424170224503</v>
      </c>
      <c r="AF73" s="75">
        <v>1033.7544941749784</v>
      </c>
      <c r="AG73" s="96">
        <v>849.89509481424795</v>
      </c>
      <c r="AH73" s="75">
        <v>803385.59321418009</v>
      </c>
      <c r="AI73" s="75">
        <f t="shared" si="23"/>
        <v>716071.7288391476</v>
      </c>
      <c r="AJ73" s="104">
        <f t="shared" si="24"/>
        <v>1172.3825356825155</v>
      </c>
      <c r="AK73" s="75">
        <v>0</v>
      </c>
      <c r="AL73" s="75">
        <f t="shared" si="25"/>
        <v>0</v>
      </c>
      <c r="AM73" s="104">
        <f t="shared" si="26"/>
        <v>0</v>
      </c>
      <c r="AN73" s="75">
        <v>1191.966755510653</v>
      </c>
      <c r="AO73" s="96">
        <v>0</v>
      </c>
      <c r="AP73" s="75">
        <v>0</v>
      </c>
      <c r="AQ73" s="75">
        <f t="shared" si="27"/>
        <v>0</v>
      </c>
      <c r="AR73" s="104">
        <f t="shared" si="28"/>
        <v>0</v>
      </c>
      <c r="AS73" s="75">
        <v>0</v>
      </c>
      <c r="AT73" s="75">
        <f t="shared" si="29"/>
        <v>0</v>
      </c>
      <c r="AU73" s="104">
        <f t="shared" si="30"/>
        <v>0</v>
      </c>
      <c r="AV73" s="75">
        <v>0</v>
      </c>
      <c r="AW73" s="96">
        <v>0</v>
      </c>
      <c r="AX73" s="75">
        <v>0</v>
      </c>
      <c r="AY73" s="75">
        <f t="shared" si="31"/>
        <v>0</v>
      </c>
      <c r="AZ73" s="104">
        <f t="shared" si="32"/>
        <v>0</v>
      </c>
      <c r="BA73" s="75">
        <v>0</v>
      </c>
      <c r="BB73" s="75">
        <f t="shared" si="33"/>
        <v>0</v>
      </c>
      <c r="BC73" s="104">
        <f t="shared" si="34"/>
        <v>0</v>
      </c>
      <c r="BD73" s="75">
        <v>0</v>
      </c>
      <c r="BE73" s="96">
        <v>0</v>
      </c>
    </row>
    <row r="74" spans="1:57" x14ac:dyDescent="0.25">
      <c r="A74" s="85">
        <f t="shared" si="41"/>
        <v>45625</v>
      </c>
      <c r="B74" s="75">
        <v>1112892.8396433701</v>
      </c>
      <c r="C74" s="75">
        <f t="shared" si="7"/>
        <v>947142.92107140506</v>
      </c>
      <c r="D74" s="104">
        <f t="shared" si="8"/>
        <v>1134.0657996343612</v>
      </c>
      <c r="E74" s="75">
        <v>70361.222499849988</v>
      </c>
      <c r="F74" s="75">
        <f t="shared" si="9"/>
        <v>67700.239910614997</v>
      </c>
      <c r="G74" s="104">
        <f t="shared" si="10"/>
        <v>812.61158955731685</v>
      </c>
      <c r="H74" s="75">
        <v>1157.6247277218047</v>
      </c>
      <c r="I74" s="96">
        <v>678.40887076658134</v>
      </c>
      <c r="J74" s="75">
        <f t="shared" si="35"/>
        <v>207520.66892853999</v>
      </c>
      <c r="K74" s="75">
        <f t="shared" si="11"/>
        <v>192285.77482147751</v>
      </c>
      <c r="L74" s="104">
        <f t="shared" si="12"/>
        <v>1134.0657996343612</v>
      </c>
      <c r="M74" s="75">
        <f t="shared" si="36"/>
        <v>70361.222499849988</v>
      </c>
      <c r="N74" s="75">
        <f t="shared" si="13"/>
        <v>67700.239910614997</v>
      </c>
      <c r="O74" s="104">
        <f t="shared" si="14"/>
        <v>812.61158955731685</v>
      </c>
      <c r="P74" s="75">
        <f t="shared" si="37"/>
        <v>1157.6247277218047</v>
      </c>
      <c r="Q74" s="96">
        <f t="shared" si="38"/>
        <v>678.40887076658134</v>
      </c>
      <c r="R74" s="75">
        <f t="shared" si="39"/>
        <v>1112892.8396433699</v>
      </c>
      <c r="S74" s="75">
        <f t="shared" si="15"/>
        <v>947142.92107140506</v>
      </c>
      <c r="T74" s="104">
        <f t="shared" si="16"/>
        <v>1130.9587700773927</v>
      </c>
      <c r="U74" s="75">
        <f t="shared" si="40"/>
        <v>70361.222499849988</v>
      </c>
      <c r="V74" s="75">
        <f t="shared" si="17"/>
        <v>67700.239910614997</v>
      </c>
      <c r="W74" s="104">
        <f t="shared" si="18"/>
        <v>810.38525645750519</v>
      </c>
      <c r="X74" s="75">
        <v>1154.4531531570228</v>
      </c>
      <c r="Y74" s="96">
        <v>676.55021634471143</v>
      </c>
      <c r="Z74" s="75">
        <v>207520.66892853999</v>
      </c>
      <c r="AA74" s="75">
        <f t="shared" si="19"/>
        <v>192285.77482147751</v>
      </c>
      <c r="AB74" s="104">
        <f t="shared" si="20"/>
        <v>956.60809868214471</v>
      </c>
      <c r="AC74" s="75">
        <v>70361.222499849988</v>
      </c>
      <c r="AD74" s="75">
        <f t="shared" si="21"/>
        <v>67700.239910614997</v>
      </c>
      <c r="AE74" s="104">
        <f t="shared" si="22"/>
        <v>810.38525645750519</v>
      </c>
      <c r="AF74" s="75">
        <v>1027.330044200693</v>
      </c>
      <c r="AG74" s="96">
        <v>676.55021634471143</v>
      </c>
      <c r="AH74" s="75">
        <v>905372.17071482993</v>
      </c>
      <c r="AI74" s="75">
        <f t="shared" si="23"/>
        <v>754857.14624992758</v>
      </c>
      <c r="AJ74" s="104">
        <f t="shared" si="24"/>
        <v>1186.5283036302881</v>
      </c>
      <c r="AK74" s="75">
        <v>0</v>
      </c>
      <c r="AL74" s="75">
        <f t="shared" si="25"/>
        <v>0</v>
      </c>
      <c r="AM74" s="104">
        <f t="shared" si="26"/>
        <v>0</v>
      </c>
      <c r="AN74" s="75">
        <v>1188.1524550063384</v>
      </c>
      <c r="AO74" s="96">
        <v>0</v>
      </c>
      <c r="AP74" s="75">
        <v>0</v>
      </c>
      <c r="AQ74" s="75">
        <f t="shared" si="27"/>
        <v>0</v>
      </c>
      <c r="AR74" s="104">
        <f t="shared" si="28"/>
        <v>0</v>
      </c>
      <c r="AS74" s="75">
        <v>0</v>
      </c>
      <c r="AT74" s="75">
        <f t="shared" si="29"/>
        <v>0</v>
      </c>
      <c r="AU74" s="104">
        <f t="shared" si="30"/>
        <v>0</v>
      </c>
      <c r="AV74" s="75">
        <v>0</v>
      </c>
      <c r="AW74" s="96">
        <v>0</v>
      </c>
      <c r="AX74" s="75">
        <v>0</v>
      </c>
      <c r="AY74" s="75">
        <f t="shared" si="31"/>
        <v>0</v>
      </c>
      <c r="AZ74" s="104">
        <f t="shared" si="32"/>
        <v>0</v>
      </c>
      <c r="BA74" s="75">
        <v>0</v>
      </c>
      <c r="BB74" s="75">
        <f t="shared" si="33"/>
        <v>0</v>
      </c>
      <c r="BC74" s="104">
        <f t="shared" si="34"/>
        <v>0</v>
      </c>
      <c r="BD74" s="75">
        <v>0</v>
      </c>
      <c r="BE74" s="96">
        <v>0</v>
      </c>
    </row>
    <row r="75" spans="1:57" x14ac:dyDescent="0.25">
      <c r="A75" s="85">
        <f t="shared" si="41"/>
        <v>45632</v>
      </c>
      <c r="B75" s="75">
        <v>1151785.7196425602</v>
      </c>
      <c r="C75" s="75">
        <f t="shared" ref="C75:C111" si="42">AVERAGE(B72:B75)</f>
        <v>1033809.7650000749</v>
      </c>
      <c r="D75" s="104">
        <f t="shared" ref="D75:D111" si="43">AVERAGE(H72:H75)</f>
        <v>1135.2586657021461</v>
      </c>
      <c r="E75" s="75">
        <v>62343.436785750004</v>
      </c>
      <c r="F75" s="75">
        <f t="shared" ref="F75:F111" si="44">AVERAGE(E72:E75)</f>
        <v>70321.807857045002</v>
      </c>
      <c r="G75" s="104">
        <f t="shared" ref="G75:G111" si="45">AVERAGE(I72:I75)</f>
        <v>794.11574777750411</v>
      </c>
      <c r="H75" s="75">
        <v>1113.7415295017988</v>
      </c>
      <c r="I75" s="96">
        <v>822.56197318441332</v>
      </c>
      <c r="J75" s="75">
        <f t="shared" si="35"/>
        <v>233268.44928605988</v>
      </c>
      <c r="K75" s="75">
        <f t="shared" ref="K75:K111" si="46">AVERAGE(J72:J75)</f>
        <v>213529.80866076244</v>
      </c>
      <c r="L75" s="104">
        <f t="shared" ref="L75:L111" si="47">AVERAGE(P72:P75)</f>
        <v>1135.2586657021461</v>
      </c>
      <c r="M75" s="75">
        <f t="shared" si="36"/>
        <v>62343.436785750004</v>
      </c>
      <c r="N75" s="75">
        <f t="shared" ref="N75:N111" si="48">AVERAGE(M72:M75)</f>
        <v>70321.807857045002</v>
      </c>
      <c r="O75" s="104">
        <f t="shared" ref="O75:O111" si="49">AVERAGE(Q72:Q75)</f>
        <v>794.11574777750411</v>
      </c>
      <c r="P75" s="75">
        <f t="shared" si="37"/>
        <v>1113.7415295017988</v>
      </c>
      <c r="Q75" s="96">
        <f t="shared" si="38"/>
        <v>822.56197318441332</v>
      </c>
      <c r="R75" s="75">
        <f t="shared" si="39"/>
        <v>1151785.7196425602</v>
      </c>
      <c r="S75" s="75">
        <f t="shared" ref="S75:S111" si="50">AVERAGE(R72:R75)</f>
        <v>1033809.7650000751</v>
      </c>
      <c r="T75" s="104">
        <f t="shared" ref="T75:T111" si="51">AVERAGE(X72:X75)</f>
        <v>1132.148368018997</v>
      </c>
      <c r="U75" s="75">
        <f t="shared" si="40"/>
        <v>62343.436785750004</v>
      </c>
      <c r="V75" s="75">
        <f t="shared" ref="V75:V111" si="52">AVERAGE(U72:U75)</f>
        <v>70321.807857045002</v>
      </c>
      <c r="W75" s="104">
        <f t="shared" ref="W75:W111" si="53">AVERAGE(Y72:Y75)</f>
        <v>791.94008821630848</v>
      </c>
      <c r="X75" s="75">
        <v>1110.6901828761429</v>
      </c>
      <c r="Y75" s="96">
        <v>820.30837875986845</v>
      </c>
      <c r="Z75" s="75">
        <v>233268.44928605988</v>
      </c>
      <c r="AA75" s="75">
        <f t="shared" ref="AA75:AA111" si="54">AVERAGE(Z72:Z75)</f>
        <v>213529.80866076244</v>
      </c>
      <c r="AB75" s="104">
        <f t="shared" ref="AB75:AB111" si="55">AVERAGE(AF72:AF75)</f>
        <v>984.43404618973818</v>
      </c>
      <c r="AC75" s="75">
        <v>62343.436785750004</v>
      </c>
      <c r="AD75" s="75">
        <f t="shared" ref="AD75:AD111" si="56">AVERAGE(AC72:AC75)</f>
        <v>70321.807857045002</v>
      </c>
      <c r="AE75" s="104">
        <f t="shared" ref="AE75:AE111" si="57">AVERAGE(AG72:AG75)</f>
        <v>791.94008821630848</v>
      </c>
      <c r="AF75" s="75">
        <v>944.40667727149753</v>
      </c>
      <c r="AG75" s="96">
        <v>820.30837875986845</v>
      </c>
      <c r="AH75" s="75">
        <v>918517.27035650029</v>
      </c>
      <c r="AI75" s="75">
        <f t="shared" ref="AI75:AI111" si="58">AVERAGE(AH72:AH75)</f>
        <v>820279.95633931272</v>
      </c>
      <c r="AJ75" s="104">
        <f t="shared" ref="AJ75:AJ111" si="59">AVERAGE(AN72:AN75)</f>
        <v>1178.6410395318396</v>
      </c>
      <c r="AK75" s="75">
        <v>0</v>
      </c>
      <c r="AL75" s="75">
        <f t="shared" ref="AL75:AL111" si="60">AVERAGE(AK72:AK75)</f>
        <v>0</v>
      </c>
      <c r="AM75" s="104">
        <f t="shared" ref="AM75:AM111" si="61">AVERAGE(AO72:AO75)</f>
        <v>0</v>
      </c>
      <c r="AN75" s="75">
        <v>1162.6800890588611</v>
      </c>
      <c r="AO75" s="96">
        <v>0</v>
      </c>
      <c r="AP75" s="75">
        <v>0</v>
      </c>
      <c r="AQ75" s="75">
        <f t="shared" ref="AQ75:AQ111" si="62">AVERAGE(AP72:AP75)</f>
        <v>0</v>
      </c>
      <c r="AR75" s="104">
        <f t="shared" ref="AR75:AR111" si="63">AVERAGE(AV72:AV75)</f>
        <v>0</v>
      </c>
      <c r="AS75" s="75">
        <v>0</v>
      </c>
      <c r="AT75" s="75">
        <f t="shared" ref="AT75:AT111" si="64">AVERAGE(AS72:AS75)</f>
        <v>0</v>
      </c>
      <c r="AU75" s="104">
        <f t="shared" ref="AU75:AU111" si="65">AVERAGE(AW72:AW75)</f>
        <v>0</v>
      </c>
      <c r="AV75" s="75">
        <v>0</v>
      </c>
      <c r="AW75" s="96">
        <v>0</v>
      </c>
      <c r="AX75" s="75">
        <v>0</v>
      </c>
      <c r="AY75" s="75">
        <f t="shared" ref="AY75:AY111" si="66">AVERAGE(AX72:AX75)</f>
        <v>0</v>
      </c>
      <c r="AZ75" s="104">
        <f t="shared" ref="AZ75:AZ111" si="67">AVERAGE(BD72:BD75)</f>
        <v>0</v>
      </c>
      <c r="BA75" s="75">
        <v>0</v>
      </c>
      <c r="BB75" s="75">
        <f t="shared" ref="BB75:BB111" si="68">AVERAGE(BA72:BA75)</f>
        <v>0</v>
      </c>
      <c r="BC75" s="104">
        <f t="shared" ref="BC75:BC111" si="69">AVERAGE(BE72:BE75)</f>
        <v>0</v>
      </c>
      <c r="BD75" s="75">
        <v>0</v>
      </c>
      <c r="BE75" s="96">
        <v>0</v>
      </c>
    </row>
    <row r="76" spans="1:57" x14ac:dyDescent="0.25">
      <c r="A76" s="85">
        <f t="shared" si="41"/>
        <v>45639</v>
      </c>
      <c r="B76" s="75">
        <v>1015356.697857673</v>
      </c>
      <c r="C76" s="75">
        <f t="shared" si="42"/>
        <v>1081071.4118751383</v>
      </c>
      <c r="D76" s="104">
        <f t="shared" si="43"/>
        <v>1134.9495387420927</v>
      </c>
      <c r="E76" s="75">
        <v>59248.383928380012</v>
      </c>
      <c r="F76" s="75">
        <f t="shared" si="44"/>
        <v>71997.797231997509</v>
      </c>
      <c r="G76" s="104">
        <f t="shared" si="45"/>
        <v>800.48289745921727</v>
      </c>
      <c r="H76" s="75">
        <v>1113.9454478198386</v>
      </c>
      <c r="I76" s="96">
        <v>848.73077446093384</v>
      </c>
      <c r="J76" s="75">
        <f t="shared" si="35"/>
        <v>208528.36642854285</v>
      </c>
      <c r="K76" s="75">
        <f t="shared" si="46"/>
        <v>222545.5704464782</v>
      </c>
      <c r="L76" s="104">
        <f t="shared" si="47"/>
        <v>1134.9495387420927</v>
      </c>
      <c r="M76" s="75">
        <f t="shared" si="36"/>
        <v>59248.383928380012</v>
      </c>
      <c r="N76" s="75">
        <f t="shared" si="48"/>
        <v>71997.797231997509</v>
      </c>
      <c r="O76" s="104">
        <f t="shared" si="49"/>
        <v>800.48289745921727</v>
      </c>
      <c r="P76" s="75">
        <f t="shared" si="37"/>
        <v>1113.9454478198386</v>
      </c>
      <c r="Q76" s="96">
        <f t="shared" si="38"/>
        <v>848.73077446093384</v>
      </c>
      <c r="R76" s="75">
        <f t="shared" si="39"/>
        <v>1015356.6978576729</v>
      </c>
      <c r="S76" s="75">
        <f t="shared" si="50"/>
        <v>1081071.4118751383</v>
      </c>
      <c r="T76" s="104">
        <f t="shared" si="51"/>
        <v>1131.8400879821133</v>
      </c>
      <c r="U76" s="75">
        <f t="shared" si="40"/>
        <v>59248.383928380012</v>
      </c>
      <c r="V76" s="75">
        <f t="shared" si="52"/>
        <v>71997.797231997509</v>
      </c>
      <c r="W76" s="104">
        <f t="shared" si="53"/>
        <v>798.28979365249279</v>
      </c>
      <c r="X76" s="75">
        <v>1110.8935425138654</v>
      </c>
      <c r="Y76" s="96">
        <v>846.40548469114299</v>
      </c>
      <c r="Z76" s="75">
        <v>208528.36642854285</v>
      </c>
      <c r="AA76" s="75">
        <f t="shared" si="54"/>
        <v>222545.5704464782</v>
      </c>
      <c r="AB76" s="104">
        <f t="shared" si="55"/>
        <v>974.15952018160306</v>
      </c>
      <c r="AC76" s="75">
        <v>59248.383928380012</v>
      </c>
      <c r="AD76" s="75">
        <f t="shared" si="56"/>
        <v>71997.797231997509</v>
      </c>
      <c r="AE76" s="104">
        <f t="shared" si="57"/>
        <v>798.28979365249279</v>
      </c>
      <c r="AF76" s="75">
        <v>891.14686507924296</v>
      </c>
      <c r="AG76" s="96">
        <v>846.40548469114299</v>
      </c>
      <c r="AH76" s="75">
        <v>806828.33142913005</v>
      </c>
      <c r="AI76" s="75">
        <f t="shared" si="58"/>
        <v>858525.84142865997</v>
      </c>
      <c r="AJ76" s="104">
        <f t="shared" si="59"/>
        <v>1182.3278879193786</v>
      </c>
      <c r="AK76" s="75">
        <v>0</v>
      </c>
      <c r="AL76" s="75">
        <f t="shared" si="60"/>
        <v>0</v>
      </c>
      <c r="AM76" s="104">
        <f t="shared" si="61"/>
        <v>0</v>
      </c>
      <c r="AN76" s="75">
        <v>1186.5122521016619</v>
      </c>
      <c r="AO76" s="96">
        <v>0</v>
      </c>
      <c r="AP76" s="75">
        <v>0</v>
      </c>
      <c r="AQ76" s="75">
        <f t="shared" si="62"/>
        <v>0</v>
      </c>
      <c r="AR76" s="104">
        <f t="shared" si="63"/>
        <v>0</v>
      </c>
      <c r="AS76" s="75">
        <v>0</v>
      </c>
      <c r="AT76" s="75">
        <f t="shared" si="64"/>
        <v>0</v>
      </c>
      <c r="AU76" s="104">
        <f t="shared" si="65"/>
        <v>0</v>
      </c>
      <c r="AV76" s="75">
        <v>0</v>
      </c>
      <c r="AW76" s="96">
        <v>0</v>
      </c>
      <c r="AX76" s="75">
        <v>0</v>
      </c>
      <c r="AY76" s="75">
        <f t="shared" si="66"/>
        <v>0</v>
      </c>
      <c r="AZ76" s="104">
        <f t="shared" si="67"/>
        <v>0</v>
      </c>
      <c r="BA76" s="75">
        <v>0</v>
      </c>
      <c r="BB76" s="75">
        <f t="shared" si="68"/>
        <v>0</v>
      </c>
      <c r="BC76" s="104">
        <f t="shared" si="69"/>
        <v>0</v>
      </c>
      <c r="BD76" s="75">
        <v>0</v>
      </c>
      <c r="BE76" s="96">
        <v>0</v>
      </c>
    </row>
    <row r="77" spans="1:57" x14ac:dyDescent="0.25">
      <c r="A77" s="85">
        <f t="shared" si="41"/>
        <v>45646</v>
      </c>
      <c r="B77" s="75">
        <v>1024231.29357159</v>
      </c>
      <c r="C77" s="75">
        <f t="shared" si="42"/>
        <v>1076066.6376787983</v>
      </c>
      <c r="D77" s="104">
        <f t="shared" si="43"/>
        <v>1133.8545544183244</v>
      </c>
      <c r="E77" s="75">
        <v>60176.506071389995</v>
      </c>
      <c r="F77" s="75">
        <f t="shared" si="44"/>
        <v>63032.387321342503</v>
      </c>
      <c r="G77" s="104">
        <f t="shared" si="45"/>
        <v>785.91825375218264</v>
      </c>
      <c r="H77" s="75">
        <v>1150.1065126298554</v>
      </c>
      <c r="I77" s="96">
        <v>793.97139659680215</v>
      </c>
      <c r="J77" s="75">
        <f t="shared" si="35"/>
        <v>206069.89892897994</v>
      </c>
      <c r="K77" s="75">
        <f t="shared" si="46"/>
        <v>213846.8458930307</v>
      </c>
      <c r="L77" s="104">
        <f t="shared" si="47"/>
        <v>1133.8545544183244</v>
      </c>
      <c r="M77" s="75">
        <f t="shared" si="36"/>
        <v>60176.50607138998</v>
      </c>
      <c r="N77" s="75">
        <f t="shared" si="48"/>
        <v>63032.387321342496</v>
      </c>
      <c r="O77" s="104">
        <f t="shared" si="49"/>
        <v>785.91825375218264</v>
      </c>
      <c r="P77" s="75">
        <f t="shared" si="37"/>
        <v>1150.1065126298554</v>
      </c>
      <c r="Q77" s="96">
        <f t="shared" si="38"/>
        <v>793.97139659680215</v>
      </c>
      <c r="R77" s="75">
        <f t="shared" si="39"/>
        <v>1024231.29357159</v>
      </c>
      <c r="S77" s="75">
        <f t="shared" si="50"/>
        <v>1076066.6376787983</v>
      </c>
      <c r="T77" s="104">
        <f t="shared" si="51"/>
        <v>1130.7481036153663</v>
      </c>
      <c r="U77" s="75">
        <f t="shared" si="40"/>
        <v>59443.291785679983</v>
      </c>
      <c r="V77" s="75">
        <f t="shared" si="52"/>
        <v>62849.083749915</v>
      </c>
      <c r="W77" s="104">
        <f t="shared" si="53"/>
        <v>783.96032590119739</v>
      </c>
      <c r="X77" s="75">
        <v>1146.9555359144344</v>
      </c>
      <c r="Y77" s="96">
        <v>792.57722380906648</v>
      </c>
      <c r="Z77" s="75">
        <v>206069.89892897994</v>
      </c>
      <c r="AA77" s="75">
        <f t="shared" si="54"/>
        <v>213846.8458930307</v>
      </c>
      <c r="AB77" s="104">
        <f t="shared" si="55"/>
        <v>968.25753748219654</v>
      </c>
      <c r="AC77" s="75">
        <v>59443.291785679983</v>
      </c>
      <c r="AD77" s="75">
        <f t="shared" si="56"/>
        <v>62849.083749915</v>
      </c>
      <c r="AE77" s="104">
        <f t="shared" si="57"/>
        <v>783.96032590119739</v>
      </c>
      <c r="AF77" s="75">
        <v>1010.1465633773527</v>
      </c>
      <c r="AG77" s="96">
        <v>792.57722380906648</v>
      </c>
      <c r="AH77" s="75">
        <v>818161.3946426101</v>
      </c>
      <c r="AI77" s="75">
        <f t="shared" si="58"/>
        <v>862219.79178576753</v>
      </c>
      <c r="AJ77" s="104">
        <f t="shared" si="59"/>
        <v>1181.2017268510804</v>
      </c>
      <c r="AK77" s="75">
        <v>0</v>
      </c>
      <c r="AL77" s="75">
        <f t="shared" si="60"/>
        <v>0</v>
      </c>
      <c r="AM77" s="104">
        <f t="shared" si="61"/>
        <v>0</v>
      </c>
      <c r="AN77" s="75">
        <v>1187.4621112374602</v>
      </c>
      <c r="AO77" s="96">
        <v>0</v>
      </c>
      <c r="AP77" s="75">
        <v>0</v>
      </c>
      <c r="AQ77" s="75">
        <f t="shared" si="62"/>
        <v>0</v>
      </c>
      <c r="AR77" s="104">
        <f t="shared" si="63"/>
        <v>0</v>
      </c>
      <c r="AS77" s="75">
        <v>733.21428571000001</v>
      </c>
      <c r="AT77" s="75">
        <f t="shared" si="64"/>
        <v>183.3035714275</v>
      </c>
      <c r="AU77" s="104">
        <f t="shared" si="65"/>
        <v>183.80715266263581</v>
      </c>
      <c r="AV77" s="75">
        <v>0</v>
      </c>
      <c r="AW77" s="96">
        <v>735.22861065054326</v>
      </c>
      <c r="AX77" s="75">
        <v>0</v>
      </c>
      <c r="AY77" s="75">
        <f t="shared" si="66"/>
        <v>0</v>
      </c>
      <c r="AZ77" s="104">
        <f t="shared" si="67"/>
        <v>0</v>
      </c>
      <c r="BA77" s="75">
        <v>733.21428571000001</v>
      </c>
      <c r="BB77" s="75">
        <f t="shared" si="68"/>
        <v>183.3035714275</v>
      </c>
      <c r="BC77" s="104">
        <f t="shared" si="69"/>
        <v>183.80715266263581</v>
      </c>
      <c r="BD77" s="75">
        <v>0</v>
      </c>
      <c r="BE77" s="96">
        <v>735.22861065054326</v>
      </c>
    </row>
    <row r="78" spans="1:57" x14ac:dyDescent="0.25">
      <c r="A78" s="85">
        <f t="shared" si="41"/>
        <v>45653</v>
      </c>
      <c r="B78" s="75">
        <v>800017.48392806982</v>
      </c>
      <c r="C78" s="75">
        <f t="shared" si="42"/>
        <v>997847.7987499733</v>
      </c>
      <c r="D78" s="104">
        <f t="shared" si="43"/>
        <v>1138.9473938302381</v>
      </c>
      <c r="E78" s="75">
        <v>63968.609285460007</v>
      </c>
      <c r="F78" s="75">
        <f t="shared" si="44"/>
        <v>61434.234017745002</v>
      </c>
      <c r="G78" s="104">
        <f t="shared" si="45"/>
        <v>816.76712112708492</v>
      </c>
      <c r="H78" s="75">
        <v>1177.9960853694595</v>
      </c>
      <c r="I78" s="96">
        <v>801.80434026619037</v>
      </c>
      <c r="J78" s="75">
        <f t="shared" si="35"/>
        <v>143164.61428569999</v>
      </c>
      <c r="K78" s="75">
        <f t="shared" si="46"/>
        <v>197757.83223232068</v>
      </c>
      <c r="L78" s="104">
        <f t="shared" si="47"/>
        <v>1138.9473938302381</v>
      </c>
      <c r="M78" s="75">
        <f t="shared" si="36"/>
        <v>63968.609285460007</v>
      </c>
      <c r="N78" s="75">
        <f t="shared" si="48"/>
        <v>61434.234017744995</v>
      </c>
      <c r="O78" s="104">
        <f t="shared" si="49"/>
        <v>816.76712112708492</v>
      </c>
      <c r="P78" s="75">
        <f t="shared" si="37"/>
        <v>1177.9960853694595</v>
      </c>
      <c r="Q78" s="96">
        <f t="shared" si="38"/>
        <v>801.80434026619037</v>
      </c>
      <c r="R78" s="75">
        <f t="shared" si="39"/>
        <v>800017.48392807017</v>
      </c>
      <c r="S78" s="75">
        <f t="shared" si="50"/>
        <v>997847.7987499733</v>
      </c>
      <c r="T78" s="104">
        <f t="shared" si="51"/>
        <v>1135.8269900427294</v>
      </c>
      <c r="U78" s="75">
        <f t="shared" si="40"/>
        <v>63968.609285460007</v>
      </c>
      <c r="V78" s="75">
        <f t="shared" si="52"/>
        <v>61250.930446317499</v>
      </c>
      <c r="W78" s="104">
        <f t="shared" si="53"/>
        <v>814.72467583208197</v>
      </c>
      <c r="X78" s="75">
        <v>1174.7686988664759</v>
      </c>
      <c r="Y78" s="96">
        <v>799.60761606825008</v>
      </c>
      <c r="Z78" s="75">
        <v>143164.61428569999</v>
      </c>
      <c r="AA78" s="75">
        <f t="shared" si="54"/>
        <v>197757.83223232068</v>
      </c>
      <c r="AB78" s="104">
        <f t="shared" si="55"/>
        <v>963.47540369557964</v>
      </c>
      <c r="AC78" s="75">
        <v>63968.609285460007</v>
      </c>
      <c r="AD78" s="75">
        <f t="shared" si="56"/>
        <v>61250.930446317499</v>
      </c>
      <c r="AE78" s="104">
        <f t="shared" si="57"/>
        <v>814.72467583208197</v>
      </c>
      <c r="AF78" s="75">
        <v>1008.2015090542253</v>
      </c>
      <c r="AG78" s="96">
        <v>799.60761606825008</v>
      </c>
      <c r="AH78" s="75">
        <v>656852.86964237015</v>
      </c>
      <c r="AI78" s="75">
        <f t="shared" si="58"/>
        <v>800089.96651765262</v>
      </c>
      <c r="AJ78" s="104">
        <f t="shared" si="59"/>
        <v>1188.8263541210033</v>
      </c>
      <c r="AK78" s="75">
        <v>0</v>
      </c>
      <c r="AL78" s="75">
        <f t="shared" si="60"/>
        <v>0</v>
      </c>
      <c r="AM78" s="104">
        <f t="shared" si="61"/>
        <v>0</v>
      </c>
      <c r="AN78" s="75">
        <v>1218.6509640860299</v>
      </c>
      <c r="AO78" s="96">
        <v>0</v>
      </c>
      <c r="AP78" s="75">
        <v>0</v>
      </c>
      <c r="AQ78" s="75">
        <f t="shared" si="62"/>
        <v>0</v>
      </c>
      <c r="AR78" s="104">
        <f t="shared" si="63"/>
        <v>0</v>
      </c>
      <c r="AS78" s="75">
        <v>0</v>
      </c>
      <c r="AT78" s="75">
        <f t="shared" si="64"/>
        <v>183.3035714275</v>
      </c>
      <c r="AU78" s="104">
        <f t="shared" si="65"/>
        <v>183.80715266263581</v>
      </c>
      <c r="AV78" s="75">
        <v>0</v>
      </c>
      <c r="AW78" s="96">
        <v>0</v>
      </c>
      <c r="AX78" s="75">
        <v>0</v>
      </c>
      <c r="AY78" s="75">
        <f t="shared" si="66"/>
        <v>0</v>
      </c>
      <c r="AZ78" s="104">
        <f t="shared" si="67"/>
        <v>0</v>
      </c>
      <c r="BA78" s="75">
        <v>0</v>
      </c>
      <c r="BB78" s="75">
        <f t="shared" si="68"/>
        <v>183.3035714275</v>
      </c>
      <c r="BC78" s="104">
        <f t="shared" si="69"/>
        <v>183.80715266263581</v>
      </c>
      <c r="BD78" s="75">
        <v>0</v>
      </c>
      <c r="BE78" s="96">
        <v>0</v>
      </c>
    </row>
    <row r="79" spans="1:57" x14ac:dyDescent="0.25">
      <c r="A79" s="85">
        <f t="shared" si="41"/>
        <v>45660</v>
      </c>
      <c r="B79" s="75">
        <v>879081.72357188328</v>
      </c>
      <c r="C79" s="75">
        <f t="shared" si="42"/>
        <v>929671.79973230395</v>
      </c>
      <c r="D79" s="104">
        <f t="shared" si="43"/>
        <v>1134.2687764323687</v>
      </c>
      <c r="E79" s="75">
        <v>47204.151428739999</v>
      </c>
      <c r="F79" s="75">
        <f t="shared" si="44"/>
        <v>57649.412678492503</v>
      </c>
      <c r="G79" s="104">
        <f t="shared" si="45"/>
        <v>815.15177077121416</v>
      </c>
      <c r="H79" s="75">
        <v>1095.0270599103212</v>
      </c>
      <c r="I79" s="96">
        <v>816.10057176093051</v>
      </c>
      <c r="J79" s="75">
        <f t="shared" si="35"/>
        <v>130958.66035729292</v>
      </c>
      <c r="K79" s="75">
        <f t="shared" si="46"/>
        <v>172180.38500012894</v>
      </c>
      <c r="L79" s="104">
        <f t="shared" si="47"/>
        <v>1134.2687764323687</v>
      </c>
      <c r="M79" s="75">
        <f t="shared" si="36"/>
        <v>47204.151428739999</v>
      </c>
      <c r="N79" s="75">
        <f t="shared" si="48"/>
        <v>57649.412678492503</v>
      </c>
      <c r="O79" s="104">
        <f t="shared" si="49"/>
        <v>815.15177077121416</v>
      </c>
      <c r="P79" s="75">
        <f t="shared" si="37"/>
        <v>1095.0270599103212</v>
      </c>
      <c r="Q79" s="96">
        <f t="shared" si="38"/>
        <v>816.10057176093051</v>
      </c>
      <c r="R79" s="75">
        <f t="shared" si="39"/>
        <v>879081.72357188328</v>
      </c>
      <c r="S79" s="75">
        <f t="shared" si="50"/>
        <v>929671.79973230418</v>
      </c>
      <c r="T79" s="104">
        <f t="shared" si="51"/>
        <v>1131.1611907745894</v>
      </c>
      <c r="U79" s="75">
        <f t="shared" si="40"/>
        <v>47204.151428739999</v>
      </c>
      <c r="V79" s="75">
        <f t="shared" si="52"/>
        <v>57466.109107065</v>
      </c>
      <c r="W79" s="104">
        <f t="shared" si="53"/>
        <v>813.11375109358039</v>
      </c>
      <c r="X79" s="75">
        <v>1092.0269858035817</v>
      </c>
      <c r="Y79" s="96">
        <v>813.86467980586201</v>
      </c>
      <c r="Z79" s="75">
        <v>130958.66035729292</v>
      </c>
      <c r="AA79" s="75">
        <f t="shared" si="54"/>
        <v>172180.38500012894</v>
      </c>
      <c r="AB79" s="104">
        <f t="shared" si="55"/>
        <v>947.10303027920338</v>
      </c>
      <c r="AC79" s="75">
        <v>47204.151428739999</v>
      </c>
      <c r="AD79" s="75">
        <f t="shared" si="56"/>
        <v>57466.109107065</v>
      </c>
      <c r="AE79" s="104">
        <f t="shared" si="57"/>
        <v>813.11375109358039</v>
      </c>
      <c r="AF79" s="75">
        <v>878.9171836059927</v>
      </c>
      <c r="AG79" s="96">
        <v>813.86467980586201</v>
      </c>
      <c r="AH79" s="75">
        <v>748123.06321459042</v>
      </c>
      <c r="AI79" s="75">
        <f t="shared" si="58"/>
        <v>757491.41473217506</v>
      </c>
      <c r="AJ79" s="104">
        <f t="shared" si="59"/>
        <v>1183.2642065569703</v>
      </c>
      <c r="AK79" s="75">
        <v>0</v>
      </c>
      <c r="AL79" s="75">
        <f t="shared" si="60"/>
        <v>0</v>
      </c>
      <c r="AM79" s="104">
        <f t="shared" si="61"/>
        <v>0</v>
      </c>
      <c r="AN79" s="75">
        <v>1140.4314988027293</v>
      </c>
      <c r="AO79" s="96">
        <v>0</v>
      </c>
      <c r="AP79" s="75">
        <v>0</v>
      </c>
      <c r="AQ79" s="75">
        <f t="shared" si="62"/>
        <v>0</v>
      </c>
      <c r="AR79" s="104">
        <f t="shared" si="63"/>
        <v>0</v>
      </c>
      <c r="AS79" s="75">
        <v>0</v>
      </c>
      <c r="AT79" s="75">
        <f t="shared" si="64"/>
        <v>183.3035714275</v>
      </c>
      <c r="AU79" s="104">
        <f t="shared" si="65"/>
        <v>183.80715266263581</v>
      </c>
      <c r="AV79" s="75">
        <v>0</v>
      </c>
      <c r="AW79" s="96">
        <v>0</v>
      </c>
      <c r="AX79" s="75">
        <v>0</v>
      </c>
      <c r="AY79" s="75">
        <f t="shared" si="66"/>
        <v>0</v>
      </c>
      <c r="AZ79" s="104">
        <f t="shared" si="67"/>
        <v>0</v>
      </c>
      <c r="BA79" s="75">
        <v>0</v>
      </c>
      <c r="BB79" s="75">
        <f t="shared" si="68"/>
        <v>183.3035714275</v>
      </c>
      <c r="BC79" s="104">
        <f t="shared" si="69"/>
        <v>183.80715266263581</v>
      </c>
      <c r="BD79" s="75">
        <v>0</v>
      </c>
      <c r="BE79" s="96">
        <v>0</v>
      </c>
    </row>
    <row r="80" spans="1:57" x14ac:dyDescent="0.25">
      <c r="A80" s="85">
        <f t="shared" si="41"/>
        <v>45667</v>
      </c>
      <c r="B80" s="75">
        <v>988838.5707143303</v>
      </c>
      <c r="C80" s="75">
        <f t="shared" si="42"/>
        <v>923042.26794646843</v>
      </c>
      <c r="D80" s="104">
        <f t="shared" si="43"/>
        <v>1126.6991249055714</v>
      </c>
      <c r="E80" s="75">
        <v>68586.406071630016</v>
      </c>
      <c r="F80" s="75">
        <f t="shared" si="44"/>
        <v>59983.918214305006</v>
      </c>
      <c r="G80" s="104">
        <f t="shared" si="45"/>
        <v>810.12218035551416</v>
      </c>
      <c r="H80" s="75">
        <v>1083.6668417126489</v>
      </c>
      <c r="I80" s="96">
        <v>828.61241279813351</v>
      </c>
      <c r="J80" s="75">
        <f t="shared" si="35"/>
        <v>168467.63214299007</v>
      </c>
      <c r="K80" s="75">
        <f t="shared" si="46"/>
        <v>162165.20142874072</v>
      </c>
      <c r="L80" s="104">
        <f t="shared" si="47"/>
        <v>1126.6991249055714</v>
      </c>
      <c r="M80" s="75">
        <f t="shared" si="36"/>
        <v>68586.406071630016</v>
      </c>
      <c r="N80" s="75">
        <f t="shared" si="48"/>
        <v>59983.918214304998</v>
      </c>
      <c r="O80" s="104">
        <f t="shared" si="49"/>
        <v>810.12218035551416</v>
      </c>
      <c r="P80" s="75">
        <f t="shared" si="37"/>
        <v>1083.6668417126489</v>
      </c>
      <c r="Q80" s="96">
        <f t="shared" si="38"/>
        <v>828.61241279813351</v>
      </c>
      <c r="R80" s="75">
        <f t="shared" si="39"/>
        <v>988838.57071433007</v>
      </c>
      <c r="S80" s="75">
        <f t="shared" si="50"/>
        <v>923042.26794646843</v>
      </c>
      <c r="T80" s="104">
        <f t="shared" si="51"/>
        <v>1123.6122780188907</v>
      </c>
      <c r="U80" s="75">
        <f t="shared" si="40"/>
        <v>68586.406071630016</v>
      </c>
      <c r="V80" s="75">
        <f t="shared" si="52"/>
        <v>59800.614642877503</v>
      </c>
      <c r="W80" s="104">
        <f t="shared" si="53"/>
        <v>808.09794037751158</v>
      </c>
      <c r="X80" s="75">
        <v>1080.697891491071</v>
      </c>
      <c r="Y80" s="96">
        <v>826.34224182686762</v>
      </c>
      <c r="Z80" s="75">
        <v>168467.63214299007</v>
      </c>
      <c r="AA80" s="75">
        <f t="shared" si="54"/>
        <v>162165.20142874072</v>
      </c>
      <c r="AB80" s="104">
        <f t="shared" si="55"/>
        <v>960.92815690685075</v>
      </c>
      <c r="AC80" s="75">
        <v>68586.406071630016</v>
      </c>
      <c r="AD80" s="75">
        <f t="shared" si="56"/>
        <v>59800.614642877503</v>
      </c>
      <c r="AE80" s="104">
        <f t="shared" si="57"/>
        <v>808.09794037751158</v>
      </c>
      <c r="AF80" s="75">
        <v>946.44737158983185</v>
      </c>
      <c r="AG80" s="96">
        <v>826.34224182686762</v>
      </c>
      <c r="AH80" s="75">
        <v>820370.93857134006</v>
      </c>
      <c r="AI80" s="75">
        <f t="shared" si="58"/>
        <v>760877.06651772768</v>
      </c>
      <c r="AJ80" s="104">
        <f t="shared" si="59"/>
        <v>1164.9166518664733</v>
      </c>
      <c r="AK80" s="75">
        <v>0</v>
      </c>
      <c r="AL80" s="75">
        <f t="shared" si="60"/>
        <v>0</v>
      </c>
      <c r="AM80" s="104">
        <f t="shared" si="61"/>
        <v>0</v>
      </c>
      <c r="AN80" s="75">
        <v>1113.1220333396743</v>
      </c>
      <c r="AO80" s="96">
        <v>0</v>
      </c>
      <c r="AP80" s="75">
        <v>0</v>
      </c>
      <c r="AQ80" s="75">
        <f t="shared" si="62"/>
        <v>0</v>
      </c>
      <c r="AR80" s="104">
        <f t="shared" si="63"/>
        <v>0</v>
      </c>
      <c r="AS80" s="75">
        <v>0</v>
      </c>
      <c r="AT80" s="75">
        <f t="shared" si="64"/>
        <v>183.3035714275</v>
      </c>
      <c r="AU80" s="104">
        <f t="shared" si="65"/>
        <v>183.80715266263581</v>
      </c>
      <c r="AV80" s="75">
        <v>0</v>
      </c>
      <c r="AW80" s="96">
        <v>0</v>
      </c>
      <c r="AX80" s="75">
        <v>0</v>
      </c>
      <c r="AY80" s="75">
        <f t="shared" si="66"/>
        <v>0</v>
      </c>
      <c r="AZ80" s="104">
        <f t="shared" si="67"/>
        <v>0</v>
      </c>
      <c r="BA80" s="75">
        <v>0</v>
      </c>
      <c r="BB80" s="75">
        <f t="shared" si="68"/>
        <v>183.3035714275</v>
      </c>
      <c r="BC80" s="104">
        <f t="shared" si="69"/>
        <v>183.80715266263581</v>
      </c>
      <c r="BD80" s="75">
        <v>0</v>
      </c>
      <c r="BE80" s="96">
        <v>0</v>
      </c>
    </row>
    <row r="81" spans="1:57" x14ac:dyDescent="0.25">
      <c r="A81" s="85">
        <f t="shared" si="41"/>
        <v>45674</v>
      </c>
      <c r="B81" s="75">
        <v>979056.79142739996</v>
      </c>
      <c r="C81" s="75">
        <f t="shared" si="42"/>
        <v>911748.64241042081</v>
      </c>
      <c r="D81" s="104">
        <f t="shared" si="43"/>
        <v>1113.7101108030274</v>
      </c>
      <c r="E81" s="75">
        <v>68781.346785839996</v>
      </c>
      <c r="F81" s="75">
        <f t="shared" si="44"/>
        <v>62135.128392917504</v>
      </c>
      <c r="G81" s="104">
        <f t="shared" si="45"/>
        <v>809.81986720591817</v>
      </c>
      <c r="H81" s="75">
        <v>1098.1504562196803</v>
      </c>
      <c r="I81" s="96">
        <v>792.76214399841808</v>
      </c>
      <c r="J81" s="75">
        <f t="shared" si="35"/>
        <v>150999.62571390002</v>
      </c>
      <c r="K81" s="75">
        <f t="shared" si="46"/>
        <v>148397.63312497074</v>
      </c>
      <c r="L81" s="104">
        <f t="shared" si="47"/>
        <v>1113.7101108030274</v>
      </c>
      <c r="M81" s="75">
        <f t="shared" si="36"/>
        <v>68781.346785839996</v>
      </c>
      <c r="N81" s="75">
        <f t="shared" si="48"/>
        <v>62135.128392917504</v>
      </c>
      <c r="O81" s="104">
        <f t="shared" si="49"/>
        <v>809.81986720591817</v>
      </c>
      <c r="P81" s="75">
        <f t="shared" si="37"/>
        <v>1098.1504562196803</v>
      </c>
      <c r="Q81" s="96">
        <f t="shared" si="38"/>
        <v>792.76214399841808</v>
      </c>
      <c r="R81" s="75">
        <f t="shared" si="39"/>
        <v>979056.79142739996</v>
      </c>
      <c r="S81" s="75">
        <f t="shared" si="50"/>
        <v>911748.64241042081</v>
      </c>
      <c r="T81" s="104">
        <f t="shared" si="51"/>
        <v>1110.658850255998</v>
      </c>
      <c r="U81" s="75">
        <f t="shared" si="40"/>
        <v>68781.346785839996</v>
      </c>
      <c r="V81" s="75">
        <f t="shared" si="52"/>
        <v>62135.128392917504</v>
      </c>
      <c r="W81" s="104">
        <f t="shared" si="53"/>
        <v>807.60118266041729</v>
      </c>
      <c r="X81" s="75">
        <v>1095.1418248628636</v>
      </c>
      <c r="Y81" s="96">
        <v>790.59019294068958</v>
      </c>
      <c r="Z81" s="75">
        <v>150999.62571390002</v>
      </c>
      <c r="AA81" s="75">
        <f t="shared" si="54"/>
        <v>148397.63312497074</v>
      </c>
      <c r="AB81" s="104">
        <f t="shared" si="55"/>
        <v>947.31497447058211</v>
      </c>
      <c r="AC81" s="75">
        <v>68781.346785839996</v>
      </c>
      <c r="AD81" s="75">
        <f t="shared" si="56"/>
        <v>62135.128392917504</v>
      </c>
      <c r="AE81" s="104">
        <f t="shared" si="57"/>
        <v>807.60118266041729</v>
      </c>
      <c r="AF81" s="75">
        <v>955.6938336322786</v>
      </c>
      <c r="AG81" s="96">
        <v>790.59019294068958</v>
      </c>
      <c r="AH81" s="75">
        <v>828057.1657135</v>
      </c>
      <c r="AI81" s="75">
        <f t="shared" si="58"/>
        <v>763351.00928545021</v>
      </c>
      <c r="AJ81" s="104">
        <f t="shared" si="59"/>
        <v>1149.3205417587048</v>
      </c>
      <c r="AK81" s="75">
        <v>0</v>
      </c>
      <c r="AL81" s="75">
        <f t="shared" si="60"/>
        <v>0</v>
      </c>
      <c r="AM81" s="104">
        <f t="shared" si="61"/>
        <v>0</v>
      </c>
      <c r="AN81" s="75">
        <v>1125.0776708063859</v>
      </c>
      <c r="AO81" s="96">
        <v>0</v>
      </c>
      <c r="AP81" s="75">
        <v>0</v>
      </c>
      <c r="AQ81" s="75">
        <f t="shared" si="62"/>
        <v>0</v>
      </c>
      <c r="AR81" s="104">
        <f t="shared" si="63"/>
        <v>0</v>
      </c>
      <c r="AS81" s="75">
        <v>0</v>
      </c>
      <c r="AT81" s="75">
        <f t="shared" si="64"/>
        <v>0</v>
      </c>
      <c r="AU81" s="104">
        <f t="shared" si="65"/>
        <v>0</v>
      </c>
      <c r="AV81" s="75">
        <v>0</v>
      </c>
      <c r="AW81" s="96">
        <v>0</v>
      </c>
      <c r="AX81" s="75">
        <v>0</v>
      </c>
      <c r="AY81" s="75">
        <f t="shared" si="66"/>
        <v>0</v>
      </c>
      <c r="AZ81" s="104">
        <f t="shared" si="67"/>
        <v>0</v>
      </c>
      <c r="BA81" s="75">
        <v>0</v>
      </c>
      <c r="BB81" s="75">
        <f t="shared" si="68"/>
        <v>0</v>
      </c>
      <c r="BC81" s="104">
        <f t="shared" si="69"/>
        <v>0</v>
      </c>
      <c r="BD81" s="75">
        <v>0</v>
      </c>
      <c r="BE81" s="96">
        <v>0</v>
      </c>
    </row>
    <row r="82" spans="1:57" x14ac:dyDescent="0.25">
      <c r="A82" s="85">
        <f t="shared" si="41"/>
        <v>45681</v>
      </c>
      <c r="B82" s="75">
        <v>881758.17357222049</v>
      </c>
      <c r="C82" s="75">
        <f t="shared" si="42"/>
        <v>932183.81482145854</v>
      </c>
      <c r="D82" s="104">
        <f t="shared" si="43"/>
        <v>1095.1725707692422</v>
      </c>
      <c r="E82" s="75">
        <v>52816.263928500004</v>
      </c>
      <c r="F82" s="75">
        <f t="shared" si="44"/>
        <v>59347.042053677505</v>
      </c>
      <c r="G82" s="104">
        <f t="shared" si="45"/>
        <v>806.98581032303559</v>
      </c>
      <c r="H82" s="75">
        <v>1103.8459252343177</v>
      </c>
      <c r="I82" s="96">
        <v>790.46811273466017</v>
      </c>
      <c r="J82" s="75">
        <f t="shared" si="35"/>
        <v>135799.15285735999</v>
      </c>
      <c r="K82" s="75">
        <f t="shared" si="46"/>
        <v>146556.26776788576</v>
      </c>
      <c r="L82" s="104">
        <f t="shared" si="47"/>
        <v>1095.1725707692422</v>
      </c>
      <c r="M82" s="75">
        <f t="shared" si="36"/>
        <v>47633.857857039999</v>
      </c>
      <c r="N82" s="75">
        <f t="shared" si="48"/>
        <v>58051.440535812508</v>
      </c>
      <c r="O82" s="104">
        <f t="shared" si="49"/>
        <v>806.98581032303559</v>
      </c>
      <c r="P82" s="75">
        <f t="shared" si="37"/>
        <v>1103.8459252343177</v>
      </c>
      <c r="Q82" s="96">
        <f t="shared" si="38"/>
        <v>790.46811273466017</v>
      </c>
      <c r="R82" s="75">
        <f t="shared" si="39"/>
        <v>881758.17357222002</v>
      </c>
      <c r="S82" s="75">
        <f t="shared" si="50"/>
        <v>932183.81482145831</v>
      </c>
      <c r="T82" s="104">
        <f t="shared" si="51"/>
        <v>1092.1720980026189</v>
      </c>
      <c r="U82" s="75">
        <f t="shared" si="40"/>
        <v>52816.263928499997</v>
      </c>
      <c r="V82" s="75">
        <f t="shared" si="52"/>
        <v>59347.042053677505</v>
      </c>
      <c r="W82" s="104">
        <f t="shared" si="53"/>
        <v>804.77489031686218</v>
      </c>
      <c r="X82" s="75">
        <v>1100.8216898529588</v>
      </c>
      <c r="Y82" s="96">
        <v>788.30244669402975</v>
      </c>
      <c r="Z82" s="75">
        <v>135799.15285735999</v>
      </c>
      <c r="AA82" s="75">
        <f t="shared" si="54"/>
        <v>146556.26776788576</v>
      </c>
      <c r="AB82" s="104">
        <f t="shared" si="55"/>
        <v>950.52616272837918</v>
      </c>
      <c r="AC82" s="75">
        <v>47633.857857039999</v>
      </c>
      <c r="AD82" s="75">
        <f t="shared" si="56"/>
        <v>58051.440535812508</v>
      </c>
      <c r="AE82" s="104">
        <f t="shared" si="57"/>
        <v>799.77128613141929</v>
      </c>
      <c r="AF82" s="75">
        <v>1021.0462620854134</v>
      </c>
      <c r="AG82" s="96">
        <v>768.28802995225806</v>
      </c>
      <c r="AH82" s="75">
        <v>745959.02071486006</v>
      </c>
      <c r="AI82" s="75">
        <f t="shared" si="58"/>
        <v>785627.54705357261</v>
      </c>
      <c r="AJ82" s="104">
        <f t="shared" si="59"/>
        <v>1123.8340809448546</v>
      </c>
      <c r="AK82" s="75">
        <v>5182.40607146</v>
      </c>
      <c r="AL82" s="75">
        <f t="shared" si="60"/>
        <v>1295.601517865</v>
      </c>
      <c r="AM82" s="104">
        <f t="shared" si="61"/>
        <v>259.120303573</v>
      </c>
      <c r="AN82" s="75">
        <v>1116.7051208306289</v>
      </c>
      <c r="AO82" s="96">
        <v>1036.481214292</v>
      </c>
      <c r="AP82" s="75">
        <v>0</v>
      </c>
      <c r="AQ82" s="75">
        <f t="shared" si="62"/>
        <v>0</v>
      </c>
      <c r="AR82" s="104">
        <f t="shared" si="63"/>
        <v>0</v>
      </c>
      <c r="AS82" s="75">
        <v>0</v>
      </c>
      <c r="AT82" s="75">
        <f t="shared" si="64"/>
        <v>0</v>
      </c>
      <c r="AU82" s="104">
        <f t="shared" si="65"/>
        <v>0</v>
      </c>
      <c r="AV82" s="75">
        <v>0</v>
      </c>
      <c r="AW82" s="96">
        <v>0</v>
      </c>
      <c r="AX82" s="75">
        <v>0</v>
      </c>
      <c r="AY82" s="75">
        <f t="shared" si="66"/>
        <v>0</v>
      </c>
      <c r="AZ82" s="104">
        <f t="shared" si="67"/>
        <v>0</v>
      </c>
      <c r="BA82" s="75">
        <v>0</v>
      </c>
      <c r="BB82" s="75">
        <f t="shared" si="68"/>
        <v>0</v>
      </c>
      <c r="BC82" s="104">
        <f t="shared" si="69"/>
        <v>0</v>
      </c>
      <c r="BD82" s="75">
        <v>0</v>
      </c>
      <c r="BE82" s="96">
        <v>0</v>
      </c>
    </row>
    <row r="83" spans="1:57" x14ac:dyDescent="0.25">
      <c r="A83" s="85">
        <f t="shared" si="41"/>
        <v>45688</v>
      </c>
      <c r="B83" s="75">
        <v>996722.30607235001</v>
      </c>
      <c r="C83" s="75">
        <f t="shared" si="42"/>
        <v>961593.96044657519</v>
      </c>
      <c r="D83" s="104">
        <f t="shared" si="43"/>
        <v>1077.1631328485955</v>
      </c>
      <c r="E83" s="75">
        <v>100112.20857114</v>
      </c>
      <c r="F83" s="75">
        <f t="shared" si="44"/>
        <v>72574.056339277508</v>
      </c>
      <c r="G83" s="104">
        <f t="shared" si="45"/>
        <v>835.33854263375849</v>
      </c>
      <c r="H83" s="75">
        <v>1022.9893082277355</v>
      </c>
      <c r="I83" s="96">
        <v>929.5115010038221</v>
      </c>
      <c r="J83" s="75">
        <f t="shared" si="35"/>
        <v>158805.41000034002</v>
      </c>
      <c r="K83" s="75">
        <f t="shared" si="46"/>
        <v>153517.95517864753</v>
      </c>
      <c r="L83" s="104">
        <f t="shared" si="47"/>
        <v>1077.1631328485955</v>
      </c>
      <c r="M83" s="75">
        <f t="shared" si="36"/>
        <v>57968.752857009997</v>
      </c>
      <c r="N83" s="75">
        <f t="shared" si="48"/>
        <v>60742.590892880005</v>
      </c>
      <c r="O83" s="104">
        <f t="shared" si="49"/>
        <v>835.33854263375849</v>
      </c>
      <c r="P83" s="75">
        <f t="shared" si="37"/>
        <v>1022.9893082277355</v>
      </c>
      <c r="Q83" s="96">
        <f t="shared" si="38"/>
        <v>929.5115010038221</v>
      </c>
      <c r="R83" s="75">
        <f t="shared" si="39"/>
        <v>996722.30607234989</v>
      </c>
      <c r="S83" s="75">
        <f t="shared" si="50"/>
        <v>961593.96044657496</v>
      </c>
      <c r="T83" s="104">
        <f t="shared" si="51"/>
        <v>1074.212001007289</v>
      </c>
      <c r="U83" s="75">
        <f t="shared" si="40"/>
        <v>100112.20857114</v>
      </c>
      <c r="V83" s="75">
        <f t="shared" si="52"/>
        <v>72574.056339277508</v>
      </c>
      <c r="W83" s="104">
        <f t="shared" si="53"/>
        <v>833.04994390970228</v>
      </c>
      <c r="X83" s="75">
        <v>1020.1865978222619</v>
      </c>
      <c r="Y83" s="96">
        <v>926.96489417722216</v>
      </c>
      <c r="Z83" s="75">
        <v>158805.41000034002</v>
      </c>
      <c r="AA83" s="75">
        <f t="shared" si="54"/>
        <v>153517.95517864753</v>
      </c>
      <c r="AB83" s="104">
        <f t="shared" si="55"/>
        <v>955.0982933810335</v>
      </c>
      <c r="AC83" s="75">
        <v>57968.752857009997</v>
      </c>
      <c r="AD83" s="75">
        <f t="shared" si="56"/>
        <v>60742.590892880005</v>
      </c>
      <c r="AE83" s="104">
        <f t="shared" si="57"/>
        <v>809.42553109543167</v>
      </c>
      <c r="AF83" s="75">
        <v>897.20570621661034</v>
      </c>
      <c r="AG83" s="96">
        <v>852.48165966191175</v>
      </c>
      <c r="AH83" s="75">
        <v>837916.89607200981</v>
      </c>
      <c r="AI83" s="75">
        <f t="shared" si="58"/>
        <v>808076.00526792742</v>
      </c>
      <c r="AJ83" s="104">
        <f t="shared" si="59"/>
        <v>1100.5752362666753</v>
      </c>
      <c r="AK83" s="75">
        <v>42143.455714130003</v>
      </c>
      <c r="AL83" s="75">
        <f t="shared" si="60"/>
        <v>11831.4654463975</v>
      </c>
      <c r="AM83" s="104">
        <f t="shared" si="61"/>
        <v>522.51690178631247</v>
      </c>
      <c r="AN83" s="75">
        <v>1047.3961200900123</v>
      </c>
      <c r="AO83" s="96">
        <v>1053.5863928532501</v>
      </c>
      <c r="AP83" s="75">
        <v>0</v>
      </c>
      <c r="AQ83" s="75">
        <f t="shared" si="62"/>
        <v>0</v>
      </c>
      <c r="AR83" s="104">
        <f t="shared" si="63"/>
        <v>0</v>
      </c>
      <c r="AS83" s="75">
        <v>0</v>
      </c>
      <c r="AT83" s="75">
        <f t="shared" si="64"/>
        <v>0</v>
      </c>
      <c r="AU83" s="104">
        <f t="shared" si="65"/>
        <v>0</v>
      </c>
      <c r="AV83" s="75">
        <v>0</v>
      </c>
      <c r="AW83" s="96">
        <v>0</v>
      </c>
      <c r="AX83" s="75">
        <v>0</v>
      </c>
      <c r="AY83" s="75">
        <f t="shared" si="66"/>
        <v>0</v>
      </c>
      <c r="AZ83" s="104">
        <f t="shared" si="67"/>
        <v>0</v>
      </c>
      <c r="BA83" s="75">
        <v>0</v>
      </c>
      <c r="BB83" s="75">
        <f t="shared" si="68"/>
        <v>0</v>
      </c>
      <c r="BC83" s="104">
        <f t="shared" si="69"/>
        <v>0</v>
      </c>
      <c r="BD83" s="75">
        <v>0</v>
      </c>
      <c r="BE83" s="96">
        <v>0</v>
      </c>
    </row>
    <row r="84" spans="1:57" x14ac:dyDescent="0.25">
      <c r="A84" s="85">
        <f t="shared" si="41"/>
        <v>45695</v>
      </c>
      <c r="B84" s="75">
        <v>941105.56678549002</v>
      </c>
      <c r="C84" s="75">
        <f t="shared" si="42"/>
        <v>949660.70946436515</v>
      </c>
      <c r="D84" s="104">
        <f t="shared" si="43"/>
        <v>1071.6263497582765</v>
      </c>
      <c r="E84" s="75">
        <v>108828.15928587002</v>
      </c>
      <c r="F84" s="75">
        <f t="shared" si="44"/>
        <v>82634.494642837511</v>
      </c>
      <c r="G84" s="104">
        <f t="shared" si="45"/>
        <v>849.98856492700702</v>
      </c>
      <c r="H84" s="75">
        <v>1061.5197093513727</v>
      </c>
      <c r="I84" s="96">
        <v>887.21250197112727</v>
      </c>
      <c r="J84" s="75">
        <f t="shared" si="35"/>
        <v>130590.96964279002</v>
      </c>
      <c r="K84" s="75">
        <f t="shared" si="46"/>
        <v>144048.78955359751</v>
      </c>
      <c r="L84" s="104">
        <f t="shared" si="47"/>
        <v>1071.6263497582765</v>
      </c>
      <c r="M84" s="75">
        <f t="shared" si="36"/>
        <v>55534.565714279997</v>
      </c>
      <c r="N84" s="75">
        <f t="shared" si="48"/>
        <v>57479.630803542503</v>
      </c>
      <c r="O84" s="104">
        <f t="shared" si="49"/>
        <v>849.98856492700702</v>
      </c>
      <c r="P84" s="75">
        <f t="shared" si="37"/>
        <v>1061.5197093513727</v>
      </c>
      <c r="Q84" s="96">
        <f t="shared" si="38"/>
        <v>887.21250197112727</v>
      </c>
      <c r="R84" s="75">
        <f t="shared" si="39"/>
        <v>941105.56678548979</v>
      </c>
      <c r="S84" s="75">
        <f t="shared" si="50"/>
        <v>949660.7094643648</v>
      </c>
      <c r="T84" s="104">
        <f t="shared" si="51"/>
        <v>1068.6903871855586</v>
      </c>
      <c r="U84" s="75">
        <f t="shared" si="40"/>
        <v>108828.15928587</v>
      </c>
      <c r="V84" s="75">
        <f t="shared" si="52"/>
        <v>82634.494642837497</v>
      </c>
      <c r="W84" s="104">
        <f t="shared" si="53"/>
        <v>847.65982915597306</v>
      </c>
      <c r="X84" s="75">
        <v>1058.6114362041506</v>
      </c>
      <c r="Y84" s="96">
        <v>884.78178281195119</v>
      </c>
      <c r="Z84" s="75">
        <v>130590.96964279002</v>
      </c>
      <c r="AA84" s="75">
        <f t="shared" si="54"/>
        <v>144048.78955359751</v>
      </c>
      <c r="AB84" s="104">
        <f t="shared" si="55"/>
        <v>927.76685055214932</v>
      </c>
      <c r="AC84" s="75">
        <v>55534.565714279997</v>
      </c>
      <c r="AD84" s="75">
        <f t="shared" si="56"/>
        <v>57479.630803542503</v>
      </c>
      <c r="AE84" s="104">
        <f t="shared" si="57"/>
        <v>787.95518968631484</v>
      </c>
      <c r="AF84" s="75">
        <v>837.12160027429502</v>
      </c>
      <c r="AG84" s="96">
        <v>740.46087619039997</v>
      </c>
      <c r="AH84" s="75">
        <v>810514.59714269976</v>
      </c>
      <c r="AI84" s="75">
        <f t="shared" si="58"/>
        <v>805611.91991076746</v>
      </c>
      <c r="AJ84" s="104">
        <f t="shared" si="59"/>
        <v>1098.7321757976163</v>
      </c>
      <c r="AK84" s="75">
        <v>53293.593571589998</v>
      </c>
      <c r="AL84" s="75">
        <f t="shared" si="60"/>
        <v>25154.863839295002</v>
      </c>
      <c r="AM84" s="104">
        <f t="shared" si="61"/>
        <v>800.08770163834379</v>
      </c>
      <c r="AN84" s="75">
        <v>1105.7497914634375</v>
      </c>
      <c r="AO84" s="96">
        <v>1110.283199408125</v>
      </c>
      <c r="AP84" s="75">
        <v>0</v>
      </c>
      <c r="AQ84" s="75">
        <f t="shared" si="62"/>
        <v>0</v>
      </c>
      <c r="AR84" s="104">
        <f t="shared" si="63"/>
        <v>0</v>
      </c>
      <c r="AS84" s="75">
        <v>0</v>
      </c>
      <c r="AT84" s="75">
        <f t="shared" si="64"/>
        <v>0</v>
      </c>
      <c r="AU84" s="104">
        <f t="shared" si="65"/>
        <v>0</v>
      </c>
      <c r="AV84" s="75">
        <v>0</v>
      </c>
      <c r="AW84" s="96">
        <v>0</v>
      </c>
      <c r="AX84" s="75">
        <v>0</v>
      </c>
      <c r="AY84" s="75">
        <f t="shared" si="66"/>
        <v>0</v>
      </c>
      <c r="AZ84" s="104">
        <f t="shared" si="67"/>
        <v>0</v>
      </c>
      <c r="BA84" s="75">
        <v>0</v>
      </c>
      <c r="BB84" s="75">
        <f t="shared" si="68"/>
        <v>0</v>
      </c>
      <c r="BC84" s="104">
        <f t="shared" si="69"/>
        <v>0</v>
      </c>
      <c r="BD84" s="75">
        <v>0</v>
      </c>
      <c r="BE84" s="96">
        <v>0</v>
      </c>
    </row>
    <row r="85" spans="1:57" x14ac:dyDescent="0.25">
      <c r="A85" s="85">
        <f t="shared" si="41"/>
        <v>45702</v>
      </c>
      <c r="B85" s="75">
        <v>790882.59392747981</v>
      </c>
      <c r="C85" s="75">
        <f t="shared" si="42"/>
        <v>902617.16008938511</v>
      </c>
      <c r="D85" s="104">
        <f t="shared" si="43"/>
        <v>1075.54918102801</v>
      </c>
      <c r="E85" s="75">
        <v>115275.20107124004</v>
      </c>
      <c r="F85" s="75">
        <f t="shared" si="44"/>
        <v>94257.958214187529</v>
      </c>
      <c r="G85" s="104">
        <f t="shared" si="45"/>
        <v>900.9184840586471</v>
      </c>
      <c r="H85" s="75">
        <v>1113.8417812986149</v>
      </c>
      <c r="I85" s="96">
        <v>996.48182052497907</v>
      </c>
      <c r="J85" s="75">
        <f t="shared" si="35"/>
        <v>116871.27357122002</v>
      </c>
      <c r="K85" s="75">
        <f t="shared" si="46"/>
        <v>135516.70151792752</v>
      </c>
      <c r="L85" s="104">
        <f t="shared" si="47"/>
        <v>1075.54918102801</v>
      </c>
      <c r="M85" s="75">
        <f t="shared" si="36"/>
        <v>49955.577142779992</v>
      </c>
      <c r="N85" s="75">
        <f t="shared" si="48"/>
        <v>52773.188392777491</v>
      </c>
      <c r="O85" s="104">
        <f t="shared" si="49"/>
        <v>900.9184840586471</v>
      </c>
      <c r="P85" s="75">
        <f t="shared" si="37"/>
        <v>1113.8417812986149</v>
      </c>
      <c r="Q85" s="96">
        <f t="shared" si="38"/>
        <v>996.48182052497907</v>
      </c>
      <c r="R85" s="75">
        <f t="shared" si="39"/>
        <v>790882.59392747981</v>
      </c>
      <c r="S85" s="75">
        <f t="shared" si="50"/>
        <v>902617.16008938488</v>
      </c>
      <c r="T85" s="104">
        <f t="shared" si="51"/>
        <v>1072.6024709724691</v>
      </c>
      <c r="U85" s="75">
        <f t="shared" si="40"/>
        <v>115275.20107123998</v>
      </c>
      <c r="V85" s="75">
        <f t="shared" si="52"/>
        <v>94257.9582141875</v>
      </c>
      <c r="W85" s="104">
        <f t="shared" si="53"/>
        <v>898.45021426399035</v>
      </c>
      <c r="X85" s="75">
        <v>1110.7901600105054</v>
      </c>
      <c r="Y85" s="96">
        <v>993.75173337275839</v>
      </c>
      <c r="Z85" s="75">
        <v>116871.27357122002</v>
      </c>
      <c r="AA85" s="75">
        <f t="shared" si="54"/>
        <v>135516.70151792752</v>
      </c>
      <c r="AB85" s="104">
        <f t="shared" si="55"/>
        <v>920.7308397060242</v>
      </c>
      <c r="AC85" s="75">
        <v>49955.577142779992</v>
      </c>
      <c r="AD85" s="75">
        <f t="shared" si="56"/>
        <v>52773.188392777491</v>
      </c>
      <c r="AE85" s="104">
        <f t="shared" si="57"/>
        <v>798.45587954605912</v>
      </c>
      <c r="AF85" s="75">
        <v>927.54979024777799</v>
      </c>
      <c r="AG85" s="96">
        <v>832.59295237966649</v>
      </c>
      <c r="AH85" s="75">
        <v>674011.32035625982</v>
      </c>
      <c r="AI85" s="75">
        <f t="shared" si="58"/>
        <v>767100.4585714573</v>
      </c>
      <c r="AJ85" s="104">
        <f t="shared" si="59"/>
        <v>1105.0102497155845</v>
      </c>
      <c r="AK85" s="75">
        <v>65319.623928459987</v>
      </c>
      <c r="AL85" s="75">
        <f t="shared" si="60"/>
        <v>41484.769821409995</v>
      </c>
      <c r="AM85" s="104">
        <f t="shared" si="61"/>
        <v>1091.6931656046831</v>
      </c>
      <c r="AN85" s="75">
        <v>1150.1899664782591</v>
      </c>
      <c r="AO85" s="96">
        <v>1166.421855865357</v>
      </c>
      <c r="AP85" s="75">
        <v>0</v>
      </c>
      <c r="AQ85" s="75">
        <f t="shared" si="62"/>
        <v>0</v>
      </c>
      <c r="AR85" s="104">
        <f t="shared" si="63"/>
        <v>0</v>
      </c>
      <c r="AS85" s="75">
        <v>0</v>
      </c>
      <c r="AT85" s="75">
        <f t="shared" si="64"/>
        <v>0</v>
      </c>
      <c r="AU85" s="104">
        <f t="shared" si="65"/>
        <v>0</v>
      </c>
      <c r="AV85" s="75">
        <v>0</v>
      </c>
      <c r="AW85" s="96">
        <v>0</v>
      </c>
      <c r="AX85" s="75">
        <v>0</v>
      </c>
      <c r="AY85" s="75">
        <f t="shared" si="66"/>
        <v>0</v>
      </c>
      <c r="AZ85" s="104">
        <f t="shared" si="67"/>
        <v>0</v>
      </c>
      <c r="BA85" s="75">
        <v>0</v>
      </c>
      <c r="BB85" s="75">
        <f t="shared" si="68"/>
        <v>0</v>
      </c>
      <c r="BC85" s="104">
        <f t="shared" si="69"/>
        <v>0</v>
      </c>
      <c r="BD85" s="75">
        <v>0</v>
      </c>
      <c r="BE85" s="96">
        <v>0</v>
      </c>
    </row>
    <row r="86" spans="1:57" x14ac:dyDescent="0.25">
      <c r="A86" s="85">
        <f t="shared" si="41"/>
        <v>45709</v>
      </c>
      <c r="B86" s="75">
        <v>700053.56214320008</v>
      </c>
      <c r="C86" s="75">
        <f t="shared" si="42"/>
        <v>857191.00723213004</v>
      </c>
      <c r="D86" s="104">
        <f t="shared" si="43"/>
        <v>1067.9274497942538</v>
      </c>
      <c r="E86" s="75">
        <v>107808.61892860003</v>
      </c>
      <c r="F86" s="75">
        <f t="shared" si="44"/>
        <v>108006.04696421252</v>
      </c>
      <c r="G86" s="104">
        <f t="shared" si="45"/>
        <v>932.3370415744721</v>
      </c>
      <c r="H86" s="75">
        <v>1073.3590002992919</v>
      </c>
      <c r="I86" s="96">
        <v>916.14234279796005</v>
      </c>
      <c r="J86" s="75">
        <f t="shared" si="35"/>
        <v>122592.23071452002</v>
      </c>
      <c r="K86" s="75">
        <f t="shared" si="46"/>
        <v>132214.97098221752</v>
      </c>
      <c r="L86" s="104">
        <f t="shared" si="47"/>
        <v>1067.9274497942538</v>
      </c>
      <c r="M86" s="75">
        <f t="shared" si="36"/>
        <v>36487.956785679999</v>
      </c>
      <c r="N86" s="75">
        <f t="shared" si="48"/>
        <v>49986.713124937502</v>
      </c>
      <c r="O86" s="104">
        <f t="shared" si="49"/>
        <v>932.3370415744721</v>
      </c>
      <c r="P86" s="75">
        <f t="shared" si="37"/>
        <v>1073.3590002992919</v>
      </c>
      <c r="Q86" s="96">
        <f t="shared" si="38"/>
        <v>916.14234279796005</v>
      </c>
      <c r="R86" s="75">
        <f t="shared" si="39"/>
        <v>700053.56214320019</v>
      </c>
      <c r="S86" s="75">
        <f t="shared" si="50"/>
        <v>857191.00723212992</v>
      </c>
      <c r="T86" s="104">
        <f t="shared" si="51"/>
        <v>1065.0016211939392</v>
      </c>
      <c r="U86" s="75">
        <f t="shared" si="40"/>
        <v>107808.6189286</v>
      </c>
      <c r="V86" s="75">
        <f t="shared" si="52"/>
        <v>108006.0469642125</v>
      </c>
      <c r="W86" s="104">
        <f t="shared" si="53"/>
        <v>929.78269354090662</v>
      </c>
      <c r="X86" s="75">
        <v>1070.4182907388383</v>
      </c>
      <c r="Y86" s="96">
        <v>913.63236380169496</v>
      </c>
      <c r="Z86" s="75">
        <v>122592.23071452002</v>
      </c>
      <c r="AA86" s="75">
        <f t="shared" si="54"/>
        <v>132214.97098221752</v>
      </c>
      <c r="AB86" s="104">
        <f t="shared" si="55"/>
        <v>895.90579808414464</v>
      </c>
      <c r="AC86" s="75">
        <v>36487.956785679999</v>
      </c>
      <c r="AD86" s="75">
        <f t="shared" si="56"/>
        <v>49986.713124937502</v>
      </c>
      <c r="AE86" s="104">
        <f t="shared" si="57"/>
        <v>785.24640532113176</v>
      </c>
      <c r="AF86" s="75">
        <v>921.74609559789485</v>
      </c>
      <c r="AG86" s="96">
        <v>715.45013305254895</v>
      </c>
      <c r="AH86" s="75">
        <v>577461.33142868022</v>
      </c>
      <c r="AI86" s="75">
        <f t="shared" si="58"/>
        <v>724976.03624991246</v>
      </c>
      <c r="AJ86" s="104">
        <f t="shared" si="59"/>
        <v>1102.9267389074857</v>
      </c>
      <c r="AK86" s="75">
        <v>71320.662142920002</v>
      </c>
      <c r="AL86" s="75">
        <f t="shared" si="60"/>
        <v>58019.333839275001</v>
      </c>
      <c r="AM86" s="104">
        <f t="shared" si="61"/>
        <v>1098.6947356992951</v>
      </c>
      <c r="AN86" s="75">
        <v>1108.3710775982345</v>
      </c>
      <c r="AO86" s="96">
        <v>1064.4874946704479</v>
      </c>
      <c r="AP86" s="75">
        <v>0</v>
      </c>
      <c r="AQ86" s="75">
        <f t="shared" si="62"/>
        <v>0</v>
      </c>
      <c r="AR86" s="104">
        <f t="shared" si="63"/>
        <v>0</v>
      </c>
      <c r="AS86" s="75">
        <v>0</v>
      </c>
      <c r="AT86" s="75">
        <f t="shared" si="64"/>
        <v>0</v>
      </c>
      <c r="AU86" s="104">
        <f t="shared" si="65"/>
        <v>0</v>
      </c>
      <c r="AV86" s="75">
        <v>0</v>
      </c>
      <c r="AW86" s="96">
        <v>0</v>
      </c>
      <c r="AX86" s="75">
        <v>0</v>
      </c>
      <c r="AY86" s="75">
        <f t="shared" si="66"/>
        <v>0</v>
      </c>
      <c r="AZ86" s="104">
        <f t="shared" si="67"/>
        <v>0</v>
      </c>
      <c r="BA86" s="75">
        <v>0</v>
      </c>
      <c r="BB86" s="75">
        <f t="shared" si="68"/>
        <v>0</v>
      </c>
      <c r="BC86" s="104">
        <f t="shared" si="69"/>
        <v>0</v>
      </c>
      <c r="BD86" s="75">
        <v>0</v>
      </c>
      <c r="BE86" s="96">
        <v>0</v>
      </c>
    </row>
    <row r="87" spans="1:57" x14ac:dyDescent="0.25">
      <c r="A87" s="85">
        <f t="shared" si="41"/>
        <v>45716</v>
      </c>
      <c r="B87" s="75">
        <v>829414.31071481982</v>
      </c>
      <c r="C87" s="75">
        <f t="shared" si="42"/>
        <v>815364.00839274749</v>
      </c>
      <c r="D87" s="104">
        <f t="shared" si="43"/>
        <v>1077.727032518831</v>
      </c>
      <c r="E87" s="75">
        <v>168660.59214242999</v>
      </c>
      <c r="F87" s="75">
        <f t="shared" si="44"/>
        <v>125143.14285703501</v>
      </c>
      <c r="G87" s="104">
        <f t="shared" si="45"/>
        <v>920.17263691323058</v>
      </c>
      <c r="H87" s="75">
        <v>1062.1876391260448</v>
      </c>
      <c r="I87" s="96">
        <v>880.85388235885557</v>
      </c>
      <c r="J87" s="75">
        <f t="shared" si="35"/>
        <v>128093.37142871998</v>
      </c>
      <c r="K87" s="75">
        <f t="shared" si="46"/>
        <v>124536.96133931252</v>
      </c>
      <c r="L87" s="104">
        <f t="shared" si="47"/>
        <v>1077.727032518831</v>
      </c>
      <c r="M87" s="75">
        <f t="shared" si="36"/>
        <v>59581.769999730001</v>
      </c>
      <c r="N87" s="75">
        <f t="shared" si="48"/>
        <v>50389.967410617493</v>
      </c>
      <c r="O87" s="104">
        <f t="shared" si="49"/>
        <v>920.17263691323058</v>
      </c>
      <c r="P87" s="75">
        <f t="shared" si="37"/>
        <v>1062.1876391260448</v>
      </c>
      <c r="Q87" s="96">
        <f t="shared" si="38"/>
        <v>880.85388235885557</v>
      </c>
      <c r="R87" s="75">
        <f t="shared" si="39"/>
        <v>829414.31071481993</v>
      </c>
      <c r="S87" s="75">
        <f t="shared" si="50"/>
        <v>815364.00839274738</v>
      </c>
      <c r="T87" s="104">
        <f t="shared" si="51"/>
        <v>1074.7743557469369</v>
      </c>
      <c r="U87" s="75">
        <f t="shared" si="40"/>
        <v>168660.59214242999</v>
      </c>
      <c r="V87" s="75">
        <f t="shared" si="52"/>
        <v>125143.14285703498</v>
      </c>
      <c r="W87" s="104">
        <f t="shared" si="53"/>
        <v>917.65161601539012</v>
      </c>
      <c r="X87" s="75">
        <v>1059.2775360342528</v>
      </c>
      <c r="Y87" s="96">
        <v>878.44058407515615</v>
      </c>
      <c r="Z87" s="75">
        <v>128093.37142871998</v>
      </c>
      <c r="AA87" s="75">
        <f t="shared" si="54"/>
        <v>124536.96133931252</v>
      </c>
      <c r="AB87" s="104">
        <f t="shared" si="55"/>
        <v>914.20545378135557</v>
      </c>
      <c r="AC87" s="75">
        <v>59581.769999730001</v>
      </c>
      <c r="AD87" s="75">
        <f t="shared" si="56"/>
        <v>50389.967410617493</v>
      </c>
      <c r="AE87" s="104">
        <f t="shared" si="57"/>
        <v>781.92095519343547</v>
      </c>
      <c r="AF87" s="75">
        <v>970.40432900545443</v>
      </c>
      <c r="AG87" s="96">
        <v>839.17985915112672</v>
      </c>
      <c r="AH87" s="75">
        <v>701320.93928609998</v>
      </c>
      <c r="AI87" s="75">
        <f t="shared" si="58"/>
        <v>690827.04705343489</v>
      </c>
      <c r="AJ87" s="104">
        <f t="shared" si="59"/>
        <v>1110.4021863374021</v>
      </c>
      <c r="AK87" s="75">
        <v>109078.82214269998</v>
      </c>
      <c r="AL87" s="75">
        <f t="shared" si="60"/>
        <v>74753.175446417488</v>
      </c>
      <c r="AM87" s="104">
        <f t="shared" si="61"/>
        <v>1060.6676047229657</v>
      </c>
      <c r="AN87" s="75">
        <v>1077.2979098096773</v>
      </c>
      <c r="AO87" s="96">
        <v>901.47786894793376</v>
      </c>
      <c r="AP87" s="75">
        <v>0</v>
      </c>
      <c r="AQ87" s="75">
        <f t="shared" si="62"/>
        <v>0</v>
      </c>
      <c r="AR87" s="104">
        <f t="shared" si="63"/>
        <v>0</v>
      </c>
      <c r="AS87" s="75">
        <v>0</v>
      </c>
      <c r="AT87" s="75">
        <f t="shared" si="64"/>
        <v>0</v>
      </c>
      <c r="AU87" s="104">
        <f t="shared" si="65"/>
        <v>0</v>
      </c>
      <c r="AV87" s="75">
        <v>0</v>
      </c>
      <c r="AW87" s="96">
        <v>0</v>
      </c>
      <c r="AX87" s="75">
        <v>0</v>
      </c>
      <c r="AY87" s="75">
        <f t="shared" si="66"/>
        <v>0</v>
      </c>
      <c r="AZ87" s="104">
        <f t="shared" si="67"/>
        <v>0</v>
      </c>
      <c r="BA87" s="75">
        <v>0</v>
      </c>
      <c r="BB87" s="75">
        <f t="shared" si="68"/>
        <v>0</v>
      </c>
      <c r="BC87" s="104">
        <f t="shared" si="69"/>
        <v>0</v>
      </c>
      <c r="BD87" s="75">
        <v>0</v>
      </c>
      <c r="BE87" s="96">
        <v>0</v>
      </c>
    </row>
    <row r="88" spans="1:57" x14ac:dyDescent="0.25">
      <c r="A88" s="85">
        <f t="shared" si="41"/>
        <v>45723</v>
      </c>
      <c r="B88" s="75">
        <v>855603.22214276972</v>
      </c>
      <c r="C88" s="75">
        <f t="shared" si="42"/>
        <v>793988.42223206745</v>
      </c>
      <c r="D88" s="104">
        <f t="shared" si="43"/>
        <v>1085.5807932134048</v>
      </c>
      <c r="E88" s="75">
        <v>157941.40821411001</v>
      </c>
      <c r="F88" s="75">
        <f t="shared" si="44"/>
        <v>137421.45508909499</v>
      </c>
      <c r="G88" s="104">
        <f t="shared" si="45"/>
        <v>915.91801853223467</v>
      </c>
      <c r="H88" s="75">
        <v>1092.9347521296679</v>
      </c>
      <c r="I88" s="96">
        <v>870.19402844714386</v>
      </c>
      <c r="J88" s="75">
        <f t="shared" si="35"/>
        <v>127144.94785685001</v>
      </c>
      <c r="K88" s="75">
        <f t="shared" si="46"/>
        <v>123675.45589282751</v>
      </c>
      <c r="L88" s="104">
        <f t="shared" si="47"/>
        <v>1085.5807932134048</v>
      </c>
      <c r="M88" s="75">
        <f t="shared" si="36"/>
        <v>47143.041071380016</v>
      </c>
      <c r="N88" s="75">
        <f t="shared" si="48"/>
        <v>48292.086249892505</v>
      </c>
      <c r="O88" s="104">
        <f t="shared" si="49"/>
        <v>915.91801853223467</v>
      </c>
      <c r="P88" s="75">
        <f t="shared" si="37"/>
        <v>1092.9347521296679</v>
      </c>
      <c r="Q88" s="96">
        <f t="shared" si="38"/>
        <v>870.19402844714386</v>
      </c>
      <c r="R88" s="75">
        <f t="shared" si="39"/>
        <v>855603.22214276972</v>
      </c>
      <c r="S88" s="75">
        <f t="shared" si="50"/>
        <v>793988.42223206745</v>
      </c>
      <c r="T88" s="104">
        <f t="shared" si="51"/>
        <v>1082.6065992891379</v>
      </c>
      <c r="U88" s="75">
        <f t="shared" si="40"/>
        <v>157941.40821411001</v>
      </c>
      <c r="V88" s="75">
        <f t="shared" si="52"/>
        <v>137421.45508909499</v>
      </c>
      <c r="W88" s="104">
        <f t="shared" si="53"/>
        <v>913.40865412299308</v>
      </c>
      <c r="X88" s="75">
        <v>1089.9404103729551</v>
      </c>
      <c r="Y88" s="96">
        <v>867.80993524236271</v>
      </c>
      <c r="Z88" s="75">
        <v>127144.94785685001</v>
      </c>
      <c r="AA88" s="75">
        <f t="shared" si="54"/>
        <v>123675.45589282751</v>
      </c>
      <c r="AB88" s="104">
        <f t="shared" si="55"/>
        <v>965.46797964894995</v>
      </c>
      <c r="AC88" s="75">
        <v>47143.041071380016</v>
      </c>
      <c r="AD88" s="75">
        <f t="shared" si="56"/>
        <v>48292.086249892505</v>
      </c>
      <c r="AE88" s="104">
        <f t="shared" si="57"/>
        <v>790.01492086460598</v>
      </c>
      <c r="AF88" s="75">
        <v>1042.1717037446722</v>
      </c>
      <c r="AG88" s="96">
        <v>772.83673887508223</v>
      </c>
      <c r="AH88" s="75">
        <v>728458.27428591973</v>
      </c>
      <c r="AI88" s="75">
        <f t="shared" si="58"/>
        <v>670312.96633923997</v>
      </c>
      <c r="AJ88" s="104">
        <f t="shared" si="59"/>
        <v>1108.647345668345</v>
      </c>
      <c r="AK88" s="75">
        <v>110798.36714272999</v>
      </c>
      <c r="AL88" s="75">
        <f t="shared" si="60"/>
        <v>89129.368839202492</v>
      </c>
      <c r="AM88" s="104">
        <f t="shared" si="61"/>
        <v>1012.0190510335999</v>
      </c>
      <c r="AN88" s="75">
        <v>1098.7304287872093</v>
      </c>
      <c r="AO88" s="96">
        <v>915.68898465066104</v>
      </c>
      <c r="AP88" s="75">
        <v>0</v>
      </c>
      <c r="AQ88" s="75">
        <f t="shared" si="62"/>
        <v>0</v>
      </c>
      <c r="AR88" s="104">
        <f t="shared" si="63"/>
        <v>0</v>
      </c>
      <c r="AS88" s="75">
        <v>0</v>
      </c>
      <c r="AT88" s="75">
        <f t="shared" si="64"/>
        <v>0</v>
      </c>
      <c r="AU88" s="104">
        <f t="shared" si="65"/>
        <v>0</v>
      </c>
      <c r="AV88" s="75">
        <v>0</v>
      </c>
      <c r="AW88" s="96">
        <v>0</v>
      </c>
      <c r="AX88" s="75">
        <v>0</v>
      </c>
      <c r="AY88" s="75">
        <f t="shared" si="66"/>
        <v>0</v>
      </c>
      <c r="AZ88" s="104">
        <f t="shared" si="67"/>
        <v>0</v>
      </c>
      <c r="BA88" s="75">
        <v>0</v>
      </c>
      <c r="BB88" s="75">
        <f t="shared" si="68"/>
        <v>0</v>
      </c>
      <c r="BC88" s="104">
        <f t="shared" si="69"/>
        <v>0</v>
      </c>
      <c r="BD88" s="75">
        <v>0</v>
      </c>
      <c r="BE88" s="96">
        <v>0</v>
      </c>
    </row>
    <row r="89" spans="1:57" x14ac:dyDescent="0.25">
      <c r="A89" s="85">
        <f t="shared" si="41"/>
        <v>45730</v>
      </c>
      <c r="B89" s="75">
        <v>844511.3489283598</v>
      </c>
      <c r="C89" s="75">
        <f t="shared" si="42"/>
        <v>807395.61098228733</v>
      </c>
      <c r="D89" s="104">
        <f t="shared" si="43"/>
        <v>1091.2919703815446</v>
      </c>
      <c r="E89" s="75">
        <v>178997.91785697005</v>
      </c>
      <c r="F89" s="75">
        <f t="shared" si="44"/>
        <v>153352.13428552751</v>
      </c>
      <c r="G89" s="104">
        <f t="shared" si="45"/>
        <v>891.15965136802004</v>
      </c>
      <c r="H89" s="75">
        <v>1136.6864899711741</v>
      </c>
      <c r="I89" s="96">
        <v>897.44835186812031</v>
      </c>
      <c r="J89" s="75">
        <f t="shared" si="35"/>
        <v>129683.14892877001</v>
      </c>
      <c r="K89" s="75">
        <f t="shared" si="46"/>
        <v>126878.424732215</v>
      </c>
      <c r="L89" s="104">
        <f t="shared" si="47"/>
        <v>1091.2919703815446</v>
      </c>
      <c r="M89" s="75">
        <f t="shared" si="36"/>
        <v>59338.780714139997</v>
      </c>
      <c r="N89" s="75">
        <f t="shared" si="48"/>
        <v>50637.887142732507</v>
      </c>
      <c r="O89" s="104">
        <f t="shared" si="49"/>
        <v>891.15965136802004</v>
      </c>
      <c r="P89" s="75">
        <f t="shared" si="37"/>
        <v>1136.6864899711741</v>
      </c>
      <c r="Q89" s="96">
        <f t="shared" si="38"/>
        <v>897.44835186812031</v>
      </c>
      <c r="R89" s="75">
        <f t="shared" si="39"/>
        <v>844511.3489283598</v>
      </c>
      <c r="S89" s="75">
        <f t="shared" si="50"/>
        <v>807395.61098228733</v>
      </c>
      <c r="T89" s="104">
        <f t="shared" si="51"/>
        <v>1088.3021293966995</v>
      </c>
      <c r="U89" s="75">
        <f t="shared" si="40"/>
        <v>178997.91785696999</v>
      </c>
      <c r="V89" s="75">
        <f t="shared" si="52"/>
        <v>153352.13428552751</v>
      </c>
      <c r="W89" s="104">
        <f t="shared" si="53"/>
        <v>888.71811810101599</v>
      </c>
      <c r="X89" s="75">
        <v>1133.5722804407515</v>
      </c>
      <c r="Y89" s="96">
        <v>894.9895892848499</v>
      </c>
      <c r="Z89" s="75">
        <v>129683.14892877001</v>
      </c>
      <c r="AA89" s="75">
        <f t="shared" si="54"/>
        <v>126878.424732215</v>
      </c>
      <c r="AB89" s="104">
        <f t="shared" si="55"/>
        <v>990.88836726313639</v>
      </c>
      <c r="AC89" s="75">
        <v>59338.780714139997</v>
      </c>
      <c r="AD89" s="75">
        <f t="shared" si="56"/>
        <v>50637.887142732507</v>
      </c>
      <c r="AE89" s="104">
        <f t="shared" si="57"/>
        <v>793.79089960590363</v>
      </c>
      <c r="AF89" s="75">
        <v>1029.231340704524</v>
      </c>
      <c r="AG89" s="96">
        <v>847.69686734485708</v>
      </c>
      <c r="AH89" s="75">
        <v>714828.19999958982</v>
      </c>
      <c r="AI89" s="75">
        <f t="shared" si="58"/>
        <v>680517.18625007244</v>
      </c>
      <c r="AJ89" s="104">
        <f t="shared" si="59"/>
        <v>1109.8026811891639</v>
      </c>
      <c r="AK89" s="75">
        <v>119659.13714282998</v>
      </c>
      <c r="AL89" s="75">
        <f t="shared" si="60"/>
        <v>102714.24714279498</v>
      </c>
      <c r="AM89" s="104">
        <f t="shared" si="61"/>
        <v>950.52731234193368</v>
      </c>
      <c r="AN89" s="75">
        <v>1154.8113085615344</v>
      </c>
      <c r="AO89" s="96">
        <v>920.45490109869206</v>
      </c>
      <c r="AP89" s="75">
        <v>0</v>
      </c>
      <c r="AQ89" s="75">
        <f t="shared" si="62"/>
        <v>0</v>
      </c>
      <c r="AR89" s="104">
        <f t="shared" si="63"/>
        <v>0</v>
      </c>
      <c r="AS89" s="75">
        <v>0</v>
      </c>
      <c r="AT89" s="75">
        <f t="shared" si="64"/>
        <v>0</v>
      </c>
      <c r="AU89" s="104">
        <f t="shared" si="65"/>
        <v>0</v>
      </c>
      <c r="AV89" s="75">
        <v>0</v>
      </c>
      <c r="AW89" s="96">
        <v>0</v>
      </c>
      <c r="AX89" s="75">
        <v>0</v>
      </c>
      <c r="AY89" s="75">
        <f t="shared" si="66"/>
        <v>0</v>
      </c>
      <c r="AZ89" s="104">
        <f t="shared" si="67"/>
        <v>0</v>
      </c>
      <c r="BA89" s="75">
        <v>0</v>
      </c>
      <c r="BB89" s="75">
        <f t="shared" si="68"/>
        <v>0</v>
      </c>
      <c r="BC89" s="104">
        <f t="shared" si="69"/>
        <v>0</v>
      </c>
      <c r="BD89" s="75">
        <v>0</v>
      </c>
      <c r="BE89" s="96">
        <v>0</v>
      </c>
    </row>
    <row r="90" spans="1:57" x14ac:dyDescent="0.25">
      <c r="A90" s="85">
        <f t="shared" si="41"/>
        <v>45737</v>
      </c>
      <c r="B90" s="75">
        <v>863701.37392821</v>
      </c>
      <c r="C90" s="75">
        <f t="shared" si="42"/>
        <v>848307.56392853986</v>
      </c>
      <c r="D90" s="104">
        <f t="shared" si="43"/>
        <v>1104.8774090686834</v>
      </c>
      <c r="E90" s="75">
        <v>184358.68071411003</v>
      </c>
      <c r="F90" s="75">
        <f t="shared" si="44"/>
        <v>172489.64973190502</v>
      </c>
      <c r="G90" s="104">
        <f t="shared" si="45"/>
        <v>869.37200356214316</v>
      </c>
      <c r="H90" s="75">
        <v>1127.700755047847</v>
      </c>
      <c r="I90" s="96">
        <v>828.99175157445302</v>
      </c>
      <c r="J90" s="75">
        <f t="shared" si="35"/>
        <v>116006.32357122</v>
      </c>
      <c r="K90" s="75">
        <f t="shared" si="46"/>
        <v>125231.94794639001</v>
      </c>
      <c r="L90" s="104">
        <f t="shared" si="47"/>
        <v>1104.8774090686834</v>
      </c>
      <c r="M90" s="75">
        <f t="shared" si="36"/>
        <v>50256.09464273999</v>
      </c>
      <c r="N90" s="75">
        <f t="shared" si="48"/>
        <v>54079.921606997494</v>
      </c>
      <c r="O90" s="104">
        <f t="shared" si="49"/>
        <v>869.37200356214316</v>
      </c>
      <c r="P90" s="75">
        <f t="shared" si="37"/>
        <v>1127.700755047847</v>
      </c>
      <c r="Q90" s="96">
        <f t="shared" si="38"/>
        <v>828.99175157445302</v>
      </c>
      <c r="R90" s="75">
        <f t="shared" si="39"/>
        <v>863701.37392821</v>
      </c>
      <c r="S90" s="75">
        <f t="shared" si="50"/>
        <v>848307.56392853986</v>
      </c>
      <c r="T90" s="104">
        <f t="shared" si="51"/>
        <v>1101.8503477042457</v>
      </c>
      <c r="U90" s="75">
        <f t="shared" si="40"/>
        <v>184358.68071410997</v>
      </c>
      <c r="V90" s="75">
        <f t="shared" si="52"/>
        <v>172489.64973190497</v>
      </c>
      <c r="W90" s="104">
        <f t="shared" si="53"/>
        <v>866.99016248031194</v>
      </c>
      <c r="X90" s="75">
        <v>1124.6111639690234</v>
      </c>
      <c r="Y90" s="96">
        <v>826.72054131887876</v>
      </c>
      <c r="Z90" s="75">
        <v>116006.32357122</v>
      </c>
      <c r="AA90" s="75">
        <f t="shared" si="54"/>
        <v>125231.94794639001</v>
      </c>
      <c r="AB90" s="104">
        <f t="shared" si="55"/>
        <v>1000.1343300810594</v>
      </c>
      <c r="AC90" s="75">
        <v>50256.09464273999</v>
      </c>
      <c r="AD90" s="75">
        <f t="shared" si="56"/>
        <v>54079.921606997494</v>
      </c>
      <c r="AE90" s="104">
        <f t="shared" si="57"/>
        <v>787.03827950283505</v>
      </c>
      <c r="AF90" s="75">
        <v>958.7299468695868</v>
      </c>
      <c r="AG90" s="96">
        <v>688.43965264027383</v>
      </c>
      <c r="AH90" s="75">
        <v>747695.05035698996</v>
      </c>
      <c r="AI90" s="75">
        <f t="shared" si="58"/>
        <v>723075.61598214996</v>
      </c>
      <c r="AJ90" s="104">
        <f t="shared" si="59"/>
        <v>1121.6183547405287</v>
      </c>
      <c r="AK90" s="75">
        <v>134102.58607136997</v>
      </c>
      <c r="AL90" s="75">
        <f t="shared" si="60"/>
        <v>118409.72812490747</v>
      </c>
      <c r="AM90" s="104">
        <f t="shared" si="61"/>
        <v>907.90974879327155</v>
      </c>
      <c r="AN90" s="75">
        <v>1155.6337718036939</v>
      </c>
      <c r="AO90" s="96">
        <v>894.01724047579978</v>
      </c>
      <c r="AP90" s="75">
        <v>0</v>
      </c>
      <c r="AQ90" s="75">
        <f t="shared" si="62"/>
        <v>0</v>
      </c>
      <c r="AR90" s="104">
        <f t="shared" si="63"/>
        <v>0</v>
      </c>
      <c r="AS90" s="75">
        <v>0</v>
      </c>
      <c r="AT90" s="75">
        <f t="shared" si="64"/>
        <v>0</v>
      </c>
      <c r="AU90" s="104">
        <f t="shared" si="65"/>
        <v>0</v>
      </c>
      <c r="AV90" s="75">
        <v>0</v>
      </c>
      <c r="AW90" s="96">
        <v>0</v>
      </c>
      <c r="AX90" s="75">
        <v>0</v>
      </c>
      <c r="AY90" s="75">
        <f t="shared" si="66"/>
        <v>0</v>
      </c>
      <c r="AZ90" s="104">
        <f t="shared" si="67"/>
        <v>0</v>
      </c>
      <c r="BA90" s="75">
        <v>0</v>
      </c>
      <c r="BB90" s="75">
        <f t="shared" si="68"/>
        <v>0</v>
      </c>
      <c r="BC90" s="104">
        <f t="shared" si="69"/>
        <v>0</v>
      </c>
      <c r="BD90" s="75">
        <v>0</v>
      </c>
      <c r="BE90" s="96">
        <v>0</v>
      </c>
    </row>
    <row r="91" spans="1:57" x14ac:dyDescent="0.25">
      <c r="A91" s="85">
        <f t="shared" si="41"/>
        <v>45744</v>
      </c>
      <c r="B91" s="75">
        <v>961244.82892852952</v>
      </c>
      <c r="C91" s="75">
        <f t="shared" si="42"/>
        <v>881265.19348196732</v>
      </c>
      <c r="D91" s="104">
        <f t="shared" si="43"/>
        <v>1123.8303845879709</v>
      </c>
      <c r="E91" s="75">
        <v>221809.57249985999</v>
      </c>
      <c r="F91" s="75">
        <f t="shared" si="44"/>
        <v>185776.89482126251</v>
      </c>
      <c r="G91" s="104">
        <f t="shared" si="45"/>
        <v>871.57747242359608</v>
      </c>
      <c r="H91" s="75">
        <v>1137.9995412031942</v>
      </c>
      <c r="I91" s="96">
        <v>889.67575780466677</v>
      </c>
      <c r="J91" s="75">
        <f t="shared" si="35"/>
        <v>120157.0471428</v>
      </c>
      <c r="K91" s="75">
        <f t="shared" si="46"/>
        <v>123247.86687491</v>
      </c>
      <c r="L91" s="104">
        <f t="shared" si="47"/>
        <v>1123.8303845879709</v>
      </c>
      <c r="M91" s="75">
        <f t="shared" si="36"/>
        <v>65215.853928719989</v>
      </c>
      <c r="N91" s="75">
        <f t="shared" si="48"/>
        <v>55488.442589244994</v>
      </c>
      <c r="O91" s="104">
        <f t="shared" si="49"/>
        <v>871.57747242359608</v>
      </c>
      <c r="P91" s="75">
        <f t="shared" si="37"/>
        <v>1137.9995412031942</v>
      </c>
      <c r="Q91" s="96">
        <f t="shared" si="38"/>
        <v>889.67575780466677</v>
      </c>
      <c r="R91" s="75">
        <f t="shared" si="39"/>
        <v>961244.82892852975</v>
      </c>
      <c r="S91" s="75">
        <f t="shared" si="50"/>
        <v>881265.19348196732</v>
      </c>
      <c r="T91" s="104">
        <f t="shared" si="51"/>
        <v>1120.7513972637255</v>
      </c>
      <c r="U91" s="75">
        <f t="shared" si="40"/>
        <v>221809.57249985999</v>
      </c>
      <c r="V91" s="75">
        <f t="shared" si="52"/>
        <v>185776.89482126248</v>
      </c>
      <c r="W91" s="104">
        <f t="shared" si="53"/>
        <v>869.18958896138292</v>
      </c>
      <c r="X91" s="75">
        <v>1134.881734272172</v>
      </c>
      <c r="Y91" s="96">
        <v>887.23828999943998</v>
      </c>
      <c r="Z91" s="75">
        <v>120157.0471428</v>
      </c>
      <c r="AA91" s="75">
        <f t="shared" si="54"/>
        <v>123247.86687491</v>
      </c>
      <c r="AB91" s="104">
        <f t="shared" si="55"/>
        <v>981.70684324536751</v>
      </c>
      <c r="AC91" s="75">
        <v>65215.853928719989</v>
      </c>
      <c r="AD91" s="75">
        <f t="shared" si="56"/>
        <v>55488.442589244994</v>
      </c>
      <c r="AE91" s="104">
        <f t="shared" si="57"/>
        <v>791.76915000689542</v>
      </c>
      <c r="AF91" s="75">
        <v>896.69438166268662</v>
      </c>
      <c r="AG91" s="96">
        <v>858.10334116736828</v>
      </c>
      <c r="AH91" s="75">
        <v>841087.78178572969</v>
      </c>
      <c r="AI91" s="75">
        <f t="shared" si="58"/>
        <v>758017.32660705724</v>
      </c>
      <c r="AJ91" s="104">
        <f t="shared" si="59"/>
        <v>1147.2054417291085</v>
      </c>
      <c r="AK91" s="75">
        <v>156593.71857113999</v>
      </c>
      <c r="AL91" s="75">
        <f t="shared" si="60"/>
        <v>130288.45223201747</v>
      </c>
      <c r="AM91" s="104">
        <f t="shared" si="61"/>
        <v>907.53125651482264</v>
      </c>
      <c r="AN91" s="75">
        <v>1179.6462577639968</v>
      </c>
      <c r="AO91" s="96">
        <v>899.96389983413792</v>
      </c>
      <c r="AP91" s="75">
        <v>0</v>
      </c>
      <c r="AQ91" s="75">
        <f t="shared" si="62"/>
        <v>0</v>
      </c>
      <c r="AR91" s="104">
        <f t="shared" si="63"/>
        <v>0</v>
      </c>
      <c r="AS91" s="75">
        <v>0</v>
      </c>
      <c r="AT91" s="75">
        <f t="shared" si="64"/>
        <v>0</v>
      </c>
      <c r="AU91" s="104">
        <f t="shared" si="65"/>
        <v>0</v>
      </c>
      <c r="AV91" s="75">
        <v>0</v>
      </c>
      <c r="AW91" s="96">
        <v>0</v>
      </c>
      <c r="AX91" s="75">
        <v>0</v>
      </c>
      <c r="AY91" s="75">
        <f t="shared" si="66"/>
        <v>0</v>
      </c>
      <c r="AZ91" s="104">
        <f t="shared" si="67"/>
        <v>0</v>
      </c>
      <c r="BA91" s="75">
        <v>0</v>
      </c>
      <c r="BB91" s="75">
        <f t="shared" si="68"/>
        <v>0</v>
      </c>
      <c r="BC91" s="104">
        <f t="shared" si="69"/>
        <v>0</v>
      </c>
      <c r="BD91" s="75">
        <v>0</v>
      </c>
      <c r="BE91" s="96">
        <v>0</v>
      </c>
    </row>
    <row r="92" spans="1:57" x14ac:dyDescent="0.25">
      <c r="A92" s="85">
        <f t="shared" si="41"/>
        <v>45751</v>
      </c>
      <c r="B92" s="75">
        <v>1003836.8439289129</v>
      </c>
      <c r="C92" s="75">
        <f t="shared" si="42"/>
        <v>918323.59892850299</v>
      </c>
      <c r="D92" s="104">
        <f t="shared" si="43"/>
        <v>1129.845749231735</v>
      </c>
      <c r="E92" s="75">
        <v>201365.00678552003</v>
      </c>
      <c r="F92" s="75">
        <f t="shared" si="44"/>
        <v>196632.79446411502</v>
      </c>
      <c r="G92" s="104">
        <f t="shared" si="45"/>
        <v>858.39962052240196</v>
      </c>
      <c r="H92" s="75">
        <v>1116.9962107047249</v>
      </c>
      <c r="I92" s="96">
        <v>817.48262084236785</v>
      </c>
      <c r="J92" s="75">
        <f t="shared" si="35"/>
        <v>150703.74857180999</v>
      </c>
      <c r="K92" s="75">
        <f t="shared" si="46"/>
        <v>129137.56705365001</v>
      </c>
      <c r="L92" s="104">
        <f t="shared" si="47"/>
        <v>1129.845749231735</v>
      </c>
      <c r="M92" s="75">
        <f t="shared" si="36"/>
        <v>57368.91892846</v>
      </c>
      <c r="N92" s="75">
        <f t="shared" si="48"/>
        <v>58044.912053515</v>
      </c>
      <c r="O92" s="104">
        <f t="shared" si="49"/>
        <v>858.39962052240196</v>
      </c>
      <c r="P92" s="75">
        <f t="shared" si="37"/>
        <v>1116.9962107047249</v>
      </c>
      <c r="Q92" s="96">
        <f t="shared" si="38"/>
        <v>817.48262084236785</v>
      </c>
      <c r="R92" s="75">
        <f t="shared" si="39"/>
        <v>1003836.8439289128</v>
      </c>
      <c r="S92" s="75">
        <f t="shared" si="50"/>
        <v>918323.59892850299</v>
      </c>
      <c r="T92" s="104">
        <f t="shared" si="51"/>
        <v>1126.4915840077686</v>
      </c>
      <c r="U92" s="75">
        <f t="shared" si="40"/>
        <v>201365.00678551994</v>
      </c>
      <c r="V92" s="75">
        <f t="shared" si="52"/>
        <v>196632.794464115</v>
      </c>
      <c r="W92" s="104">
        <f t="shared" si="53"/>
        <v>856.0478407636665</v>
      </c>
      <c r="X92" s="75">
        <v>1112.9011573491273</v>
      </c>
      <c r="Y92" s="96">
        <v>815.2429424514977</v>
      </c>
      <c r="Z92" s="75">
        <v>150703.74857180999</v>
      </c>
      <c r="AA92" s="75">
        <f t="shared" si="54"/>
        <v>129137.56705365001</v>
      </c>
      <c r="AB92" s="104">
        <f t="shared" si="55"/>
        <v>972.33683159554937</v>
      </c>
      <c r="AC92" s="75">
        <v>57368.91892846</v>
      </c>
      <c r="AD92" s="75">
        <f t="shared" si="56"/>
        <v>58044.912053515</v>
      </c>
      <c r="AE92" s="104">
        <f t="shared" si="57"/>
        <v>784.82268908182607</v>
      </c>
      <c r="AF92" s="75">
        <v>1004.6916571454</v>
      </c>
      <c r="AG92" s="96">
        <v>745.05089517480519</v>
      </c>
      <c r="AH92" s="75">
        <v>853133.09535710281</v>
      </c>
      <c r="AI92" s="75">
        <f t="shared" si="58"/>
        <v>789186.03187485307</v>
      </c>
      <c r="AJ92" s="104">
        <f t="shared" si="59"/>
        <v>1156.1442093185772</v>
      </c>
      <c r="AK92" s="75">
        <v>143996.08785705996</v>
      </c>
      <c r="AL92" s="75">
        <f t="shared" si="60"/>
        <v>138587.88241059997</v>
      </c>
      <c r="AM92" s="104">
        <f t="shared" si="61"/>
        <v>890.36796308312796</v>
      </c>
      <c r="AN92" s="75">
        <v>1134.4854991450836</v>
      </c>
      <c r="AO92" s="96">
        <v>847.03581092388208</v>
      </c>
      <c r="AP92" s="75">
        <v>0</v>
      </c>
      <c r="AQ92" s="75">
        <f t="shared" si="62"/>
        <v>0</v>
      </c>
      <c r="AR92" s="104">
        <f t="shared" si="63"/>
        <v>0</v>
      </c>
      <c r="AS92" s="75">
        <v>0</v>
      </c>
      <c r="AT92" s="75">
        <f t="shared" si="64"/>
        <v>0</v>
      </c>
      <c r="AU92" s="104">
        <f t="shared" si="65"/>
        <v>0</v>
      </c>
      <c r="AV92" s="75">
        <v>0</v>
      </c>
      <c r="AW92" s="96">
        <v>0</v>
      </c>
      <c r="AX92" s="75">
        <v>0</v>
      </c>
      <c r="AY92" s="75">
        <f t="shared" si="66"/>
        <v>0</v>
      </c>
      <c r="AZ92" s="104">
        <f t="shared" si="67"/>
        <v>0</v>
      </c>
      <c r="BA92" s="75">
        <v>0</v>
      </c>
      <c r="BB92" s="75">
        <f t="shared" si="68"/>
        <v>0</v>
      </c>
      <c r="BC92" s="104">
        <f t="shared" si="69"/>
        <v>0</v>
      </c>
      <c r="BD92" s="75">
        <v>0</v>
      </c>
      <c r="BE92" s="96">
        <v>0</v>
      </c>
    </row>
    <row r="93" spans="1:57" x14ac:dyDescent="0.25">
      <c r="A93" s="85">
        <f t="shared" si="41"/>
        <v>45758</v>
      </c>
      <c r="B93" s="75">
        <v>922090.78571388009</v>
      </c>
      <c r="C93" s="75">
        <f t="shared" si="42"/>
        <v>937718.45812488324</v>
      </c>
      <c r="D93" s="104">
        <f t="shared" si="43"/>
        <v>1144.7116435994678</v>
      </c>
      <c r="E93" s="75">
        <v>176722.37892858</v>
      </c>
      <c r="F93" s="75">
        <f t="shared" si="44"/>
        <v>196063.90973201749</v>
      </c>
      <c r="G93" s="104">
        <f t="shared" si="45"/>
        <v>830.93517696062099</v>
      </c>
      <c r="H93" s="75">
        <v>1196.1500674421047</v>
      </c>
      <c r="I93" s="96">
        <v>787.59057762099656</v>
      </c>
      <c r="J93" s="75">
        <f t="shared" si="35"/>
        <v>137517.81000026996</v>
      </c>
      <c r="K93" s="75">
        <f t="shared" si="46"/>
        <v>131096.23232152499</v>
      </c>
      <c r="L93" s="104">
        <f t="shared" si="47"/>
        <v>1144.7116435994678</v>
      </c>
      <c r="M93" s="75">
        <f t="shared" si="36"/>
        <v>50140.611428479991</v>
      </c>
      <c r="N93" s="75">
        <f t="shared" si="48"/>
        <v>55745.369732099985</v>
      </c>
      <c r="O93" s="104">
        <f t="shared" si="49"/>
        <v>830.93517696062099</v>
      </c>
      <c r="P93" s="75">
        <f t="shared" si="37"/>
        <v>1196.1500674421047</v>
      </c>
      <c r="Q93" s="96">
        <f t="shared" si="38"/>
        <v>787.59057762099656</v>
      </c>
      <c r="R93" s="75">
        <f t="shared" si="39"/>
        <v>922090.78571387986</v>
      </c>
      <c r="S93" s="75">
        <f t="shared" si="50"/>
        <v>937718.45812488312</v>
      </c>
      <c r="T93" s="104">
        <f t="shared" si="51"/>
        <v>1141.3167498981886</v>
      </c>
      <c r="U93" s="75">
        <f t="shared" si="40"/>
        <v>176722.37892857997</v>
      </c>
      <c r="V93" s="75">
        <f t="shared" si="52"/>
        <v>196063.90973201746</v>
      </c>
      <c r="W93" s="104">
        <f t="shared" si="53"/>
        <v>828.65864225198743</v>
      </c>
      <c r="X93" s="75">
        <v>1192.872944002432</v>
      </c>
      <c r="Y93" s="96">
        <v>785.43279523813317</v>
      </c>
      <c r="Z93" s="75">
        <v>137517.81000026996</v>
      </c>
      <c r="AA93" s="75">
        <f t="shared" si="54"/>
        <v>131096.23232152499</v>
      </c>
      <c r="AB93" s="104">
        <f t="shared" si="55"/>
        <v>1008.8704707789695</v>
      </c>
      <c r="AC93" s="75">
        <v>50140.611428479991</v>
      </c>
      <c r="AD93" s="75">
        <f t="shared" si="56"/>
        <v>55745.369732099985</v>
      </c>
      <c r="AE93" s="104">
        <f t="shared" si="57"/>
        <v>765.74697773976573</v>
      </c>
      <c r="AF93" s="75">
        <v>1175.3658974382049</v>
      </c>
      <c r="AG93" s="96">
        <v>771.39402197661525</v>
      </c>
      <c r="AH93" s="75">
        <v>784572.97571360995</v>
      </c>
      <c r="AI93" s="75">
        <f t="shared" si="58"/>
        <v>806622.22580335801</v>
      </c>
      <c r="AJ93" s="104">
        <f t="shared" si="59"/>
        <v>1166.4402296300268</v>
      </c>
      <c r="AK93" s="75">
        <v>126581.76750009999</v>
      </c>
      <c r="AL93" s="75">
        <f t="shared" si="60"/>
        <v>140318.53999991747</v>
      </c>
      <c r="AM93" s="104">
        <f t="shared" si="61"/>
        <v>858.03824952736113</v>
      </c>
      <c r="AN93" s="75">
        <v>1195.9953898073322</v>
      </c>
      <c r="AO93" s="96">
        <v>791.13604687562497</v>
      </c>
      <c r="AP93" s="75">
        <v>0</v>
      </c>
      <c r="AQ93" s="75">
        <f t="shared" si="62"/>
        <v>0</v>
      </c>
      <c r="AR93" s="104">
        <f t="shared" si="63"/>
        <v>0</v>
      </c>
      <c r="AS93" s="75">
        <v>0</v>
      </c>
      <c r="AT93" s="75">
        <f t="shared" si="64"/>
        <v>0</v>
      </c>
      <c r="AU93" s="104">
        <f t="shared" si="65"/>
        <v>0</v>
      </c>
      <c r="AV93" s="75">
        <v>0</v>
      </c>
      <c r="AW93" s="96">
        <v>0</v>
      </c>
      <c r="AX93" s="75">
        <v>0</v>
      </c>
      <c r="AY93" s="75">
        <f t="shared" si="66"/>
        <v>0</v>
      </c>
      <c r="AZ93" s="104">
        <f t="shared" si="67"/>
        <v>0</v>
      </c>
      <c r="BA93" s="75">
        <v>0</v>
      </c>
      <c r="BB93" s="75">
        <f t="shared" si="68"/>
        <v>0</v>
      </c>
      <c r="BC93" s="104">
        <f t="shared" si="69"/>
        <v>0</v>
      </c>
      <c r="BD93" s="75">
        <v>0</v>
      </c>
      <c r="BE93" s="96">
        <v>0</v>
      </c>
    </row>
    <row r="94" spans="1:57" x14ac:dyDescent="0.25">
      <c r="A94" s="85">
        <f t="shared" si="41"/>
        <v>45765</v>
      </c>
      <c r="B94" s="75">
        <v>892548.43999921007</v>
      </c>
      <c r="C94" s="75">
        <f t="shared" si="42"/>
        <v>944930.22464263311</v>
      </c>
      <c r="D94" s="104">
        <f t="shared" si="43"/>
        <v>1147.0941092620503</v>
      </c>
      <c r="E94" s="75">
        <v>186878.85321405003</v>
      </c>
      <c r="F94" s="75">
        <f t="shared" si="44"/>
        <v>196693.95285700253</v>
      </c>
      <c r="G94" s="104">
        <f t="shared" si="45"/>
        <v>823.0407035901967</v>
      </c>
      <c r="H94" s="75">
        <v>1137.2306176981774</v>
      </c>
      <c r="I94" s="96">
        <v>797.41385809275562</v>
      </c>
      <c r="J94" s="75">
        <f t="shared" si="35"/>
        <v>98019.68142873999</v>
      </c>
      <c r="K94" s="75">
        <f t="shared" si="46"/>
        <v>126599.57178590499</v>
      </c>
      <c r="L94" s="104">
        <f t="shared" si="47"/>
        <v>1147.0941092620503</v>
      </c>
      <c r="M94" s="75">
        <f t="shared" si="36"/>
        <v>59275.931428269992</v>
      </c>
      <c r="N94" s="75">
        <f t="shared" si="48"/>
        <v>58000.328928482486</v>
      </c>
      <c r="O94" s="104">
        <f t="shared" si="49"/>
        <v>823.0407035901967</v>
      </c>
      <c r="P94" s="75">
        <f t="shared" si="37"/>
        <v>1137.2306176981774</v>
      </c>
      <c r="Q94" s="96">
        <f t="shared" si="38"/>
        <v>797.41385809275562</v>
      </c>
      <c r="R94" s="75">
        <f t="shared" si="39"/>
        <v>892548.43999921007</v>
      </c>
      <c r="S94" s="75">
        <f t="shared" si="50"/>
        <v>944930.22464263311</v>
      </c>
      <c r="T94" s="104">
        <f t="shared" si="51"/>
        <v>1143.6926882576513</v>
      </c>
      <c r="U94" s="75">
        <f t="shared" si="40"/>
        <v>186878.85321405</v>
      </c>
      <c r="V94" s="75">
        <f t="shared" si="52"/>
        <v>196693.9528570025</v>
      </c>
      <c r="W94" s="104">
        <f t="shared" si="53"/>
        <v>820.78579757551233</v>
      </c>
      <c r="X94" s="75">
        <v>1134.1149174068744</v>
      </c>
      <c r="Y94" s="96">
        <v>795.22916261297871</v>
      </c>
      <c r="Z94" s="75">
        <v>98019.68142873999</v>
      </c>
      <c r="AA94" s="75">
        <f t="shared" si="54"/>
        <v>126599.57178590499</v>
      </c>
      <c r="AB94" s="104">
        <f t="shared" si="55"/>
        <v>987.98191582215327</v>
      </c>
      <c r="AC94" s="75">
        <v>59275.931428269992</v>
      </c>
      <c r="AD94" s="75">
        <f t="shared" si="56"/>
        <v>58000.328928482486</v>
      </c>
      <c r="AE94" s="104">
        <f t="shared" si="57"/>
        <v>762.03459704637328</v>
      </c>
      <c r="AF94" s="75">
        <v>875.17572704232134</v>
      </c>
      <c r="AG94" s="96">
        <v>673.5901298667045</v>
      </c>
      <c r="AH94" s="75">
        <v>794528.75857047003</v>
      </c>
      <c r="AI94" s="75">
        <f t="shared" si="58"/>
        <v>818330.65285672806</v>
      </c>
      <c r="AJ94" s="104">
        <f t="shared" si="59"/>
        <v>1171.8016972607588</v>
      </c>
      <c r="AK94" s="75">
        <v>127602.92178578</v>
      </c>
      <c r="AL94" s="75">
        <f t="shared" si="60"/>
        <v>138693.62392851998</v>
      </c>
      <c r="AM94" s="104">
        <f t="shared" si="61"/>
        <v>851.54571115293504</v>
      </c>
      <c r="AN94" s="75">
        <v>1177.0796423266222</v>
      </c>
      <c r="AO94" s="96">
        <v>868.04708697809519</v>
      </c>
      <c r="AP94" s="75">
        <v>0</v>
      </c>
      <c r="AQ94" s="75">
        <f t="shared" si="62"/>
        <v>0</v>
      </c>
      <c r="AR94" s="104">
        <f t="shared" si="63"/>
        <v>0</v>
      </c>
      <c r="AS94" s="75">
        <v>0</v>
      </c>
      <c r="AT94" s="75">
        <f t="shared" si="64"/>
        <v>0</v>
      </c>
      <c r="AU94" s="104">
        <f t="shared" si="65"/>
        <v>0</v>
      </c>
      <c r="AV94" s="75">
        <v>0</v>
      </c>
      <c r="AW94" s="96">
        <v>0</v>
      </c>
      <c r="AX94" s="75">
        <v>0</v>
      </c>
      <c r="AY94" s="75">
        <f t="shared" si="66"/>
        <v>0</v>
      </c>
      <c r="AZ94" s="104">
        <f t="shared" si="67"/>
        <v>0</v>
      </c>
      <c r="BA94" s="75">
        <v>0</v>
      </c>
      <c r="BB94" s="75">
        <f t="shared" si="68"/>
        <v>0</v>
      </c>
      <c r="BC94" s="104">
        <f t="shared" si="69"/>
        <v>0</v>
      </c>
      <c r="BD94" s="75">
        <v>0</v>
      </c>
      <c r="BE94" s="96">
        <v>0</v>
      </c>
    </row>
    <row r="95" spans="1:57" x14ac:dyDescent="0.25">
      <c r="A95" s="85">
        <f t="shared" si="41"/>
        <v>45772</v>
      </c>
      <c r="B95" s="75">
        <v>777318.97607134015</v>
      </c>
      <c r="C95" s="75">
        <f t="shared" si="42"/>
        <v>898948.7614283358</v>
      </c>
      <c r="D95" s="104">
        <f t="shared" si="43"/>
        <v>1134.7501135361229</v>
      </c>
      <c r="E95" s="75">
        <v>213506.63928561003</v>
      </c>
      <c r="F95" s="75">
        <f t="shared" si="44"/>
        <v>194618.21955344002</v>
      </c>
      <c r="G95" s="104">
        <f t="shared" si="45"/>
        <v>812.17630562229328</v>
      </c>
      <c r="H95" s="75">
        <v>1088.6235582994841</v>
      </c>
      <c r="I95" s="96">
        <v>846.218165933053</v>
      </c>
      <c r="J95" s="75">
        <f t="shared" si="35"/>
        <v>113129.67071427</v>
      </c>
      <c r="K95" s="75">
        <f t="shared" si="46"/>
        <v>124842.7276787725</v>
      </c>
      <c r="L95" s="104">
        <f t="shared" si="47"/>
        <v>1134.7501135361229</v>
      </c>
      <c r="M95" s="75">
        <f t="shared" si="36"/>
        <v>61817.361428569988</v>
      </c>
      <c r="N95" s="75">
        <f t="shared" si="48"/>
        <v>57150.705803445002</v>
      </c>
      <c r="O95" s="104">
        <f t="shared" si="49"/>
        <v>812.17630562229328</v>
      </c>
      <c r="P95" s="75">
        <f t="shared" si="37"/>
        <v>1088.6235582994841</v>
      </c>
      <c r="Q95" s="96">
        <f t="shared" si="38"/>
        <v>846.218165933053</v>
      </c>
      <c r="R95" s="75">
        <f t="shared" si="39"/>
        <v>777318.97607134003</v>
      </c>
      <c r="S95" s="75">
        <f t="shared" si="50"/>
        <v>898948.76142833568</v>
      </c>
      <c r="T95" s="104">
        <f t="shared" si="51"/>
        <v>1131.382511697758</v>
      </c>
      <c r="U95" s="75">
        <f t="shared" si="40"/>
        <v>213506.63928561</v>
      </c>
      <c r="V95" s="75">
        <f t="shared" si="52"/>
        <v>194618.21955343999</v>
      </c>
      <c r="W95" s="104">
        <f t="shared" si="53"/>
        <v>809.95116508119577</v>
      </c>
      <c r="X95" s="75">
        <v>1085.6410280325979</v>
      </c>
      <c r="Y95" s="96">
        <v>843.89976002217395</v>
      </c>
      <c r="Z95" s="75">
        <v>113129.67071427</v>
      </c>
      <c r="AA95" s="75">
        <f t="shared" si="54"/>
        <v>124842.7276787725</v>
      </c>
      <c r="AB95" s="104">
        <f t="shared" si="55"/>
        <v>990.06766183502157</v>
      </c>
      <c r="AC95" s="75">
        <v>61817.361428569988</v>
      </c>
      <c r="AD95" s="75">
        <f t="shared" si="56"/>
        <v>57150.705803445002</v>
      </c>
      <c r="AE95" s="104">
        <f t="shared" si="57"/>
        <v>743.13332323734755</v>
      </c>
      <c r="AF95" s="75">
        <v>905.03736571416005</v>
      </c>
      <c r="AG95" s="96">
        <v>782.49824593126561</v>
      </c>
      <c r="AH95" s="75">
        <v>664189.30535707006</v>
      </c>
      <c r="AI95" s="75">
        <f t="shared" si="58"/>
        <v>774106.03374956327</v>
      </c>
      <c r="AJ95" s="104">
        <f t="shared" si="59"/>
        <v>1157.8500758642053</v>
      </c>
      <c r="AK95" s="75">
        <v>151689.27785704</v>
      </c>
      <c r="AL95" s="75">
        <f t="shared" si="60"/>
        <v>137467.51374999498</v>
      </c>
      <c r="AM95" s="104">
        <f t="shared" si="61"/>
        <v>844.49910093152698</v>
      </c>
      <c r="AN95" s="75">
        <v>1123.8397721777835</v>
      </c>
      <c r="AO95" s="96">
        <v>871.77745894850568</v>
      </c>
      <c r="AP95" s="75">
        <v>0</v>
      </c>
      <c r="AQ95" s="75">
        <f t="shared" si="62"/>
        <v>0</v>
      </c>
      <c r="AR95" s="104">
        <f t="shared" si="63"/>
        <v>0</v>
      </c>
      <c r="AS95" s="75">
        <v>0</v>
      </c>
      <c r="AT95" s="75">
        <f t="shared" si="64"/>
        <v>0</v>
      </c>
      <c r="AU95" s="104">
        <f t="shared" si="65"/>
        <v>0</v>
      </c>
      <c r="AV95" s="75">
        <v>0</v>
      </c>
      <c r="AW95" s="96">
        <v>0</v>
      </c>
      <c r="AX95" s="75">
        <v>0</v>
      </c>
      <c r="AY95" s="75">
        <f t="shared" si="66"/>
        <v>0</v>
      </c>
      <c r="AZ95" s="104">
        <f t="shared" si="67"/>
        <v>0</v>
      </c>
      <c r="BA95" s="75">
        <v>0</v>
      </c>
      <c r="BB95" s="75">
        <f t="shared" si="68"/>
        <v>0</v>
      </c>
      <c r="BC95" s="104">
        <f t="shared" si="69"/>
        <v>0</v>
      </c>
      <c r="BD95" s="75">
        <v>0</v>
      </c>
      <c r="BE95" s="96">
        <v>0</v>
      </c>
    </row>
    <row r="96" spans="1:57" x14ac:dyDescent="0.25">
      <c r="A96" s="85">
        <f t="shared" si="41"/>
        <v>45779</v>
      </c>
      <c r="B96" s="75">
        <v>1020228.5203564602</v>
      </c>
      <c r="C96" s="75">
        <f t="shared" si="42"/>
        <v>903046.68053522264</v>
      </c>
      <c r="D96" s="104">
        <f t="shared" si="43"/>
        <v>1132.8956774363326</v>
      </c>
      <c r="E96" s="75">
        <v>226560.05178582997</v>
      </c>
      <c r="F96" s="75">
        <f t="shared" si="44"/>
        <v>200916.98080351751</v>
      </c>
      <c r="G96" s="104">
        <f t="shared" si="45"/>
        <v>801.64734794094625</v>
      </c>
      <c r="H96" s="75">
        <v>1109.5784663055638</v>
      </c>
      <c r="I96" s="96">
        <v>775.3667901169797</v>
      </c>
      <c r="J96" s="75">
        <f t="shared" si="35"/>
        <v>153187.38214279001</v>
      </c>
      <c r="K96" s="75">
        <f t="shared" si="46"/>
        <v>125463.63607151748</v>
      </c>
      <c r="L96" s="104">
        <f t="shared" si="47"/>
        <v>1132.8956774363326</v>
      </c>
      <c r="M96" s="75">
        <f t="shared" si="36"/>
        <v>62894.479642669998</v>
      </c>
      <c r="N96" s="75">
        <f t="shared" si="48"/>
        <v>58532.095981997489</v>
      </c>
      <c r="O96" s="104">
        <f t="shared" si="49"/>
        <v>801.64734794094625</v>
      </c>
      <c r="P96" s="75">
        <f t="shared" si="37"/>
        <v>1109.5784663055638</v>
      </c>
      <c r="Q96" s="96">
        <f t="shared" si="38"/>
        <v>775.3667901169797</v>
      </c>
      <c r="R96" s="75">
        <f t="shared" si="39"/>
        <v>1020228.5203564601</v>
      </c>
      <c r="S96" s="75">
        <f t="shared" si="50"/>
        <v>903046.68053522252</v>
      </c>
      <c r="T96" s="104">
        <f t="shared" si="51"/>
        <v>1129.7918536935726</v>
      </c>
      <c r="U96" s="75">
        <f t="shared" si="40"/>
        <v>226560.05178583</v>
      </c>
      <c r="V96" s="75">
        <f t="shared" si="52"/>
        <v>200916.98080351751</v>
      </c>
      <c r="W96" s="104">
        <f t="shared" si="53"/>
        <v>799.45105385896136</v>
      </c>
      <c r="X96" s="75">
        <v>1106.5385253323861</v>
      </c>
      <c r="Y96" s="96">
        <v>773.24249756255972</v>
      </c>
      <c r="Z96" s="75">
        <v>153187.38214279001</v>
      </c>
      <c r="AA96" s="75">
        <f t="shared" si="54"/>
        <v>125463.63607151748</v>
      </c>
      <c r="AB96" s="104">
        <f t="shared" si="55"/>
        <v>979.75541129519684</v>
      </c>
      <c r="AC96" s="75">
        <v>62894.479642669998</v>
      </c>
      <c r="AD96" s="75">
        <f t="shared" si="56"/>
        <v>58532.095981997489</v>
      </c>
      <c r="AE96" s="104">
        <f t="shared" si="57"/>
        <v>724.14315168478993</v>
      </c>
      <c r="AF96" s="75">
        <v>963.44265498610071</v>
      </c>
      <c r="AG96" s="96">
        <v>669.09020896457446</v>
      </c>
      <c r="AH96" s="75">
        <v>867041.13821367011</v>
      </c>
      <c r="AI96" s="75">
        <f t="shared" si="58"/>
        <v>777583.04446370504</v>
      </c>
      <c r="AJ96" s="104">
        <f t="shared" si="59"/>
        <v>1158.3181959054805</v>
      </c>
      <c r="AK96" s="75">
        <v>163665.57214316001</v>
      </c>
      <c r="AL96" s="75">
        <f t="shared" si="60"/>
        <v>142384.88482152001</v>
      </c>
      <c r="AM96" s="104">
        <f t="shared" si="61"/>
        <v>838.35016345578254</v>
      </c>
      <c r="AN96" s="75">
        <v>1136.3579793101837</v>
      </c>
      <c r="AO96" s="96">
        <v>822.44006102090452</v>
      </c>
      <c r="AP96" s="75">
        <v>0</v>
      </c>
      <c r="AQ96" s="75">
        <f t="shared" si="62"/>
        <v>0</v>
      </c>
      <c r="AR96" s="104">
        <f t="shared" si="63"/>
        <v>0</v>
      </c>
      <c r="AS96" s="75">
        <v>0</v>
      </c>
      <c r="AT96" s="75">
        <f t="shared" si="64"/>
        <v>0</v>
      </c>
      <c r="AU96" s="104">
        <f t="shared" si="65"/>
        <v>0</v>
      </c>
      <c r="AV96" s="75">
        <v>0</v>
      </c>
      <c r="AW96" s="96">
        <v>0</v>
      </c>
      <c r="AX96" s="75">
        <v>0</v>
      </c>
      <c r="AY96" s="75">
        <f t="shared" si="66"/>
        <v>0</v>
      </c>
      <c r="AZ96" s="104">
        <f t="shared" si="67"/>
        <v>0</v>
      </c>
      <c r="BA96" s="75">
        <v>0</v>
      </c>
      <c r="BB96" s="75">
        <f t="shared" si="68"/>
        <v>0</v>
      </c>
      <c r="BC96" s="104">
        <f t="shared" si="69"/>
        <v>0</v>
      </c>
      <c r="BD96" s="75">
        <v>0</v>
      </c>
      <c r="BE96" s="96">
        <v>0</v>
      </c>
    </row>
    <row r="97" spans="1:57" x14ac:dyDescent="0.25">
      <c r="A97" s="85">
        <f t="shared" si="41"/>
        <v>45786</v>
      </c>
      <c r="B97" s="75">
        <v>831646.03249978018</v>
      </c>
      <c r="C97" s="75">
        <f t="shared" si="42"/>
        <v>880435.49223169754</v>
      </c>
      <c r="D97" s="104">
        <f t="shared" si="43"/>
        <v>1123.0158493151948</v>
      </c>
      <c r="E97" s="75">
        <v>174667.69392874002</v>
      </c>
      <c r="F97" s="75">
        <f t="shared" si="44"/>
        <v>200403.30955355751</v>
      </c>
      <c r="G97" s="104">
        <f t="shared" si="45"/>
        <v>801.98793577210506</v>
      </c>
      <c r="H97" s="75">
        <v>1156.630754957554</v>
      </c>
      <c r="I97" s="96">
        <v>788.95292894563181</v>
      </c>
      <c r="J97" s="75">
        <f t="shared" si="35"/>
        <v>139652.52821402001</v>
      </c>
      <c r="K97" s="75">
        <f t="shared" si="46"/>
        <v>125997.31562495501</v>
      </c>
      <c r="L97" s="104">
        <f t="shared" si="47"/>
        <v>1123.0158493151948</v>
      </c>
      <c r="M97" s="75">
        <f t="shared" si="36"/>
        <v>47389.100000030005</v>
      </c>
      <c r="N97" s="75">
        <f t="shared" si="48"/>
        <v>57844.218124884996</v>
      </c>
      <c r="O97" s="104">
        <f t="shared" si="49"/>
        <v>801.98793577210506</v>
      </c>
      <c r="P97" s="75">
        <f t="shared" si="37"/>
        <v>1156.630754957554</v>
      </c>
      <c r="Q97" s="96">
        <f t="shared" si="38"/>
        <v>788.95292894563181</v>
      </c>
      <c r="R97" s="75">
        <f t="shared" si="39"/>
        <v>831646.03249977995</v>
      </c>
      <c r="S97" s="75">
        <f t="shared" si="50"/>
        <v>880435.49223169754</v>
      </c>
      <c r="T97" s="104">
        <f t="shared" si="51"/>
        <v>1119.9390935944139</v>
      </c>
      <c r="U97" s="75">
        <f t="shared" si="40"/>
        <v>174667.69392874002</v>
      </c>
      <c r="V97" s="75">
        <f t="shared" si="52"/>
        <v>200403.30955355748</v>
      </c>
      <c r="W97" s="104">
        <f t="shared" si="53"/>
        <v>799.79070857278407</v>
      </c>
      <c r="X97" s="75">
        <v>1153.4619036057975</v>
      </c>
      <c r="Y97" s="96">
        <v>786.79141409342344</v>
      </c>
      <c r="Z97" s="75">
        <v>139652.52821402001</v>
      </c>
      <c r="AA97" s="75">
        <f t="shared" si="54"/>
        <v>125997.31562495501</v>
      </c>
      <c r="AB97" s="104">
        <f t="shared" si="55"/>
        <v>952.42639535934791</v>
      </c>
      <c r="AC97" s="75">
        <v>47389.100000030005</v>
      </c>
      <c r="AD97" s="75">
        <f t="shared" si="56"/>
        <v>57844.218124884996</v>
      </c>
      <c r="AE97" s="104">
        <f t="shared" si="57"/>
        <v>695.84013230185133</v>
      </c>
      <c r="AF97" s="75">
        <v>1066.0498336948092</v>
      </c>
      <c r="AG97" s="96">
        <v>658.18194444486119</v>
      </c>
      <c r="AH97" s="75">
        <v>691993.50428575999</v>
      </c>
      <c r="AI97" s="75">
        <f t="shared" si="58"/>
        <v>754438.17660674267</v>
      </c>
      <c r="AJ97" s="104">
        <f t="shared" si="59"/>
        <v>1152.5369350154101</v>
      </c>
      <c r="AK97" s="75">
        <v>127278.59392871</v>
      </c>
      <c r="AL97" s="75">
        <f t="shared" si="60"/>
        <v>142559.09142867249</v>
      </c>
      <c r="AM97" s="104">
        <f t="shared" si="61"/>
        <v>852.69714161805973</v>
      </c>
      <c r="AN97" s="75">
        <v>1172.8703462470507</v>
      </c>
      <c r="AO97" s="96">
        <v>848.52395952473341</v>
      </c>
      <c r="AP97" s="75">
        <v>0</v>
      </c>
      <c r="AQ97" s="75">
        <f t="shared" si="62"/>
        <v>0</v>
      </c>
      <c r="AR97" s="104">
        <f t="shared" si="63"/>
        <v>0</v>
      </c>
      <c r="AS97" s="75">
        <v>0</v>
      </c>
      <c r="AT97" s="75">
        <f t="shared" si="64"/>
        <v>0</v>
      </c>
      <c r="AU97" s="104">
        <f t="shared" si="65"/>
        <v>0</v>
      </c>
      <c r="AV97" s="75">
        <v>0</v>
      </c>
      <c r="AW97" s="96">
        <v>0</v>
      </c>
      <c r="AX97" s="75">
        <v>0</v>
      </c>
      <c r="AY97" s="75">
        <f t="shared" si="66"/>
        <v>0</v>
      </c>
      <c r="AZ97" s="104">
        <f t="shared" si="67"/>
        <v>0</v>
      </c>
      <c r="BA97" s="75">
        <v>0</v>
      </c>
      <c r="BB97" s="75">
        <f t="shared" si="68"/>
        <v>0</v>
      </c>
      <c r="BC97" s="104">
        <f t="shared" si="69"/>
        <v>0</v>
      </c>
      <c r="BD97" s="75">
        <v>0</v>
      </c>
      <c r="BE97" s="96">
        <v>0</v>
      </c>
    </row>
    <row r="98" spans="1:57" x14ac:dyDescent="0.25">
      <c r="A98" s="85">
        <f t="shared" si="41"/>
        <v>45793</v>
      </c>
      <c r="B98" s="75">
        <v>807579.3849999099</v>
      </c>
      <c r="C98" s="75">
        <f t="shared" si="42"/>
        <v>859193.22848187259</v>
      </c>
      <c r="D98" s="104">
        <f t="shared" si="43"/>
        <v>1123.4472981472356</v>
      </c>
      <c r="E98" s="75">
        <v>196779.05499995995</v>
      </c>
      <c r="F98" s="75">
        <f t="shared" si="44"/>
        <v>202878.36000003497</v>
      </c>
      <c r="G98" s="104">
        <f t="shared" si="45"/>
        <v>809.90301830142596</v>
      </c>
      <c r="H98" s="75">
        <v>1138.9564130263404</v>
      </c>
      <c r="I98" s="96">
        <v>829.07418821003921</v>
      </c>
      <c r="J98" s="75">
        <f t="shared" si="35"/>
        <v>129008.44035701999</v>
      </c>
      <c r="K98" s="75">
        <f t="shared" si="46"/>
        <v>133744.50535702499</v>
      </c>
      <c r="L98" s="104">
        <f t="shared" si="47"/>
        <v>1123.4472981472356</v>
      </c>
      <c r="M98" s="75">
        <f t="shared" si="36"/>
        <v>63954.575714360006</v>
      </c>
      <c r="N98" s="75">
        <f t="shared" si="48"/>
        <v>59013.879196407506</v>
      </c>
      <c r="O98" s="104">
        <f t="shared" si="49"/>
        <v>809.90301830142596</v>
      </c>
      <c r="P98" s="75">
        <f t="shared" si="37"/>
        <v>1138.9564130263404</v>
      </c>
      <c r="Q98" s="96">
        <f t="shared" si="38"/>
        <v>829.07418821003921</v>
      </c>
      <c r="R98" s="75">
        <f t="shared" si="39"/>
        <v>807579.3849999099</v>
      </c>
      <c r="S98" s="75">
        <f t="shared" si="50"/>
        <v>859193.22848187247</v>
      </c>
      <c r="T98" s="104">
        <f t="shared" si="51"/>
        <v>1120.3693603748718</v>
      </c>
      <c r="U98" s="75">
        <f t="shared" si="40"/>
        <v>196779.05499996</v>
      </c>
      <c r="V98" s="75">
        <f t="shared" si="52"/>
        <v>202878.360000035</v>
      </c>
      <c r="W98" s="104">
        <f t="shared" si="53"/>
        <v>807.68410594470743</v>
      </c>
      <c r="X98" s="75">
        <v>1135.8359845287059</v>
      </c>
      <c r="Y98" s="96">
        <v>826.80275210067225</v>
      </c>
      <c r="Z98" s="75">
        <v>129008.44035701999</v>
      </c>
      <c r="AA98" s="75">
        <f t="shared" si="54"/>
        <v>133744.50535702499</v>
      </c>
      <c r="AB98" s="104">
        <f t="shared" si="55"/>
        <v>991.64934431280756</v>
      </c>
      <c r="AC98" s="75">
        <v>63954.575714360006</v>
      </c>
      <c r="AD98" s="75">
        <f t="shared" si="56"/>
        <v>59013.879196407506</v>
      </c>
      <c r="AE98" s="104">
        <f t="shared" si="57"/>
        <v>735.08732618049999</v>
      </c>
      <c r="AF98" s="75">
        <v>1032.0675228561599</v>
      </c>
      <c r="AG98" s="96">
        <v>830.5789053812988</v>
      </c>
      <c r="AH98" s="75">
        <v>678570.9446428899</v>
      </c>
      <c r="AI98" s="75">
        <f t="shared" si="58"/>
        <v>725448.7231248474</v>
      </c>
      <c r="AJ98" s="104">
        <f t="shared" si="59"/>
        <v>1147.7597482575129</v>
      </c>
      <c r="AK98" s="75">
        <v>132824.47928559998</v>
      </c>
      <c r="AL98" s="75">
        <f t="shared" si="60"/>
        <v>143864.48080362749</v>
      </c>
      <c r="AM98" s="104">
        <f t="shared" si="61"/>
        <v>841.93456131080302</v>
      </c>
      <c r="AN98" s="75">
        <v>1157.9708952950339</v>
      </c>
      <c r="AO98" s="96">
        <v>824.99676574906823</v>
      </c>
      <c r="AP98" s="75">
        <v>0</v>
      </c>
      <c r="AQ98" s="75">
        <f t="shared" si="62"/>
        <v>0</v>
      </c>
      <c r="AR98" s="104">
        <f t="shared" si="63"/>
        <v>0</v>
      </c>
      <c r="AS98" s="75">
        <v>0</v>
      </c>
      <c r="AT98" s="75">
        <f t="shared" si="64"/>
        <v>0</v>
      </c>
      <c r="AU98" s="104">
        <f t="shared" si="65"/>
        <v>0</v>
      </c>
      <c r="AV98" s="75">
        <v>0</v>
      </c>
      <c r="AW98" s="96">
        <v>0</v>
      </c>
      <c r="AX98" s="75">
        <v>0</v>
      </c>
      <c r="AY98" s="75">
        <f t="shared" si="66"/>
        <v>0</v>
      </c>
      <c r="AZ98" s="104">
        <f t="shared" si="67"/>
        <v>0</v>
      </c>
      <c r="BA98" s="75">
        <v>0</v>
      </c>
      <c r="BB98" s="75">
        <f t="shared" si="68"/>
        <v>0</v>
      </c>
      <c r="BC98" s="104">
        <f t="shared" si="69"/>
        <v>0</v>
      </c>
      <c r="BD98" s="75">
        <v>0</v>
      </c>
      <c r="BE98" s="96">
        <v>0</v>
      </c>
    </row>
    <row r="99" spans="1:57" x14ac:dyDescent="0.25">
      <c r="A99" s="85">
        <f t="shared" si="41"/>
        <v>45800</v>
      </c>
      <c r="B99" s="75">
        <v>760120.43142873002</v>
      </c>
      <c r="C99" s="75">
        <f t="shared" si="42"/>
        <v>854893.59232122009</v>
      </c>
      <c r="D99" s="104">
        <f t="shared" si="43"/>
        <v>1139.5700297339665</v>
      </c>
      <c r="E99" s="75">
        <v>192983.50607122993</v>
      </c>
      <c r="F99" s="75">
        <f t="shared" si="44"/>
        <v>197747.57669643997</v>
      </c>
      <c r="G99" s="104">
        <f t="shared" si="45"/>
        <v>812.41228271765635</v>
      </c>
      <c r="H99" s="75">
        <v>1153.1144846464076</v>
      </c>
      <c r="I99" s="96">
        <v>856.2552235979748</v>
      </c>
      <c r="J99" s="75">
        <f t="shared" si="35"/>
        <v>99008.483571449993</v>
      </c>
      <c r="K99" s="75">
        <f t="shared" si="46"/>
        <v>130214.20857132001</v>
      </c>
      <c r="L99" s="104">
        <f t="shared" si="47"/>
        <v>1139.5700297339665</v>
      </c>
      <c r="M99" s="75">
        <f t="shared" si="36"/>
        <v>61098.465714280006</v>
      </c>
      <c r="N99" s="75">
        <f t="shared" si="48"/>
        <v>58834.155267835005</v>
      </c>
      <c r="O99" s="104">
        <f t="shared" si="49"/>
        <v>812.41228271765635</v>
      </c>
      <c r="P99" s="75">
        <f t="shared" si="37"/>
        <v>1153.1144846464076</v>
      </c>
      <c r="Q99" s="96">
        <f t="shared" si="38"/>
        <v>856.2552235979748</v>
      </c>
      <c r="R99" s="75">
        <f t="shared" si="39"/>
        <v>760120.43142873014</v>
      </c>
      <c r="S99" s="75">
        <f t="shared" si="50"/>
        <v>854893.59232121997</v>
      </c>
      <c r="T99" s="104">
        <f t="shared" si="51"/>
        <v>1136.4479200946839</v>
      </c>
      <c r="U99" s="75">
        <f t="shared" si="40"/>
        <v>192983.50607122999</v>
      </c>
      <c r="V99" s="75">
        <f t="shared" si="52"/>
        <v>197747.57669644</v>
      </c>
      <c r="W99" s="104">
        <f t="shared" si="53"/>
        <v>810.18649566397573</v>
      </c>
      <c r="X99" s="75">
        <v>1149.9552669118459</v>
      </c>
      <c r="Y99" s="96">
        <v>853.90931889924775</v>
      </c>
      <c r="Z99" s="75">
        <v>99008.483571449993</v>
      </c>
      <c r="AA99" s="75">
        <f t="shared" si="54"/>
        <v>130214.20857132001</v>
      </c>
      <c r="AB99" s="104">
        <f t="shared" si="55"/>
        <v>990.40928372847202</v>
      </c>
      <c r="AC99" s="75">
        <v>61098.465714280006</v>
      </c>
      <c r="AD99" s="75">
        <f t="shared" si="56"/>
        <v>58834.155267835005</v>
      </c>
      <c r="AE99" s="104">
        <f t="shared" si="57"/>
        <v>715.03306847435033</v>
      </c>
      <c r="AF99" s="75">
        <v>900.07712337681812</v>
      </c>
      <c r="AG99" s="96">
        <v>702.28121510666676</v>
      </c>
      <c r="AH99" s="75">
        <v>661111.94785728015</v>
      </c>
      <c r="AI99" s="75">
        <f t="shared" si="58"/>
        <v>724679.38374990004</v>
      </c>
      <c r="AJ99" s="104">
        <f t="shared" si="59"/>
        <v>1166.7598541501272</v>
      </c>
      <c r="AK99" s="75">
        <v>131885.04035694999</v>
      </c>
      <c r="AL99" s="75">
        <f t="shared" si="60"/>
        <v>138913.42142860501</v>
      </c>
      <c r="AM99" s="104">
        <f t="shared" si="61"/>
        <v>861.19350656819097</v>
      </c>
      <c r="AN99" s="75">
        <v>1199.8401957482399</v>
      </c>
      <c r="AO99" s="96">
        <v>948.81323997805748</v>
      </c>
      <c r="AP99" s="75">
        <v>0</v>
      </c>
      <c r="AQ99" s="75">
        <f t="shared" si="62"/>
        <v>0</v>
      </c>
      <c r="AR99" s="104">
        <f t="shared" si="63"/>
        <v>0</v>
      </c>
      <c r="AS99" s="75">
        <v>0</v>
      </c>
      <c r="AT99" s="75">
        <f t="shared" si="64"/>
        <v>0</v>
      </c>
      <c r="AU99" s="104">
        <f t="shared" si="65"/>
        <v>0</v>
      </c>
      <c r="AV99" s="75">
        <v>0</v>
      </c>
      <c r="AW99" s="96">
        <v>0</v>
      </c>
      <c r="AX99" s="75">
        <v>0</v>
      </c>
      <c r="AY99" s="75">
        <f t="shared" si="66"/>
        <v>0</v>
      </c>
      <c r="AZ99" s="104">
        <f t="shared" si="67"/>
        <v>0</v>
      </c>
      <c r="BA99" s="75">
        <v>0</v>
      </c>
      <c r="BB99" s="75">
        <f t="shared" si="68"/>
        <v>0</v>
      </c>
      <c r="BC99" s="104">
        <f t="shared" si="69"/>
        <v>0</v>
      </c>
      <c r="BD99" s="75">
        <v>0</v>
      </c>
      <c r="BE99" s="96">
        <v>0</v>
      </c>
    </row>
    <row r="100" spans="1:57" x14ac:dyDescent="0.25">
      <c r="A100" s="85">
        <f t="shared" si="41"/>
        <v>45807</v>
      </c>
      <c r="B100" s="75">
        <v>837756.30214306014</v>
      </c>
      <c r="C100" s="75">
        <f t="shared" si="42"/>
        <v>809275.53776787</v>
      </c>
      <c r="D100" s="104">
        <f t="shared" si="43"/>
        <v>1142.1946899650998</v>
      </c>
      <c r="E100" s="75">
        <v>188504.96250009004</v>
      </c>
      <c r="F100" s="75">
        <f t="shared" si="44"/>
        <v>188233.80437500498</v>
      </c>
      <c r="G100" s="104">
        <f t="shared" si="45"/>
        <v>817.12398148147463</v>
      </c>
      <c r="H100" s="75">
        <v>1120.0771072300965</v>
      </c>
      <c r="I100" s="96">
        <v>794.21358517225269</v>
      </c>
      <c r="J100" s="75">
        <f t="shared" si="35"/>
        <v>108128.99035728999</v>
      </c>
      <c r="K100" s="75">
        <f t="shared" si="46"/>
        <v>118949.61062494499</v>
      </c>
      <c r="L100" s="104">
        <f t="shared" si="47"/>
        <v>1142.1946899650998</v>
      </c>
      <c r="M100" s="75">
        <f t="shared" si="36"/>
        <v>66185.17142862</v>
      </c>
      <c r="N100" s="75">
        <f t="shared" si="48"/>
        <v>59656.828214322501</v>
      </c>
      <c r="O100" s="104">
        <f t="shared" si="49"/>
        <v>817.12398148147463</v>
      </c>
      <c r="P100" s="75">
        <f t="shared" si="37"/>
        <v>1120.0771072300965</v>
      </c>
      <c r="Q100" s="96">
        <f t="shared" si="38"/>
        <v>794.21358517225269</v>
      </c>
      <c r="R100" s="75">
        <f t="shared" si="39"/>
        <v>837756.30214306002</v>
      </c>
      <c r="S100" s="75">
        <f t="shared" si="50"/>
        <v>809275.53776787</v>
      </c>
      <c r="T100" s="104">
        <f t="shared" si="51"/>
        <v>1139.0653894759407</v>
      </c>
      <c r="U100" s="75">
        <f t="shared" si="40"/>
        <v>188504.96250008998</v>
      </c>
      <c r="V100" s="75">
        <f t="shared" si="52"/>
        <v>188233.80437500501</v>
      </c>
      <c r="W100" s="104">
        <f t="shared" si="53"/>
        <v>814.88528566418665</v>
      </c>
      <c r="X100" s="75">
        <v>1117.0084028574133</v>
      </c>
      <c r="Y100" s="96">
        <v>792.03765756340329</v>
      </c>
      <c r="Z100" s="75">
        <v>108128.99035728999</v>
      </c>
      <c r="AA100" s="75">
        <f t="shared" si="54"/>
        <v>118949.61062494499</v>
      </c>
      <c r="AB100" s="104">
        <f t="shared" si="55"/>
        <v>974.81734989296763</v>
      </c>
      <c r="AC100" s="75">
        <v>66185.17142862</v>
      </c>
      <c r="AD100" s="75">
        <f t="shared" si="56"/>
        <v>59656.828214322501</v>
      </c>
      <c r="AE100" s="104">
        <f t="shared" si="57"/>
        <v>744.74019310409949</v>
      </c>
      <c r="AF100" s="75">
        <v>901.07491964408325</v>
      </c>
      <c r="AG100" s="96">
        <v>787.91870748357144</v>
      </c>
      <c r="AH100" s="75">
        <v>729627.31178577</v>
      </c>
      <c r="AI100" s="75">
        <f t="shared" si="58"/>
        <v>690325.92714292509</v>
      </c>
      <c r="AJ100" s="104">
        <f t="shared" si="59"/>
        <v>1172.2050068566168</v>
      </c>
      <c r="AK100" s="75">
        <v>122319.79107146998</v>
      </c>
      <c r="AL100" s="75">
        <f t="shared" si="60"/>
        <v>128576.9761606825</v>
      </c>
      <c r="AM100" s="104">
        <f t="shared" si="61"/>
        <v>854.15458071470175</v>
      </c>
      <c r="AN100" s="75">
        <v>1158.138590136143</v>
      </c>
      <c r="AO100" s="96">
        <v>794.28435760694799</v>
      </c>
      <c r="AP100" s="75">
        <v>0</v>
      </c>
      <c r="AQ100" s="75">
        <f t="shared" si="62"/>
        <v>0</v>
      </c>
      <c r="AR100" s="104">
        <f t="shared" si="63"/>
        <v>0</v>
      </c>
      <c r="AS100" s="75">
        <v>0</v>
      </c>
      <c r="AT100" s="75">
        <f t="shared" si="64"/>
        <v>0</v>
      </c>
      <c r="AU100" s="104">
        <f t="shared" si="65"/>
        <v>0</v>
      </c>
      <c r="AV100" s="75">
        <v>0</v>
      </c>
      <c r="AW100" s="96">
        <v>0</v>
      </c>
      <c r="AX100" s="75">
        <v>0</v>
      </c>
      <c r="AY100" s="75">
        <f t="shared" si="66"/>
        <v>0</v>
      </c>
      <c r="AZ100" s="104">
        <f t="shared" si="67"/>
        <v>0</v>
      </c>
      <c r="BA100" s="75">
        <v>0</v>
      </c>
      <c r="BB100" s="75">
        <f t="shared" si="68"/>
        <v>0</v>
      </c>
      <c r="BC100" s="104">
        <f t="shared" si="69"/>
        <v>0</v>
      </c>
      <c r="BD100" s="75">
        <v>0</v>
      </c>
      <c r="BE100" s="96">
        <v>0</v>
      </c>
    </row>
    <row r="101" spans="1:57" x14ac:dyDescent="0.25">
      <c r="A101" s="85">
        <f t="shared" si="41"/>
        <v>45814</v>
      </c>
      <c r="B101" s="75">
        <v>812146.94321470021</v>
      </c>
      <c r="C101" s="75">
        <f t="shared" si="42"/>
        <v>804400.76544660004</v>
      </c>
      <c r="D101" s="104">
        <f t="shared" si="43"/>
        <v>1128.164743155862</v>
      </c>
      <c r="E101" s="75">
        <v>196470.29892881992</v>
      </c>
      <c r="F101" s="75">
        <f t="shared" si="44"/>
        <v>193684.45562502497</v>
      </c>
      <c r="G101" s="104">
        <f t="shared" si="45"/>
        <v>820.916415053121</v>
      </c>
      <c r="H101" s="75">
        <v>1100.510967720603</v>
      </c>
      <c r="I101" s="96">
        <v>804.12266323221706</v>
      </c>
      <c r="J101" s="75">
        <f t="shared" si="35"/>
        <v>112480.49607143998</v>
      </c>
      <c r="K101" s="75">
        <f t="shared" si="46"/>
        <v>112156.6025893</v>
      </c>
      <c r="L101" s="104">
        <f t="shared" si="47"/>
        <v>1128.164743155862</v>
      </c>
      <c r="M101" s="75">
        <f t="shared" si="36"/>
        <v>63506.381785759993</v>
      </c>
      <c r="N101" s="75">
        <f t="shared" si="48"/>
        <v>63686.148660755003</v>
      </c>
      <c r="O101" s="104">
        <f t="shared" si="49"/>
        <v>820.916415053121</v>
      </c>
      <c r="P101" s="75">
        <f t="shared" si="37"/>
        <v>1100.510967720603</v>
      </c>
      <c r="Q101" s="96">
        <f t="shared" si="38"/>
        <v>804.12266323221706</v>
      </c>
      <c r="R101" s="75">
        <f t="shared" si="39"/>
        <v>812146.94321469986</v>
      </c>
      <c r="S101" s="75">
        <f t="shared" si="50"/>
        <v>804400.76544660004</v>
      </c>
      <c r="T101" s="104">
        <f t="shared" si="51"/>
        <v>1125.0738808767546</v>
      </c>
      <c r="U101" s="75">
        <f t="shared" si="40"/>
        <v>196470.29892881995</v>
      </c>
      <c r="V101" s="75">
        <f t="shared" si="52"/>
        <v>193684.45562502497</v>
      </c>
      <c r="W101" s="104">
        <f t="shared" si="53"/>
        <v>818.66732900697355</v>
      </c>
      <c r="X101" s="75">
        <v>1097.4958692090538</v>
      </c>
      <c r="Y101" s="96">
        <v>801.91958746457124</v>
      </c>
      <c r="Z101" s="75">
        <v>112480.49607143998</v>
      </c>
      <c r="AA101" s="75">
        <f t="shared" si="54"/>
        <v>112156.6025893</v>
      </c>
      <c r="AB101" s="104">
        <f t="shared" si="55"/>
        <v>946.61102721384168</v>
      </c>
      <c r="AC101" s="75">
        <v>63506.381785759993</v>
      </c>
      <c r="AD101" s="75">
        <f t="shared" si="56"/>
        <v>63686.148660755003</v>
      </c>
      <c r="AE101" s="104">
        <f t="shared" si="57"/>
        <v>764.80628195148881</v>
      </c>
      <c r="AF101" s="75">
        <v>953.22454297830495</v>
      </c>
      <c r="AG101" s="96">
        <v>738.44629983441848</v>
      </c>
      <c r="AH101" s="75">
        <v>699666.44714325992</v>
      </c>
      <c r="AI101" s="75">
        <f t="shared" si="58"/>
        <v>692244.16285730002</v>
      </c>
      <c r="AJ101" s="104">
        <f t="shared" si="59"/>
        <v>1160.2038379569362</v>
      </c>
      <c r="AK101" s="75">
        <v>132963.91714305995</v>
      </c>
      <c r="AL101" s="75">
        <f t="shared" si="60"/>
        <v>129998.30696426997</v>
      </c>
      <c r="AM101" s="104">
        <f t="shared" si="61"/>
        <v>851.08635363707185</v>
      </c>
      <c r="AN101" s="75">
        <v>1124.8656706483278</v>
      </c>
      <c r="AO101" s="96">
        <v>836.25105121421359</v>
      </c>
      <c r="AP101" s="75">
        <v>0</v>
      </c>
      <c r="AQ101" s="75">
        <f t="shared" si="62"/>
        <v>0</v>
      </c>
      <c r="AR101" s="104">
        <f t="shared" si="63"/>
        <v>0</v>
      </c>
      <c r="AS101" s="75">
        <v>0</v>
      </c>
      <c r="AT101" s="75">
        <f t="shared" si="64"/>
        <v>0</v>
      </c>
      <c r="AU101" s="104">
        <f t="shared" si="65"/>
        <v>0</v>
      </c>
      <c r="AV101" s="75">
        <v>0</v>
      </c>
      <c r="AW101" s="96">
        <v>0</v>
      </c>
      <c r="AX101" s="75">
        <v>0</v>
      </c>
      <c r="AY101" s="75">
        <f t="shared" si="66"/>
        <v>0</v>
      </c>
      <c r="AZ101" s="104">
        <f t="shared" si="67"/>
        <v>0</v>
      </c>
      <c r="BA101" s="75">
        <v>0</v>
      </c>
      <c r="BB101" s="75">
        <f t="shared" si="68"/>
        <v>0</v>
      </c>
      <c r="BC101" s="104">
        <f t="shared" si="69"/>
        <v>0</v>
      </c>
      <c r="BD101" s="75">
        <v>0</v>
      </c>
      <c r="BE101" s="96">
        <v>0</v>
      </c>
    </row>
    <row r="102" spans="1:57" x14ac:dyDescent="0.25">
      <c r="A102" s="85">
        <f t="shared" si="41"/>
        <v>45821</v>
      </c>
      <c r="B102" s="75">
        <v>759012.40071466973</v>
      </c>
      <c r="C102" s="75">
        <f t="shared" si="42"/>
        <v>792259.01937529002</v>
      </c>
      <c r="D102" s="104">
        <f t="shared" si="43"/>
        <v>1131.7201852011035</v>
      </c>
      <c r="E102" s="75">
        <v>182516.76000042999</v>
      </c>
      <c r="F102" s="75">
        <f t="shared" si="44"/>
        <v>190118.88187514246</v>
      </c>
      <c r="G102" s="104">
        <f t="shared" si="45"/>
        <v>826.45970482123073</v>
      </c>
      <c r="H102" s="75">
        <v>1153.1781812073068</v>
      </c>
      <c r="I102" s="96">
        <v>851.24734728247824</v>
      </c>
      <c r="J102" s="75">
        <f t="shared" si="35"/>
        <v>102846.76964295999</v>
      </c>
      <c r="K102" s="75">
        <f t="shared" si="46"/>
        <v>105616.18491078498</v>
      </c>
      <c r="L102" s="104">
        <f t="shared" si="47"/>
        <v>1131.7201852011035</v>
      </c>
      <c r="M102" s="75">
        <f t="shared" si="36"/>
        <v>54944.909643079984</v>
      </c>
      <c r="N102" s="75">
        <f t="shared" si="48"/>
        <v>61433.732142934998</v>
      </c>
      <c r="O102" s="104">
        <f t="shared" si="49"/>
        <v>826.45970482123073</v>
      </c>
      <c r="P102" s="75">
        <f t="shared" si="37"/>
        <v>1153.1781812073068</v>
      </c>
      <c r="Q102" s="96">
        <f t="shared" si="38"/>
        <v>851.24734728247824</v>
      </c>
      <c r="R102" s="75">
        <f t="shared" si="39"/>
        <v>759012.40071466984</v>
      </c>
      <c r="S102" s="75">
        <f t="shared" si="50"/>
        <v>792259.01937528991</v>
      </c>
      <c r="T102" s="104">
        <f t="shared" si="51"/>
        <v>1128.6195819849836</v>
      </c>
      <c r="U102" s="75">
        <f t="shared" si="40"/>
        <v>182516.76000042999</v>
      </c>
      <c r="V102" s="75">
        <f t="shared" si="52"/>
        <v>190118.88187514246</v>
      </c>
      <c r="W102" s="104">
        <f t="shared" si="53"/>
        <v>824.19543167997995</v>
      </c>
      <c r="X102" s="75">
        <v>1150.0187889616209</v>
      </c>
      <c r="Y102" s="96">
        <v>848.91516279269763</v>
      </c>
      <c r="Z102" s="75">
        <v>102846.76964295999</v>
      </c>
      <c r="AA102" s="75">
        <f t="shared" si="54"/>
        <v>105616.18491078498</v>
      </c>
      <c r="AB102" s="104">
        <f t="shared" si="55"/>
        <v>940.6695622913702</v>
      </c>
      <c r="AC102" s="75">
        <v>54944.909643079984</v>
      </c>
      <c r="AD102" s="75">
        <f t="shared" si="56"/>
        <v>61433.732142934998</v>
      </c>
      <c r="AE102" s="104">
        <f t="shared" si="57"/>
        <v>753.39337576002117</v>
      </c>
      <c r="AF102" s="75">
        <v>1008.3016631662744</v>
      </c>
      <c r="AG102" s="96">
        <v>784.92728061542834</v>
      </c>
      <c r="AH102" s="75">
        <v>656165.63107170991</v>
      </c>
      <c r="AI102" s="75">
        <f t="shared" si="58"/>
        <v>686642.83446450497</v>
      </c>
      <c r="AJ102" s="104">
        <f t="shared" si="59"/>
        <v>1164.6921316384241</v>
      </c>
      <c r="AK102" s="75">
        <v>127571.85035735001</v>
      </c>
      <c r="AL102" s="75">
        <f t="shared" si="60"/>
        <v>128685.14973220749</v>
      </c>
      <c r="AM102" s="104">
        <f t="shared" si="61"/>
        <v>864.7886283331668</v>
      </c>
      <c r="AN102" s="75">
        <v>1175.9240700209855</v>
      </c>
      <c r="AO102" s="96">
        <v>879.80586453344836</v>
      </c>
      <c r="AP102" s="75">
        <v>0</v>
      </c>
      <c r="AQ102" s="75">
        <f t="shared" si="62"/>
        <v>0</v>
      </c>
      <c r="AR102" s="104">
        <f t="shared" si="63"/>
        <v>0</v>
      </c>
      <c r="AS102" s="75">
        <v>0</v>
      </c>
      <c r="AT102" s="75">
        <f t="shared" si="64"/>
        <v>0</v>
      </c>
      <c r="AU102" s="104">
        <f t="shared" si="65"/>
        <v>0</v>
      </c>
      <c r="AV102" s="75">
        <v>0</v>
      </c>
      <c r="AW102" s="96">
        <v>0</v>
      </c>
      <c r="AX102" s="75">
        <v>0</v>
      </c>
      <c r="AY102" s="75">
        <f t="shared" si="66"/>
        <v>0</v>
      </c>
      <c r="AZ102" s="104">
        <f t="shared" si="67"/>
        <v>0</v>
      </c>
      <c r="BA102" s="75">
        <v>0</v>
      </c>
      <c r="BB102" s="75">
        <f t="shared" si="68"/>
        <v>0</v>
      </c>
      <c r="BC102" s="104">
        <f t="shared" si="69"/>
        <v>0</v>
      </c>
      <c r="BD102" s="75">
        <v>0</v>
      </c>
      <c r="BE102" s="96">
        <v>0</v>
      </c>
    </row>
    <row r="103" spans="1:57" x14ac:dyDescent="0.25">
      <c r="A103" s="85">
        <f t="shared" si="41"/>
        <v>45828</v>
      </c>
      <c r="B103" s="75">
        <v>694172.57107230043</v>
      </c>
      <c r="C103" s="75">
        <f t="shared" si="42"/>
        <v>775772.05428618263</v>
      </c>
      <c r="D103" s="104">
        <f t="shared" si="43"/>
        <v>1123.2163383787793</v>
      </c>
      <c r="E103" s="75">
        <v>143769.38250001997</v>
      </c>
      <c r="F103" s="75">
        <f t="shared" si="44"/>
        <v>177815.35098233997</v>
      </c>
      <c r="G103" s="104">
        <f t="shared" si="45"/>
        <v>803.089487978752</v>
      </c>
      <c r="H103" s="75">
        <v>1119.0990973571111</v>
      </c>
      <c r="I103" s="96">
        <v>762.77435622806036</v>
      </c>
      <c r="J103" s="75">
        <f t="shared" si="35"/>
        <v>105044.93857145995</v>
      </c>
      <c r="K103" s="75">
        <f t="shared" si="46"/>
        <v>107125.29866078748</v>
      </c>
      <c r="L103" s="104">
        <f t="shared" si="47"/>
        <v>1123.2163383787793</v>
      </c>
      <c r="M103" s="75">
        <f t="shared" si="36"/>
        <v>52425.602142910015</v>
      </c>
      <c r="N103" s="75">
        <f t="shared" si="48"/>
        <v>59265.516250092493</v>
      </c>
      <c r="O103" s="104">
        <f t="shared" si="49"/>
        <v>803.089487978752</v>
      </c>
      <c r="P103" s="75">
        <f t="shared" si="37"/>
        <v>1119.0990973571111</v>
      </c>
      <c r="Q103" s="96">
        <f t="shared" si="38"/>
        <v>762.77435622806036</v>
      </c>
      <c r="R103" s="75">
        <f t="shared" si="39"/>
        <v>694172.57107230008</v>
      </c>
      <c r="S103" s="75">
        <f t="shared" si="50"/>
        <v>775772.05428618239</v>
      </c>
      <c r="T103" s="104">
        <f t="shared" si="51"/>
        <v>1120.1390333728982</v>
      </c>
      <c r="U103" s="75">
        <f t="shared" si="40"/>
        <v>143769.38250002003</v>
      </c>
      <c r="V103" s="75">
        <f t="shared" si="52"/>
        <v>177815.35098233999</v>
      </c>
      <c r="W103" s="104">
        <f t="shared" si="53"/>
        <v>800.8892428282104</v>
      </c>
      <c r="X103" s="75">
        <v>1116.0330724635051</v>
      </c>
      <c r="Y103" s="96">
        <v>760.68456349216945</v>
      </c>
      <c r="Z103" s="75">
        <v>105044.93857145995</v>
      </c>
      <c r="AA103" s="75">
        <f t="shared" si="54"/>
        <v>107125.29866078748</v>
      </c>
      <c r="AB103" s="104">
        <f t="shared" si="55"/>
        <v>942.04023526496724</v>
      </c>
      <c r="AC103" s="75">
        <v>52425.602142910015</v>
      </c>
      <c r="AD103" s="75">
        <f t="shared" si="56"/>
        <v>59265.516250092493</v>
      </c>
      <c r="AE103" s="104">
        <f t="shared" si="57"/>
        <v>767.77090583447784</v>
      </c>
      <c r="AF103" s="75">
        <v>905.5598152712065</v>
      </c>
      <c r="AG103" s="96">
        <v>759.791335404493</v>
      </c>
      <c r="AH103" s="75">
        <v>589127.63250084012</v>
      </c>
      <c r="AI103" s="75">
        <f t="shared" si="58"/>
        <v>668646.7556253951</v>
      </c>
      <c r="AJ103" s="104">
        <f t="shared" si="59"/>
        <v>1155.8030473756921</v>
      </c>
      <c r="AK103" s="75">
        <v>91343.780357110023</v>
      </c>
      <c r="AL103" s="75">
        <f t="shared" si="60"/>
        <v>118549.83473224749</v>
      </c>
      <c r="AM103" s="104">
        <f t="shared" si="61"/>
        <v>817.88486074929847</v>
      </c>
      <c r="AN103" s="75">
        <v>1164.2838586973126</v>
      </c>
      <c r="AO103" s="96">
        <v>761.19816964258348</v>
      </c>
      <c r="AP103" s="75">
        <v>0</v>
      </c>
      <c r="AQ103" s="75">
        <f t="shared" si="62"/>
        <v>0</v>
      </c>
      <c r="AR103" s="104">
        <f t="shared" si="63"/>
        <v>0</v>
      </c>
      <c r="AS103" s="75">
        <v>0</v>
      </c>
      <c r="AT103" s="75">
        <f t="shared" si="64"/>
        <v>0</v>
      </c>
      <c r="AU103" s="104">
        <f t="shared" si="65"/>
        <v>0</v>
      </c>
      <c r="AV103" s="75">
        <v>0</v>
      </c>
      <c r="AW103" s="96">
        <v>0</v>
      </c>
      <c r="AX103" s="75">
        <v>0</v>
      </c>
      <c r="AY103" s="75">
        <f t="shared" si="66"/>
        <v>0</v>
      </c>
      <c r="AZ103" s="104">
        <f t="shared" si="67"/>
        <v>0</v>
      </c>
      <c r="BA103" s="75">
        <v>0</v>
      </c>
      <c r="BB103" s="75">
        <f t="shared" si="68"/>
        <v>0</v>
      </c>
      <c r="BC103" s="104">
        <f t="shared" si="69"/>
        <v>0</v>
      </c>
      <c r="BD103" s="75">
        <v>0</v>
      </c>
      <c r="BE103" s="96">
        <v>0</v>
      </c>
    </row>
    <row r="104" spans="1:57" x14ac:dyDescent="0.25">
      <c r="A104" s="85">
        <f t="shared" si="41"/>
        <v>45835</v>
      </c>
      <c r="B104" s="75">
        <v>778182.00357136002</v>
      </c>
      <c r="C104" s="75">
        <f t="shared" si="42"/>
        <v>760878.47964325757</v>
      </c>
      <c r="D104" s="104">
        <f t="shared" si="43"/>
        <v>1134.3611907492764</v>
      </c>
      <c r="E104" s="75">
        <v>142398.07178585001</v>
      </c>
      <c r="F104" s="75">
        <f t="shared" si="44"/>
        <v>166288.62830377996</v>
      </c>
      <c r="G104" s="104">
        <f t="shared" si="45"/>
        <v>803.96245380279004</v>
      </c>
      <c r="H104" s="75">
        <v>1164.6565167120848</v>
      </c>
      <c r="I104" s="96">
        <v>797.70544846840448</v>
      </c>
      <c r="J104" s="75">
        <f t="shared" si="35"/>
        <v>123882.35928562999</v>
      </c>
      <c r="K104" s="75">
        <f t="shared" si="46"/>
        <v>111063.64089287248</v>
      </c>
      <c r="L104" s="104">
        <f t="shared" si="47"/>
        <v>1134.3611907492764</v>
      </c>
      <c r="M104" s="75">
        <f t="shared" si="36"/>
        <v>43677.417500019998</v>
      </c>
      <c r="N104" s="75">
        <f t="shared" si="48"/>
        <v>53638.577767942501</v>
      </c>
      <c r="O104" s="104">
        <f t="shared" si="49"/>
        <v>803.96245380279004</v>
      </c>
      <c r="P104" s="75">
        <f t="shared" si="37"/>
        <v>1164.6565167120848</v>
      </c>
      <c r="Q104" s="96">
        <f t="shared" si="38"/>
        <v>797.70544846840448</v>
      </c>
      <c r="R104" s="75">
        <f t="shared" si="39"/>
        <v>778182.00357135991</v>
      </c>
      <c r="S104" s="75">
        <f t="shared" si="50"/>
        <v>760878.47964325745</v>
      </c>
      <c r="T104" s="104">
        <f t="shared" si="51"/>
        <v>1131.2533519015897</v>
      </c>
      <c r="U104" s="75">
        <f t="shared" si="40"/>
        <v>142398.07178584998</v>
      </c>
      <c r="V104" s="75">
        <f t="shared" si="52"/>
        <v>166288.62830377999</v>
      </c>
      <c r="W104" s="104">
        <f t="shared" si="53"/>
        <v>801.7598169650829</v>
      </c>
      <c r="X104" s="75">
        <v>1161.4656769721789</v>
      </c>
      <c r="Y104" s="96">
        <v>795.51995411089376</v>
      </c>
      <c r="Z104" s="75">
        <v>123882.35928562999</v>
      </c>
      <c r="AA104" s="75">
        <f t="shared" si="54"/>
        <v>111063.64089287248</v>
      </c>
      <c r="AB104" s="104">
        <f t="shared" si="55"/>
        <v>990.84752147259678</v>
      </c>
      <c r="AC104" s="75">
        <v>43677.417500019998</v>
      </c>
      <c r="AD104" s="75">
        <f t="shared" si="56"/>
        <v>53638.577767942501</v>
      </c>
      <c r="AE104" s="104">
        <f t="shared" si="57"/>
        <v>755.86503192977148</v>
      </c>
      <c r="AF104" s="75">
        <v>1096.3040644746018</v>
      </c>
      <c r="AG104" s="96">
        <v>740.29521186474574</v>
      </c>
      <c r="AH104" s="75">
        <v>654299.64428572997</v>
      </c>
      <c r="AI104" s="75">
        <f t="shared" si="58"/>
        <v>649814.83875038498</v>
      </c>
      <c r="AJ104" s="104">
        <f t="shared" si="59"/>
        <v>1159.9396944043719</v>
      </c>
      <c r="AK104" s="75">
        <v>98720.65428582998</v>
      </c>
      <c r="AL104" s="75">
        <f t="shared" si="60"/>
        <v>112650.05053583749</v>
      </c>
      <c r="AM104" s="104">
        <f t="shared" si="61"/>
        <v>824.98180110970725</v>
      </c>
      <c r="AN104" s="75">
        <v>1174.6851782508618</v>
      </c>
      <c r="AO104" s="96">
        <v>822.67211904858311</v>
      </c>
      <c r="AP104" s="75">
        <v>0</v>
      </c>
      <c r="AQ104" s="75">
        <f t="shared" si="62"/>
        <v>0</v>
      </c>
      <c r="AR104" s="104">
        <f t="shared" si="63"/>
        <v>0</v>
      </c>
      <c r="AS104" s="75">
        <v>0</v>
      </c>
      <c r="AT104" s="75">
        <f t="shared" si="64"/>
        <v>0</v>
      </c>
      <c r="AU104" s="104">
        <f t="shared" si="65"/>
        <v>0</v>
      </c>
      <c r="AV104" s="75">
        <v>0</v>
      </c>
      <c r="AW104" s="96">
        <v>0</v>
      </c>
      <c r="AX104" s="75">
        <v>0</v>
      </c>
      <c r="AY104" s="75">
        <f t="shared" si="66"/>
        <v>0</v>
      </c>
      <c r="AZ104" s="104">
        <f t="shared" si="67"/>
        <v>0</v>
      </c>
      <c r="BA104" s="75">
        <v>0</v>
      </c>
      <c r="BB104" s="75">
        <f t="shared" si="68"/>
        <v>0</v>
      </c>
      <c r="BC104" s="104">
        <f t="shared" si="69"/>
        <v>0</v>
      </c>
      <c r="BD104" s="75">
        <v>0</v>
      </c>
      <c r="BE104" s="96">
        <v>0</v>
      </c>
    </row>
    <row r="105" spans="1:57" x14ac:dyDescent="0.25">
      <c r="A105" s="85">
        <f t="shared" si="41"/>
        <v>45842</v>
      </c>
      <c r="B105" s="75">
        <v>884438.64607111993</v>
      </c>
      <c r="C105" s="75">
        <f t="shared" si="42"/>
        <v>778951.40535736247</v>
      </c>
      <c r="D105" s="104">
        <f t="shared" si="43"/>
        <v>1146.0602348951122</v>
      </c>
      <c r="E105" s="75">
        <v>169068.81571462005</v>
      </c>
      <c r="F105" s="75">
        <f t="shared" si="44"/>
        <v>159438.25750023001</v>
      </c>
      <c r="G105" s="104">
        <f t="shared" si="45"/>
        <v>800.98469743212968</v>
      </c>
      <c r="H105" s="75">
        <v>1147.3071443039464</v>
      </c>
      <c r="I105" s="96">
        <v>792.21163774957574</v>
      </c>
      <c r="J105" s="75">
        <f t="shared" si="35"/>
        <v>142772.98178554003</v>
      </c>
      <c r="K105" s="75">
        <f t="shared" si="46"/>
        <v>118636.76232139749</v>
      </c>
      <c r="L105" s="104">
        <f t="shared" si="47"/>
        <v>1146.0602348951122</v>
      </c>
      <c r="M105" s="75">
        <f t="shared" si="36"/>
        <v>51019.881428659981</v>
      </c>
      <c r="N105" s="75">
        <f t="shared" si="48"/>
        <v>50516.952678667498</v>
      </c>
      <c r="O105" s="104">
        <f t="shared" si="49"/>
        <v>800.98469743212968</v>
      </c>
      <c r="P105" s="75">
        <f t="shared" si="37"/>
        <v>1147.3071443039464</v>
      </c>
      <c r="Q105" s="96">
        <f t="shared" si="38"/>
        <v>792.21163774957574</v>
      </c>
      <c r="R105" s="75">
        <f t="shared" si="39"/>
        <v>884438.64607112005</v>
      </c>
      <c r="S105" s="75">
        <f t="shared" si="50"/>
        <v>778951.40535736247</v>
      </c>
      <c r="T105" s="104">
        <f t="shared" si="51"/>
        <v>1142.920343872004</v>
      </c>
      <c r="U105" s="75">
        <f t="shared" si="40"/>
        <v>169068.81571462</v>
      </c>
      <c r="V105" s="75">
        <f t="shared" si="52"/>
        <v>159438.25750022999</v>
      </c>
      <c r="W105" s="104">
        <f t="shared" si="53"/>
        <v>798.79021883097289</v>
      </c>
      <c r="X105" s="75">
        <v>1144.1638370907115</v>
      </c>
      <c r="Y105" s="96">
        <v>790.04119492813084</v>
      </c>
      <c r="Z105" s="75">
        <v>142772.98178554003</v>
      </c>
      <c r="AA105" s="75">
        <f t="shared" si="54"/>
        <v>118636.76232139749</v>
      </c>
      <c r="AB105" s="104">
        <f t="shared" si="55"/>
        <v>1009.3273241912223</v>
      </c>
      <c r="AC105" s="75">
        <v>51019.881428659981</v>
      </c>
      <c r="AD105" s="75">
        <f t="shared" si="56"/>
        <v>50516.952678667498</v>
      </c>
      <c r="AE105" s="104">
        <f t="shared" si="57"/>
        <v>767.48377015832057</v>
      </c>
      <c r="AF105" s="75">
        <v>1027.143753852806</v>
      </c>
      <c r="AG105" s="96">
        <v>784.92125274861507</v>
      </c>
      <c r="AH105" s="75">
        <v>741665.66428558005</v>
      </c>
      <c r="AI105" s="75">
        <f t="shared" si="58"/>
        <v>660314.64303596504</v>
      </c>
      <c r="AJ105" s="104">
        <f t="shared" si="59"/>
        <v>1171.1781916813989</v>
      </c>
      <c r="AK105" s="75">
        <v>118048.93428596003</v>
      </c>
      <c r="AL105" s="75">
        <f t="shared" si="60"/>
        <v>108921.30482156252</v>
      </c>
      <c r="AM105" s="104">
        <f t="shared" si="61"/>
        <v>813.98771999400617</v>
      </c>
      <c r="AN105" s="75">
        <v>1169.8196597564354</v>
      </c>
      <c r="AO105" s="96">
        <v>792.27472675140962</v>
      </c>
      <c r="AP105" s="75">
        <v>0</v>
      </c>
      <c r="AQ105" s="75">
        <f t="shared" si="62"/>
        <v>0</v>
      </c>
      <c r="AR105" s="104">
        <f t="shared" si="63"/>
        <v>0</v>
      </c>
      <c r="AS105" s="75">
        <v>0</v>
      </c>
      <c r="AT105" s="75">
        <f t="shared" si="64"/>
        <v>0</v>
      </c>
      <c r="AU105" s="104">
        <f t="shared" si="65"/>
        <v>0</v>
      </c>
      <c r="AV105" s="75">
        <v>0</v>
      </c>
      <c r="AW105" s="96">
        <v>0</v>
      </c>
      <c r="AX105" s="75">
        <v>0</v>
      </c>
      <c r="AY105" s="75">
        <f t="shared" si="66"/>
        <v>0</v>
      </c>
      <c r="AZ105" s="104">
        <f t="shared" si="67"/>
        <v>0</v>
      </c>
      <c r="BA105" s="75">
        <v>0</v>
      </c>
      <c r="BB105" s="75">
        <f t="shared" si="68"/>
        <v>0</v>
      </c>
      <c r="BC105" s="104">
        <f t="shared" si="69"/>
        <v>0</v>
      </c>
      <c r="BD105" s="75">
        <v>0</v>
      </c>
      <c r="BE105" s="96">
        <v>0</v>
      </c>
    </row>
    <row r="106" spans="1:57" x14ac:dyDescent="0.25">
      <c r="A106" s="85">
        <f t="shared" si="41"/>
        <v>45849</v>
      </c>
      <c r="B106" s="75">
        <v>800534.95428605983</v>
      </c>
      <c r="C106" s="75">
        <f t="shared" si="42"/>
        <v>789332.04375021008</v>
      </c>
      <c r="D106" s="104">
        <f t="shared" si="43"/>
        <v>1154.6348560564663</v>
      </c>
      <c r="E106" s="75">
        <v>156919.33714312001</v>
      </c>
      <c r="F106" s="75">
        <f t="shared" si="44"/>
        <v>153038.9017859025</v>
      </c>
      <c r="G106" s="104">
        <f t="shared" si="45"/>
        <v>788.87494507434258</v>
      </c>
      <c r="H106" s="75">
        <v>1187.4766658527235</v>
      </c>
      <c r="I106" s="96">
        <v>802.80833785132984</v>
      </c>
      <c r="J106" s="75">
        <f t="shared" si="35"/>
        <v>122782.85178608997</v>
      </c>
      <c r="K106" s="75">
        <f t="shared" si="46"/>
        <v>123620.78285717999</v>
      </c>
      <c r="L106" s="104">
        <f t="shared" si="47"/>
        <v>1154.6348560564663</v>
      </c>
      <c r="M106" s="75">
        <f t="shared" si="36"/>
        <v>52443.840000000004</v>
      </c>
      <c r="N106" s="75">
        <f t="shared" si="48"/>
        <v>49891.685267897497</v>
      </c>
      <c r="O106" s="104">
        <f t="shared" si="49"/>
        <v>788.87494507434258</v>
      </c>
      <c r="P106" s="75">
        <f t="shared" si="37"/>
        <v>1187.4766658527235</v>
      </c>
      <c r="Q106" s="96">
        <f t="shared" si="38"/>
        <v>802.80833785132984</v>
      </c>
      <c r="R106" s="75">
        <f t="shared" si="39"/>
        <v>800534.95428605995</v>
      </c>
      <c r="S106" s="75">
        <f t="shared" si="50"/>
        <v>789332.04375020997</v>
      </c>
      <c r="T106" s="104">
        <f t="shared" si="51"/>
        <v>1151.4714729208222</v>
      </c>
      <c r="U106" s="75">
        <f t="shared" si="40"/>
        <v>156919.33714312001</v>
      </c>
      <c r="V106" s="75">
        <f t="shared" si="52"/>
        <v>153038.9017859025</v>
      </c>
      <c r="W106" s="104">
        <f t="shared" si="53"/>
        <v>786.713643876574</v>
      </c>
      <c r="X106" s="75">
        <v>1184.2233051568935</v>
      </c>
      <c r="Y106" s="96">
        <v>800.60886297510206</v>
      </c>
      <c r="Z106" s="75">
        <v>122782.85178608997</v>
      </c>
      <c r="AA106" s="75">
        <f t="shared" si="54"/>
        <v>123620.78285717999</v>
      </c>
      <c r="AB106" s="104">
        <f t="shared" si="55"/>
        <v>1013.049516287341</v>
      </c>
      <c r="AC106" s="75">
        <v>52443.840000000004</v>
      </c>
      <c r="AD106" s="75">
        <f t="shared" si="56"/>
        <v>49891.685267897497</v>
      </c>
      <c r="AE106" s="104">
        <f t="shared" si="57"/>
        <v>755.91335845516767</v>
      </c>
      <c r="AF106" s="75">
        <v>1023.1904315507497</v>
      </c>
      <c r="AG106" s="96">
        <v>738.64563380281697</v>
      </c>
      <c r="AH106" s="75">
        <v>677752.10249997</v>
      </c>
      <c r="AI106" s="75">
        <f t="shared" si="58"/>
        <v>665711.26089303009</v>
      </c>
      <c r="AJ106" s="104">
        <f t="shared" si="59"/>
        <v>1181.9418245808151</v>
      </c>
      <c r="AK106" s="75">
        <v>104475.49714312001</v>
      </c>
      <c r="AL106" s="75">
        <f t="shared" si="60"/>
        <v>103147.21651800501</v>
      </c>
      <c r="AM106" s="104">
        <f t="shared" si="61"/>
        <v>802.98724814688399</v>
      </c>
      <c r="AN106" s="75">
        <v>1218.9786016186511</v>
      </c>
      <c r="AO106" s="96">
        <v>835.80397714496007</v>
      </c>
      <c r="AP106" s="75">
        <v>0</v>
      </c>
      <c r="AQ106" s="75">
        <f t="shared" si="62"/>
        <v>0</v>
      </c>
      <c r="AR106" s="104">
        <f t="shared" si="63"/>
        <v>0</v>
      </c>
      <c r="AS106" s="75">
        <v>0</v>
      </c>
      <c r="AT106" s="75">
        <f t="shared" si="64"/>
        <v>0</v>
      </c>
      <c r="AU106" s="104">
        <f t="shared" si="65"/>
        <v>0</v>
      </c>
      <c r="AV106" s="75">
        <v>0</v>
      </c>
      <c r="AW106" s="96">
        <v>0</v>
      </c>
      <c r="AX106" s="75">
        <v>0</v>
      </c>
      <c r="AY106" s="75">
        <f t="shared" si="66"/>
        <v>0</v>
      </c>
      <c r="AZ106" s="104">
        <f t="shared" si="67"/>
        <v>0</v>
      </c>
      <c r="BA106" s="75">
        <v>0</v>
      </c>
      <c r="BB106" s="75">
        <f t="shared" si="68"/>
        <v>0</v>
      </c>
      <c r="BC106" s="104">
        <f t="shared" si="69"/>
        <v>0</v>
      </c>
      <c r="BD106" s="75">
        <v>0</v>
      </c>
      <c r="BE106" s="96">
        <v>0</v>
      </c>
    </row>
    <row r="107" spans="1:57" x14ac:dyDescent="0.25">
      <c r="A107" s="85">
        <f t="shared" si="41"/>
        <v>45856</v>
      </c>
      <c r="B107" s="75">
        <v>674854.16892882995</v>
      </c>
      <c r="C107" s="75">
        <f t="shared" si="42"/>
        <v>784502.44321434246</v>
      </c>
      <c r="D107" s="104">
        <f t="shared" si="43"/>
        <v>1164.5467957068392</v>
      </c>
      <c r="E107" s="75">
        <v>120668.44357139998</v>
      </c>
      <c r="F107" s="75">
        <f t="shared" si="44"/>
        <v>147263.66705374751</v>
      </c>
      <c r="G107" s="104">
        <f t="shared" si="45"/>
        <v>790.85643608290729</v>
      </c>
      <c r="H107" s="75">
        <v>1158.7468559586021</v>
      </c>
      <c r="I107" s="96">
        <v>770.70032026231888</v>
      </c>
      <c r="J107" s="75">
        <f t="shared" si="35"/>
        <v>112161.89249980001</v>
      </c>
      <c r="K107" s="75">
        <f t="shared" si="46"/>
        <v>125400.021339265</v>
      </c>
      <c r="L107" s="104">
        <f t="shared" si="47"/>
        <v>1164.5467957068392</v>
      </c>
      <c r="M107" s="75">
        <f t="shared" si="36"/>
        <v>35615.238928580002</v>
      </c>
      <c r="N107" s="75">
        <f t="shared" si="48"/>
        <v>45689.094464315</v>
      </c>
      <c r="O107" s="104">
        <f t="shared" si="49"/>
        <v>790.85643608290729</v>
      </c>
      <c r="P107" s="75">
        <f t="shared" si="37"/>
        <v>1158.7468559586021</v>
      </c>
      <c r="Q107" s="96">
        <f t="shared" si="38"/>
        <v>770.70032026231888</v>
      </c>
      <c r="R107" s="75">
        <f t="shared" si="39"/>
        <v>674854.16892882995</v>
      </c>
      <c r="S107" s="75">
        <f t="shared" si="50"/>
        <v>784502.44321434246</v>
      </c>
      <c r="T107" s="104">
        <f t="shared" si="51"/>
        <v>1161.3562565724246</v>
      </c>
      <c r="U107" s="75">
        <f t="shared" si="40"/>
        <v>120668.44357140001</v>
      </c>
      <c r="V107" s="75">
        <f t="shared" si="52"/>
        <v>147263.66705374751</v>
      </c>
      <c r="W107" s="104">
        <f t="shared" si="53"/>
        <v>788.6897061427037</v>
      </c>
      <c r="X107" s="75">
        <v>1155.5722070699144</v>
      </c>
      <c r="Y107" s="96">
        <v>768.58881255668803</v>
      </c>
      <c r="Z107" s="75">
        <v>112161.89249980001</v>
      </c>
      <c r="AA107" s="75">
        <f t="shared" si="54"/>
        <v>125400.021339265</v>
      </c>
      <c r="AB107" s="104">
        <f t="shared" si="55"/>
        <v>1046.2935728857433</v>
      </c>
      <c r="AC107" s="75">
        <v>35615.238928580002</v>
      </c>
      <c r="AD107" s="75">
        <f t="shared" si="56"/>
        <v>45689.094464315</v>
      </c>
      <c r="AE107" s="104">
        <f t="shared" si="57"/>
        <v>759.52660573763148</v>
      </c>
      <c r="AF107" s="75">
        <v>1038.536041664815</v>
      </c>
      <c r="AG107" s="96">
        <v>774.24432453434781</v>
      </c>
      <c r="AH107" s="75">
        <v>562692.27642903</v>
      </c>
      <c r="AI107" s="75">
        <f t="shared" si="58"/>
        <v>659102.42187507753</v>
      </c>
      <c r="AJ107" s="104">
        <f t="shared" si="59"/>
        <v>1186.4025176948433</v>
      </c>
      <c r="AK107" s="75">
        <v>85053.204642820012</v>
      </c>
      <c r="AL107" s="75">
        <f t="shared" si="60"/>
        <v>101574.57258943252</v>
      </c>
      <c r="AM107" s="104">
        <f t="shared" si="61"/>
        <v>804.24897745430144</v>
      </c>
      <c r="AN107" s="75">
        <v>1182.1266311534243</v>
      </c>
      <c r="AO107" s="96">
        <v>766.24508687225239</v>
      </c>
      <c r="AP107" s="75">
        <v>0</v>
      </c>
      <c r="AQ107" s="75">
        <f t="shared" si="62"/>
        <v>0</v>
      </c>
      <c r="AR107" s="104">
        <f t="shared" si="63"/>
        <v>0</v>
      </c>
      <c r="AS107" s="75">
        <v>0</v>
      </c>
      <c r="AT107" s="75">
        <f t="shared" si="64"/>
        <v>0</v>
      </c>
      <c r="AU107" s="104">
        <f t="shared" si="65"/>
        <v>0</v>
      </c>
      <c r="AV107" s="75">
        <v>0</v>
      </c>
      <c r="AW107" s="96">
        <v>0</v>
      </c>
      <c r="AX107" s="75">
        <v>0</v>
      </c>
      <c r="AY107" s="75">
        <f t="shared" si="66"/>
        <v>0</v>
      </c>
      <c r="AZ107" s="104">
        <f t="shared" si="67"/>
        <v>0</v>
      </c>
      <c r="BA107" s="75">
        <v>0</v>
      </c>
      <c r="BB107" s="75">
        <f t="shared" si="68"/>
        <v>0</v>
      </c>
      <c r="BC107" s="104">
        <f t="shared" si="69"/>
        <v>0</v>
      </c>
      <c r="BD107" s="75">
        <v>0</v>
      </c>
      <c r="BE107" s="96">
        <v>0</v>
      </c>
    </row>
    <row r="108" spans="1:57" x14ac:dyDescent="0.25">
      <c r="A108" s="85">
        <f t="shared" si="41"/>
        <v>45863</v>
      </c>
      <c r="B108" s="75">
        <v>685240.52892808989</v>
      </c>
      <c r="C108" s="75">
        <f t="shared" si="42"/>
        <v>761267.07455352484</v>
      </c>
      <c r="D108" s="104">
        <f t="shared" si="43"/>
        <v>1165.5268237715218</v>
      </c>
      <c r="E108" s="75">
        <v>121629.36142867002</v>
      </c>
      <c r="F108" s="75">
        <f t="shared" si="44"/>
        <v>142071.48946445252</v>
      </c>
      <c r="G108" s="104">
        <f t="shared" si="45"/>
        <v>807.67742861589625</v>
      </c>
      <c r="H108" s="75">
        <v>1168.5766289708154</v>
      </c>
      <c r="I108" s="96">
        <v>864.98941860036086</v>
      </c>
      <c r="J108" s="75">
        <f t="shared" si="35"/>
        <v>122769.02999996</v>
      </c>
      <c r="K108" s="75">
        <f t="shared" si="46"/>
        <v>125121.6890178475</v>
      </c>
      <c r="L108" s="104">
        <f t="shared" si="47"/>
        <v>1165.5268237715218</v>
      </c>
      <c r="M108" s="75">
        <f t="shared" si="36"/>
        <v>39499.061785699996</v>
      </c>
      <c r="N108" s="75">
        <f t="shared" si="48"/>
        <v>44644.505535734999</v>
      </c>
      <c r="O108" s="104">
        <f t="shared" si="49"/>
        <v>807.67742861589625</v>
      </c>
      <c r="P108" s="75">
        <f t="shared" si="37"/>
        <v>1168.5766289708154</v>
      </c>
      <c r="Q108" s="96">
        <f t="shared" si="38"/>
        <v>864.98941860036086</v>
      </c>
      <c r="R108" s="75">
        <f t="shared" si="39"/>
        <v>685240.52892809</v>
      </c>
      <c r="S108" s="75">
        <f t="shared" si="50"/>
        <v>761267.07455352496</v>
      </c>
      <c r="T108" s="104">
        <f t="shared" si="51"/>
        <v>1162.3335996287378</v>
      </c>
      <c r="U108" s="75">
        <f t="shared" si="40"/>
        <v>121629.36142867</v>
      </c>
      <c r="V108" s="75">
        <f t="shared" si="52"/>
        <v>142071.48946445249</v>
      </c>
      <c r="W108" s="104">
        <f t="shared" si="53"/>
        <v>805.46461376510433</v>
      </c>
      <c r="X108" s="75">
        <v>1165.375049197432</v>
      </c>
      <c r="Y108" s="96">
        <v>862.61958460049652</v>
      </c>
      <c r="Z108" s="75">
        <v>122769.02999996</v>
      </c>
      <c r="AA108" s="75">
        <f t="shared" si="54"/>
        <v>125121.6890178475</v>
      </c>
      <c r="AB108" s="104">
        <f t="shared" si="55"/>
        <v>1036.8059834911444</v>
      </c>
      <c r="AC108" s="75">
        <v>39499.061785699996</v>
      </c>
      <c r="AD108" s="75">
        <f t="shared" si="56"/>
        <v>44644.505535734999</v>
      </c>
      <c r="AE108" s="104">
        <f t="shared" si="57"/>
        <v>798.87929019019498</v>
      </c>
      <c r="AF108" s="75">
        <v>1058.3537068962069</v>
      </c>
      <c r="AG108" s="96">
        <v>897.70594967499994</v>
      </c>
      <c r="AH108" s="75">
        <v>562471.49892813002</v>
      </c>
      <c r="AI108" s="75">
        <f t="shared" si="58"/>
        <v>636145.38553567755</v>
      </c>
      <c r="AJ108" s="104">
        <f t="shared" si="59"/>
        <v>1190.6504492593153</v>
      </c>
      <c r="AK108" s="75">
        <v>82130.29964297</v>
      </c>
      <c r="AL108" s="75">
        <f t="shared" si="60"/>
        <v>97426.983928717498</v>
      </c>
      <c r="AM108" s="104">
        <f t="shared" si="61"/>
        <v>810.25697769981014</v>
      </c>
      <c r="AN108" s="75">
        <v>1191.6769045087501</v>
      </c>
      <c r="AO108" s="96">
        <v>846.70412003061858</v>
      </c>
      <c r="AP108" s="75">
        <v>0</v>
      </c>
      <c r="AQ108" s="75">
        <f t="shared" si="62"/>
        <v>0</v>
      </c>
      <c r="AR108" s="104">
        <f t="shared" si="63"/>
        <v>0</v>
      </c>
      <c r="AS108" s="75">
        <v>0</v>
      </c>
      <c r="AT108" s="75">
        <f t="shared" si="64"/>
        <v>0</v>
      </c>
      <c r="AU108" s="104">
        <f t="shared" si="65"/>
        <v>0</v>
      </c>
      <c r="AV108" s="75">
        <v>0</v>
      </c>
      <c r="AW108" s="96">
        <v>0</v>
      </c>
      <c r="AX108" s="75">
        <v>0</v>
      </c>
      <c r="AY108" s="75">
        <f t="shared" si="66"/>
        <v>0</v>
      </c>
      <c r="AZ108" s="104">
        <f t="shared" si="67"/>
        <v>0</v>
      </c>
      <c r="BA108" s="75">
        <v>0</v>
      </c>
      <c r="BB108" s="75">
        <f t="shared" si="68"/>
        <v>0</v>
      </c>
      <c r="BC108" s="104">
        <f t="shared" si="69"/>
        <v>0</v>
      </c>
      <c r="BD108" s="75">
        <v>0</v>
      </c>
      <c r="BE108" s="96">
        <v>0</v>
      </c>
    </row>
    <row r="109" spans="1:57" x14ac:dyDescent="0.25">
      <c r="A109" s="85">
        <f t="shared" si="41"/>
        <v>45870</v>
      </c>
      <c r="B109" s="75">
        <v>728874.55642853014</v>
      </c>
      <c r="C109" s="75">
        <f t="shared" si="42"/>
        <v>722376.05214287748</v>
      </c>
      <c r="D109" s="104">
        <f t="shared" si="43"/>
        <v>1157.6607090833222</v>
      </c>
      <c r="E109" s="75">
        <v>142298.66321423996</v>
      </c>
      <c r="F109" s="75">
        <f t="shared" si="44"/>
        <v>135378.9513393575</v>
      </c>
      <c r="G109" s="104">
        <f t="shared" si="45"/>
        <v>806.70959321685268</v>
      </c>
      <c r="H109" s="75">
        <v>1115.8426855511484</v>
      </c>
      <c r="I109" s="96">
        <v>788.34029615340125</v>
      </c>
      <c r="J109" s="75">
        <f t="shared" si="35"/>
        <v>98497.010357329986</v>
      </c>
      <c r="K109" s="75">
        <f t="shared" si="46"/>
        <v>114052.69616079499</v>
      </c>
      <c r="L109" s="104">
        <f t="shared" si="47"/>
        <v>1157.6607090833222</v>
      </c>
      <c r="M109" s="75">
        <f t="shared" si="36"/>
        <v>29314.767857219998</v>
      </c>
      <c r="N109" s="75">
        <f t="shared" si="48"/>
        <v>39218.227142875003</v>
      </c>
      <c r="O109" s="104">
        <f t="shared" si="49"/>
        <v>806.70959321685268</v>
      </c>
      <c r="P109" s="75">
        <f t="shared" si="37"/>
        <v>1115.8426855511484</v>
      </c>
      <c r="Q109" s="96">
        <f t="shared" si="38"/>
        <v>788.34029615340125</v>
      </c>
      <c r="R109" s="75">
        <f t="shared" si="39"/>
        <v>728874.5564285299</v>
      </c>
      <c r="S109" s="75">
        <f t="shared" si="50"/>
        <v>722376.05214287736</v>
      </c>
      <c r="T109" s="104">
        <f t="shared" si="51"/>
        <v>1154.4890359394683</v>
      </c>
      <c r="U109" s="75">
        <f t="shared" si="40"/>
        <v>142298.66321423999</v>
      </c>
      <c r="V109" s="75">
        <f t="shared" si="52"/>
        <v>135378.9513393575</v>
      </c>
      <c r="W109" s="104">
        <f t="shared" si="53"/>
        <v>804.49942996986726</v>
      </c>
      <c r="X109" s="75">
        <v>1112.7855823336333</v>
      </c>
      <c r="Y109" s="96">
        <v>786.18045974718223</v>
      </c>
      <c r="Z109" s="75">
        <v>98497.010357329986</v>
      </c>
      <c r="AA109" s="75">
        <f t="shared" si="54"/>
        <v>114052.69616079499</v>
      </c>
      <c r="AB109" s="104">
        <f t="shared" si="55"/>
        <v>999.87944314698302</v>
      </c>
      <c r="AC109" s="75">
        <v>29314.767857219998</v>
      </c>
      <c r="AD109" s="75">
        <f t="shared" si="56"/>
        <v>39218.227142875003</v>
      </c>
      <c r="AE109" s="104">
        <f t="shared" si="57"/>
        <v>755.33005959272873</v>
      </c>
      <c r="AF109" s="75">
        <v>879.4375924761606</v>
      </c>
      <c r="AG109" s="96">
        <v>610.72433035874997</v>
      </c>
      <c r="AH109" s="75">
        <v>630377.54607119993</v>
      </c>
      <c r="AI109" s="75">
        <f t="shared" si="58"/>
        <v>608323.35598208243</v>
      </c>
      <c r="AJ109" s="104">
        <f t="shared" si="59"/>
        <v>1188.4246070970021</v>
      </c>
      <c r="AK109" s="75">
        <v>112983.89535701998</v>
      </c>
      <c r="AL109" s="75">
        <f t="shared" si="60"/>
        <v>96160.724196482508</v>
      </c>
      <c r="AM109" s="104">
        <f t="shared" si="61"/>
        <v>824.56403916425097</v>
      </c>
      <c r="AN109" s="75">
        <v>1160.9162911071821</v>
      </c>
      <c r="AO109" s="96">
        <v>849.50297260917284</v>
      </c>
      <c r="AP109" s="75">
        <v>0</v>
      </c>
      <c r="AQ109" s="75">
        <f t="shared" si="62"/>
        <v>0</v>
      </c>
      <c r="AR109" s="104">
        <f t="shared" si="63"/>
        <v>0</v>
      </c>
      <c r="AS109" s="75">
        <v>0</v>
      </c>
      <c r="AT109" s="75">
        <f t="shared" si="64"/>
        <v>0</v>
      </c>
      <c r="AU109" s="104">
        <f t="shared" si="65"/>
        <v>0</v>
      </c>
      <c r="AV109" s="75">
        <v>0</v>
      </c>
      <c r="AW109" s="96">
        <v>0</v>
      </c>
      <c r="AX109" s="75">
        <v>0</v>
      </c>
      <c r="AY109" s="75">
        <f t="shared" si="66"/>
        <v>0</v>
      </c>
      <c r="AZ109" s="104">
        <f t="shared" si="67"/>
        <v>0</v>
      </c>
      <c r="BA109" s="75">
        <v>0</v>
      </c>
      <c r="BB109" s="75">
        <f t="shared" si="68"/>
        <v>0</v>
      </c>
      <c r="BC109" s="104">
        <f t="shared" si="69"/>
        <v>0</v>
      </c>
      <c r="BD109" s="75">
        <v>0</v>
      </c>
      <c r="BE109" s="96">
        <v>0</v>
      </c>
    </row>
    <row r="110" spans="1:57" x14ac:dyDescent="0.25">
      <c r="A110" s="85">
        <f t="shared" si="41"/>
        <v>45877</v>
      </c>
      <c r="B110" s="75">
        <v>672803.27821381018</v>
      </c>
      <c r="C110" s="75">
        <f t="shared" si="42"/>
        <v>690443.13312481507</v>
      </c>
      <c r="D110" s="104">
        <f t="shared" si="43"/>
        <v>1171.9777229013725</v>
      </c>
      <c r="E110" s="75">
        <v>68147.845357120023</v>
      </c>
      <c r="F110" s="75">
        <f t="shared" si="44"/>
        <v>113186.07839285751</v>
      </c>
      <c r="G110" s="104">
        <f t="shared" si="45"/>
        <v>830.7939058284262</v>
      </c>
      <c r="H110" s="75">
        <v>1244.7447211249244</v>
      </c>
      <c r="I110" s="96">
        <v>899.14558829762404</v>
      </c>
      <c r="J110" s="75">
        <f t="shared" si="35"/>
        <v>106791.79571403001</v>
      </c>
      <c r="K110" s="75">
        <f t="shared" si="46"/>
        <v>110054.93214277999</v>
      </c>
      <c r="L110" s="104">
        <f t="shared" si="47"/>
        <v>1171.9777229013725</v>
      </c>
      <c r="M110" s="75">
        <f t="shared" si="36"/>
        <v>22341.00392852</v>
      </c>
      <c r="N110" s="75">
        <f t="shared" si="48"/>
        <v>31692.518125004997</v>
      </c>
      <c r="O110" s="104">
        <f t="shared" si="49"/>
        <v>830.7939058284262</v>
      </c>
      <c r="P110" s="75">
        <f t="shared" si="37"/>
        <v>1244.7447211249244</v>
      </c>
      <c r="Q110" s="96">
        <f t="shared" si="38"/>
        <v>899.14558829762404</v>
      </c>
      <c r="R110" s="75">
        <f t="shared" si="39"/>
        <v>672803.27821381006</v>
      </c>
      <c r="S110" s="75">
        <f t="shared" si="50"/>
        <v>690443.13312481495</v>
      </c>
      <c r="T110" s="104">
        <f t="shared" si="51"/>
        <v>1168.7668250625188</v>
      </c>
      <c r="U110" s="75">
        <f t="shared" si="40"/>
        <v>68147.845357120008</v>
      </c>
      <c r="V110" s="75">
        <f t="shared" si="52"/>
        <v>113186.07839285751</v>
      </c>
      <c r="W110" s="104">
        <f t="shared" si="53"/>
        <v>828.51775816398651</v>
      </c>
      <c r="X110" s="75">
        <v>1241.3344616490961</v>
      </c>
      <c r="Y110" s="96">
        <v>896.68217575157905</v>
      </c>
      <c r="Z110" s="75">
        <v>106791.79571403001</v>
      </c>
      <c r="AA110" s="75">
        <f t="shared" si="54"/>
        <v>110054.93214277999</v>
      </c>
      <c r="AB110" s="104">
        <f t="shared" si="55"/>
        <v>995.9492779810646</v>
      </c>
      <c r="AC110" s="75">
        <v>22341.00392852</v>
      </c>
      <c r="AD110" s="75">
        <f t="shared" si="56"/>
        <v>31692.518125004997</v>
      </c>
      <c r="AE110" s="104">
        <f t="shared" si="57"/>
        <v>777.52979862832069</v>
      </c>
      <c r="AF110" s="75">
        <v>1007.4697708870756</v>
      </c>
      <c r="AG110" s="96">
        <v>827.44458994518516</v>
      </c>
      <c r="AH110" s="75">
        <v>566011.48249978002</v>
      </c>
      <c r="AI110" s="75">
        <f t="shared" si="58"/>
        <v>580388.20098203502</v>
      </c>
      <c r="AJ110" s="104">
        <f t="shared" si="59"/>
        <v>1208.2278250981763</v>
      </c>
      <c r="AK110" s="75">
        <v>45806.841428600004</v>
      </c>
      <c r="AL110" s="75">
        <f t="shared" si="60"/>
        <v>81493.560267852503</v>
      </c>
      <c r="AM110" s="104">
        <f t="shared" si="61"/>
        <v>849.32141951372535</v>
      </c>
      <c r="AN110" s="75">
        <v>1298.1914736233487</v>
      </c>
      <c r="AO110" s="96">
        <v>934.83349854285723</v>
      </c>
      <c r="AP110" s="75">
        <v>0</v>
      </c>
      <c r="AQ110" s="75">
        <f t="shared" si="62"/>
        <v>0</v>
      </c>
      <c r="AR110" s="104">
        <f t="shared" si="63"/>
        <v>0</v>
      </c>
      <c r="AS110" s="75">
        <v>0</v>
      </c>
      <c r="AT110" s="75">
        <f t="shared" si="64"/>
        <v>0</v>
      </c>
      <c r="AU110" s="104">
        <f t="shared" si="65"/>
        <v>0</v>
      </c>
      <c r="AV110" s="75">
        <v>0</v>
      </c>
      <c r="AW110" s="96">
        <v>0</v>
      </c>
      <c r="AX110" s="75">
        <v>0</v>
      </c>
      <c r="AY110" s="75">
        <f t="shared" si="66"/>
        <v>0</v>
      </c>
      <c r="AZ110" s="104">
        <f t="shared" si="67"/>
        <v>0</v>
      </c>
      <c r="BA110" s="75">
        <v>0</v>
      </c>
      <c r="BB110" s="75">
        <f t="shared" si="68"/>
        <v>0</v>
      </c>
      <c r="BC110" s="104">
        <f t="shared" si="69"/>
        <v>0</v>
      </c>
      <c r="BD110" s="75">
        <v>0</v>
      </c>
      <c r="BE110" s="96">
        <v>0</v>
      </c>
    </row>
    <row r="111" spans="1:57" x14ac:dyDescent="0.25">
      <c r="A111" s="85">
        <f t="shared" si="41"/>
        <v>45884</v>
      </c>
      <c r="B111" s="75">
        <v>673245.25464304013</v>
      </c>
      <c r="C111" s="75">
        <f t="shared" si="42"/>
        <v>690040.90455336764</v>
      </c>
      <c r="D111" s="104">
        <f t="shared" si="43"/>
        <v>1182.6000967675432</v>
      </c>
      <c r="E111" s="75">
        <v>153671.41928541</v>
      </c>
      <c r="F111" s="75">
        <f t="shared" si="44"/>
        <v>121436.82232136</v>
      </c>
      <c r="G111" s="104">
        <f t="shared" si="45"/>
        <v>850.95528088713206</v>
      </c>
      <c r="H111" s="75">
        <v>1201.2363514232852</v>
      </c>
      <c r="I111" s="96">
        <v>851.3458204971422</v>
      </c>
      <c r="J111" s="75">
        <f t="shared" si="35"/>
        <v>106180.86714282</v>
      </c>
      <c r="K111" s="75">
        <f t="shared" si="46"/>
        <v>108559.67580353501</v>
      </c>
      <c r="L111" s="104">
        <f t="shared" si="47"/>
        <v>1182.6000967675432</v>
      </c>
      <c r="M111" s="75">
        <f t="shared" si="36"/>
        <v>38579.827857159995</v>
      </c>
      <c r="N111" s="75">
        <f t="shared" si="48"/>
        <v>32433.665357149999</v>
      </c>
      <c r="O111" s="104">
        <f t="shared" si="49"/>
        <v>850.95528088713206</v>
      </c>
      <c r="P111" s="75">
        <f t="shared" si="37"/>
        <v>1201.2363514232852</v>
      </c>
      <c r="Q111" s="96">
        <f t="shared" si="38"/>
        <v>851.3458204971422</v>
      </c>
      <c r="R111" s="75">
        <f t="shared" si="39"/>
        <v>673245.25464304001</v>
      </c>
      <c r="S111" s="75">
        <f t="shared" si="50"/>
        <v>690040.90455336752</v>
      </c>
      <c r="T111" s="104">
        <f t="shared" si="51"/>
        <v>1179.3600965348269</v>
      </c>
      <c r="U111" s="75">
        <f t="shared" si="40"/>
        <v>153671.41928541003</v>
      </c>
      <c r="V111" s="75">
        <f t="shared" si="52"/>
        <v>121436.82232136001</v>
      </c>
      <c r="W111" s="104">
        <f t="shared" si="53"/>
        <v>848.62389657924814</v>
      </c>
      <c r="X111" s="75">
        <v>1197.9452929591459</v>
      </c>
      <c r="Y111" s="96">
        <v>849.01336621773498</v>
      </c>
      <c r="Z111" s="75">
        <v>106180.86714282</v>
      </c>
      <c r="AA111" s="75">
        <f t="shared" si="54"/>
        <v>108559.67580353501</v>
      </c>
      <c r="AB111" s="104">
        <f t="shared" si="55"/>
        <v>977.63542016217889</v>
      </c>
      <c r="AC111" s="75">
        <v>38579.827857159995</v>
      </c>
      <c r="AD111" s="75">
        <f t="shared" si="56"/>
        <v>32433.665357149999</v>
      </c>
      <c r="AE111" s="104">
        <f t="shared" si="57"/>
        <v>762.57903164825234</v>
      </c>
      <c r="AF111" s="75">
        <v>965.28061038927274</v>
      </c>
      <c r="AG111" s="96">
        <v>714.44125661407395</v>
      </c>
      <c r="AH111" s="75">
        <v>567064.38750021998</v>
      </c>
      <c r="AI111" s="75">
        <f t="shared" si="58"/>
        <v>581481.22874983249</v>
      </c>
      <c r="AJ111" s="104">
        <f t="shared" si="59"/>
        <v>1226.3379745555171</v>
      </c>
      <c r="AK111" s="75">
        <v>115091.59142825002</v>
      </c>
      <c r="AL111" s="75">
        <f t="shared" si="60"/>
        <v>89003.156964210008</v>
      </c>
      <c r="AM111" s="104">
        <f t="shared" si="61"/>
        <v>884.31839863867401</v>
      </c>
      <c r="AN111" s="75">
        <v>1254.5672289827876</v>
      </c>
      <c r="AO111" s="96">
        <v>906.23300337204739</v>
      </c>
      <c r="AP111" s="75">
        <v>0</v>
      </c>
      <c r="AQ111" s="75">
        <f t="shared" si="62"/>
        <v>0</v>
      </c>
      <c r="AR111" s="104">
        <f t="shared" si="63"/>
        <v>0</v>
      </c>
      <c r="AS111" s="75">
        <v>0</v>
      </c>
      <c r="AT111" s="75">
        <f t="shared" si="64"/>
        <v>0</v>
      </c>
      <c r="AU111" s="104">
        <f t="shared" si="65"/>
        <v>0</v>
      </c>
      <c r="AV111" s="75">
        <v>0</v>
      </c>
      <c r="AW111" s="96">
        <v>0</v>
      </c>
      <c r="AX111" s="75">
        <v>0</v>
      </c>
      <c r="AY111" s="75">
        <f t="shared" si="66"/>
        <v>0</v>
      </c>
      <c r="AZ111" s="104">
        <f t="shared" si="67"/>
        <v>0</v>
      </c>
      <c r="BA111" s="75">
        <v>0</v>
      </c>
      <c r="BB111" s="75">
        <f t="shared" si="68"/>
        <v>0</v>
      </c>
      <c r="BC111" s="104">
        <f t="shared" si="69"/>
        <v>0</v>
      </c>
      <c r="BD111" s="75">
        <v>0</v>
      </c>
      <c r="BE111" s="96">
        <v>0</v>
      </c>
    </row>
  </sheetData>
  <phoneticPr fontId="1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BA530-64A8-43DF-98A7-847B0818804A}">
  <sheetPr codeName="Sheet35"/>
  <dimension ref="A1:DE109"/>
  <sheetViews>
    <sheetView zoomScale="70" zoomScaleNormal="70" workbookViewId="0">
      <selection activeCell="B16" sqref="B16"/>
    </sheetView>
  </sheetViews>
  <sheetFormatPr defaultRowHeight="15" x14ac:dyDescent="0.25"/>
  <cols>
    <col min="1" max="1" width="12.42578125" bestFit="1" customWidth="1"/>
    <col min="2" max="12" width="11.5703125" style="75" customWidth="1"/>
    <col min="13" max="13" width="11.5703125" style="96" customWidth="1"/>
    <col min="14" max="24" width="11.5703125" style="75" customWidth="1"/>
    <col min="25" max="25" width="11.5703125" style="96" customWidth="1"/>
    <col min="26" max="36" width="11.5703125" style="75" customWidth="1"/>
    <col min="37" max="37" width="11.5703125" style="96" customWidth="1"/>
    <col min="38" max="48" width="11.5703125" style="75" customWidth="1"/>
    <col min="49" max="49" width="11.5703125" style="96" customWidth="1"/>
    <col min="50" max="60" width="11.5703125" style="75" customWidth="1"/>
    <col min="61" max="61" width="11.5703125" style="96" customWidth="1"/>
    <col min="62" max="72" width="11.5703125" style="485" customWidth="1"/>
    <col min="73" max="73" width="11.5703125" style="486" customWidth="1"/>
    <col min="74" max="84" width="11.5703125" style="75" customWidth="1"/>
    <col min="85" max="85" width="11.5703125" style="96" customWidth="1"/>
    <col min="86" max="96" width="11.5703125" style="75" customWidth="1"/>
    <col min="97" max="97" width="11.5703125" style="96" customWidth="1"/>
    <col min="98" max="107" width="11.5703125" style="75" customWidth="1"/>
    <col min="109" max="109" width="9.140625" style="98" customWidth="1"/>
  </cols>
  <sheetData>
    <row r="1" spans="1:109" x14ac:dyDescent="0.25">
      <c r="B1" s="75" t="s">
        <v>254</v>
      </c>
      <c r="D1" t="s">
        <v>1</v>
      </c>
      <c r="E1"/>
      <c r="F1"/>
      <c r="G1"/>
      <c r="H1" t="s">
        <v>72</v>
      </c>
      <c r="I1"/>
      <c r="J1" t="s">
        <v>353</v>
      </c>
      <c r="K1"/>
      <c r="L1" t="s">
        <v>73</v>
      </c>
      <c r="M1"/>
      <c r="N1" s="75" t="s">
        <v>254</v>
      </c>
      <c r="P1" t="s">
        <v>1</v>
      </c>
      <c r="Q1"/>
      <c r="R1"/>
      <c r="S1"/>
      <c r="T1" t="s">
        <v>72</v>
      </c>
      <c r="U1"/>
      <c r="V1" t="s">
        <v>353</v>
      </c>
      <c r="W1"/>
      <c r="X1" t="s">
        <v>73</v>
      </c>
      <c r="Y1"/>
      <c r="Z1" s="75" t="s">
        <v>254</v>
      </c>
      <c r="AB1" t="s">
        <v>1</v>
      </c>
      <c r="AC1"/>
      <c r="AD1"/>
      <c r="AE1"/>
      <c r="AF1" t="s">
        <v>72</v>
      </c>
      <c r="AG1"/>
      <c r="AH1" t="s">
        <v>353</v>
      </c>
      <c r="AI1"/>
      <c r="AJ1" t="s">
        <v>73</v>
      </c>
      <c r="AK1"/>
      <c r="AL1" s="75" t="s">
        <v>254</v>
      </c>
      <c r="AN1" t="s">
        <v>1</v>
      </c>
      <c r="AO1"/>
      <c r="AP1"/>
      <c r="AQ1"/>
      <c r="AR1" t="s">
        <v>72</v>
      </c>
      <c r="AS1"/>
      <c r="AT1" t="s">
        <v>353</v>
      </c>
      <c r="AU1"/>
      <c r="AV1" t="s">
        <v>73</v>
      </c>
      <c r="AW1"/>
      <c r="AX1" s="75" t="s">
        <v>254</v>
      </c>
      <c r="AZ1" t="s">
        <v>1</v>
      </c>
      <c r="BA1"/>
      <c r="BB1"/>
      <c r="BC1"/>
      <c r="BD1" t="s">
        <v>72</v>
      </c>
      <c r="BE1"/>
      <c r="BF1" t="s">
        <v>353</v>
      </c>
      <c r="BG1"/>
      <c r="BH1" t="s">
        <v>73</v>
      </c>
      <c r="BI1"/>
      <c r="BJ1" s="484" t="s">
        <v>254</v>
      </c>
      <c r="BK1" s="484"/>
      <c r="BL1" s="485" t="s">
        <v>1</v>
      </c>
      <c r="BP1" s="485" t="s">
        <v>72</v>
      </c>
      <c r="BR1" s="485" t="s">
        <v>353</v>
      </c>
      <c r="BT1" s="485" t="s">
        <v>73</v>
      </c>
      <c r="BU1" s="485"/>
      <c r="BV1" s="75" t="s">
        <v>254</v>
      </c>
      <c r="BX1" t="s">
        <v>1</v>
      </c>
      <c r="BY1"/>
      <c r="BZ1"/>
      <c r="CA1"/>
      <c r="CB1" t="s">
        <v>72</v>
      </c>
      <c r="CC1"/>
      <c r="CD1" t="s">
        <v>353</v>
      </c>
      <c r="CE1"/>
      <c r="CF1" t="s">
        <v>73</v>
      </c>
      <c r="CG1"/>
      <c r="CH1" s="75" t="s">
        <v>254</v>
      </c>
      <c r="CJ1" t="s">
        <v>1</v>
      </c>
      <c r="CK1"/>
      <c r="CL1"/>
      <c r="CM1"/>
      <c r="CN1" t="s">
        <v>72</v>
      </c>
      <c r="CO1"/>
      <c r="CP1" t="s">
        <v>353</v>
      </c>
      <c r="CQ1"/>
      <c r="CR1" t="s">
        <v>73</v>
      </c>
      <c r="CS1"/>
      <c r="CT1" s="75" t="s">
        <v>254</v>
      </c>
      <c r="CV1" t="s">
        <v>1</v>
      </c>
      <c r="CW1"/>
      <c r="CX1"/>
      <c r="CY1"/>
      <c r="CZ1" t="s">
        <v>72</v>
      </c>
      <c r="DA1"/>
      <c r="DB1" t="s">
        <v>353</v>
      </c>
      <c r="DC1"/>
      <c r="DD1" t="s">
        <v>73</v>
      </c>
      <c r="DE1"/>
    </row>
    <row r="2" spans="1:109" x14ac:dyDescent="0.25">
      <c r="B2" s="75" t="s">
        <v>255</v>
      </c>
      <c r="N2" s="75" t="s">
        <v>256</v>
      </c>
      <c r="O2" s="75" t="s">
        <v>257</v>
      </c>
      <c r="Z2" s="75" t="s">
        <v>258</v>
      </c>
      <c r="AA2" s="75" t="s">
        <v>81</v>
      </c>
      <c r="AL2" s="75" t="s">
        <v>259</v>
      </c>
      <c r="AX2" s="75" t="s">
        <v>260</v>
      </c>
      <c r="AZ2" s="75" t="s">
        <v>260</v>
      </c>
      <c r="BD2" s="75" t="s">
        <v>260</v>
      </c>
      <c r="BJ2" s="485" t="s">
        <v>261</v>
      </c>
      <c r="BR2" s="484"/>
      <c r="BS2" s="484"/>
      <c r="BV2" s="75" t="s">
        <v>262</v>
      </c>
      <c r="CH2" s="75" t="s">
        <v>263</v>
      </c>
      <c r="CT2" s="75" t="s">
        <v>264</v>
      </c>
      <c r="DD2" s="75"/>
      <c r="DE2" s="96"/>
    </row>
    <row r="3" spans="1:109" x14ac:dyDescent="0.25">
      <c r="B3" s="75" t="str">
        <f>"Average "&amp;B2&amp;" ("&amp;B1&amp;")"</f>
        <v>Average Proposer Age (Overall)</v>
      </c>
      <c r="C3" s="75" t="str">
        <f>"Average "&amp;B2&amp;" - 4 Week Avg ("&amp;B1&amp;")"</f>
        <v>Average Proposer Age - 4 Week Avg (Overall)</v>
      </c>
      <c r="D3" s="75" t="str">
        <f>"Average "&amp;B2&amp;" ("&amp;D1&amp;")"</f>
        <v>Average Proposer Age (PC Annual Direct)</v>
      </c>
      <c r="E3" s="75" t="str">
        <f>"Average "&amp;B2&amp;" - 4 Week Avg ("&amp;D1&amp;")"</f>
        <v>Average Proposer Age - 4 Week Avg (PC Annual Direct)</v>
      </c>
      <c r="F3" s="75" t="str">
        <f>"Average "&amp;B2&amp;" (Boom Annual)"</f>
        <v>Average Proposer Age (Boom Annual)</v>
      </c>
      <c r="G3" s="75" t="str">
        <f>"Average "&amp;B2&amp;" - 4 Week Avg (Boom Annual)"</f>
        <v>Average Proposer Age - 4 Week Avg (Boom Annual)</v>
      </c>
      <c r="H3" s="75" t="str">
        <f>"Average "&amp;B2&amp;" ("&amp;H1&amp;" Up Front)"</f>
        <v>Average Proposer Age (Boom Annual Up Front)</v>
      </c>
      <c r="I3" s="75" t="str">
        <f>"Average "&amp;B2&amp;" - 4 Week Avg ("&amp;H1&amp;" Up Front)"</f>
        <v>Average Proposer Age - 4 Week Avg (Boom Annual Up Front)</v>
      </c>
      <c r="J3" s="75" t="str">
        <f>"Average "&amp;B2&amp;" (Boom Annual Premium Finance)"</f>
        <v>Average Proposer Age (Boom Annual Premium Finance)</v>
      </c>
      <c r="K3" s="75" t="str">
        <f>"Average "&amp;B2&amp;" - 4 Week Avg (Boom Annual Premium Finance)"</f>
        <v>Average Proposer Age - 4 Week Avg (Boom Annual Premium Finance)</v>
      </c>
      <c r="L3" s="75" t="str">
        <f>"Average "&amp;B2&amp;" ("&amp;L1&amp;")"</f>
        <v>Average Proposer Age (Boom Subscription)</v>
      </c>
      <c r="M3" s="96" t="str">
        <f>"Average "&amp;B2&amp;" - 4 Week Avg ("&amp;L1&amp;")"</f>
        <v>Average Proposer Age - 4 Week Avg (Boom Subscription)</v>
      </c>
      <c r="N3" s="75" t="str">
        <f>"Average "&amp;N2&amp;" ("&amp;N1&amp;")"</f>
        <v>Average Proportion Under 25 (Overall)</v>
      </c>
      <c r="O3" s="75" t="str">
        <f>"Average "&amp;N2&amp;" - 4 Week Avg ("&amp;N1&amp;")"</f>
        <v>Average Proportion Under 25 - 4 Week Avg (Overall)</v>
      </c>
      <c r="P3" s="75" t="str">
        <f>"Average "&amp;N2&amp;" ("&amp;P1&amp;")"</f>
        <v>Average Proportion Under 25 (PC Annual Direct)</v>
      </c>
      <c r="Q3" s="75" t="str">
        <f>"Average "&amp;N2&amp;" - 4 Week Avg ("&amp;P1&amp;")"</f>
        <v>Average Proportion Under 25 - 4 Week Avg (PC Annual Direct)</v>
      </c>
      <c r="R3" s="75" t="str">
        <f>"Average "&amp;N2&amp;" (Boom Annual)"</f>
        <v>Average Proportion Under 25 (Boom Annual)</v>
      </c>
      <c r="S3" s="75" t="str">
        <f>"Average "&amp;N2&amp;" - 4 Week Avg (Boom Annual)"</f>
        <v>Average Proportion Under 25 - 4 Week Avg (Boom Annual)</v>
      </c>
      <c r="T3" s="75" t="str">
        <f>"Average "&amp;N2&amp;" ("&amp;T1&amp;" Up Front)"</f>
        <v>Average Proportion Under 25 (Boom Annual Up Front)</v>
      </c>
      <c r="U3" s="75" t="str">
        <f>"Average "&amp;N2&amp;" - 4 Week Avg ("&amp;T1&amp;" Up Front)"</f>
        <v>Average Proportion Under 25 - 4 Week Avg (Boom Annual Up Front)</v>
      </c>
      <c r="V3" s="75" t="str">
        <f>"Average "&amp;N2&amp;" (Boom Annual Premium Finance)"</f>
        <v>Average Proportion Under 25 (Boom Annual Premium Finance)</v>
      </c>
      <c r="W3" s="75" t="str">
        <f>"Average "&amp;N2&amp;" - 4 Week Avg (Boom Annual Premium Finance)"</f>
        <v>Average Proportion Under 25 - 4 Week Avg (Boom Annual Premium Finance)</v>
      </c>
      <c r="X3" s="75" t="str">
        <f>"Average "&amp;N2&amp;" ("&amp;X1&amp;")"</f>
        <v>Average Proportion Under 25 (Boom Subscription)</v>
      </c>
      <c r="Y3" s="96" t="str">
        <f>"Average "&amp;N2&amp;" - 4 Week Avg ("&amp;X1&amp;")"</f>
        <v>Average Proportion Under 25 - 4 Week Avg (Boom Subscription)</v>
      </c>
      <c r="Z3" s="75" t="str">
        <f>"Average "&amp;Z2&amp;" ("&amp;Z1&amp;")"</f>
        <v>Average Premium Proportion Under 25 (Overall)</v>
      </c>
      <c r="AA3" s="75" t="str">
        <f>"Average "&amp;Z2&amp;" - 4 Week Avg ("&amp;Z1&amp;")"</f>
        <v>Average Premium Proportion Under 25 - 4 Week Avg (Overall)</v>
      </c>
      <c r="AB3" s="75" t="str">
        <f>"Average "&amp;Z2&amp;" ("&amp;AB1&amp;")"</f>
        <v>Average Premium Proportion Under 25 (PC Annual Direct)</v>
      </c>
      <c r="AC3" s="75" t="str">
        <f>"Average "&amp;Z2&amp;" - 4 Week Avg ("&amp;AB1&amp;")"</f>
        <v>Average Premium Proportion Under 25 - 4 Week Avg (PC Annual Direct)</v>
      </c>
      <c r="AD3" s="75" t="str">
        <f>"Average "&amp;Z2&amp;" (Boom Annual)"</f>
        <v>Average Premium Proportion Under 25 (Boom Annual)</v>
      </c>
      <c r="AE3" s="75" t="str">
        <f>"Average "&amp;Z2&amp;" - 4 Week Avg (Boom Annual)"</f>
        <v>Average Premium Proportion Under 25 - 4 Week Avg (Boom Annual)</v>
      </c>
      <c r="AF3" s="75" t="str">
        <f>"Average "&amp;Z2&amp;" ("&amp;AF1&amp;" Up Front)"</f>
        <v>Average Premium Proportion Under 25 (Boom Annual Up Front)</v>
      </c>
      <c r="AG3" s="75" t="str">
        <f>"Average "&amp;Z2&amp;" - 4 Week Avg ("&amp;AF1&amp;" Up Front)"</f>
        <v>Average Premium Proportion Under 25 - 4 Week Avg (Boom Annual Up Front)</v>
      </c>
      <c r="AH3" s="75" t="str">
        <f>"Average "&amp;Z2&amp;" (Boom Annual Premium Finance)"</f>
        <v>Average Premium Proportion Under 25 (Boom Annual Premium Finance)</v>
      </c>
      <c r="AI3" s="75" t="str">
        <f>"Average "&amp;Z2&amp;" - 4 Week Avg (Boom Annual Premium Finance)"</f>
        <v>Average Premium Proportion Under 25 - 4 Week Avg (Boom Annual Premium Finance)</v>
      </c>
      <c r="AJ3" s="75" t="str">
        <f>"Average "&amp;Z2&amp;" ("&amp;AJ1&amp;")"</f>
        <v>Average Premium Proportion Under 25 (Boom Subscription)</v>
      </c>
      <c r="AK3" s="75" t="str">
        <f>"Average "&amp;Z2&amp;" - 4 Week Avg ("&amp;AJ1&amp;")"</f>
        <v>Average Premium Proportion Under 25 - 4 Week Avg (Boom Subscription)</v>
      </c>
      <c r="AL3" s="75" t="str">
        <f t="shared" ref="AL3" si="0">"Average "&amp;AL2&amp;" ("&amp;AL1&amp;")"</f>
        <v>Average Mileage (Overall)</v>
      </c>
      <c r="AM3" s="75" t="str">
        <f>"Average "&amp;AL2&amp;" - 4 Week Avg ("&amp;AL1&amp;")"</f>
        <v>Average Mileage - 4 Week Avg (Overall)</v>
      </c>
      <c r="AN3" s="75" t="str">
        <f>"Average "&amp;AL2&amp;" ("&amp;AN1&amp;")"</f>
        <v>Average Mileage (PC Annual Direct)</v>
      </c>
      <c r="AO3" s="75" t="str">
        <f>"Average "&amp;AL2&amp;" - 4 Week Avg ("&amp;AN1&amp;")"</f>
        <v>Average Mileage - 4 Week Avg (PC Annual Direct)</v>
      </c>
      <c r="AP3" s="75" t="str">
        <f>"Average "&amp;AL2&amp;" (Boom Annual)"</f>
        <v>Average Mileage (Boom Annual)</v>
      </c>
      <c r="AQ3" s="75" t="str">
        <f>"Average "&amp;AL2&amp;" - 4 Week Avg (Boom Annual)"</f>
        <v>Average Mileage - 4 Week Avg (Boom Annual)</v>
      </c>
      <c r="AR3" s="75" t="str">
        <f>"Average "&amp;AL2&amp;" ("&amp;AR1&amp;" Up Front)"</f>
        <v>Average Mileage (Boom Annual Up Front)</v>
      </c>
      <c r="AS3" s="75" t="str">
        <f>"Average "&amp;AL2&amp;" - 4 Week Avg ("&amp;AR1&amp;" Up Front)"</f>
        <v>Average Mileage - 4 Week Avg (Boom Annual Up Front)</v>
      </c>
      <c r="AT3" s="75" t="str">
        <f>"Average "&amp;AL2&amp;" (Boom Annual Premium Finance)"</f>
        <v>Average Mileage (Boom Annual Premium Finance)</v>
      </c>
      <c r="AU3" s="75" t="str">
        <f>"Average "&amp;AL2&amp;" - 4 Week Avg (Boom Annual Premium Finance)"</f>
        <v>Average Mileage - 4 Week Avg (Boom Annual Premium Finance)</v>
      </c>
      <c r="AV3" s="75" t="str">
        <f>"Average "&amp;AL2&amp;" ("&amp;AV1&amp;")"</f>
        <v>Average Mileage (Boom Subscription)</v>
      </c>
      <c r="AW3" s="96" t="str">
        <f>"Average "&amp;AL2&amp;" - 4 Week Avg ("&amp;AV1&amp;")"</f>
        <v>Average Mileage - 4 Week Avg (Boom Subscription)</v>
      </c>
      <c r="AX3" s="75" t="str">
        <f t="shared" ref="AX3" si="1">"Average "&amp;AX2&amp;" ("&amp;AX1&amp;")"</f>
        <v>Average NCD (Overall)</v>
      </c>
      <c r="AY3" s="75" t="str">
        <f>"Average "&amp;AX2&amp;" - 4 Week Avg ("&amp;AX1&amp;")"</f>
        <v>Average NCD - 4 Week Avg (Overall)</v>
      </c>
      <c r="AZ3" s="75" t="str">
        <f t="shared" ref="AZ3" si="2">"Average "&amp;AZ2&amp;" ("&amp;AZ1&amp;")"</f>
        <v>Average NCD (PC Annual Direct)</v>
      </c>
      <c r="BA3" s="75" t="str">
        <f>"Average "&amp;AZ2&amp;" - 4 Week Avg ("&amp;AZ1&amp;")"</f>
        <v>Average NCD - 4 Week Avg (PC Annual Direct)</v>
      </c>
      <c r="BB3" s="75" t="str">
        <f>"Average "&amp;AX2&amp;" (Boom Annual)"</f>
        <v>Average NCD (Boom Annual)</v>
      </c>
      <c r="BC3" s="75" t="str">
        <f>"Average "&amp;AX2&amp;" - 4 Week Avg (Boom Annual)"</f>
        <v>Average NCD - 4 Week Avg (Boom Annual)</v>
      </c>
      <c r="BD3" s="75" t="str">
        <f>"Average "&amp;AX2&amp;" ("&amp;BD1&amp;" Up Front)"</f>
        <v>Average NCD (Boom Annual Up Front)</v>
      </c>
      <c r="BE3" s="75" t="str">
        <f>"Average "&amp;AX2&amp;" - 4 Week Avg ("&amp;BD1&amp;" Up Front)"</f>
        <v>Average NCD - 4 Week Avg (Boom Annual Up Front)</v>
      </c>
      <c r="BF3" s="75" t="str">
        <f>"Average "&amp;AX2&amp;" (Boom Annual Premium Finance)"</f>
        <v>Average NCD (Boom Annual Premium Finance)</v>
      </c>
      <c r="BG3" s="75" t="str">
        <f>"Average "&amp;AX2&amp;" - 4 Week Avg (Boom Annual Premium Finance)"</f>
        <v>Average NCD - 4 Week Avg (Boom Annual Premium Finance)</v>
      </c>
      <c r="BH3" s="75" t="str">
        <f>"Average "&amp;AX2&amp;" ("&amp;BH1&amp;")"</f>
        <v>Average NCD (Boom Subscription)</v>
      </c>
      <c r="BI3" s="96" t="str">
        <f>"Average "&amp;AX2&amp;" - 4 Week Avg ("&amp;BH1&amp;")"</f>
        <v>Average NCD - 4 Week Avg (Boom Subscription)</v>
      </c>
      <c r="BJ3" s="485" t="str">
        <f t="shared" ref="BJ3" si="3">"Average "&amp;BJ2&amp;" ("&amp;BJ1&amp;")"</f>
        <v>Average Monthly Payment (Overall)</v>
      </c>
      <c r="BK3" s="485" t="str">
        <f>"Average "&amp;BJ2&amp;" - 4 Week Avg ("&amp;BJ1&amp;")"</f>
        <v>Average Monthly Payment - 4 Week Avg (Overall)</v>
      </c>
      <c r="BL3" s="485" t="str">
        <f t="shared" ref="BL3" si="4">"Average "&amp;BJ2&amp;" ("&amp;BL1&amp;")"</f>
        <v>Average Monthly Payment (PC Annual Direct)</v>
      </c>
      <c r="BM3" s="485" t="str">
        <f>"Average "&amp;BJ2&amp;" - 4 Week Avg ("&amp;BL1&amp;")"</f>
        <v>Average Monthly Payment - 4 Week Avg (PC Annual Direct)</v>
      </c>
      <c r="BN3" s="484" t="str">
        <f>"Average "&amp;BJ2&amp;" (Boom Annual)"</f>
        <v>Average Monthly Payment (Boom Annual)</v>
      </c>
      <c r="BO3" s="484" t="str">
        <f>"Average "&amp;BJ2&amp;" - 4 Week Avg (Boom Annual)"</f>
        <v>Average Monthly Payment - 4 Week Avg (Boom Annual)</v>
      </c>
      <c r="BP3" s="484" t="str">
        <f>"Average "&amp;BJ2&amp;" ("&amp;BP1&amp;" Up Front)"</f>
        <v>Average Monthly Payment (Boom Annual Up Front)</v>
      </c>
      <c r="BQ3" s="484" t="str">
        <f>"Average "&amp;BJ2&amp;" - 4 Week Avg ("&amp;BP1&amp;" Up Front)"</f>
        <v>Average Monthly Payment - 4 Week Avg (Boom Annual Up Front)</v>
      </c>
      <c r="BR3" s="484" t="str">
        <f>"Average "&amp;BJ2&amp;" (Boom Annual Premium Finance)"</f>
        <v>Average Monthly Payment (Boom Annual Premium Finance)</v>
      </c>
      <c r="BS3" s="484" t="str">
        <f>"Average "&amp;BJ2&amp;" - 4 Week Avg (Boom Annual Premium Finance)"</f>
        <v>Average Monthly Payment - 4 Week Avg (Boom Annual Premium Finance)</v>
      </c>
      <c r="BT3" s="485" t="str">
        <f t="shared" ref="BT3" si="5">"Average "&amp;BJ2&amp;" ("&amp;BT1&amp;")"</f>
        <v>Average Monthly Payment (Boom Subscription)</v>
      </c>
      <c r="BU3" s="486" t="str">
        <f>"Average "&amp;BJ2&amp;" - 4 Week Avg ("&amp;BT1&amp;")"</f>
        <v>Average Monthly Payment - 4 Week Avg (Boom Subscription)</v>
      </c>
      <c r="BV3" s="75" t="str">
        <f t="shared" ref="BV3" si="6">"Average "&amp;BV2&amp;" ("&amp;BV1&amp;")"</f>
        <v>Average Vehicle Value (Overall)</v>
      </c>
      <c r="BW3" s="75" t="str">
        <f>"Average "&amp;BV2&amp;" - 4 Week Avg ("&amp;BV1&amp;")"</f>
        <v>Average Vehicle Value - 4 Week Avg (Overall)</v>
      </c>
      <c r="BX3" s="75" t="str">
        <f t="shared" ref="BX3" si="7">"Average "&amp;BV2&amp;" ("&amp;BX1&amp;")"</f>
        <v>Average Vehicle Value (PC Annual Direct)</v>
      </c>
      <c r="BY3" s="75" t="str">
        <f>"Average "&amp;BV2&amp;" - 4 Week Avg ("&amp;BX1&amp;")"</f>
        <v>Average Vehicle Value - 4 Week Avg (PC Annual Direct)</v>
      </c>
      <c r="BZ3" s="75" t="str">
        <f>"Average "&amp;BV2&amp;" (Boom Annual)"</f>
        <v>Average Vehicle Value (Boom Annual)</v>
      </c>
      <c r="CA3" s="75" t="str">
        <f>"Average "&amp;BV2&amp;" - 4 Week Avg (Boom Annual)"</f>
        <v>Average Vehicle Value - 4 Week Avg (Boom Annual)</v>
      </c>
      <c r="CB3" s="75" t="str">
        <f>"Average "&amp;BV2&amp;" ("&amp;CB1&amp;" Up Front)"</f>
        <v>Average Vehicle Value (Boom Annual Up Front)</v>
      </c>
      <c r="CC3" s="75" t="str">
        <f>"Average "&amp;BV2&amp;" - 4 Week Avg ("&amp;CB1&amp;" Up Front)"</f>
        <v>Average Vehicle Value - 4 Week Avg (Boom Annual Up Front)</v>
      </c>
      <c r="CD3" s="75" t="str">
        <f>"Average "&amp;BV2&amp;" (Boom Annual Premium Finance)"</f>
        <v>Average Vehicle Value (Boom Annual Premium Finance)</v>
      </c>
      <c r="CE3" s="75" t="str">
        <f>"Average "&amp;BV2&amp;" - 4 Week Avg (Boom Annual Premium Finance)"</f>
        <v>Average Vehicle Value - 4 Week Avg (Boom Annual Premium Finance)</v>
      </c>
      <c r="CF3" s="75" t="str">
        <f t="shared" ref="CF3" si="8">"Average "&amp;BV2&amp;" ("&amp;CF1&amp;")"</f>
        <v>Average Vehicle Value (Boom Subscription)</v>
      </c>
      <c r="CG3" s="96" t="str">
        <f>"Average "&amp;BV2&amp;" - 4 Week Avg ("&amp;CF1&amp;")"</f>
        <v>Average Vehicle Value - 4 Week Avg (Boom Subscription)</v>
      </c>
      <c r="CH3" s="75" t="str">
        <f t="shared" ref="CH3" si="9">"Average "&amp;CH2&amp;" ("&amp;CH1&amp;")"</f>
        <v>Average Proportion Over £25k (Overall)</v>
      </c>
      <c r="CI3" s="75" t="str">
        <f>"Average "&amp;CH2&amp;" - 4 Week Avg ("&amp;CH1&amp;")"</f>
        <v>Average Proportion Over £25k - 4 Week Avg (Overall)</v>
      </c>
      <c r="CJ3" s="75" t="str">
        <f t="shared" ref="CJ3" si="10">"Average "&amp;CH2&amp;" ("&amp;CJ1&amp;")"</f>
        <v>Average Proportion Over £25k (PC Annual Direct)</v>
      </c>
      <c r="CK3" s="75" t="str">
        <f>"Average "&amp;CH2&amp;" - 4 Week Avg ("&amp;CJ1&amp;")"</f>
        <v>Average Proportion Over £25k - 4 Week Avg (PC Annual Direct)</v>
      </c>
      <c r="CL3" s="75" t="str">
        <f>"Average "&amp;CH2&amp;" (Boom Annual)"</f>
        <v>Average Proportion Over £25k (Boom Annual)</v>
      </c>
      <c r="CM3" s="75" t="str">
        <f>"Average "&amp;CH2&amp;" - 4 Week Avg (Boom Annual)"</f>
        <v>Average Proportion Over £25k - 4 Week Avg (Boom Annual)</v>
      </c>
      <c r="CN3" s="75" t="str">
        <f>"Average "&amp;CH2&amp;" ("&amp;CN1&amp;" Up Front)"</f>
        <v>Average Proportion Over £25k (Boom Annual Up Front)</v>
      </c>
      <c r="CO3" s="75" t="str">
        <f>"Average "&amp;CH2&amp;" - 4 Week Avg ("&amp;CN1&amp;" Up Front)"</f>
        <v>Average Proportion Over £25k - 4 Week Avg (Boom Annual Up Front)</v>
      </c>
      <c r="CP3" s="75" t="str">
        <f>"Average "&amp;CH2&amp;" (Boom Annual Premium Finance)"</f>
        <v>Average Proportion Over £25k (Boom Annual Premium Finance)</v>
      </c>
      <c r="CQ3" s="75" t="str">
        <f>"Average "&amp;CH2&amp;" - 4 Week Avg (Boom Annual Premium Finance)"</f>
        <v>Average Proportion Over £25k - 4 Week Avg (Boom Annual Premium Finance)</v>
      </c>
      <c r="CR3" s="75" t="str">
        <f t="shared" ref="CR3" si="11">"Average "&amp;CH2&amp;" ("&amp;CR1&amp;")"</f>
        <v>Average Proportion Over £25k (Boom Subscription)</v>
      </c>
      <c r="CS3" s="96" t="str">
        <f>"Average "&amp;CH2&amp;" - 4 Week Avg ("&amp;CR1&amp;")"</f>
        <v>Average Proportion Over £25k - 4 Week Avg (Boom Subscription)</v>
      </c>
      <c r="CT3" s="75" t="str">
        <f t="shared" ref="CT3" si="12">"Average "&amp;CT2&amp;" ("&amp;CT1&amp;")"</f>
        <v>Average Area Rating (Overall)</v>
      </c>
      <c r="CU3" s="75" t="str">
        <f>"Average "&amp;CT2&amp;" - 4 Week Avg ("&amp;CT1&amp;")"</f>
        <v>Average Area Rating - 4 Week Avg (Overall)</v>
      </c>
      <c r="CV3" s="75" t="str">
        <f t="shared" ref="CV3" si="13">"Average "&amp;CT2&amp;" ("&amp;CV1&amp;")"</f>
        <v>Average Area Rating (PC Annual Direct)</v>
      </c>
      <c r="CW3" s="75" t="str">
        <f>"Average "&amp;CT2&amp;" - 4 Week Avg ("&amp;CV1&amp;")"</f>
        <v>Average Area Rating - 4 Week Avg (PC Annual Direct)</v>
      </c>
      <c r="CX3" s="75" t="str">
        <f>"Average "&amp;CT2&amp;" (Boom Annual)"</f>
        <v>Average Area Rating (Boom Annual)</v>
      </c>
      <c r="CY3" s="75" t="str">
        <f>"Average "&amp;CT2&amp;" - 4 Week Avg (Boom Annual)"</f>
        <v>Average Area Rating - 4 Week Avg (Boom Annual)</v>
      </c>
      <c r="CZ3" s="75" t="str">
        <f>"Average "&amp;CT2&amp;" ("&amp;CZ1&amp;" Up Front)"</f>
        <v>Average Area Rating (Boom Annual Up Front)</v>
      </c>
      <c r="DA3" s="75" t="str">
        <f>"Average "&amp;CT2&amp;" - 4 Week Avg ("&amp;CZ1&amp;" Up Front)"</f>
        <v>Average Area Rating - 4 Week Avg (Boom Annual Up Front)</v>
      </c>
      <c r="DB3" s="75" t="str">
        <f>"Average "&amp;CT2&amp;" (Boom Annual Premium Finance)"</f>
        <v>Average Area Rating (Boom Annual Premium Finance)</v>
      </c>
      <c r="DC3" s="75" t="str">
        <f>"Average "&amp;CT2&amp;" - 4 Week Avg (Boom Annual Premium Finance)"</f>
        <v>Average Area Rating - 4 Week Avg (Boom Annual Premium Finance)</v>
      </c>
      <c r="DD3" t="str">
        <f t="shared" ref="DD3" si="14">"Average "&amp;CT2&amp;" ("&amp;DD1&amp;")"</f>
        <v>Average Area Rating (Boom Subscription)</v>
      </c>
      <c r="DE3" s="98" t="str">
        <f>"Average "&amp;CT2&amp;" - 4 Week Avg ("&amp;DD1&amp;")"</f>
        <v>Average Area Rating - 4 Week Avg (Boom Subscription)</v>
      </c>
    </row>
    <row r="4" spans="1:109" x14ac:dyDescent="0.25">
      <c r="A4" s="80" t="s">
        <v>88</v>
      </c>
      <c r="B4" s="75" t="s">
        <v>265</v>
      </c>
      <c r="C4" s="75" t="s">
        <v>424</v>
      </c>
      <c r="D4" s="75" t="s">
        <v>266</v>
      </c>
      <c r="E4" s="75" t="s">
        <v>425</v>
      </c>
      <c r="F4" s="75" t="s">
        <v>390</v>
      </c>
      <c r="G4" s="75" t="s">
        <v>426</v>
      </c>
      <c r="H4" s="75" t="s">
        <v>388</v>
      </c>
      <c r="I4" s="75" t="s">
        <v>427</v>
      </c>
      <c r="J4" s="75" t="s">
        <v>389</v>
      </c>
      <c r="K4" s="75" t="s">
        <v>428</v>
      </c>
      <c r="L4" s="75" t="s">
        <v>391</v>
      </c>
      <c r="M4" s="96" t="s">
        <v>429</v>
      </c>
      <c r="N4" s="75" t="s">
        <v>267</v>
      </c>
      <c r="O4" s="75" t="s">
        <v>430</v>
      </c>
      <c r="P4" s="75" t="s">
        <v>268</v>
      </c>
      <c r="Q4" s="75" t="s">
        <v>431</v>
      </c>
      <c r="R4" s="75" t="s">
        <v>392</v>
      </c>
      <c r="S4" s="75" t="s">
        <v>432</v>
      </c>
      <c r="T4" s="75" t="s">
        <v>393</v>
      </c>
      <c r="U4" s="75" t="s">
        <v>433</v>
      </c>
      <c r="V4" s="75" t="s">
        <v>394</v>
      </c>
      <c r="W4" s="75" t="s">
        <v>434</v>
      </c>
      <c r="X4" s="75" t="s">
        <v>395</v>
      </c>
      <c r="Y4" s="96" t="s">
        <v>435</v>
      </c>
      <c r="Z4" s="75" t="s">
        <v>269</v>
      </c>
      <c r="AA4" s="75" t="s">
        <v>436</v>
      </c>
      <c r="AB4" s="75" t="s">
        <v>270</v>
      </c>
      <c r="AC4" s="75" t="s">
        <v>437</v>
      </c>
      <c r="AD4" s="75" t="s">
        <v>396</v>
      </c>
      <c r="AE4" s="75" t="s">
        <v>438</v>
      </c>
      <c r="AF4" s="75" t="s">
        <v>397</v>
      </c>
      <c r="AG4" s="75" t="s">
        <v>439</v>
      </c>
      <c r="AH4" s="75" t="s">
        <v>398</v>
      </c>
      <c r="AI4" s="75" t="s">
        <v>440</v>
      </c>
      <c r="AJ4" s="75" t="s">
        <v>399</v>
      </c>
      <c r="AK4" s="75" t="s">
        <v>441</v>
      </c>
      <c r="AL4" s="75" t="s">
        <v>271</v>
      </c>
      <c r="AM4" s="75" t="s">
        <v>442</v>
      </c>
      <c r="AN4" s="75" t="s">
        <v>272</v>
      </c>
      <c r="AO4" s="75" t="s">
        <v>443</v>
      </c>
      <c r="AP4" s="75" t="s">
        <v>400</v>
      </c>
      <c r="AQ4" s="75" t="s">
        <v>444</v>
      </c>
      <c r="AR4" s="75" t="s">
        <v>401</v>
      </c>
      <c r="AS4" s="75" t="s">
        <v>445</v>
      </c>
      <c r="AT4" s="75" t="s">
        <v>402</v>
      </c>
      <c r="AU4" s="75" t="s">
        <v>446</v>
      </c>
      <c r="AV4" s="75" t="s">
        <v>403</v>
      </c>
      <c r="AW4" s="96" t="s">
        <v>447</v>
      </c>
      <c r="AX4" s="75" t="s">
        <v>273</v>
      </c>
      <c r="AY4" s="75" t="s">
        <v>448</v>
      </c>
      <c r="AZ4" s="75" t="s">
        <v>282</v>
      </c>
      <c r="BA4" s="75" t="s">
        <v>449</v>
      </c>
      <c r="BB4" s="75" t="s">
        <v>404</v>
      </c>
      <c r="BC4" s="75" t="s">
        <v>450</v>
      </c>
      <c r="BD4" s="75" t="s">
        <v>405</v>
      </c>
      <c r="BE4" s="75" t="s">
        <v>451</v>
      </c>
      <c r="BF4" s="75" t="s">
        <v>406</v>
      </c>
      <c r="BG4" s="75" t="s">
        <v>452</v>
      </c>
      <c r="BH4" s="75" t="s">
        <v>407</v>
      </c>
      <c r="BI4" s="96" t="s">
        <v>453</v>
      </c>
      <c r="BJ4" s="485" t="s">
        <v>274</v>
      </c>
      <c r="BK4" s="485" t="s">
        <v>454</v>
      </c>
      <c r="BL4" s="485" t="s">
        <v>275</v>
      </c>
      <c r="BM4" s="485" t="s">
        <v>455</v>
      </c>
      <c r="BN4" s="484" t="s">
        <v>408</v>
      </c>
      <c r="BO4" s="484" t="s">
        <v>456</v>
      </c>
      <c r="BP4" s="484" t="s">
        <v>409</v>
      </c>
      <c r="BQ4" s="484" t="s">
        <v>457</v>
      </c>
      <c r="BR4" s="484" t="s">
        <v>410</v>
      </c>
      <c r="BS4" s="484" t="s">
        <v>458</v>
      </c>
      <c r="BT4" s="485" t="s">
        <v>411</v>
      </c>
      <c r="BU4" s="486" t="s">
        <v>459</v>
      </c>
      <c r="BV4" s="75" t="s">
        <v>276</v>
      </c>
      <c r="BW4" s="75" t="s">
        <v>460</v>
      </c>
      <c r="BX4" s="75" t="s">
        <v>277</v>
      </c>
      <c r="BY4" s="75" t="s">
        <v>461</v>
      </c>
      <c r="BZ4" s="75" t="s">
        <v>412</v>
      </c>
      <c r="CA4" s="75" t="s">
        <v>462</v>
      </c>
      <c r="CB4" s="75" t="s">
        <v>413</v>
      </c>
      <c r="CC4" s="75" t="s">
        <v>463</v>
      </c>
      <c r="CD4" s="75" t="s">
        <v>414</v>
      </c>
      <c r="CE4" s="75" t="s">
        <v>464</v>
      </c>
      <c r="CF4" s="75" t="s">
        <v>415</v>
      </c>
      <c r="CG4" s="96" t="s">
        <v>465</v>
      </c>
      <c r="CH4" s="75" t="s">
        <v>278</v>
      </c>
      <c r="CI4" s="75" t="s">
        <v>466</v>
      </c>
      <c r="CJ4" s="75" t="s">
        <v>279</v>
      </c>
      <c r="CK4" s="75" t="s">
        <v>467</v>
      </c>
      <c r="CL4" s="75" t="s">
        <v>416</v>
      </c>
      <c r="CM4" s="75" t="s">
        <v>468</v>
      </c>
      <c r="CN4" s="75" t="s">
        <v>417</v>
      </c>
      <c r="CO4" s="75" t="s">
        <v>469</v>
      </c>
      <c r="CP4" s="75" t="s">
        <v>418</v>
      </c>
      <c r="CQ4" s="75" t="s">
        <v>470</v>
      </c>
      <c r="CR4" s="75" t="s">
        <v>419</v>
      </c>
      <c r="CS4" s="96" t="s">
        <v>471</v>
      </c>
      <c r="CT4" s="75" t="s">
        <v>280</v>
      </c>
      <c r="CU4" s="75" t="s">
        <v>472</v>
      </c>
      <c r="CV4" s="75" t="s">
        <v>281</v>
      </c>
      <c r="CW4" s="75" t="s">
        <v>473</v>
      </c>
      <c r="CX4" s="75" t="s">
        <v>420</v>
      </c>
      <c r="CY4" s="75" t="s">
        <v>474</v>
      </c>
      <c r="CZ4" s="75" t="s">
        <v>421</v>
      </c>
      <c r="DA4" s="75" t="s">
        <v>475</v>
      </c>
      <c r="DB4" s="75" t="s">
        <v>422</v>
      </c>
      <c r="DC4" s="75" t="s">
        <v>476</v>
      </c>
      <c r="DD4" t="s">
        <v>423</v>
      </c>
      <c r="DE4" s="98" t="s">
        <v>477</v>
      </c>
    </row>
    <row r="5" spans="1:109" x14ac:dyDescent="0.25">
      <c r="A5" s="155">
        <v>45156</v>
      </c>
      <c r="B5" s="74">
        <v>37.206238496421136</v>
      </c>
      <c r="C5" s="81"/>
      <c r="D5" s="74">
        <v>41.641968019872124</v>
      </c>
      <c r="E5" s="81"/>
      <c r="F5" s="74">
        <v>43.642276422764226</v>
      </c>
      <c r="G5" s="81"/>
      <c r="H5" s="74">
        <v>43.642276422764226</v>
      </c>
      <c r="I5" s="81"/>
      <c r="J5" s="74" t="e">
        <v>#DIV/0!</v>
      </c>
      <c r="K5" s="81"/>
      <c r="L5" s="74">
        <v>40.058963511369548</v>
      </c>
      <c r="M5" s="99"/>
      <c r="N5" s="156">
        <v>8.6351802499986141E-2</v>
      </c>
      <c r="O5" s="157"/>
      <c r="P5" s="156">
        <v>0.16472324723070797</v>
      </c>
      <c r="Q5" s="157"/>
      <c r="R5" s="491">
        <v>0.14634146341463414</v>
      </c>
      <c r="S5" s="483"/>
      <c r="T5" s="156">
        <v>0.14634146341463414</v>
      </c>
      <c r="U5" s="157"/>
      <c r="V5" s="156" t="e">
        <v>#DIV/0!</v>
      </c>
      <c r="W5" s="157"/>
      <c r="X5" s="156">
        <v>0.17927022739291365</v>
      </c>
      <c r="Y5" s="158"/>
      <c r="Z5" s="156">
        <v>0.1602042632931166</v>
      </c>
      <c r="AA5" s="157"/>
      <c r="AB5" s="156">
        <v>0.23922249630838541</v>
      </c>
      <c r="AC5" s="81"/>
      <c r="AD5" s="491">
        <v>0.22037978698530739</v>
      </c>
      <c r="AE5" s="483"/>
      <c r="AF5" s="156">
        <v>0.22037978698530739</v>
      </c>
      <c r="AG5" s="483"/>
      <c r="AH5" s="156" t="e">
        <v>#DIV/0!</v>
      </c>
      <c r="AI5" s="483"/>
      <c r="AJ5" s="156">
        <v>0.25638549380025838</v>
      </c>
      <c r="AK5" s="158"/>
      <c r="AL5" s="74">
        <v>7404.3278286428967</v>
      </c>
      <c r="AM5" s="81"/>
      <c r="AN5" s="74">
        <v>6797.7158918155437</v>
      </c>
      <c r="AO5" s="81"/>
      <c r="AP5" s="494">
        <v>7387.7601626016285</v>
      </c>
      <c r="AQ5" s="495"/>
      <c r="AR5" s="74">
        <v>7387.7601626016285</v>
      </c>
      <c r="AS5" s="81"/>
      <c r="AT5" s="74" t="e">
        <v>#DIV/0!</v>
      </c>
      <c r="AU5" s="81"/>
      <c r="AV5" s="74">
        <v>6330.7665256477958</v>
      </c>
      <c r="AW5" s="99"/>
      <c r="AX5" s="105">
        <v>3.680254023596329</v>
      </c>
      <c r="AY5" s="106"/>
      <c r="AZ5" s="105">
        <v>5.1498154981874187</v>
      </c>
      <c r="BA5" s="81"/>
      <c r="BB5" s="492">
        <v>5.4878048780487809</v>
      </c>
      <c r="BC5" s="493"/>
      <c r="BD5" s="105">
        <v>5.4878048780487809</v>
      </c>
      <c r="BE5" s="106"/>
      <c r="BF5" s="105" t="e">
        <v>#DIV/0!</v>
      </c>
      <c r="BG5" s="106"/>
      <c r="BH5" s="105">
        <v>4.88233738762559</v>
      </c>
      <c r="BI5" s="107"/>
      <c r="BJ5" s="487">
        <v>0.10144222668198262</v>
      </c>
      <c r="BK5" s="488"/>
      <c r="BL5" s="487">
        <v>0</v>
      </c>
      <c r="BM5" s="489"/>
      <c r="BN5" s="487"/>
      <c r="BO5" s="489"/>
      <c r="BP5" s="487">
        <v>0</v>
      </c>
      <c r="BQ5" s="489"/>
      <c r="BR5" s="487"/>
      <c r="BS5" s="489"/>
      <c r="BT5" s="487">
        <v>0</v>
      </c>
      <c r="BU5" s="490"/>
      <c r="BV5" s="74">
        <v>6786.2484908572169</v>
      </c>
      <c r="BW5" s="81"/>
      <c r="BX5" s="74">
        <v>9741.528880710659</v>
      </c>
      <c r="BY5" s="81"/>
      <c r="BZ5" s="494">
        <v>9969.3455284552856</v>
      </c>
      <c r="CA5" s="495"/>
      <c r="CB5" s="74">
        <v>9969.3455284552856</v>
      </c>
      <c r="CC5" s="81"/>
      <c r="CD5" s="74" t="e">
        <v>#DIV/0!</v>
      </c>
      <c r="CE5" s="81"/>
      <c r="CF5" s="74">
        <v>9561.2392913801996</v>
      </c>
      <c r="CG5" s="99"/>
      <c r="CH5" s="156">
        <v>3.5621335835871855E-2</v>
      </c>
      <c r="CI5" s="157"/>
      <c r="CJ5" s="156">
        <v>9.9827798278545377E-2</v>
      </c>
      <c r="CK5" s="81"/>
      <c r="CL5" s="491">
        <v>0.10569105691056911</v>
      </c>
      <c r="CM5" s="483"/>
      <c r="CN5" s="156">
        <v>0.10569105691056911</v>
      </c>
      <c r="CO5" s="483"/>
      <c r="CP5" s="156" t="e">
        <v>#DIV/0!</v>
      </c>
      <c r="CQ5" s="483"/>
      <c r="CR5" s="156">
        <v>9.518773135906905E-2</v>
      </c>
      <c r="CS5" s="158"/>
      <c r="CT5" s="105">
        <v>44.207045601268042</v>
      </c>
      <c r="CU5" s="106"/>
      <c r="CV5" s="105">
        <v>47.713776138284672</v>
      </c>
      <c r="CW5" s="81"/>
      <c r="CX5" s="492">
        <v>53.166666666666671</v>
      </c>
      <c r="CY5" s="493"/>
      <c r="CZ5" s="105">
        <v>53.166666666666671</v>
      </c>
      <c r="DA5" s="106"/>
      <c r="DB5" s="105" t="e">
        <v>#DIV/0!</v>
      </c>
      <c r="DC5" s="106"/>
      <c r="DD5" s="105">
        <v>43.398466419883555</v>
      </c>
      <c r="DE5" s="107"/>
    </row>
    <row r="6" spans="1:109" x14ac:dyDescent="0.25">
      <c r="A6" s="155">
        <f>A5+7</f>
        <v>45163</v>
      </c>
      <c r="B6" s="74">
        <v>37.912172417510149</v>
      </c>
      <c r="C6" s="81"/>
      <c r="D6" s="74">
        <v>40.701229804810779</v>
      </c>
      <c r="E6" s="81"/>
      <c r="F6" s="74">
        <v>42.159663865546214</v>
      </c>
      <c r="G6" s="81"/>
      <c r="H6" s="74">
        <v>42.159663865546214</v>
      </c>
      <c r="I6" s="81"/>
      <c r="J6" s="74" t="e">
        <v>#DIV/0!</v>
      </c>
      <c r="K6" s="81"/>
      <c r="L6" s="74">
        <v>39.649651394422214</v>
      </c>
      <c r="M6" s="99"/>
      <c r="N6" s="156">
        <v>7.30579643544325E-2</v>
      </c>
      <c r="O6" s="157"/>
      <c r="P6" s="156">
        <v>0.14950566674338123</v>
      </c>
      <c r="Q6" s="157"/>
      <c r="R6" s="491">
        <v>0.1092436974789916</v>
      </c>
      <c r="S6" s="483"/>
      <c r="T6" s="156">
        <v>0.1092436974789916</v>
      </c>
      <c r="U6" s="157"/>
      <c r="V6" s="156" t="e">
        <v>#DIV/0!</v>
      </c>
      <c r="W6" s="157"/>
      <c r="X6" s="156">
        <v>0.17853585657370502</v>
      </c>
      <c r="Y6" s="158"/>
      <c r="Z6" s="156">
        <v>0.1452991689702702</v>
      </c>
      <c r="AA6" s="157"/>
      <c r="AB6" s="156">
        <v>0.22878880167555149</v>
      </c>
      <c r="AC6" s="81"/>
      <c r="AD6" s="491">
        <v>0.19892729121669314</v>
      </c>
      <c r="AE6" s="483"/>
      <c r="AF6" s="156">
        <v>0.19892729121669314</v>
      </c>
      <c r="AG6" s="483"/>
      <c r="AH6" s="156" t="e">
        <v>#DIV/0!</v>
      </c>
      <c r="AI6" s="483"/>
      <c r="AJ6" s="156">
        <v>0.25162540908536346</v>
      </c>
      <c r="AK6" s="158"/>
      <c r="AL6" s="74">
        <v>7683.8440203823138</v>
      </c>
      <c r="AM6" s="81"/>
      <c r="AN6" s="74">
        <v>7039.9637570166342</v>
      </c>
      <c r="AO6" s="81"/>
      <c r="AP6" s="494">
        <v>7961.8949579831951</v>
      </c>
      <c r="AQ6" s="495"/>
      <c r="AR6" s="74">
        <v>7961.8949579831951</v>
      </c>
      <c r="AS6" s="81"/>
      <c r="AT6" s="74" t="e">
        <v>#DIV/0!</v>
      </c>
      <c r="AU6" s="81"/>
      <c r="AV6" s="74">
        <v>6375.2213645418269</v>
      </c>
      <c r="AW6" s="99"/>
      <c r="AX6" s="105">
        <v>3.7198986993537768</v>
      </c>
      <c r="AY6" s="106"/>
      <c r="AZ6" s="105">
        <v>4.4876054979522122</v>
      </c>
      <c r="BA6" s="81"/>
      <c r="BB6" s="492">
        <v>4.5084033613445387</v>
      </c>
      <c r="BC6" s="493"/>
      <c r="BD6" s="105">
        <v>4.5084033613445387</v>
      </c>
      <c r="BE6" s="106"/>
      <c r="BF6" s="105" t="e">
        <v>#DIV/0!</v>
      </c>
      <c r="BG6" s="106"/>
      <c r="BH6" s="105">
        <v>4.4726095617529769</v>
      </c>
      <c r="BI6" s="107"/>
      <c r="BJ6" s="487">
        <v>6.2321096727686751E-2</v>
      </c>
      <c r="BK6" s="488"/>
      <c r="BL6" s="487">
        <v>0</v>
      </c>
      <c r="BM6" s="489"/>
      <c r="BN6" s="487"/>
      <c r="BO6" s="489"/>
      <c r="BP6" s="487">
        <v>0</v>
      </c>
      <c r="BQ6" s="489"/>
      <c r="BR6" s="487"/>
      <c r="BS6" s="489"/>
      <c r="BT6" s="487">
        <v>0</v>
      </c>
      <c r="BU6" s="490"/>
      <c r="BV6" s="74">
        <v>7071.7462404958751</v>
      </c>
      <c r="BW6" s="81"/>
      <c r="BX6" s="74">
        <v>9479.5138413149234</v>
      </c>
      <c r="BY6" s="81"/>
      <c r="BZ6" s="494">
        <v>9302.1638655462193</v>
      </c>
      <c r="CA6" s="495"/>
      <c r="CB6" s="74">
        <v>9302.1638655462193</v>
      </c>
      <c r="CC6" s="81"/>
      <c r="CD6" s="74" t="e">
        <v>#DIV/0!</v>
      </c>
      <c r="CE6" s="81"/>
      <c r="CF6" s="74">
        <v>9607.3889442230829</v>
      </c>
      <c r="CG6" s="99"/>
      <c r="CH6" s="156">
        <v>3.4651845153022554E-2</v>
      </c>
      <c r="CI6" s="157"/>
      <c r="CJ6" s="156">
        <v>9.4068000963256765E-2</v>
      </c>
      <c r="CK6" s="81"/>
      <c r="CL6" s="491">
        <v>7.9831932773109238E-2</v>
      </c>
      <c r="CM6" s="483"/>
      <c r="CN6" s="156">
        <v>7.9831932773109238E-2</v>
      </c>
      <c r="CO6" s="483"/>
      <c r="CP6" s="156" t="e">
        <v>#DIV/0!</v>
      </c>
      <c r="CQ6" s="483"/>
      <c r="CR6" s="156">
        <v>0.1043326693227089</v>
      </c>
      <c r="CS6" s="158"/>
      <c r="CT6" s="105">
        <v>43.361750274024914</v>
      </c>
      <c r="CU6" s="106"/>
      <c r="CV6" s="105">
        <v>46.817964794290447</v>
      </c>
      <c r="CW6" s="81"/>
      <c r="CX6" s="492">
        <v>51.911764705882348</v>
      </c>
      <c r="CY6" s="493"/>
      <c r="CZ6" s="105">
        <v>51.911764705882348</v>
      </c>
      <c r="DA6" s="106"/>
      <c r="DB6" s="105" t="e">
        <v>#DIV/0!</v>
      </c>
      <c r="DC6" s="106"/>
      <c r="DD6" s="105">
        <v>43.145169322709059</v>
      </c>
      <c r="DE6" s="107"/>
    </row>
    <row r="7" spans="1:109" x14ac:dyDescent="0.25">
      <c r="A7" s="155">
        <f t="shared" ref="A7:A70" si="15">A6+7</f>
        <v>45170</v>
      </c>
      <c r="B7" s="74">
        <v>37.851725973310124</v>
      </c>
      <c r="C7" s="81"/>
      <c r="D7" s="74">
        <v>41.916966732866534</v>
      </c>
      <c r="E7" s="81"/>
      <c r="F7" s="74">
        <v>44.789256198347104</v>
      </c>
      <c r="G7" s="81"/>
      <c r="H7" s="74">
        <v>44.789256198347104</v>
      </c>
      <c r="I7" s="81"/>
      <c r="J7" s="74" t="e">
        <v>#DIV/0!</v>
      </c>
      <c r="K7" s="81"/>
      <c r="L7" s="74">
        <v>39.968848141467689</v>
      </c>
      <c r="M7" s="99"/>
      <c r="N7" s="156">
        <v>7.8556886167447992E-2</v>
      </c>
      <c r="O7" s="157"/>
      <c r="P7" s="156">
        <v>0.13649153790657234</v>
      </c>
      <c r="Q7" s="157"/>
      <c r="R7" s="491">
        <v>9.5041322314049576E-2</v>
      </c>
      <c r="S7" s="483"/>
      <c r="T7" s="156">
        <v>9.5041322314049576E-2</v>
      </c>
      <c r="U7" s="157"/>
      <c r="V7" s="156" t="e">
        <v>#DIV/0!</v>
      </c>
      <c r="W7" s="157"/>
      <c r="X7" s="156">
        <v>0.16460497723215006</v>
      </c>
      <c r="Y7" s="158"/>
      <c r="Z7" s="156">
        <v>0.15847669901354147</v>
      </c>
      <c r="AA7" s="157"/>
      <c r="AB7" s="156">
        <v>0.2131796095742968</v>
      </c>
      <c r="AC7" s="81"/>
      <c r="AD7" s="491">
        <v>0.17775413165024484</v>
      </c>
      <c r="AE7" s="483"/>
      <c r="AF7" s="156">
        <v>0.17775413165024484</v>
      </c>
      <c r="AG7" s="483"/>
      <c r="AH7" s="156" t="e">
        <v>#DIV/0!</v>
      </c>
      <c r="AI7" s="483"/>
      <c r="AJ7" s="156">
        <v>0.24071376232487868</v>
      </c>
      <c r="AK7" s="158"/>
      <c r="AL7" s="74">
        <v>7566.1406530255372</v>
      </c>
      <c r="AM7" s="81"/>
      <c r="AN7" s="74">
        <v>6808.9930729516482</v>
      </c>
      <c r="AO7" s="81"/>
      <c r="AP7" s="494">
        <v>7280.9462809917368</v>
      </c>
      <c r="AQ7" s="495"/>
      <c r="AR7" s="74">
        <v>7280.9462809917368</v>
      </c>
      <c r="AS7" s="81"/>
      <c r="AT7" s="74" t="e">
        <v>#DIV/0!</v>
      </c>
      <c r="AU7" s="81"/>
      <c r="AV7" s="74">
        <v>6488.8927383917389</v>
      </c>
      <c r="AW7" s="99"/>
      <c r="AX7" s="105">
        <v>4.1307137219341676</v>
      </c>
      <c r="AY7" s="106"/>
      <c r="AZ7" s="105">
        <v>5.0626501283667951</v>
      </c>
      <c r="BA7" s="81"/>
      <c r="BB7" s="492">
        <v>5.830578512396694</v>
      </c>
      <c r="BC7" s="493"/>
      <c r="BD7" s="105">
        <v>5.830578512396694</v>
      </c>
      <c r="BE7" s="106"/>
      <c r="BF7" s="105" t="e">
        <v>#DIV/0!</v>
      </c>
      <c r="BG7" s="106"/>
      <c r="BH7" s="105">
        <v>4.5418058402925006</v>
      </c>
      <c r="BI7" s="107"/>
      <c r="BJ7" s="487">
        <v>5.1616505776865107E-2</v>
      </c>
      <c r="BK7" s="488"/>
      <c r="BL7" s="487">
        <v>0</v>
      </c>
      <c r="BM7" s="489"/>
      <c r="BN7" s="487"/>
      <c r="BO7" s="489"/>
      <c r="BP7" s="487">
        <v>0</v>
      </c>
      <c r="BQ7" s="489"/>
      <c r="BR7" s="487"/>
      <c r="BS7" s="489"/>
      <c r="BT7" s="487">
        <v>0</v>
      </c>
      <c r="BU7" s="490"/>
      <c r="BV7" s="74">
        <v>7550.5746709186042</v>
      </c>
      <c r="BW7" s="81"/>
      <c r="BX7" s="74">
        <v>9752.2460022479208</v>
      </c>
      <c r="BY7" s="81"/>
      <c r="BZ7" s="494">
        <v>9931.5330578512403</v>
      </c>
      <c r="CA7" s="495"/>
      <c r="CB7" s="74">
        <v>9931.5330578512403</v>
      </c>
      <c r="CC7" s="81"/>
      <c r="CD7" s="74" t="e">
        <v>#DIV/0!</v>
      </c>
      <c r="CE7" s="81"/>
      <c r="CF7" s="74">
        <v>9630.6452895009734</v>
      </c>
      <c r="CG7" s="99"/>
      <c r="CH7" s="156">
        <v>4.0659597240005882E-2</v>
      </c>
      <c r="CI7" s="157"/>
      <c r="CJ7" s="156">
        <v>0.1074701573453939</v>
      </c>
      <c r="CK7" s="81"/>
      <c r="CL7" s="491">
        <v>0.11983471074380163</v>
      </c>
      <c r="CM7" s="483"/>
      <c r="CN7" s="156">
        <v>0.11983471074380163</v>
      </c>
      <c r="CO7" s="483"/>
      <c r="CP7" s="156" t="e">
        <v>#DIV/0!</v>
      </c>
      <c r="CQ7" s="483"/>
      <c r="CR7" s="156">
        <v>9.9083949534771371E-2</v>
      </c>
      <c r="CS7" s="158"/>
      <c r="CT7" s="105">
        <v>42.866672879374342</v>
      </c>
      <c r="CU7" s="106"/>
      <c r="CV7" s="105">
        <v>45.615955125327908</v>
      </c>
      <c r="CW7" s="81"/>
      <c r="CX7" s="492">
        <v>50.103305785123965</v>
      </c>
      <c r="CY7" s="493"/>
      <c r="CZ7" s="105">
        <v>50.103305785123965</v>
      </c>
      <c r="DA7" s="106"/>
      <c r="DB7" s="105" t="e">
        <v>#DIV/0!</v>
      </c>
      <c r="DC7" s="106"/>
      <c r="DD7" s="105">
        <v>42.572427879367694</v>
      </c>
      <c r="DE7" s="107"/>
    </row>
    <row r="8" spans="1:109" x14ac:dyDescent="0.25">
      <c r="A8" s="155">
        <f t="shared" si="15"/>
        <v>45177</v>
      </c>
      <c r="B8" s="74">
        <v>37.631925674455665</v>
      </c>
      <c r="C8" s="81"/>
      <c r="D8" s="74">
        <v>41.722334878045309</v>
      </c>
      <c r="E8" s="81">
        <f>AVERAGE(D5:D8)</f>
        <v>41.495624858898687</v>
      </c>
      <c r="F8" s="74">
        <v>44.516431924882625</v>
      </c>
      <c r="G8" s="81">
        <f>AVERAGE(F5:F8)</f>
        <v>43.776907102885048</v>
      </c>
      <c r="H8" s="74">
        <v>44.516431924882625</v>
      </c>
      <c r="I8" s="81">
        <f>AVERAGE(H5:H8)</f>
        <v>43.776907102885048</v>
      </c>
      <c r="J8" s="74" t="e">
        <v>#DIV/0!</v>
      </c>
      <c r="K8" s="81" t="e">
        <f>AVERAGE(J5:J8)</f>
        <v>#DIV/0!</v>
      </c>
      <c r="L8" s="74">
        <v>39.723245262876965</v>
      </c>
      <c r="M8" s="99">
        <f>AVERAGE(L5:L8)</f>
        <v>39.850177077534106</v>
      </c>
      <c r="N8" s="156">
        <v>8.1264724313365372E-2</v>
      </c>
      <c r="O8" s="157"/>
      <c r="P8" s="156">
        <v>0.15011158319864881</v>
      </c>
      <c r="Q8" s="157">
        <f>AVERAGE(P5:P8)</f>
        <v>0.15020800876982759</v>
      </c>
      <c r="R8" s="491">
        <v>0.10328638497652581</v>
      </c>
      <c r="S8" s="483">
        <f>AVERAGE(R5:R8)</f>
        <v>0.11347821704605028</v>
      </c>
      <c r="T8" s="156">
        <v>0.10328638497652581</v>
      </c>
      <c r="U8" s="157">
        <f>AVERAGE(T5:T8)</f>
        <v>0.11347821704605028</v>
      </c>
      <c r="V8" s="156" t="e">
        <v>#DIV/0!</v>
      </c>
      <c r="W8" s="157" t="e">
        <f>AVERAGE(V5:V8)</f>
        <v>#DIV/0!</v>
      </c>
      <c r="X8" s="156">
        <v>0.18361355751267691</v>
      </c>
      <c r="Y8" s="158">
        <f>AVERAGE(X5:X8)</f>
        <v>0.1765061546778614</v>
      </c>
      <c r="Z8" s="156">
        <v>0.17588792603320194</v>
      </c>
      <c r="AA8" s="157"/>
      <c r="AB8" s="156">
        <v>0.22626496518093828</v>
      </c>
      <c r="AC8" s="81">
        <f>AVERAGE(AB5:AB8)</f>
        <v>0.22686396818479301</v>
      </c>
      <c r="AD8" s="491">
        <v>0.18165247122949307</v>
      </c>
      <c r="AE8" s="483">
        <f>AVERAGE(AD5:AD8)</f>
        <v>0.19467842027043464</v>
      </c>
      <c r="AF8" s="156">
        <v>0.18165247122949307</v>
      </c>
      <c r="AG8" s="483">
        <f>AVERAGE(AF5:AF8)</f>
        <v>0.19467842027043464</v>
      </c>
      <c r="AH8" s="156" t="e">
        <v>#DIV/0!</v>
      </c>
      <c r="AI8" s="483" t="e">
        <f>AVERAGE(AH5:AH8)</f>
        <v>#DIV/0!</v>
      </c>
      <c r="AJ8" s="156">
        <v>0.26085316444748641</v>
      </c>
      <c r="AK8" s="158">
        <f>AVERAGE(AJ5:AJ8)</f>
        <v>0.25239445741449673</v>
      </c>
      <c r="AL8" s="74">
        <v>7606.523693408787</v>
      </c>
      <c r="AM8" s="81"/>
      <c r="AN8" s="74">
        <v>7008.0699754716261</v>
      </c>
      <c r="AO8" s="81">
        <f>AVERAGE(AN5:AN8)</f>
        <v>6913.6856743138633</v>
      </c>
      <c r="AP8" s="494">
        <v>7651.6525821596215</v>
      </c>
      <c r="AQ8" s="495">
        <f>AVERAGE(AP5:AP8)</f>
        <v>7570.5634959340459</v>
      </c>
      <c r="AR8" s="74">
        <v>7651.6525821596215</v>
      </c>
      <c r="AS8" s="81">
        <f>AVERAGE(AR5:AR8)</f>
        <v>7570.5634959340459</v>
      </c>
      <c r="AT8" s="74" t="e">
        <v>#DIV/0!</v>
      </c>
      <c r="AU8" s="81" t="e">
        <f>AVERAGE(AT5:AT8)</f>
        <v>#DIV/0!</v>
      </c>
      <c r="AV8" s="74">
        <v>6547.6066186282205</v>
      </c>
      <c r="AW8" s="99"/>
      <c r="AX8" s="105">
        <v>4.0660596474542876</v>
      </c>
      <c r="AY8" s="106"/>
      <c r="AZ8" s="105">
        <v>5.1512649671323629</v>
      </c>
      <c r="BA8" s="81">
        <f>AVERAGE(AZ5:AZ8)</f>
        <v>4.9628340229096972</v>
      </c>
      <c r="BB8" s="492">
        <v>5.5070422535211261</v>
      </c>
      <c r="BC8" s="493">
        <f>AVERAGE(BB5:BB8)</f>
        <v>5.3334572513277845</v>
      </c>
      <c r="BD8" s="105">
        <v>5.5070422535211261</v>
      </c>
      <c r="BE8" s="106">
        <f>AVERAGE(BD5:BD8)</f>
        <v>5.3334572513277845</v>
      </c>
      <c r="BF8" s="105" t="e">
        <v>#DIV/0!</v>
      </c>
      <c r="BG8" s="106" t="e">
        <f>AVERAGE(BF5:BF8)</f>
        <v>#DIV/0!</v>
      </c>
      <c r="BH8" s="105">
        <v>4.8967173738991203</v>
      </c>
      <c r="BI8" s="107"/>
      <c r="BJ8" s="487">
        <v>5.1376480961812528E-2</v>
      </c>
      <c r="BK8" s="488"/>
      <c r="BL8" s="487">
        <v>0</v>
      </c>
      <c r="BM8" s="489">
        <f>AVERAGE(BL5:BL8)</f>
        <v>0</v>
      </c>
      <c r="BN8" s="487"/>
      <c r="BO8" s="489" t="e">
        <f>AVERAGE(BN5:BN8)</f>
        <v>#DIV/0!</v>
      </c>
      <c r="BP8" s="487">
        <v>0</v>
      </c>
      <c r="BQ8" s="489">
        <f>AVERAGE(BP5:BP8)</f>
        <v>0</v>
      </c>
      <c r="BR8" s="487"/>
      <c r="BS8" s="489" t="e">
        <f>AVERAGE(BR5:BR8)</f>
        <v>#DIV/0!</v>
      </c>
      <c r="BT8" s="487">
        <v>0</v>
      </c>
      <c r="BU8" s="490"/>
      <c r="BV8" s="74">
        <v>7416.9593129108935</v>
      </c>
      <c r="BW8" s="81"/>
      <c r="BX8" s="74">
        <v>10217.097549369011</v>
      </c>
      <c r="BY8" s="81">
        <f>AVERAGE(BX5:BX8)</f>
        <v>9797.5965684106286</v>
      </c>
      <c r="BZ8" s="494">
        <v>11119.323943661968</v>
      </c>
      <c r="CA8" s="495">
        <f>AVERAGE(BZ5:BZ8)</f>
        <v>10080.591598878678</v>
      </c>
      <c r="CB8" s="74">
        <v>11119.323943661968</v>
      </c>
      <c r="CC8" s="81">
        <f>AVERAGE(CB5:CB8)</f>
        <v>10080.591598878678</v>
      </c>
      <c r="CD8" s="74" t="e">
        <v>#DIV/0!</v>
      </c>
      <c r="CE8" s="81" t="e">
        <f>AVERAGE(CD5:CD8)</f>
        <v>#DIV/0!</v>
      </c>
      <c r="CF8" s="74">
        <v>9571.5825994128609</v>
      </c>
      <c r="CG8" s="99"/>
      <c r="CH8" s="156">
        <v>3.7930589759468711E-2</v>
      </c>
      <c r="CI8" s="157"/>
      <c r="CJ8" s="156">
        <v>0.10604695077348539</v>
      </c>
      <c r="CK8" s="81">
        <f>AVERAGE(CJ5:CJ8)</f>
        <v>0.10185322684017037</v>
      </c>
      <c r="CL8" s="491">
        <v>0.11737089201877933</v>
      </c>
      <c r="CM8" s="483">
        <f>AVERAGE(CL5:CL8)</f>
        <v>0.10568214811156483</v>
      </c>
      <c r="CN8" s="156">
        <v>0.11737089201877933</v>
      </c>
      <c r="CO8" s="483">
        <f>AVERAGE(CN5:CN8)</f>
        <v>0.10568214811156483</v>
      </c>
      <c r="CP8" s="156" t="e">
        <v>#DIV/0!</v>
      </c>
      <c r="CQ8" s="483" t="e">
        <f>AVERAGE(CP5:CP8)</f>
        <v>#DIV/0!</v>
      </c>
      <c r="CR8" s="156">
        <v>9.7945022684814517E-2</v>
      </c>
      <c r="CS8" s="158"/>
      <c r="CT8" s="105">
        <v>43.95146962003583</v>
      </c>
      <c r="CU8" s="106"/>
      <c r="CV8" s="105">
        <v>47.617940216685831</v>
      </c>
      <c r="CW8" s="81">
        <f>AVERAGE(CV5:CV8)</f>
        <v>46.941409068647218</v>
      </c>
      <c r="CX8" s="492">
        <v>52.230046948356808</v>
      </c>
      <c r="CY8" s="493">
        <f>AVERAGE(CX5:CX8)</f>
        <v>51.852946026507446</v>
      </c>
      <c r="CZ8" s="105">
        <v>52.230046948356808</v>
      </c>
      <c r="DA8" s="106">
        <f>AVERAGE(CZ5:CZ8)</f>
        <v>51.852946026507446</v>
      </c>
      <c r="DB8" s="105" t="e">
        <v>#DIV/0!</v>
      </c>
      <c r="DC8" s="106" t="e">
        <f>AVERAGE(DB5:DB8)</f>
        <v>#DIV/0!</v>
      </c>
      <c r="DD8" s="105">
        <v>44.318121163597546</v>
      </c>
      <c r="DE8" s="107"/>
    </row>
    <row r="9" spans="1:109" x14ac:dyDescent="0.25">
      <c r="A9" s="155">
        <f t="shared" si="15"/>
        <v>45184</v>
      </c>
      <c r="B9" s="74">
        <v>37.892107786842303</v>
      </c>
      <c r="C9" s="81"/>
      <c r="D9" s="74">
        <v>41.65477492039669</v>
      </c>
      <c r="E9" s="81">
        <f t="shared" ref="E9:G72" si="16">AVERAGE(D6:D9)</f>
        <v>41.498826584029828</v>
      </c>
      <c r="F9" s="74">
        <v>43.869369369369373</v>
      </c>
      <c r="G9" s="81">
        <f t="shared" si="16"/>
        <v>43.833680339536329</v>
      </c>
      <c r="H9" s="74">
        <v>43.869369369369373</v>
      </c>
      <c r="I9" s="81">
        <f t="shared" ref="I9" si="17">AVERAGE(H6:H9)</f>
        <v>43.833680339536329</v>
      </c>
      <c r="J9" s="74" t="e">
        <v>#DIV/0!</v>
      </c>
      <c r="K9" s="81" t="e">
        <f t="shared" ref="K9:K72" si="18">AVERAGE(J6:J9)</f>
        <v>#DIV/0!</v>
      </c>
      <c r="L9" s="74">
        <v>40.01168348380245</v>
      </c>
      <c r="M9" s="99">
        <f t="shared" ref="M9" si="19">AVERAGE(L6:L9)</f>
        <v>39.838357070642324</v>
      </c>
      <c r="N9" s="156">
        <v>7.9999846266585406E-2</v>
      </c>
      <c r="O9" s="157"/>
      <c r="P9" s="156">
        <v>0.16078299447199915</v>
      </c>
      <c r="Q9" s="157">
        <f t="shared" ref="Q9:Q72" si="20">AVERAGE(P6:P9)</f>
        <v>0.1492229455801504</v>
      </c>
      <c r="R9" s="491">
        <v>0.14414414414414414</v>
      </c>
      <c r="S9" s="483">
        <f t="shared" ref="S9:S72" si="21">AVERAGE(R6:R9)</f>
        <v>0.11292888722842778</v>
      </c>
      <c r="T9" s="156">
        <v>0.14414414414414414</v>
      </c>
      <c r="U9" s="157">
        <f t="shared" ref="U9:U72" si="22">AVERAGE(T6:T9)</f>
        <v>0.11292888722842778</v>
      </c>
      <c r="V9" s="156" t="e">
        <v>#DIV/0!</v>
      </c>
      <c r="W9" s="157" t="e">
        <f t="shared" ref="W9:W72" si="23">AVERAGE(V6:V9)</f>
        <v>#DIV/0!</v>
      </c>
      <c r="X9" s="156">
        <v>0.17312798725438142</v>
      </c>
      <c r="Y9" s="158">
        <f t="shared" ref="Y9:Y72" si="24">AVERAGE(X6:X9)</f>
        <v>0.17497059464322834</v>
      </c>
      <c r="Z9" s="156">
        <v>0.15431144300798974</v>
      </c>
      <c r="AA9" s="157"/>
      <c r="AB9" s="156">
        <v>0.22665882108685659</v>
      </c>
      <c r="AC9" s="81">
        <f t="shared" ref="AC9" si="25">AVERAGE(AB6:AB9)</f>
        <v>0.22372304937941079</v>
      </c>
      <c r="AD9" s="491">
        <v>0.20261539049620328</v>
      </c>
      <c r="AE9" s="483">
        <f t="shared" ref="AE9:AE72" si="26">AVERAGE(AD6:AD9)</f>
        <v>0.19023732114815858</v>
      </c>
      <c r="AF9" s="156">
        <v>0.20261539049620328</v>
      </c>
      <c r="AG9" s="483">
        <f t="shared" ref="AG9" si="27">AVERAGE(AF6:AF9)</f>
        <v>0.19023732114815858</v>
      </c>
      <c r="AH9" s="156" t="e">
        <v>#DIV/0!</v>
      </c>
      <c r="AI9" s="483" t="e">
        <f t="shared" ref="AI9:AI72" si="28">AVERAGE(AH6:AH9)</f>
        <v>#DIV/0!</v>
      </c>
      <c r="AJ9" s="156">
        <v>0.24631196675975489</v>
      </c>
      <c r="AK9" s="158">
        <f t="shared" ref="AK9:AK72" si="29">AVERAGE(AJ6:AJ9)</f>
        <v>0.24987607565437087</v>
      </c>
      <c r="AL9" s="74">
        <v>7405.931063567622</v>
      </c>
      <c r="AM9" s="81"/>
      <c r="AN9" s="74">
        <v>6837.7965401629017</v>
      </c>
      <c r="AO9" s="81">
        <f t="shared" ref="AO9" si="30">AVERAGE(AN6:AN9)</f>
        <v>6923.7058364007025</v>
      </c>
      <c r="AP9" s="494">
        <v>7503.7342342342308</v>
      </c>
      <c r="AQ9" s="495">
        <f t="shared" ref="AQ9:AQ72" si="31">AVERAGE(AP6:AP9)</f>
        <v>7599.5570138421963</v>
      </c>
      <c r="AR9" s="74">
        <v>7503.7342342342308</v>
      </c>
      <c r="AS9" s="81">
        <f t="shared" ref="AS9" si="32">AVERAGE(AR6:AR9)</f>
        <v>7599.5570138421963</v>
      </c>
      <c r="AT9" s="74" t="e">
        <v>#DIV/0!</v>
      </c>
      <c r="AU9" s="81" t="e">
        <f t="shared" ref="AU9:AU72" si="33">AVERAGE(AT6:AT9)</f>
        <v>#DIV/0!</v>
      </c>
      <c r="AV9" s="74">
        <v>6343.7121614444923</v>
      </c>
      <c r="AW9" s="99"/>
      <c r="AX9" s="105">
        <v>4.034500055694755</v>
      </c>
      <c r="AY9" s="106"/>
      <c r="AZ9" s="105">
        <v>4.8843537772404941</v>
      </c>
      <c r="BA9" s="81">
        <f t="shared" ref="BA9" si="34">AVERAGE(AZ6:AZ9)</f>
        <v>4.8964685926729663</v>
      </c>
      <c r="BB9" s="492">
        <v>5.0180180180180169</v>
      </c>
      <c r="BC9" s="493">
        <f t="shared" ref="BC9:BC72" si="35">AVERAGE(BB6:BB9)</f>
        <v>5.2160105363200939</v>
      </c>
      <c r="BD9" s="105">
        <v>5.0180180180180169</v>
      </c>
      <c r="BE9" s="106">
        <f t="shared" ref="BE9" si="36">AVERAGE(BD6:BD9)</f>
        <v>5.2160105363200939</v>
      </c>
      <c r="BF9" s="105" t="e">
        <v>#DIV/0!</v>
      </c>
      <c r="BG9" s="106" t="e">
        <f t="shared" ref="BG9:BG72" si="37">AVERAGE(BF6:BF9)</f>
        <v>#DIV/0!</v>
      </c>
      <c r="BH9" s="105">
        <v>4.7851832182687151</v>
      </c>
      <c r="BI9" s="107"/>
      <c r="BJ9" s="487">
        <v>6.7049834211614867E-2</v>
      </c>
      <c r="BK9" s="488"/>
      <c r="BL9" s="487">
        <v>0</v>
      </c>
      <c r="BM9" s="489">
        <f t="shared" ref="BM9" si="38">AVERAGE(BL6:BL9)</f>
        <v>0</v>
      </c>
      <c r="BN9" s="487"/>
      <c r="BO9" s="489" t="e">
        <f t="shared" ref="BO9" si="39">AVERAGE(BN6:BN9)</f>
        <v>#DIV/0!</v>
      </c>
      <c r="BP9" s="487">
        <v>0</v>
      </c>
      <c r="BQ9" s="489">
        <f t="shared" ref="BQ9" si="40">AVERAGE(BP6:BP9)</f>
        <v>0</v>
      </c>
      <c r="BR9" s="487"/>
      <c r="BS9" s="489" t="e">
        <f t="shared" ref="BS9" si="41">AVERAGE(BR6:BR9)</f>
        <v>#DIV/0!</v>
      </c>
      <c r="BT9" s="487">
        <v>0</v>
      </c>
      <c r="BU9" s="490"/>
      <c r="BV9" s="74">
        <v>7322.5326399274272</v>
      </c>
      <c r="BW9" s="81"/>
      <c r="BX9" s="74">
        <v>9761.0685539666156</v>
      </c>
      <c r="BY9" s="81">
        <f t="shared" ref="BY9" si="42">AVERAGE(BX6:BX9)</f>
        <v>9802.4814867246187</v>
      </c>
      <c r="BZ9" s="494">
        <v>10725.01351351351</v>
      </c>
      <c r="CA9" s="495">
        <f t="shared" ref="CA9:CA72" si="43">AVERAGE(BZ6:BZ9)</f>
        <v>10269.508595143234</v>
      </c>
      <c r="CB9" s="74">
        <v>10725.01351351351</v>
      </c>
      <c r="CC9" s="81">
        <f t="shared" ref="CC9" si="44">AVERAGE(CB6:CB9)</f>
        <v>10269.508595143234</v>
      </c>
      <c r="CD9" s="74" t="e">
        <v>#DIV/0!</v>
      </c>
      <c r="CE9" s="81" t="e">
        <f t="shared" ref="CE9:CE72" si="45">AVERAGE(CD6:CD9)</f>
        <v>#DIV/0!</v>
      </c>
      <c r="CF9" s="74">
        <v>9045.8813064259175</v>
      </c>
      <c r="CG9" s="99"/>
      <c r="CH9" s="156">
        <v>3.3967538644362416E-2</v>
      </c>
      <c r="CI9" s="157"/>
      <c r="CJ9" s="156">
        <v>9.8053026637480098E-2</v>
      </c>
      <c r="CK9" s="81">
        <f t="shared" ref="CK9" si="46">AVERAGE(CJ6:CJ9)</f>
        <v>0.10140953392990405</v>
      </c>
      <c r="CL9" s="491">
        <v>0.11711711711711711</v>
      </c>
      <c r="CM9" s="483">
        <f t="shared" ref="CM9:CM72" si="47">AVERAGE(CL6:CL9)</f>
        <v>0.10853866316320182</v>
      </c>
      <c r="CN9" s="156">
        <v>0.11711711711711711</v>
      </c>
      <c r="CO9" s="483">
        <f t="shared" ref="CO9" si="48">AVERAGE(CN6:CN9)</f>
        <v>0.10853866316320182</v>
      </c>
      <c r="CP9" s="156" t="e">
        <v>#DIV/0!</v>
      </c>
      <c r="CQ9" s="483" t="e">
        <f t="shared" ref="CQ9:CQ72" si="49">AVERAGE(CP6:CP9)</f>
        <v>#DIV/0!</v>
      </c>
      <c r="CR9" s="156">
        <v>8.3908656399362722E-2</v>
      </c>
      <c r="CS9" s="158"/>
      <c r="CT9" s="105">
        <v>44.381521720354542</v>
      </c>
      <c r="CU9" s="106"/>
      <c r="CV9" s="105">
        <v>47.972887449229496</v>
      </c>
      <c r="CW9" s="81">
        <f t="shared" ref="CW9" si="50">AVERAGE(CV6:CV9)</f>
        <v>47.006186896383419</v>
      </c>
      <c r="CX9" s="492">
        <v>53.441441441441441</v>
      </c>
      <c r="CY9" s="493">
        <f t="shared" ref="CY9:CY72" si="51">AVERAGE(CX6:CX9)</f>
        <v>51.921639720201142</v>
      </c>
      <c r="CZ9" s="105">
        <v>53.441441441441441</v>
      </c>
      <c r="DA9" s="106">
        <f t="shared" ref="DA9" si="52">AVERAGE(CZ6:CZ9)</f>
        <v>51.921639720201142</v>
      </c>
      <c r="DB9" s="105" t="e">
        <v>#DIV/0!</v>
      </c>
      <c r="DC9" s="106" t="e">
        <f t="shared" ref="DC9:DC72" si="53">AVERAGE(DB6:DB9)</f>
        <v>#DIV/0!</v>
      </c>
      <c r="DD9" s="105">
        <v>43.91556027615507</v>
      </c>
      <c r="DE9" s="107"/>
    </row>
    <row r="10" spans="1:109" x14ac:dyDescent="0.25">
      <c r="A10" s="155">
        <f t="shared" si="15"/>
        <v>45191</v>
      </c>
      <c r="B10" s="74">
        <v>38.188288023030381</v>
      </c>
      <c r="C10" s="81"/>
      <c r="D10" s="74">
        <v>41.855643220565433</v>
      </c>
      <c r="E10" s="81">
        <f t="shared" si="16"/>
        <v>41.78742993796849</v>
      </c>
      <c r="F10" s="74">
        <v>44.166666666666664</v>
      </c>
      <c r="G10" s="81">
        <f t="shared" si="16"/>
        <v>44.335431039816442</v>
      </c>
      <c r="H10" s="74">
        <v>44.166666666666664</v>
      </c>
      <c r="I10" s="81">
        <f t="shared" ref="I10" si="54">AVERAGE(H7:H10)</f>
        <v>44.335431039816442</v>
      </c>
      <c r="J10" s="74" t="e">
        <v>#DIV/0!</v>
      </c>
      <c r="K10" s="81" t="e">
        <f t="shared" si="18"/>
        <v>#DIV/0!</v>
      </c>
      <c r="L10" s="74">
        <v>40.193099897013383</v>
      </c>
      <c r="M10" s="99">
        <f t="shared" ref="M10" si="55">AVERAGE(L7:L10)</f>
        <v>39.974219196290122</v>
      </c>
      <c r="N10" s="156">
        <v>6.9909459582362124E-2</v>
      </c>
      <c r="O10" s="157"/>
      <c r="P10" s="156">
        <v>0.11957700371136797</v>
      </c>
      <c r="Q10" s="157">
        <f t="shared" si="20"/>
        <v>0.14174077982214706</v>
      </c>
      <c r="R10" s="491">
        <v>8.1081081081081086E-2</v>
      </c>
      <c r="S10" s="483">
        <f t="shared" si="21"/>
        <v>0.10588823312895015</v>
      </c>
      <c r="T10" s="156">
        <v>8.1081081081081086E-2</v>
      </c>
      <c r="U10" s="157">
        <f t="shared" si="22"/>
        <v>0.10588823312895015</v>
      </c>
      <c r="V10" s="156" t="e">
        <v>#DIV/0!</v>
      </c>
      <c r="W10" s="157" t="e">
        <f t="shared" si="23"/>
        <v>#DIV/0!</v>
      </c>
      <c r="X10" s="156">
        <v>0.14727085478887747</v>
      </c>
      <c r="Y10" s="158">
        <f t="shared" si="24"/>
        <v>0.16715434419702146</v>
      </c>
      <c r="Z10" s="156">
        <v>0.14906577664937426</v>
      </c>
      <c r="AA10" s="157"/>
      <c r="AB10" s="156">
        <v>0.19587120789707771</v>
      </c>
      <c r="AC10" s="81">
        <f t="shared" ref="AC10" si="56">AVERAGE(AB7:AB10)</f>
        <v>0.21549365093479234</v>
      </c>
      <c r="AD10" s="491">
        <v>0.1794749126631178</v>
      </c>
      <c r="AE10" s="483">
        <f t="shared" si="26"/>
        <v>0.18537422650976473</v>
      </c>
      <c r="AF10" s="156">
        <v>0.1794749126631178</v>
      </c>
      <c r="AG10" s="483">
        <f t="shared" ref="AG10" si="57">AVERAGE(AF7:AF10)</f>
        <v>0.18537422650976473</v>
      </c>
      <c r="AH10" s="156" t="e">
        <v>#DIV/0!</v>
      </c>
      <c r="AI10" s="483" t="e">
        <f t="shared" si="28"/>
        <v>#DIV/0!</v>
      </c>
      <c r="AJ10" s="156">
        <v>0.20844706519090483</v>
      </c>
      <c r="AK10" s="158">
        <f t="shared" si="29"/>
        <v>0.23908148968075618</v>
      </c>
      <c r="AL10" s="74">
        <v>7577.4761458908697</v>
      </c>
      <c r="AM10" s="81"/>
      <c r="AN10" s="74">
        <v>7096.6523446546462</v>
      </c>
      <c r="AO10" s="81">
        <f t="shared" ref="AO10" si="58">AVERAGE(AN7:AN10)</f>
        <v>6937.8779833102053</v>
      </c>
      <c r="AP10" s="494">
        <v>8107.6531531531555</v>
      </c>
      <c r="AQ10" s="495">
        <f t="shared" si="31"/>
        <v>7635.9965626346857</v>
      </c>
      <c r="AR10" s="74">
        <v>8107.6531531531555</v>
      </c>
      <c r="AS10" s="81">
        <f t="shared" ref="AS10" si="59">AVERAGE(AR7:AR10)</f>
        <v>7635.9965626346857</v>
      </c>
      <c r="AT10" s="74" t="e">
        <v>#DIV/0!</v>
      </c>
      <c r="AU10" s="81" t="e">
        <f t="shared" si="33"/>
        <v>#DIV/0!</v>
      </c>
      <c r="AV10" s="74">
        <v>6369.3414006179028</v>
      </c>
      <c r="AW10" s="99"/>
      <c r="AX10" s="105">
        <v>4.1246825643077214</v>
      </c>
      <c r="AY10" s="106"/>
      <c r="AZ10" s="105">
        <v>5.0629434180139885</v>
      </c>
      <c r="BA10" s="81">
        <f t="shared" ref="BA10" si="60">AVERAGE(AZ7:AZ10)</f>
        <v>5.0403030726884097</v>
      </c>
      <c r="BB10" s="492">
        <v>5.4099099099099091</v>
      </c>
      <c r="BC10" s="493">
        <f t="shared" si="35"/>
        <v>5.441387173461437</v>
      </c>
      <c r="BD10" s="105">
        <v>5.4099099099099091</v>
      </c>
      <c r="BE10" s="106">
        <f t="shared" ref="BE10" si="61">AVERAGE(BD7:BD10)</f>
        <v>5.441387173461437</v>
      </c>
      <c r="BF10" s="105" t="e">
        <v>#DIV/0!</v>
      </c>
      <c r="BG10" s="106" t="e">
        <f t="shared" si="37"/>
        <v>#DIV/0!</v>
      </c>
      <c r="BH10" s="105">
        <v>4.8133367662203863</v>
      </c>
      <c r="BI10" s="107"/>
      <c r="BJ10" s="487">
        <v>5.5501605848120333E-2</v>
      </c>
      <c r="BK10" s="488"/>
      <c r="BL10" s="487">
        <v>0</v>
      </c>
      <c r="BM10" s="489">
        <f t="shared" ref="BM10" si="62">AVERAGE(BL7:BL10)</f>
        <v>0</v>
      </c>
      <c r="BN10" s="487"/>
      <c r="BO10" s="489" t="e">
        <f t="shared" ref="BO10" si="63">AVERAGE(BN7:BN10)</f>
        <v>#DIV/0!</v>
      </c>
      <c r="BP10" s="487">
        <v>0</v>
      </c>
      <c r="BQ10" s="489">
        <f t="shared" ref="BQ10" si="64">AVERAGE(BP7:BP10)</f>
        <v>0</v>
      </c>
      <c r="BR10" s="487"/>
      <c r="BS10" s="489" t="e">
        <f t="shared" ref="BS10" si="65">AVERAGE(BR7:BR10)</f>
        <v>#DIV/0!</v>
      </c>
      <c r="BT10" s="487">
        <v>0</v>
      </c>
      <c r="BU10" s="490"/>
      <c r="BV10" s="74">
        <v>7273.6669424125685</v>
      </c>
      <c r="BW10" s="81"/>
      <c r="BX10" s="74">
        <v>9949.4249066834436</v>
      </c>
      <c r="BY10" s="81">
        <f t="shared" ref="BY10" si="66">AVERAGE(BX7:BX10)</f>
        <v>9919.9592530667487</v>
      </c>
      <c r="BZ10" s="494">
        <v>11067.594594594593</v>
      </c>
      <c r="CA10" s="495">
        <f t="shared" si="43"/>
        <v>10710.866277405326</v>
      </c>
      <c r="CB10" s="74">
        <v>11067.594594594593</v>
      </c>
      <c r="CC10" s="81">
        <f t="shared" ref="CC10" si="67">AVERAGE(CB7:CB10)</f>
        <v>10710.866277405326</v>
      </c>
      <c r="CD10" s="74" t="e">
        <v>#DIV/0!</v>
      </c>
      <c r="CE10" s="81" t="e">
        <f t="shared" si="45"/>
        <v>#DIV/0!</v>
      </c>
      <c r="CF10" s="74">
        <v>9145.0169927909355</v>
      </c>
      <c r="CG10" s="99"/>
      <c r="CH10" s="156">
        <v>3.9814079074722168E-2</v>
      </c>
      <c r="CI10" s="157"/>
      <c r="CJ10" s="156">
        <v>0.10141170881666153</v>
      </c>
      <c r="CK10" s="81">
        <f t="shared" ref="CK10" si="68">AVERAGE(CJ7:CJ10)</f>
        <v>0.10324546089325523</v>
      </c>
      <c r="CL10" s="491">
        <v>0.11711711711711711</v>
      </c>
      <c r="CM10" s="483">
        <f t="shared" si="47"/>
        <v>0.11785995924920381</v>
      </c>
      <c r="CN10" s="156">
        <v>0.11711711711711711</v>
      </c>
      <c r="CO10" s="483">
        <f t="shared" ref="CO10" si="69">AVERAGE(CN7:CN10)</f>
        <v>0.11785995924920381</v>
      </c>
      <c r="CP10" s="156" t="e">
        <v>#DIV/0!</v>
      </c>
      <c r="CQ10" s="483" t="e">
        <f t="shared" si="49"/>
        <v>#DIV/0!</v>
      </c>
      <c r="CR10" s="156">
        <v>9.0113285272914498E-2</v>
      </c>
      <c r="CS10" s="158"/>
      <c r="CT10" s="105">
        <v>43.688516009347545</v>
      </c>
      <c r="CU10" s="106"/>
      <c r="CV10" s="105">
        <v>46.015258227792998</v>
      </c>
      <c r="CW10" s="81">
        <f t="shared" ref="CW10" si="70">AVERAGE(CV7:CV10)</f>
        <v>46.805510254759056</v>
      </c>
      <c r="CX10" s="492">
        <v>48.842342342342327</v>
      </c>
      <c r="CY10" s="493">
        <f t="shared" si="51"/>
        <v>51.154284129316139</v>
      </c>
      <c r="CZ10" s="105">
        <v>48.842342342342327</v>
      </c>
      <c r="DA10" s="106">
        <f t="shared" ref="DA10" si="71">AVERAGE(CZ7:CZ10)</f>
        <v>51.154284129316139</v>
      </c>
      <c r="DB10" s="105" t="e">
        <v>#DIV/0!</v>
      </c>
      <c r="DC10" s="106" t="e">
        <f t="shared" si="53"/>
        <v>#DIV/0!</v>
      </c>
      <c r="DD10" s="105">
        <v>43.98146240988671</v>
      </c>
      <c r="DE10" s="107"/>
    </row>
    <row r="11" spans="1:109" x14ac:dyDescent="0.25">
      <c r="A11" s="155">
        <f t="shared" si="15"/>
        <v>45198</v>
      </c>
      <c r="B11" s="74">
        <v>38.183906109812071</v>
      </c>
      <c r="C11" s="81">
        <f>AVERAGE(B5:B11)</f>
        <v>37.838052068768832</v>
      </c>
      <c r="D11" s="74">
        <v>42.370970525519184</v>
      </c>
      <c r="E11" s="81">
        <f t="shared" si="16"/>
        <v>41.900930886131661</v>
      </c>
      <c r="F11" s="74">
        <v>46.671568627450995</v>
      </c>
      <c r="G11" s="81">
        <f t="shared" si="16"/>
        <v>44.806009147092411</v>
      </c>
      <c r="H11" s="74">
        <v>46.671568627450995</v>
      </c>
      <c r="I11" s="81">
        <f t="shared" ref="I11" si="72">AVERAGE(H8:H11)</f>
        <v>44.806009147092411</v>
      </c>
      <c r="J11" s="74" t="e">
        <v>#DIV/0!</v>
      </c>
      <c r="K11" s="81" t="e">
        <f t="shared" si="18"/>
        <v>#DIV/0!</v>
      </c>
      <c r="L11" s="74">
        <v>39.627577639751543</v>
      </c>
      <c r="M11" s="99">
        <f t="shared" ref="M11" si="73">AVERAGE(L8:L11)</f>
        <v>39.888901570861087</v>
      </c>
      <c r="N11" s="156">
        <v>7.5333993022422135E-2</v>
      </c>
      <c r="O11" s="157">
        <f>AVERAGE(N5:N11)</f>
        <v>7.7782096600943082E-2</v>
      </c>
      <c r="P11" s="156">
        <v>0.13113999529661999</v>
      </c>
      <c r="Q11" s="157">
        <f t="shared" si="20"/>
        <v>0.14040289416965898</v>
      </c>
      <c r="R11" s="491">
        <v>8.8235294117647078E-2</v>
      </c>
      <c r="S11" s="483">
        <f t="shared" si="21"/>
        <v>0.10418672607984952</v>
      </c>
      <c r="T11" s="156">
        <v>8.8235294117647078E-2</v>
      </c>
      <c r="U11" s="157">
        <f t="shared" si="22"/>
        <v>0.10418672607984952</v>
      </c>
      <c r="V11" s="156" t="e">
        <v>#DIV/0!</v>
      </c>
      <c r="W11" s="157" t="e">
        <f t="shared" si="23"/>
        <v>#DIV/0!</v>
      </c>
      <c r="X11" s="156">
        <v>0.15850931677018634</v>
      </c>
      <c r="Y11" s="158">
        <f t="shared" si="24"/>
        <v>0.16563042908153053</v>
      </c>
      <c r="Z11" s="156">
        <v>0.15334163266649811</v>
      </c>
      <c r="AA11" s="157">
        <f>AVERAGE(Z5:Z11)</f>
        <v>0.15665527280485603</v>
      </c>
      <c r="AB11" s="156">
        <v>0.20782856387430015</v>
      </c>
      <c r="AC11" s="81">
        <f t="shared" ref="AC11" si="74">AVERAGE(AB8:AB11)</f>
        <v>0.21415588950979317</v>
      </c>
      <c r="AD11" s="491">
        <v>0.1692577481068484</v>
      </c>
      <c r="AE11" s="483">
        <f t="shared" si="26"/>
        <v>0.18325013062391565</v>
      </c>
      <c r="AF11" s="156">
        <v>0.1692577481068484</v>
      </c>
      <c r="AG11" s="483">
        <f t="shared" ref="AG11" si="75">AVERAGE(AF8:AF11)</f>
        <v>0.18325013062391565</v>
      </c>
      <c r="AH11" s="156" t="e">
        <v>#DIV/0!</v>
      </c>
      <c r="AI11" s="483" t="e">
        <f t="shared" si="28"/>
        <v>#DIV/0!</v>
      </c>
      <c r="AJ11" s="156">
        <v>0.2337947440744341</v>
      </c>
      <c r="AK11" s="158">
        <f t="shared" si="29"/>
        <v>0.23735173511814506</v>
      </c>
      <c r="AL11" s="74">
        <v>7434.4840919816988</v>
      </c>
      <c r="AM11" s="81">
        <f>AVERAGE(AL5:AL11)</f>
        <v>7525.5324995571036</v>
      </c>
      <c r="AN11" s="74">
        <v>6777.6378585766724</v>
      </c>
      <c r="AO11" s="81">
        <f t="shared" ref="AO11" si="76">AVERAGE(AN8:AN11)</f>
        <v>6930.0391797164611</v>
      </c>
      <c r="AP11" s="494">
        <v>7216.2156862745169</v>
      </c>
      <c r="AQ11" s="495">
        <f t="shared" si="31"/>
        <v>7619.8139139553814</v>
      </c>
      <c r="AR11" s="74">
        <v>7216.2156862745169</v>
      </c>
      <c r="AS11" s="81">
        <f t="shared" ref="AS11" si="77">AVERAGE(AR8:AR11)</f>
        <v>7619.8139139553814</v>
      </c>
      <c r="AT11" s="74" t="e">
        <v>#DIV/0!</v>
      </c>
      <c r="AU11" s="81" t="e">
        <f t="shared" si="33"/>
        <v>#DIV/0!</v>
      </c>
      <c r="AV11" s="74">
        <v>6497.8648447204796</v>
      </c>
      <c r="AW11" s="99">
        <f t="shared" ref="AW11:AW74" si="78">AVERAGE(AV5:AV11)</f>
        <v>6421.915093427493</v>
      </c>
      <c r="AX11" s="105">
        <v>4.1017733713863791</v>
      </c>
      <c r="AY11" s="106">
        <f>AVERAGE(AX5:AX11)</f>
        <v>3.9796974405324876</v>
      </c>
      <c r="AZ11" s="105">
        <v>5.1100400135232036</v>
      </c>
      <c r="BA11" s="81">
        <f t="shared" ref="BA11" si="79">AVERAGE(AZ8:AZ11)</f>
        <v>5.052150543977513</v>
      </c>
      <c r="BB11" s="492">
        <v>5.9068627450980404</v>
      </c>
      <c r="BC11" s="493">
        <f t="shared" si="35"/>
        <v>5.4604582316367729</v>
      </c>
      <c r="BD11" s="105">
        <v>5.9068627450980404</v>
      </c>
      <c r="BE11" s="106">
        <f t="shared" ref="BE11" si="80">AVERAGE(BD8:BD11)</f>
        <v>5.4604582316367729</v>
      </c>
      <c r="BF11" s="105" t="e">
        <v>#DIV/0!</v>
      </c>
      <c r="BG11" s="106" t="e">
        <f t="shared" si="37"/>
        <v>#DIV/0!</v>
      </c>
      <c r="BH11" s="105">
        <v>4.6017391304347752</v>
      </c>
      <c r="BI11" s="107">
        <f t="shared" ref="BI11:BI74" si="81">AVERAGE(BH5:BH11)</f>
        <v>4.7133898969277235</v>
      </c>
      <c r="BJ11" s="487">
        <v>6.8203013051295683E-2</v>
      </c>
      <c r="BK11" s="488">
        <f>AVERAGE(BJ5:BJ11)</f>
        <v>6.5358680465625402E-2</v>
      </c>
      <c r="BL11" s="487">
        <v>0</v>
      </c>
      <c r="BM11" s="489">
        <f t="shared" ref="BM11" si="82">AVERAGE(BL8:BL11)</f>
        <v>0</v>
      </c>
      <c r="BN11" s="487"/>
      <c r="BO11" s="489" t="e">
        <f t="shared" ref="BO11" si="83">AVERAGE(BN8:BN11)</f>
        <v>#DIV/0!</v>
      </c>
      <c r="BP11" s="487">
        <v>0</v>
      </c>
      <c r="BQ11" s="489">
        <f t="shared" ref="BQ11" si="84">AVERAGE(BP8:BP11)</f>
        <v>0</v>
      </c>
      <c r="BR11" s="487"/>
      <c r="BS11" s="489" t="e">
        <f t="shared" ref="BS11" si="85">AVERAGE(BR8:BR11)</f>
        <v>#DIV/0!</v>
      </c>
      <c r="BT11" s="487">
        <v>0</v>
      </c>
      <c r="BU11" s="490">
        <f t="shared" ref="BU11:BU74" si="86">AVERAGE(BT5:BT11)</f>
        <v>0</v>
      </c>
      <c r="BV11" s="74">
        <v>7255.5904903535102</v>
      </c>
      <c r="BW11" s="81">
        <f>AVERAGE(BV5:BV11)</f>
        <v>7239.6169696965853</v>
      </c>
      <c r="BX11" s="74">
        <v>9648.19604564367</v>
      </c>
      <c r="BY11" s="81">
        <f t="shared" ref="BY11" si="87">AVERAGE(BX8:BX11)</f>
        <v>9893.9467639156865</v>
      </c>
      <c r="BZ11" s="494">
        <v>10392.955882352939</v>
      </c>
      <c r="CA11" s="495">
        <f t="shared" si="43"/>
        <v>10826.221983530751</v>
      </c>
      <c r="CB11" s="74">
        <v>10392.955882352939</v>
      </c>
      <c r="CC11" s="81">
        <f t="shared" ref="CC11" si="88">AVERAGE(CB8:CB11)</f>
        <v>10826.221983530751</v>
      </c>
      <c r="CD11" s="74" t="e">
        <v>#DIV/0!</v>
      </c>
      <c r="CE11" s="81" t="e">
        <f t="shared" si="45"/>
        <v>#DIV/0!</v>
      </c>
      <c r="CF11" s="74">
        <v>9173.1065838509294</v>
      </c>
      <c r="CG11" s="99">
        <f t="shared" ref="CG11:CG74" si="89">AVERAGE(CF5:CF11)</f>
        <v>9390.6944296549864</v>
      </c>
      <c r="CH11" s="156">
        <v>3.6196943726079449E-2</v>
      </c>
      <c r="CI11" s="157">
        <f>AVERAGE(CH5:CH11)</f>
        <v>3.6977418490504718E-2</v>
      </c>
      <c r="CJ11" s="156">
        <v>9.4306561706890002E-2</v>
      </c>
      <c r="CK11" s="81">
        <f t="shared" ref="CK11" si="90">AVERAGE(CJ8:CJ11)</f>
        <v>9.9954561983629259E-2</v>
      </c>
      <c r="CL11" s="491">
        <v>9.8039215686274536E-2</v>
      </c>
      <c r="CM11" s="483">
        <f t="shared" si="47"/>
        <v>0.11241108548482202</v>
      </c>
      <c r="CN11" s="156">
        <v>9.8039215686274536E-2</v>
      </c>
      <c r="CO11" s="483">
        <f t="shared" ref="CO11" si="91">AVERAGE(CN8:CN11)</f>
        <v>0.11241108548482202</v>
      </c>
      <c r="CP11" s="156" t="e">
        <v>#DIV/0!</v>
      </c>
      <c r="CQ11" s="483" t="e">
        <f t="shared" si="49"/>
        <v>#DIV/0!</v>
      </c>
      <c r="CR11" s="156">
        <v>9.1925465838509302E-2</v>
      </c>
      <c r="CS11" s="158">
        <f t="shared" ref="CS11:CS74" si="92">AVERAGE(CR5:CR11)</f>
        <v>9.464239720173577E-2</v>
      </c>
      <c r="CT11" s="105">
        <v>43.729691895303816</v>
      </c>
      <c r="CU11" s="106">
        <f>AVERAGE(CT5:CT11)</f>
        <v>43.740952571387005</v>
      </c>
      <c r="CV11" s="105">
        <v>45.63238224715397</v>
      </c>
      <c r="CW11" s="81">
        <f t="shared" ref="CW11" si="93">AVERAGE(CV8:CV11)</f>
        <v>46.809617035215574</v>
      </c>
      <c r="CX11" s="492">
        <v>49.892156862745111</v>
      </c>
      <c r="CY11" s="493">
        <f t="shared" si="51"/>
        <v>51.101496898721422</v>
      </c>
      <c r="CZ11" s="105">
        <v>49.892156862745111</v>
      </c>
      <c r="DA11" s="106">
        <f t="shared" ref="DA11" si="94">AVERAGE(CZ8:CZ11)</f>
        <v>51.101496898721422</v>
      </c>
      <c r="DB11" s="105" t="e">
        <v>#DIV/0!</v>
      </c>
      <c r="DC11" s="106" t="e">
        <f t="shared" si="53"/>
        <v>#DIV/0!</v>
      </c>
      <c r="DD11" s="105">
        <v>42.915031055900606</v>
      </c>
      <c r="DE11" s="107">
        <f t="shared" ref="DE11:DE74" si="95">AVERAGE(DD5:DD11)</f>
        <v>43.46374836107146</v>
      </c>
    </row>
    <row r="12" spans="1:109" x14ac:dyDescent="0.25">
      <c r="A12" s="155">
        <f t="shared" si="15"/>
        <v>45205</v>
      </c>
      <c r="B12" s="74">
        <v>37.750666040509152</v>
      </c>
      <c r="C12" s="81">
        <f t="shared" ref="C12:O75" si="96">AVERAGE(B6:B12)</f>
        <v>37.91582743220998</v>
      </c>
      <c r="D12" s="74">
        <v>41.634751263337904</v>
      </c>
      <c r="E12" s="81">
        <f t="shared" si="16"/>
        <v>41.879034982454797</v>
      </c>
      <c r="F12" s="74">
        <v>45.03448275862069</v>
      </c>
      <c r="G12" s="81">
        <f t="shared" si="16"/>
        <v>44.935521855526929</v>
      </c>
      <c r="H12" s="74">
        <v>45.03448275862069</v>
      </c>
      <c r="I12" s="81">
        <f t="shared" ref="I12" si="97">AVERAGE(H9:H12)</f>
        <v>44.935521855526929</v>
      </c>
      <c r="J12" s="74" t="e">
        <v>#DIV/0!</v>
      </c>
      <c r="K12" s="81" t="e">
        <f t="shared" si="18"/>
        <v>#DIV/0!</v>
      </c>
      <c r="L12" s="74">
        <v>39.989469192435884</v>
      </c>
      <c r="M12" s="99">
        <f t="shared" ref="M12" si="98">AVERAGE(L9:L12)</f>
        <v>39.95545755325081</v>
      </c>
      <c r="N12" s="156">
        <v>6.95554875253315E-2</v>
      </c>
      <c r="O12" s="157">
        <f t="shared" si="96"/>
        <v>7.5382623033135282E-2</v>
      </c>
      <c r="P12" s="156">
        <v>0.1351363841741916</v>
      </c>
      <c r="Q12" s="157">
        <f t="shared" si="20"/>
        <v>0.13665909441354468</v>
      </c>
      <c r="R12" s="491">
        <v>0.10919540229885059</v>
      </c>
      <c r="S12" s="483">
        <f t="shared" si="21"/>
        <v>0.10566398041043074</v>
      </c>
      <c r="T12" s="156">
        <v>0.10919540229885059</v>
      </c>
      <c r="U12" s="157">
        <f t="shared" si="22"/>
        <v>0.10566398041043074</v>
      </c>
      <c r="V12" s="156" t="e">
        <v>#DIV/0!</v>
      </c>
      <c r="W12" s="157" t="e">
        <f t="shared" si="23"/>
        <v>#DIV/0!</v>
      </c>
      <c r="X12" s="156">
        <v>0.14769038511229887</v>
      </c>
      <c r="Y12" s="158">
        <f t="shared" si="24"/>
        <v>0.156649635981436</v>
      </c>
      <c r="Z12" s="156">
        <v>0.14551399381786942</v>
      </c>
      <c r="AA12" s="157">
        <f t="shared" ref="AA12:AA75" si="99">AVERAGE(Z6:Z12)</f>
        <v>0.15455666287982073</v>
      </c>
      <c r="AB12" s="156">
        <v>0.21177829427474537</v>
      </c>
      <c r="AC12" s="81">
        <f t="shared" ref="AC12" si="100">AVERAGE(AB9:AB12)</f>
        <v>0.21053422178324496</v>
      </c>
      <c r="AD12" s="491">
        <v>0.20768790021476</v>
      </c>
      <c r="AE12" s="483">
        <f t="shared" si="26"/>
        <v>0.18975898787023238</v>
      </c>
      <c r="AF12" s="156">
        <v>0.20768790021476</v>
      </c>
      <c r="AG12" s="483">
        <f t="shared" ref="AG12" si="101">AVERAGE(AF9:AF12)</f>
        <v>0.18975898787023238</v>
      </c>
      <c r="AH12" s="156" t="e">
        <v>#DIV/0!</v>
      </c>
      <c r="AI12" s="483" t="e">
        <f t="shared" si="28"/>
        <v>#DIV/0!</v>
      </c>
      <c r="AJ12" s="156">
        <v>0.21396963235250724</v>
      </c>
      <c r="AK12" s="158">
        <f t="shared" si="29"/>
        <v>0.22563085209440026</v>
      </c>
      <c r="AL12" s="74">
        <v>7401.9554691920057</v>
      </c>
      <c r="AM12" s="81">
        <f t="shared" ref="AM12:AM75" si="102">AVERAGE(AL6:AL12)</f>
        <v>7525.1935910641196</v>
      </c>
      <c r="AN12" s="74">
        <v>6728.3530532625018</v>
      </c>
      <c r="AO12" s="81">
        <f t="shared" ref="AO12" si="103">AVERAGE(AN9:AN12)</f>
        <v>6860.1099491641799</v>
      </c>
      <c r="AP12" s="494">
        <v>6975.2701149425275</v>
      </c>
      <c r="AQ12" s="495">
        <f t="shared" si="31"/>
        <v>7450.7182971511074</v>
      </c>
      <c r="AR12" s="74">
        <v>6975.2701149425275</v>
      </c>
      <c r="AS12" s="81">
        <f t="shared" ref="AS12" si="104">AVERAGE(AR9:AR12)</f>
        <v>7450.7182971511074</v>
      </c>
      <c r="AT12" s="74" t="e">
        <v>#DIV/0!</v>
      </c>
      <c r="AU12" s="81" t="e">
        <f t="shared" si="33"/>
        <v>#DIV/0!</v>
      </c>
      <c r="AV12" s="74">
        <v>6608.8588475743045</v>
      </c>
      <c r="AW12" s="99">
        <f t="shared" si="78"/>
        <v>6461.6425679884223</v>
      </c>
      <c r="AX12" s="105">
        <v>4.1617873828871677</v>
      </c>
      <c r="AY12" s="106">
        <f t="shared" ref="AY12:AY75" si="105">AVERAGE(AX6:AX12)</f>
        <v>4.048487920431179</v>
      </c>
      <c r="AZ12" s="105">
        <v>4.9315871092433685</v>
      </c>
      <c r="BA12" s="81">
        <f t="shared" ref="BA12" si="106">AVERAGE(AZ9:AZ12)</f>
        <v>4.9972310795052639</v>
      </c>
      <c r="BB12" s="492">
        <v>5.5172413793103452</v>
      </c>
      <c r="BC12" s="493">
        <f t="shared" si="35"/>
        <v>5.4630080130840772</v>
      </c>
      <c r="BD12" s="105">
        <v>5.5172413793103452</v>
      </c>
      <c r="BE12" s="106">
        <f t="shared" ref="BE12" si="107">AVERAGE(BD9:BD12)</f>
        <v>5.4630080130840772</v>
      </c>
      <c r="BF12" s="105" t="e">
        <v>#DIV/0!</v>
      </c>
      <c r="BG12" s="106" t="e">
        <f t="shared" si="37"/>
        <v>#DIV/0!</v>
      </c>
      <c r="BH12" s="105">
        <v>4.6481628236415844</v>
      </c>
      <c r="BI12" s="107">
        <f t="shared" si="81"/>
        <v>4.6799363877871514</v>
      </c>
      <c r="BJ12" s="487">
        <v>5.2581214968557187E-2</v>
      </c>
      <c r="BK12" s="488">
        <f t="shared" ref="BK12:BK75" si="108">AVERAGE(BJ6:BJ12)</f>
        <v>5.8378535935136068E-2</v>
      </c>
      <c r="BL12" s="487">
        <v>0</v>
      </c>
      <c r="BM12" s="489">
        <f t="shared" ref="BM12" si="109">AVERAGE(BL9:BL12)</f>
        <v>0</v>
      </c>
      <c r="BN12" s="487"/>
      <c r="BO12" s="489" t="e">
        <f t="shared" ref="BO12" si="110">AVERAGE(BN9:BN12)</f>
        <v>#DIV/0!</v>
      </c>
      <c r="BP12" s="487">
        <v>0</v>
      </c>
      <c r="BQ12" s="489">
        <f t="shared" ref="BQ12" si="111">AVERAGE(BP9:BP12)</f>
        <v>0</v>
      </c>
      <c r="BR12" s="487"/>
      <c r="BS12" s="489" t="e">
        <f t="shared" ref="BS12" si="112">AVERAGE(BR9:BR12)</f>
        <v>#DIV/0!</v>
      </c>
      <c r="BT12" s="487">
        <v>0</v>
      </c>
      <c r="BU12" s="490">
        <f t="shared" si="86"/>
        <v>0</v>
      </c>
      <c r="BV12" s="74">
        <v>6969.7134110948055</v>
      </c>
      <c r="BW12" s="81">
        <f t="shared" ref="BW12:CI75" si="113">AVERAGE(BV6:BV12)</f>
        <v>7265.8262440162407</v>
      </c>
      <c r="BX12" s="74">
        <v>8909.7504878521286</v>
      </c>
      <c r="BY12" s="81">
        <f t="shared" ref="BY12" si="114">AVERAGE(BX9:BX12)</f>
        <v>9567.1099985364654</v>
      </c>
      <c r="BZ12" s="494">
        <v>9500.3103448275851</v>
      </c>
      <c r="CA12" s="495">
        <f t="shared" si="43"/>
        <v>10421.468583822158</v>
      </c>
      <c r="CB12" s="74">
        <v>9500.3103448275851</v>
      </c>
      <c r="CC12" s="81">
        <f t="shared" ref="CC12" si="115">AVERAGE(CB9:CB12)</f>
        <v>10421.468583822158</v>
      </c>
      <c r="CD12" s="74" t="e">
        <v>#DIV/0!</v>
      </c>
      <c r="CE12" s="81" t="e">
        <f t="shared" si="45"/>
        <v>#DIV/0!</v>
      </c>
      <c r="CF12" s="74">
        <v>8623.9521694189389</v>
      </c>
      <c r="CG12" s="99">
        <f t="shared" si="89"/>
        <v>9256.7962693748068</v>
      </c>
      <c r="CH12" s="156">
        <v>2.7959213855037923E-2</v>
      </c>
      <c r="CI12" s="157">
        <f t="shared" si="113"/>
        <v>3.5882829636099879E-2</v>
      </c>
      <c r="CJ12" s="156">
        <v>8.2477508935128216E-2</v>
      </c>
      <c r="CK12" s="81">
        <f t="shared" ref="CK12" si="116">AVERAGE(CJ9:CJ12)</f>
        <v>9.4062201524039962E-2</v>
      </c>
      <c r="CL12" s="491">
        <v>9.195402298850576E-2</v>
      </c>
      <c r="CM12" s="483">
        <f t="shared" si="47"/>
        <v>0.10605686822725363</v>
      </c>
      <c r="CN12" s="156">
        <v>9.195402298850576E-2</v>
      </c>
      <c r="CO12" s="483">
        <f t="shared" ref="CO12" si="117">AVERAGE(CN9:CN12)</f>
        <v>0.10605686822725363</v>
      </c>
      <c r="CP12" s="156" t="e">
        <v>#DIV/0!</v>
      </c>
      <c r="CQ12" s="483" t="e">
        <f t="shared" si="49"/>
        <v>#DIV/0!</v>
      </c>
      <c r="CR12" s="156">
        <v>7.7891400094383959E-2</v>
      </c>
      <c r="CS12" s="158">
        <f t="shared" si="92"/>
        <v>9.217149273535219E-2</v>
      </c>
      <c r="CT12" s="105">
        <v>43.447049228825321</v>
      </c>
      <c r="CU12" s="106">
        <f t="shared" ref="CU12:CU75" si="118">AVERAGE(CT6:CT12)</f>
        <v>43.632381661038046</v>
      </c>
      <c r="CV12" s="105">
        <v>46.985057306143787</v>
      </c>
      <c r="CW12" s="81">
        <f t="shared" ref="CW12" si="119">AVERAGE(CV9:CV12)</f>
        <v>46.651396307580058</v>
      </c>
      <c r="CX12" s="492">
        <v>52.59195402298851</v>
      </c>
      <c r="CY12" s="493">
        <f t="shared" si="51"/>
        <v>51.191973667379351</v>
      </c>
      <c r="CZ12" s="105">
        <v>52.59195402298851</v>
      </c>
      <c r="DA12" s="106">
        <f t="shared" ref="DA12" si="120">AVERAGE(CZ9:CZ12)</f>
        <v>51.191973667379351</v>
      </c>
      <c r="DB12" s="105" t="e">
        <v>#DIV/0!</v>
      </c>
      <c r="DC12" s="106" t="e">
        <f t="shared" si="53"/>
        <v>#DIV/0!</v>
      </c>
      <c r="DD12" s="105">
        <v>44.271629303248872</v>
      </c>
      <c r="DE12" s="107">
        <f t="shared" si="95"/>
        <v>43.588485915837929</v>
      </c>
    </row>
    <row r="13" spans="1:109" x14ac:dyDescent="0.25">
      <c r="A13" s="155">
        <f t="shared" si="15"/>
        <v>45212</v>
      </c>
      <c r="B13" s="74">
        <v>38.611953474952486</v>
      </c>
      <c r="C13" s="81">
        <f t="shared" si="96"/>
        <v>38.015796154701739</v>
      </c>
      <c r="D13" s="74">
        <v>41.312769486046513</v>
      </c>
      <c r="E13" s="81">
        <f t="shared" si="16"/>
        <v>41.793533623867255</v>
      </c>
      <c r="F13" s="74">
        <v>42.801687763713083</v>
      </c>
      <c r="G13" s="81">
        <f t="shared" si="16"/>
        <v>44.66860145411286</v>
      </c>
      <c r="H13" s="74">
        <v>42.801687763713083</v>
      </c>
      <c r="I13" s="81">
        <f t="shared" ref="I13" si="121">AVERAGE(H10:H13)</f>
        <v>44.66860145411286</v>
      </c>
      <c r="J13" s="74" t="e">
        <v>#DIV/0!</v>
      </c>
      <c r="K13" s="81" t="e">
        <f t="shared" si="18"/>
        <v>#DIV/0!</v>
      </c>
      <c r="L13" s="74">
        <v>40.136201699095466</v>
      </c>
      <c r="M13" s="99">
        <f t="shared" ref="M13" si="122">AVERAGE(L10:L13)</f>
        <v>39.986587107074065</v>
      </c>
      <c r="N13" s="156">
        <v>7.1553880526948083E-2</v>
      </c>
      <c r="O13" s="157">
        <f t="shared" si="96"/>
        <v>7.5167753914923238E-2</v>
      </c>
      <c r="P13" s="156">
        <v>0.1275162648271799</v>
      </c>
      <c r="Q13" s="157">
        <f t="shared" si="20"/>
        <v>0.12834241200233987</v>
      </c>
      <c r="R13" s="491">
        <v>0.10126582278481013</v>
      </c>
      <c r="S13" s="483">
        <f t="shared" si="21"/>
        <v>9.4944400070597221E-2</v>
      </c>
      <c r="T13" s="156">
        <v>0.10126582278481013</v>
      </c>
      <c r="U13" s="157">
        <f t="shared" si="22"/>
        <v>9.4944400070597221E-2</v>
      </c>
      <c r="V13" s="156" t="e">
        <v>#DIV/0!</v>
      </c>
      <c r="W13" s="157" t="e">
        <f t="shared" si="23"/>
        <v>#DIV/0!</v>
      </c>
      <c r="X13" s="156">
        <v>0.148259797204713</v>
      </c>
      <c r="Y13" s="158">
        <f t="shared" si="24"/>
        <v>0.15043258846901891</v>
      </c>
      <c r="Z13" s="156">
        <v>0.13643088444669998</v>
      </c>
      <c r="AA13" s="157">
        <f t="shared" si="99"/>
        <v>0.15328976509073927</v>
      </c>
      <c r="AB13" s="156">
        <v>0.1931099358498187</v>
      </c>
      <c r="AC13" s="81">
        <f t="shared" ref="AC13" si="123">AVERAGE(AB10:AB13)</f>
        <v>0.20214700047398548</v>
      </c>
      <c r="AD13" s="491">
        <v>0.15913443978882041</v>
      </c>
      <c r="AE13" s="483">
        <f t="shared" si="26"/>
        <v>0.17888875019338668</v>
      </c>
      <c r="AF13" s="156">
        <v>0.15913443978882041</v>
      </c>
      <c r="AG13" s="483">
        <f t="shared" ref="AG13" si="124">AVERAGE(AF10:AF13)</f>
        <v>0.17888875019338668</v>
      </c>
      <c r="AH13" s="156" t="e">
        <v>#DIV/0!</v>
      </c>
      <c r="AI13" s="483" t="e">
        <f t="shared" si="28"/>
        <v>#DIV/0!</v>
      </c>
      <c r="AJ13" s="156">
        <v>0.22090359723523764</v>
      </c>
      <c r="AK13" s="158">
        <f t="shared" si="29"/>
        <v>0.21927875971327096</v>
      </c>
      <c r="AL13" s="74">
        <v>7493.3457597632341</v>
      </c>
      <c r="AM13" s="81">
        <f t="shared" si="102"/>
        <v>7497.9795538328226</v>
      </c>
      <c r="AN13" s="74">
        <v>6823.0178084306881</v>
      </c>
      <c r="AO13" s="81">
        <f t="shared" ref="AO13" si="125">AVERAGE(AN10:AN13)</f>
        <v>6856.4152662311262</v>
      </c>
      <c r="AP13" s="494">
        <v>7206.5274261603399</v>
      </c>
      <c r="AQ13" s="495">
        <f t="shared" si="31"/>
        <v>7376.4165951326349</v>
      </c>
      <c r="AR13" s="74">
        <v>7206.5274261603399</v>
      </c>
      <c r="AS13" s="81">
        <f t="shared" ref="AS13" si="126">AVERAGE(AR10:AR13)</f>
        <v>7376.4165951326349</v>
      </c>
      <c r="AT13" s="74" t="e">
        <v>#DIV/0!</v>
      </c>
      <c r="AU13" s="81" t="e">
        <f t="shared" si="33"/>
        <v>#DIV/0!</v>
      </c>
      <c r="AV13" s="74">
        <v>6519.9621814195325</v>
      </c>
      <c r="AW13" s="99">
        <f t="shared" si="78"/>
        <v>6482.3198275423811</v>
      </c>
      <c r="AX13" s="105">
        <v>4.4599275784739012</v>
      </c>
      <c r="AY13" s="106">
        <f t="shared" si="105"/>
        <v>4.1542063317340538</v>
      </c>
      <c r="AZ13" s="105">
        <v>5.1139686184826321</v>
      </c>
      <c r="BA13" s="81">
        <f t="shared" ref="BA13" si="127">AVERAGE(AZ10:AZ13)</f>
        <v>5.0546347898157986</v>
      </c>
      <c r="BB13" s="492">
        <v>5.4936708860759493</v>
      </c>
      <c r="BC13" s="493">
        <f t="shared" si="35"/>
        <v>5.581921230098561</v>
      </c>
      <c r="BD13" s="105">
        <v>5.4936708860759493</v>
      </c>
      <c r="BE13" s="106">
        <f t="shared" ref="BE13" si="128">AVERAGE(BD10:BD13)</f>
        <v>5.581921230098561</v>
      </c>
      <c r="BF13" s="105" t="e">
        <v>#DIV/0!</v>
      </c>
      <c r="BG13" s="106" t="e">
        <f t="shared" si="37"/>
        <v>#DIV/0!</v>
      </c>
      <c r="BH13" s="105">
        <v>4.8139216223622707</v>
      </c>
      <c r="BI13" s="107">
        <f t="shared" si="81"/>
        <v>4.7286952535884783</v>
      </c>
      <c r="BJ13" s="487">
        <v>0</v>
      </c>
      <c r="BK13" s="488">
        <f t="shared" si="108"/>
        <v>4.9475522116895099E-2</v>
      </c>
      <c r="BL13" s="487">
        <v>0</v>
      </c>
      <c r="BM13" s="489">
        <f t="shared" ref="BM13" si="129">AVERAGE(BL10:BL13)</f>
        <v>0</v>
      </c>
      <c r="BN13" s="487"/>
      <c r="BO13" s="489" t="e">
        <f t="shared" ref="BO13" si="130">AVERAGE(BN10:BN13)</f>
        <v>#DIV/0!</v>
      </c>
      <c r="BP13" s="487">
        <v>0</v>
      </c>
      <c r="BQ13" s="489">
        <f t="shared" ref="BQ13" si="131">AVERAGE(BP10:BP13)</f>
        <v>0</v>
      </c>
      <c r="BR13" s="487"/>
      <c r="BS13" s="489" t="e">
        <f t="shared" ref="BS13" si="132">AVERAGE(BR10:BR13)</f>
        <v>#DIV/0!</v>
      </c>
      <c r="BT13" s="487">
        <v>0</v>
      </c>
      <c r="BU13" s="490">
        <f t="shared" si="86"/>
        <v>0</v>
      </c>
      <c r="BV13" s="74">
        <v>7429.5929492851228</v>
      </c>
      <c r="BW13" s="81">
        <f t="shared" si="113"/>
        <v>7316.9472024147035</v>
      </c>
      <c r="BX13" s="74">
        <v>9040.1411660437989</v>
      </c>
      <c r="BY13" s="81">
        <f t="shared" ref="BY13" si="133">AVERAGE(BX10:BX13)</f>
        <v>9386.8781515557603</v>
      </c>
      <c r="BZ13" s="494">
        <v>9861.5991561181418</v>
      </c>
      <c r="CA13" s="495">
        <f t="shared" si="43"/>
        <v>10205.614994473315</v>
      </c>
      <c r="CB13" s="74">
        <v>9861.5991561181418</v>
      </c>
      <c r="CC13" s="81">
        <f t="shared" ref="CC13" si="134">AVERAGE(CB10:CB13)</f>
        <v>10205.614994473315</v>
      </c>
      <c r="CD13" s="74" t="e">
        <v>#DIV/0!</v>
      </c>
      <c r="CE13" s="81" t="e">
        <f t="shared" si="45"/>
        <v>#DIV/0!</v>
      </c>
      <c r="CF13" s="74">
        <v>8391.0115100026997</v>
      </c>
      <c r="CG13" s="99">
        <f t="shared" si="89"/>
        <v>9083.0280644861796</v>
      </c>
      <c r="CH13" s="156">
        <v>3.6583265911158104E-2</v>
      </c>
      <c r="CI13" s="157">
        <f t="shared" si="113"/>
        <v>3.6158746887262096E-2</v>
      </c>
      <c r="CJ13" s="156">
        <v>7.671896925661334E-2</v>
      </c>
      <c r="CK13" s="81">
        <f t="shared" ref="CK13" si="135">AVERAGE(CJ10:CJ13)</f>
        <v>8.8728687178823262E-2</v>
      </c>
      <c r="CL13" s="491">
        <v>8.0168776371308009E-2</v>
      </c>
      <c r="CM13" s="483">
        <f t="shared" si="47"/>
        <v>9.6819783040801355E-2</v>
      </c>
      <c r="CN13" s="156">
        <v>8.0168776371308009E-2</v>
      </c>
      <c r="CO13" s="483">
        <f t="shared" ref="CO13" si="136">AVERAGE(CN10:CN13)</f>
        <v>9.6819783040801355E-2</v>
      </c>
      <c r="CP13" s="156" t="e">
        <v>#DIV/0!</v>
      </c>
      <c r="CQ13" s="483" t="e">
        <f t="shared" si="49"/>
        <v>#DIV/0!</v>
      </c>
      <c r="CR13" s="156">
        <v>7.3992874760207938E-2</v>
      </c>
      <c r="CS13" s="158">
        <f t="shared" si="92"/>
        <v>8.7837236369280633E-2</v>
      </c>
      <c r="CT13" s="105">
        <v>43.955648287112126</v>
      </c>
      <c r="CU13" s="106">
        <f t="shared" si="118"/>
        <v>43.717224234336221</v>
      </c>
      <c r="CV13" s="105">
        <v>47.91146829992644</v>
      </c>
      <c r="CW13" s="81">
        <f t="shared" ref="CW13" si="137">AVERAGE(CV10:CV13)</f>
        <v>46.636041520254302</v>
      </c>
      <c r="CX13" s="492">
        <v>52.067510548523209</v>
      </c>
      <c r="CY13" s="493">
        <f t="shared" si="51"/>
        <v>50.848490944149795</v>
      </c>
      <c r="CZ13" s="105">
        <v>52.067510548523209</v>
      </c>
      <c r="DA13" s="106">
        <f t="shared" ref="DA13" si="138">AVERAGE(CZ10:CZ13)</f>
        <v>50.848490944149795</v>
      </c>
      <c r="DB13" s="105" t="e">
        <v>#DIV/0!</v>
      </c>
      <c r="DC13" s="106" t="e">
        <f t="shared" si="53"/>
        <v>#DIV/0!</v>
      </c>
      <c r="DD13" s="105">
        <v>44.627295149355795</v>
      </c>
      <c r="DE13" s="107">
        <f t="shared" si="95"/>
        <v>43.800218176787475</v>
      </c>
    </row>
    <row r="14" spans="1:109" x14ac:dyDescent="0.25">
      <c r="A14" s="155">
        <f t="shared" si="15"/>
        <v>45219</v>
      </c>
      <c r="B14" s="74">
        <v>38.948831564041321</v>
      </c>
      <c r="C14" s="81">
        <f t="shared" si="96"/>
        <v>38.172525524806197</v>
      </c>
      <c r="D14" s="74">
        <v>41.522291873073975</v>
      </c>
      <c r="E14" s="81">
        <f t="shared" si="16"/>
        <v>41.710195786994397</v>
      </c>
      <c r="F14" s="74">
        <v>43.582456140350878</v>
      </c>
      <c r="G14" s="81">
        <f t="shared" si="16"/>
        <v>44.522548822533913</v>
      </c>
      <c r="H14" s="74">
        <v>43.582456140350878</v>
      </c>
      <c r="I14" s="81">
        <f t="shared" ref="I14" si="139">AVERAGE(H11:H14)</f>
        <v>44.522548822533913</v>
      </c>
      <c r="J14" s="74" t="e">
        <v>#DIV/0!</v>
      </c>
      <c r="K14" s="81" t="e">
        <f t="shared" si="18"/>
        <v>#DIV/0!</v>
      </c>
      <c r="L14" s="74">
        <v>39.784184914841696</v>
      </c>
      <c r="M14" s="99">
        <f t="shared" ref="M14" si="140">AVERAGE(L11:L14)</f>
        <v>39.884358361531149</v>
      </c>
      <c r="N14" s="156">
        <v>6.7499570518251117E-2</v>
      </c>
      <c r="O14" s="157">
        <f t="shared" si="96"/>
        <v>7.3588137393609393E-2</v>
      </c>
      <c r="P14" s="156">
        <v>0.10366215770074753</v>
      </c>
      <c r="Q14" s="157">
        <f t="shared" si="20"/>
        <v>0.12436370049968477</v>
      </c>
      <c r="R14" s="491">
        <v>7.3684210526315783E-2</v>
      </c>
      <c r="S14" s="483">
        <f t="shared" si="21"/>
        <v>9.3095182431905898E-2</v>
      </c>
      <c r="T14" s="156">
        <v>7.3684210526315783E-2</v>
      </c>
      <c r="U14" s="157">
        <f t="shared" si="22"/>
        <v>9.3095182431905898E-2</v>
      </c>
      <c r="V14" s="156" t="e">
        <v>#DIV/0!</v>
      </c>
      <c r="W14" s="157" t="e">
        <f t="shared" si="23"/>
        <v>#DIV/0!</v>
      </c>
      <c r="X14" s="156">
        <v>0.12895377128953722</v>
      </c>
      <c r="Y14" s="158">
        <f t="shared" si="24"/>
        <v>0.14585331759418385</v>
      </c>
      <c r="Z14" s="156">
        <v>0.1364194622218933</v>
      </c>
      <c r="AA14" s="157">
        <f t="shared" si="99"/>
        <v>0.15013873126336094</v>
      </c>
      <c r="AB14" s="156">
        <v>0.17249227327241687</v>
      </c>
      <c r="AC14" s="81">
        <f t="shared" ref="AC14" si="141">AVERAGE(AB11:AB14)</f>
        <v>0.19630226681782029</v>
      </c>
      <c r="AD14" s="491">
        <v>0.1481375117855529</v>
      </c>
      <c r="AE14" s="483">
        <f t="shared" si="26"/>
        <v>0.17105439997399544</v>
      </c>
      <c r="AF14" s="156">
        <v>0.1481375117855529</v>
      </c>
      <c r="AG14" s="483">
        <f t="shared" ref="AG14" si="142">AVERAGE(AF11:AF14)</f>
        <v>0.17105439997399544</v>
      </c>
      <c r="AH14" s="156" t="e">
        <v>#DIV/0!</v>
      </c>
      <c r="AI14" s="483" t="e">
        <f t="shared" si="28"/>
        <v>#DIV/0!</v>
      </c>
      <c r="AJ14" s="156">
        <v>0.19186598588666204</v>
      </c>
      <c r="AK14" s="158">
        <f t="shared" si="29"/>
        <v>0.21513348988721026</v>
      </c>
      <c r="AL14" s="74">
        <v>7349.5043481131652</v>
      </c>
      <c r="AM14" s="81">
        <f t="shared" si="102"/>
        <v>7467.0315102739123</v>
      </c>
      <c r="AN14" s="74">
        <v>6614.3445287873001</v>
      </c>
      <c r="AO14" s="81">
        <f t="shared" ref="AO14" si="143">AVERAGE(AN11:AN14)</f>
        <v>6735.8383122642908</v>
      </c>
      <c r="AP14" s="494">
        <v>6905.2982456140362</v>
      </c>
      <c r="AQ14" s="495">
        <f t="shared" si="31"/>
        <v>7075.8278682478558</v>
      </c>
      <c r="AR14" s="74">
        <v>6905.2982456140362</v>
      </c>
      <c r="AS14" s="81">
        <f t="shared" ref="AS14" si="144">AVERAGE(AR11:AR14)</f>
        <v>7075.8278682478558</v>
      </c>
      <c r="AT14" s="74" t="e">
        <v>#DIV/0!</v>
      </c>
      <c r="AU14" s="81" t="e">
        <f t="shared" si="33"/>
        <v>#DIV/0!</v>
      </c>
      <c r="AV14" s="74">
        <v>6368.8744525547254</v>
      </c>
      <c r="AW14" s="99">
        <f t="shared" si="78"/>
        <v>6465.1743581370947</v>
      </c>
      <c r="AX14" s="105">
        <v>4.3131228515005082</v>
      </c>
      <c r="AY14" s="106">
        <f t="shared" si="105"/>
        <v>4.1802647788149603</v>
      </c>
      <c r="AZ14" s="105">
        <v>5.2322665787370557</v>
      </c>
      <c r="BA14" s="81">
        <f t="shared" ref="BA14" si="145">AVERAGE(AZ11:AZ14)</f>
        <v>5.0969655799965654</v>
      </c>
      <c r="BB14" s="492">
        <v>5.7368421052631584</v>
      </c>
      <c r="BC14" s="493">
        <f t="shared" si="35"/>
        <v>5.6636542789368729</v>
      </c>
      <c r="BD14" s="105">
        <v>5.7368421052631584</v>
      </c>
      <c r="BE14" s="106">
        <f t="shared" ref="BE14" si="146">AVERAGE(BD11:BD14)</f>
        <v>5.6636542789368729</v>
      </c>
      <c r="BF14" s="105" t="e">
        <v>#DIV/0!</v>
      </c>
      <c r="BG14" s="106" t="e">
        <f t="shared" si="37"/>
        <v>#DIV/0!</v>
      </c>
      <c r="BH14" s="105">
        <v>4.8065693430656751</v>
      </c>
      <c r="BI14" s="107">
        <f t="shared" si="81"/>
        <v>4.7665186111275037</v>
      </c>
      <c r="BJ14" s="487">
        <v>0</v>
      </c>
      <c r="BK14" s="488">
        <f t="shared" si="108"/>
        <v>4.2101735577342939E-2</v>
      </c>
      <c r="BL14" s="487">
        <v>0</v>
      </c>
      <c r="BM14" s="489">
        <f t="shared" ref="BM14" si="147">AVERAGE(BL11:BL14)</f>
        <v>0</v>
      </c>
      <c r="BN14" s="487"/>
      <c r="BO14" s="489" t="e">
        <f t="shared" ref="BO14" si="148">AVERAGE(BN11:BN14)</f>
        <v>#DIV/0!</v>
      </c>
      <c r="BP14" s="487">
        <v>0</v>
      </c>
      <c r="BQ14" s="489">
        <f t="shared" ref="BQ14" si="149">AVERAGE(BP11:BP14)</f>
        <v>0</v>
      </c>
      <c r="BR14" s="487"/>
      <c r="BS14" s="489" t="e">
        <f t="shared" ref="BS14" si="150">AVERAGE(BR11:BR14)</f>
        <v>#DIV/0!</v>
      </c>
      <c r="BT14" s="487">
        <v>0</v>
      </c>
      <c r="BU14" s="490">
        <f t="shared" si="86"/>
        <v>0</v>
      </c>
      <c r="BV14" s="74">
        <v>7360.4380236864799</v>
      </c>
      <c r="BW14" s="81">
        <f t="shared" si="113"/>
        <v>7289.7848242386872</v>
      </c>
      <c r="BX14" s="74">
        <v>9065.0562851221584</v>
      </c>
      <c r="BY14" s="81">
        <f t="shared" ref="BY14" si="151">AVERAGE(BX11:BX14)</f>
        <v>9165.7859961654394</v>
      </c>
      <c r="BZ14" s="494">
        <v>9746.4631578947374</v>
      </c>
      <c r="CA14" s="495">
        <f t="shared" si="43"/>
        <v>9875.3321352983512</v>
      </c>
      <c r="CB14" s="74">
        <v>9746.4631578947374</v>
      </c>
      <c r="CC14" s="81">
        <f t="shared" ref="CC14" si="152">AVERAGE(CB11:CB14)</f>
        <v>9875.3321352983512</v>
      </c>
      <c r="CD14" s="74" t="e">
        <v>#DIV/0!</v>
      </c>
      <c r="CE14" s="81" t="e">
        <f t="shared" si="45"/>
        <v>#DIV/0!</v>
      </c>
      <c r="CF14" s="74">
        <v>8490.1710462286701</v>
      </c>
      <c r="CG14" s="99">
        <f t="shared" si="89"/>
        <v>8920.1031725901375</v>
      </c>
      <c r="CH14" s="156">
        <v>3.7858748608821852E-2</v>
      </c>
      <c r="CI14" s="157">
        <f t="shared" si="113"/>
        <v>3.5758625654235807E-2</v>
      </c>
      <c r="CJ14" s="156">
        <v>7.5728582426536253E-2</v>
      </c>
      <c r="CK14" s="81">
        <f t="shared" ref="CK14" si="153">AVERAGE(CJ11:CJ14)</f>
        <v>8.2307905581291946E-2</v>
      </c>
      <c r="CL14" s="491">
        <v>8.0701754385964913E-2</v>
      </c>
      <c r="CM14" s="483">
        <f t="shared" si="47"/>
        <v>8.7715942358013305E-2</v>
      </c>
      <c r="CN14" s="156">
        <v>8.0701754385964913E-2</v>
      </c>
      <c r="CO14" s="483">
        <f t="shared" ref="CO14" si="154">AVERAGE(CN11:CN14)</f>
        <v>8.7715942358013305E-2</v>
      </c>
      <c r="CP14" s="156" t="e">
        <v>#DIV/0!</v>
      </c>
      <c r="CQ14" s="483" t="e">
        <f t="shared" si="49"/>
        <v>#DIV/0!</v>
      </c>
      <c r="CR14" s="156">
        <v>7.1532846715328169E-2</v>
      </c>
      <c r="CS14" s="158">
        <f t="shared" si="92"/>
        <v>8.3901364537931594E-2</v>
      </c>
      <c r="CT14" s="105">
        <v>44.329653364749539</v>
      </c>
      <c r="CU14" s="106">
        <f t="shared" si="118"/>
        <v>43.926221446532679</v>
      </c>
      <c r="CV14" s="105">
        <v>47.968811173830083</v>
      </c>
      <c r="CW14" s="81">
        <f t="shared" ref="CW14" si="155">AVERAGE(CV11:CV14)</f>
        <v>47.124429756763575</v>
      </c>
      <c r="CX14" s="492">
        <v>51.992982456140339</v>
      </c>
      <c r="CY14" s="493">
        <f t="shared" si="51"/>
        <v>51.636150972599296</v>
      </c>
      <c r="CZ14" s="105">
        <v>51.992982456140339</v>
      </c>
      <c r="DA14" s="106">
        <f t="shared" ref="DA14" si="156">AVERAGE(CZ11:CZ14)</f>
        <v>51.636150972599296</v>
      </c>
      <c r="DB14" s="105" t="e">
        <v>#DIV/0!</v>
      </c>
      <c r="DC14" s="106" t="e">
        <f t="shared" si="53"/>
        <v>#DIV/0!</v>
      </c>
      <c r="DD14" s="105">
        <v>44.573722627737041</v>
      </c>
      <c r="DE14" s="107">
        <f t="shared" si="95"/>
        <v>44.086117426554516</v>
      </c>
    </row>
    <row r="15" spans="1:109" x14ac:dyDescent="0.25">
      <c r="A15" s="155">
        <f t="shared" si="15"/>
        <v>45226</v>
      </c>
      <c r="B15" s="74">
        <v>38.981724339643421</v>
      </c>
      <c r="C15" s="81">
        <f t="shared" si="96"/>
        <v>38.365353905547302</v>
      </c>
      <c r="D15" s="74">
        <v>41.41442859229852</v>
      </c>
      <c r="E15" s="81">
        <f t="shared" si="16"/>
        <v>41.471060303689228</v>
      </c>
      <c r="F15" s="74">
        <v>42.981072555205046</v>
      </c>
      <c r="G15" s="81">
        <f t="shared" si="16"/>
        <v>43.599924804472423</v>
      </c>
      <c r="H15" s="74">
        <v>42.981072555205046</v>
      </c>
      <c r="I15" s="81">
        <f t="shared" ref="I15" si="157">AVERAGE(H12:H15)</f>
        <v>43.599924804472423</v>
      </c>
      <c r="J15" s="74" t="e">
        <v>#DIV/0!</v>
      </c>
      <c r="K15" s="81" t="e">
        <f t="shared" si="18"/>
        <v>#DIV/0!</v>
      </c>
      <c r="L15" s="74">
        <v>39.973043893129613</v>
      </c>
      <c r="M15" s="99">
        <f t="shared" ref="M15" si="158">AVERAGE(L12:L15)</f>
        <v>39.970724924875661</v>
      </c>
      <c r="N15" s="156">
        <v>7.035450464957628E-2</v>
      </c>
      <c r="O15" s="157">
        <f t="shared" si="96"/>
        <v>7.2029534584496666E-2</v>
      </c>
      <c r="P15" s="156">
        <v>0.11094775640192125</v>
      </c>
      <c r="Q15" s="157">
        <f t="shared" si="20"/>
        <v>0.11931564077601009</v>
      </c>
      <c r="R15" s="491">
        <v>9.4637223974763388E-2</v>
      </c>
      <c r="S15" s="483">
        <f t="shared" si="21"/>
        <v>9.4695664896184972E-2</v>
      </c>
      <c r="T15" s="156">
        <v>9.4637223974763388E-2</v>
      </c>
      <c r="U15" s="157">
        <f t="shared" si="22"/>
        <v>9.4695664896184972E-2</v>
      </c>
      <c r="V15" s="156" t="e">
        <v>#DIV/0!</v>
      </c>
      <c r="W15" s="157" t="e">
        <f t="shared" si="23"/>
        <v>#DIV/0!</v>
      </c>
      <c r="X15" s="156">
        <v>0.12595419847328199</v>
      </c>
      <c r="Y15" s="158">
        <f t="shared" si="24"/>
        <v>0.13771453801995776</v>
      </c>
      <c r="Z15" s="156">
        <v>0.1456471660205117</v>
      </c>
      <c r="AA15" s="157">
        <f t="shared" si="99"/>
        <v>0.1458186226901195</v>
      </c>
      <c r="AB15" s="156">
        <v>0.19000539936520183</v>
      </c>
      <c r="AC15" s="81">
        <f t="shared" ref="AC15" si="159">AVERAGE(AB12:AB15)</f>
        <v>0.19184647569054569</v>
      </c>
      <c r="AD15" s="491">
        <v>0.194759137898525</v>
      </c>
      <c r="AE15" s="483">
        <f t="shared" si="26"/>
        <v>0.17742974742191459</v>
      </c>
      <c r="AF15" s="156">
        <v>0.194759137898525</v>
      </c>
      <c r="AG15" s="483">
        <f t="shared" ref="AG15" si="160">AVERAGE(AF12:AF15)</f>
        <v>0.17742974742191459</v>
      </c>
      <c r="AH15" s="156" t="e">
        <v>#DIV/0!</v>
      </c>
      <c r="AI15" s="483" t="e">
        <f t="shared" si="28"/>
        <v>#DIV/0!</v>
      </c>
      <c r="AJ15" s="156">
        <v>0.18546458904267241</v>
      </c>
      <c r="AK15" s="158">
        <f t="shared" si="29"/>
        <v>0.20305095112926982</v>
      </c>
      <c r="AL15" s="74">
        <v>7232.4619030431913</v>
      </c>
      <c r="AM15" s="81">
        <f t="shared" si="102"/>
        <v>7413.5941116502563</v>
      </c>
      <c r="AN15" s="74">
        <v>6624.4811256545518</v>
      </c>
      <c r="AO15" s="81">
        <f t="shared" ref="AO15" si="161">AVERAGE(AN12:AN15)</f>
        <v>6697.5491290337604</v>
      </c>
      <c r="AP15" s="494">
        <v>6870.3123028391155</v>
      </c>
      <c r="AQ15" s="495">
        <f t="shared" si="31"/>
        <v>6989.3520223890055</v>
      </c>
      <c r="AR15" s="74">
        <v>6870.3123028391155</v>
      </c>
      <c r="AS15" s="81">
        <f t="shared" ref="AS15" si="162">AVERAGE(AR12:AR15)</f>
        <v>6989.3520223890055</v>
      </c>
      <c r="AT15" s="74" t="e">
        <v>#DIV/0!</v>
      </c>
      <c r="AU15" s="81" t="e">
        <f t="shared" si="33"/>
        <v>#DIV/0!</v>
      </c>
      <c r="AV15" s="74">
        <v>6398.3051049618116</v>
      </c>
      <c r="AW15" s="99">
        <f t="shared" si="78"/>
        <v>6443.8455704704638</v>
      </c>
      <c r="AX15" s="105">
        <v>4.4089541988656551</v>
      </c>
      <c r="AY15" s="106">
        <f t="shared" si="105"/>
        <v>4.2292497147308703</v>
      </c>
      <c r="AZ15" s="105">
        <v>5.1216532417233136</v>
      </c>
      <c r="BA15" s="81">
        <f t="shared" ref="BA15" si="163">AVERAGE(AZ12:AZ15)</f>
        <v>5.0998688870465925</v>
      </c>
      <c r="BB15" s="492">
        <v>5.6277602523659302</v>
      </c>
      <c r="BC15" s="493">
        <f t="shared" si="35"/>
        <v>5.593878655753846</v>
      </c>
      <c r="BD15" s="105">
        <v>5.6277602523659302</v>
      </c>
      <c r="BE15" s="106">
        <f t="shared" ref="BE15" si="164">AVERAGE(BD12:BD15)</f>
        <v>5.593878655753846</v>
      </c>
      <c r="BF15" s="105" t="e">
        <v>#DIV/0!</v>
      </c>
      <c r="BG15" s="106" t="e">
        <f t="shared" si="37"/>
        <v>#DIV/0!</v>
      </c>
      <c r="BH15" s="105">
        <v>4.6560114503816621</v>
      </c>
      <c r="BI15" s="107">
        <f t="shared" si="81"/>
        <v>4.73213205062501</v>
      </c>
      <c r="BJ15" s="487">
        <v>0</v>
      </c>
      <c r="BK15" s="488">
        <f t="shared" si="108"/>
        <v>3.4762238297084011E-2</v>
      </c>
      <c r="BL15" s="487">
        <v>0</v>
      </c>
      <c r="BM15" s="489">
        <f t="shared" ref="BM15" si="165">AVERAGE(BL12:BL15)</f>
        <v>0</v>
      </c>
      <c r="BN15" s="487"/>
      <c r="BO15" s="489" t="e">
        <f t="shared" ref="BO15" si="166">AVERAGE(BN12:BN15)</f>
        <v>#DIV/0!</v>
      </c>
      <c r="BP15" s="487">
        <v>0</v>
      </c>
      <c r="BQ15" s="489">
        <f t="shared" ref="BQ15" si="167">AVERAGE(BP12:BP15)</f>
        <v>0</v>
      </c>
      <c r="BR15" s="487"/>
      <c r="BS15" s="489" t="e">
        <f t="shared" ref="BS15" si="168">AVERAGE(BR12:BR15)</f>
        <v>#DIV/0!</v>
      </c>
      <c r="BT15" s="487">
        <v>0</v>
      </c>
      <c r="BU15" s="490">
        <f t="shared" si="86"/>
        <v>0</v>
      </c>
      <c r="BV15" s="74">
        <v>7466.5877097309804</v>
      </c>
      <c r="BW15" s="81">
        <f t="shared" si="113"/>
        <v>7296.8745952129848</v>
      </c>
      <c r="BX15" s="74">
        <v>9277.9464312600976</v>
      </c>
      <c r="BY15" s="81">
        <f t="shared" ref="BY15" si="169">AVERAGE(BX12:BX15)</f>
        <v>9073.2235925695459</v>
      </c>
      <c r="BZ15" s="494">
        <v>10241.555205047322</v>
      </c>
      <c r="CA15" s="495">
        <f t="shared" si="43"/>
        <v>9837.4819659719469</v>
      </c>
      <c r="CB15" s="74">
        <v>10241.555205047322</v>
      </c>
      <c r="CC15" s="81">
        <f t="shared" ref="CC15" si="170">AVERAGE(CB12:CB15)</f>
        <v>9837.4819659719469</v>
      </c>
      <c r="CD15" s="74" t="e">
        <v>#DIV/0!</v>
      </c>
      <c r="CE15" s="81" t="e">
        <f t="shared" si="45"/>
        <v>#DIV/0!</v>
      </c>
      <c r="CF15" s="74">
        <v>8391.3819179389029</v>
      </c>
      <c r="CG15" s="99">
        <f t="shared" si="89"/>
        <v>8751.5030752367129</v>
      </c>
      <c r="CH15" s="156">
        <v>3.7071994501555745E-2</v>
      </c>
      <c r="CI15" s="157">
        <f t="shared" si="113"/>
        <v>3.5635969188819665E-2</v>
      </c>
      <c r="CJ15" s="156">
        <v>6.6738450706433583E-2</v>
      </c>
      <c r="CK15" s="81">
        <f t="shared" ref="CK15" si="171">AVERAGE(CJ12:CJ15)</f>
        <v>7.5415877831177841E-2</v>
      </c>
      <c r="CL15" s="491">
        <v>5.9936908517350146E-2</v>
      </c>
      <c r="CM15" s="483">
        <f t="shared" si="47"/>
        <v>7.8190365565782211E-2</v>
      </c>
      <c r="CN15" s="156">
        <v>5.9936908517350146E-2</v>
      </c>
      <c r="CO15" s="483">
        <f t="shared" ref="CO15" si="172">AVERAGE(CN12:CN15)</f>
        <v>7.8190365565782211E-2</v>
      </c>
      <c r="CP15" s="156" t="e">
        <v>#DIV/0!</v>
      </c>
      <c r="CQ15" s="483" t="e">
        <f t="shared" si="49"/>
        <v>#DIV/0!</v>
      </c>
      <c r="CR15" s="156">
        <v>7.2996183206106582E-2</v>
      </c>
      <c r="CS15" s="158">
        <f t="shared" si="92"/>
        <v>8.0337244612401881E-2</v>
      </c>
      <c r="CT15" s="105">
        <v>44.247005593120669</v>
      </c>
      <c r="CU15" s="106">
        <f t="shared" si="118"/>
        <v>43.968440871259084</v>
      </c>
      <c r="CV15" s="105">
        <v>48.298552585704499</v>
      </c>
      <c r="CW15" s="81">
        <f t="shared" ref="CW15" si="173">AVERAGE(CV12:CV15)</f>
        <v>47.790972341401201</v>
      </c>
      <c r="CX15" s="492">
        <v>52.561514195583591</v>
      </c>
      <c r="CY15" s="493">
        <f t="shared" si="51"/>
        <v>52.303490305808907</v>
      </c>
      <c r="CZ15" s="105">
        <v>52.561514195583591</v>
      </c>
      <c r="DA15" s="106">
        <f t="shared" ref="DA15" si="174">AVERAGE(CZ12:CZ15)</f>
        <v>52.303490305808907</v>
      </c>
      <c r="DB15" s="105" t="e">
        <v>#DIV/0!</v>
      </c>
      <c r="DC15" s="106" t="e">
        <f t="shared" si="53"/>
        <v>#DIV/0!</v>
      </c>
      <c r="DD15" s="105">
        <v>44.37643129770975</v>
      </c>
      <c r="DE15" s="107">
        <f t="shared" si="95"/>
        <v>44.094447445713406</v>
      </c>
    </row>
    <row r="16" spans="1:109" x14ac:dyDescent="0.25">
      <c r="A16" s="155">
        <f t="shared" si="15"/>
        <v>45233</v>
      </c>
      <c r="B16" s="74">
        <v>39.387749277838189</v>
      </c>
      <c r="C16" s="81">
        <f t="shared" si="96"/>
        <v>38.579016975689569</v>
      </c>
      <c r="D16" s="74">
        <v>41.999496988627115</v>
      </c>
      <c r="E16" s="81">
        <f t="shared" si="16"/>
        <v>41.562246735011527</v>
      </c>
      <c r="F16" s="74">
        <v>43.619658119658105</v>
      </c>
      <c r="G16" s="81">
        <f t="shared" si="16"/>
        <v>43.246218644731776</v>
      </c>
      <c r="H16" s="74">
        <v>43.619658119658105</v>
      </c>
      <c r="I16" s="81">
        <f t="shared" ref="I16" si="175">AVERAGE(H13:H16)</f>
        <v>43.246218644731776</v>
      </c>
      <c r="J16" s="74" t="e">
        <v>#DIV/0!</v>
      </c>
      <c r="K16" s="81" t="e">
        <f t="shared" si="18"/>
        <v>#DIV/0!</v>
      </c>
      <c r="L16" s="74">
        <v>39.860271156134949</v>
      </c>
      <c r="M16" s="99">
        <f t="shared" ref="M16" si="176">AVERAGE(L13:L16)</f>
        <v>39.938425415800431</v>
      </c>
      <c r="N16" s="156">
        <v>6.2929708960357239E-2</v>
      </c>
      <c r="O16" s="157">
        <f t="shared" si="96"/>
        <v>6.9590943540749781E-2</v>
      </c>
      <c r="P16" s="156">
        <v>7.9995469565503741E-2</v>
      </c>
      <c r="Q16" s="157">
        <f t="shared" si="20"/>
        <v>0.1055304121238381</v>
      </c>
      <c r="R16" s="491">
        <v>5.3418803418803396E-2</v>
      </c>
      <c r="S16" s="483">
        <f t="shared" si="21"/>
        <v>8.0751515176173169E-2</v>
      </c>
      <c r="T16" s="156">
        <v>5.3418803418803396E-2</v>
      </c>
      <c r="U16" s="157">
        <f t="shared" si="22"/>
        <v>8.0751515176173169E-2</v>
      </c>
      <c r="V16" s="156" t="e">
        <v>#DIV/0!</v>
      </c>
      <c r="W16" s="157" t="e">
        <f t="shared" si="23"/>
        <v>#DIV/0!</v>
      </c>
      <c r="X16" s="156">
        <v>0.11508672664705248</v>
      </c>
      <c r="Y16" s="158">
        <f t="shared" si="24"/>
        <v>0.12956362340364616</v>
      </c>
      <c r="Z16" s="156">
        <v>0.12607562691119631</v>
      </c>
      <c r="AA16" s="157">
        <f t="shared" si="99"/>
        <v>0.14178493467629188</v>
      </c>
      <c r="AB16" s="156">
        <v>0.13125722490099828</v>
      </c>
      <c r="AC16" s="81">
        <f t="shared" ref="AC16" si="177">AVERAGE(AB13:AB16)</f>
        <v>0.17171620834710893</v>
      </c>
      <c r="AD16" s="491">
        <v>9.1280290812125117E-2</v>
      </c>
      <c r="AE16" s="483">
        <f t="shared" si="26"/>
        <v>0.14832784507125585</v>
      </c>
      <c r="AF16" s="156">
        <v>9.1280290812125117E-2</v>
      </c>
      <c r="AG16" s="483">
        <f t="shared" ref="AG16" si="178">AVERAGE(AF13:AF16)</f>
        <v>0.14832784507125585</v>
      </c>
      <c r="AH16" s="156" t="e">
        <v>#DIV/0!</v>
      </c>
      <c r="AI16" s="483" t="e">
        <f t="shared" si="28"/>
        <v>#DIV/0!</v>
      </c>
      <c r="AJ16" s="156">
        <v>0.17573139987525263</v>
      </c>
      <c r="AK16" s="158">
        <f t="shared" si="29"/>
        <v>0.19349139300995619</v>
      </c>
      <c r="AL16" s="74">
        <v>7128.167947155006</v>
      </c>
      <c r="AM16" s="81">
        <f t="shared" si="102"/>
        <v>7373.9136664484531</v>
      </c>
      <c r="AN16" s="74">
        <v>6620.0192143616187</v>
      </c>
      <c r="AO16" s="81">
        <f t="shared" ref="AO16" si="179">AVERAGE(AN13:AN16)</f>
        <v>6670.4656693085399</v>
      </c>
      <c r="AP16" s="494">
        <v>6590.6132478632471</v>
      </c>
      <c r="AQ16" s="495">
        <f t="shared" si="31"/>
        <v>6893.1878056191845</v>
      </c>
      <c r="AR16" s="74">
        <v>6590.6132478632471</v>
      </c>
      <c r="AS16" s="81">
        <f t="shared" ref="AS16" si="180">AVERAGE(AR13:AR16)</f>
        <v>6893.1878056191845</v>
      </c>
      <c r="AT16" s="74" t="e">
        <v>#DIV/0!</v>
      </c>
      <c r="AU16" s="81" t="e">
        <f t="shared" si="33"/>
        <v>#DIV/0!</v>
      </c>
      <c r="AV16" s="74">
        <v>6658.8462186378447</v>
      </c>
      <c r="AW16" s="99">
        <f t="shared" si="78"/>
        <v>6488.8647214980865</v>
      </c>
      <c r="AX16" s="105">
        <v>4.5720219349993192</v>
      </c>
      <c r="AY16" s="106">
        <f t="shared" si="105"/>
        <v>4.3060385546315221</v>
      </c>
      <c r="AZ16" s="105">
        <v>5.70203070035633</v>
      </c>
      <c r="BA16" s="81">
        <f t="shared" ref="BA16" si="181">AVERAGE(AZ13:AZ16)</f>
        <v>5.2924797848248328</v>
      </c>
      <c r="BB16" s="492">
        <v>6.5170940170940135</v>
      </c>
      <c r="BC16" s="493">
        <f t="shared" si="35"/>
        <v>5.8438418151997631</v>
      </c>
      <c r="BD16" s="105">
        <v>6.5170940170940135</v>
      </c>
      <c r="BE16" s="106">
        <f t="shared" ref="BE16" si="182">AVERAGE(BD13:BD16)</f>
        <v>5.8438418151997631</v>
      </c>
      <c r="BF16" s="105" t="e">
        <v>#DIV/0!</v>
      </c>
      <c r="BG16" s="106" t="e">
        <f t="shared" si="37"/>
        <v>#DIV/0!</v>
      </c>
      <c r="BH16" s="105">
        <v>4.6258386668068932</v>
      </c>
      <c r="BI16" s="107">
        <f t="shared" si="81"/>
        <v>4.709368543273321</v>
      </c>
      <c r="BJ16" s="487">
        <v>0</v>
      </c>
      <c r="BK16" s="488">
        <f t="shared" si="108"/>
        <v>2.5183690552567601E-2</v>
      </c>
      <c r="BL16" s="487">
        <v>0</v>
      </c>
      <c r="BM16" s="489">
        <f t="shared" ref="BM16" si="183">AVERAGE(BL13:BL16)</f>
        <v>0</v>
      </c>
      <c r="BN16" s="487"/>
      <c r="BO16" s="489" t="e">
        <f t="shared" ref="BO16" si="184">AVERAGE(BN13:BN16)</f>
        <v>#DIV/0!</v>
      </c>
      <c r="BP16" s="487">
        <v>0</v>
      </c>
      <c r="BQ16" s="489">
        <f t="shared" ref="BQ16" si="185">AVERAGE(BP13:BP16)</f>
        <v>0</v>
      </c>
      <c r="BR16" s="487"/>
      <c r="BS16" s="489" t="e">
        <f t="shared" ref="BS16" si="186">AVERAGE(BR13:BR16)</f>
        <v>#DIV/0!</v>
      </c>
      <c r="BT16" s="487">
        <v>0</v>
      </c>
      <c r="BU16" s="490">
        <f t="shared" si="86"/>
        <v>0</v>
      </c>
      <c r="BV16" s="74">
        <v>7527.5897726933017</v>
      </c>
      <c r="BW16" s="81">
        <f t="shared" si="113"/>
        <v>7326.1684713223958</v>
      </c>
      <c r="BX16" s="74">
        <v>9702.4182189946423</v>
      </c>
      <c r="BY16" s="81">
        <f t="shared" ref="BY16" si="187">AVERAGE(BX13:BX16)</f>
        <v>9271.3905253551748</v>
      </c>
      <c r="BZ16" s="494">
        <v>10922.33547008546</v>
      </c>
      <c r="CA16" s="495">
        <f t="shared" si="43"/>
        <v>10192.988247286416</v>
      </c>
      <c r="CB16" s="74">
        <v>10922.33547008546</v>
      </c>
      <c r="CC16" s="81">
        <f t="shared" ref="CC16" si="188">AVERAGE(CB13:CB16)</f>
        <v>10192.988247286416</v>
      </c>
      <c r="CD16" s="74" t="e">
        <v>#DIV/0!</v>
      </c>
      <c r="CE16" s="81" t="e">
        <f t="shared" si="45"/>
        <v>#DIV/0!</v>
      </c>
      <c r="CF16" s="74">
        <v>8091.6657777386135</v>
      </c>
      <c r="CG16" s="99">
        <f t="shared" si="89"/>
        <v>8615.1865711385271</v>
      </c>
      <c r="CH16" s="156">
        <v>4.0012713196933863E-2</v>
      </c>
      <c r="CI16" s="157">
        <f t="shared" si="113"/>
        <v>3.6499565553472731E-2</v>
      </c>
      <c r="CJ16" s="156">
        <v>7.0897958639865172E-2</v>
      </c>
      <c r="CK16" s="81">
        <f t="shared" ref="CK16" si="189">AVERAGE(CJ13:CJ16)</f>
        <v>7.2520990257362083E-2</v>
      </c>
      <c r="CL16" s="491">
        <v>7.6923076923076886E-2</v>
      </c>
      <c r="CM16" s="483">
        <f t="shared" si="47"/>
        <v>7.4432629049424992E-2</v>
      </c>
      <c r="CN16" s="156">
        <v>7.6923076923076886E-2</v>
      </c>
      <c r="CO16" s="483">
        <f t="shared" ref="CO16" si="190">AVERAGE(CN13:CN16)</f>
        <v>7.4432629049424992E-2</v>
      </c>
      <c r="CP16" s="156" t="e">
        <v>#DIV/0!</v>
      </c>
      <c r="CQ16" s="483" t="e">
        <f t="shared" si="49"/>
        <v>#DIV/0!</v>
      </c>
      <c r="CR16" s="156">
        <v>6.2942522338868739E-2</v>
      </c>
      <c r="CS16" s="158">
        <f t="shared" si="92"/>
        <v>7.7342082603759882E-2</v>
      </c>
      <c r="CT16" s="105">
        <v>45.920344528907002</v>
      </c>
      <c r="CU16" s="106">
        <f t="shared" si="118"/>
        <v>44.188272701052291</v>
      </c>
      <c r="CV16" s="105">
        <v>50.00496015888821</v>
      </c>
      <c r="CW16" s="81">
        <f t="shared" ref="CW16" si="191">AVERAGE(CV13:CV16)</f>
        <v>48.545948054587313</v>
      </c>
      <c r="CX16" s="492">
        <v>53.876068376068353</v>
      </c>
      <c r="CY16" s="493">
        <f t="shared" si="51"/>
        <v>52.624518894078875</v>
      </c>
      <c r="CZ16" s="105">
        <v>53.876068376068353</v>
      </c>
      <c r="DA16" s="106">
        <f t="shared" ref="DA16" si="192">AVERAGE(CZ13:CZ16)</f>
        <v>52.624518894078875</v>
      </c>
      <c r="DB16" s="105" t="e">
        <v>#DIV/0!</v>
      </c>
      <c r="DC16" s="106" t="e">
        <f t="shared" si="53"/>
        <v>#DIV/0!</v>
      </c>
      <c r="DD16" s="105">
        <v>44.893632316271258</v>
      </c>
      <c r="DE16" s="107">
        <f t="shared" si="95"/>
        <v>44.234172022872862</v>
      </c>
    </row>
    <row r="17" spans="1:109" x14ac:dyDescent="0.25">
      <c r="A17" s="155">
        <f t="shared" si="15"/>
        <v>45240</v>
      </c>
      <c r="B17" s="74">
        <v>39.636421098135123</v>
      </c>
      <c r="C17" s="81">
        <f t="shared" si="96"/>
        <v>38.785893129275969</v>
      </c>
      <c r="D17" s="74">
        <v>42.170842985616275</v>
      </c>
      <c r="E17" s="81">
        <f t="shared" si="16"/>
        <v>41.776765109903977</v>
      </c>
      <c r="F17" s="74">
        <v>44.023316062176171</v>
      </c>
      <c r="G17" s="81">
        <f t="shared" si="16"/>
        <v>43.551625719347555</v>
      </c>
      <c r="H17" s="74">
        <v>44.023316062176171</v>
      </c>
      <c r="I17" s="81">
        <f t="shared" ref="I17" si="193">AVERAGE(H14:H17)</f>
        <v>43.551625719347555</v>
      </c>
      <c r="J17" s="74" t="e">
        <v>#DIV/0!</v>
      </c>
      <c r="K17" s="81" t="e">
        <f t="shared" si="18"/>
        <v>#DIV/0!</v>
      </c>
      <c r="L17" s="74">
        <v>39.868508569966743</v>
      </c>
      <c r="M17" s="99">
        <f t="shared" ref="M17" si="194">AVERAGE(L14:L17)</f>
        <v>39.871502133518248</v>
      </c>
      <c r="N17" s="156">
        <v>7.1802017118223135E-2</v>
      </c>
      <c r="O17" s="157">
        <f t="shared" si="96"/>
        <v>6.9861308903015631E-2</v>
      </c>
      <c r="P17" s="156">
        <v>8.7653539222936436E-2</v>
      </c>
      <c r="Q17" s="157">
        <f t="shared" si="20"/>
        <v>9.5564730722777241E-2</v>
      </c>
      <c r="R17" s="491">
        <v>5.9585492227979278E-2</v>
      </c>
      <c r="S17" s="483">
        <f t="shared" si="21"/>
        <v>7.0331432536965457E-2</v>
      </c>
      <c r="T17" s="156">
        <v>5.9585492227979278E-2</v>
      </c>
      <c r="U17" s="157">
        <f t="shared" si="22"/>
        <v>7.0331432536965457E-2</v>
      </c>
      <c r="V17" s="156" t="e">
        <v>#DIV/0!</v>
      </c>
      <c r="W17" s="157" t="e">
        <f t="shared" si="23"/>
        <v>#DIV/0!</v>
      </c>
      <c r="X17" s="156">
        <v>0.12253773343566129</v>
      </c>
      <c r="Y17" s="158">
        <f t="shared" si="24"/>
        <v>0.12313310746138326</v>
      </c>
      <c r="Z17" s="156">
        <v>0.13432508934249951</v>
      </c>
      <c r="AA17" s="157">
        <f t="shared" si="99"/>
        <v>0.13967912220388118</v>
      </c>
      <c r="AB17" s="156">
        <v>0.14892264285776644</v>
      </c>
      <c r="AC17" s="81">
        <f t="shared" ref="AC17" si="195">AVERAGE(AB14:AB17)</f>
        <v>0.16066938509909584</v>
      </c>
      <c r="AD17" s="491">
        <v>0.1077647225551583</v>
      </c>
      <c r="AE17" s="483">
        <f t="shared" si="26"/>
        <v>0.13548541576284034</v>
      </c>
      <c r="AF17" s="156">
        <v>0.1077647225551583</v>
      </c>
      <c r="AG17" s="483">
        <f t="shared" ref="AG17" si="196">AVERAGE(AF14:AF17)</f>
        <v>0.13548541576284034</v>
      </c>
      <c r="AH17" s="156" t="e">
        <v>#DIV/0!</v>
      </c>
      <c r="AI17" s="483" t="e">
        <f t="shared" si="28"/>
        <v>#DIV/0!</v>
      </c>
      <c r="AJ17" s="156">
        <v>0.18925686851369158</v>
      </c>
      <c r="AK17" s="158">
        <f t="shared" si="29"/>
        <v>0.18557971082956967</v>
      </c>
      <c r="AL17" s="74">
        <v>7282.3023256159559</v>
      </c>
      <c r="AM17" s="81">
        <f t="shared" si="102"/>
        <v>7331.7459778377515</v>
      </c>
      <c r="AN17" s="74">
        <v>6839.0627647255087</v>
      </c>
      <c r="AO17" s="81">
        <f t="shared" ref="AO17" si="197">AVERAGE(AN14:AN17)</f>
        <v>6674.4769083822448</v>
      </c>
      <c r="AP17" s="494">
        <v>7005.9611398963734</v>
      </c>
      <c r="AQ17" s="495">
        <f t="shared" si="31"/>
        <v>6843.0462340531922</v>
      </c>
      <c r="AR17" s="74">
        <v>7005.9611398963734</v>
      </c>
      <c r="AS17" s="81">
        <f t="shared" ref="AS17" si="198">AVERAGE(AR14:AR17)</f>
        <v>6843.0462340531922</v>
      </c>
      <c r="AT17" s="74" t="e">
        <v>#DIV/0!</v>
      </c>
      <c r="AU17" s="81" t="e">
        <f t="shared" si="33"/>
        <v>#DIV/0!</v>
      </c>
      <c r="AV17" s="74">
        <v>6631.6341775389965</v>
      </c>
      <c r="AW17" s="99">
        <f t="shared" si="78"/>
        <v>6526.3351182011002</v>
      </c>
      <c r="AX17" s="105">
        <v>4.3629591141761752</v>
      </c>
      <c r="AY17" s="106">
        <f t="shared" si="105"/>
        <v>4.3400780617555865</v>
      </c>
      <c r="AZ17" s="105">
        <v>5.8892590391760731</v>
      </c>
      <c r="BA17" s="81">
        <f t="shared" ref="BA17" si="199">AVERAGE(AZ14:AZ17)</f>
        <v>5.486302389998194</v>
      </c>
      <c r="BB17" s="492">
        <v>6.7694300518134725</v>
      </c>
      <c r="BC17" s="493">
        <f t="shared" si="35"/>
        <v>6.1627816066341436</v>
      </c>
      <c r="BD17" s="105">
        <v>6.7694300518134725</v>
      </c>
      <c r="BE17" s="106">
        <f t="shared" ref="BE17" si="200">AVERAGE(BD14:BD17)</f>
        <v>6.1627816066341436</v>
      </c>
      <c r="BF17" s="105" t="e">
        <v>#DIV/0!</v>
      </c>
      <c r="BG17" s="106" t="e">
        <f t="shared" si="37"/>
        <v>#DIV/0!</v>
      </c>
      <c r="BH17" s="105">
        <v>4.7953440777692453</v>
      </c>
      <c r="BI17" s="107">
        <f t="shared" si="81"/>
        <v>4.7067981592088719</v>
      </c>
      <c r="BJ17" s="487">
        <v>0</v>
      </c>
      <c r="BK17" s="488">
        <f t="shared" si="108"/>
        <v>1.7254889717121837E-2</v>
      </c>
      <c r="BL17" s="487">
        <v>0</v>
      </c>
      <c r="BM17" s="489">
        <f t="shared" ref="BM17" si="201">AVERAGE(BL14:BL17)</f>
        <v>0</v>
      </c>
      <c r="BN17" s="487"/>
      <c r="BO17" s="489" t="e">
        <f t="shared" ref="BO17" si="202">AVERAGE(BN14:BN17)</f>
        <v>#DIV/0!</v>
      </c>
      <c r="BP17" s="487">
        <v>0</v>
      </c>
      <c r="BQ17" s="489">
        <f t="shared" ref="BQ17" si="203">AVERAGE(BP14:BP17)</f>
        <v>0</v>
      </c>
      <c r="BR17" s="487"/>
      <c r="BS17" s="489" t="e">
        <f t="shared" ref="BS17" si="204">AVERAGE(BR14:BR17)</f>
        <v>#DIV/0!</v>
      </c>
      <c r="BT17" s="487">
        <v>0</v>
      </c>
      <c r="BU17" s="490">
        <f t="shared" si="86"/>
        <v>0</v>
      </c>
      <c r="BV17" s="74">
        <v>7049.0643667053464</v>
      </c>
      <c r="BW17" s="81">
        <f t="shared" si="113"/>
        <v>7294.0823890785059</v>
      </c>
      <c r="BX17" s="74">
        <v>9266.7487953303535</v>
      </c>
      <c r="BY17" s="81">
        <f t="shared" ref="BY17" si="205">AVERAGE(BX14:BX17)</f>
        <v>9328.0424326768116</v>
      </c>
      <c r="BZ17" s="494">
        <v>10378.725388601039</v>
      </c>
      <c r="CA17" s="495">
        <f t="shared" si="43"/>
        <v>10322.269805407139</v>
      </c>
      <c r="CB17" s="74">
        <v>10378.725388601039</v>
      </c>
      <c r="CC17" s="81">
        <f t="shared" ref="CC17" si="206">AVERAGE(CB14:CB17)</f>
        <v>10322.269805407139</v>
      </c>
      <c r="CD17" s="74" t="e">
        <v>#DIV/0!</v>
      </c>
      <c r="CE17" s="81" t="e">
        <f t="shared" si="45"/>
        <v>#DIV/0!</v>
      </c>
      <c r="CF17" s="74">
        <v>7884.7357380404201</v>
      </c>
      <c r="CG17" s="99">
        <f t="shared" si="89"/>
        <v>8435.1463918884529</v>
      </c>
      <c r="CH17" s="156">
        <v>3.4983006268245985E-2</v>
      </c>
      <c r="CI17" s="157">
        <f t="shared" si="113"/>
        <v>3.5809412295404699E-2</v>
      </c>
      <c r="CJ17" s="156">
        <v>5.7407837137725667E-2</v>
      </c>
      <c r="CK17" s="81">
        <f t="shared" ref="CK17" si="207">AVERAGE(CJ14:CJ17)</f>
        <v>6.7693207227640162E-2</v>
      </c>
      <c r="CL17" s="491">
        <v>5.4404145077720213E-2</v>
      </c>
      <c r="CM17" s="483">
        <f t="shared" si="47"/>
        <v>6.7991471226028041E-2</v>
      </c>
      <c r="CN17" s="156">
        <v>5.4404145077720213E-2</v>
      </c>
      <c r="CO17" s="483">
        <f t="shared" ref="CO17" si="208">AVERAGE(CN14:CN17)</f>
        <v>6.7991471226028041E-2</v>
      </c>
      <c r="CP17" s="156" t="e">
        <v>#DIV/0!</v>
      </c>
      <c r="CQ17" s="483" t="e">
        <f t="shared" si="49"/>
        <v>#DIV/0!</v>
      </c>
      <c r="CR17" s="156">
        <v>6.1140956766436425E-2</v>
      </c>
      <c r="CS17" s="158">
        <f t="shared" si="92"/>
        <v>7.3203178531405871E-2</v>
      </c>
      <c r="CT17" s="105">
        <v>44.503499839209319</v>
      </c>
      <c r="CU17" s="106">
        <f t="shared" si="118"/>
        <v>44.30469896246111</v>
      </c>
      <c r="CV17" s="105">
        <v>49.593972097995575</v>
      </c>
      <c r="CW17" s="81">
        <f t="shared" ref="CW17" si="209">AVERAGE(CV14:CV17)</f>
        <v>48.966574004104586</v>
      </c>
      <c r="CX17" s="492">
        <v>52.847150259067355</v>
      </c>
      <c r="CY17" s="493">
        <f t="shared" si="51"/>
        <v>52.819428821714908</v>
      </c>
      <c r="CZ17" s="105">
        <v>52.847150259067355</v>
      </c>
      <c r="DA17" s="106">
        <f t="shared" ref="DA17" si="210">AVERAGE(CZ14:CZ17)</f>
        <v>52.819428821714908</v>
      </c>
      <c r="DB17" s="105" t="e">
        <v>#DIV/0!</v>
      </c>
      <c r="DC17" s="106" t="e">
        <f t="shared" si="53"/>
        <v>#DIV/0!</v>
      </c>
      <c r="DD17" s="105">
        <v>45.550780250703504</v>
      </c>
      <c r="DE17" s="107">
        <f t="shared" si="95"/>
        <v>44.458360285846688</v>
      </c>
    </row>
    <row r="18" spans="1:109" x14ac:dyDescent="0.25">
      <c r="A18" s="155">
        <f t="shared" si="15"/>
        <v>45247</v>
      </c>
      <c r="B18" s="74">
        <v>40.22580881977224</v>
      </c>
      <c r="C18" s="81">
        <f t="shared" si="96"/>
        <v>39.077593516413131</v>
      </c>
      <c r="D18" s="74">
        <v>42.447568997452436</v>
      </c>
      <c r="E18" s="81">
        <f t="shared" si="16"/>
        <v>42.00808439099859</v>
      </c>
      <c r="F18" s="74">
        <v>44.222482435597172</v>
      </c>
      <c r="G18" s="81">
        <f t="shared" si="16"/>
        <v>43.711632293159127</v>
      </c>
      <c r="H18" s="74">
        <v>44.222482435597172</v>
      </c>
      <c r="I18" s="81">
        <f t="shared" ref="I18" si="211">AVERAGE(H15:H18)</f>
        <v>43.711632293159127</v>
      </c>
      <c r="J18" s="74" t="e">
        <v>#DIV/0!</v>
      </c>
      <c r="K18" s="81" t="e">
        <f t="shared" si="18"/>
        <v>#DIV/0!</v>
      </c>
      <c r="L18" s="74">
        <v>40.143478260869578</v>
      </c>
      <c r="M18" s="99">
        <f t="shared" ref="M18" si="212">AVERAGE(L15:L18)</f>
        <v>39.961325470025223</v>
      </c>
      <c r="N18" s="156">
        <v>5.3368832839284036E-2</v>
      </c>
      <c r="O18" s="157">
        <f t="shared" si="96"/>
        <v>6.672342887685305E-2</v>
      </c>
      <c r="P18" s="156">
        <v>6.3881992646648983E-2</v>
      </c>
      <c r="Q18" s="157">
        <f t="shared" si="20"/>
        <v>8.5619689459252607E-2</v>
      </c>
      <c r="R18" s="491">
        <v>3.512880562060889E-2</v>
      </c>
      <c r="S18" s="483">
        <f t="shared" si="21"/>
        <v>6.0692581310538729E-2</v>
      </c>
      <c r="T18" s="156">
        <v>3.512880562060889E-2</v>
      </c>
      <c r="U18" s="157">
        <f t="shared" si="22"/>
        <v>6.0692581310538729E-2</v>
      </c>
      <c r="V18" s="156" t="e">
        <v>#DIV/0!</v>
      </c>
      <c r="W18" s="157" t="e">
        <f t="shared" si="23"/>
        <v>#DIV/0!</v>
      </c>
      <c r="X18" s="156">
        <v>0.10120772946859903</v>
      </c>
      <c r="Y18" s="158">
        <f t="shared" si="24"/>
        <v>0.11619659700614871</v>
      </c>
      <c r="Z18" s="156">
        <v>0.11861533522374459</v>
      </c>
      <c r="AA18" s="157">
        <f t="shared" si="99"/>
        <v>0.13471822256920213</v>
      </c>
      <c r="AB18" s="156">
        <v>0.12003599911654585</v>
      </c>
      <c r="AC18" s="81">
        <f t="shared" ref="AC18" si="213">AVERAGE(AB15:AB18)</f>
        <v>0.1475553165601281</v>
      </c>
      <c r="AD18" s="491">
        <v>8.1538184175829601E-2</v>
      </c>
      <c r="AE18" s="483">
        <f t="shared" si="26"/>
        <v>0.1188355838604095</v>
      </c>
      <c r="AF18" s="156">
        <v>8.1538184175829601E-2</v>
      </c>
      <c r="AG18" s="483">
        <f t="shared" ref="AG18" si="214">AVERAGE(AF15:AF18)</f>
        <v>0.1188355838604095</v>
      </c>
      <c r="AH18" s="156" t="e">
        <v>#DIV/0!</v>
      </c>
      <c r="AI18" s="483" t="e">
        <f t="shared" si="28"/>
        <v>#DIV/0!</v>
      </c>
      <c r="AJ18" s="156">
        <v>0.15848540225259977</v>
      </c>
      <c r="AK18" s="158">
        <f t="shared" si="29"/>
        <v>0.17723456492105411</v>
      </c>
      <c r="AL18" s="74">
        <v>7373.0930952434264</v>
      </c>
      <c r="AM18" s="81">
        <f t="shared" si="102"/>
        <v>7322.9758354465694</v>
      </c>
      <c r="AN18" s="74">
        <v>6882.6949277458698</v>
      </c>
      <c r="AO18" s="81">
        <f t="shared" ref="AO18" si="215">AVERAGE(AN15:AN18)</f>
        <v>6741.5645081218872</v>
      </c>
      <c r="AP18" s="494">
        <v>7170.1053864168625</v>
      </c>
      <c r="AQ18" s="495">
        <f t="shared" si="31"/>
        <v>6909.2480192539006</v>
      </c>
      <c r="AR18" s="74">
        <v>7170.1053864168625</v>
      </c>
      <c r="AS18" s="81">
        <f t="shared" ref="AS18" si="216">AVERAGE(AR15:AR18)</f>
        <v>6909.2480192539006</v>
      </c>
      <c r="AT18" s="74" t="e">
        <v>#DIV/0!</v>
      </c>
      <c r="AU18" s="81" t="e">
        <f t="shared" si="33"/>
        <v>#DIV/0!</v>
      </c>
      <c r="AV18" s="74">
        <v>6509.5951690821121</v>
      </c>
      <c r="AW18" s="99">
        <f t="shared" si="78"/>
        <v>6528.0108788241896</v>
      </c>
      <c r="AX18" s="105">
        <v>4.5833163881877592</v>
      </c>
      <c r="AY18" s="106">
        <f t="shared" si="105"/>
        <v>4.4088699212986402</v>
      </c>
      <c r="AZ18" s="105">
        <v>6.052139245668628</v>
      </c>
      <c r="BA18" s="81">
        <f t="shared" ref="BA18" si="217">AVERAGE(AZ15:AZ18)</f>
        <v>5.6912705567310855</v>
      </c>
      <c r="BB18" s="492">
        <v>6.871194379391099</v>
      </c>
      <c r="BC18" s="493">
        <f t="shared" si="35"/>
        <v>6.446369675166129</v>
      </c>
      <c r="BD18" s="105">
        <v>6.871194379391099</v>
      </c>
      <c r="BE18" s="106">
        <f t="shared" ref="BE18" si="218">AVERAGE(BD15:BD18)</f>
        <v>6.446369675166129</v>
      </c>
      <c r="BF18" s="105" t="e">
        <v>#DIV/0!</v>
      </c>
      <c r="BG18" s="106" t="e">
        <f t="shared" si="37"/>
        <v>#DIV/0!</v>
      </c>
      <c r="BH18" s="105">
        <v>4.9888888888888774</v>
      </c>
      <c r="BI18" s="107">
        <f t="shared" si="81"/>
        <v>4.7621052675594582</v>
      </c>
      <c r="BJ18" s="487">
        <v>0</v>
      </c>
      <c r="BK18" s="488">
        <f t="shared" si="108"/>
        <v>7.5116021383653123E-3</v>
      </c>
      <c r="BL18" s="487">
        <v>0</v>
      </c>
      <c r="BM18" s="489">
        <f t="shared" ref="BM18" si="219">AVERAGE(BL15:BL18)</f>
        <v>0</v>
      </c>
      <c r="BN18" s="487"/>
      <c r="BO18" s="489" t="e">
        <f t="shared" ref="BO18" si="220">AVERAGE(BN15:BN18)</f>
        <v>#DIV/0!</v>
      </c>
      <c r="BP18" s="487">
        <v>0</v>
      </c>
      <c r="BQ18" s="489">
        <f t="shared" ref="BQ18" si="221">AVERAGE(BP15:BP18)</f>
        <v>0</v>
      </c>
      <c r="BR18" s="487"/>
      <c r="BS18" s="489" t="e">
        <f t="shared" ref="BS18" si="222">AVERAGE(BR15:BR18)</f>
        <v>#DIV/0!</v>
      </c>
      <c r="BT18" s="487">
        <v>0</v>
      </c>
      <c r="BU18" s="490">
        <f t="shared" si="86"/>
        <v>0</v>
      </c>
      <c r="BV18" s="74">
        <v>6933.1200338623958</v>
      </c>
      <c r="BW18" s="81">
        <f t="shared" si="113"/>
        <v>7248.0151810083471</v>
      </c>
      <c r="BX18" s="74">
        <v>9090.5729009479928</v>
      </c>
      <c r="BY18" s="81">
        <f t="shared" ref="BY18" si="223">AVERAGE(BX15:BX18)</f>
        <v>9334.4215866332725</v>
      </c>
      <c r="BZ18" s="494">
        <v>10003.608899297422</v>
      </c>
      <c r="CA18" s="495">
        <f t="shared" si="43"/>
        <v>10386.556240757811</v>
      </c>
      <c r="CB18" s="74">
        <v>10003.608899297422</v>
      </c>
      <c r="CC18" s="81">
        <f t="shared" ref="CC18" si="224">AVERAGE(CB15:CB18)</f>
        <v>10386.556240757811</v>
      </c>
      <c r="CD18" s="74" t="e">
        <v>#DIV/0!</v>
      </c>
      <c r="CE18" s="81" t="e">
        <f t="shared" si="45"/>
        <v>#DIV/0!</v>
      </c>
      <c r="CF18" s="74">
        <v>7905.3219806763309</v>
      </c>
      <c r="CG18" s="99">
        <f t="shared" si="89"/>
        <v>8254.0343057206537</v>
      </c>
      <c r="CH18" s="156">
        <v>3.7080100476428283E-2</v>
      </c>
      <c r="CI18" s="157">
        <f t="shared" si="113"/>
        <v>3.5935577545454532E-2</v>
      </c>
      <c r="CJ18" s="156">
        <v>5.8358552452397086E-2</v>
      </c>
      <c r="CK18" s="81">
        <f t="shared" ref="CK18" si="225">AVERAGE(CJ15:CJ18)</f>
        <v>6.335069973410537E-2</v>
      </c>
      <c r="CL18" s="491">
        <v>6.0889929742388736E-2</v>
      </c>
      <c r="CM18" s="483">
        <f t="shared" si="47"/>
        <v>6.3038515065133999E-2</v>
      </c>
      <c r="CN18" s="156">
        <v>6.0889929742388736E-2</v>
      </c>
      <c r="CO18" s="483">
        <f t="shared" ref="CO18" si="226">AVERAGE(CN15:CN18)</f>
        <v>6.3038515065133999E-2</v>
      </c>
      <c r="CP18" s="156" t="e">
        <v>#DIV/0!</v>
      </c>
      <c r="CQ18" s="483" t="e">
        <f t="shared" si="49"/>
        <v>#DIV/0!</v>
      </c>
      <c r="CR18" s="156">
        <v>5.5072463768115934E-2</v>
      </c>
      <c r="CS18" s="158">
        <f t="shared" si="92"/>
        <v>6.7938463949921105E-2</v>
      </c>
      <c r="CT18" s="105">
        <v>45.447570167900047</v>
      </c>
      <c r="CU18" s="106">
        <f t="shared" si="118"/>
        <v>44.550110144260579</v>
      </c>
      <c r="CV18" s="105">
        <v>49.447688599309274</v>
      </c>
      <c r="CW18" s="81">
        <f t="shared" ref="CW18" si="227">AVERAGE(CV15:CV18)</f>
        <v>49.336293360474386</v>
      </c>
      <c r="CX18" s="492">
        <v>52.625292740046831</v>
      </c>
      <c r="CY18" s="493">
        <f t="shared" si="51"/>
        <v>52.977506392691531</v>
      </c>
      <c r="CZ18" s="105">
        <v>52.625292740046831</v>
      </c>
      <c r="DA18" s="106">
        <f t="shared" ref="DA18" si="228">AVERAGE(CZ15:CZ18)</f>
        <v>52.977506392691531</v>
      </c>
      <c r="DB18" s="105" t="e">
        <v>#DIV/0!</v>
      </c>
      <c r="DC18" s="106" t="e">
        <f t="shared" si="53"/>
        <v>#DIV/0!</v>
      </c>
      <c r="DD18" s="105">
        <v>45.32270531400966</v>
      </c>
      <c r="DE18" s="107">
        <f t="shared" si="95"/>
        <v>44.802313751290846</v>
      </c>
    </row>
    <row r="19" spans="1:109" x14ac:dyDescent="0.25">
      <c r="A19" s="155">
        <f t="shared" si="15"/>
        <v>45254</v>
      </c>
      <c r="B19" s="74">
        <v>39.935731355236591</v>
      </c>
      <c r="C19" s="81">
        <f t="shared" si="96"/>
        <v>39.389745704231345</v>
      </c>
      <c r="D19" s="74">
        <v>42.33378164056387</v>
      </c>
      <c r="E19" s="81">
        <f t="shared" si="16"/>
        <v>42.237922653064928</v>
      </c>
      <c r="F19" s="74">
        <v>44.008316008315987</v>
      </c>
      <c r="G19" s="81">
        <f t="shared" si="16"/>
        <v>43.968443156436862</v>
      </c>
      <c r="H19" s="74">
        <v>44.008316008315987</v>
      </c>
      <c r="I19" s="81">
        <f t="shared" ref="I19" si="229">AVERAGE(H16:H19)</f>
        <v>43.968443156436862</v>
      </c>
      <c r="J19" s="74" t="e">
        <v>#DIV/0!</v>
      </c>
      <c r="K19" s="81" t="e">
        <f t="shared" si="18"/>
        <v>#DIV/0!</v>
      </c>
      <c r="L19" s="74">
        <v>39.950152833294155</v>
      </c>
      <c r="M19" s="99">
        <f t="shared" ref="M19" si="230">AVERAGE(L16:L19)</f>
        <v>39.955602705066354</v>
      </c>
      <c r="N19" s="156">
        <v>6.3473232820149647E-2</v>
      </c>
      <c r="O19" s="157">
        <f t="shared" si="96"/>
        <v>6.5854535347541363E-2</v>
      </c>
      <c r="P19" s="156">
        <v>8.3181109529638975E-2</v>
      </c>
      <c r="Q19" s="157">
        <f t="shared" si="20"/>
        <v>7.8678027741182044E-2</v>
      </c>
      <c r="R19" s="491">
        <v>6.8607068607068569E-2</v>
      </c>
      <c r="S19" s="483">
        <f t="shared" si="21"/>
        <v>5.4185042468615038E-2</v>
      </c>
      <c r="T19" s="156">
        <v>6.8607068607068569E-2</v>
      </c>
      <c r="U19" s="157">
        <f t="shared" si="22"/>
        <v>5.4185042468615038E-2</v>
      </c>
      <c r="V19" s="156" t="e">
        <v>#DIV/0!</v>
      </c>
      <c r="W19" s="157" t="e">
        <f t="shared" si="23"/>
        <v>#DIV/0!</v>
      </c>
      <c r="X19" s="156">
        <v>0.10392664001881025</v>
      </c>
      <c r="Y19" s="158">
        <f t="shared" si="24"/>
        <v>0.11068970739253076</v>
      </c>
      <c r="Z19" s="156">
        <v>0.13049872451630051</v>
      </c>
      <c r="AA19" s="157">
        <f t="shared" si="99"/>
        <v>0.13257318409754942</v>
      </c>
      <c r="AB19" s="156">
        <v>0.15098766880840392</v>
      </c>
      <c r="AC19" s="81">
        <f t="shared" ref="AC19" si="231">AVERAGE(AB16:AB19)</f>
        <v>0.1378008839209286</v>
      </c>
      <c r="AD19" s="491">
        <v>0.14392862116317454</v>
      </c>
      <c r="AE19" s="483">
        <f t="shared" si="26"/>
        <v>0.10612795467657188</v>
      </c>
      <c r="AF19" s="156">
        <v>0.14392862116317454</v>
      </c>
      <c r="AG19" s="483">
        <f t="shared" ref="AG19" si="232">AVERAGE(AF16:AF19)</f>
        <v>0.10612795467657188</v>
      </c>
      <c r="AH19" s="156" t="e">
        <v>#DIV/0!</v>
      </c>
      <c r="AI19" s="483" t="e">
        <f t="shared" si="28"/>
        <v>#DIV/0!</v>
      </c>
      <c r="AJ19" s="156">
        <v>0.15898668236926866</v>
      </c>
      <c r="AK19" s="158">
        <f t="shared" si="29"/>
        <v>0.17061508825270316</v>
      </c>
      <c r="AL19" s="74">
        <v>7294.3367030046447</v>
      </c>
      <c r="AM19" s="81">
        <f t="shared" si="102"/>
        <v>7307.6017259912314</v>
      </c>
      <c r="AN19" s="74">
        <v>6719.174568892895</v>
      </c>
      <c r="AO19" s="81">
        <f t="shared" ref="AO19" si="233">AVERAGE(AN16:AN19)</f>
        <v>6765.2378689314737</v>
      </c>
      <c r="AP19" s="494">
        <v>6922.742203742202</v>
      </c>
      <c r="AQ19" s="495">
        <f t="shared" si="31"/>
        <v>6922.3554944796706</v>
      </c>
      <c r="AR19" s="74">
        <v>6922.742203742202</v>
      </c>
      <c r="AS19" s="81">
        <f t="shared" ref="AS19" si="234">AVERAGE(AR16:AR19)</f>
        <v>6922.3554944796706</v>
      </c>
      <c r="AT19" s="74" t="e">
        <v>#DIV/0!</v>
      </c>
      <c r="AU19" s="81" t="e">
        <f t="shared" si="33"/>
        <v>#DIV/0!</v>
      </c>
      <c r="AV19" s="74">
        <v>6429.4046555372497</v>
      </c>
      <c r="AW19" s="99">
        <f t="shared" si="78"/>
        <v>6502.3745656760384</v>
      </c>
      <c r="AX19" s="105">
        <v>4.510069682005537</v>
      </c>
      <c r="AY19" s="106">
        <f t="shared" si="105"/>
        <v>4.4586245354584078</v>
      </c>
      <c r="AZ19" s="105">
        <v>5.8897297440735681</v>
      </c>
      <c r="BA19" s="81">
        <f t="shared" ref="BA19" si="235">AVERAGE(AZ16:AZ19)</f>
        <v>5.8832896823186491</v>
      </c>
      <c r="BB19" s="492">
        <v>6.7463617463617434</v>
      </c>
      <c r="BC19" s="493">
        <f t="shared" si="35"/>
        <v>6.7260200486650819</v>
      </c>
      <c r="BD19" s="105">
        <v>6.7463617463617434</v>
      </c>
      <c r="BE19" s="106">
        <f t="shared" ref="BE19" si="236">AVERAGE(BD16:BD19)</f>
        <v>6.7260200486650819</v>
      </c>
      <c r="BF19" s="105" t="e">
        <v>#DIV/0!</v>
      </c>
      <c r="BG19" s="106" t="e">
        <f t="shared" si="37"/>
        <v>#DIV/0!</v>
      </c>
      <c r="BH19" s="105">
        <v>4.6703503409358049</v>
      </c>
      <c r="BI19" s="107">
        <f t="shared" si="81"/>
        <v>4.765274912887203</v>
      </c>
      <c r="BJ19" s="487">
        <v>0</v>
      </c>
      <c r="BK19" s="488">
        <f t="shared" si="108"/>
        <v>0</v>
      </c>
      <c r="BL19" s="487">
        <v>0</v>
      </c>
      <c r="BM19" s="489">
        <f t="shared" ref="BM19" si="237">AVERAGE(BL16:BL19)</f>
        <v>0</v>
      </c>
      <c r="BN19" s="487"/>
      <c r="BO19" s="489" t="e">
        <f t="shared" ref="BO19" si="238">AVERAGE(BN16:BN19)</f>
        <v>#DIV/0!</v>
      </c>
      <c r="BP19" s="487">
        <v>0</v>
      </c>
      <c r="BQ19" s="489">
        <f t="shared" ref="BQ19" si="239">AVERAGE(BP16:BP19)</f>
        <v>0</v>
      </c>
      <c r="BR19" s="487"/>
      <c r="BS19" s="489" t="e">
        <f t="shared" ref="BS19" si="240">AVERAGE(BR16:BR19)</f>
        <v>#DIV/0!</v>
      </c>
      <c r="BT19" s="487">
        <v>0</v>
      </c>
      <c r="BU19" s="490">
        <f t="shared" si="86"/>
        <v>0</v>
      </c>
      <c r="BV19" s="74">
        <v>7529.2671494463393</v>
      </c>
      <c r="BW19" s="81">
        <f t="shared" si="113"/>
        <v>7327.9514293442817</v>
      </c>
      <c r="BX19" s="74">
        <v>9823.4956706411886</v>
      </c>
      <c r="BY19" s="81">
        <f t="shared" ref="BY19" si="241">AVERAGE(BX16:BX19)</f>
        <v>9470.8088964785438</v>
      </c>
      <c r="BZ19" s="494">
        <v>11076.532224532217</v>
      </c>
      <c r="CA19" s="495">
        <f t="shared" si="43"/>
        <v>10595.300495629035</v>
      </c>
      <c r="CB19" s="74">
        <v>11076.532224532217</v>
      </c>
      <c r="CC19" s="81">
        <f t="shared" ref="CC19" si="242">AVERAGE(CB16:CB19)</f>
        <v>10595.300495629035</v>
      </c>
      <c r="CD19" s="74" t="e">
        <v>#DIV/0!</v>
      </c>
      <c r="CE19" s="81" t="e">
        <f t="shared" si="45"/>
        <v>#DIV/0!</v>
      </c>
      <c r="CF19" s="74">
        <v>8039.8511638843138</v>
      </c>
      <c r="CG19" s="99">
        <f t="shared" si="89"/>
        <v>8170.5913049299925</v>
      </c>
      <c r="CH19" s="156">
        <v>4.4172061845033937E-2</v>
      </c>
      <c r="CI19" s="157">
        <f t="shared" si="113"/>
        <v>3.8251698686882538E-2</v>
      </c>
      <c r="CJ19" s="156">
        <v>7.0310670385996088E-2</v>
      </c>
      <c r="CK19" s="81">
        <f t="shared" ref="CK19" si="243">AVERAGE(CJ16:CJ19)</f>
        <v>6.4243754653995996E-2</v>
      </c>
      <c r="CL19" s="491">
        <v>7.6923076923076872E-2</v>
      </c>
      <c r="CM19" s="483">
        <f t="shared" si="47"/>
        <v>6.7285057166565687E-2</v>
      </c>
      <c r="CN19" s="156">
        <v>7.6923076923076872E-2</v>
      </c>
      <c r="CO19" s="483">
        <f t="shared" ref="CO19" si="244">AVERAGE(CN16:CN19)</f>
        <v>6.7285057166565687E-2</v>
      </c>
      <c r="CP19" s="156" t="e">
        <v>#DIV/0!</v>
      </c>
      <c r="CQ19" s="483" t="e">
        <f t="shared" si="49"/>
        <v>#DIV/0!</v>
      </c>
      <c r="CR19" s="156">
        <v>6.0898189513284726E-2</v>
      </c>
      <c r="CS19" s="158">
        <f t="shared" si="92"/>
        <v>6.551086243833551E-2</v>
      </c>
      <c r="CT19" s="105">
        <v>46.253638941318805</v>
      </c>
      <c r="CU19" s="106">
        <f t="shared" si="118"/>
        <v>44.951051531759639</v>
      </c>
      <c r="CV19" s="105">
        <v>50.991963920761833</v>
      </c>
      <c r="CW19" s="81">
        <f t="shared" ref="CW19" si="245">AVERAGE(CV16:CV19)</f>
        <v>50.009646194238719</v>
      </c>
      <c r="CX19" s="492">
        <v>54.621621621621593</v>
      </c>
      <c r="CY19" s="493">
        <f t="shared" si="51"/>
        <v>53.492533249201031</v>
      </c>
      <c r="CZ19" s="105">
        <v>54.621621621621593</v>
      </c>
      <c r="DA19" s="106">
        <f t="shared" ref="DA19" si="246">AVERAGE(CZ16:CZ19)</f>
        <v>53.492533249201031</v>
      </c>
      <c r="DB19" s="105" t="e">
        <v>#DIV/0!</v>
      </c>
      <c r="DC19" s="106" t="e">
        <f t="shared" si="53"/>
        <v>#DIV/0!</v>
      </c>
      <c r="DD19" s="105">
        <v>45.825299788384669</v>
      </c>
      <c r="DE19" s="107">
        <f t="shared" si="95"/>
        <v>45.024266677738808</v>
      </c>
    </row>
    <row r="20" spans="1:109" x14ac:dyDescent="0.25">
      <c r="A20" s="155">
        <f t="shared" si="15"/>
        <v>45261</v>
      </c>
      <c r="B20" s="74">
        <v>40.219680152081494</v>
      </c>
      <c r="C20" s="81">
        <f t="shared" si="96"/>
        <v>39.619420943821197</v>
      </c>
      <c r="D20" s="74">
        <v>43.169868228537617</v>
      </c>
      <c r="E20" s="81">
        <f t="shared" si="16"/>
        <v>42.530515463042548</v>
      </c>
      <c r="F20" s="74">
        <v>45.582623509369647</v>
      </c>
      <c r="G20" s="81">
        <f t="shared" si="16"/>
        <v>44.459184503864741</v>
      </c>
      <c r="H20" s="74">
        <v>45.582623509369647</v>
      </c>
      <c r="I20" s="81">
        <f t="shared" ref="I20" si="247">AVERAGE(H17:H20)</f>
        <v>44.459184503864741</v>
      </c>
      <c r="J20" s="74" t="e">
        <v>#DIV/0!</v>
      </c>
      <c r="K20" s="81" t="e">
        <f t="shared" si="18"/>
        <v>#DIV/0!</v>
      </c>
      <c r="L20" s="74">
        <v>39.91331737420159</v>
      </c>
      <c r="M20" s="99">
        <f t="shared" ref="M20" si="248">AVERAGE(L17:L20)</f>
        <v>39.968864259583015</v>
      </c>
      <c r="N20" s="156">
        <v>6.6115919173010559E-2</v>
      </c>
      <c r="O20" s="157">
        <f t="shared" si="96"/>
        <v>6.5077683725550298E-2</v>
      </c>
      <c r="P20" s="156">
        <v>8.0140484457989714E-2</v>
      </c>
      <c r="Q20" s="157">
        <f t="shared" si="20"/>
        <v>7.8714281464303523E-2</v>
      </c>
      <c r="R20" s="491">
        <v>7.1550255536626875E-2</v>
      </c>
      <c r="S20" s="483">
        <f t="shared" si="21"/>
        <v>5.8717905498070905E-2</v>
      </c>
      <c r="T20" s="156">
        <v>7.1550255536626875E-2</v>
      </c>
      <c r="U20" s="157">
        <f t="shared" si="22"/>
        <v>5.8717905498070905E-2</v>
      </c>
      <c r="V20" s="156" t="e">
        <v>#DIV/0!</v>
      </c>
      <c r="W20" s="157" t="e">
        <f t="shared" si="23"/>
        <v>#DIV/0!</v>
      </c>
      <c r="X20" s="156">
        <v>9.1734912436263513E-2</v>
      </c>
      <c r="Y20" s="158">
        <f t="shared" si="24"/>
        <v>0.10485175383983353</v>
      </c>
      <c r="Z20" s="156">
        <v>0.13476028144625254</v>
      </c>
      <c r="AA20" s="157">
        <f t="shared" si="99"/>
        <v>0.13233452652605693</v>
      </c>
      <c r="AB20" s="156">
        <v>0.15058132911745509</v>
      </c>
      <c r="AC20" s="81">
        <f t="shared" ref="AC20" si="249">AVERAGE(AB17:AB20)</f>
        <v>0.14263190997504283</v>
      </c>
      <c r="AD20" s="491">
        <v>0.15401619452069076</v>
      </c>
      <c r="AE20" s="483">
        <f t="shared" si="26"/>
        <v>0.1218119306037133</v>
      </c>
      <c r="AF20" s="156">
        <v>0.15401619452069076</v>
      </c>
      <c r="AG20" s="483">
        <f t="shared" ref="AG20" si="250">AVERAGE(AF17:AF20)</f>
        <v>0.1218119306037133</v>
      </c>
      <c r="AH20" s="156" t="e">
        <v>#DIV/0!</v>
      </c>
      <c r="AI20" s="483" t="e">
        <f t="shared" si="28"/>
        <v>#DIV/0!</v>
      </c>
      <c r="AJ20" s="156">
        <v>0.14690857781980421</v>
      </c>
      <c r="AK20" s="158">
        <f t="shared" si="29"/>
        <v>0.16340938273884109</v>
      </c>
      <c r="AL20" s="74">
        <v>7385.0301111963208</v>
      </c>
      <c r="AM20" s="81">
        <f t="shared" si="102"/>
        <v>7292.1280619102445</v>
      </c>
      <c r="AN20" s="74">
        <v>6829.736350339509</v>
      </c>
      <c r="AO20" s="81">
        <f t="shared" ref="AO20" si="251">AVERAGE(AN17:AN20)</f>
        <v>6817.6671529259456</v>
      </c>
      <c r="AP20" s="494">
        <v>7009.0954003407132</v>
      </c>
      <c r="AQ20" s="495">
        <f t="shared" si="31"/>
        <v>7026.9760325990383</v>
      </c>
      <c r="AR20" s="74">
        <v>7009.0954003407132</v>
      </c>
      <c r="AS20" s="81">
        <f t="shared" ref="AS20" si="252">AVERAGE(AR17:AR20)</f>
        <v>7026.9760325990383</v>
      </c>
      <c r="AT20" s="74" t="e">
        <v>#DIV/0!</v>
      </c>
      <c r="AU20" s="81" t="e">
        <f t="shared" si="33"/>
        <v>#DIV/0!</v>
      </c>
      <c r="AV20" s="74">
        <v>6587.6513481204283</v>
      </c>
      <c r="AW20" s="99">
        <f t="shared" si="78"/>
        <v>6512.0444466333111</v>
      </c>
      <c r="AX20" s="105">
        <v>4.8831949977224314</v>
      </c>
      <c r="AY20" s="106">
        <f t="shared" si="105"/>
        <v>4.5190913096367691</v>
      </c>
      <c r="AZ20" s="105">
        <v>6.1677073418249435</v>
      </c>
      <c r="BA20" s="81">
        <f t="shared" ref="BA20" si="253">AVERAGE(AZ17:AZ20)</f>
        <v>5.9997088426858038</v>
      </c>
      <c r="BB20" s="492">
        <v>7.3134582623509319</v>
      </c>
      <c r="BC20" s="493">
        <f t="shared" si="35"/>
        <v>6.9251111099793112</v>
      </c>
      <c r="BD20" s="105">
        <v>7.3134582623509319</v>
      </c>
      <c r="BE20" s="106">
        <f t="shared" ref="BE20" si="254">AVERAGE(BD17:BD20)</f>
        <v>6.9251111099793112</v>
      </c>
      <c r="BF20" s="105" t="e">
        <v>#DIV/0!</v>
      </c>
      <c r="BG20" s="106" t="e">
        <f t="shared" si="37"/>
        <v>#DIV/0!</v>
      </c>
      <c r="BH20" s="105">
        <v>4.6212611818113389</v>
      </c>
      <c r="BI20" s="107">
        <f t="shared" si="81"/>
        <v>4.7377519928084988</v>
      </c>
      <c r="BJ20" s="487">
        <v>0</v>
      </c>
      <c r="BK20" s="488">
        <f t="shared" si="108"/>
        <v>0</v>
      </c>
      <c r="BL20" s="487">
        <v>0</v>
      </c>
      <c r="BM20" s="489">
        <f t="shared" ref="BM20" si="255">AVERAGE(BL17:BL20)</f>
        <v>0</v>
      </c>
      <c r="BN20" s="487"/>
      <c r="BO20" s="489" t="e">
        <f t="shared" ref="BO20" si="256">AVERAGE(BN17:BN20)</f>
        <v>#DIV/0!</v>
      </c>
      <c r="BP20" s="487">
        <v>0</v>
      </c>
      <c r="BQ20" s="489">
        <f t="shared" ref="BQ20" si="257">AVERAGE(BP17:BP20)</f>
        <v>0</v>
      </c>
      <c r="BR20" s="487"/>
      <c r="BS20" s="489" t="e">
        <f t="shared" ref="BS20" si="258">AVERAGE(BR17:BR20)</f>
        <v>#DIV/0!</v>
      </c>
      <c r="BT20" s="487">
        <v>0</v>
      </c>
      <c r="BU20" s="490">
        <f t="shared" si="86"/>
        <v>0</v>
      </c>
      <c r="BV20" s="74">
        <v>7511.3338101812915</v>
      </c>
      <c r="BW20" s="81">
        <f t="shared" si="113"/>
        <v>7339.6286951865904</v>
      </c>
      <c r="BX20" s="74">
        <v>9195.1303662857936</v>
      </c>
      <c r="BY20" s="81">
        <f t="shared" ref="BY20" si="259">AVERAGE(BX17:BX20)</f>
        <v>9343.9869333013339</v>
      </c>
      <c r="BZ20" s="494">
        <v>10274.701873935261</v>
      </c>
      <c r="CA20" s="495">
        <f t="shared" si="43"/>
        <v>10433.392096591484</v>
      </c>
      <c r="CB20" s="74">
        <v>10274.701873935261</v>
      </c>
      <c r="CC20" s="81">
        <f t="shared" ref="CC20" si="260">AVERAGE(CB17:CB20)</f>
        <v>10433.392096591484</v>
      </c>
      <c r="CD20" s="74" t="e">
        <v>#DIV/0!</v>
      </c>
      <c r="CE20" s="81" t="e">
        <f t="shared" si="45"/>
        <v>#DIV/0!</v>
      </c>
      <c r="CF20" s="74">
        <v>7738.0080698461952</v>
      </c>
      <c r="CG20" s="99">
        <f t="shared" si="89"/>
        <v>8077.3050991933496</v>
      </c>
      <c r="CH20" s="156">
        <v>3.6566978065162375E-2</v>
      </c>
      <c r="CI20" s="157">
        <f t="shared" si="113"/>
        <v>3.8249371851740301E-2</v>
      </c>
      <c r="CJ20" s="156">
        <v>5.8027587501047702E-2</v>
      </c>
      <c r="CK20" s="81">
        <f t="shared" ref="CK20" si="261">AVERAGE(CJ17:CJ20)</f>
        <v>6.1026161869291634E-2</v>
      </c>
      <c r="CL20" s="491">
        <v>6.3032367972742712E-2</v>
      </c>
      <c r="CM20" s="483">
        <f t="shared" si="47"/>
        <v>6.381237992898213E-2</v>
      </c>
      <c r="CN20" s="156">
        <v>6.3032367972742712E-2</v>
      </c>
      <c r="CO20" s="483">
        <f t="shared" ref="CO20" si="262">AVERAGE(CN17:CN20)</f>
        <v>6.381237992898213E-2</v>
      </c>
      <c r="CP20" s="156" t="e">
        <v>#DIV/0!</v>
      </c>
      <c r="CQ20" s="483" t="e">
        <f t="shared" si="49"/>
        <v>#DIV/0!</v>
      </c>
      <c r="CR20" s="156">
        <v>5.1272521104408275E-2</v>
      </c>
      <c r="CS20" s="158">
        <f t="shared" si="92"/>
        <v>6.226509763036412E-2</v>
      </c>
      <c r="CT20" s="105">
        <v>45.212246799406373</v>
      </c>
      <c r="CU20" s="106">
        <f t="shared" si="118"/>
        <v>45.130565604944536</v>
      </c>
      <c r="CV20" s="105">
        <v>48.763921768128483</v>
      </c>
      <c r="CW20" s="81">
        <f t="shared" ref="CW20" si="263">AVERAGE(CV17:CV20)</f>
        <v>49.699386596548791</v>
      </c>
      <c r="CX20" s="492">
        <v>51.696763202725691</v>
      </c>
      <c r="CY20" s="493">
        <f t="shared" si="51"/>
        <v>52.947706955865364</v>
      </c>
      <c r="CZ20" s="105">
        <v>51.696763202725691</v>
      </c>
      <c r="DA20" s="106">
        <f t="shared" ref="DA20" si="264">AVERAGE(CZ17:CZ20)</f>
        <v>52.947706955865364</v>
      </c>
      <c r="DB20" s="105" t="e">
        <v>#DIV/0!</v>
      </c>
      <c r="DC20" s="106" t="e">
        <f t="shared" si="53"/>
        <v>#DIV/0!</v>
      </c>
      <c r="DD20" s="105">
        <v>44.805398765258438</v>
      </c>
      <c r="DE20" s="107">
        <f t="shared" si="95"/>
        <v>45.049710051439185</v>
      </c>
    </row>
    <row r="21" spans="1:109" x14ac:dyDescent="0.25">
      <c r="A21" s="155">
        <f t="shared" si="15"/>
        <v>45268</v>
      </c>
      <c r="B21" s="74">
        <v>39.267497316593882</v>
      </c>
      <c r="C21" s="81">
        <f t="shared" si="96"/>
        <v>39.664944622757282</v>
      </c>
      <c r="D21" s="74">
        <v>42.285172877522179</v>
      </c>
      <c r="E21" s="81">
        <f t="shared" si="16"/>
        <v>42.559097936019022</v>
      </c>
      <c r="F21" s="74">
        <v>44.123115577889443</v>
      </c>
      <c r="G21" s="81">
        <f t="shared" si="16"/>
        <v>44.484134382793066</v>
      </c>
      <c r="H21" s="74">
        <v>44.123115577889443</v>
      </c>
      <c r="I21" s="81">
        <f t="shared" ref="I21" si="265">AVERAGE(H18:H21)</f>
        <v>44.484134382793066</v>
      </c>
      <c r="J21" s="74" t="e">
        <v>#DIV/0!</v>
      </c>
      <c r="K21" s="81" t="e">
        <f t="shared" si="18"/>
        <v>#DIV/0!</v>
      </c>
      <c r="L21" s="74">
        <v>40.106487148102673</v>
      </c>
      <c r="M21" s="99">
        <f t="shared" ref="M21" si="266">AVERAGE(L18:L21)</f>
        <v>40.028358904116999</v>
      </c>
      <c r="N21" s="156">
        <v>7.2191592341047911E-2</v>
      </c>
      <c r="O21" s="157">
        <f t="shared" si="96"/>
        <v>6.5747972557378409E-2</v>
      </c>
      <c r="P21" s="156">
        <v>7.9437682023281664E-2</v>
      </c>
      <c r="Q21" s="157">
        <f t="shared" si="20"/>
        <v>7.6660317164389841E-2</v>
      </c>
      <c r="R21" s="491">
        <v>6.2814070351758788E-2</v>
      </c>
      <c r="S21" s="483">
        <f t="shared" si="21"/>
        <v>5.9525050029015786E-2</v>
      </c>
      <c r="T21" s="156">
        <v>6.2814070351758788E-2</v>
      </c>
      <c r="U21" s="157">
        <f t="shared" si="22"/>
        <v>5.9525050029015786E-2</v>
      </c>
      <c r="V21" s="156" t="e">
        <v>#DIV/0!</v>
      </c>
      <c r="W21" s="157" t="e">
        <f t="shared" si="23"/>
        <v>#DIV/0!</v>
      </c>
      <c r="X21" s="156">
        <v>9.9143206854344815E-2</v>
      </c>
      <c r="Y21" s="158">
        <f t="shared" si="24"/>
        <v>9.9003122194504398E-2</v>
      </c>
      <c r="Z21" s="156">
        <v>0.14170208830473419</v>
      </c>
      <c r="AA21" s="157">
        <f t="shared" si="99"/>
        <v>0.1330891873950342</v>
      </c>
      <c r="AB21" s="156">
        <v>0.14075390047902273</v>
      </c>
      <c r="AC21" s="81">
        <f t="shared" ref="AC21" si="267">AVERAGE(AB18:AB21)</f>
        <v>0.14058972438035688</v>
      </c>
      <c r="AD21" s="491">
        <v>0.12673730835580277</v>
      </c>
      <c r="AE21" s="483">
        <f t="shared" si="26"/>
        <v>0.12655507705387442</v>
      </c>
      <c r="AF21" s="156">
        <v>0.12673730835580277</v>
      </c>
      <c r="AG21" s="483">
        <f t="shared" ref="AG21" si="268">AVERAGE(AF18:AF21)</f>
        <v>0.12655507705387442</v>
      </c>
      <c r="AH21" s="156" t="e">
        <v>#DIV/0!</v>
      </c>
      <c r="AI21" s="483" t="e">
        <f t="shared" si="28"/>
        <v>#DIV/0!</v>
      </c>
      <c r="AJ21" s="156">
        <v>0.15339754911848558</v>
      </c>
      <c r="AK21" s="158">
        <f t="shared" si="29"/>
        <v>0.15444455289003955</v>
      </c>
      <c r="AL21" s="74">
        <v>7356.4948703258124</v>
      </c>
      <c r="AM21" s="81">
        <f t="shared" si="102"/>
        <v>7293.1267079406225</v>
      </c>
      <c r="AN21" s="74">
        <v>6698.5594615867458</v>
      </c>
      <c r="AO21" s="81">
        <f t="shared" ref="AO21" si="269">AVERAGE(AN18:AN21)</f>
        <v>6782.5413271412544</v>
      </c>
      <c r="AP21" s="494">
        <v>6767.1582914572855</v>
      </c>
      <c r="AQ21" s="495">
        <f t="shared" si="31"/>
        <v>6967.2753204892661</v>
      </c>
      <c r="AR21" s="74">
        <v>6767.1582914572855</v>
      </c>
      <c r="AS21" s="81">
        <f t="shared" ref="AS21" si="270">AVERAGE(AR18:AR21)</f>
        <v>6967.2753204892661</v>
      </c>
      <c r="AT21" s="74" t="e">
        <v>#DIV/0!</v>
      </c>
      <c r="AU21" s="81" t="e">
        <f t="shared" si="33"/>
        <v>#DIV/0!</v>
      </c>
      <c r="AV21" s="74">
        <v>6617.2428396572623</v>
      </c>
      <c r="AW21" s="99">
        <f t="shared" si="78"/>
        <v>6547.5256447908159</v>
      </c>
      <c r="AX21" s="105">
        <v>4.6890901144119264</v>
      </c>
      <c r="AY21" s="106">
        <f t="shared" si="105"/>
        <v>4.5728009186241154</v>
      </c>
      <c r="AZ21" s="105">
        <v>6.3217459489172159</v>
      </c>
      <c r="BA21" s="81">
        <f t="shared" ref="BA21" si="271">AVERAGE(AZ18:AZ21)</f>
        <v>6.1078305701210889</v>
      </c>
      <c r="BB21" s="492">
        <v>7.557788944723618</v>
      </c>
      <c r="BC21" s="493">
        <f t="shared" si="35"/>
        <v>7.1222008332068478</v>
      </c>
      <c r="BD21" s="105">
        <v>7.557788944723618</v>
      </c>
      <c r="BE21" s="106">
        <f t="shared" ref="BE21" si="272">AVERAGE(BD18:BD21)</f>
        <v>7.1222008332068478</v>
      </c>
      <c r="BF21" s="105" t="e">
        <v>#DIV/0!</v>
      </c>
      <c r="BG21" s="106" t="e">
        <f t="shared" si="37"/>
        <v>#DIV/0!</v>
      </c>
      <c r="BH21" s="105">
        <v>4.8565483476132059</v>
      </c>
      <c r="BI21" s="107">
        <f t="shared" si="81"/>
        <v>4.7448918506010029</v>
      </c>
      <c r="BJ21" s="487">
        <v>0</v>
      </c>
      <c r="BK21" s="488">
        <f t="shared" si="108"/>
        <v>0</v>
      </c>
      <c r="BL21" s="487">
        <v>0</v>
      </c>
      <c r="BM21" s="489">
        <f t="shared" ref="BM21" si="273">AVERAGE(BL18:BL21)</f>
        <v>0</v>
      </c>
      <c r="BN21" s="487"/>
      <c r="BO21" s="489" t="e">
        <f t="shared" ref="BO21" si="274">AVERAGE(BN18:BN21)</f>
        <v>#DIV/0!</v>
      </c>
      <c r="BP21" s="487">
        <v>0</v>
      </c>
      <c r="BQ21" s="489">
        <f t="shared" ref="BQ21" si="275">AVERAGE(BP18:BP21)</f>
        <v>0</v>
      </c>
      <c r="BR21" s="487"/>
      <c r="BS21" s="489" t="e">
        <f t="shared" ref="BS21" si="276">AVERAGE(BR18:BR21)</f>
        <v>#DIV/0!</v>
      </c>
      <c r="BT21" s="487">
        <v>0</v>
      </c>
      <c r="BU21" s="490">
        <f t="shared" si="86"/>
        <v>0</v>
      </c>
      <c r="BV21" s="74">
        <v>7093.5049723568</v>
      </c>
      <c r="BW21" s="81">
        <f t="shared" si="113"/>
        <v>7301.4954021394933</v>
      </c>
      <c r="BX21" s="74">
        <v>9369.9398104815427</v>
      </c>
      <c r="BY21" s="81">
        <f t="shared" ref="BY21" si="277">AVERAGE(BX18:BX21)</f>
        <v>9369.7846870891299</v>
      </c>
      <c r="BZ21" s="494">
        <v>10737.814070351758</v>
      </c>
      <c r="CA21" s="495">
        <f t="shared" si="43"/>
        <v>10523.164267029164</v>
      </c>
      <c r="CB21" s="74">
        <v>10737.814070351758</v>
      </c>
      <c r="CC21" s="81">
        <f t="shared" ref="CC21" si="278">AVERAGE(CB18:CB21)</f>
        <v>10523.164267029164</v>
      </c>
      <c r="CD21" s="74" t="e">
        <v>#DIV/0!</v>
      </c>
      <c r="CE21" s="81" t="e">
        <f t="shared" si="45"/>
        <v>#DIV/0!</v>
      </c>
      <c r="CF21" s="74">
        <v>7748.4702570379086</v>
      </c>
      <c r="CG21" s="99">
        <f t="shared" si="89"/>
        <v>7971.347843594669</v>
      </c>
      <c r="CH21" s="156">
        <v>3.6075623196420596E-2</v>
      </c>
      <c r="CI21" s="157">
        <f t="shared" si="113"/>
        <v>3.7994639649968687E-2</v>
      </c>
      <c r="CJ21" s="156">
        <v>6.7676051080286445E-2</v>
      </c>
      <c r="CK21" s="81">
        <f t="shared" ref="CK21" si="279">AVERAGE(CJ18:CJ21)</f>
        <v>6.3593215354931829E-2</v>
      </c>
      <c r="CL21" s="491">
        <v>7.7889447236180895E-2</v>
      </c>
      <c r="CM21" s="483">
        <f t="shared" si="47"/>
        <v>6.9683705468597312E-2</v>
      </c>
      <c r="CN21" s="156">
        <v>7.7889447236180895E-2</v>
      </c>
      <c r="CO21" s="483">
        <f t="shared" ref="CO21" si="280">AVERAGE(CN18:CN21)</f>
        <v>6.9683705468597312E-2</v>
      </c>
      <c r="CP21" s="156" t="e">
        <v>#DIV/0!</v>
      </c>
      <c r="CQ21" s="483" t="e">
        <f t="shared" si="49"/>
        <v>#DIV/0!</v>
      </c>
      <c r="CR21" s="156">
        <v>5.5569155446756217E-2</v>
      </c>
      <c r="CS21" s="158">
        <f t="shared" si="92"/>
        <v>5.9984570306282417E-2</v>
      </c>
      <c r="CT21" s="105">
        <v>45.951923824043867</v>
      </c>
      <c r="CU21" s="106">
        <f t="shared" si="118"/>
        <v>45.362318527700872</v>
      </c>
      <c r="CV21" s="105">
        <v>49.744772608808375</v>
      </c>
      <c r="CW21" s="81">
        <f t="shared" ref="CW21" si="281">AVERAGE(CV18:CV21)</f>
        <v>49.737086724251995</v>
      </c>
      <c r="CX21" s="492">
        <v>52.630653266331663</v>
      </c>
      <c r="CY21" s="493">
        <f t="shared" si="51"/>
        <v>52.893582707681446</v>
      </c>
      <c r="CZ21" s="105">
        <v>52.630653266331663</v>
      </c>
      <c r="DA21" s="106">
        <f t="shared" ref="DA21" si="282">AVERAGE(CZ18:CZ21)</f>
        <v>52.893582707681446</v>
      </c>
      <c r="DB21" s="105" t="e">
        <v>#DIV/0!</v>
      </c>
      <c r="DC21" s="106" t="e">
        <f t="shared" si="53"/>
        <v>#DIV/0!</v>
      </c>
      <c r="DD21" s="105">
        <v>46.323867809057354</v>
      </c>
      <c r="DE21" s="107">
        <f t="shared" si="95"/>
        <v>45.299730791627795</v>
      </c>
    </row>
    <row r="22" spans="1:109" x14ac:dyDescent="0.25">
      <c r="A22" s="155">
        <f t="shared" si="15"/>
        <v>45275</v>
      </c>
      <c r="B22" s="74">
        <v>39.912890933729457</v>
      </c>
      <c r="C22" s="81">
        <f t="shared" si="96"/>
        <v>39.797968421912422</v>
      </c>
      <c r="D22" s="74">
        <v>42.713394733937712</v>
      </c>
      <c r="E22" s="81">
        <f t="shared" si="16"/>
        <v>42.625554370140343</v>
      </c>
      <c r="F22" s="74">
        <v>44.740406320541759</v>
      </c>
      <c r="G22" s="81">
        <f t="shared" si="16"/>
        <v>44.613615354029207</v>
      </c>
      <c r="H22" s="74">
        <v>44.740406320541759</v>
      </c>
      <c r="I22" s="81">
        <f t="shared" ref="I22" si="283">AVERAGE(H19:H22)</f>
        <v>44.613615354029207</v>
      </c>
      <c r="J22" s="74" t="e">
        <v>#DIV/0!</v>
      </c>
      <c r="K22" s="81" t="e">
        <f t="shared" si="18"/>
        <v>#DIV/0!</v>
      </c>
      <c r="L22" s="74">
        <v>40.209899175068578</v>
      </c>
      <c r="M22" s="99">
        <f t="shared" ref="M22" si="284">AVERAGE(L19:L22)</f>
        <v>40.044964132666749</v>
      </c>
      <c r="N22" s="156">
        <v>6.9346055492517364E-2</v>
      </c>
      <c r="O22" s="157">
        <f t="shared" si="96"/>
        <v>6.560390839208427E-2</v>
      </c>
      <c r="P22" s="156">
        <v>8.0737487824549495E-2</v>
      </c>
      <c r="Q22" s="157">
        <f t="shared" si="20"/>
        <v>8.0874190958864958E-2</v>
      </c>
      <c r="R22" s="491">
        <v>7.4492099322799085E-2</v>
      </c>
      <c r="S22" s="483">
        <f t="shared" si="21"/>
        <v>6.9365873454563326E-2</v>
      </c>
      <c r="T22" s="156">
        <v>7.4492099322799085E-2</v>
      </c>
      <c r="U22" s="157">
        <f t="shared" si="22"/>
        <v>6.9365873454563326E-2</v>
      </c>
      <c r="V22" s="156" t="e">
        <v>#DIV/0!</v>
      </c>
      <c r="W22" s="157" t="e">
        <f t="shared" si="23"/>
        <v>#DIV/0!</v>
      </c>
      <c r="X22" s="156">
        <v>8.845096241979794E-2</v>
      </c>
      <c r="Y22" s="158">
        <f t="shared" si="24"/>
        <v>9.5813930432304129E-2</v>
      </c>
      <c r="Z22" s="156">
        <v>0.13619352591392972</v>
      </c>
      <c r="AA22" s="157">
        <f t="shared" si="99"/>
        <v>0.13173866737980819</v>
      </c>
      <c r="AB22" s="156">
        <v>0.14847839672151755</v>
      </c>
      <c r="AC22" s="81">
        <f t="shared" ref="AC22" si="285">AVERAGE(AB19:AB22)</f>
        <v>0.14770032378159981</v>
      </c>
      <c r="AD22" s="491">
        <v>0.15118064625007538</v>
      </c>
      <c r="AE22" s="483">
        <f t="shared" si="26"/>
        <v>0.14396569257243585</v>
      </c>
      <c r="AF22" s="156">
        <v>0.15118064625007538</v>
      </c>
      <c r="AG22" s="483">
        <f t="shared" ref="AG22" si="286">AVERAGE(AF19:AF22)</f>
        <v>0.14396569257243585</v>
      </c>
      <c r="AH22" s="156" t="e">
        <v>#DIV/0!</v>
      </c>
      <c r="AI22" s="483" t="e">
        <f t="shared" si="28"/>
        <v>#DIV/0!</v>
      </c>
      <c r="AJ22" s="156">
        <v>0.14583964696968446</v>
      </c>
      <c r="AK22" s="158">
        <f t="shared" si="29"/>
        <v>0.15128311406931072</v>
      </c>
      <c r="AL22" s="74">
        <v>7381.2514424406891</v>
      </c>
      <c r="AM22" s="81">
        <f t="shared" si="102"/>
        <v>7314.3823564259792</v>
      </c>
      <c r="AN22" s="74">
        <v>6749.020231378171</v>
      </c>
      <c r="AO22" s="81">
        <f t="shared" ref="AO22" si="287">AVERAGE(AN19:AN22)</f>
        <v>6749.1226530493295</v>
      </c>
      <c r="AP22" s="494">
        <v>6883.5507900677212</v>
      </c>
      <c r="AQ22" s="495">
        <f t="shared" si="31"/>
        <v>6895.6366714019805</v>
      </c>
      <c r="AR22" s="74">
        <v>6883.5507900677212</v>
      </c>
      <c r="AS22" s="81">
        <f t="shared" ref="AS22" si="288">AVERAGE(AR19:AR22)</f>
        <v>6895.6366714019805</v>
      </c>
      <c r="AT22" s="74" t="e">
        <v>#DIV/0!</v>
      </c>
      <c r="AU22" s="81" t="e">
        <f t="shared" si="33"/>
        <v>#DIV/0!</v>
      </c>
      <c r="AV22" s="74">
        <v>6582.8659486709266</v>
      </c>
      <c r="AW22" s="99">
        <f t="shared" si="78"/>
        <v>6573.8914796064046</v>
      </c>
      <c r="AX22" s="105">
        <v>4.6905480885160351</v>
      </c>
      <c r="AY22" s="106">
        <f t="shared" si="105"/>
        <v>4.6130286171455976</v>
      </c>
      <c r="AZ22" s="105">
        <v>6.149223382390824</v>
      </c>
      <c r="BA22" s="81">
        <f t="shared" ref="BA22" si="289">AVERAGE(AZ19:AZ22)</f>
        <v>6.1321016043016385</v>
      </c>
      <c r="BB22" s="492">
        <v>7.2392776523702027</v>
      </c>
      <c r="BC22" s="493">
        <f t="shared" si="35"/>
        <v>7.2142216514516235</v>
      </c>
      <c r="BD22" s="105">
        <v>7.2392776523702027</v>
      </c>
      <c r="BE22" s="106">
        <f t="shared" ref="BE22" si="290">AVERAGE(BD19:BD22)</f>
        <v>7.2142216514516235</v>
      </c>
      <c r="BF22" s="105" t="e">
        <v>#DIV/0!</v>
      </c>
      <c r="BG22" s="106" t="e">
        <f t="shared" si="37"/>
        <v>#DIV/0!</v>
      </c>
      <c r="BH22" s="105">
        <v>4.8029330889092456</v>
      </c>
      <c r="BI22" s="107">
        <f t="shared" si="81"/>
        <v>4.7658806561049447</v>
      </c>
      <c r="BJ22" s="487">
        <v>0</v>
      </c>
      <c r="BK22" s="488">
        <f t="shared" si="108"/>
        <v>0</v>
      </c>
      <c r="BL22" s="487">
        <v>0</v>
      </c>
      <c r="BM22" s="489">
        <f t="shared" ref="BM22" si="291">AVERAGE(BL19:BL22)</f>
        <v>0</v>
      </c>
      <c r="BN22" s="487"/>
      <c r="BO22" s="489" t="e">
        <f t="shared" ref="BO22" si="292">AVERAGE(BN19:BN22)</f>
        <v>#DIV/0!</v>
      </c>
      <c r="BP22" s="487">
        <v>0</v>
      </c>
      <c r="BQ22" s="489">
        <f t="shared" ref="BQ22" si="293">AVERAGE(BP19:BP22)</f>
        <v>0</v>
      </c>
      <c r="BR22" s="487"/>
      <c r="BS22" s="489" t="e">
        <f t="shared" ref="BS22" si="294">AVERAGE(BR19:BR22)</f>
        <v>#DIV/0!</v>
      </c>
      <c r="BT22" s="487">
        <v>0</v>
      </c>
      <c r="BU22" s="490">
        <f t="shared" si="86"/>
        <v>0</v>
      </c>
      <c r="BV22" s="74">
        <v>7258.3902687713171</v>
      </c>
      <c r="BW22" s="81">
        <f t="shared" si="113"/>
        <v>7271.7529105738276</v>
      </c>
      <c r="BX22" s="74">
        <v>9319.9007229656709</v>
      </c>
      <c r="BY22" s="81">
        <f t="shared" ref="BY22" si="295">AVERAGE(BX19:BX22)</f>
        <v>9427.116642593548</v>
      </c>
      <c r="BZ22" s="494">
        <v>10760.415349887133</v>
      </c>
      <c r="CA22" s="495">
        <f t="shared" si="43"/>
        <v>10712.365879676592</v>
      </c>
      <c r="CB22" s="74">
        <v>10760.415349887133</v>
      </c>
      <c r="CC22" s="81">
        <f t="shared" ref="CC22" si="296">AVERAGE(CB19:CB22)</f>
        <v>10712.365879676592</v>
      </c>
      <c r="CD22" s="74" t="e">
        <v>#DIV/0!</v>
      </c>
      <c r="CE22" s="81" t="e">
        <f t="shared" si="45"/>
        <v>#DIV/0!</v>
      </c>
      <c r="CF22" s="74">
        <v>7540.7683318056488</v>
      </c>
      <c r="CG22" s="99">
        <f t="shared" si="89"/>
        <v>7849.8316170042044</v>
      </c>
      <c r="CH22" s="156">
        <v>4.0093796923149301E-2</v>
      </c>
      <c r="CI22" s="157">
        <f t="shared" si="113"/>
        <v>3.8426325710196337E-2</v>
      </c>
      <c r="CJ22" s="156">
        <v>6.8520069034759865E-2</v>
      </c>
      <c r="CK22" s="81">
        <f t="shared" ref="CK22" si="297">AVERAGE(CJ19:CJ22)</f>
        <v>6.613359450052253E-2</v>
      </c>
      <c r="CL22" s="491">
        <v>8.5778781038374705E-2</v>
      </c>
      <c r="CM22" s="483">
        <f t="shared" si="47"/>
        <v>7.5905918292593799E-2</v>
      </c>
      <c r="CN22" s="156">
        <v>8.5778781038374705E-2</v>
      </c>
      <c r="CO22" s="483">
        <f t="shared" ref="CO22" si="298">AVERAGE(CN19:CN22)</f>
        <v>7.5905918292593799E-2</v>
      </c>
      <c r="CP22" s="156" t="e">
        <v>#DIV/0!</v>
      </c>
      <c r="CQ22" s="483" t="e">
        <f t="shared" si="49"/>
        <v>#DIV/0!</v>
      </c>
      <c r="CR22" s="156">
        <v>4.7204399633363675E-2</v>
      </c>
      <c r="CS22" s="158">
        <f t="shared" si="92"/>
        <v>5.6300029795890563E-2</v>
      </c>
      <c r="CT22" s="105">
        <v>44.403808377944337</v>
      </c>
      <c r="CU22" s="106">
        <f t="shared" si="118"/>
        <v>45.384718925532823</v>
      </c>
      <c r="CV22" s="105">
        <v>47.490542180193366</v>
      </c>
      <c r="CW22" s="81">
        <f t="shared" ref="CW22" si="299">AVERAGE(CV19:CV22)</f>
        <v>49.247800119473013</v>
      </c>
      <c r="CX22" s="492">
        <v>49.121896162528216</v>
      </c>
      <c r="CY22" s="493">
        <f t="shared" si="51"/>
        <v>52.017733563301789</v>
      </c>
      <c r="CZ22" s="105">
        <v>49.121896162528216</v>
      </c>
      <c r="DA22" s="106">
        <f t="shared" ref="DA22" si="300">AVERAGE(CZ19:CZ22)</f>
        <v>52.017733563301789</v>
      </c>
      <c r="DB22" s="105" t="e">
        <v>#DIV/0!</v>
      </c>
      <c r="DC22" s="106" t="e">
        <f t="shared" si="53"/>
        <v>#DIV/0!</v>
      </c>
      <c r="DD22" s="105">
        <v>45.475710357470007</v>
      </c>
      <c r="DE22" s="107">
        <f t="shared" si="95"/>
        <v>45.456770657307842</v>
      </c>
    </row>
    <row r="23" spans="1:109" x14ac:dyDescent="0.25">
      <c r="A23" s="155">
        <f t="shared" si="15"/>
        <v>45282</v>
      </c>
      <c r="B23" s="74">
        <v>39.427102490427224</v>
      </c>
      <c r="C23" s="81">
        <f t="shared" si="96"/>
        <v>39.803590309425147</v>
      </c>
      <c r="D23" s="74">
        <v>42.339429370285046</v>
      </c>
      <c r="E23" s="81">
        <f t="shared" si="16"/>
        <v>42.626966302570636</v>
      </c>
      <c r="F23" s="74">
        <v>44.2729357798165</v>
      </c>
      <c r="G23" s="81">
        <f t="shared" si="16"/>
        <v>44.679770296904337</v>
      </c>
      <c r="H23" s="74">
        <v>44.2729357798165</v>
      </c>
      <c r="I23" s="81">
        <f t="shared" ref="I23" si="301">AVERAGE(H20:H23)</f>
        <v>44.679770296904337</v>
      </c>
      <c r="J23" s="74" t="e">
        <v>#DIV/0!</v>
      </c>
      <c r="K23" s="81" t="e">
        <f t="shared" si="18"/>
        <v>#DIV/0!</v>
      </c>
      <c r="L23" s="74">
        <v>40.046937863209457</v>
      </c>
      <c r="M23" s="99">
        <f t="shared" ref="M23" si="302">AVERAGE(L20:L23)</f>
        <v>40.069160390145576</v>
      </c>
      <c r="N23" s="156">
        <v>6.8396509701599162E-2</v>
      </c>
      <c r="O23" s="157">
        <f t="shared" si="96"/>
        <v>6.6384879926547402E-2</v>
      </c>
      <c r="P23" s="156">
        <v>7.3731933460013888E-2</v>
      </c>
      <c r="Q23" s="157">
        <f t="shared" si="20"/>
        <v>7.8511896941458686E-2</v>
      </c>
      <c r="R23" s="491">
        <v>6.8807339449541247E-2</v>
      </c>
      <c r="S23" s="483">
        <f t="shared" si="21"/>
        <v>6.9415941165181502E-2</v>
      </c>
      <c r="T23" s="156">
        <v>6.8807339449541247E-2</v>
      </c>
      <c r="U23" s="157">
        <f t="shared" si="22"/>
        <v>6.9415941165181502E-2</v>
      </c>
      <c r="V23" s="156" t="e">
        <v>#DIV/0!</v>
      </c>
      <c r="W23" s="157" t="e">
        <f t="shared" si="23"/>
        <v>#DIV/0!</v>
      </c>
      <c r="X23" s="156">
        <v>7.957085382208276E-2</v>
      </c>
      <c r="Y23" s="158">
        <f t="shared" si="24"/>
        <v>8.972498388312225E-2</v>
      </c>
      <c r="Z23" s="156">
        <v>0.14433367157704566</v>
      </c>
      <c r="AA23" s="157">
        <f t="shared" si="99"/>
        <v>0.13434695947492953</v>
      </c>
      <c r="AB23" s="156">
        <v>0.13249784939872303</v>
      </c>
      <c r="AC23" s="81">
        <f t="shared" ref="AC23" si="303">AVERAGE(AB20:AB23)</f>
        <v>0.14307786892917959</v>
      </c>
      <c r="AD23" s="491">
        <v>0.12376549610834593</v>
      </c>
      <c r="AE23" s="483">
        <f t="shared" si="26"/>
        <v>0.13892491130872872</v>
      </c>
      <c r="AF23" s="156">
        <v>0.12376549610834593</v>
      </c>
      <c r="AG23" s="483">
        <f t="shared" ref="AG23" si="304">AVERAGE(AF20:AF23)</f>
        <v>0.13892491130872872</v>
      </c>
      <c r="AH23" s="156" t="e">
        <v>#DIV/0!</v>
      </c>
      <c r="AI23" s="483" t="e">
        <f t="shared" si="28"/>
        <v>#DIV/0!</v>
      </c>
      <c r="AJ23" s="156">
        <v>0.14025502169926829</v>
      </c>
      <c r="AK23" s="158">
        <f t="shared" si="29"/>
        <v>0.14660019890181064</v>
      </c>
      <c r="AL23" s="74">
        <v>7439.6583651575847</v>
      </c>
      <c r="AM23" s="81">
        <f t="shared" si="102"/>
        <v>7358.880987569205</v>
      </c>
      <c r="AN23" s="74">
        <v>6971.8784599523988</v>
      </c>
      <c r="AO23" s="81">
        <f t="shared" ref="AO23" si="305">AVERAGE(AN20:AN23)</f>
        <v>6812.2986258142064</v>
      </c>
      <c r="AP23" s="494">
        <v>7308.529816513761</v>
      </c>
      <c r="AQ23" s="495">
        <f t="shared" si="31"/>
        <v>6992.0835745948707</v>
      </c>
      <c r="AR23" s="74">
        <v>7308.529816513761</v>
      </c>
      <c r="AS23" s="81">
        <f t="shared" ref="AS23" si="306">AVERAGE(AR20:AR23)</f>
        <v>6992.0835745948707</v>
      </c>
      <c r="AT23" s="74" t="e">
        <v>#DIV/0!</v>
      </c>
      <c r="AU23" s="81" t="e">
        <f t="shared" si="33"/>
        <v>#DIV/0!</v>
      </c>
      <c r="AV23" s="74">
        <v>6572.7226195797712</v>
      </c>
      <c r="AW23" s="99">
        <f t="shared" si="78"/>
        <v>6561.5881083123923</v>
      </c>
      <c r="AX23" s="105">
        <v>4.4588172049972519</v>
      </c>
      <c r="AY23" s="106">
        <f t="shared" si="105"/>
        <v>4.5968565128595875</v>
      </c>
      <c r="AZ23" s="105">
        <v>5.9851718026770531</v>
      </c>
      <c r="BA23" s="81">
        <f t="shared" ref="BA23" si="307">AVERAGE(AZ20:AZ23)</f>
        <v>6.1559621189525089</v>
      </c>
      <c r="BB23" s="492">
        <v>6.9495412844036668</v>
      </c>
      <c r="BC23" s="493">
        <f t="shared" si="35"/>
        <v>7.2650165359621042</v>
      </c>
      <c r="BD23" s="105">
        <v>6.9495412844036668</v>
      </c>
      <c r="BE23" s="106">
        <f t="shared" ref="BE23" si="308">AVERAGE(BD20:BD23)</f>
        <v>7.2650165359621042</v>
      </c>
      <c r="BF23" s="105" t="e">
        <v>#DIV/0!</v>
      </c>
      <c r="BG23" s="106" t="e">
        <f t="shared" si="37"/>
        <v>#DIV/0!</v>
      </c>
      <c r="BH23" s="105">
        <v>4.8417523468931494</v>
      </c>
      <c r="BI23" s="107">
        <f t="shared" si="81"/>
        <v>4.7967254675458388</v>
      </c>
      <c r="BJ23" s="487">
        <v>0</v>
      </c>
      <c r="BK23" s="488">
        <f t="shared" si="108"/>
        <v>0</v>
      </c>
      <c r="BL23" s="487">
        <v>0</v>
      </c>
      <c r="BM23" s="489">
        <f t="shared" ref="BM23" si="309">AVERAGE(BL20:BL23)</f>
        <v>0</v>
      </c>
      <c r="BN23" s="487"/>
      <c r="BO23" s="489" t="e">
        <f t="shared" ref="BO23" si="310">AVERAGE(BN20:BN23)</f>
        <v>#DIV/0!</v>
      </c>
      <c r="BP23" s="487">
        <v>0</v>
      </c>
      <c r="BQ23" s="489">
        <f t="shared" ref="BQ23" si="311">AVERAGE(BP20:BP23)</f>
        <v>0</v>
      </c>
      <c r="BR23" s="487"/>
      <c r="BS23" s="489" t="e">
        <f t="shared" ref="BS23" si="312">AVERAGE(BR20:BR23)</f>
        <v>#DIV/0!</v>
      </c>
      <c r="BT23" s="487">
        <v>0</v>
      </c>
      <c r="BU23" s="490">
        <f t="shared" si="86"/>
        <v>0</v>
      </c>
      <c r="BV23" s="74">
        <v>7032.6210776708258</v>
      </c>
      <c r="BW23" s="81">
        <f t="shared" si="113"/>
        <v>7201.0430969991876</v>
      </c>
      <c r="BX23" s="74">
        <v>8907.2203437101634</v>
      </c>
      <c r="BY23" s="81">
        <f t="shared" ref="BY23" si="313">AVERAGE(BX20:BX23)</f>
        <v>9198.0478108607931</v>
      </c>
      <c r="BZ23" s="494">
        <v>9798.6284403669688</v>
      </c>
      <c r="CA23" s="495">
        <f t="shared" si="43"/>
        <v>10392.889933635281</v>
      </c>
      <c r="CB23" s="74">
        <v>9798.6284403669688</v>
      </c>
      <c r="CC23" s="81">
        <f t="shared" ref="CC23" si="314">AVERAGE(CB20:CB23)</f>
        <v>10392.889933635281</v>
      </c>
      <c r="CD23" s="74" t="e">
        <v>#DIV/0!</v>
      </c>
      <c r="CE23" s="81" t="e">
        <f t="shared" si="45"/>
        <v>#DIV/0!</v>
      </c>
      <c r="CF23" s="74">
        <v>7850.3086723289734</v>
      </c>
      <c r="CG23" s="99">
        <f t="shared" si="89"/>
        <v>7815.3520305171132</v>
      </c>
      <c r="CH23" s="156">
        <v>3.2765989423823194E-2</v>
      </c>
      <c r="CI23" s="157">
        <f t="shared" si="113"/>
        <v>3.7391079456894807E-2</v>
      </c>
      <c r="CJ23" s="156">
        <v>5.4318925552578369E-2</v>
      </c>
      <c r="CK23" s="81">
        <f t="shared" ref="CK23" si="315">AVERAGE(CJ20:CJ23)</f>
        <v>6.2135658292168099E-2</v>
      </c>
      <c r="CL23" s="491">
        <v>5.7339449541284372E-2</v>
      </c>
      <c r="CM23" s="483">
        <f t="shared" si="47"/>
        <v>7.1010011447145679E-2</v>
      </c>
      <c r="CN23" s="156">
        <v>5.7339449541284372E-2</v>
      </c>
      <c r="CO23" s="483">
        <f t="shared" ref="CO23" si="316">AVERAGE(CN20:CN23)</f>
        <v>7.1010011447145679E-2</v>
      </c>
      <c r="CP23" s="156" t="e">
        <v>#DIV/0!</v>
      </c>
      <c r="CQ23" s="483" t="e">
        <f t="shared" si="49"/>
        <v>#DIV/0!</v>
      </c>
      <c r="CR23" s="156">
        <v>5.0737594993294347E-2</v>
      </c>
      <c r="CS23" s="158">
        <f t="shared" si="92"/>
        <v>5.4556468746522806E-2</v>
      </c>
      <c r="CT23" s="105">
        <v>45.212890127335449</v>
      </c>
      <c r="CU23" s="106">
        <f t="shared" si="118"/>
        <v>45.283654011022598</v>
      </c>
      <c r="CV23" s="105">
        <v>49.988188574129786</v>
      </c>
      <c r="CW23" s="81">
        <f t="shared" ref="CW23" si="317">AVERAGE(CV20:CV23)</f>
        <v>48.996856282815003</v>
      </c>
      <c r="CX23" s="492">
        <v>53.075688073394474</v>
      </c>
      <c r="CY23" s="493">
        <f t="shared" si="51"/>
        <v>51.631250176245011</v>
      </c>
      <c r="CZ23" s="105">
        <v>53.075688073394474</v>
      </c>
      <c r="DA23" s="106">
        <f t="shared" ref="DA23" si="318">AVERAGE(CZ20:CZ23)</f>
        <v>51.631250176245011</v>
      </c>
      <c r="DB23" s="105" t="e">
        <v>#DIV/0!</v>
      </c>
      <c r="DC23" s="106" t="e">
        <f t="shared" si="53"/>
        <v>#DIV/0!</v>
      </c>
      <c r="DD23" s="105">
        <v>46.327447474295703</v>
      </c>
      <c r="DE23" s="107">
        <f t="shared" si="95"/>
        <v>45.661601394168478</v>
      </c>
    </row>
    <row r="24" spans="1:109" x14ac:dyDescent="0.25">
      <c r="A24" s="155">
        <f t="shared" si="15"/>
        <v>45289</v>
      </c>
      <c r="B24" s="74">
        <v>39.340167590617476</v>
      </c>
      <c r="C24" s="81">
        <f t="shared" si="96"/>
        <v>39.761268379779764</v>
      </c>
      <c r="D24" s="74">
        <v>41.423195426983362</v>
      </c>
      <c r="E24" s="81">
        <f t="shared" si="16"/>
        <v>42.190298102182076</v>
      </c>
      <c r="F24" s="74">
        <v>43.240121580547097</v>
      </c>
      <c r="G24" s="81">
        <f t="shared" si="16"/>
        <v>44.094144814698694</v>
      </c>
      <c r="H24" s="74">
        <v>43.240121580547097</v>
      </c>
      <c r="I24" s="81">
        <f t="shared" ref="I24" si="319">AVERAGE(H21:H24)</f>
        <v>44.094144814698694</v>
      </c>
      <c r="J24" s="74" t="e">
        <v>#DIV/0!</v>
      </c>
      <c r="K24" s="81" t="e">
        <f t="shared" si="18"/>
        <v>#DIV/0!</v>
      </c>
      <c r="L24" s="74">
        <v>39.841452805567485</v>
      </c>
      <c r="M24" s="99">
        <f t="shared" ref="M24" si="320">AVERAGE(L21:L24)</f>
        <v>40.051194247987048</v>
      </c>
      <c r="N24" s="156">
        <v>7.1883387471680021E-2</v>
      </c>
      <c r="O24" s="157">
        <f t="shared" si="96"/>
        <v>6.6396504262755535E-2</v>
      </c>
      <c r="P24" s="156">
        <v>8.0806123436856697E-2</v>
      </c>
      <c r="Q24" s="157">
        <f t="shared" si="20"/>
        <v>7.8678306686175425E-2</v>
      </c>
      <c r="R24" s="491">
        <v>7.2948328267477172E-2</v>
      </c>
      <c r="S24" s="483">
        <f t="shared" si="21"/>
        <v>6.9765459347894077E-2</v>
      </c>
      <c r="T24" s="156">
        <v>7.2948328267477172E-2</v>
      </c>
      <c r="U24" s="157">
        <f t="shared" si="22"/>
        <v>6.9765459347894077E-2</v>
      </c>
      <c r="V24" s="156" t="e">
        <v>#DIV/0!</v>
      </c>
      <c r="W24" s="157" t="e">
        <f t="shared" si="23"/>
        <v>#DIV/0!</v>
      </c>
      <c r="X24" s="156">
        <v>8.7646802957807385E-2</v>
      </c>
      <c r="Y24" s="158">
        <f t="shared" si="24"/>
        <v>8.8702956513508208E-2</v>
      </c>
      <c r="Z24" s="156">
        <v>0.14637014846554411</v>
      </c>
      <c r="AA24" s="157">
        <f t="shared" si="99"/>
        <v>0.13606768220679305</v>
      </c>
      <c r="AB24" s="156">
        <v>0.13690021891688459</v>
      </c>
      <c r="AC24" s="81">
        <f t="shared" ref="AC24" si="321">AVERAGE(AB21:AB24)</f>
        <v>0.13965759137903699</v>
      </c>
      <c r="AD24" s="491">
        <v>0.13162074085738895</v>
      </c>
      <c r="AE24" s="483">
        <f t="shared" si="26"/>
        <v>0.13332604789290325</v>
      </c>
      <c r="AF24" s="156">
        <v>0.13162074085738895</v>
      </c>
      <c r="AG24" s="483">
        <f t="shared" ref="AG24" si="322">AVERAGE(AF21:AF24)</f>
        <v>0.13332604789290325</v>
      </c>
      <c r="AH24" s="156" t="e">
        <v>#DIV/0!</v>
      </c>
      <c r="AI24" s="483" t="e">
        <f t="shared" si="28"/>
        <v>#DIV/0!</v>
      </c>
      <c r="AJ24" s="156">
        <v>0.14049979261355144</v>
      </c>
      <c r="AK24" s="158">
        <f t="shared" si="29"/>
        <v>0.14499800260024742</v>
      </c>
      <c r="AL24" s="74">
        <v>7142.5428752371126</v>
      </c>
      <c r="AM24" s="81">
        <f t="shared" si="102"/>
        <v>7338.9153518007997</v>
      </c>
      <c r="AN24" s="74">
        <v>6848.8485612205441</v>
      </c>
      <c r="AO24" s="81">
        <f t="shared" ref="AO24" si="323">AVERAGE(AN21:AN24)</f>
        <v>6817.0766785344649</v>
      </c>
      <c r="AP24" s="494">
        <v>7191.2644376899698</v>
      </c>
      <c r="AQ24" s="495">
        <f t="shared" si="31"/>
        <v>7037.6258339321848</v>
      </c>
      <c r="AR24" s="74">
        <v>7191.2644376899698</v>
      </c>
      <c r="AS24" s="81">
        <f t="shared" ref="AS24" si="324">AVERAGE(AR21:AR24)</f>
        <v>7037.6258339321848</v>
      </c>
      <c r="AT24" s="74" t="e">
        <v>#DIV/0!</v>
      </c>
      <c r="AU24" s="81" t="e">
        <f t="shared" si="33"/>
        <v>#DIV/0!</v>
      </c>
      <c r="AV24" s="74">
        <v>6550.7551109177721</v>
      </c>
      <c r="AW24" s="99">
        <f t="shared" si="78"/>
        <v>6550.0339559379308</v>
      </c>
      <c r="AX24" s="105">
        <v>4.7869029306294486</v>
      </c>
      <c r="AY24" s="106">
        <f t="shared" si="105"/>
        <v>4.6574199152100562</v>
      </c>
      <c r="AZ24" s="105">
        <v>5.7704486000640323</v>
      </c>
      <c r="BA24" s="81">
        <f t="shared" ref="BA24" si="325">AVERAGE(AZ21:AZ24)</f>
        <v>6.0566474335122811</v>
      </c>
      <c r="BB24" s="492">
        <v>6.9787234042553177</v>
      </c>
      <c r="BC24" s="493">
        <f t="shared" si="35"/>
        <v>7.1813328214382022</v>
      </c>
      <c r="BD24" s="105">
        <v>6.9787234042553177</v>
      </c>
      <c r="BE24" s="106">
        <f t="shared" ref="BE24" si="326">AVERAGE(BD21:BD24)</f>
        <v>7.1813328214382022</v>
      </c>
      <c r="BF24" s="105" t="e">
        <v>#DIV/0!</v>
      </c>
      <c r="BG24" s="106" t="e">
        <f t="shared" si="37"/>
        <v>#DIV/0!</v>
      </c>
      <c r="BH24" s="105">
        <v>4.7185732927359654</v>
      </c>
      <c r="BI24" s="107">
        <f t="shared" si="81"/>
        <v>4.7857582125410838</v>
      </c>
      <c r="BJ24" s="487">
        <v>0</v>
      </c>
      <c r="BK24" s="488">
        <f t="shared" si="108"/>
        <v>0</v>
      </c>
      <c r="BL24" s="487">
        <v>0</v>
      </c>
      <c r="BM24" s="489">
        <f t="shared" ref="BM24" si="327">AVERAGE(BL21:BL24)</f>
        <v>0</v>
      </c>
      <c r="BN24" s="487"/>
      <c r="BO24" s="489" t="e">
        <f t="shared" ref="BO24" si="328">AVERAGE(BN21:BN24)</f>
        <v>#DIV/0!</v>
      </c>
      <c r="BP24" s="487">
        <v>0</v>
      </c>
      <c r="BQ24" s="489">
        <f t="shared" ref="BQ24" si="329">AVERAGE(BP21:BP24)</f>
        <v>0</v>
      </c>
      <c r="BR24" s="487"/>
      <c r="BS24" s="489" t="e">
        <f t="shared" ref="BS24" si="330">AVERAGE(BR21:BR24)</f>
        <v>#DIV/0!</v>
      </c>
      <c r="BT24" s="487">
        <v>0</v>
      </c>
      <c r="BU24" s="490">
        <f t="shared" si="86"/>
        <v>0</v>
      </c>
      <c r="BV24" s="74">
        <v>7583.16800176992</v>
      </c>
      <c r="BW24" s="81">
        <f t="shared" si="113"/>
        <v>7277.3436162941271</v>
      </c>
      <c r="BX24" s="74">
        <v>9204.3483578881387</v>
      </c>
      <c r="BY24" s="81">
        <f t="shared" ref="BY24" si="331">AVERAGE(BX21:BX24)</f>
        <v>9200.3523087613794</v>
      </c>
      <c r="BZ24" s="494">
        <v>10894.379939209728</v>
      </c>
      <c r="CA24" s="495">
        <f t="shared" si="43"/>
        <v>10547.809449953897</v>
      </c>
      <c r="CB24" s="74">
        <v>10894.379939209728</v>
      </c>
      <c r="CC24" s="81">
        <f t="shared" ref="CC24" si="332">AVERAGE(CB21:CB24)</f>
        <v>10547.809449953897</v>
      </c>
      <c r="CD24" s="74" t="e">
        <v>#DIV/0!</v>
      </c>
      <c r="CE24" s="81" t="e">
        <f t="shared" si="45"/>
        <v>#DIV/0!</v>
      </c>
      <c r="CF24" s="74">
        <v>7733.0750326228481</v>
      </c>
      <c r="CG24" s="99">
        <f t="shared" si="89"/>
        <v>7793.686215457461</v>
      </c>
      <c r="CH24" s="156">
        <v>4.10030496275312E-2</v>
      </c>
      <c r="CI24" s="157">
        <f t="shared" si="113"/>
        <v>3.8251085651078411E-2</v>
      </c>
      <c r="CJ24" s="156">
        <v>6.5168103867613E-2</v>
      </c>
      <c r="CK24" s="81">
        <f t="shared" ref="CK24" si="333">AVERAGE(CJ21:CJ24)</f>
        <v>6.3920787383809421E-2</v>
      </c>
      <c r="CL24" s="491">
        <v>8.2066869300911824E-2</v>
      </c>
      <c r="CM24" s="483">
        <f t="shared" si="47"/>
        <v>7.5768636779187951E-2</v>
      </c>
      <c r="CN24" s="156">
        <v>8.2066869300911824E-2</v>
      </c>
      <c r="CO24" s="483">
        <f t="shared" ref="CO24" si="334">AVERAGE(CN21:CN24)</f>
        <v>7.5768636779187951E-2</v>
      </c>
      <c r="CP24" s="156" t="e">
        <v>#DIV/0!</v>
      </c>
      <c r="CQ24" s="483" t="e">
        <f t="shared" si="49"/>
        <v>#DIV/0!</v>
      </c>
      <c r="CR24" s="156">
        <v>5.0456720313179437E-2</v>
      </c>
      <c r="CS24" s="158">
        <f t="shared" si="92"/>
        <v>5.3030149253200369E-2</v>
      </c>
      <c r="CT24" s="105">
        <v>45.198905269459758</v>
      </c>
      <c r="CU24" s="106">
        <f t="shared" si="118"/>
        <v>45.382997643915523</v>
      </c>
      <c r="CV24" s="105">
        <v>48.479624067785338</v>
      </c>
      <c r="CW24" s="81">
        <f t="shared" ref="CW24" si="335">AVERAGE(CV21:CV24)</f>
        <v>48.92578185772922</v>
      </c>
      <c r="CX24" s="492">
        <v>51.942249240121569</v>
      </c>
      <c r="CY24" s="493">
        <f t="shared" si="51"/>
        <v>51.692621685593977</v>
      </c>
      <c r="CZ24" s="105">
        <v>51.942249240121569</v>
      </c>
      <c r="DA24" s="106">
        <f t="shared" ref="DA24" si="336">AVERAGE(CZ21:CZ24)</f>
        <v>51.692621685593977</v>
      </c>
      <c r="DB24" s="105" t="e">
        <v>#DIV/0!</v>
      </c>
      <c r="DC24" s="106" t="e">
        <f t="shared" si="53"/>
        <v>#DIV/0!</v>
      </c>
      <c r="DD24" s="105">
        <v>45.465202261852802</v>
      </c>
      <c r="DE24" s="107">
        <f t="shared" si="95"/>
        <v>45.649375967189812</v>
      </c>
    </row>
    <row r="25" spans="1:109" x14ac:dyDescent="0.25">
      <c r="A25" s="155">
        <f t="shared" si="15"/>
        <v>45296</v>
      </c>
      <c r="B25" s="74">
        <v>39.734288952905693</v>
      </c>
      <c r="C25" s="81">
        <f t="shared" si="96"/>
        <v>39.691051255941694</v>
      </c>
      <c r="D25" s="74">
        <v>41.809375238009132</v>
      </c>
      <c r="E25" s="81">
        <f t="shared" si="16"/>
        <v>42.071348692303815</v>
      </c>
      <c r="F25" s="74">
        <v>43.832335329341326</v>
      </c>
      <c r="G25" s="81">
        <f t="shared" si="16"/>
        <v>44.021449752561672</v>
      </c>
      <c r="H25" s="74">
        <v>43.832335329341326</v>
      </c>
      <c r="I25" s="81">
        <f t="shared" ref="I25" si="337">AVERAGE(H22:H25)</f>
        <v>44.021449752561672</v>
      </c>
      <c r="J25" s="74" t="e">
        <v>#DIV/0!</v>
      </c>
      <c r="K25" s="81" t="e">
        <f t="shared" si="18"/>
        <v>#DIV/0!</v>
      </c>
      <c r="L25" s="74">
        <v>40.059186714924294</v>
      </c>
      <c r="M25" s="99">
        <f t="shared" ref="M25" si="338">AVERAGE(L22:L25)</f>
        <v>40.039369139692454</v>
      </c>
      <c r="N25" s="156">
        <v>5.747068920205043E-2</v>
      </c>
      <c r="O25" s="157">
        <f t="shared" si="96"/>
        <v>6.6982483743150731E-2</v>
      </c>
      <c r="P25" s="156">
        <v>7.3244045353491369E-2</v>
      </c>
      <c r="Q25" s="157">
        <f t="shared" si="20"/>
        <v>7.7129897518727855E-2</v>
      </c>
      <c r="R25" s="491">
        <v>6.5868263473053884E-2</v>
      </c>
      <c r="S25" s="483">
        <f t="shared" si="21"/>
        <v>7.0529007628217844E-2</v>
      </c>
      <c r="T25" s="156">
        <v>6.5868263473053884E-2</v>
      </c>
      <c r="U25" s="157">
        <f t="shared" si="22"/>
        <v>7.0529007628217844E-2</v>
      </c>
      <c r="V25" s="156" t="e">
        <v>#DIV/0!</v>
      </c>
      <c r="W25" s="157" t="e">
        <f t="shared" si="23"/>
        <v>#DIV/0!</v>
      </c>
      <c r="X25" s="156">
        <v>7.9625292740046538E-2</v>
      </c>
      <c r="Y25" s="158">
        <f t="shared" si="24"/>
        <v>8.3823477984933656E-2</v>
      </c>
      <c r="Z25" s="156">
        <v>0.13035757872752221</v>
      </c>
      <c r="AA25" s="157">
        <f t="shared" si="99"/>
        <v>0.13774514556447556</v>
      </c>
      <c r="AB25" s="156">
        <v>0.134812423961398</v>
      </c>
      <c r="AC25" s="81">
        <f t="shared" ref="AC25" si="339">AVERAGE(AB22:AB25)</f>
        <v>0.1381722222496308</v>
      </c>
      <c r="AD25" s="491">
        <v>0.13630470092006949</v>
      </c>
      <c r="AE25" s="483">
        <f t="shared" si="26"/>
        <v>0.13571789603396994</v>
      </c>
      <c r="AF25" s="156">
        <v>0.13630470092006949</v>
      </c>
      <c r="AG25" s="483">
        <f t="shared" ref="AG25" si="340">AVERAGE(AF22:AF25)</f>
        <v>0.13571789603396994</v>
      </c>
      <c r="AH25" s="156" t="e">
        <v>#DIV/0!</v>
      </c>
      <c r="AI25" s="483" t="e">
        <f t="shared" si="28"/>
        <v>#DIV/0!</v>
      </c>
      <c r="AJ25" s="156">
        <v>0.13383631441732627</v>
      </c>
      <c r="AK25" s="158">
        <f t="shared" si="29"/>
        <v>0.14010769392495762</v>
      </c>
      <c r="AL25" s="74">
        <v>7307.7510265611099</v>
      </c>
      <c r="AM25" s="81">
        <f t="shared" si="102"/>
        <v>7329.5807705604684</v>
      </c>
      <c r="AN25" s="74">
        <v>6882.2447112349155</v>
      </c>
      <c r="AO25" s="81">
        <f t="shared" ref="AO25" si="341">AVERAGE(AN22:AN25)</f>
        <v>6862.9979909465073</v>
      </c>
      <c r="AP25" s="494">
        <v>7137.6437125748516</v>
      </c>
      <c r="AQ25" s="495">
        <f t="shared" si="31"/>
        <v>7130.2471892115764</v>
      </c>
      <c r="AR25" s="74">
        <v>7137.6437125748516</v>
      </c>
      <c r="AS25" s="81">
        <f t="shared" ref="AS25" si="342">AVERAGE(AR22:AR25)</f>
        <v>7130.2471892115764</v>
      </c>
      <c r="AT25" s="74" t="e">
        <v>#DIV/0!</v>
      </c>
      <c r="AU25" s="81" t="e">
        <f t="shared" si="33"/>
        <v>#DIV/0!</v>
      </c>
      <c r="AV25" s="74">
        <v>6661.2831594634627</v>
      </c>
      <c r="AW25" s="99">
        <f t="shared" si="78"/>
        <v>6571.7036688495527</v>
      </c>
      <c r="AX25" s="105">
        <v>4.6006359333153242</v>
      </c>
      <c r="AY25" s="106">
        <f t="shared" si="105"/>
        <v>4.6598941359425652</v>
      </c>
      <c r="AZ25" s="105">
        <v>5.536945438040271</v>
      </c>
      <c r="BA25" s="81">
        <f t="shared" ref="BA25" si="343">AVERAGE(AZ22:AZ25)</f>
        <v>5.8604473057930448</v>
      </c>
      <c r="BB25" s="492">
        <v>6.5089820359281445</v>
      </c>
      <c r="BC25" s="493">
        <f t="shared" si="35"/>
        <v>6.9191310942393338</v>
      </c>
      <c r="BD25" s="105">
        <v>6.5089820359281445</v>
      </c>
      <c r="BE25" s="106">
        <f t="shared" ref="BE25" si="344">AVERAGE(BD22:BD25)</f>
        <v>6.9191310942393338</v>
      </c>
      <c r="BF25" s="105" t="e">
        <v>#DIV/0!</v>
      </c>
      <c r="BG25" s="106" t="e">
        <f t="shared" si="37"/>
        <v>#DIV/0!</v>
      </c>
      <c r="BH25" s="105">
        <v>4.6959761549925432</v>
      </c>
      <c r="BI25" s="107">
        <f t="shared" si="81"/>
        <v>4.7439135362701785</v>
      </c>
      <c r="BJ25" s="487">
        <v>0</v>
      </c>
      <c r="BK25" s="488">
        <f t="shared" si="108"/>
        <v>0</v>
      </c>
      <c r="BL25" s="487">
        <v>0</v>
      </c>
      <c r="BM25" s="489">
        <f t="shared" ref="BM25" si="345">AVERAGE(BL22:BL25)</f>
        <v>0</v>
      </c>
      <c r="BN25" s="487"/>
      <c r="BO25" s="489" t="e">
        <f t="shared" ref="BO25" si="346">AVERAGE(BN22:BN25)</f>
        <v>#DIV/0!</v>
      </c>
      <c r="BP25" s="487">
        <v>0</v>
      </c>
      <c r="BQ25" s="489">
        <f t="shared" ref="BQ25" si="347">AVERAGE(BP22:BP25)</f>
        <v>0</v>
      </c>
      <c r="BR25" s="487"/>
      <c r="BS25" s="489" t="e">
        <f t="shared" ref="BS25" si="348">AVERAGE(BR22:BR25)</f>
        <v>#DIV/0!</v>
      </c>
      <c r="BT25" s="487">
        <v>0</v>
      </c>
      <c r="BU25" s="490">
        <f t="shared" si="86"/>
        <v>0</v>
      </c>
      <c r="BV25" s="74">
        <v>6874.9915263800367</v>
      </c>
      <c r="BW25" s="81">
        <f t="shared" si="113"/>
        <v>7269.0395437966463</v>
      </c>
      <c r="BX25" s="74">
        <v>8414.2656191649839</v>
      </c>
      <c r="BY25" s="81">
        <f t="shared" ref="BY25" si="349">AVERAGE(BX22:BX25)</f>
        <v>8961.4337609322392</v>
      </c>
      <c r="BZ25" s="494">
        <v>9507.1497005988003</v>
      </c>
      <c r="CA25" s="495">
        <f t="shared" si="43"/>
        <v>10240.143357515657</v>
      </c>
      <c r="CB25" s="74">
        <v>9507.1497005988003</v>
      </c>
      <c r="CC25" s="81">
        <f t="shared" ref="CC25" si="350">AVERAGE(CB22:CB25)</f>
        <v>10240.143357515657</v>
      </c>
      <c r="CD25" s="74" t="e">
        <v>#DIV/0!</v>
      </c>
      <c r="CE25" s="81" t="e">
        <f t="shared" si="45"/>
        <v>#DIV/0!</v>
      </c>
      <c r="CF25" s="74">
        <v>7468.7436661698648</v>
      </c>
      <c r="CG25" s="99">
        <f t="shared" si="89"/>
        <v>7731.3178848136795</v>
      </c>
      <c r="CH25" s="156">
        <v>3.3225623033538619E-2</v>
      </c>
      <c r="CI25" s="157">
        <f t="shared" si="113"/>
        <v>3.7700446016379889E-2</v>
      </c>
      <c r="CJ25" s="156">
        <v>5.7529868352406276E-2</v>
      </c>
      <c r="CK25" s="81">
        <f t="shared" ref="CK25" si="351">AVERAGE(CJ22:CJ25)</f>
        <v>6.1384241701839377E-2</v>
      </c>
      <c r="CL25" s="491">
        <v>7.1856287425149712E-2</v>
      </c>
      <c r="CM25" s="483">
        <f t="shared" si="47"/>
        <v>7.4260346826430151E-2</v>
      </c>
      <c r="CN25" s="156">
        <v>7.1856287425149712E-2</v>
      </c>
      <c r="CO25" s="483">
        <f t="shared" ref="CO25" si="352">AVERAGE(CN22:CN25)</f>
        <v>7.4260346826430151E-2</v>
      </c>
      <c r="CP25" s="156" t="e">
        <v>#DIV/0!</v>
      </c>
      <c r="CQ25" s="483" t="e">
        <f t="shared" si="49"/>
        <v>#DIV/0!</v>
      </c>
      <c r="CR25" s="156">
        <v>4.513519267617612E-2</v>
      </c>
      <c r="CS25" s="158">
        <f t="shared" si="92"/>
        <v>5.1610539097208967E-2</v>
      </c>
      <c r="CT25" s="105">
        <v>44.616825308267479</v>
      </c>
      <c r="CU25" s="106">
        <f t="shared" si="118"/>
        <v>45.264319806825149</v>
      </c>
      <c r="CV25" s="105">
        <v>48.301822540411841</v>
      </c>
      <c r="CW25" s="81">
        <f t="shared" ref="CW25" si="353">AVERAGE(CV22:CV25)</f>
        <v>48.565044340630088</v>
      </c>
      <c r="CX25" s="492">
        <v>50.985029940119759</v>
      </c>
      <c r="CY25" s="493">
        <f t="shared" si="51"/>
        <v>51.281215854041008</v>
      </c>
      <c r="CZ25" s="105">
        <v>50.985029940119759</v>
      </c>
      <c r="DA25" s="106">
        <f t="shared" ref="DA25" si="354">AVERAGE(CZ22:CZ25)</f>
        <v>51.281215854041008</v>
      </c>
      <c r="DB25" s="105" t="e">
        <v>#DIV/0!</v>
      </c>
      <c r="DC25" s="106" t="e">
        <f t="shared" si="53"/>
        <v>#DIV/0!</v>
      </c>
      <c r="DD25" s="105">
        <v>45.980413029593187</v>
      </c>
      <c r="DE25" s="107">
        <f t="shared" si="95"/>
        <v>45.743334212273169</v>
      </c>
    </row>
    <row r="26" spans="1:109" x14ac:dyDescent="0.25">
      <c r="A26" s="155">
        <f t="shared" si="15"/>
        <v>45303</v>
      </c>
      <c r="B26" s="74">
        <v>39.66820176659224</v>
      </c>
      <c r="C26" s="81">
        <f t="shared" si="96"/>
        <v>39.652832743278218</v>
      </c>
      <c r="D26" s="74">
        <v>42.073437527241062</v>
      </c>
      <c r="E26" s="81">
        <f t="shared" si="16"/>
        <v>41.911359390629649</v>
      </c>
      <c r="F26" s="74">
        <v>43.750582750582744</v>
      </c>
      <c r="G26" s="81">
        <f t="shared" si="16"/>
        <v>43.773993860071919</v>
      </c>
      <c r="H26" s="74">
        <v>43.750582750582744</v>
      </c>
      <c r="I26" s="81">
        <f t="shared" ref="I26" si="355">AVERAGE(H23:H26)</f>
        <v>43.773993860071919</v>
      </c>
      <c r="J26" s="74" t="e">
        <v>#DIV/0!</v>
      </c>
      <c r="K26" s="81" t="e">
        <f t="shared" si="18"/>
        <v>#DIV/0!</v>
      </c>
      <c r="L26" s="74">
        <v>40.088435374149512</v>
      </c>
      <c r="M26" s="99">
        <f t="shared" ref="M26" si="356">AVERAGE(L23:L26)</f>
        <v>40.009003189462689</v>
      </c>
      <c r="N26" s="156">
        <v>5.9568300062541157E-2</v>
      </c>
      <c r="O26" s="157">
        <f t="shared" si="96"/>
        <v>6.6424636206349516E-2</v>
      </c>
      <c r="P26" s="156">
        <v>7.0200945011042265E-2</v>
      </c>
      <c r="Q26" s="157">
        <f t="shared" si="20"/>
        <v>7.4495761815351058E-2</v>
      </c>
      <c r="R26" s="491">
        <v>5.5944055944055937E-2</v>
      </c>
      <c r="S26" s="483">
        <f t="shared" si="21"/>
        <v>6.5891996783532053E-2</v>
      </c>
      <c r="T26" s="156">
        <v>5.5944055944055937E-2</v>
      </c>
      <c r="U26" s="157">
        <f t="shared" si="22"/>
        <v>6.5891996783532053E-2</v>
      </c>
      <c r="V26" s="156" t="e">
        <v>#DIV/0!</v>
      </c>
      <c r="W26" s="157" t="e">
        <f t="shared" si="23"/>
        <v>#DIV/0!</v>
      </c>
      <c r="X26" s="156">
        <v>8.7074829931972492E-2</v>
      </c>
      <c r="Y26" s="158">
        <f t="shared" si="24"/>
        <v>8.3479444862977287E-2</v>
      </c>
      <c r="Z26" s="156">
        <v>0.12703922445792068</v>
      </c>
      <c r="AA26" s="157">
        <f t="shared" si="99"/>
        <v>0.13725093127042129</v>
      </c>
      <c r="AB26" s="156">
        <v>0.12088230045563442</v>
      </c>
      <c r="AC26" s="81">
        <f t="shared" ref="AC26" si="357">AVERAGE(AB23:AB26)</f>
        <v>0.13127319818316002</v>
      </c>
      <c r="AD26" s="491">
        <v>9.6857377245733442E-2</v>
      </c>
      <c r="AE26" s="483">
        <f t="shared" si="26"/>
        <v>0.12213707878288445</v>
      </c>
      <c r="AF26" s="156">
        <v>9.6857377245733442E-2</v>
      </c>
      <c r="AG26" s="483">
        <f t="shared" ref="AG26" si="358">AVERAGE(AF23:AF26)</f>
        <v>0.12213707878288445</v>
      </c>
      <c r="AH26" s="156" t="e">
        <v>#DIV/0!</v>
      </c>
      <c r="AI26" s="483" t="e">
        <f t="shared" si="28"/>
        <v>#DIV/0!</v>
      </c>
      <c r="AJ26" s="156">
        <v>0.14227250329420921</v>
      </c>
      <c r="AK26" s="158">
        <f t="shared" si="29"/>
        <v>0.1392159080060888</v>
      </c>
      <c r="AL26" s="74">
        <v>7508.492881795748</v>
      </c>
      <c r="AM26" s="81">
        <f t="shared" si="102"/>
        <v>7360.1745103877693</v>
      </c>
      <c r="AN26" s="74">
        <v>6919.7779739555363</v>
      </c>
      <c r="AO26" s="81">
        <f t="shared" ref="AO26" si="359">AVERAGE(AN23:AN26)</f>
        <v>6905.6874265908491</v>
      </c>
      <c r="AP26" s="494">
        <v>7100.4615384615399</v>
      </c>
      <c r="AQ26" s="495">
        <f t="shared" si="31"/>
        <v>7184.4748763100306</v>
      </c>
      <c r="AR26" s="74">
        <v>7100.4615384615399</v>
      </c>
      <c r="AS26" s="81">
        <f t="shared" ref="AS26" si="360">AVERAGE(AR23:AR26)</f>
        <v>7184.4748763100306</v>
      </c>
      <c r="AT26" s="74" t="e">
        <v>#DIV/0!</v>
      </c>
      <c r="AU26" s="81" t="e">
        <f t="shared" si="33"/>
        <v>#DIV/0!</v>
      </c>
      <c r="AV26" s="74">
        <v>6705.9281179138197</v>
      </c>
      <c r="AW26" s="99">
        <f t="shared" si="78"/>
        <v>6611.207020617635</v>
      </c>
      <c r="AX26" s="105">
        <v>4.8378256623902498</v>
      </c>
      <c r="AY26" s="106">
        <f t="shared" si="105"/>
        <v>4.7067164188546666</v>
      </c>
      <c r="AZ26" s="105">
        <v>5.8162417572053862</v>
      </c>
      <c r="BA26" s="81">
        <f t="shared" ref="BA26" si="361">AVERAGE(AZ23:AZ26)</f>
        <v>5.7772018994966858</v>
      </c>
      <c r="BB26" s="492">
        <v>6.706293706293704</v>
      </c>
      <c r="BC26" s="493">
        <f t="shared" si="35"/>
        <v>6.7858851077202083</v>
      </c>
      <c r="BD26" s="105">
        <v>6.706293706293704</v>
      </c>
      <c r="BE26" s="106">
        <f t="shared" ref="BE26" si="362">AVERAGE(BD23:BD26)</f>
        <v>6.7858851077202083</v>
      </c>
      <c r="BF26" s="105" t="e">
        <v>#DIV/0!</v>
      </c>
      <c r="BG26" s="106" t="e">
        <f t="shared" si="37"/>
        <v>#DIV/0!</v>
      </c>
      <c r="BH26" s="105">
        <v>4.7628117913832186</v>
      </c>
      <c r="BI26" s="107">
        <f t="shared" si="81"/>
        <v>4.7571223149055237</v>
      </c>
      <c r="BJ26" s="487">
        <v>0</v>
      </c>
      <c r="BK26" s="488">
        <f t="shared" si="108"/>
        <v>0</v>
      </c>
      <c r="BL26" s="487">
        <v>0</v>
      </c>
      <c r="BM26" s="489">
        <f t="shared" ref="BM26" si="363">AVERAGE(BL23:BL26)</f>
        <v>0</v>
      </c>
      <c r="BN26" s="487"/>
      <c r="BO26" s="489" t="e">
        <f t="shared" ref="BO26" si="364">AVERAGE(BN23:BN26)</f>
        <v>#DIV/0!</v>
      </c>
      <c r="BP26" s="487">
        <v>0</v>
      </c>
      <c r="BQ26" s="489">
        <f t="shared" ref="BQ26" si="365">AVERAGE(BP23:BP26)</f>
        <v>0</v>
      </c>
      <c r="BR26" s="487"/>
      <c r="BS26" s="489" t="e">
        <f t="shared" ref="BS26" si="366">AVERAGE(BR23:BR26)</f>
        <v>#DIV/0!</v>
      </c>
      <c r="BT26" s="487">
        <v>0</v>
      </c>
      <c r="BU26" s="490">
        <f t="shared" si="86"/>
        <v>0</v>
      </c>
      <c r="BV26" s="74">
        <v>7241.6166028577327</v>
      </c>
      <c r="BW26" s="81">
        <f t="shared" si="113"/>
        <v>7227.946608569704</v>
      </c>
      <c r="BX26" s="74">
        <v>8656.0207869262649</v>
      </c>
      <c r="BY26" s="81">
        <f t="shared" ref="BY26" si="367">AVERAGE(BX23:BX26)</f>
        <v>8795.4637769223882</v>
      </c>
      <c r="BZ26" s="494">
        <v>9573.0792540792554</v>
      </c>
      <c r="CA26" s="495">
        <f t="shared" si="43"/>
        <v>9943.3093335636877</v>
      </c>
      <c r="CB26" s="74">
        <v>9573.0792540792554</v>
      </c>
      <c r="CC26" s="81">
        <f t="shared" ref="CC26" si="368">AVERAGE(CB23:CB26)</f>
        <v>9943.3093335636877</v>
      </c>
      <c r="CD26" s="74" t="e">
        <v>#DIV/0!</v>
      </c>
      <c r="CE26" s="81" t="e">
        <f t="shared" si="45"/>
        <v>#DIV/0!</v>
      </c>
      <c r="CF26" s="74">
        <v>7570.6269841269568</v>
      </c>
      <c r="CG26" s="99">
        <f t="shared" si="89"/>
        <v>7664.2858591340564</v>
      </c>
      <c r="CH26" s="156">
        <v>3.1696207714653535E-2</v>
      </c>
      <c r="CI26" s="157">
        <f t="shared" si="113"/>
        <v>3.5918181140611259E-2</v>
      </c>
      <c r="CJ26" s="156">
        <v>5.2771864237281925E-2</v>
      </c>
      <c r="CK26" s="81">
        <f t="shared" ref="CK26" si="369">AVERAGE(CJ23:CJ26)</f>
        <v>5.7447190502469894E-2</v>
      </c>
      <c r="CL26" s="491">
        <v>5.8275058275058265E-2</v>
      </c>
      <c r="CM26" s="483">
        <f t="shared" si="47"/>
        <v>6.7384416135601047E-2</v>
      </c>
      <c r="CN26" s="156">
        <v>5.8275058275058265E-2</v>
      </c>
      <c r="CO26" s="483">
        <f t="shared" ref="CO26" si="370">AVERAGE(CN23:CN26)</f>
        <v>6.7384416135601047E-2</v>
      </c>
      <c r="CP26" s="156" t="e">
        <v>#DIV/0!</v>
      </c>
      <c r="CQ26" s="483" t="e">
        <f t="shared" si="49"/>
        <v>#DIV/0!</v>
      </c>
      <c r="CR26" s="156">
        <v>4.6258503401360382E-2</v>
      </c>
      <c r="CS26" s="158">
        <f t="shared" si="92"/>
        <v>4.9519155366934069E-2</v>
      </c>
      <c r="CT26" s="105">
        <v>44.599904672458393</v>
      </c>
      <c r="CU26" s="106">
        <f t="shared" si="118"/>
        <v>45.028072054130803</v>
      </c>
      <c r="CV26" s="105">
        <v>48.943039618108671</v>
      </c>
      <c r="CW26" s="81">
        <f t="shared" ref="CW26" si="371">AVERAGE(CV23:CV26)</f>
        <v>48.928168700108913</v>
      </c>
      <c r="CX26" s="492">
        <v>51.216783216783206</v>
      </c>
      <c r="CY26" s="493">
        <f t="shared" si="51"/>
        <v>51.80493761760475</v>
      </c>
      <c r="CZ26" s="105">
        <v>51.216783216783206</v>
      </c>
      <c r="DA26" s="106">
        <f t="shared" ref="DA26" si="372">AVERAGE(CZ23:CZ26)</f>
        <v>51.80493761760475</v>
      </c>
      <c r="DB26" s="105" t="e">
        <v>#DIV/0!</v>
      </c>
      <c r="DC26" s="106" t="e">
        <f t="shared" si="53"/>
        <v>#DIV/0!</v>
      </c>
      <c r="DD26" s="105">
        <v>46.251927437641548</v>
      </c>
      <c r="DE26" s="107">
        <f t="shared" si="95"/>
        <v>45.804281019309862</v>
      </c>
    </row>
    <row r="27" spans="1:109" x14ac:dyDescent="0.25">
      <c r="A27" s="155">
        <f t="shared" si="15"/>
        <v>45310</v>
      </c>
      <c r="B27" s="74">
        <v>38.980914725362169</v>
      </c>
      <c r="C27" s="81">
        <f t="shared" si="96"/>
        <v>39.475866253746872</v>
      </c>
      <c r="D27" s="74">
        <v>41.625059217961486</v>
      </c>
      <c r="E27" s="81">
        <f t="shared" si="16"/>
        <v>41.732766852548757</v>
      </c>
      <c r="F27" s="74">
        <v>43.084788029925178</v>
      </c>
      <c r="G27" s="81">
        <f t="shared" si="16"/>
        <v>43.476956922599086</v>
      </c>
      <c r="H27" s="74">
        <v>43.084788029925178</v>
      </c>
      <c r="I27" s="81">
        <f t="shared" ref="I27" si="373">AVERAGE(H24:H27)</f>
        <v>43.476956922599086</v>
      </c>
      <c r="J27" s="74" t="e">
        <v>#DIV/0!</v>
      </c>
      <c r="K27" s="81" t="e">
        <f t="shared" si="18"/>
        <v>#DIV/0!</v>
      </c>
      <c r="L27" s="74">
        <v>40.083549783549621</v>
      </c>
      <c r="M27" s="99">
        <f t="shared" ref="M27" si="374">AVERAGE(L24:L27)</f>
        <v>40.01815616954773</v>
      </c>
      <c r="N27" s="156">
        <v>6.3191977496729612E-2</v>
      </c>
      <c r="O27" s="157">
        <f t="shared" si="96"/>
        <v>6.6006930252595089E-2</v>
      </c>
      <c r="P27" s="156">
        <v>7.686908918643999E-2</v>
      </c>
      <c r="Q27" s="157">
        <f t="shared" si="20"/>
        <v>7.528005074695758E-2</v>
      </c>
      <c r="R27" s="491">
        <v>7.7306733167082281E-2</v>
      </c>
      <c r="S27" s="483">
        <f t="shared" si="21"/>
        <v>6.8016845212917315E-2</v>
      </c>
      <c r="T27" s="156">
        <v>7.7306733167082281E-2</v>
      </c>
      <c r="U27" s="157">
        <f t="shared" si="22"/>
        <v>6.8016845212917315E-2</v>
      </c>
      <c r="V27" s="156" t="e">
        <v>#DIV/0!</v>
      </c>
      <c r="W27" s="157" t="e">
        <f t="shared" si="23"/>
        <v>#DIV/0!</v>
      </c>
      <c r="X27" s="156">
        <v>7.6406926406926104E-2</v>
      </c>
      <c r="Y27" s="158">
        <f t="shared" si="24"/>
        <v>8.2688463009188126E-2</v>
      </c>
      <c r="Z27" s="156">
        <v>0.13766650757124582</v>
      </c>
      <c r="AA27" s="157">
        <f t="shared" si="99"/>
        <v>0.13766610643113464</v>
      </c>
      <c r="AB27" s="156">
        <v>0.14493607250425811</v>
      </c>
      <c r="AC27" s="81">
        <f t="shared" ref="AC27" si="375">AVERAGE(AB24:AB27)</f>
        <v>0.13438275395954377</v>
      </c>
      <c r="AD27" s="491">
        <v>0.15688074074624461</v>
      </c>
      <c r="AE27" s="483">
        <f t="shared" si="26"/>
        <v>0.13041588994235914</v>
      </c>
      <c r="AF27" s="156">
        <v>0.15688074074624461</v>
      </c>
      <c r="AG27" s="483">
        <f t="shared" ref="AG27" si="376">AVERAGE(AF24:AF27)</f>
        <v>0.13041588994235914</v>
      </c>
      <c r="AH27" s="156" t="e">
        <v>#DIV/0!</v>
      </c>
      <c r="AI27" s="483" t="e">
        <f t="shared" si="28"/>
        <v>#DIV/0!</v>
      </c>
      <c r="AJ27" s="156">
        <v>0.13536937021099532</v>
      </c>
      <c r="AK27" s="158">
        <f t="shared" si="29"/>
        <v>0.13799449513402057</v>
      </c>
      <c r="AL27" s="74">
        <v>7541.4005643220635</v>
      </c>
      <c r="AM27" s="81">
        <f t="shared" si="102"/>
        <v>7382.5131465485892</v>
      </c>
      <c r="AN27" s="74">
        <v>6858.416665223639</v>
      </c>
      <c r="AO27" s="81">
        <f t="shared" ref="AO27" si="377">AVERAGE(AN24:AN27)</f>
        <v>6877.3219779086585</v>
      </c>
      <c r="AP27" s="494">
        <v>7030.0074812967587</v>
      </c>
      <c r="AQ27" s="495">
        <f t="shared" si="31"/>
        <v>7114.8442925057798</v>
      </c>
      <c r="AR27" s="74">
        <v>7030.0074812967587</v>
      </c>
      <c r="AS27" s="81">
        <f t="shared" ref="AS27" si="378">AVERAGE(AR24:AR27)</f>
        <v>7114.8442925057798</v>
      </c>
      <c r="AT27" s="74" t="e">
        <v>#DIV/0!</v>
      </c>
      <c r="AU27" s="81" t="e">
        <f t="shared" si="33"/>
        <v>#DIV/0!</v>
      </c>
      <c r="AV27" s="74">
        <v>6677.2125541125361</v>
      </c>
      <c r="AW27" s="99">
        <f t="shared" si="78"/>
        <v>6624.0014786165066</v>
      </c>
      <c r="AX27" s="105">
        <v>4.5963199059549069</v>
      </c>
      <c r="AY27" s="106">
        <f t="shared" si="105"/>
        <v>4.6657342628878782</v>
      </c>
      <c r="AZ27" s="105">
        <v>5.8295404699894986</v>
      </c>
      <c r="BA27" s="81">
        <f t="shared" ref="BA27" si="379">AVERAGE(AZ24:AZ27)</f>
        <v>5.738294066324797</v>
      </c>
      <c r="BB27" s="492">
        <v>6.7905236907730666</v>
      </c>
      <c r="BC27" s="493">
        <f t="shared" si="35"/>
        <v>6.746130709312558</v>
      </c>
      <c r="BD27" s="105">
        <v>6.7905236907730666</v>
      </c>
      <c r="BE27" s="106">
        <f t="shared" ref="BE27" si="380">AVERAGE(BD24:BD27)</f>
        <v>6.746130709312558</v>
      </c>
      <c r="BF27" s="105" t="e">
        <v>#DIV/0!</v>
      </c>
      <c r="BG27" s="106" t="e">
        <f t="shared" si="37"/>
        <v>#DIV/0!</v>
      </c>
      <c r="BH27" s="105">
        <v>4.8147186147186121</v>
      </c>
      <c r="BI27" s="107">
        <f t="shared" si="81"/>
        <v>4.7847590910351343</v>
      </c>
      <c r="BJ27" s="487">
        <v>0</v>
      </c>
      <c r="BK27" s="488">
        <f t="shared" si="108"/>
        <v>0</v>
      </c>
      <c r="BL27" s="487">
        <v>0</v>
      </c>
      <c r="BM27" s="489">
        <f t="shared" ref="BM27" si="381">AVERAGE(BL24:BL27)</f>
        <v>0</v>
      </c>
      <c r="BN27" s="487"/>
      <c r="BO27" s="489" t="e">
        <f t="shared" ref="BO27" si="382">AVERAGE(BN24:BN27)</f>
        <v>#DIV/0!</v>
      </c>
      <c r="BP27" s="487">
        <v>0</v>
      </c>
      <c r="BQ27" s="489">
        <f t="shared" ref="BQ27" si="383">AVERAGE(BP24:BP27)</f>
        <v>0</v>
      </c>
      <c r="BR27" s="487"/>
      <c r="BS27" s="489" t="e">
        <f t="shared" ref="BS27" si="384">AVERAGE(BR24:BR27)</f>
        <v>#DIV/0!</v>
      </c>
      <c r="BT27" s="487">
        <v>0</v>
      </c>
      <c r="BU27" s="490">
        <f t="shared" si="86"/>
        <v>0</v>
      </c>
      <c r="BV27" s="74">
        <v>6863.3009522591774</v>
      </c>
      <c r="BW27" s="81">
        <f t="shared" si="113"/>
        <v>7135.3704860094012</v>
      </c>
      <c r="BX27" s="74">
        <v>8325.4303160743857</v>
      </c>
      <c r="BY27" s="81">
        <f t="shared" ref="BY27" si="385">AVERAGE(BX24:BX27)</f>
        <v>8650.0162700134442</v>
      </c>
      <c r="BZ27" s="494">
        <v>8958.8379052369055</v>
      </c>
      <c r="CA27" s="495">
        <f t="shared" si="43"/>
        <v>9733.3616997811714</v>
      </c>
      <c r="CB27" s="74">
        <v>8958.8379052369055</v>
      </c>
      <c r="CC27" s="81">
        <f t="shared" ref="CC27" si="386">AVERAGE(CB24:CB27)</f>
        <v>9733.3616997811714</v>
      </c>
      <c r="CD27" s="74" t="e">
        <v>#DIV/0!</v>
      </c>
      <c r="CE27" s="81" t="e">
        <f t="shared" si="45"/>
        <v>#DIV/0!</v>
      </c>
      <c r="CF27" s="74">
        <v>7656.5363636363327</v>
      </c>
      <c r="CG27" s="99">
        <f t="shared" si="89"/>
        <v>7652.6470439612185</v>
      </c>
      <c r="CH27" s="156">
        <v>2.2291430001818588E-2</v>
      </c>
      <c r="CI27" s="157">
        <f t="shared" si="113"/>
        <v>3.3878817131562149E-2</v>
      </c>
      <c r="CJ27" s="156">
        <v>3.9408348393160639E-2</v>
      </c>
      <c r="CK27" s="81">
        <f t="shared" ref="CK27" si="387">AVERAGE(CJ24:CJ27)</f>
        <v>5.371954621261546E-2</v>
      </c>
      <c r="CL27" s="491">
        <v>3.4912718204488769E-2</v>
      </c>
      <c r="CM27" s="483">
        <f t="shared" si="47"/>
        <v>6.1777733301402148E-2</v>
      </c>
      <c r="CN27" s="156">
        <v>3.4912718204488769E-2</v>
      </c>
      <c r="CO27" s="483">
        <f t="shared" ref="CO27" si="388">AVERAGE(CN24:CN27)</f>
        <v>6.1777733301402148E-2</v>
      </c>
      <c r="CP27" s="156" t="e">
        <v>#DIV/0!</v>
      </c>
      <c r="CQ27" s="483" t="e">
        <f t="shared" si="49"/>
        <v>#DIV/0!</v>
      </c>
      <c r="CR27" s="156">
        <v>4.415584415584399E-2</v>
      </c>
      <c r="CS27" s="158">
        <f t="shared" si="92"/>
        <v>4.8502487231424883E-2</v>
      </c>
      <c r="CT27" s="105">
        <v>44.062109217137724</v>
      </c>
      <c r="CU27" s="106">
        <f t="shared" si="118"/>
        <v>44.863766685235291</v>
      </c>
      <c r="CV27" s="105">
        <v>47.791097152494856</v>
      </c>
      <c r="CW27" s="81">
        <f t="shared" ref="CW27" si="389">AVERAGE(CV24:CV27)</f>
        <v>48.378895844700168</v>
      </c>
      <c r="CX27" s="492">
        <v>49.700748129675809</v>
      </c>
      <c r="CY27" s="493">
        <f t="shared" si="51"/>
        <v>50.961202631675086</v>
      </c>
      <c r="CZ27" s="105">
        <v>49.700748129675809</v>
      </c>
      <c r="DA27" s="106">
        <f t="shared" ref="DA27" si="390">AVERAGE(CZ24:CZ27)</f>
        <v>50.961202631675086</v>
      </c>
      <c r="DB27" s="105" t="e">
        <v>#DIV/0!</v>
      </c>
      <c r="DC27" s="106" t="e">
        <f t="shared" si="53"/>
        <v>#DIV/0!</v>
      </c>
      <c r="DD27" s="105">
        <v>45.774458874458695</v>
      </c>
      <c r="DE27" s="107">
        <f t="shared" si="95"/>
        <v>45.942718177767041</v>
      </c>
    </row>
    <row r="28" spans="1:109" x14ac:dyDescent="0.25">
      <c r="A28" s="155">
        <f t="shared" si="15"/>
        <v>45317</v>
      </c>
      <c r="B28" s="74">
        <v>39.27434624798039</v>
      </c>
      <c r="C28" s="81">
        <f t="shared" si="96"/>
        <v>39.476844672516386</v>
      </c>
      <c r="D28" s="74">
        <v>41.099294281735666</v>
      </c>
      <c r="E28" s="81">
        <f t="shared" si="16"/>
        <v>41.651791566236838</v>
      </c>
      <c r="F28" s="74">
        <v>41.759581881533101</v>
      </c>
      <c r="G28" s="81">
        <f t="shared" si="16"/>
        <v>43.106821997845586</v>
      </c>
      <c r="H28" s="74">
        <v>42.43607305936073</v>
      </c>
      <c r="I28" s="81">
        <f t="shared" ref="I28" si="391">AVERAGE(H25:H28)</f>
        <v>43.275944792302489</v>
      </c>
      <c r="J28" s="74">
        <v>39.580882352941174</v>
      </c>
      <c r="K28" s="81" t="e">
        <f t="shared" si="18"/>
        <v>#DIV/0!</v>
      </c>
      <c r="L28" s="74">
        <v>40.073208722741299</v>
      </c>
      <c r="M28" s="99">
        <f t="shared" ref="M28" si="392">AVERAGE(L25:L28)</f>
        <v>40.076095148841183</v>
      </c>
      <c r="N28" s="156">
        <v>5.6497331023996109E-2</v>
      </c>
      <c r="O28" s="157">
        <f t="shared" si="96"/>
        <v>6.3764892921587699E-2</v>
      </c>
      <c r="P28" s="156">
        <v>7.0688002787430024E-2</v>
      </c>
      <c r="Q28" s="157">
        <f t="shared" si="20"/>
        <v>7.2750520584600908E-2</v>
      </c>
      <c r="R28" s="491">
        <v>6.6202090592334492E-2</v>
      </c>
      <c r="S28" s="483">
        <f t="shared" si="21"/>
        <v>6.6330285794131652E-2</v>
      </c>
      <c r="T28" s="156">
        <v>6.8493150684931503E-2</v>
      </c>
      <c r="U28" s="157">
        <f t="shared" si="22"/>
        <v>6.6903050817280901E-2</v>
      </c>
      <c r="V28" s="156">
        <v>5.8823529411764698E-2</v>
      </c>
      <c r="W28" s="157" t="e">
        <f t="shared" si="23"/>
        <v>#DIV/0!</v>
      </c>
      <c r="X28" s="156">
        <v>7.7659101023586738E-2</v>
      </c>
      <c r="Y28" s="158">
        <f t="shared" si="24"/>
        <v>8.0191537525632975E-2</v>
      </c>
      <c r="Z28" s="156">
        <v>0.12556437836326706</v>
      </c>
      <c r="AA28" s="157">
        <f t="shared" si="99"/>
        <v>0.13536071929663934</v>
      </c>
      <c r="AB28" s="156">
        <v>0.13158730651319603</v>
      </c>
      <c r="AC28" s="81">
        <f t="shared" ref="AC28" si="393">AVERAGE(AB25:AB28)</f>
        <v>0.13305452585862165</v>
      </c>
      <c r="AD28" s="491">
        <v>0.13201868869139949</v>
      </c>
      <c r="AE28" s="483">
        <f t="shared" si="26"/>
        <v>0.13051537690086173</v>
      </c>
      <c r="AF28" s="156">
        <v>0.14520886960168097</v>
      </c>
      <c r="AG28" s="483">
        <f t="shared" ref="AG28" si="394">AVERAGE(AF25:AF28)</f>
        <v>0.13381292212843213</v>
      </c>
      <c r="AH28" s="156">
        <v>0.10387188488335554</v>
      </c>
      <c r="AI28" s="483" t="e">
        <f t="shared" si="28"/>
        <v>#DIV/0!</v>
      </c>
      <c r="AJ28" s="156">
        <v>0.1310512481130601</v>
      </c>
      <c r="AK28" s="158">
        <f t="shared" si="29"/>
        <v>0.13563235900889772</v>
      </c>
      <c r="AL28" s="74">
        <v>7409.7200278442651</v>
      </c>
      <c r="AM28" s="81">
        <f t="shared" si="102"/>
        <v>7390.116740479797</v>
      </c>
      <c r="AN28" s="74">
        <v>6886.7858304778529</v>
      </c>
      <c r="AO28" s="81">
        <f t="shared" ref="AO28" si="395">AVERAGE(AN25:AN28)</f>
        <v>6886.8062952229857</v>
      </c>
      <c r="AP28" s="494">
        <v>7072.2456445993057</v>
      </c>
      <c r="AQ28" s="495">
        <f t="shared" si="31"/>
        <v>7085.0895942331135</v>
      </c>
      <c r="AR28" s="74">
        <v>7066.5502283105043</v>
      </c>
      <c r="AS28" s="81">
        <f t="shared" ref="AS28" si="396">AVERAGE(AR25:AR28)</f>
        <v>7083.6657401609136</v>
      </c>
      <c r="AT28" s="74">
        <v>7090.5882352941171</v>
      </c>
      <c r="AU28" s="81" t="e">
        <f t="shared" si="33"/>
        <v>#DIV/0!</v>
      </c>
      <c r="AV28" s="74">
        <v>6598.5816644414599</v>
      </c>
      <c r="AW28" s="99">
        <f t="shared" si="78"/>
        <v>6621.3355964428201</v>
      </c>
      <c r="AX28" s="105">
        <v>4.6328337225350849</v>
      </c>
      <c r="AY28" s="106">
        <f t="shared" si="105"/>
        <v>4.6576976354769002</v>
      </c>
      <c r="AZ28" s="105">
        <v>5.6496239073742558</v>
      </c>
      <c r="BA28" s="81">
        <f t="shared" ref="BA28" si="397">AVERAGE(AZ25:AZ28)</f>
        <v>5.7080878931523529</v>
      </c>
      <c r="BB28" s="492">
        <v>6.2247386759581875</v>
      </c>
      <c r="BC28" s="493">
        <f t="shared" si="35"/>
        <v>6.5576345272382763</v>
      </c>
      <c r="BD28" s="105">
        <v>6.9634703196347019</v>
      </c>
      <c r="BE28" s="106">
        <f t="shared" ref="BE28" si="398">AVERAGE(BD25:BD28)</f>
        <v>6.7423174381574045</v>
      </c>
      <c r="BF28" s="105">
        <v>3.8455882352941178</v>
      </c>
      <c r="BG28" s="106" t="e">
        <f t="shared" si="37"/>
        <v>#DIV/0!</v>
      </c>
      <c r="BH28" s="105">
        <v>4.7558967512238519</v>
      </c>
      <c r="BI28" s="107">
        <f t="shared" si="81"/>
        <v>4.770380291550941</v>
      </c>
      <c r="BJ28" s="487">
        <v>8.2844835244637705E-2</v>
      </c>
      <c r="BK28" s="488">
        <f t="shared" si="108"/>
        <v>1.1834976463519673E-2</v>
      </c>
      <c r="BL28" s="487">
        <v>0.144164028705668</v>
      </c>
      <c r="BM28" s="489">
        <f t="shared" ref="BM28" si="399">AVERAGE(BL25:BL28)</f>
        <v>3.6041007176416999E-2</v>
      </c>
      <c r="BN28" s="487"/>
      <c r="BO28" s="489" t="e">
        <f t="shared" ref="BO28" si="400">AVERAGE(BN25:BN28)</f>
        <v>#DIV/0!</v>
      </c>
      <c r="BP28" s="487">
        <v>0</v>
      </c>
      <c r="BQ28" s="489">
        <f t="shared" ref="BQ28" si="401">AVERAGE(BP25:BP28)</f>
        <v>0</v>
      </c>
      <c r="BR28" s="487"/>
      <c r="BS28" s="489" t="e">
        <f t="shared" ref="BS28" si="402">AVERAGE(BR25:BR28)</f>
        <v>#DIV/0!</v>
      </c>
      <c r="BT28" s="487">
        <v>0</v>
      </c>
      <c r="BU28" s="490">
        <f t="shared" si="86"/>
        <v>0</v>
      </c>
      <c r="BV28" s="74">
        <v>6921.064387173752</v>
      </c>
      <c r="BW28" s="81">
        <f t="shared" si="113"/>
        <v>7110.7361166975379</v>
      </c>
      <c r="BX28" s="74">
        <v>8365.8367264336612</v>
      </c>
      <c r="BY28" s="81">
        <f t="shared" ref="BY28" si="403">AVERAGE(BX25:BX28)</f>
        <v>8440.3883621498244</v>
      </c>
      <c r="BZ28" s="494">
        <v>8649.3693379790948</v>
      </c>
      <c r="CA28" s="495">
        <f t="shared" si="43"/>
        <v>9172.1090494735145</v>
      </c>
      <c r="CB28" s="74">
        <v>9100.3447488584479</v>
      </c>
      <c r="CC28" s="81">
        <f t="shared" ref="CC28" si="404">AVERAGE(CB25:CB28)</f>
        <v>9284.8529021933518</v>
      </c>
      <c r="CD28" s="74">
        <v>7196.9632352941144</v>
      </c>
      <c r="CE28" s="81" t="e">
        <f t="shared" si="45"/>
        <v>#DIV/0!</v>
      </c>
      <c r="CF28" s="74">
        <v>7925.2276368491084</v>
      </c>
      <c r="CG28" s="99">
        <f t="shared" si="89"/>
        <v>7677.8980982199628</v>
      </c>
      <c r="CH28" s="156">
        <v>2.5452949797240079E-2</v>
      </c>
      <c r="CI28" s="157">
        <f t="shared" si="113"/>
        <v>3.2361292360250642E-2</v>
      </c>
      <c r="CJ28" s="156">
        <v>4.0353730432056034E-2</v>
      </c>
      <c r="CK28" s="81">
        <f t="shared" ref="CK28" si="405">AVERAGE(CJ25:CJ28)</f>
        <v>4.7515952853726215E-2</v>
      </c>
      <c r="CL28" s="491">
        <v>3.3101045296167253E-2</v>
      </c>
      <c r="CM28" s="483">
        <f t="shared" si="47"/>
        <v>4.9536277300216001E-2</v>
      </c>
      <c r="CN28" s="156">
        <v>3.1963470319634701E-2</v>
      </c>
      <c r="CO28" s="483">
        <f t="shared" ref="CO28" si="406">AVERAGE(CN25:CN28)</f>
        <v>4.9251883556082864E-2</v>
      </c>
      <c r="CP28" s="156">
        <v>3.6764705882352935E-2</v>
      </c>
      <c r="CQ28" s="483" t="e">
        <f t="shared" si="49"/>
        <v>#DIV/0!</v>
      </c>
      <c r="CR28" s="156">
        <v>5.162438807298602E-2</v>
      </c>
      <c r="CS28" s="158">
        <f t="shared" si="92"/>
        <v>4.7938949035171999E-2</v>
      </c>
      <c r="CT28" s="105">
        <v>44.496725300831571</v>
      </c>
      <c r="CU28" s="106">
        <f t="shared" si="118"/>
        <v>44.655881181919248</v>
      </c>
      <c r="CV28" s="105">
        <v>47.202494699935826</v>
      </c>
      <c r="CW28" s="81">
        <f t="shared" ref="CW28" si="407">AVERAGE(CV25:CV28)</f>
        <v>48.05961350273779</v>
      </c>
      <c r="CX28" s="492">
        <v>47.837979094076658</v>
      </c>
      <c r="CY28" s="493">
        <f t="shared" si="51"/>
        <v>49.935135095163858</v>
      </c>
      <c r="CZ28" s="105">
        <v>49.43150684931507</v>
      </c>
      <c r="DA28" s="106">
        <f t="shared" ref="DA28" si="408">AVERAGE(CZ25:CZ28)</f>
        <v>50.333517033973465</v>
      </c>
      <c r="DB28" s="105">
        <v>42.705882352941167</v>
      </c>
      <c r="DC28" s="106" t="e">
        <f t="shared" si="53"/>
        <v>#DIV/0!</v>
      </c>
      <c r="DD28" s="105">
        <v>46.214953271027873</v>
      </c>
      <c r="DE28" s="107">
        <f t="shared" si="95"/>
        <v>45.927158958048544</v>
      </c>
    </row>
    <row r="29" spans="1:109" x14ac:dyDescent="0.25">
      <c r="A29" s="155">
        <f t="shared" si="15"/>
        <v>45324</v>
      </c>
      <c r="B29" s="74">
        <v>39.459539983344726</v>
      </c>
      <c r="C29" s="81">
        <f t="shared" si="96"/>
        <v>39.41208025103284</v>
      </c>
      <c r="D29" s="74">
        <v>40.772938990595762</v>
      </c>
      <c r="E29" s="81">
        <f t="shared" si="16"/>
        <v>41.392682504383494</v>
      </c>
      <c r="F29" s="74">
        <v>41.075740944017561</v>
      </c>
      <c r="G29" s="81">
        <f t="shared" si="16"/>
        <v>42.417673401514648</v>
      </c>
      <c r="H29" s="74">
        <v>43.174698795180717</v>
      </c>
      <c r="I29" s="81">
        <f t="shared" ref="I29" si="409">AVERAGE(H26:H29)</f>
        <v>43.111535658762342</v>
      </c>
      <c r="J29" s="74">
        <v>38.544794188861978</v>
      </c>
      <c r="K29" s="81" t="e">
        <f t="shared" si="18"/>
        <v>#DIV/0!</v>
      </c>
      <c r="L29" s="74">
        <v>40.048332889455359</v>
      </c>
      <c r="M29" s="99">
        <f t="shared" ref="M29" si="410">AVERAGE(L26:L29)</f>
        <v>40.073381692473951</v>
      </c>
      <c r="N29" s="156">
        <v>5.2544469440435379E-2</v>
      </c>
      <c r="O29" s="157">
        <f t="shared" si="96"/>
        <v>6.1364666342718845E-2</v>
      </c>
      <c r="P29" s="156">
        <v>6.4772158449080991E-2</v>
      </c>
      <c r="Q29" s="157">
        <f t="shared" si="20"/>
        <v>7.0632548858498317E-2</v>
      </c>
      <c r="R29" s="491">
        <v>6.1470911086717879E-2</v>
      </c>
      <c r="S29" s="483">
        <f t="shared" si="21"/>
        <v>6.5230947697547642E-2</v>
      </c>
      <c r="T29" s="156">
        <v>6.4257028112449779E-2</v>
      </c>
      <c r="U29" s="157">
        <f t="shared" si="22"/>
        <v>6.6500241977129879E-2</v>
      </c>
      <c r="V29" s="156">
        <v>5.8111380145278432E-2</v>
      </c>
      <c r="W29" s="157" t="e">
        <f t="shared" si="23"/>
        <v>#DIV/0!</v>
      </c>
      <c r="X29" s="156">
        <v>7.2672054579571654E-2</v>
      </c>
      <c r="Y29" s="158">
        <f t="shared" si="24"/>
        <v>7.8453227985514254E-2</v>
      </c>
      <c r="Z29" s="156">
        <v>0.11287505119417929</v>
      </c>
      <c r="AA29" s="157">
        <f t="shared" si="99"/>
        <v>0.13202950862238927</v>
      </c>
      <c r="AB29" s="156">
        <v>0.11247724249706709</v>
      </c>
      <c r="AC29" s="81">
        <f t="shared" ref="AC29" si="411">AVERAGE(AB26:AB29)</f>
        <v>0.12747073049253893</v>
      </c>
      <c r="AD29" s="491">
        <v>0.10869712380495014</v>
      </c>
      <c r="AE29" s="483">
        <f t="shared" si="26"/>
        <v>0.12361348262208191</v>
      </c>
      <c r="AF29" s="156">
        <v>0.13499116673861927</v>
      </c>
      <c r="AG29" s="483">
        <f t="shared" ref="AG29" si="412">AVERAGE(AF26:AF29)</f>
        <v>0.13348453858306958</v>
      </c>
      <c r="AH29" s="156">
        <v>8.6911498905237097E-2</v>
      </c>
      <c r="AI29" s="483" t="e">
        <f t="shared" si="28"/>
        <v>#DIV/0!</v>
      </c>
      <c r="AJ29" s="156">
        <v>0.12114391120330203</v>
      </c>
      <c r="AK29" s="158">
        <f t="shared" si="29"/>
        <v>0.13245925820539167</v>
      </c>
      <c r="AL29" s="74">
        <v>7446.7402039855106</v>
      </c>
      <c r="AM29" s="81">
        <f t="shared" si="102"/>
        <v>7399.4722778433415</v>
      </c>
      <c r="AN29" s="74">
        <v>6905.0655718048702</v>
      </c>
      <c r="AO29" s="81">
        <f t="shared" ref="AO29" si="413">AVERAGE(AN26:AN29)</f>
        <v>6892.5115103654744</v>
      </c>
      <c r="AP29" s="494">
        <v>6979.2568605927572</v>
      </c>
      <c r="AQ29" s="495">
        <f t="shared" si="31"/>
        <v>7045.4928812375911</v>
      </c>
      <c r="AR29" s="74">
        <v>7207.4297188755054</v>
      </c>
      <c r="AS29" s="81">
        <f t="shared" ref="AS29" si="414">AVERAGE(AR26:AR29)</f>
        <v>7101.1122417360766</v>
      </c>
      <c r="AT29" s="74">
        <v>6704.1234866828081</v>
      </c>
      <c r="AU29" s="81" t="e">
        <f t="shared" si="33"/>
        <v>#DIV/0!</v>
      </c>
      <c r="AV29" s="74">
        <v>6727.525566201648</v>
      </c>
      <c r="AW29" s="99">
        <f t="shared" si="78"/>
        <v>6642.0012560900668</v>
      </c>
      <c r="AX29" s="105">
        <v>4.6673004287848148</v>
      </c>
      <c r="AY29" s="106">
        <f t="shared" si="105"/>
        <v>4.654376541229583</v>
      </c>
      <c r="AZ29" s="105">
        <v>5.3992847871582148</v>
      </c>
      <c r="BA29" s="81">
        <f t="shared" ref="BA29" si="415">AVERAGE(AZ26:AZ29)</f>
        <v>5.6736727304318393</v>
      </c>
      <c r="BB29" s="492">
        <v>5.7156970362239292</v>
      </c>
      <c r="BC29" s="493">
        <f t="shared" si="35"/>
        <v>6.3593132773122214</v>
      </c>
      <c r="BD29" s="105">
        <v>6.6686746987951802</v>
      </c>
      <c r="BE29" s="106">
        <f t="shared" ref="BE29" si="416">AVERAGE(BD26:BD29)</f>
        <v>6.7822406038741629</v>
      </c>
      <c r="BF29" s="105">
        <v>4.5665859564164633</v>
      </c>
      <c r="BG29" s="106" t="e">
        <f t="shared" si="37"/>
        <v>#DIV/0!</v>
      </c>
      <c r="BH29" s="105">
        <v>4.6421092023983945</v>
      </c>
      <c r="BI29" s="107">
        <f t="shared" si="81"/>
        <v>4.7474054506208194</v>
      </c>
      <c r="BJ29" s="487">
        <v>0.19371177357130989</v>
      </c>
      <c r="BK29" s="488">
        <f t="shared" si="108"/>
        <v>3.9508086973706794E-2</v>
      </c>
      <c r="BL29" s="487">
        <v>0.3197353797354428</v>
      </c>
      <c r="BM29" s="489">
        <f t="shared" ref="BM29" si="417">AVERAGE(BL26:BL29)</f>
        <v>0.11597485211027769</v>
      </c>
      <c r="BN29" s="487"/>
      <c r="BO29" s="489" t="e">
        <f t="shared" ref="BO29" si="418">AVERAGE(BN26:BN29)</f>
        <v>#DIV/0!</v>
      </c>
      <c r="BP29" s="487">
        <v>0</v>
      </c>
      <c r="BQ29" s="489">
        <f t="shared" ref="BQ29" si="419">AVERAGE(BP26:BP29)</f>
        <v>0</v>
      </c>
      <c r="BR29" s="487"/>
      <c r="BS29" s="489" t="e">
        <f t="shared" ref="BS29" si="420">AVERAGE(BR26:BR29)</f>
        <v>#DIV/0!</v>
      </c>
      <c r="BT29" s="487">
        <v>0</v>
      </c>
      <c r="BU29" s="490">
        <f t="shared" si="86"/>
        <v>0</v>
      </c>
      <c r="BV29" s="74">
        <v>7432.7513380857217</v>
      </c>
      <c r="BW29" s="81">
        <f t="shared" si="113"/>
        <v>7135.6448408853084</v>
      </c>
      <c r="BX29" s="74">
        <v>8300.8678235303669</v>
      </c>
      <c r="BY29" s="81">
        <f t="shared" ref="BY29" si="421">AVERAGE(BX26:BX29)</f>
        <v>8412.0389132411692</v>
      </c>
      <c r="BZ29" s="494">
        <v>8528.0812294182197</v>
      </c>
      <c r="CA29" s="495">
        <f t="shared" si="43"/>
        <v>8927.3419316783675</v>
      </c>
      <c r="CB29" s="74">
        <v>9566.8935742971862</v>
      </c>
      <c r="CC29" s="81">
        <f t="shared" ref="CC29" si="422">AVERAGE(CB26:CB29)</f>
        <v>9299.7888706179492</v>
      </c>
      <c r="CD29" s="74">
        <v>7275.4697336561721</v>
      </c>
      <c r="CE29" s="81" t="e">
        <f t="shared" si="45"/>
        <v>#DIV/0!</v>
      </c>
      <c r="CF29" s="74">
        <v>7757.1453729096993</v>
      </c>
      <c r="CG29" s="99">
        <f t="shared" si="89"/>
        <v>7708.8091040919689</v>
      </c>
      <c r="CH29" s="156">
        <v>2.6972167397819408E-2</v>
      </c>
      <c r="CI29" s="157">
        <f t="shared" si="113"/>
        <v>3.048677385663209E-2</v>
      </c>
      <c r="CJ29" s="156">
        <v>3.9421551408860896E-2</v>
      </c>
      <c r="CK29" s="81">
        <f t="shared" ref="CK29" si="423">AVERAGE(CJ26:CJ29)</f>
        <v>4.2988873617839873E-2</v>
      </c>
      <c r="CL29" s="491">
        <v>3.6223929747530186E-2</v>
      </c>
      <c r="CM29" s="483">
        <f t="shared" si="47"/>
        <v>4.0628187880811122E-2</v>
      </c>
      <c r="CN29" s="156">
        <v>3.614457831325301E-2</v>
      </c>
      <c r="CO29" s="483">
        <f t="shared" ref="CO29" si="424">AVERAGE(CN26:CN29)</f>
        <v>4.032395627810869E-2</v>
      </c>
      <c r="CP29" s="156">
        <v>3.6319612590799022E-2</v>
      </c>
      <c r="CQ29" s="483" t="e">
        <f t="shared" si="49"/>
        <v>#DIV/0!</v>
      </c>
      <c r="CR29" s="156">
        <v>4.7073470885454584E-2</v>
      </c>
      <c r="CS29" s="158">
        <f t="shared" si="92"/>
        <v>4.7920244928327846E-2</v>
      </c>
      <c r="CT29" s="105">
        <v>43.683291092365593</v>
      </c>
      <c r="CU29" s="106">
        <f t="shared" si="118"/>
        <v>44.552950141122281</v>
      </c>
      <c r="CV29" s="105">
        <v>46.53293118518701</v>
      </c>
      <c r="CW29" s="81">
        <f t="shared" ref="CW29" si="425">AVERAGE(CV26:CV29)</f>
        <v>47.617390663931587</v>
      </c>
      <c r="CX29" s="492">
        <v>46.837541163556523</v>
      </c>
      <c r="CY29" s="493">
        <f t="shared" si="51"/>
        <v>48.898262901023045</v>
      </c>
      <c r="CZ29" s="105">
        <v>50.092369477911632</v>
      </c>
      <c r="DA29" s="106">
        <f t="shared" ref="DA29" si="426">AVERAGE(CZ26:CZ29)</f>
        <v>50.110351918421429</v>
      </c>
      <c r="DB29" s="105">
        <v>42.912832929782077</v>
      </c>
      <c r="DC29" s="106" t="e">
        <f t="shared" si="53"/>
        <v>#DIV/0!</v>
      </c>
      <c r="DD29" s="105">
        <v>45.803998474216797</v>
      </c>
      <c r="DE29" s="107">
        <f t="shared" si="95"/>
        <v>45.974057260440937</v>
      </c>
    </row>
    <row r="30" spans="1:109" x14ac:dyDescent="0.25">
      <c r="A30" s="155">
        <f t="shared" si="15"/>
        <v>45331</v>
      </c>
      <c r="B30" s="74">
        <v>39.345088837404845</v>
      </c>
      <c r="C30" s="81">
        <f t="shared" si="96"/>
        <v>39.40036401488679</v>
      </c>
      <c r="D30" s="74">
        <v>40.881210710729583</v>
      </c>
      <c r="E30" s="81">
        <f t="shared" si="16"/>
        <v>41.094625800255621</v>
      </c>
      <c r="F30" s="74">
        <v>41.13566433566433</v>
      </c>
      <c r="G30" s="81">
        <f t="shared" si="16"/>
        <v>41.763943797785039</v>
      </c>
      <c r="H30" s="74">
        <v>43.38243626062323</v>
      </c>
      <c r="I30" s="81">
        <f t="shared" ref="I30" si="427">AVERAGE(H27:H30)</f>
        <v>43.019499036272464</v>
      </c>
      <c r="J30" s="74">
        <v>38.944751381215461</v>
      </c>
      <c r="K30" s="81" t="e">
        <f t="shared" si="18"/>
        <v>#DIV/0!</v>
      </c>
      <c r="L30" s="74">
        <v>40.283518145161089</v>
      </c>
      <c r="M30" s="99">
        <f t="shared" ref="M30" si="428">AVERAGE(L27:L30)</f>
        <v>40.12215238522684</v>
      </c>
      <c r="N30" s="156">
        <v>6.5301679825174472E-2</v>
      </c>
      <c r="O30" s="157">
        <f t="shared" si="96"/>
        <v>6.092254778894389E-2</v>
      </c>
      <c r="P30" s="156">
        <v>7.6217684952061299E-2</v>
      </c>
      <c r="Q30" s="157">
        <f t="shared" si="20"/>
        <v>7.2136733843753076E-2</v>
      </c>
      <c r="R30" s="491">
        <v>7.1328671328671323E-2</v>
      </c>
      <c r="S30" s="483">
        <f t="shared" si="21"/>
        <v>6.9077101543701488E-2</v>
      </c>
      <c r="T30" s="156">
        <v>8.2152974504249271E-2</v>
      </c>
      <c r="U30" s="157">
        <f t="shared" si="22"/>
        <v>7.3052471617178205E-2</v>
      </c>
      <c r="V30" s="156">
        <v>6.0773480662983416E-2</v>
      </c>
      <c r="W30" s="157" t="e">
        <f t="shared" si="23"/>
        <v>#DIV/0!</v>
      </c>
      <c r="X30" s="156">
        <v>8.7701612903225368E-2</v>
      </c>
      <c r="Y30" s="158">
        <f t="shared" si="24"/>
        <v>7.8609923728327466E-2</v>
      </c>
      <c r="Z30" s="156">
        <v>0.14203067349660473</v>
      </c>
      <c r="AA30" s="157">
        <f t="shared" si="99"/>
        <v>0.13170050889661197</v>
      </c>
      <c r="AB30" s="156">
        <v>0.14868307027902433</v>
      </c>
      <c r="AC30" s="81">
        <f t="shared" ref="AC30" si="429">AVERAGE(AB27:AB30)</f>
        <v>0.1344209229483864</v>
      </c>
      <c r="AD30" s="491">
        <v>0.14864497717190955</v>
      </c>
      <c r="AE30" s="483">
        <f t="shared" si="26"/>
        <v>0.13656038260362596</v>
      </c>
      <c r="AF30" s="156">
        <v>0.17916507679940563</v>
      </c>
      <c r="AG30" s="483">
        <f t="shared" ref="AG30" si="430">AVERAGE(AF27:AF30)</f>
        <v>0.15406146347148764</v>
      </c>
      <c r="AH30" s="156">
        <v>0.12827217227944229</v>
      </c>
      <c r="AI30" s="483" t="e">
        <f t="shared" si="28"/>
        <v>#DIV/0!</v>
      </c>
      <c r="AJ30" s="156">
        <v>0.14876935792140664</v>
      </c>
      <c r="AK30" s="158">
        <f t="shared" si="29"/>
        <v>0.13408347186219102</v>
      </c>
      <c r="AL30" s="74">
        <v>7400.239688325446</v>
      </c>
      <c r="AM30" s="81">
        <f t="shared" si="102"/>
        <v>7393.8410382958928</v>
      </c>
      <c r="AN30" s="74">
        <v>6846.9978015506686</v>
      </c>
      <c r="AO30" s="81">
        <f t="shared" ref="AO30" si="431">AVERAGE(AN27:AN30)</f>
        <v>6874.316467264257</v>
      </c>
      <c r="AP30" s="494">
        <v>6868.4909090909096</v>
      </c>
      <c r="AQ30" s="495">
        <f t="shared" si="31"/>
        <v>6987.5002238949328</v>
      </c>
      <c r="AR30" s="74">
        <v>7137.85835694051</v>
      </c>
      <c r="AS30" s="81">
        <f t="shared" ref="AS30" si="432">AVERAGE(AR27:AR30)</f>
        <v>7110.4614463558191</v>
      </c>
      <c r="AT30" s="74">
        <v>6605.8204419889489</v>
      </c>
      <c r="AU30" s="81" t="e">
        <f t="shared" si="33"/>
        <v>#DIV/0!</v>
      </c>
      <c r="AV30" s="74">
        <v>6796.5120967741732</v>
      </c>
      <c r="AW30" s="99">
        <f t="shared" si="78"/>
        <v>6673.9711814035536</v>
      </c>
      <c r="AX30" s="105">
        <v>4.4652914975885469</v>
      </c>
      <c r="AY30" s="106">
        <f t="shared" si="105"/>
        <v>4.6553014401711961</v>
      </c>
      <c r="AZ30" s="105">
        <v>5.3769683320830728</v>
      </c>
      <c r="BA30" s="81">
        <f t="shared" ref="BA30" si="433">AVERAGE(AZ27:AZ30)</f>
        <v>5.5638543741512612</v>
      </c>
      <c r="BB30" s="492">
        <v>5.6013986013985999</v>
      </c>
      <c r="BC30" s="493">
        <f t="shared" si="35"/>
        <v>6.0830895010884456</v>
      </c>
      <c r="BD30" s="105">
        <v>6.4220963172804524</v>
      </c>
      <c r="BE30" s="106">
        <f t="shared" ref="BE30" si="434">AVERAGE(BD27:BD30)</f>
        <v>6.7111912566208503</v>
      </c>
      <c r="BF30" s="105">
        <v>4.8011049723756898</v>
      </c>
      <c r="BG30" s="106" t="e">
        <f t="shared" si="37"/>
        <v>#DIV/0!</v>
      </c>
      <c r="BH30" s="105">
        <v>4.84979838709675</v>
      </c>
      <c r="BI30" s="107">
        <f t="shared" si="81"/>
        <v>4.7485548849356194</v>
      </c>
      <c r="BJ30" s="487">
        <v>0.21084230420574687</v>
      </c>
      <c r="BK30" s="488">
        <f t="shared" si="108"/>
        <v>6.9628416145956357E-2</v>
      </c>
      <c r="BL30" s="487">
        <v>0.35511275837207795</v>
      </c>
      <c r="BM30" s="489">
        <f t="shared" ref="BM30" si="435">AVERAGE(BL27:BL30)</f>
        <v>0.20475304170329717</v>
      </c>
      <c r="BN30" s="487"/>
      <c r="BO30" s="489" t="e">
        <f t="shared" ref="BO30" si="436">AVERAGE(BN27:BN30)</f>
        <v>#DIV/0!</v>
      </c>
      <c r="BP30" s="487">
        <v>0</v>
      </c>
      <c r="BQ30" s="489">
        <f t="shared" ref="BQ30" si="437">AVERAGE(BP27:BP30)</f>
        <v>0</v>
      </c>
      <c r="BR30" s="487"/>
      <c r="BS30" s="489" t="e">
        <f t="shared" ref="BS30" si="438">AVERAGE(BR27:BR30)</f>
        <v>#DIV/0!</v>
      </c>
      <c r="BT30" s="487">
        <v>0</v>
      </c>
      <c r="BU30" s="490">
        <f t="shared" si="86"/>
        <v>0</v>
      </c>
      <c r="BV30" s="74">
        <v>6448.7852086808516</v>
      </c>
      <c r="BW30" s="81">
        <f t="shared" si="113"/>
        <v>7052.2397167438839</v>
      </c>
      <c r="BX30" s="74">
        <v>7698.6165491845259</v>
      </c>
      <c r="BY30" s="81">
        <f t="shared" ref="BY30" si="439">AVERAGE(BX27:BX30)</f>
        <v>8172.6878538057354</v>
      </c>
      <c r="BZ30" s="494">
        <v>7725.9230769230762</v>
      </c>
      <c r="CA30" s="495">
        <f t="shared" si="43"/>
        <v>8465.5528873893236</v>
      </c>
      <c r="CB30" s="74">
        <v>8436.218130311614</v>
      </c>
      <c r="CC30" s="81">
        <f t="shared" ref="CC30" si="440">AVERAGE(CB27:CB30)</f>
        <v>9015.5735896760398</v>
      </c>
      <c r="CD30" s="74">
        <v>7033.2872928176776</v>
      </c>
      <c r="CE30" s="81" t="e">
        <f t="shared" si="45"/>
        <v>#DIV/0!</v>
      </c>
      <c r="CF30" s="74">
        <v>7634.4755544354521</v>
      </c>
      <c r="CG30" s="99">
        <f t="shared" si="89"/>
        <v>7677.9758015357511</v>
      </c>
      <c r="CH30" s="156">
        <v>2.2902577495335995E-2</v>
      </c>
      <c r="CI30" s="157">
        <f t="shared" si="113"/>
        <v>2.9077715009705348E-2</v>
      </c>
      <c r="CJ30" s="156">
        <v>3.7844113748894258E-2</v>
      </c>
      <c r="CK30" s="81">
        <f t="shared" ref="CK30" si="441">AVERAGE(CJ27:CJ30)</f>
        <v>3.925693599574296E-2</v>
      </c>
      <c r="CL30" s="491">
        <v>3.4965034965034961E-2</v>
      </c>
      <c r="CM30" s="483">
        <f t="shared" si="47"/>
        <v>3.480068205330529E-2</v>
      </c>
      <c r="CN30" s="156">
        <v>3.3994334277620393E-2</v>
      </c>
      <c r="CO30" s="483">
        <f t="shared" ref="CO30" si="442">AVERAGE(CN27:CN30)</f>
        <v>3.4253775278749218E-2</v>
      </c>
      <c r="CP30" s="156">
        <v>3.5911602209944743E-2</v>
      </c>
      <c r="CQ30" s="483" t="e">
        <f t="shared" si="49"/>
        <v>#DIV/0!</v>
      </c>
      <c r="CR30" s="156">
        <v>4.4606854838709457E-2</v>
      </c>
      <c r="CS30" s="158">
        <f t="shared" si="92"/>
        <v>4.7044424906244289E-2</v>
      </c>
      <c r="CT30" s="105">
        <v>44.81761377046557</v>
      </c>
      <c r="CU30" s="106">
        <f t="shared" si="118"/>
        <v>44.496482090140873</v>
      </c>
      <c r="CV30" s="105">
        <v>47.777665495895391</v>
      </c>
      <c r="CW30" s="81">
        <f t="shared" ref="CW30" si="443">AVERAGE(CV27:CV30)</f>
        <v>47.326047133378268</v>
      </c>
      <c r="CX30" s="492">
        <v>48.097902097902093</v>
      </c>
      <c r="CY30" s="493">
        <f t="shared" si="51"/>
        <v>48.118542621302765</v>
      </c>
      <c r="CZ30" s="105">
        <v>50.994334277620396</v>
      </c>
      <c r="DA30" s="106">
        <f t="shared" ref="DA30" si="444">AVERAGE(CZ27:CZ30)</f>
        <v>50.054739683630729</v>
      </c>
      <c r="DB30" s="105">
        <v>45.273480662983417</v>
      </c>
      <c r="DC30" s="106" t="e">
        <f t="shared" si="53"/>
        <v>#DIV/0!</v>
      </c>
      <c r="DD30" s="105">
        <v>47.025453629032015</v>
      </c>
      <c r="DE30" s="107">
        <f t="shared" si="95"/>
        <v>46.07377242540327</v>
      </c>
    </row>
    <row r="31" spans="1:109" x14ac:dyDescent="0.25">
      <c r="A31" s="155">
        <f t="shared" si="15"/>
        <v>45338</v>
      </c>
      <c r="B31" s="74">
        <v>40.077366614666111</v>
      </c>
      <c r="C31" s="81">
        <f t="shared" si="96"/>
        <v>39.505678161179453</v>
      </c>
      <c r="D31" s="74">
        <v>41.48936590785457</v>
      </c>
      <c r="E31" s="81">
        <f t="shared" si="16"/>
        <v>41.060702472728892</v>
      </c>
      <c r="F31" s="74">
        <v>41.994871794871791</v>
      </c>
      <c r="G31" s="81">
        <f t="shared" si="16"/>
        <v>41.491464739021694</v>
      </c>
      <c r="H31" s="74">
        <v>43.542105263157886</v>
      </c>
      <c r="I31" s="81">
        <f t="shared" ref="I31" si="445">AVERAGE(H28:H31)</f>
        <v>43.133828344580635</v>
      </c>
      <c r="J31" s="74">
        <v>40.524999999999999</v>
      </c>
      <c r="K31" s="81">
        <f t="shared" si="18"/>
        <v>39.398856980754658</v>
      </c>
      <c r="L31" s="74">
        <v>40.290412876137054</v>
      </c>
      <c r="M31" s="99">
        <f t="shared" ref="M31" si="446">AVERAGE(L28:L31)</f>
        <v>40.173868158373701</v>
      </c>
      <c r="N31" s="156">
        <v>5.5246895529488214E-2</v>
      </c>
      <c r="O31" s="157">
        <f t="shared" si="96"/>
        <v>5.8545906082916481E-2</v>
      </c>
      <c r="P31" s="156">
        <v>5.869752134480731E-2</v>
      </c>
      <c r="Q31" s="157">
        <f t="shared" si="20"/>
        <v>6.7593841883344899E-2</v>
      </c>
      <c r="R31" s="491">
        <v>5.2564102564102558E-2</v>
      </c>
      <c r="S31" s="483">
        <f t="shared" si="21"/>
        <v>6.2891443892956561E-2</v>
      </c>
      <c r="T31" s="156">
        <v>6.5789473684210509E-2</v>
      </c>
      <c r="U31" s="157">
        <f t="shared" si="22"/>
        <v>7.0173156746460269E-2</v>
      </c>
      <c r="V31" s="156">
        <v>0.04</v>
      </c>
      <c r="W31" s="157">
        <f t="shared" si="23"/>
        <v>5.4427097555006639E-2</v>
      </c>
      <c r="X31" s="156">
        <v>7.3244693258688875E-2</v>
      </c>
      <c r="Y31" s="158">
        <f t="shared" si="24"/>
        <v>7.7819365441268162E-2</v>
      </c>
      <c r="Z31" s="156">
        <v>0.12213046451425315</v>
      </c>
      <c r="AA31" s="157">
        <f t="shared" si="99"/>
        <v>0.1282376969035704</v>
      </c>
      <c r="AB31" s="156">
        <v>0.10222104934656301</v>
      </c>
      <c r="AC31" s="81">
        <f t="shared" ref="AC31" si="447">AVERAGE(AB28:AB31)</f>
        <v>0.12374216715896262</v>
      </c>
      <c r="AD31" s="491">
        <v>9.0013431905777819E-2</v>
      </c>
      <c r="AE31" s="483">
        <f t="shared" si="26"/>
        <v>0.11984355539350924</v>
      </c>
      <c r="AF31" s="156">
        <v>0.13361294914929517</v>
      </c>
      <c r="AG31" s="483">
        <f t="shared" ref="AG31" si="448">AVERAGE(AF28:AF31)</f>
        <v>0.14824451557225027</v>
      </c>
      <c r="AH31" s="156">
        <v>6.0518519461888305E-2</v>
      </c>
      <c r="AI31" s="483">
        <f t="shared" si="28"/>
        <v>9.4893518882480807E-2</v>
      </c>
      <c r="AJ31" s="156">
        <v>0.12896430120895061</v>
      </c>
      <c r="AK31" s="158">
        <f t="shared" si="29"/>
        <v>0.13248220461167987</v>
      </c>
      <c r="AL31" s="74">
        <v>7374.5422500567483</v>
      </c>
      <c r="AM31" s="81">
        <f t="shared" si="102"/>
        <v>7426.9838061272703</v>
      </c>
      <c r="AN31" s="74">
        <v>6794.4290401598691</v>
      </c>
      <c r="AO31" s="81">
        <f t="shared" ref="AO31" si="449">AVERAGE(AN28:AN31)</f>
        <v>6858.319560998315</v>
      </c>
      <c r="AP31" s="494">
        <v>6782.8974358974383</v>
      </c>
      <c r="AQ31" s="495">
        <f t="shared" si="31"/>
        <v>6925.7227125451027</v>
      </c>
      <c r="AR31" s="74">
        <v>7098.2000000000035</v>
      </c>
      <c r="AS31" s="81">
        <f t="shared" ref="AS31" si="450">AVERAGE(AR28:AR31)</f>
        <v>7127.5095760316308</v>
      </c>
      <c r="AT31" s="74">
        <v>6483.3600000000024</v>
      </c>
      <c r="AU31" s="81">
        <f t="shared" si="33"/>
        <v>6720.9730409914682</v>
      </c>
      <c r="AV31" s="74">
        <v>6821.7795661301616</v>
      </c>
      <c r="AW31" s="99">
        <f t="shared" si="78"/>
        <v>6712.688960719609</v>
      </c>
      <c r="AX31" s="105">
        <v>4.4729576975049321</v>
      </c>
      <c r="AY31" s="106">
        <f t="shared" si="105"/>
        <v>4.6104521211534077</v>
      </c>
      <c r="AZ31" s="105">
        <v>5.0930878400315365</v>
      </c>
      <c r="BA31" s="81">
        <f t="shared" ref="BA31" si="451">AVERAGE(AZ28:AZ31)</f>
        <v>5.3797412166617704</v>
      </c>
      <c r="BB31" s="492">
        <v>5.2358974358974351</v>
      </c>
      <c r="BC31" s="493">
        <f t="shared" si="35"/>
        <v>5.6944329373695375</v>
      </c>
      <c r="BD31" s="105">
        <v>6.2210526315789458</v>
      </c>
      <c r="BE31" s="106">
        <f t="shared" ref="BE31" si="452">AVERAGE(BD28:BD31)</f>
        <v>6.5688234918223198</v>
      </c>
      <c r="BF31" s="105">
        <v>4.3</v>
      </c>
      <c r="BG31" s="106">
        <f t="shared" si="37"/>
        <v>4.3783197910215677</v>
      </c>
      <c r="BH31" s="105">
        <v>4.7543736878936205</v>
      </c>
      <c r="BI31" s="107">
        <f t="shared" si="81"/>
        <v>4.7536692271009988</v>
      </c>
      <c r="BJ31" s="487">
        <v>0.22604504616985727</v>
      </c>
      <c r="BK31" s="488">
        <f t="shared" si="108"/>
        <v>0.10192056559879312</v>
      </c>
      <c r="BL31" s="487">
        <v>0.36072896906749263</v>
      </c>
      <c r="BM31" s="489">
        <f t="shared" ref="BM31" si="453">AVERAGE(BL28:BL31)</f>
        <v>0.29493528397017033</v>
      </c>
      <c r="BN31" s="487"/>
      <c r="BO31" s="489" t="e">
        <f t="shared" ref="BO31" si="454">AVERAGE(BN28:BN31)</f>
        <v>#DIV/0!</v>
      </c>
      <c r="BP31" s="487">
        <v>0</v>
      </c>
      <c r="BQ31" s="489">
        <f t="shared" ref="BQ31" si="455">AVERAGE(BP28:BP31)</f>
        <v>0</v>
      </c>
      <c r="BR31" s="487"/>
      <c r="BS31" s="489" t="e">
        <f t="shared" ref="BS31" si="456">AVERAGE(BR28:BR31)</f>
        <v>#DIV/0!</v>
      </c>
      <c r="BT31" s="487">
        <v>0</v>
      </c>
      <c r="BU31" s="490">
        <f t="shared" si="86"/>
        <v>0</v>
      </c>
      <c r="BV31" s="74">
        <v>6782.1046004896962</v>
      </c>
      <c r="BW31" s="81">
        <f t="shared" si="113"/>
        <v>6937.8020879895676</v>
      </c>
      <c r="BX31" s="74">
        <v>7769.959640387272</v>
      </c>
      <c r="BY31" s="81">
        <f t="shared" ref="BY31" si="457">AVERAGE(BX28:BX31)</f>
        <v>8033.8201848839562</v>
      </c>
      <c r="BZ31" s="494">
        <v>7843.1089743589755</v>
      </c>
      <c r="CA31" s="495">
        <f t="shared" si="43"/>
        <v>8186.6206546698413</v>
      </c>
      <c r="CB31" s="74">
        <v>8943.5026315789473</v>
      </c>
      <c r="CC31" s="81">
        <f t="shared" ref="CC31" si="458">AVERAGE(CB28:CB31)</f>
        <v>9011.7397712615493</v>
      </c>
      <c r="CD31" s="74">
        <v>6797.7350000000024</v>
      </c>
      <c r="CE31" s="81">
        <f t="shared" si="45"/>
        <v>7075.8638154419914</v>
      </c>
      <c r="CF31" s="74">
        <v>7596.4648938651617</v>
      </c>
      <c r="CG31" s="99">
        <f t="shared" si="89"/>
        <v>7658.4600674275107</v>
      </c>
      <c r="CH31" s="156">
        <v>2.2954719610563581E-2</v>
      </c>
      <c r="CI31" s="157">
        <f t="shared" si="113"/>
        <v>2.6499382150138546E-2</v>
      </c>
      <c r="CJ31" s="156">
        <v>3.5344026722282061E-2</v>
      </c>
      <c r="CK31" s="81">
        <f t="shared" ref="CK31" si="459">AVERAGE(CJ28:CJ31)</f>
        <v>3.8240855578023314E-2</v>
      </c>
      <c r="CL31" s="491">
        <v>3.2051282051282048E-2</v>
      </c>
      <c r="CM31" s="483">
        <f t="shared" si="47"/>
        <v>3.408532301500361E-2</v>
      </c>
      <c r="CN31" s="156">
        <v>3.1578947368421047E-2</v>
      </c>
      <c r="CO31" s="483">
        <f t="shared" ref="CO31" si="460">AVERAGE(CN28:CN31)</f>
        <v>3.3420332569732286E-2</v>
      </c>
      <c r="CP31" s="156">
        <v>3.2500000000000001E-2</v>
      </c>
      <c r="CQ31" s="483">
        <f t="shared" si="49"/>
        <v>3.5373980170774172E-2</v>
      </c>
      <c r="CR31" s="156">
        <v>4.3153720550501408E-2</v>
      </c>
      <c r="CS31" s="158">
        <f t="shared" si="92"/>
        <v>4.6001139225861708E-2</v>
      </c>
      <c r="CT31" s="105">
        <v>44.54028588857436</v>
      </c>
      <c r="CU31" s="106">
        <f t="shared" si="118"/>
        <v>44.402393607157244</v>
      </c>
      <c r="CV31" s="105">
        <v>47.152516702421956</v>
      </c>
      <c r="CW31" s="81">
        <f t="shared" ref="CW31" si="461">AVERAGE(CV28:CV31)</f>
        <v>47.166402020860048</v>
      </c>
      <c r="CX31" s="492">
        <v>47.596153846153847</v>
      </c>
      <c r="CY31" s="493">
        <f t="shared" si="51"/>
        <v>47.592394050422278</v>
      </c>
      <c r="CZ31" s="105">
        <v>50.363157894736837</v>
      </c>
      <c r="DA31" s="106">
        <f t="shared" ref="DA31" si="462">AVERAGE(CZ28:CZ31)</f>
        <v>50.220342124895986</v>
      </c>
      <c r="DB31" s="105">
        <v>44.967500000000008</v>
      </c>
      <c r="DC31" s="106">
        <f t="shared" si="53"/>
        <v>43.964923986426662</v>
      </c>
      <c r="DD31" s="105">
        <v>46.100303242360511</v>
      </c>
      <c r="DE31" s="107">
        <f t="shared" si="95"/>
        <v>46.164501136904377</v>
      </c>
    </row>
    <row r="32" spans="1:109" x14ac:dyDescent="0.25">
      <c r="A32" s="155">
        <f t="shared" si="15"/>
        <v>45345</v>
      </c>
      <c r="B32" s="74">
        <v>39.571222703249916</v>
      </c>
      <c r="C32" s="81">
        <f t="shared" si="96"/>
        <v>39.482382982657199</v>
      </c>
      <c r="D32" s="74">
        <v>40.834146813507644</v>
      </c>
      <c r="E32" s="81">
        <f t="shared" si="16"/>
        <v>40.99441560567189</v>
      </c>
      <c r="F32" s="74">
        <v>41.016848364717525</v>
      </c>
      <c r="G32" s="81">
        <f t="shared" si="16"/>
        <v>41.3057813598178</v>
      </c>
      <c r="H32" s="74">
        <v>43.8390243902439</v>
      </c>
      <c r="I32" s="81">
        <f t="shared" ref="I32" si="463">AVERAGE(H29:H32)</f>
        <v>43.484566177301431</v>
      </c>
      <c r="J32" s="74">
        <v>39.08514190317193</v>
      </c>
      <c r="K32" s="81">
        <f t="shared" si="18"/>
        <v>39.274921868312347</v>
      </c>
      <c r="L32" s="74">
        <v>40.26143946615808</v>
      </c>
      <c r="M32" s="99">
        <f t="shared" ref="M32" si="464">AVERAGE(L29:L32)</f>
        <v>40.220925844227892</v>
      </c>
      <c r="N32" s="156">
        <v>6.2430350215326315E-2</v>
      </c>
      <c r="O32" s="157">
        <f t="shared" si="96"/>
        <v>5.9254429084813043E-2</v>
      </c>
      <c r="P32" s="156">
        <v>6.7230990606368182E-2</v>
      </c>
      <c r="Q32" s="157">
        <f t="shared" si="20"/>
        <v>6.6729588838079446E-2</v>
      </c>
      <c r="R32" s="491">
        <v>6.640237859266597E-2</v>
      </c>
      <c r="S32" s="483">
        <f t="shared" si="21"/>
        <v>6.2941515893039424E-2</v>
      </c>
      <c r="T32" s="156">
        <v>8.0487804878048769E-2</v>
      </c>
      <c r="U32" s="157">
        <f t="shared" si="22"/>
        <v>7.3171820294739592E-2</v>
      </c>
      <c r="V32" s="156">
        <v>5.6761268781302138E-2</v>
      </c>
      <c r="W32" s="157">
        <f t="shared" si="23"/>
        <v>5.3911532397391E-2</v>
      </c>
      <c r="X32" s="156">
        <v>6.9828408007626033E-2</v>
      </c>
      <c r="Y32" s="158">
        <f t="shared" si="24"/>
        <v>7.5861692187277979E-2</v>
      </c>
      <c r="Z32" s="156">
        <v>0.14101740021271744</v>
      </c>
      <c r="AA32" s="157">
        <f t="shared" si="99"/>
        <v>0.12976052854431258</v>
      </c>
      <c r="AB32" s="156">
        <v>0.13119074173475137</v>
      </c>
      <c r="AC32" s="81">
        <f t="shared" ref="AC32" si="465">AVERAGE(AB29:AB32)</f>
        <v>0.12364302596435145</v>
      </c>
      <c r="AD32" s="491">
        <v>0.13377009657218833</v>
      </c>
      <c r="AE32" s="483">
        <f t="shared" si="26"/>
        <v>0.12028140736370646</v>
      </c>
      <c r="AF32" s="156">
        <v>0.18205816549997619</v>
      </c>
      <c r="AG32" s="483">
        <f t="shared" ref="AG32" si="466">AVERAGE(AF29:AF32)</f>
        <v>0.15745683954682407</v>
      </c>
      <c r="AH32" s="156">
        <v>0.11080542587702341</v>
      </c>
      <c r="AI32" s="483">
        <f t="shared" si="28"/>
        <v>9.6626904130897778E-2</v>
      </c>
      <c r="AJ32" s="156">
        <v>0.12350993594407576</v>
      </c>
      <c r="AK32" s="158">
        <f t="shared" si="29"/>
        <v>0.13059687656943378</v>
      </c>
      <c r="AL32" s="74">
        <v>7352.02647937242</v>
      </c>
      <c r="AM32" s="81">
        <f t="shared" si="102"/>
        <v>7433.3088708146006</v>
      </c>
      <c r="AN32" s="74">
        <v>6826.8011211237599</v>
      </c>
      <c r="AO32" s="81">
        <f t="shared" ref="AO32" si="467">AVERAGE(AN29:AN32)</f>
        <v>6843.3233836597919</v>
      </c>
      <c r="AP32" s="494">
        <v>6882.7125867195291</v>
      </c>
      <c r="AQ32" s="495">
        <f t="shared" si="31"/>
        <v>6878.3394480751585</v>
      </c>
      <c r="AR32" s="74">
        <v>6912.7365853658548</v>
      </c>
      <c r="AS32" s="81">
        <f t="shared" ref="AS32" si="468">AVERAGE(AR29:AR32)</f>
        <v>7089.0561652954684</v>
      </c>
      <c r="AT32" s="74">
        <v>6862.1619365609413</v>
      </c>
      <c r="AU32" s="81">
        <f t="shared" si="33"/>
        <v>6663.8664663081754</v>
      </c>
      <c r="AV32" s="74">
        <v>6651.5376549094271</v>
      </c>
      <c r="AW32" s="99">
        <f t="shared" si="78"/>
        <v>6711.2967457833192</v>
      </c>
      <c r="AX32" s="105">
        <v>4.5698841287903118</v>
      </c>
      <c r="AY32" s="106">
        <f t="shared" si="105"/>
        <v>4.6060590062212636</v>
      </c>
      <c r="AZ32" s="105">
        <v>5.1175981374489581</v>
      </c>
      <c r="BA32" s="81">
        <f t="shared" ref="BA32" si="469">AVERAGE(AZ29:AZ32)</f>
        <v>5.246734774180446</v>
      </c>
      <c r="BB32" s="492">
        <v>5.2279484638255687</v>
      </c>
      <c r="BC32" s="493">
        <f t="shared" si="35"/>
        <v>5.4452353843363834</v>
      </c>
      <c r="BD32" s="105">
        <v>6.4585365853658532</v>
      </c>
      <c r="BE32" s="106">
        <f t="shared" ref="BE32" si="470">AVERAGE(BD29:BD32)</f>
        <v>6.4425900582551074</v>
      </c>
      <c r="BF32" s="105">
        <v>4.3856427378964922</v>
      </c>
      <c r="BG32" s="106">
        <f t="shared" si="37"/>
        <v>4.5133334166721619</v>
      </c>
      <c r="BH32" s="105">
        <v>4.7716873212583222</v>
      </c>
      <c r="BI32" s="107">
        <f t="shared" si="81"/>
        <v>4.7644851079961095</v>
      </c>
      <c r="BJ32" s="487">
        <v>0.31189870284936899</v>
      </c>
      <c r="BK32" s="488">
        <f t="shared" si="108"/>
        <v>0.14647752314870296</v>
      </c>
      <c r="BL32" s="487">
        <v>0.45007647611110591</v>
      </c>
      <c r="BM32" s="489">
        <f t="shared" ref="BM32" si="471">AVERAGE(BL29:BL32)</f>
        <v>0.37141339582152977</v>
      </c>
      <c r="BN32" s="487"/>
      <c r="BO32" s="489" t="e">
        <f t="shared" ref="BO32" si="472">AVERAGE(BN29:BN32)</f>
        <v>#DIV/0!</v>
      </c>
      <c r="BP32" s="487">
        <v>0</v>
      </c>
      <c r="BQ32" s="489">
        <f t="shared" ref="BQ32" si="473">AVERAGE(BP29:BP32)</f>
        <v>0</v>
      </c>
      <c r="BR32" s="487"/>
      <c r="BS32" s="489" t="e">
        <f t="shared" ref="BS32" si="474">AVERAGE(BR29:BR32)</f>
        <v>#DIV/0!</v>
      </c>
      <c r="BT32" s="487">
        <v>0</v>
      </c>
      <c r="BU32" s="490">
        <f t="shared" si="86"/>
        <v>0</v>
      </c>
      <c r="BV32" s="74">
        <v>7049.7533727309637</v>
      </c>
      <c r="BW32" s="81">
        <f t="shared" si="113"/>
        <v>6962.7680660397</v>
      </c>
      <c r="BX32" s="74">
        <v>8032.4877669402122</v>
      </c>
      <c r="BY32" s="81">
        <f t="shared" ref="BY32" si="475">AVERAGE(BX29:BX32)</f>
        <v>7950.4829450105944</v>
      </c>
      <c r="BZ32" s="494">
        <v>8079.7661050545048</v>
      </c>
      <c r="CA32" s="495">
        <f t="shared" si="43"/>
        <v>8044.2198464386947</v>
      </c>
      <c r="CB32" s="74">
        <v>9024.6024390243911</v>
      </c>
      <c r="CC32" s="81">
        <f t="shared" ref="CC32" si="476">AVERAGE(CB29:CB32)</f>
        <v>8992.8041938030347</v>
      </c>
      <c r="CD32" s="74">
        <v>7433.0500834724462</v>
      </c>
      <c r="CE32" s="81">
        <f t="shared" si="45"/>
        <v>7134.8855274865746</v>
      </c>
      <c r="CF32" s="74">
        <v>7884.2862249761411</v>
      </c>
      <c r="CG32" s="99">
        <f t="shared" si="89"/>
        <v>7717.8232901141218</v>
      </c>
      <c r="CH32" s="156">
        <v>2.7424665402628206E-2</v>
      </c>
      <c r="CI32" s="157">
        <f t="shared" si="113"/>
        <v>2.5670673917151339E-2</v>
      </c>
      <c r="CJ32" s="156">
        <v>3.9213789155572408E-2</v>
      </c>
      <c r="CK32" s="81">
        <f t="shared" ref="CK32" si="477">AVERAGE(CJ29:CJ32)</f>
        <v>3.7955870258902409E-2</v>
      </c>
      <c r="CL32" s="491">
        <v>3.666997026759166E-2</v>
      </c>
      <c r="CM32" s="483">
        <f t="shared" si="47"/>
        <v>3.4977554257859714E-2</v>
      </c>
      <c r="CN32" s="156">
        <v>4.3902439024390234E-2</v>
      </c>
      <c r="CO32" s="483">
        <f t="shared" ref="CO32" si="478">AVERAGE(CN29:CN32)</f>
        <v>3.6405074745921168E-2</v>
      </c>
      <c r="CP32" s="156">
        <v>3.1719532554257079E-2</v>
      </c>
      <c r="CQ32" s="483">
        <f t="shared" si="49"/>
        <v>3.4112686838750211E-2</v>
      </c>
      <c r="CR32" s="156">
        <v>4.7187797902764353E-2</v>
      </c>
      <c r="CS32" s="158">
        <f t="shared" si="92"/>
        <v>4.6294368543945745E-2</v>
      </c>
      <c r="CT32" s="105">
        <v>43.871322875978812</v>
      </c>
      <c r="CU32" s="106">
        <f t="shared" si="118"/>
        <v>44.295893259687439</v>
      </c>
      <c r="CV32" s="105">
        <v>45.907936422873505</v>
      </c>
      <c r="CW32" s="81">
        <f t="shared" ref="CW32" si="479">AVERAGE(CV29:CV32)</f>
        <v>46.842762451594467</v>
      </c>
      <c r="CX32" s="492">
        <v>45.661050545094135</v>
      </c>
      <c r="CY32" s="493">
        <f t="shared" si="51"/>
        <v>47.048161913176649</v>
      </c>
      <c r="CZ32" s="105">
        <v>47.968292682926823</v>
      </c>
      <c r="DA32" s="106">
        <f t="shared" ref="DA32" si="480">AVERAGE(CZ29:CZ32)</f>
        <v>49.854538583298925</v>
      </c>
      <c r="DB32" s="105">
        <v>44.081803005008325</v>
      </c>
      <c r="DC32" s="106">
        <f t="shared" si="53"/>
        <v>44.30890414944345</v>
      </c>
      <c r="DD32" s="105">
        <v>46.681839847473597</v>
      </c>
      <c r="DE32" s="107">
        <f t="shared" si="95"/>
        <v>46.264704968030152</v>
      </c>
    </row>
    <row r="33" spans="1:109" x14ac:dyDescent="0.25">
      <c r="A33" s="155">
        <f t="shared" si="15"/>
        <v>45352</v>
      </c>
      <c r="B33" s="74">
        <v>39.766983897503295</v>
      </c>
      <c r="C33" s="81">
        <f t="shared" si="96"/>
        <v>39.496494715644488</v>
      </c>
      <c r="D33" s="74">
        <v>40.71192398071824</v>
      </c>
      <c r="E33" s="81">
        <f t="shared" si="16"/>
        <v>40.979161853202513</v>
      </c>
      <c r="F33" s="74">
        <v>40.91223773469315</v>
      </c>
      <c r="G33" s="81">
        <f t="shared" si="16"/>
        <v>41.264905557486699</v>
      </c>
      <c r="H33" s="74">
        <v>45.26382058880138</v>
      </c>
      <c r="I33" s="81">
        <f t="shared" ref="I33" si="481">AVERAGE(H30:H33)</f>
        <v>44.006846625706601</v>
      </c>
      <c r="J33" s="74">
        <v>38.692344290431159</v>
      </c>
      <c r="K33" s="81">
        <f t="shared" si="18"/>
        <v>39.311809393704635</v>
      </c>
      <c r="L33" s="74">
        <v>40.064734465989353</v>
      </c>
      <c r="M33" s="99">
        <f t="shared" ref="M33" si="482">AVERAGE(L30:L33)</f>
        <v>40.225026238361394</v>
      </c>
      <c r="N33" s="156">
        <v>5.080739224220427E-2</v>
      </c>
      <c r="O33" s="157">
        <f t="shared" si="96"/>
        <v>5.8002870824764907E-2</v>
      </c>
      <c r="P33" s="156">
        <v>6.0235540317474245E-2</v>
      </c>
      <c r="Q33" s="157">
        <f t="shared" si="20"/>
        <v>6.5595434305177752E-2</v>
      </c>
      <c r="R33" s="491">
        <v>5.6042210581741199E-2</v>
      </c>
      <c r="S33" s="483">
        <f t="shared" si="21"/>
        <v>6.1584340766795261E-2</v>
      </c>
      <c r="T33" s="156">
        <v>6.1111609249223556E-2</v>
      </c>
      <c r="U33" s="157">
        <f t="shared" si="22"/>
        <v>7.2385465578933023E-2</v>
      </c>
      <c r="V33" s="156">
        <v>5.3456134377844411E-2</v>
      </c>
      <c r="W33" s="157">
        <f t="shared" si="23"/>
        <v>5.2747720955532491E-2</v>
      </c>
      <c r="X33" s="156">
        <v>7.3783681585433428E-2</v>
      </c>
      <c r="Y33" s="158">
        <f t="shared" si="24"/>
        <v>7.6139598938743419E-2</v>
      </c>
      <c r="Z33" s="156">
        <v>0.11897417076094284</v>
      </c>
      <c r="AA33" s="157">
        <f t="shared" si="99"/>
        <v>0.12860837801617292</v>
      </c>
      <c r="AB33" s="156">
        <v>0.11523062268939654</v>
      </c>
      <c r="AC33" s="81">
        <f t="shared" ref="AC33" si="483">AVERAGE(AB30:AB33)</f>
        <v>0.12433137101243381</v>
      </c>
      <c r="AD33" s="491">
        <v>0.11130438933169365</v>
      </c>
      <c r="AE33" s="483">
        <f t="shared" si="26"/>
        <v>0.12093322374539234</v>
      </c>
      <c r="AF33" s="156">
        <v>0.14148118734074108</v>
      </c>
      <c r="AG33" s="483">
        <f t="shared" ref="AG33" si="484">AVERAGE(AF30:AF33)</f>
        <v>0.15907934469735452</v>
      </c>
      <c r="AH33" s="156">
        <v>0.1012361211368481</v>
      </c>
      <c r="AI33" s="483">
        <f t="shared" si="28"/>
        <v>0.10020805968880053</v>
      </c>
      <c r="AJ33" s="156">
        <v>0.12738457276195675</v>
      </c>
      <c r="AK33" s="158">
        <f t="shared" si="29"/>
        <v>0.13215704195909744</v>
      </c>
      <c r="AL33" s="74">
        <v>7342.4402699861748</v>
      </c>
      <c r="AM33" s="81">
        <f t="shared" si="102"/>
        <v>7409.5870691275186</v>
      </c>
      <c r="AN33" s="74">
        <v>6975.3486036338127</v>
      </c>
      <c r="AO33" s="81">
        <f t="shared" ref="AO33" si="485">AVERAGE(AN30:AN33)</f>
        <v>6860.8941416170273</v>
      </c>
      <c r="AP33" s="494">
        <v>7049.7973519315883</v>
      </c>
      <c r="AQ33" s="495">
        <f t="shared" si="31"/>
        <v>6895.9745709098661</v>
      </c>
      <c r="AR33" s="74">
        <v>7318.7820853420772</v>
      </c>
      <c r="AS33" s="81">
        <f t="shared" ref="AS33" si="486">AVERAGE(AR30:AR33)</f>
        <v>7116.8942569121118</v>
      </c>
      <c r="AT33" s="74">
        <v>6912.5789037660497</v>
      </c>
      <c r="AU33" s="81">
        <f t="shared" si="33"/>
        <v>6715.9803205789858</v>
      </c>
      <c r="AV33" s="74">
        <v>6734.8137011275876</v>
      </c>
      <c r="AW33" s="99">
        <f t="shared" si="78"/>
        <v>6715.4232576710001</v>
      </c>
      <c r="AX33" s="105">
        <v>4.6716952149783051</v>
      </c>
      <c r="AY33" s="106">
        <f t="shared" si="105"/>
        <v>4.582326085162415</v>
      </c>
      <c r="AZ33" s="105">
        <v>5.1201571000999966</v>
      </c>
      <c r="BA33" s="81">
        <f t="shared" ref="BA33" si="487">AVERAGE(AZ30:AZ33)</f>
        <v>5.1769528524158908</v>
      </c>
      <c r="BB33" s="492">
        <v>5.2694544102782617</v>
      </c>
      <c r="BC33" s="493">
        <f t="shared" si="35"/>
        <v>5.3336747278499663</v>
      </c>
      <c r="BD33" s="105">
        <v>7.3559292869805324</v>
      </c>
      <c r="BE33" s="106">
        <f t="shared" ref="BE33" si="488">AVERAGE(BD30:BD33)</f>
        <v>6.6144037053014459</v>
      </c>
      <c r="BF33" s="105">
        <v>4.2050711603911601</v>
      </c>
      <c r="BG33" s="106">
        <f t="shared" si="37"/>
        <v>4.4229547176658359</v>
      </c>
      <c r="BH33" s="105">
        <v>4.6377955457521001</v>
      </c>
      <c r="BI33" s="107">
        <f t="shared" si="81"/>
        <v>4.7466256443345216</v>
      </c>
      <c r="BJ33" s="487">
        <v>0.36428029237772946</v>
      </c>
      <c r="BK33" s="488">
        <f t="shared" si="108"/>
        <v>0.19851756491695002</v>
      </c>
      <c r="BL33" s="487">
        <v>0.5056783982865598</v>
      </c>
      <c r="BM33" s="489">
        <f t="shared" ref="BM33" si="489">AVERAGE(BL30:BL33)</f>
        <v>0.41789915045930903</v>
      </c>
      <c r="BN33" s="487"/>
      <c r="BO33" s="489" t="e">
        <f t="shared" ref="BO33" si="490">AVERAGE(BN30:BN33)</f>
        <v>#DIV/0!</v>
      </c>
      <c r="BP33" s="487">
        <v>0</v>
      </c>
      <c r="BQ33" s="489">
        <f t="shared" ref="BQ33" si="491">AVERAGE(BP30:BP33)</f>
        <v>0</v>
      </c>
      <c r="BR33" s="487"/>
      <c r="BS33" s="489" t="e">
        <f t="shared" ref="BS33" si="492">AVERAGE(BR30:BR33)</f>
        <v>#DIV/0!</v>
      </c>
      <c r="BT33" s="487">
        <v>0</v>
      </c>
      <c r="BU33" s="490">
        <f t="shared" si="86"/>
        <v>0</v>
      </c>
      <c r="BV33" s="74">
        <v>6649.2707598321067</v>
      </c>
      <c r="BW33" s="81">
        <f t="shared" si="113"/>
        <v>6878.1472313217528</v>
      </c>
      <c r="BX33" s="74">
        <v>7424.6321998655931</v>
      </c>
      <c r="BY33" s="81">
        <f t="shared" ref="BY33" si="493">AVERAGE(BX30:BX33)</f>
        <v>7731.4240390944015</v>
      </c>
      <c r="BZ33" s="494">
        <v>7293.0828777727011</v>
      </c>
      <c r="CA33" s="495">
        <f t="shared" si="43"/>
        <v>7735.4702585273135</v>
      </c>
      <c r="CB33" s="74">
        <v>9236.4906723997283</v>
      </c>
      <c r="CC33" s="81">
        <f t="shared" ref="CC33" si="494">AVERAGE(CB30:CB33)</f>
        <v>8910.2034683286693</v>
      </c>
      <c r="CD33" s="74">
        <v>6301.6831118812433</v>
      </c>
      <c r="CE33" s="81">
        <f t="shared" si="45"/>
        <v>6891.4388720428424</v>
      </c>
      <c r="CF33" s="74">
        <v>7849.6521510112198</v>
      </c>
      <c r="CG33" s="99">
        <f t="shared" si="89"/>
        <v>7757.6840282404446</v>
      </c>
      <c r="CH33" s="156">
        <v>2.3377607486179064E-2</v>
      </c>
      <c r="CI33" s="157">
        <f t="shared" si="113"/>
        <v>2.4482302455940703E-2</v>
      </c>
      <c r="CJ33" s="156">
        <v>3.094878775463062E-2</v>
      </c>
      <c r="CK33" s="81">
        <f t="shared" ref="CK33" si="495">AVERAGE(CJ30:CJ33)</f>
        <v>3.5837679345344833E-2</v>
      </c>
      <c r="CL33" s="491">
        <v>2.5813993170837844E-2</v>
      </c>
      <c r="CM33" s="483">
        <f t="shared" si="47"/>
        <v>3.2375070113686628E-2</v>
      </c>
      <c r="CN33" s="156">
        <v>4.3670761475083815E-2</v>
      </c>
      <c r="CO33" s="483">
        <f t="shared" ref="CO33" si="496">AVERAGE(CN30:CN33)</f>
        <v>3.8286620536378872E-2</v>
      </c>
      <c r="CP33" s="156">
        <v>1.6704635904003892E-2</v>
      </c>
      <c r="CQ33" s="483">
        <f t="shared" si="49"/>
        <v>2.920894266705143E-2</v>
      </c>
      <c r="CR33" s="156">
        <v>4.7538688093344397E-2</v>
      </c>
      <c r="CS33" s="158">
        <f t="shared" si="92"/>
        <v>4.647725207137203E-2</v>
      </c>
      <c r="CT33" s="105">
        <v>42.988820092025428</v>
      </c>
      <c r="CU33" s="106">
        <f t="shared" si="118"/>
        <v>44.065738319625588</v>
      </c>
      <c r="CV33" s="105">
        <v>44.455527676088842</v>
      </c>
      <c r="CW33" s="81">
        <f t="shared" ref="CW33" si="497">AVERAGE(CV30:CV33)</f>
        <v>46.323411574319927</v>
      </c>
      <c r="CX33" s="492">
        <v>43.995773664708636</v>
      </c>
      <c r="CY33" s="493">
        <f t="shared" si="51"/>
        <v>46.337720038464681</v>
      </c>
      <c r="CZ33" s="105">
        <v>46.933167160829605</v>
      </c>
      <c r="DA33" s="106">
        <f t="shared" ref="DA33" si="498">AVERAGE(CZ30:CZ33)</f>
        <v>49.06473800402842</v>
      </c>
      <c r="DB33" s="105">
        <v>42.497307294224456</v>
      </c>
      <c r="DC33" s="106">
        <f t="shared" si="53"/>
        <v>44.205022740554057</v>
      </c>
      <c r="DD33" s="105">
        <v>45.940937287837684</v>
      </c>
      <c r="DE33" s="107">
        <f t="shared" si="95"/>
        <v>46.220277803772454</v>
      </c>
    </row>
    <row r="34" spans="1:109" x14ac:dyDescent="0.25">
      <c r="A34" s="155">
        <f t="shared" si="15"/>
        <v>45359</v>
      </c>
      <c r="B34" s="74">
        <v>39.227783405757179</v>
      </c>
      <c r="C34" s="81">
        <f t="shared" si="96"/>
        <v>39.531761669986636</v>
      </c>
      <c r="D34" s="74">
        <v>40.257117816357692</v>
      </c>
      <c r="E34" s="81">
        <f t="shared" si="16"/>
        <v>40.823138629609538</v>
      </c>
      <c r="F34" s="74">
        <v>40.241267262388327</v>
      </c>
      <c r="G34" s="81">
        <f t="shared" si="16"/>
        <v>41.0413062891677</v>
      </c>
      <c r="H34" s="74">
        <v>43.668997668997712</v>
      </c>
      <c r="I34" s="81">
        <f t="shared" ref="I34" si="499">AVERAGE(H31:H34)</f>
        <v>44.078486977800218</v>
      </c>
      <c r="J34" s="74">
        <v>38.407730673316721</v>
      </c>
      <c r="K34" s="81">
        <f t="shared" si="18"/>
        <v>39.177554216729945</v>
      </c>
      <c r="L34" s="74">
        <v>40.323844419391278</v>
      </c>
      <c r="M34" s="99">
        <f t="shared" ref="M34" si="500">AVERAGE(L31:L34)</f>
        <v>40.235107806918947</v>
      </c>
      <c r="N34" s="156">
        <v>6.0780362195783325E-2</v>
      </c>
      <c r="O34" s="157">
        <f t="shared" si="96"/>
        <v>5.7658354353201151E-2</v>
      </c>
      <c r="P34" s="156">
        <v>6.825673911240844E-2</v>
      </c>
      <c r="Q34" s="157">
        <f t="shared" si="20"/>
        <v>6.3605197845264541E-2</v>
      </c>
      <c r="R34" s="491">
        <v>6.4987814784727899E-2</v>
      </c>
      <c r="S34" s="483">
        <f t="shared" si="21"/>
        <v>5.9999126630809405E-2</v>
      </c>
      <c r="T34" s="156">
        <v>6.9930069930070005E-2</v>
      </c>
      <c r="U34" s="157">
        <f t="shared" si="22"/>
        <v>6.9329739435388213E-2</v>
      </c>
      <c r="V34" s="156">
        <v>6.2344139650872842E-2</v>
      </c>
      <c r="W34" s="157">
        <f t="shared" si="23"/>
        <v>5.3140385702504851E-2</v>
      </c>
      <c r="X34" s="156">
        <v>8.2018038331454476E-2</v>
      </c>
      <c r="Y34" s="158">
        <f t="shared" si="24"/>
        <v>7.47187052958007E-2</v>
      </c>
      <c r="Z34" s="156">
        <v>0.14059233140795394</v>
      </c>
      <c r="AA34" s="157">
        <f t="shared" si="99"/>
        <v>0.12902635284998834</v>
      </c>
      <c r="AB34" s="156">
        <v>0.12961682890260998</v>
      </c>
      <c r="AC34" s="81">
        <f t="shared" ref="AC34" si="501">AVERAGE(AB31:AB34)</f>
        <v>0.11956481066833022</v>
      </c>
      <c r="AD34" s="491">
        <v>0.12784513404759057</v>
      </c>
      <c r="AE34" s="483">
        <f t="shared" si="26"/>
        <v>0.11573326296431259</v>
      </c>
      <c r="AF34" s="156">
        <v>0.15162780132480994</v>
      </c>
      <c r="AG34" s="483">
        <f t="shared" ref="AG34" si="502">AVERAGE(AF31:AF34)</f>
        <v>0.15219502582870559</v>
      </c>
      <c r="AH34" s="156">
        <v>0.11819391692827315</v>
      </c>
      <c r="AI34" s="483">
        <f t="shared" si="28"/>
        <v>9.7688495851008236E-2</v>
      </c>
      <c r="AJ34" s="156">
        <v>0.13685659526254762</v>
      </c>
      <c r="AK34" s="158">
        <f t="shared" si="29"/>
        <v>0.12917885129438267</v>
      </c>
      <c r="AL34" s="74">
        <v>7538.9385933025524</v>
      </c>
      <c r="AM34" s="81">
        <f t="shared" si="102"/>
        <v>7409.2353589818749</v>
      </c>
      <c r="AN34" s="74">
        <v>7113.4701257458746</v>
      </c>
      <c r="AO34" s="81">
        <f t="shared" ref="AO34" si="503">AVERAGE(AN31:AN34)</f>
        <v>6927.5122226658295</v>
      </c>
      <c r="AP34" s="494">
        <v>7182.5280259951342</v>
      </c>
      <c r="AQ34" s="495">
        <f t="shared" si="31"/>
        <v>6974.4838501359227</v>
      </c>
      <c r="AR34" s="74">
        <v>7495.1771561771657</v>
      </c>
      <c r="AS34" s="81">
        <f t="shared" ref="AS34" si="504">AVERAGE(AR31:AR34)</f>
        <v>7206.2239567212746</v>
      </c>
      <c r="AT34" s="74">
        <v>7015.2880299251947</v>
      </c>
      <c r="AU34" s="81">
        <f t="shared" si="33"/>
        <v>6818.3472175630477</v>
      </c>
      <c r="AV34" s="74">
        <v>6822.754791431792</v>
      </c>
      <c r="AW34" s="99">
        <f t="shared" si="78"/>
        <v>6736.2150058594643</v>
      </c>
      <c r="AX34" s="105">
        <v>4.5329984177603579</v>
      </c>
      <c r="AY34" s="106">
        <f t="shared" si="105"/>
        <v>4.5732801582774796</v>
      </c>
      <c r="AZ34" s="105">
        <v>4.9858401079219217</v>
      </c>
      <c r="BA34" s="81">
        <f t="shared" ref="BA34" si="505">AVERAGE(AZ31:AZ34)</f>
        <v>5.0791707963756032</v>
      </c>
      <c r="BB34" s="492">
        <v>5.0259951259138944</v>
      </c>
      <c r="BC34" s="493">
        <f t="shared" si="35"/>
        <v>5.1898238589787899</v>
      </c>
      <c r="BD34" s="105">
        <v>6.599067599067606</v>
      </c>
      <c r="BE34" s="106">
        <f t="shared" ref="BE34" si="506">AVERAGE(BD31:BD34)</f>
        <v>6.6586465257482343</v>
      </c>
      <c r="BF34" s="105">
        <v>4.1845386533665847</v>
      </c>
      <c r="BG34" s="106">
        <f t="shared" si="37"/>
        <v>4.2688131379135594</v>
      </c>
      <c r="BH34" s="105">
        <v>4.8167981961668671</v>
      </c>
      <c r="BI34" s="107">
        <f t="shared" si="81"/>
        <v>4.7469227273985579</v>
      </c>
      <c r="BJ34" s="487">
        <v>0.36543105326811237</v>
      </c>
      <c r="BK34" s="488">
        <f t="shared" si="108"/>
        <v>0.25072200109810894</v>
      </c>
      <c r="BL34" s="487">
        <v>0.52644790850618239</v>
      </c>
      <c r="BM34" s="489">
        <f t="shared" ref="BM34" si="507">AVERAGE(BL31:BL34)</f>
        <v>0.46073293799283521</v>
      </c>
      <c r="BN34" s="487"/>
      <c r="BO34" s="489" t="e">
        <f t="shared" ref="BO34" si="508">AVERAGE(BN31:BN34)</f>
        <v>#DIV/0!</v>
      </c>
      <c r="BP34" s="487">
        <v>0</v>
      </c>
      <c r="BQ34" s="489">
        <f t="shared" ref="BQ34" si="509">AVERAGE(BP31:BP34)</f>
        <v>0</v>
      </c>
      <c r="BR34" s="487"/>
      <c r="BS34" s="489" t="e">
        <f t="shared" ref="BS34" si="510">AVERAGE(BR31:BR34)</f>
        <v>#DIV/0!</v>
      </c>
      <c r="BT34" s="487">
        <v>0</v>
      </c>
      <c r="BU34" s="490">
        <f t="shared" si="86"/>
        <v>0</v>
      </c>
      <c r="BV34" s="74">
        <v>6684.9447497523834</v>
      </c>
      <c r="BW34" s="81">
        <f t="shared" si="113"/>
        <v>6852.6677738207818</v>
      </c>
      <c r="BX34" s="74">
        <v>7605.3220167144464</v>
      </c>
      <c r="BY34" s="81">
        <f t="shared" ref="BY34" si="511">AVERAGE(BX31:BX34)</f>
        <v>7708.1004059768802</v>
      </c>
      <c r="BZ34" s="494">
        <v>7579.2112103980535</v>
      </c>
      <c r="CA34" s="495">
        <f t="shared" si="43"/>
        <v>7698.7922918960585</v>
      </c>
      <c r="CB34" s="74">
        <v>9453.4731934732044</v>
      </c>
      <c r="CC34" s="81">
        <f t="shared" ref="CC34" si="512">AVERAGE(CB31:CB34)</f>
        <v>9164.5172341190682</v>
      </c>
      <c r="CD34" s="74">
        <v>6576.64463840399</v>
      </c>
      <c r="CE34" s="81">
        <f t="shared" si="45"/>
        <v>6777.2782084394203</v>
      </c>
      <c r="CF34" s="74">
        <v>7715.2415445321367</v>
      </c>
      <c r="CG34" s="99">
        <f t="shared" si="89"/>
        <v>7766.0704826541323</v>
      </c>
      <c r="CH34" s="156">
        <v>2.1962930631883149E-2</v>
      </c>
      <c r="CI34" s="157">
        <f t="shared" si="113"/>
        <v>2.4435373974521356E-2</v>
      </c>
      <c r="CJ34" s="156">
        <v>3.1353016279742595E-2</v>
      </c>
      <c r="CK34" s="81">
        <f t="shared" ref="CK34" si="513">AVERAGE(CJ31:CJ34)</f>
        <v>3.4214904978056924E-2</v>
      </c>
      <c r="CL34" s="491">
        <v>2.7619821283509351E-2</v>
      </c>
      <c r="CM34" s="483">
        <f t="shared" si="47"/>
        <v>3.0538766693305228E-2</v>
      </c>
      <c r="CN34" s="156">
        <v>4.428904428904433E-2</v>
      </c>
      <c r="CO34" s="483">
        <f t="shared" ref="CO34" si="514">AVERAGE(CN31:CN34)</f>
        <v>4.0860298039234855E-2</v>
      </c>
      <c r="CP34" s="156">
        <v>1.870324189526185E-2</v>
      </c>
      <c r="CQ34" s="483">
        <f t="shared" si="49"/>
        <v>2.4906852588380705E-2</v>
      </c>
      <c r="CR34" s="156">
        <v>4.7068771138669759E-2</v>
      </c>
      <c r="CS34" s="158">
        <f t="shared" si="92"/>
        <v>4.689338449748999E-2</v>
      </c>
      <c r="CT34" s="105">
        <v>43.956028318260998</v>
      </c>
      <c r="CU34" s="106">
        <f t="shared" si="118"/>
        <v>44.050583905500339</v>
      </c>
      <c r="CV34" s="105">
        <v>45.630955558166427</v>
      </c>
      <c r="CW34" s="81">
        <f t="shared" ref="CW34" si="515">AVERAGE(CV31:CV34)</f>
        <v>45.78673408988768</v>
      </c>
      <c r="CX34" s="492">
        <v>45.150284321689703</v>
      </c>
      <c r="CY34" s="493">
        <f t="shared" si="51"/>
        <v>45.600815594411579</v>
      </c>
      <c r="CZ34" s="105">
        <v>48.296037296037355</v>
      </c>
      <c r="DA34" s="106">
        <f t="shared" ref="DA34" si="516">AVERAGE(CZ31:CZ34)</f>
        <v>48.390163758632653</v>
      </c>
      <c r="DB34" s="105">
        <v>43.467581047381557</v>
      </c>
      <c r="DC34" s="106">
        <f t="shared" si="53"/>
        <v>43.753547836653581</v>
      </c>
      <c r="DD34" s="105">
        <v>47.654453213077865</v>
      </c>
      <c r="DE34" s="107">
        <f t="shared" si="95"/>
        <v>46.488848423575192</v>
      </c>
    </row>
    <row r="35" spans="1:109" x14ac:dyDescent="0.25">
      <c r="A35" s="155">
        <f t="shared" si="15"/>
        <v>45366</v>
      </c>
      <c r="B35" s="74">
        <v>39.867442442554029</v>
      </c>
      <c r="C35" s="81">
        <f t="shared" si="96"/>
        <v>39.616489697782868</v>
      </c>
      <c r="D35" s="74">
        <v>41.019256228231079</v>
      </c>
      <c r="E35" s="81">
        <f t="shared" si="16"/>
        <v>40.705611209703662</v>
      </c>
      <c r="F35" s="74">
        <v>41.209171359613869</v>
      </c>
      <c r="G35" s="81">
        <f t="shared" si="16"/>
        <v>40.844881180353219</v>
      </c>
      <c r="H35" s="74">
        <v>44.030487804878113</v>
      </c>
      <c r="I35" s="81">
        <f t="shared" ref="I35" si="517">AVERAGE(H32:H35)</f>
        <v>44.200582613230274</v>
      </c>
      <c r="J35" s="74">
        <v>39.360852197070592</v>
      </c>
      <c r="K35" s="81">
        <f t="shared" si="18"/>
        <v>38.886517265997604</v>
      </c>
      <c r="L35" s="74">
        <v>40.255863539445649</v>
      </c>
      <c r="M35" s="99">
        <f t="shared" ref="M35" si="518">AVERAGE(L32:L35)</f>
        <v>40.226470472746094</v>
      </c>
      <c r="N35" s="156">
        <v>6.0639416490681067E-2</v>
      </c>
      <c r="O35" s="157">
        <f t="shared" si="96"/>
        <v>5.8250080848441861E-2</v>
      </c>
      <c r="P35" s="156">
        <v>6.7800329904066411E-2</v>
      </c>
      <c r="Q35" s="157">
        <f t="shared" si="20"/>
        <v>6.5880899985079316E-2</v>
      </c>
      <c r="R35" s="491">
        <v>6.5969428801287255E-2</v>
      </c>
      <c r="S35" s="483">
        <f t="shared" si="21"/>
        <v>6.3350458190105582E-2</v>
      </c>
      <c r="T35" s="156">
        <v>6.9105691056910667E-2</v>
      </c>
      <c r="U35" s="157">
        <f t="shared" si="22"/>
        <v>7.0158793778563253E-2</v>
      </c>
      <c r="V35" s="156">
        <v>6.3914780292942772E-2</v>
      </c>
      <c r="W35" s="157">
        <f t="shared" si="23"/>
        <v>5.9119080775740546E-2</v>
      </c>
      <c r="X35" s="156">
        <v>7.5159914712153525E-2</v>
      </c>
      <c r="Y35" s="158">
        <f t="shared" si="24"/>
        <v>7.5197510659166855E-2</v>
      </c>
      <c r="Z35" s="156">
        <v>0.13520137003503632</v>
      </c>
      <c r="AA35" s="157">
        <f t="shared" si="99"/>
        <v>0.13040306594595538</v>
      </c>
      <c r="AB35" s="156">
        <v>0.13209454347564387</v>
      </c>
      <c r="AC35" s="81">
        <f t="shared" ref="AC35" si="519">AVERAGE(AB32:AB35)</f>
        <v>0.12703318420060045</v>
      </c>
      <c r="AD35" s="491">
        <v>0.13211055102731797</v>
      </c>
      <c r="AE35" s="483">
        <f t="shared" si="26"/>
        <v>0.12625754274469764</v>
      </c>
      <c r="AF35" s="156">
        <v>0.13924363414718785</v>
      </c>
      <c r="AG35" s="483">
        <f t="shared" ref="AG35" si="520">AVERAGE(AF32:AF35)</f>
        <v>0.15360269707817878</v>
      </c>
      <c r="AH35" s="156">
        <v>0.1286364932903615</v>
      </c>
      <c r="AI35" s="483">
        <f t="shared" si="28"/>
        <v>0.11471798930812654</v>
      </c>
      <c r="AJ35" s="156">
        <v>0.13203306180261346</v>
      </c>
      <c r="AK35" s="158">
        <f t="shared" si="29"/>
        <v>0.12994604144279839</v>
      </c>
      <c r="AL35" s="74">
        <v>7423.2006443844575</v>
      </c>
      <c r="AM35" s="81">
        <f t="shared" si="102"/>
        <v>7411.1611613447594</v>
      </c>
      <c r="AN35" s="74">
        <v>6920.5803381205997</v>
      </c>
      <c r="AO35" s="81">
        <f t="shared" ref="AO35" si="521">AVERAGE(AN32:AN35)</f>
        <v>6959.0500471560117</v>
      </c>
      <c r="AP35" s="494">
        <v>6937.0691874497243</v>
      </c>
      <c r="AQ35" s="495">
        <f t="shared" si="31"/>
        <v>7013.0267880239944</v>
      </c>
      <c r="AR35" s="74">
        <v>7029.9715447154567</v>
      </c>
      <c r="AS35" s="81">
        <f t="shared" ref="AS35" si="522">AVERAGE(AR32:AR35)</f>
        <v>7189.1668429001384</v>
      </c>
      <c r="AT35" s="74">
        <v>6876.2063914780329</v>
      </c>
      <c r="AU35" s="81">
        <f t="shared" si="33"/>
        <v>6916.5588154325551</v>
      </c>
      <c r="AV35" s="74">
        <v>6854.3009061833618</v>
      </c>
      <c r="AW35" s="99">
        <f t="shared" si="78"/>
        <v>6772.7463261083076</v>
      </c>
      <c r="AX35" s="105">
        <v>4.7169851756633401</v>
      </c>
      <c r="AY35" s="106">
        <f t="shared" si="105"/>
        <v>4.5853017944386583</v>
      </c>
      <c r="AZ35" s="105">
        <v>5.3276284397857268</v>
      </c>
      <c r="BA35" s="81">
        <f t="shared" ref="BA35" si="523">AVERAGE(AZ32:AZ35)</f>
        <v>5.1378059463141508</v>
      </c>
      <c r="BB35" s="492">
        <v>5.4794851166532634</v>
      </c>
      <c r="BC35" s="493">
        <f t="shared" si="35"/>
        <v>5.2507207791677466</v>
      </c>
      <c r="BD35" s="105">
        <v>6.7296747967479771</v>
      </c>
      <c r="BE35" s="106">
        <f t="shared" ref="BE35" si="524">AVERAGE(BD32:BD35)</f>
        <v>6.7858020670404926</v>
      </c>
      <c r="BF35" s="105">
        <v>4.6604527296937439</v>
      </c>
      <c r="BG35" s="106">
        <f t="shared" si="37"/>
        <v>4.3589263203369955</v>
      </c>
      <c r="BH35" s="105">
        <v>4.7172174840085335</v>
      </c>
      <c r="BI35" s="107">
        <f t="shared" si="81"/>
        <v>4.7413971177963692</v>
      </c>
      <c r="BJ35" s="487">
        <v>0.3453369373266959</v>
      </c>
      <c r="BK35" s="488">
        <f t="shared" si="108"/>
        <v>0.28822087282411729</v>
      </c>
      <c r="BL35" s="487">
        <v>0.48381981270489582</v>
      </c>
      <c r="BM35" s="489">
        <f t="shared" ref="BM35" si="525">AVERAGE(BL32:BL35)</f>
        <v>0.49150564890218595</v>
      </c>
      <c r="BN35" s="487"/>
      <c r="BO35" s="489" t="e">
        <f t="shared" ref="BO35" si="526">AVERAGE(BN32:BN35)</f>
        <v>#DIV/0!</v>
      </c>
      <c r="BP35" s="487">
        <v>0</v>
      </c>
      <c r="BQ35" s="489">
        <f t="shared" ref="BQ35" si="527">AVERAGE(BP32:BP35)</f>
        <v>0</v>
      </c>
      <c r="BR35" s="487"/>
      <c r="BS35" s="489" t="e">
        <f t="shared" ref="BS35" si="528">AVERAGE(BR32:BR35)</f>
        <v>#DIV/0!</v>
      </c>
      <c r="BT35" s="487">
        <v>0</v>
      </c>
      <c r="BU35" s="490">
        <f t="shared" si="86"/>
        <v>0</v>
      </c>
      <c r="BV35" s="74">
        <v>7379.2500525668456</v>
      </c>
      <c r="BW35" s="81">
        <f t="shared" si="113"/>
        <v>6918.1228688769379</v>
      </c>
      <c r="BX35" s="74">
        <v>8210.1149851967803</v>
      </c>
      <c r="BY35" s="81">
        <f t="shared" ref="BY35" si="529">AVERAGE(BX32:BX35)</f>
        <v>7818.1392421792571</v>
      </c>
      <c r="BZ35" s="494">
        <v>8330.3354786806176</v>
      </c>
      <c r="CA35" s="495">
        <f t="shared" si="43"/>
        <v>7820.5989179764692</v>
      </c>
      <c r="CB35" s="74">
        <v>9617.2581300813144</v>
      </c>
      <c r="CC35" s="81">
        <f t="shared" ref="CC35" si="530">AVERAGE(CB32:CB35)</f>
        <v>9332.95610874466</v>
      </c>
      <c r="CD35" s="74">
        <v>7487.2383488681789</v>
      </c>
      <c r="CE35" s="81">
        <f t="shared" si="45"/>
        <v>6949.6540456564653</v>
      </c>
      <c r="CF35" s="74">
        <v>7726.8704690831582</v>
      </c>
      <c r="CG35" s="99">
        <f t="shared" si="89"/>
        <v>7737.7337444018531</v>
      </c>
      <c r="CH35" s="156">
        <v>3.2534196099437217E-2</v>
      </c>
      <c r="CI35" s="157">
        <f t="shared" si="113"/>
        <v>2.5446980589120947E-2</v>
      </c>
      <c r="CJ35" s="156">
        <v>4.467869708970737E-2</v>
      </c>
      <c r="CK35" s="81">
        <f t="shared" ref="CK35" si="531">AVERAGE(CJ32:CJ35)</f>
        <v>3.654857256991325E-2</v>
      </c>
      <c r="CL35" s="491">
        <v>4.5052292839903502E-2</v>
      </c>
      <c r="CM35" s="483">
        <f t="shared" si="47"/>
        <v>3.3789019390460591E-2</v>
      </c>
      <c r="CN35" s="156">
        <v>5.8943089430894394E-2</v>
      </c>
      <c r="CO35" s="483">
        <f t="shared" ref="CO35" si="532">AVERAGE(CN32:CN35)</f>
        <v>4.770133355485319E-2</v>
      </c>
      <c r="CP35" s="156">
        <v>3.5952063914780313E-2</v>
      </c>
      <c r="CQ35" s="483">
        <f t="shared" si="49"/>
        <v>2.5769868567075783E-2</v>
      </c>
      <c r="CR35" s="156">
        <v>4.3176972281449906E-2</v>
      </c>
      <c r="CS35" s="158">
        <f t="shared" si="92"/>
        <v>4.5686610812984828E-2</v>
      </c>
      <c r="CT35" s="105">
        <v>44.997030830300986</v>
      </c>
      <c r="CU35" s="106">
        <f t="shared" si="118"/>
        <v>44.122056123995968</v>
      </c>
      <c r="CV35" s="105">
        <v>47.311756210520102</v>
      </c>
      <c r="CW35" s="81">
        <f t="shared" ref="CW35" si="533">AVERAGE(CV32:CV35)</f>
        <v>45.826543966912212</v>
      </c>
      <c r="CX35" s="492">
        <v>47.449718423169791</v>
      </c>
      <c r="CY35" s="493">
        <f t="shared" si="51"/>
        <v>45.564206738665568</v>
      </c>
      <c r="CZ35" s="105">
        <v>50.095528455284629</v>
      </c>
      <c r="DA35" s="106">
        <f t="shared" ref="DA35" si="534">AVERAGE(CZ32:CZ35)</f>
        <v>48.323256398769601</v>
      </c>
      <c r="DB35" s="105">
        <v>45.716378162450091</v>
      </c>
      <c r="DC35" s="106">
        <f t="shared" si="53"/>
        <v>43.940767377266113</v>
      </c>
      <c r="DD35" s="105">
        <v>46.757196162046917</v>
      </c>
      <c r="DE35" s="107">
        <f t="shared" si="95"/>
        <v>46.56631169372077</v>
      </c>
    </row>
    <row r="36" spans="1:109" x14ac:dyDescent="0.25">
      <c r="A36" s="155">
        <f t="shared" si="15"/>
        <v>45373</v>
      </c>
      <c r="B36" s="74">
        <v>39.770909108242357</v>
      </c>
      <c r="C36" s="81">
        <f t="shared" si="96"/>
        <v>39.660971001339668</v>
      </c>
      <c r="D36" s="74">
        <v>40.555155907385242</v>
      </c>
      <c r="E36" s="81">
        <f t="shared" si="16"/>
        <v>40.635863483173068</v>
      </c>
      <c r="F36" s="74">
        <v>40.640871525169068</v>
      </c>
      <c r="G36" s="81">
        <f t="shared" si="16"/>
        <v>40.750886970466105</v>
      </c>
      <c r="H36" s="74">
        <v>43.753747323340534</v>
      </c>
      <c r="I36" s="81">
        <f t="shared" ref="I36" si="535">AVERAGE(H33:H36)</f>
        <v>44.179263346504428</v>
      </c>
      <c r="J36" s="74">
        <v>38.958333333333343</v>
      </c>
      <c r="K36" s="81">
        <f t="shared" si="18"/>
        <v>38.854815123537954</v>
      </c>
      <c r="L36" s="74">
        <v>40.190300474433322</v>
      </c>
      <c r="M36" s="99">
        <f t="shared" ref="M36" si="536">AVERAGE(L33:L36)</f>
        <v>40.208685724814899</v>
      </c>
      <c r="N36" s="156">
        <v>6.4755551310393816E-2</v>
      </c>
      <c r="O36" s="157">
        <f t="shared" si="96"/>
        <v>5.9994521115578778E-2</v>
      </c>
      <c r="P36" s="156">
        <v>7.3116676472462269E-2</v>
      </c>
      <c r="Q36" s="157">
        <f t="shared" si="20"/>
        <v>6.7352321451602845E-2</v>
      </c>
      <c r="R36" s="491">
        <v>7.4380165289256256E-2</v>
      </c>
      <c r="S36" s="483">
        <f t="shared" si="21"/>
        <v>6.534490486425315E-2</v>
      </c>
      <c r="T36" s="156">
        <v>0.10920770877944339</v>
      </c>
      <c r="U36" s="157">
        <f t="shared" si="22"/>
        <v>7.7338769753911907E-2</v>
      </c>
      <c r="V36" s="156">
        <v>5.5555555555555573E-2</v>
      </c>
      <c r="W36" s="157">
        <f t="shared" si="23"/>
        <v>5.8817652469303899E-2</v>
      </c>
      <c r="X36" s="156">
        <v>6.7738534528202443E-2</v>
      </c>
      <c r="Y36" s="158">
        <f t="shared" si="24"/>
        <v>7.4675042289310961E-2</v>
      </c>
      <c r="Z36" s="156">
        <v>0.1400895722506322</v>
      </c>
      <c r="AA36" s="157">
        <f t="shared" si="99"/>
        <v>0.13429085466830579</v>
      </c>
      <c r="AB36" s="156">
        <v>0.1389001840707795</v>
      </c>
      <c r="AC36" s="81">
        <f t="shared" ref="AC36" si="537">AVERAGE(AB33:AB36)</f>
        <v>0.12896054478460747</v>
      </c>
      <c r="AD36" s="491">
        <v>0.1427871140043438</v>
      </c>
      <c r="AE36" s="483">
        <f t="shared" si="26"/>
        <v>0.1285117971027365</v>
      </c>
      <c r="AF36" s="156">
        <v>0.2261396692623461</v>
      </c>
      <c r="AG36" s="483">
        <f t="shared" ref="AG36" si="538">AVERAGE(AF33:AF36)</f>
        <v>0.16462307301877124</v>
      </c>
      <c r="AH36" s="156">
        <v>0.10923524261007986</v>
      </c>
      <c r="AI36" s="483">
        <f t="shared" si="28"/>
        <v>0.11432544349139065</v>
      </c>
      <c r="AJ36" s="156">
        <v>0.12371083136915158</v>
      </c>
      <c r="AK36" s="158">
        <f t="shared" si="29"/>
        <v>0.12999626529906735</v>
      </c>
      <c r="AL36" s="74">
        <v>7398.4711150128924</v>
      </c>
      <c r="AM36" s="81">
        <f t="shared" si="102"/>
        <v>7404.2655772058133</v>
      </c>
      <c r="AN36" s="74">
        <v>6959.3365981297375</v>
      </c>
      <c r="AO36" s="81">
        <f t="shared" ref="AO36" si="539">AVERAGE(AN33:AN36)</f>
        <v>6992.1839164075063</v>
      </c>
      <c r="AP36" s="494">
        <v>7011.3643876784427</v>
      </c>
      <c r="AQ36" s="495">
        <f t="shared" si="31"/>
        <v>7045.1897382637217</v>
      </c>
      <c r="AR36" s="74">
        <v>7027.2719486081469</v>
      </c>
      <c r="AS36" s="81">
        <f t="shared" ref="AS36" si="540">AVERAGE(AR33:AR36)</f>
        <v>7217.8006837107114</v>
      </c>
      <c r="AT36" s="74">
        <v>7002.7662037037053</v>
      </c>
      <c r="AU36" s="81">
        <f t="shared" si="33"/>
        <v>6951.7098822182452</v>
      </c>
      <c r="AV36" s="74">
        <v>6737.8761201897678</v>
      </c>
      <c r="AW36" s="99">
        <f t="shared" si="78"/>
        <v>6774.2249766780387</v>
      </c>
      <c r="AX36" s="105">
        <v>4.5715542464016821</v>
      </c>
      <c r="AY36" s="106">
        <f t="shared" si="105"/>
        <v>4.5716237683839251</v>
      </c>
      <c r="AZ36" s="105">
        <v>5.1593838584003562</v>
      </c>
      <c r="BA36" s="81">
        <f t="shared" ref="BA36" si="541">AVERAGE(AZ33:AZ36)</f>
        <v>5.1482523765520005</v>
      </c>
      <c r="BB36" s="492">
        <v>5.2742299023290791</v>
      </c>
      <c r="BC36" s="493">
        <f t="shared" si="35"/>
        <v>5.2622911387936249</v>
      </c>
      <c r="BD36" s="105">
        <v>6.8522483940042926</v>
      </c>
      <c r="BE36" s="106">
        <f t="shared" ref="BE36" si="542">AVERAGE(BD33:BD36)</f>
        <v>6.8842300192001016</v>
      </c>
      <c r="BF36" s="105">
        <v>4.4212962962962976</v>
      </c>
      <c r="BG36" s="106">
        <f t="shared" si="37"/>
        <v>4.3678397099369466</v>
      </c>
      <c r="BH36" s="105">
        <v>4.6705324196099145</v>
      </c>
      <c r="BI36" s="107">
        <f t="shared" si="81"/>
        <v>4.7454575773980148</v>
      </c>
      <c r="BJ36" s="487">
        <v>0.3887649316964718</v>
      </c>
      <c r="BK36" s="488">
        <f t="shared" si="108"/>
        <v>0.31608560969914035</v>
      </c>
      <c r="BL36" s="487">
        <v>0.52564582556292128</v>
      </c>
      <c r="BM36" s="489">
        <f t="shared" ref="BM36" si="543">AVERAGE(BL33:BL36)</f>
        <v>0.51039798626513977</v>
      </c>
      <c r="BN36" s="487"/>
      <c r="BO36" s="489" t="e">
        <f t="shared" ref="BO36" si="544">AVERAGE(BN33:BN36)</f>
        <v>#DIV/0!</v>
      </c>
      <c r="BP36" s="487">
        <v>0</v>
      </c>
      <c r="BQ36" s="489">
        <f t="shared" ref="BQ36" si="545">AVERAGE(BP33:BP36)</f>
        <v>0</v>
      </c>
      <c r="BR36" s="487"/>
      <c r="BS36" s="489" t="e">
        <f t="shared" ref="BS36" si="546">AVERAGE(BR33:BR36)</f>
        <v>#DIV/0!</v>
      </c>
      <c r="BT36" s="487">
        <v>0</v>
      </c>
      <c r="BU36" s="490">
        <f t="shared" si="86"/>
        <v>0</v>
      </c>
      <c r="BV36" s="74">
        <v>6798.3952767325418</v>
      </c>
      <c r="BW36" s="81">
        <f t="shared" si="113"/>
        <v>6827.5005743979127</v>
      </c>
      <c r="BX36" s="74">
        <v>7577.3805155747496</v>
      </c>
      <c r="BY36" s="81">
        <f t="shared" ref="BY36" si="547">AVERAGE(BX33:BX36)</f>
        <v>7704.3624293378925</v>
      </c>
      <c r="BZ36" s="494">
        <v>7510.2652141247218</v>
      </c>
      <c r="CA36" s="495">
        <f t="shared" si="43"/>
        <v>7678.2236952440235</v>
      </c>
      <c r="CB36" s="74">
        <v>9011.6702355460493</v>
      </c>
      <c r="CC36" s="81">
        <f t="shared" ref="CC36" si="548">AVERAGE(CB33:CB36)</f>
        <v>9329.7230578750732</v>
      </c>
      <c r="CD36" s="74">
        <v>6698.7418981481487</v>
      </c>
      <c r="CE36" s="81">
        <f t="shared" si="45"/>
        <v>6766.0769993253898</v>
      </c>
      <c r="CF36" s="74">
        <v>7863.0622034791741</v>
      </c>
      <c r="CG36" s="99">
        <f t="shared" si="89"/>
        <v>7752.8647201974918</v>
      </c>
      <c r="CH36" s="156">
        <v>2.2984344980745801E-2</v>
      </c>
      <c r="CI36" s="157">
        <f t="shared" si="113"/>
        <v>2.4877291672396145E-2</v>
      </c>
      <c r="CJ36" s="156">
        <v>2.8400278118625309E-2</v>
      </c>
      <c r="CK36" s="81">
        <f t="shared" ref="CK36" si="549">AVERAGE(CJ33:CJ36)</f>
        <v>3.3845194810676472E-2</v>
      </c>
      <c r="CL36" s="491">
        <v>2.4793388429752081E-2</v>
      </c>
      <c r="CM36" s="483">
        <f t="shared" si="47"/>
        <v>3.0819873931000694E-2</v>
      </c>
      <c r="CN36" s="156">
        <v>3.4261241970021464E-2</v>
      </c>
      <c r="CO36" s="483">
        <f t="shared" ref="CO36" si="550">AVERAGE(CN33:CN36)</f>
        <v>4.5291034291260995E-2</v>
      </c>
      <c r="CP36" s="156">
        <v>1.967592592592593E-2</v>
      </c>
      <c r="CQ36" s="483">
        <f t="shared" si="49"/>
        <v>2.2758966909992996E-2</v>
      </c>
      <c r="CR36" s="156">
        <v>4.3753294675803911E-2</v>
      </c>
      <c r="CS36" s="158">
        <f t="shared" si="92"/>
        <v>4.5212299925891881E-2</v>
      </c>
      <c r="CT36" s="105">
        <v>44.163821074243856</v>
      </c>
      <c r="CU36" s="106">
        <f t="shared" si="118"/>
        <v>44.190703264264293</v>
      </c>
      <c r="CV36" s="105">
        <v>45.85400732732009</v>
      </c>
      <c r="CW36" s="81">
        <f t="shared" ref="CW36" si="551">AVERAGE(CV33:CV36)</f>
        <v>45.813061693023862</v>
      </c>
      <c r="CX36" s="492">
        <v>45.607813673929407</v>
      </c>
      <c r="CY36" s="493">
        <f t="shared" si="51"/>
        <v>45.550897520874386</v>
      </c>
      <c r="CZ36" s="105">
        <v>50.443254817987224</v>
      </c>
      <c r="DA36" s="106">
        <f t="shared" ref="DA36" si="552">AVERAGE(CZ33:CZ36)</f>
        <v>48.941996932534707</v>
      </c>
      <c r="DB36" s="105">
        <v>42.994212962962976</v>
      </c>
      <c r="DC36" s="106">
        <f t="shared" si="53"/>
        <v>43.668869866754775</v>
      </c>
      <c r="DD36" s="105">
        <v>46.901950448075922</v>
      </c>
      <c r="DE36" s="107">
        <f t="shared" si="95"/>
        <v>46.723161975700648</v>
      </c>
    </row>
    <row r="37" spans="1:109" x14ac:dyDescent="0.25">
      <c r="A37" s="155">
        <f t="shared" si="15"/>
        <v>45380</v>
      </c>
      <c r="B37" s="74">
        <v>39.971842976987332</v>
      </c>
      <c r="C37" s="81">
        <f t="shared" si="96"/>
        <v>39.750507306994322</v>
      </c>
      <c r="D37" s="74">
        <v>40.719270286800402</v>
      </c>
      <c r="E37" s="81">
        <f t="shared" si="16"/>
        <v>40.637700059693607</v>
      </c>
      <c r="F37" s="74">
        <v>40.852480417754542</v>
      </c>
      <c r="G37" s="81">
        <f t="shared" si="16"/>
        <v>40.735947641231455</v>
      </c>
      <c r="H37" s="74">
        <v>44.48975409836072</v>
      </c>
      <c r="I37" s="81">
        <f t="shared" ref="I37" si="553">AVERAGE(H34:H37)</f>
        <v>43.985746723894266</v>
      </c>
      <c r="J37" s="74">
        <v>39.152298850574645</v>
      </c>
      <c r="K37" s="81">
        <f t="shared" si="18"/>
        <v>38.969803763573829</v>
      </c>
      <c r="L37" s="74">
        <v>40.028188668713476</v>
      </c>
      <c r="M37" s="99">
        <f t="shared" ref="M37" si="554">AVERAGE(L34:L37)</f>
        <v>40.199549275495933</v>
      </c>
      <c r="N37" s="156">
        <v>6.3227659101555936E-2</v>
      </c>
      <c r="O37" s="157">
        <f t="shared" si="96"/>
        <v>5.9698232440776135E-2</v>
      </c>
      <c r="P37" s="156">
        <v>6.4488872985306131E-2</v>
      </c>
      <c r="Q37" s="157">
        <f t="shared" si="20"/>
        <v>6.841565461856082E-2</v>
      </c>
      <c r="R37" s="491">
        <v>6.2663185378590031E-2</v>
      </c>
      <c r="S37" s="483">
        <f t="shared" si="21"/>
        <v>6.7000148563465367E-2</v>
      </c>
      <c r="T37" s="156">
        <v>7.9918032786885349E-2</v>
      </c>
      <c r="U37" s="157">
        <f t="shared" si="22"/>
        <v>8.2040375638327348E-2</v>
      </c>
      <c r="V37" s="156">
        <v>5.4597701149425193E-2</v>
      </c>
      <c r="W37" s="157">
        <f t="shared" si="23"/>
        <v>5.9103044162199095E-2</v>
      </c>
      <c r="X37" s="156">
        <v>7.396036840636358E-2</v>
      </c>
      <c r="Y37" s="158">
        <f t="shared" si="24"/>
        <v>7.471921399454351E-2</v>
      </c>
      <c r="Z37" s="156">
        <v>0.14483629511817891</v>
      </c>
      <c r="AA37" s="157">
        <f t="shared" si="99"/>
        <v>0.1346916577571021</v>
      </c>
      <c r="AB37" s="156">
        <v>0.12543866535889892</v>
      </c>
      <c r="AC37" s="81">
        <f t="shared" ref="AC37" si="555">AVERAGE(AB34:AB37)</f>
        <v>0.13151255545198307</v>
      </c>
      <c r="AD37" s="491">
        <v>0.12559804935623825</v>
      </c>
      <c r="AE37" s="483">
        <f t="shared" si="26"/>
        <v>0.13208521210887264</v>
      </c>
      <c r="AF37" s="156">
        <v>0.17418934232824981</v>
      </c>
      <c r="AG37" s="483">
        <f t="shared" ref="AG37" si="556">AVERAGE(AF34:AF37)</f>
        <v>0.17280011176564841</v>
      </c>
      <c r="AH37" s="156">
        <v>0.107887422338801</v>
      </c>
      <c r="AI37" s="483">
        <f t="shared" si="28"/>
        <v>0.11598826879187887</v>
      </c>
      <c r="AJ37" s="156">
        <v>0.12468488786731961</v>
      </c>
      <c r="AK37" s="158">
        <f t="shared" si="29"/>
        <v>0.12932134407540807</v>
      </c>
      <c r="AL37" s="74">
        <v>7464.9735128371194</v>
      </c>
      <c r="AM37" s="81">
        <f t="shared" si="102"/>
        <v>7413.5132664217663</v>
      </c>
      <c r="AN37" s="74">
        <v>7115.5382883113789</v>
      </c>
      <c r="AO37" s="81">
        <f t="shared" ref="AO37" si="557">AVERAGE(AN34:AN37)</f>
        <v>7027.2313375768972</v>
      </c>
      <c r="AP37" s="494">
        <v>7181.7291122715342</v>
      </c>
      <c r="AQ37" s="495">
        <f t="shared" si="31"/>
        <v>7078.1726783487084</v>
      </c>
      <c r="AR37" s="74">
        <v>7543.3135245901749</v>
      </c>
      <c r="AS37" s="81">
        <f t="shared" ref="AS37" si="558">AVERAGE(AR34:AR37)</f>
        <v>7273.9335435227367</v>
      </c>
      <c r="AT37" s="74">
        <v>7012.7126436781473</v>
      </c>
      <c r="AU37" s="81">
        <f t="shared" si="33"/>
        <v>6976.7433171962703</v>
      </c>
      <c r="AV37" s="74">
        <v>6772.1465252581702</v>
      </c>
      <c r="AW37" s="99">
        <f t="shared" si="78"/>
        <v>6770.7441807471796</v>
      </c>
      <c r="AX37" s="105">
        <v>4.8193009497822175</v>
      </c>
      <c r="AY37" s="106">
        <f t="shared" si="105"/>
        <v>4.622196547268735</v>
      </c>
      <c r="AZ37" s="105">
        <v>5.2614675451046029</v>
      </c>
      <c r="BA37" s="81">
        <f t="shared" ref="BA37" si="559">AVERAGE(AZ34:AZ37)</f>
        <v>5.1835799878031512</v>
      </c>
      <c r="BB37" s="492">
        <v>5.3577023498694487</v>
      </c>
      <c r="BC37" s="493">
        <f t="shared" si="35"/>
        <v>5.284353123691421</v>
      </c>
      <c r="BD37" s="105">
        <v>7.075819672131157</v>
      </c>
      <c r="BE37" s="106">
        <f t="shared" ref="BE37" si="560">AVERAGE(BD34:BD37)</f>
        <v>6.8142026154877584</v>
      </c>
      <c r="BF37" s="105">
        <v>4.5545977011494179</v>
      </c>
      <c r="BG37" s="106">
        <f t="shared" si="37"/>
        <v>4.4552213451265112</v>
      </c>
      <c r="BH37" s="105">
        <v>4.7622104381803121</v>
      </c>
      <c r="BI37" s="107">
        <f t="shared" si="81"/>
        <v>4.7329450132670958</v>
      </c>
      <c r="BJ37" s="487">
        <v>0.43086570192781676</v>
      </c>
      <c r="BK37" s="488">
        <f t="shared" si="108"/>
        <v>0.34751752365943606</v>
      </c>
      <c r="BL37" s="487">
        <v>0.57133406904742245</v>
      </c>
      <c r="BM37" s="489">
        <f t="shared" ref="BM37" si="561">AVERAGE(BL34:BL37)</f>
        <v>0.52681190395535549</v>
      </c>
      <c r="BN37" s="487"/>
      <c r="BO37" s="489" t="e">
        <f t="shared" ref="BO37" si="562">AVERAGE(BN34:BN37)</f>
        <v>#DIV/0!</v>
      </c>
      <c r="BP37" s="487">
        <v>0</v>
      </c>
      <c r="BQ37" s="489">
        <f t="shared" ref="BQ37" si="563">AVERAGE(BP34:BP37)</f>
        <v>0</v>
      </c>
      <c r="BR37" s="487"/>
      <c r="BS37" s="489" t="e">
        <f t="shared" ref="BS37" si="564">AVERAGE(BR34:BR37)</f>
        <v>#DIV/0!</v>
      </c>
      <c r="BT37" s="487">
        <v>0</v>
      </c>
      <c r="BU37" s="490">
        <f t="shared" si="86"/>
        <v>0</v>
      </c>
      <c r="BV37" s="74">
        <v>6913.2349090916414</v>
      </c>
      <c r="BW37" s="81">
        <f t="shared" si="113"/>
        <v>6893.8505315994535</v>
      </c>
      <c r="BX37" s="74">
        <v>7453.3409217047383</v>
      </c>
      <c r="BY37" s="81">
        <f t="shared" ref="BY37" si="565">AVERAGE(BX34:BX37)</f>
        <v>7711.5396097976782</v>
      </c>
      <c r="BZ37" s="494">
        <v>7336.5672323759754</v>
      </c>
      <c r="CA37" s="495">
        <f t="shared" si="43"/>
        <v>7689.0947838948423</v>
      </c>
      <c r="CB37" s="74">
        <v>9231.1577868852582</v>
      </c>
      <c r="CC37" s="81">
        <f t="shared" ref="CC37" si="566">AVERAGE(CB34:CB37)</f>
        <v>9328.3898364964552</v>
      </c>
      <c r="CD37" s="74">
        <v>6450.9731800766194</v>
      </c>
      <c r="CE37" s="81">
        <f t="shared" si="45"/>
        <v>6803.3995163742347</v>
      </c>
      <c r="CF37" s="74">
        <v>8059.151828077047</v>
      </c>
      <c r="CG37" s="99">
        <f t="shared" si="89"/>
        <v>7813.5327592891481</v>
      </c>
      <c r="CH37" s="156">
        <v>2.438287759692535E-2</v>
      </c>
      <c r="CI37" s="157">
        <f t="shared" si="113"/>
        <v>2.5088763115480337E-2</v>
      </c>
      <c r="CJ37" s="156">
        <v>3.1560367922787658E-2</v>
      </c>
      <c r="CK37" s="81">
        <f t="shared" ref="CK37" si="567">AVERAGE(CJ34:CJ37)</f>
        <v>3.3998089852715734E-2</v>
      </c>
      <c r="CL37" s="491">
        <v>2.806788511749345E-2</v>
      </c>
      <c r="CM37" s="483">
        <f t="shared" si="47"/>
        <v>3.1383346917664597E-2</v>
      </c>
      <c r="CN37" s="156">
        <v>4.9180327868852527E-2</v>
      </c>
      <c r="CO37" s="483">
        <f t="shared" ref="CO37" si="568">AVERAGE(CN34:CN37)</f>
        <v>4.6668425889703172E-2</v>
      </c>
      <c r="CP37" s="156">
        <v>1.8199233716475065E-2</v>
      </c>
      <c r="CQ37" s="483">
        <f t="shared" si="49"/>
        <v>2.313261636311079E-2</v>
      </c>
      <c r="CR37" s="156">
        <v>4.9679039910689504E-2</v>
      </c>
      <c r="CS37" s="158">
        <f t="shared" si="92"/>
        <v>4.5936897793317603E-2</v>
      </c>
      <c r="CT37" s="105">
        <v>44.089176469039373</v>
      </c>
      <c r="CU37" s="106">
        <f t="shared" si="118"/>
        <v>44.086640792631968</v>
      </c>
      <c r="CV37" s="105">
        <v>45.636752072458229</v>
      </c>
      <c r="CW37" s="81">
        <f t="shared" ref="CW37" si="569">AVERAGE(CV34:CV37)</f>
        <v>46.108367792116212</v>
      </c>
      <c r="CX37" s="492">
        <v>45.458224543080902</v>
      </c>
      <c r="CY37" s="493">
        <f t="shared" si="51"/>
        <v>45.916510240467446</v>
      </c>
      <c r="CZ37" s="105">
        <v>47.659836065573842</v>
      </c>
      <c r="DA37" s="106">
        <f t="shared" ref="DA37" si="570">AVERAGE(CZ34:CZ37)</f>
        <v>49.123664158720764</v>
      </c>
      <c r="DB37" s="105">
        <v>44.429118773946279</v>
      </c>
      <c r="DC37" s="106">
        <f t="shared" si="53"/>
        <v>44.151822736685226</v>
      </c>
      <c r="DD37" s="105">
        <v>46.562936087078</v>
      </c>
      <c r="DE37" s="107">
        <f t="shared" si="95"/>
        <v>46.657088041135793</v>
      </c>
    </row>
    <row r="38" spans="1:109" x14ac:dyDescent="0.25">
      <c r="A38" s="155">
        <f t="shared" si="15"/>
        <v>45387</v>
      </c>
      <c r="B38" s="74">
        <v>39.977853945192848</v>
      </c>
      <c r="C38" s="81">
        <f t="shared" si="96"/>
        <v>39.736291211355287</v>
      </c>
      <c r="D38" s="74">
        <v>41.09667106692585</v>
      </c>
      <c r="E38" s="81">
        <f t="shared" si="16"/>
        <v>40.847588372335636</v>
      </c>
      <c r="F38" s="74">
        <v>41.270502645502638</v>
      </c>
      <c r="G38" s="81">
        <f t="shared" si="16"/>
        <v>40.993256487010029</v>
      </c>
      <c r="H38" s="74">
        <v>44.385796545105613</v>
      </c>
      <c r="I38" s="81">
        <f t="shared" ref="I38" si="571">AVERAGE(H35:H38)</f>
        <v>44.164946442921249</v>
      </c>
      <c r="J38" s="74">
        <v>39.632694248234074</v>
      </c>
      <c r="K38" s="81">
        <f t="shared" si="18"/>
        <v>39.27604465730316</v>
      </c>
      <c r="L38" s="74">
        <v>40.17128210099694</v>
      </c>
      <c r="M38" s="99">
        <f t="shared" ref="M38" si="572">AVERAGE(L35:L38)</f>
        <v>40.161408695897343</v>
      </c>
      <c r="N38" s="156">
        <v>6.1359283277750309E-2</v>
      </c>
      <c r="O38" s="157">
        <f t="shared" si="96"/>
        <v>6.0571430690527853E-2</v>
      </c>
      <c r="P38" s="156">
        <v>6.9575206538092682E-2</v>
      </c>
      <c r="Q38" s="157">
        <f t="shared" si="20"/>
        <v>6.874527147498187E-2</v>
      </c>
      <c r="R38" s="491">
        <v>6.9444444444444434E-2</v>
      </c>
      <c r="S38" s="483">
        <f t="shared" si="21"/>
        <v>6.811430597839449E-2</v>
      </c>
      <c r="T38" s="156">
        <v>8.8291746641074961E-2</v>
      </c>
      <c r="U38" s="157">
        <f t="shared" si="22"/>
        <v>8.6630794816078591E-2</v>
      </c>
      <c r="V38" s="156">
        <v>5.9535822401614473E-2</v>
      </c>
      <c r="W38" s="157">
        <f t="shared" si="23"/>
        <v>5.8400964849884503E-2</v>
      </c>
      <c r="X38" s="156">
        <v>7.0271315953968433E-2</v>
      </c>
      <c r="Y38" s="158">
        <f t="shared" si="24"/>
        <v>7.1782533400171988E-2</v>
      </c>
      <c r="Z38" s="156">
        <v>0.13634153468013074</v>
      </c>
      <c r="AA38" s="157">
        <f t="shared" si="99"/>
        <v>0.13672181063794178</v>
      </c>
      <c r="AB38" s="156">
        <v>0.13029458191039708</v>
      </c>
      <c r="AC38" s="81">
        <f t="shared" ref="AC38" si="573">AVERAGE(AB35:AB38)</f>
        <v>0.13168199370392986</v>
      </c>
      <c r="AD38" s="491">
        <v>0.13134712081675604</v>
      </c>
      <c r="AE38" s="483">
        <f t="shared" si="26"/>
        <v>0.13296070880116401</v>
      </c>
      <c r="AF38" s="156">
        <v>0.18420116260242475</v>
      </c>
      <c r="AG38" s="483">
        <f t="shared" ref="AG38" si="574">AVERAGE(AF35:AF38)</f>
        <v>0.18094345208505214</v>
      </c>
      <c r="AH38" s="156">
        <v>0.10895133530651654</v>
      </c>
      <c r="AI38" s="483">
        <f t="shared" si="28"/>
        <v>0.11367762338643972</v>
      </c>
      <c r="AJ38" s="156">
        <v>0.12553812950025064</v>
      </c>
      <c r="AK38" s="158">
        <f t="shared" si="29"/>
        <v>0.12649172763483382</v>
      </c>
      <c r="AL38" s="74">
        <v>7450.3975737083401</v>
      </c>
      <c r="AM38" s="81">
        <f t="shared" si="102"/>
        <v>7424.3497412291354</v>
      </c>
      <c r="AN38" s="74">
        <v>7134.9042054122501</v>
      </c>
      <c r="AO38" s="81">
        <f t="shared" ref="AO38" si="575">AVERAGE(AN35:AN38)</f>
        <v>7032.5898574934918</v>
      </c>
      <c r="AP38" s="494">
        <v>7183.3677248677232</v>
      </c>
      <c r="AQ38" s="495">
        <f t="shared" si="31"/>
        <v>7078.3826030668561</v>
      </c>
      <c r="AR38" s="74">
        <v>7427.3838771593164</v>
      </c>
      <c r="AS38" s="81">
        <f t="shared" ref="AS38" si="576">AVERAGE(AR35:AR38)</f>
        <v>7256.9852237682735</v>
      </c>
      <c r="AT38" s="74">
        <v>7055.080726538843</v>
      </c>
      <c r="AU38" s="81">
        <f t="shared" si="33"/>
        <v>6986.6914913496821</v>
      </c>
      <c r="AV38" s="74">
        <v>6876.9096193804335</v>
      </c>
      <c r="AW38" s="99">
        <f t="shared" si="78"/>
        <v>6778.6199026400773</v>
      </c>
      <c r="AX38" s="105">
        <v>4.8414199411164098</v>
      </c>
      <c r="AY38" s="106">
        <f t="shared" si="105"/>
        <v>4.6748340106418027</v>
      </c>
      <c r="AZ38" s="105">
        <v>5.2272922648218252</v>
      </c>
      <c r="BA38" s="81">
        <f t="shared" ref="BA38" si="577">AVERAGE(AZ35:AZ38)</f>
        <v>5.243943027028128</v>
      </c>
      <c r="BB38" s="492">
        <v>5.3478835978835964</v>
      </c>
      <c r="BC38" s="493">
        <f t="shared" si="35"/>
        <v>5.364825241683846</v>
      </c>
      <c r="BD38" s="105">
        <v>6.6833013435700659</v>
      </c>
      <c r="BE38" s="106">
        <f t="shared" ref="BE38" si="578">AVERAGE(BD35:BD38)</f>
        <v>6.8352610516133732</v>
      </c>
      <c r="BF38" s="105">
        <v>4.6458123107971705</v>
      </c>
      <c r="BG38" s="106">
        <f t="shared" si="37"/>
        <v>4.5705397594841575</v>
      </c>
      <c r="BH38" s="105">
        <v>4.585326691502698</v>
      </c>
      <c r="BI38" s="107">
        <f t="shared" si="81"/>
        <v>4.7087954423541074</v>
      </c>
      <c r="BJ38" s="487">
        <v>0.40197060579696964</v>
      </c>
      <c r="BK38" s="488">
        <f t="shared" si="108"/>
        <v>0.37264974646330934</v>
      </c>
      <c r="BL38" s="487">
        <v>0.5517741410022251</v>
      </c>
      <c r="BM38" s="489">
        <f t="shared" ref="BM38" si="579">AVERAGE(BL35:BL38)</f>
        <v>0.53314346207936614</v>
      </c>
      <c r="BN38" s="487"/>
      <c r="BO38" s="489" t="e">
        <f t="shared" ref="BO38" si="580">AVERAGE(BN35:BN38)</f>
        <v>#DIV/0!</v>
      </c>
      <c r="BP38" s="487">
        <v>0</v>
      </c>
      <c r="BQ38" s="489">
        <f t="shared" ref="BQ38" si="581">AVERAGE(BP35:BP38)</f>
        <v>0</v>
      </c>
      <c r="BR38" s="487"/>
      <c r="BS38" s="489" t="e">
        <f t="shared" ref="BS38" si="582">AVERAGE(BR35:BR38)</f>
        <v>#DIV/0!</v>
      </c>
      <c r="BT38" s="487">
        <v>0</v>
      </c>
      <c r="BU38" s="490">
        <f t="shared" si="86"/>
        <v>0</v>
      </c>
      <c r="BV38" s="74">
        <v>6829.4338718638219</v>
      </c>
      <c r="BW38" s="81">
        <f t="shared" si="113"/>
        <v>6900.6118560814721</v>
      </c>
      <c r="BX38" s="74">
        <v>7379.4972306008995</v>
      </c>
      <c r="BY38" s="81">
        <f t="shared" ref="BY38" si="583">AVERAGE(BX35:BX38)</f>
        <v>7655.0834132692917</v>
      </c>
      <c r="BZ38" s="494">
        <v>7321.1607142857119</v>
      </c>
      <c r="CA38" s="495">
        <f t="shared" si="43"/>
        <v>7624.5821598667571</v>
      </c>
      <c r="CB38" s="74">
        <v>8938.7562380038489</v>
      </c>
      <c r="CC38" s="81">
        <f t="shared" ref="CC38" si="584">AVERAGE(CB35:CB38)</f>
        <v>9199.7105976291168</v>
      </c>
      <c r="CD38" s="74">
        <v>6470.7396569122029</v>
      </c>
      <c r="CE38" s="81">
        <f t="shared" si="45"/>
        <v>6776.9232710012875</v>
      </c>
      <c r="CF38" s="74">
        <v>7690.0505198869223</v>
      </c>
      <c r="CG38" s="99">
        <f t="shared" si="89"/>
        <v>7826.902134435114</v>
      </c>
      <c r="CH38" s="156">
        <v>2.3649210839684198E-2</v>
      </c>
      <c r="CI38" s="157">
        <f t="shared" si="113"/>
        <v>2.5187976148211853E-2</v>
      </c>
      <c r="CJ38" s="156">
        <v>3.1678630920160808E-2</v>
      </c>
      <c r="CK38" s="81">
        <f t="shared" ref="CK38" si="585">AVERAGE(CJ35:CJ38)</f>
        <v>3.4079493512820289E-2</v>
      </c>
      <c r="CL38" s="491">
        <v>2.9761904761904757E-2</v>
      </c>
      <c r="CM38" s="483">
        <f t="shared" si="47"/>
        <v>3.1918867787263445E-2</v>
      </c>
      <c r="CN38" s="156">
        <v>3.8387715930902157E-2</v>
      </c>
      <c r="CO38" s="483">
        <f t="shared" ref="CO38" si="586">AVERAGE(CN35:CN38)</f>
        <v>4.5193093800167637E-2</v>
      </c>
      <c r="CP38" s="156">
        <v>2.5227043390514611E-2</v>
      </c>
      <c r="CQ38" s="483">
        <f t="shared" si="49"/>
        <v>2.4763566736923981E-2</v>
      </c>
      <c r="CR38" s="156">
        <v>4.188228466408548E-2</v>
      </c>
      <c r="CS38" s="158">
        <f t="shared" si="92"/>
        <v>4.5755264095258194E-2</v>
      </c>
      <c r="CT38" s="105">
        <v>43.855718692381814</v>
      </c>
      <c r="CU38" s="106">
        <f t="shared" si="118"/>
        <v>43.988845478890184</v>
      </c>
      <c r="CV38" s="105">
        <v>45.835804959981026</v>
      </c>
      <c r="CW38" s="81">
        <f t="shared" ref="CW38" si="587">AVERAGE(CV35:CV38)</f>
        <v>46.159580142569865</v>
      </c>
      <c r="CX38" s="492">
        <v>45.55158730158729</v>
      </c>
      <c r="CY38" s="493">
        <f t="shared" si="51"/>
        <v>46.016835985441844</v>
      </c>
      <c r="CZ38" s="105">
        <v>48.142034548944395</v>
      </c>
      <c r="DA38" s="106">
        <f t="shared" ref="DA38" si="588">AVERAGE(CZ35:CZ38)</f>
        <v>49.085163471947524</v>
      </c>
      <c r="DB38" s="105">
        <v>44.189707366296631</v>
      </c>
      <c r="DC38" s="106">
        <f t="shared" si="53"/>
        <v>44.332354316413991</v>
      </c>
      <c r="DD38" s="105">
        <v>47.348832035688723</v>
      </c>
      <c r="DE38" s="107">
        <f t="shared" si="95"/>
        <v>46.835449297325525</v>
      </c>
    </row>
    <row r="39" spans="1:109" x14ac:dyDescent="0.25">
      <c r="A39" s="155">
        <f t="shared" si="15"/>
        <v>45394</v>
      </c>
      <c r="B39" s="74">
        <v>40.170310247695063</v>
      </c>
      <c r="C39" s="81">
        <f t="shared" si="96"/>
        <v>39.821875146276014</v>
      </c>
      <c r="D39" s="74">
        <v>41.03072690025467</v>
      </c>
      <c r="E39" s="81">
        <f t="shared" si="16"/>
        <v>40.850456040341541</v>
      </c>
      <c r="F39" s="74">
        <v>41.158718330849503</v>
      </c>
      <c r="G39" s="81">
        <f t="shared" si="16"/>
        <v>40.980643229818938</v>
      </c>
      <c r="H39" s="74">
        <v>43.869098712446416</v>
      </c>
      <c r="I39" s="81">
        <f t="shared" ref="I39" si="589">AVERAGE(H36:H39)</f>
        <v>44.124599169813322</v>
      </c>
      <c r="J39" s="74">
        <v>39.716894977168955</v>
      </c>
      <c r="K39" s="81">
        <f t="shared" si="18"/>
        <v>39.365055352327758</v>
      </c>
      <c r="L39" s="74">
        <v>40.361180124223338</v>
      </c>
      <c r="M39" s="99">
        <f t="shared" ref="M39" si="590">AVERAGE(L36:L39)</f>
        <v>40.187737842091764</v>
      </c>
      <c r="N39" s="156">
        <v>6.8424575066843518E-2</v>
      </c>
      <c r="O39" s="157">
        <f t="shared" si="96"/>
        <v>6.1427748526458895E-2</v>
      </c>
      <c r="P39" s="156">
        <v>6.9935105556660729E-2</v>
      </c>
      <c r="Q39" s="157">
        <f t="shared" si="20"/>
        <v>6.9278965388130456E-2</v>
      </c>
      <c r="R39" s="491">
        <v>6.7809239940387511E-2</v>
      </c>
      <c r="S39" s="483">
        <f t="shared" si="21"/>
        <v>6.8574258763169554E-2</v>
      </c>
      <c r="T39" s="156">
        <v>0.1030042918454937</v>
      </c>
      <c r="U39" s="157">
        <f t="shared" si="22"/>
        <v>9.5105445013224349E-2</v>
      </c>
      <c r="V39" s="156">
        <v>4.9086757990867584E-2</v>
      </c>
      <c r="W39" s="157">
        <f t="shared" si="23"/>
        <v>5.4693959274365711E-2</v>
      </c>
      <c r="X39" s="156">
        <v>8.1055900621117477E-2</v>
      </c>
      <c r="Y39" s="158">
        <f t="shared" si="24"/>
        <v>7.325652987741299E-2</v>
      </c>
      <c r="Z39" s="156">
        <v>0.15617109434647969</v>
      </c>
      <c r="AA39" s="157">
        <f t="shared" si="99"/>
        <v>0.13888662408562211</v>
      </c>
      <c r="AB39" s="156">
        <v>0.13193680069886587</v>
      </c>
      <c r="AC39" s="81">
        <f t="shared" ref="AC39" si="591">AVERAGE(AB36:AB39)</f>
        <v>0.13164255800973534</v>
      </c>
      <c r="AD39" s="491">
        <v>0.1301633803587729</v>
      </c>
      <c r="AE39" s="483">
        <f t="shared" si="26"/>
        <v>0.13247391613402776</v>
      </c>
      <c r="AF39" s="156">
        <v>0.20312120274131606</v>
      </c>
      <c r="AG39" s="483">
        <f t="shared" ref="AG39" si="592">AVERAGE(AF36:AF39)</f>
        <v>0.19691284423358418</v>
      </c>
      <c r="AH39" s="156">
        <v>0.10009474838712376</v>
      </c>
      <c r="AI39" s="483">
        <f t="shared" si="28"/>
        <v>0.1065421871606303</v>
      </c>
      <c r="AJ39" s="156">
        <v>0.13964578893696306</v>
      </c>
      <c r="AK39" s="158">
        <f t="shared" si="29"/>
        <v>0.12839490941842124</v>
      </c>
      <c r="AL39" s="74">
        <v>7370.4690035851982</v>
      </c>
      <c r="AM39" s="81">
        <f t="shared" si="102"/>
        <v>7426.984387545248</v>
      </c>
      <c r="AN39" s="74">
        <v>6972.1546381647249</v>
      </c>
      <c r="AO39" s="81">
        <f t="shared" ref="AO39" si="593">AVERAGE(AN36:AN39)</f>
        <v>7045.4834325045231</v>
      </c>
      <c r="AP39" s="494">
        <v>6990.18405365127</v>
      </c>
      <c r="AQ39" s="495">
        <f t="shared" si="31"/>
        <v>7091.661319617242</v>
      </c>
      <c r="AR39" s="74">
        <v>7087.049356223185</v>
      </c>
      <c r="AS39" s="81">
        <f t="shared" ref="AS39" si="594">AVERAGE(AR36:AR39)</f>
        <v>7271.254676645206</v>
      </c>
      <c r="AT39" s="74">
        <v>6938.655251141553</v>
      </c>
      <c r="AU39" s="81">
        <f t="shared" si="33"/>
        <v>7002.3037062655621</v>
      </c>
      <c r="AV39" s="74">
        <v>6877.8394409937455</v>
      </c>
      <c r="AW39" s="99">
        <f t="shared" si="78"/>
        <v>6810.9487292235517</v>
      </c>
      <c r="AX39" s="105">
        <v>4.676382543476123</v>
      </c>
      <c r="AY39" s="106">
        <f t="shared" si="105"/>
        <v>4.6900480698826339</v>
      </c>
      <c r="AZ39" s="105">
        <v>5.1410440168532041</v>
      </c>
      <c r="BA39" s="81">
        <f t="shared" ref="BA39" si="595">AVERAGE(AZ36:AZ39)</f>
        <v>5.1972969212949973</v>
      </c>
      <c r="BB39" s="492">
        <v>5.2228017883755626</v>
      </c>
      <c r="BC39" s="493">
        <f t="shared" si="35"/>
        <v>5.3006544096144221</v>
      </c>
      <c r="BD39" s="105">
        <v>6.6459227467811255</v>
      </c>
      <c r="BE39" s="106">
        <f t="shared" ref="BE39" si="596">AVERAGE(BD36:BD39)</f>
        <v>6.8143230391216596</v>
      </c>
      <c r="BF39" s="105">
        <v>4.4657534246575352</v>
      </c>
      <c r="BG39" s="106">
        <f t="shared" si="37"/>
        <v>4.5218649332251051</v>
      </c>
      <c r="BH39" s="105">
        <v>4.7133540372670497</v>
      </c>
      <c r="BI39" s="107">
        <f t="shared" si="81"/>
        <v>4.7004621160696383</v>
      </c>
      <c r="BJ39" s="487">
        <v>0.4061572656704438</v>
      </c>
      <c r="BK39" s="488">
        <f t="shared" si="108"/>
        <v>0.38611525543774855</v>
      </c>
      <c r="BL39" s="487">
        <v>0.54800057744690622</v>
      </c>
      <c r="BM39" s="489">
        <f t="shared" ref="BM39" si="597">AVERAGE(BL36:BL39)</f>
        <v>0.54918865326486876</v>
      </c>
      <c r="BN39" s="487"/>
      <c r="BO39" s="489" t="e">
        <f t="shared" ref="BO39" si="598">AVERAGE(BN36:BN39)</f>
        <v>#DIV/0!</v>
      </c>
      <c r="BP39" s="487">
        <v>0</v>
      </c>
      <c r="BQ39" s="489">
        <f t="shared" ref="BQ39" si="599">AVERAGE(BP36:BP39)</f>
        <v>0</v>
      </c>
      <c r="BR39" s="487"/>
      <c r="BS39" s="489" t="e">
        <f t="shared" ref="BS39" si="600">AVERAGE(BR36:BR39)</f>
        <v>#DIV/0!</v>
      </c>
      <c r="BT39" s="487">
        <v>0</v>
      </c>
      <c r="BU39" s="490">
        <f t="shared" si="86"/>
        <v>0</v>
      </c>
      <c r="BV39" s="74">
        <v>6646.620689022885</v>
      </c>
      <c r="BW39" s="81">
        <f t="shared" si="113"/>
        <v>6843.0214726946051</v>
      </c>
      <c r="BX39" s="74">
        <v>7184.6363642650558</v>
      </c>
      <c r="BY39" s="81">
        <f t="shared" ref="BY39" si="601">AVERAGE(BX36:BX39)</f>
        <v>7398.7137580363615</v>
      </c>
      <c r="BZ39" s="494">
        <v>7076.9359165424767</v>
      </c>
      <c r="CA39" s="495">
        <f t="shared" si="43"/>
        <v>7311.2322693322212</v>
      </c>
      <c r="CB39" s="74">
        <v>8501.8476394849913</v>
      </c>
      <c r="CC39" s="81">
        <f t="shared" ref="CC39" si="602">AVERAGE(CB36:CB39)</f>
        <v>8920.8579749800374</v>
      </c>
      <c r="CD39" s="74">
        <v>6318.9349315068475</v>
      </c>
      <c r="CE39" s="81">
        <f t="shared" si="45"/>
        <v>6484.847416660954</v>
      </c>
      <c r="CF39" s="74">
        <v>7748.037267080701</v>
      </c>
      <c r="CG39" s="99">
        <f t="shared" si="89"/>
        <v>7807.4379975929087</v>
      </c>
      <c r="CH39" s="156">
        <v>2.8855754530195413E-2</v>
      </c>
      <c r="CI39" s="157">
        <f t="shared" si="113"/>
        <v>2.5392417452150023E-2</v>
      </c>
      <c r="CJ39" s="156">
        <v>3.7431169956104487E-2</v>
      </c>
      <c r="CK39" s="81">
        <f t="shared" ref="CK39" si="603">AVERAGE(CJ36:CJ39)</f>
        <v>3.2267611729419568E-2</v>
      </c>
      <c r="CL39" s="491">
        <v>3.6512667660208664E-2</v>
      </c>
      <c r="CM39" s="483">
        <f t="shared" si="47"/>
        <v>2.9783961492339736E-2</v>
      </c>
      <c r="CN39" s="156">
        <v>5.5793991416309086E-2</v>
      </c>
      <c r="CO39" s="483">
        <f t="shared" ref="CO39" si="604">AVERAGE(CN36:CN39)</f>
        <v>4.4405819296521307E-2</v>
      </c>
      <c r="CP39" s="156">
        <v>2.625570776255708E-2</v>
      </c>
      <c r="CQ39" s="483">
        <f t="shared" si="49"/>
        <v>2.2339477698868172E-2</v>
      </c>
      <c r="CR39" s="156">
        <v>4.2236024844720221E-2</v>
      </c>
      <c r="CS39" s="158">
        <f t="shared" si="92"/>
        <v>4.5047867944109025E-2</v>
      </c>
      <c r="CT39" s="105">
        <v>43.853343589035106</v>
      </c>
      <c r="CU39" s="106">
        <f t="shared" si="118"/>
        <v>43.986277009326791</v>
      </c>
      <c r="CV39" s="105">
        <v>45.93776939100529</v>
      </c>
      <c r="CW39" s="81">
        <f t="shared" ref="CW39" si="605">AVERAGE(CV36:CV39)</f>
        <v>45.816083437691162</v>
      </c>
      <c r="CX39" s="492">
        <v>45.666915052160981</v>
      </c>
      <c r="CY39" s="493">
        <f t="shared" si="51"/>
        <v>45.571135142689648</v>
      </c>
      <c r="CZ39" s="105">
        <v>49.298283261802645</v>
      </c>
      <c r="DA39" s="106">
        <f t="shared" ref="DA39" si="606">AVERAGE(CZ36:CZ39)</f>
        <v>48.885852173577028</v>
      </c>
      <c r="DB39" s="105">
        <v>43.735159817351601</v>
      </c>
      <c r="DC39" s="106">
        <f t="shared" si="53"/>
        <v>43.83704973013937</v>
      </c>
      <c r="DD39" s="105">
        <v>47.354658385092868</v>
      </c>
      <c r="DE39" s="107">
        <f t="shared" si="95"/>
        <v>46.931566231271134</v>
      </c>
    </row>
    <row r="40" spans="1:109" x14ac:dyDescent="0.25">
      <c r="A40" s="155">
        <f t="shared" si="15"/>
        <v>45401</v>
      </c>
      <c r="B40" s="74">
        <v>39.878540537581408</v>
      </c>
      <c r="C40" s="81">
        <f t="shared" si="96"/>
        <v>39.83781180914432</v>
      </c>
      <c r="D40" s="74">
        <v>40.829484982879563</v>
      </c>
      <c r="E40" s="81">
        <f t="shared" si="16"/>
        <v>40.919038309215125</v>
      </c>
      <c r="F40" s="74">
        <v>40.955657492354767</v>
      </c>
      <c r="G40" s="81">
        <f t="shared" si="16"/>
        <v>41.059339721615359</v>
      </c>
      <c r="H40" s="74">
        <v>42.764285714285784</v>
      </c>
      <c r="I40" s="81">
        <f t="shared" ref="I40" si="607">AVERAGE(H37:H40)</f>
        <v>43.87723376754964</v>
      </c>
      <c r="J40" s="74">
        <v>40.100225225225238</v>
      </c>
      <c r="K40" s="81">
        <f t="shared" si="18"/>
        <v>39.650528325300726</v>
      </c>
      <c r="L40" s="74">
        <v>40.210400478182628</v>
      </c>
      <c r="M40" s="99">
        <f t="shared" ref="M40" si="608">AVERAGE(L37:L40)</f>
        <v>40.192762843029094</v>
      </c>
      <c r="N40" s="156">
        <v>5.6702287923819289E-2</v>
      </c>
      <c r="O40" s="157">
        <f t="shared" si="96"/>
        <v>6.2269876480975324E-2</v>
      </c>
      <c r="P40" s="156">
        <v>5.7999183454204017E-2</v>
      </c>
      <c r="Q40" s="157">
        <f t="shared" si="20"/>
        <v>6.549959213356589E-2</v>
      </c>
      <c r="R40" s="491">
        <v>5.5810397553516855E-2</v>
      </c>
      <c r="S40" s="483">
        <f t="shared" si="21"/>
        <v>6.3931816829234711E-2</v>
      </c>
      <c r="T40" s="156">
        <v>7.1428571428571536E-2</v>
      </c>
      <c r="U40" s="157">
        <f t="shared" si="22"/>
        <v>8.5660660675506373E-2</v>
      </c>
      <c r="V40" s="156">
        <v>4.8423423423423442E-2</v>
      </c>
      <c r="W40" s="157">
        <f t="shared" si="23"/>
        <v>5.2910926241332673E-2</v>
      </c>
      <c r="X40" s="156">
        <v>6.8738792588164496E-2</v>
      </c>
      <c r="Y40" s="158">
        <f t="shared" si="24"/>
        <v>7.3506594392403493E-2</v>
      </c>
      <c r="Z40" s="156">
        <v>0.13533973209101557</v>
      </c>
      <c r="AA40" s="157">
        <f t="shared" si="99"/>
        <v>0.14122456141848963</v>
      </c>
      <c r="AB40" s="156">
        <v>0.11837711316012685</v>
      </c>
      <c r="AC40" s="81">
        <f t="shared" ref="AC40" si="609">AVERAGE(AB37:AB40)</f>
        <v>0.12651179028207218</v>
      </c>
      <c r="AD40" s="491">
        <v>0.11696834444338322</v>
      </c>
      <c r="AE40" s="483">
        <f t="shared" si="26"/>
        <v>0.1260192237437876</v>
      </c>
      <c r="AF40" s="156">
        <v>0.16780248382684279</v>
      </c>
      <c r="AG40" s="483">
        <f t="shared" ref="AG40" si="610">AVERAGE(AF37:AF40)</f>
        <v>0.18232854787470837</v>
      </c>
      <c r="AH40" s="156">
        <v>9.9579039528807478E-2</v>
      </c>
      <c r="AI40" s="483">
        <f t="shared" si="28"/>
        <v>0.1041281363903122</v>
      </c>
      <c r="AJ40" s="156">
        <v>0.12403970549869883</v>
      </c>
      <c r="AK40" s="158">
        <f t="shared" si="29"/>
        <v>0.12847712795080804</v>
      </c>
      <c r="AL40" s="74">
        <v>7462.4813680491025</v>
      </c>
      <c r="AM40" s="81">
        <f t="shared" si="102"/>
        <v>7444.1331158399507</v>
      </c>
      <c r="AN40" s="74">
        <v>7082.7413678173143</v>
      </c>
      <c r="AO40" s="81">
        <f t="shared" ref="AO40" si="611">AVERAGE(AN37:AN40)</f>
        <v>7076.3346249264168</v>
      </c>
      <c r="AP40" s="494">
        <v>7132.2347094801298</v>
      </c>
      <c r="AQ40" s="495">
        <f t="shared" si="31"/>
        <v>7121.8789000676643</v>
      </c>
      <c r="AR40" s="74">
        <v>7019.5119047619155</v>
      </c>
      <c r="AS40" s="81">
        <f t="shared" ref="AS40" si="612">AVERAGE(AR37:AR40)</f>
        <v>7269.3146656836479</v>
      </c>
      <c r="AT40" s="74">
        <v>7185.5495495495552</v>
      </c>
      <c r="AU40" s="81">
        <f t="shared" si="33"/>
        <v>7047.9995427270251</v>
      </c>
      <c r="AV40" s="74">
        <v>6839.8947997608702</v>
      </c>
      <c r="AW40" s="99">
        <f t="shared" si="78"/>
        <v>6825.9603147425923</v>
      </c>
      <c r="AX40" s="105">
        <v>4.6530902950330706</v>
      </c>
      <c r="AY40" s="106">
        <f t="shared" si="105"/>
        <v>4.6873902241761716</v>
      </c>
      <c r="AZ40" s="105">
        <v>5.1225324786321966</v>
      </c>
      <c r="BA40" s="81">
        <f t="shared" ref="BA40" si="613">AVERAGE(AZ37:AZ40)</f>
        <v>5.1880840763529577</v>
      </c>
      <c r="BB40" s="492">
        <v>5.2171253822630002</v>
      </c>
      <c r="BC40" s="493">
        <f t="shared" si="35"/>
        <v>5.2863782795979022</v>
      </c>
      <c r="BD40" s="105">
        <v>6.6309523809523903</v>
      </c>
      <c r="BE40" s="106">
        <f t="shared" ref="BE40" si="614">AVERAGE(BD37:BD40)</f>
        <v>6.7589990358586842</v>
      </c>
      <c r="BF40" s="105">
        <v>4.5484234234234249</v>
      </c>
      <c r="BG40" s="106">
        <f t="shared" si="37"/>
        <v>4.5536467150068871</v>
      </c>
      <c r="BH40" s="105">
        <v>4.658398087268349</v>
      </c>
      <c r="BI40" s="107">
        <f t="shared" si="81"/>
        <v>4.703405336286246</v>
      </c>
      <c r="BJ40" s="487">
        <v>0.41612190438778396</v>
      </c>
      <c r="BK40" s="488">
        <f t="shared" si="108"/>
        <v>0.39352120001061347</v>
      </c>
      <c r="BL40" s="487">
        <v>0.56396101516494768</v>
      </c>
      <c r="BM40" s="489">
        <f t="shared" ref="BM40" si="615">AVERAGE(BL37:BL40)</f>
        <v>0.55876745066537548</v>
      </c>
      <c r="BN40" s="487"/>
      <c r="BO40" s="489" t="e">
        <f t="shared" ref="BO40" si="616">AVERAGE(BN37:BN40)</f>
        <v>#DIV/0!</v>
      </c>
      <c r="BP40" s="487">
        <v>0</v>
      </c>
      <c r="BQ40" s="489">
        <f t="shared" ref="BQ40" si="617">AVERAGE(BP37:BP40)</f>
        <v>0</v>
      </c>
      <c r="BR40" s="487"/>
      <c r="BS40" s="489" t="e">
        <f t="shared" ref="BS40" si="618">AVERAGE(BR37:BR40)</f>
        <v>#DIV/0!</v>
      </c>
      <c r="BT40" s="487">
        <v>0</v>
      </c>
      <c r="BU40" s="490">
        <f t="shared" si="86"/>
        <v>0</v>
      </c>
      <c r="BV40" s="74">
        <v>6322.9536597776887</v>
      </c>
      <c r="BW40" s="81">
        <f t="shared" si="113"/>
        <v>6796.4047441154016</v>
      </c>
      <c r="BX40" s="74">
        <v>6818.2731293667075</v>
      </c>
      <c r="BY40" s="81">
        <f t="shared" ref="BY40" si="619">AVERAGE(BX37:BX40)</f>
        <v>7208.9369114843503</v>
      </c>
      <c r="BZ40" s="494">
        <v>6615.1704892966418</v>
      </c>
      <c r="CA40" s="495">
        <f t="shared" si="43"/>
        <v>7087.4585881252015</v>
      </c>
      <c r="CB40" s="74">
        <v>7357.3714285714386</v>
      </c>
      <c r="CC40" s="81">
        <f t="shared" ref="CC40" si="620">AVERAGE(CB37:CB40)</f>
        <v>8507.283273236384</v>
      </c>
      <c r="CD40" s="74">
        <v>6264.1295045045081</v>
      </c>
      <c r="CE40" s="81">
        <f t="shared" si="45"/>
        <v>6376.1943182500445</v>
      </c>
      <c r="CF40" s="74">
        <v>7814.8269575612148</v>
      </c>
      <c r="CG40" s="99">
        <f t="shared" si="89"/>
        <v>7802.4629699571933</v>
      </c>
      <c r="CH40" s="156">
        <v>2.2170265773777099E-2</v>
      </c>
      <c r="CI40" s="157">
        <f t="shared" si="113"/>
        <v>2.5219940064664027E-2</v>
      </c>
      <c r="CJ40" s="156">
        <v>2.7839328897090003E-2</v>
      </c>
      <c r="CK40" s="81">
        <f t="shared" ref="CK40" si="621">AVERAGE(CJ37:CJ40)</f>
        <v>3.2127374424035737E-2</v>
      </c>
      <c r="CL40" s="491">
        <v>2.5229357798165153E-2</v>
      </c>
      <c r="CM40" s="483">
        <f t="shared" si="47"/>
        <v>2.9892953834443008E-2</v>
      </c>
      <c r="CN40" s="156">
        <v>2.3809523809523846E-2</v>
      </c>
      <c r="CO40" s="483">
        <f t="shared" ref="CO40" si="622">AVERAGE(CN37:CN40)</f>
        <v>4.1792889756396903E-2</v>
      </c>
      <c r="CP40" s="156">
        <v>2.5900900900900907E-2</v>
      </c>
      <c r="CQ40" s="483">
        <f t="shared" si="49"/>
        <v>2.3895721442611914E-2</v>
      </c>
      <c r="CR40" s="156">
        <v>4.0645546921697265E-2</v>
      </c>
      <c r="CS40" s="158">
        <f t="shared" si="92"/>
        <v>4.4063133491016579E-2</v>
      </c>
      <c r="CT40" s="105">
        <v>44.578137728839565</v>
      </c>
      <c r="CU40" s="106">
        <f t="shared" si="118"/>
        <v>44.213322386014525</v>
      </c>
      <c r="CV40" s="105">
        <v>46.728386833373129</v>
      </c>
      <c r="CW40" s="81">
        <f t="shared" ref="CW40" si="623">AVERAGE(CV37:CV40)</f>
        <v>46.034678314204413</v>
      </c>
      <c r="CX40" s="492">
        <v>46.703363914373114</v>
      </c>
      <c r="CY40" s="493">
        <f t="shared" si="51"/>
        <v>45.84502270280057</v>
      </c>
      <c r="CZ40" s="105">
        <v>52.007142857142931</v>
      </c>
      <c r="DA40" s="106">
        <f t="shared" ref="DA40" si="624">AVERAGE(CZ37:CZ40)</f>
        <v>49.276824183365953</v>
      </c>
      <c r="DB40" s="105">
        <v>44.194819819819827</v>
      </c>
      <c r="DC40" s="106">
        <f t="shared" si="53"/>
        <v>44.137201444353579</v>
      </c>
      <c r="DD40" s="105">
        <v>46.851165570830531</v>
      </c>
      <c r="DE40" s="107">
        <f t="shared" si="95"/>
        <v>47.061598843127264</v>
      </c>
    </row>
    <row r="41" spans="1:109" x14ac:dyDescent="0.25">
      <c r="A41" s="155">
        <f t="shared" si="15"/>
        <v>45408</v>
      </c>
      <c r="B41" s="74">
        <v>39.897232462639536</v>
      </c>
      <c r="C41" s="81">
        <f t="shared" si="96"/>
        <v>39.933447388698937</v>
      </c>
      <c r="D41" s="74">
        <v>40.778048544535729</v>
      </c>
      <c r="E41" s="81">
        <f t="shared" si="16"/>
        <v>40.93373287364895</v>
      </c>
      <c r="F41" s="74">
        <v>40.871093749999986</v>
      </c>
      <c r="G41" s="81">
        <f t="shared" si="16"/>
        <v>41.063993054676729</v>
      </c>
      <c r="H41" s="74">
        <v>43.208602150537693</v>
      </c>
      <c r="I41" s="81">
        <f t="shared" ref="I41" si="625">AVERAGE(H38:H41)</f>
        <v>43.556945780593878</v>
      </c>
      <c r="J41" s="74">
        <v>39.856209150326762</v>
      </c>
      <c r="K41" s="81">
        <f t="shared" si="18"/>
        <v>39.826505900238757</v>
      </c>
      <c r="L41" s="74">
        <v>40.213408876298139</v>
      </c>
      <c r="M41" s="99">
        <f t="shared" ref="M41" si="626">AVERAGE(L38:L41)</f>
        <v>40.239067894925263</v>
      </c>
      <c r="N41" s="156">
        <v>5.8018926952837994E-2</v>
      </c>
      <c r="O41" s="157">
        <f t="shared" si="96"/>
        <v>6.1875385731983139E-2</v>
      </c>
      <c r="P41" s="156">
        <v>5.8132446405916249E-2</v>
      </c>
      <c r="Q41" s="157">
        <f t="shared" si="20"/>
        <v>6.3910485488718416E-2</v>
      </c>
      <c r="R41" s="491">
        <v>5.5989583333333315E-2</v>
      </c>
      <c r="S41" s="483">
        <f t="shared" si="21"/>
        <v>6.2263416317920525E-2</v>
      </c>
      <c r="T41" s="156">
        <v>7.3118279569892572E-2</v>
      </c>
      <c r="U41" s="157">
        <f t="shared" si="22"/>
        <v>8.3960722371258206E-2</v>
      </c>
      <c r="V41" s="156">
        <v>4.8552754435107336E-2</v>
      </c>
      <c r="W41" s="157">
        <f t="shared" si="23"/>
        <v>5.139968956275321E-2</v>
      </c>
      <c r="X41" s="156">
        <v>7.1136292099464454E-2</v>
      </c>
      <c r="Y41" s="158">
        <f t="shared" si="24"/>
        <v>7.2800575315678712E-2</v>
      </c>
      <c r="Z41" s="156">
        <v>0.12900910192911744</v>
      </c>
      <c r="AA41" s="157">
        <f t="shared" si="99"/>
        <v>0.13956981435008439</v>
      </c>
      <c r="AB41" s="156">
        <v>0.10267615509290963</v>
      </c>
      <c r="AC41" s="81">
        <f t="shared" ref="AC41" si="627">AVERAGE(AB38:AB41)</f>
        <v>0.12082116271557485</v>
      </c>
      <c r="AD41" s="491">
        <v>9.8241242929816092E-2</v>
      </c>
      <c r="AE41" s="483">
        <f t="shared" si="26"/>
        <v>0.11918002213718207</v>
      </c>
      <c r="AF41" s="156">
        <v>0.1365620605106192</v>
      </c>
      <c r="AG41" s="483">
        <f t="shared" ref="AG41" si="628">AVERAGE(AF38:AF41)</f>
        <v>0.17292172742030071</v>
      </c>
      <c r="AH41" s="156">
        <v>8.5984601291560589E-2</v>
      </c>
      <c r="AI41" s="483">
        <f t="shared" si="28"/>
        <v>9.8652431128502097E-2</v>
      </c>
      <c r="AJ41" s="156">
        <v>0.12456980030504818</v>
      </c>
      <c r="AK41" s="158">
        <f t="shared" si="29"/>
        <v>0.12844835606024016</v>
      </c>
      <c r="AL41" s="74">
        <v>7502.0517487402312</v>
      </c>
      <c r="AM41" s="81">
        <f t="shared" si="102"/>
        <v>7438.8635666167629</v>
      </c>
      <c r="AN41" s="74">
        <v>7156.981920558017</v>
      </c>
      <c r="AO41" s="81">
        <f t="shared" ref="AO41" si="629">AVERAGE(AN38:AN41)</f>
        <v>7086.6955329880766</v>
      </c>
      <c r="AP41" s="494">
        <v>7223.9680989583303</v>
      </c>
      <c r="AQ41" s="495">
        <f t="shared" si="31"/>
        <v>7132.4386467393633</v>
      </c>
      <c r="AR41" s="74">
        <v>7297.74623655915</v>
      </c>
      <c r="AS41" s="81">
        <f t="shared" ref="AS41" si="630">AVERAGE(AR38:AR41)</f>
        <v>7207.9228436758913</v>
      </c>
      <c r="AT41" s="74">
        <v>7191.935574229683</v>
      </c>
      <c r="AU41" s="81">
        <f t="shared" si="33"/>
        <v>7092.805275364909</v>
      </c>
      <c r="AV41" s="74">
        <v>6750.4800125904549</v>
      </c>
      <c r="AW41" s="99">
        <f t="shared" si="78"/>
        <v>6815.635346336685</v>
      </c>
      <c r="AX41" s="105">
        <v>4.4889995795001942</v>
      </c>
      <c r="AY41" s="106">
        <f t="shared" si="105"/>
        <v>4.681104675853291</v>
      </c>
      <c r="AZ41" s="105">
        <v>4.8376167201798248</v>
      </c>
      <c r="BA41" s="81">
        <f t="shared" ref="BA41" si="631">AVERAGE(AZ38:AZ41)</f>
        <v>5.0821213701217625</v>
      </c>
      <c r="BB41" s="492">
        <v>4.8483072916666661</v>
      </c>
      <c r="BC41" s="493">
        <f t="shared" si="35"/>
        <v>5.159029515047207</v>
      </c>
      <c r="BD41" s="105">
        <v>6.5526881720430197</v>
      </c>
      <c r="BE41" s="106">
        <f t="shared" ref="BE41" si="632">AVERAGE(BD38:BD41)</f>
        <v>6.6282161608366508</v>
      </c>
      <c r="BF41" s="105">
        <v>4.1083099906629288</v>
      </c>
      <c r="BG41" s="106">
        <f t="shared" si="37"/>
        <v>4.4420747873852644</v>
      </c>
      <c r="BH41" s="105">
        <v>4.7727415801069899</v>
      </c>
      <c r="BI41" s="107">
        <f t="shared" si="81"/>
        <v>4.6971115339919782</v>
      </c>
      <c r="BJ41" s="487">
        <v>0.45928380778068967</v>
      </c>
      <c r="BK41" s="488">
        <f t="shared" si="108"/>
        <v>0.40692873636955307</v>
      </c>
      <c r="BL41" s="487">
        <v>0.59862077860703788</v>
      </c>
      <c r="BM41" s="489">
        <f t="shared" ref="BM41" si="633">AVERAGE(BL38:BL41)</f>
        <v>0.56558912805527917</v>
      </c>
      <c r="BN41" s="487"/>
      <c r="BO41" s="489" t="e">
        <f t="shared" ref="BO41" si="634">AVERAGE(BN38:BN41)</f>
        <v>#DIV/0!</v>
      </c>
      <c r="BP41" s="487">
        <v>0</v>
      </c>
      <c r="BQ41" s="489">
        <f t="shared" ref="BQ41" si="635">AVERAGE(BP38:BP41)</f>
        <v>0</v>
      </c>
      <c r="BR41" s="487"/>
      <c r="BS41" s="489" t="e">
        <f t="shared" ref="BS41" si="636">AVERAGE(BR38:BR41)</f>
        <v>#DIV/0!</v>
      </c>
      <c r="BT41" s="487">
        <v>0</v>
      </c>
      <c r="BU41" s="490">
        <f t="shared" si="86"/>
        <v>0</v>
      </c>
      <c r="BV41" s="74">
        <v>6517.2592934961976</v>
      </c>
      <c r="BW41" s="81">
        <f t="shared" si="113"/>
        <v>6772.4496789359464</v>
      </c>
      <c r="BX41" s="74">
        <v>6984.273949429049</v>
      </c>
      <c r="BY41" s="81">
        <f t="shared" ref="BY41" si="637">AVERAGE(BX38:BX41)</f>
        <v>7091.6701684154286</v>
      </c>
      <c r="BZ41" s="494">
        <v>6797.6451822916661</v>
      </c>
      <c r="CA41" s="495">
        <f t="shared" si="43"/>
        <v>6952.7280756041237</v>
      </c>
      <c r="CB41" s="74">
        <v>8198.5118279569997</v>
      </c>
      <c r="CC41" s="81">
        <f t="shared" ref="CC41" si="638">AVERAGE(CB38:CB41)</f>
        <v>8249.121783504319</v>
      </c>
      <c r="CD41" s="74">
        <v>6189.4257703081203</v>
      </c>
      <c r="CE41" s="81">
        <f t="shared" si="45"/>
        <v>6310.8074658079195</v>
      </c>
      <c r="CF41" s="74">
        <v>8116.8202706955763</v>
      </c>
      <c r="CG41" s="99">
        <f t="shared" si="89"/>
        <v>7859.8313594091132</v>
      </c>
      <c r="CH41" s="156">
        <v>2.9339141277756893E-2</v>
      </c>
      <c r="CI41" s="157">
        <f t="shared" si="113"/>
        <v>2.6273684442645995E-2</v>
      </c>
      <c r="CJ41" s="156">
        <v>3.7999990786842339E-2</v>
      </c>
      <c r="CK41" s="81">
        <f t="shared" ref="CK41" si="639">AVERAGE(CJ38:CJ41)</f>
        <v>3.3737280140049411E-2</v>
      </c>
      <c r="CL41" s="491">
        <v>3.5807291666666657E-2</v>
      </c>
      <c r="CM41" s="483">
        <f t="shared" si="47"/>
        <v>3.1827805471736303E-2</v>
      </c>
      <c r="CN41" s="156">
        <v>5.1612903225806521E-2</v>
      </c>
      <c r="CO41" s="483">
        <f t="shared" ref="CO41" si="640">AVERAGE(CN38:CN41)</f>
        <v>4.24010335956354E-2</v>
      </c>
      <c r="CP41" s="156">
        <v>2.8944911297852448E-2</v>
      </c>
      <c r="CQ41" s="483">
        <f t="shared" si="49"/>
        <v>2.6582140837956264E-2</v>
      </c>
      <c r="CR41" s="156">
        <v>5.1306263770852685E-2</v>
      </c>
      <c r="CS41" s="158">
        <f t="shared" si="92"/>
        <v>4.4668489581328422E-2</v>
      </c>
      <c r="CT41" s="105">
        <v>44.653779410701333</v>
      </c>
      <c r="CU41" s="106">
        <f t="shared" si="118"/>
        <v>44.313001113505997</v>
      </c>
      <c r="CV41" s="105">
        <v>46.51363482112265</v>
      </c>
      <c r="CW41" s="81">
        <f t="shared" ref="CW41" si="641">AVERAGE(CV38:CV41)</f>
        <v>46.25389900137052</v>
      </c>
      <c r="CX41" s="492">
        <v>46.363932291666664</v>
      </c>
      <c r="CY41" s="493">
        <f t="shared" si="51"/>
        <v>46.071449639947012</v>
      </c>
      <c r="CZ41" s="105">
        <v>51.860215053763511</v>
      </c>
      <c r="DA41" s="106">
        <f t="shared" ref="DA41" si="642">AVERAGE(CZ38:CZ41)</f>
        <v>50.32691893041337</v>
      </c>
      <c r="DB41" s="105">
        <v>43.977591036414537</v>
      </c>
      <c r="DC41" s="106">
        <f t="shared" si="53"/>
        <v>44.024319509970653</v>
      </c>
      <c r="DD41" s="105">
        <v>47.422096317280158</v>
      </c>
      <c r="DE41" s="107">
        <f t="shared" si="95"/>
        <v>47.02840500087045</v>
      </c>
    </row>
    <row r="42" spans="1:109" x14ac:dyDescent="0.25">
      <c r="A42" s="155">
        <f t="shared" si="15"/>
        <v>45415</v>
      </c>
      <c r="B42" s="74">
        <v>40.00725821108891</v>
      </c>
      <c r="C42" s="81">
        <f t="shared" si="96"/>
        <v>39.953421069918207</v>
      </c>
      <c r="D42" s="74">
        <v>41.122361108095028</v>
      </c>
      <c r="E42" s="81">
        <f t="shared" si="16"/>
        <v>40.940155383941246</v>
      </c>
      <c r="F42" s="74">
        <v>41.314033983637501</v>
      </c>
      <c r="G42" s="81">
        <f t="shared" si="16"/>
        <v>41.074875889210439</v>
      </c>
      <c r="H42" s="74">
        <v>43.175182481751875</v>
      </c>
      <c r="I42" s="81">
        <f t="shared" ref="I42" si="643">AVERAGE(H39:H42)</f>
        <v>43.254292264755442</v>
      </c>
      <c r="J42" s="74">
        <v>40.334293948126771</v>
      </c>
      <c r="K42" s="81">
        <f t="shared" si="18"/>
        <v>40.001905825211935</v>
      </c>
      <c r="L42" s="74">
        <v>40.129135720544447</v>
      </c>
      <c r="M42" s="99">
        <f t="shared" ref="M42" si="644">AVERAGE(L39:L42)</f>
        <v>40.228531299812133</v>
      </c>
      <c r="N42" s="156">
        <v>5.4454583962766756E-2</v>
      </c>
      <c r="O42" s="157">
        <f t="shared" si="96"/>
        <v>6.0991838227995379E-2</v>
      </c>
      <c r="P42" s="156">
        <v>5.3494489250191582E-2</v>
      </c>
      <c r="Q42" s="157">
        <f t="shared" si="20"/>
        <v>5.9890306166743137E-2</v>
      </c>
      <c r="R42" s="491">
        <v>5.0975456261799862E-2</v>
      </c>
      <c r="S42" s="483">
        <f t="shared" si="21"/>
        <v>5.7646169272259386E-2</v>
      </c>
      <c r="T42" s="156">
        <v>6.2043795620438026E-2</v>
      </c>
      <c r="U42" s="157">
        <f t="shared" si="22"/>
        <v>7.739873461609896E-2</v>
      </c>
      <c r="V42" s="156">
        <v>4.5148895292987469E-2</v>
      </c>
      <c r="W42" s="157">
        <f t="shared" si="23"/>
        <v>4.7802957785596456E-2</v>
      </c>
      <c r="X42" s="156">
        <v>6.654780996167535E-2</v>
      </c>
      <c r="Y42" s="158">
        <f t="shared" si="24"/>
        <v>7.1869698817605437E-2</v>
      </c>
      <c r="Z42" s="156">
        <v>0.1241259789171949</v>
      </c>
      <c r="AA42" s="157">
        <f t="shared" si="99"/>
        <v>0.13798761561896419</v>
      </c>
      <c r="AB42" s="156">
        <v>0.10088878241551259</v>
      </c>
      <c r="AC42" s="81">
        <f t="shared" ref="AC42" si="645">AVERAGE(AB39:AB42)</f>
        <v>0.11346971284185373</v>
      </c>
      <c r="AD42" s="491">
        <v>9.6945243841633499E-2</v>
      </c>
      <c r="AE42" s="483">
        <f t="shared" si="26"/>
        <v>0.11057955289340143</v>
      </c>
      <c r="AF42" s="156">
        <v>0.11901821214219813</v>
      </c>
      <c r="AG42" s="483">
        <f t="shared" ref="AG42" si="646">AVERAGE(AF39:AF42)</f>
        <v>0.15662598980524406</v>
      </c>
      <c r="AH42" s="156">
        <v>8.8021370329208259E-2</v>
      </c>
      <c r="AI42" s="483">
        <f t="shared" si="28"/>
        <v>9.3419939884175018E-2</v>
      </c>
      <c r="AJ42" s="156">
        <v>0.1167188010710143</v>
      </c>
      <c r="AK42" s="158">
        <f t="shared" si="29"/>
        <v>0.12624352395293109</v>
      </c>
      <c r="AL42" s="74">
        <v>7524.6547744937789</v>
      </c>
      <c r="AM42" s="81">
        <f t="shared" si="102"/>
        <v>7453.3570137752376</v>
      </c>
      <c r="AN42" s="74">
        <v>7213.3175104964575</v>
      </c>
      <c r="AO42" s="81">
        <f t="shared" ref="AO42" si="647">AVERAGE(AN39:AN42)</f>
        <v>7106.2988592591282</v>
      </c>
      <c r="AP42" s="494">
        <v>7278.1755821271181</v>
      </c>
      <c r="AQ42" s="495">
        <f t="shared" si="31"/>
        <v>7156.1406110542121</v>
      </c>
      <c r="AR42" s="74">
        <v>7283.0985401459939</v>
      </c>
      <c r="AS42" s="81">
        <f t="shared" ref="AS42" si="648">AVERAGE(AR39:AR42)</f>
        <v>7171.8515094225613</v>
      </c>
      <c r="AT42" s="74">
        <v>7275.584053794415</v>
      </c>
      <c r="AU42" s="81">
        <f t="shared" si="33"/>
        <v>7147.9311071788015</v>
      </c>
      <c r="AV42" s="74">
        <v>6877.2309194812733</v>
      </c>
      <c r="AW42" s="99">
        <f t="shared" si="78"/>
        <v>6818.911062522101</v>
      </c>
      <c r="AX42" s="105">
        <v>4.7372857213908572</v>
      </c>
      <c r="AY42" s="106">
        <f t="shared" si="105"/>
        <v>4.6840047538143645</v>
      </c>
      <c r="AZ42" s="105">
        <v>5.1996637754356403</v>
      </c>
      <c r="BA42" s="81">
        <f t="shared" ref="BA42" si="649">AVERAGE(AZ39:AZ42)</f>
        <v>5.0752142477752162</v>
      </c>
      <c r="BB42" s="492">
        <v>5.3152926368785378</v>
      </c>
      <c r="BC42" s="493">
        <f t="shared" si="35"/>
        <v>5.1508817747959412</v>
      </c>
      <c r="BD42" s="105">
        <v>6.6970802919708108</v>
      </c>
      <c r="BE42" s="106">
        <f t="shared" ref="BE42" si="650">AVERAGE(BD39:BD42)</f>
        <v>6.6316608979368361</v>
      </c>
      <c r="BF42" s="105">
        <v>4.5878962536023007</v>
      </c>
      <c r="BG42" s="106">
        <f t="shared" si="37"/>
        <v>4.4275957730865478</v>
      </c>
      <c r="BH42" s="105">
        <v>4.6004891640378425</v>
      </c>
      <c r="BI42" s="107">
        <f t="shared" si="81"/>
        <v>4.6804360597104511</v>
      </c>
      <c r="BJ42" s="487">
        <v>0.39382749915251453</v>
      </c>
      <c r="BK42" s="488">
        <f t="shared" si="108"/>
        <v>0.41385595948752707</v>
      </c>
      <c r="BL42" s="487">
        <v>0.54915327928515201</v>
      </c>
      <c r="BM42" s="489">
        <f t="shared" ref="BM42" si="651">AVERAGE(BL39:BL42)</f>
        <v>0.56493391262601089</v>
      </c>
      <c r="BN42" s="487"/>
      <c r="BO42" s="489" t="e">
        <f t="shared" ref="BO42" si="652">AVERAGE(BN39:BN42)</f>
        <v>#DIV/0!</v>
      </c>
      <c r="BP42" s="487">
        <v>0</v>
      </c>
      <c r="BQ42" s="489">
        <f t="shared" ref="BQ42" si="653">AVERAGE(BP39:BP42)</f>
        <v>0</v>
      </c>
      <c r="BR42" s="487"/>
      <c r="BS42" s="489" t="e">
        <f t="shared" ref="BS42" si="654">AVERAGE(BR39:BR42)</f>
        <v>#DIV/0!</v>
      </c>
      <c r="BT42" s="487">
        <v>0</v>
      </c>
      <c r="BU42" s="490">
        <f t="shared" si="86"/>
        <v>0</v>
      </c>
      <c r="BV42" s="74">
        <v>6117.2668015842619</v>
      </c>
      <c r="BW42" s="81">
        <f t="shared" si="113"/>
        <v>6592.1663573670066</v>
      </c>
      <c r="BX42" s="74">
        <v>6673.5889857299226</v>
      </c>
      <c r="BY42" s="81">
        <f t="shared" ref="BY42" si="655">AVERAGE(BX39:BX42)</f>
        <v>6915.1931071976842</v>
      </c>
      <c r="BZ42" s="494">
        <v>6422.1516677155432</v>
      </c>
      <c r="CA42" s="495">
        <f t="shared" si="43"/>
        <v>6727.9758139615824</v>
      </c>
      <c r="CB42" s="74">
        <v>7888.7481751824853</v>
      </c>
      <c r="CC42" s="81">
        <f t="shared" ref="CC42" si="656">AVERAGE(CB39:CB42)</f>
        <v>7986.6197677989794</v>
      </c>
      <c r="CD42" s="74">
        <v>5650.1104707012455</v>
      </c>
      <c r="CE42" s="81">
        <f t="shared" si="45"/>
        <v>6105.6501692551801</v>
      </c>
      <c r="CF42" s="74">
        <v>7976.5064012626544</v>
      </c>
      <c r="CG42" s="99">
        <f t="shared" si="89"/>
        <v>7895.4936354347565</v>
      </c>
      <c r="CH42" s="156">
        <v>2.3694129185711611E-2</v>
      </c>
      <c r="CI42" s="157">
        <f t="shared" si="113"/>
        <v>2.5010817740685195E-2</v>
      </c>
      <c r="CJ42" s="156">
        <v>3.2293500865704899E-2</v>
      </c>
      <c r="CK42" s="81">
        <f t="shared" ref="CK42" si="657">AVERAGE(CJ39:CJ42)</f>
        <v>3.3890997626435437E-2</v>
      </c>
      <c r="CL42" s="491">
        <v>2.9578351164254245E-2</v>
      </c>
      <c r="CM42" s="483">
        <f t="shared" si="47"/>
        <v>3.1781917072323682E-2</v>
      </c>
      <c r="CN42" s="156">
        <v>5.8394160583941673E-2</v>
      </c>
      <c r="CO42" s="483">
        <f t="shared" ref="CO42" si="658">AVERAGE(CN39:CN42)</f>
        <v>4.7402644758895281E-2</v>
      </c>
      <c r="CP42" s="156">
        <v>1.440922190201728E-2</v>
      </c>
      <c r="CQ42" s="483">
        <f t="shared" si="49"/>
        <v>2.3877685465831928E-2</v>
      </c>
      <c r="CR42" s="156">
        <v>4.6363074386991977E-2</v>
      </c>
      <c r="CS42" s="158">
        <f t="shared" si="92"/>
        <v>4.5123647024977294E-2</v>
      </c>
      <c r="CT42" s="105">
        <v>44.274942658214918</v>
      </c>
      <c r="CU42" s="106">
        <f t="shared" si="118"/>
        <v>44.209845660350858</v>
      </c>
      <c r="CV42" s="105">
        <v>46.205870886832955</v>
      </c>
      <c r="CW42" s="81">
        <f t="shared" ref="CW42" si="659">AVERAGE(CV39:CV42)</f>
        <v>46.346415483083504</v>
      </c>
      <c r="CX42" s="492">
        <v>46.005663939584643</v>
      </c>
      <c r="CY42" s="493">
        <f t="shared" si="51"/>
        <v>46.184968799446352</v>
      </c>
      <c r="CZ42" s="105">
        <v>50.863138686131443</v>
      </c>
      <c r="DA42" s="106">
        <f t="shared" ref="DA42" si="660">AVERAGE(CZ39:CZ42)</f>
        <v>51.007194964710131</v>
      </c>
      <c r="DB42" s="105">
        <v>43.448607108549439</v>
      </c>
      <c r="DC42" s="106">
        <f t="shared" si="53"/>
        <v>43.839044445533844</v>
      </c>
      <c r="DD42" s="105">
        <v>47.24331878971568</v>
      </c>
      <c r="DE42" s="107">
        <f t="shared" si="95"/>
        <v>47.097851090537404</v>
      </c>
    </row>
    <row r="43" spans="1:109" x14ac:dyDescent="0.25">
      <c r="A43" s="155">
        <f t="shared" si="15"/>
        <v>45422</v>
      </c>
      <c r="B43" s="74">
        <v>39.939280031079818</v>
      </c>
      <c r="C43" s="81">
        <f t="shared" si="96"/>
        <v>39.977474058894991</v>
      </c>
      <c r="D43" s="74">
        <v>40.961934591450223</v>
      </c>
      <c r="E43" s="81">
        <f t="shared" si="16"/>
        <v>40.92295730674013</v>
      </c>
      <c r="F43" s="74">
        <v>41.045454545454561</v>
      </c>
      <c r="G43" s="81">
        <f t="shared" si="16"/>
        <v>41.046559942861705</v>
      </c>
      <c r="H43" s="74">
        <v>43.14062500000005</v>
      </c>
      <c r="I43" s="81">
        <f t="shared" ref="I43" si="661">AVERAGE(H40:H43)</f>
        <v>43.072173836643856</v>
      </c>
      <c r="J43" s="74">
        <v>39.941176470588239</v>
      </c>
      <c r="K43" s="81">
        <f t="shared" si="18"/>
        <v>40.057976198566749</v>
      </c>
      <c r="L43" s="74">
        <v>40.501051156272069</v>
      </c>
      <c r="M43" s="99">
        <f t="shared" ref="M43" si="662">AVERAGE(L40:L43)</f>
        <v>40.263499057824319</v>
      </c>
      <c r="N43" s="156">
        <v>6.9753539473927886E-2</v>
      </c>
      <c r="O43" s="157">
        <f t="shared" si="96"/>
        <v>6.1705836537071665E-2</v>
      </c>
      <c r="P43" s="156">
        <v>7.1063552245436534E-2</v>
      </c>
      <c r="Q43" s="157">
        <f t="shared" si="20"/>
        <v>6.0172417838937092E-2</v>
      </c>
      <c r="R43" s="491">
        <v>6.9337442218798173E-2</v>
      </c>
      <c r="S43" s="483">
        <f t="shared" si="21"/>
        <v>5.8028219841862051E-2</v>
      </c>
      <c r="T43" s="156">
        <v>9.3750000000000097E-2</v>
      </c>
      <c r="U43" s="157">
        <f t="shared" si="22"/>
        <v>7.5085161654725549E-2</v>
      </c>
      <c r="V43" s="156">
        <v>5.647058823529412E-2</v>
      </c>
      <c r="W43" s="157">
        <f t="shared" si="23"/>
        <v>4.9648915346703085E-2</v>
      </c>
      <c r="X43" s="156">
        <v>8.0588647512263842E-2</v>
      </c>
      <c r="Y43" s="158">
        <f t="shared" si="24"/>
        <v>7.1752885540392039E-2</v>
      </c>
      <c r="Z43" s="156">
        <v>0.14607259670743392</v>
      </c>
      <c r="AA43" s="157">
        <f t="shared" si="99"/>
        <v>0.13884233339850729</v>
      </c>
      <c r="AB43" s="156">
        <v>0.11686573368978806</v>
      </c>
      <c r="AC43" s="81">
        <f t="shared" ref="AC43" si="663">AVERAGE(AB40:AB43)</f>
        <v>0.10970194608958428</v>
      </c>
      <c r="AD43" s="491">
        <v>0.11178696368984574</v>
      </c>
      <c r="AE43" s="483">
        <f t="shared" si="26"/>
        <v>0.10598544872616963</v>
      </c>
      <c r="AF43" s="156">
        <v>0.16164495541838578</v>
      </c>
      <c r="AG43" s="483">
        <f t="shared" ref="AG43" si="664">AVERAGE(AF40:AF43)</f>
        <v>0.14625692797451145</v>
      </c>
      <c r="AH43" s="156">
        <v>9.2329566383769615E-2</v>
      </c>
      <c r="AI43" s="483">
        <f t="shared" si="28"/>
        <v>9.1478644383336485E-2</v>
      </c>
      <c r="AJ43" s="156">
        <v>0.1381966718378364</v>
      </c>
      <c r="AK43" s="158">
        <f t="shared" si="29"/>
        <v>0.12588124467814943</v>
      </c>
      <c r="AL43" s="74">
        <v>7564.7771310403623</v>
      </c>
      <c r="AM43" s="81">
        <f t="shared" si="102"/>
        <v>7477.1150160648758</v>
      </c>
      <c r="AN43" s="74">
        <v>7130.7056005177683</v>
      </c>
      <c r="AO43" s="81">
        <f t="shared" ref="AO43" si="665">AVERAGE(AN40:AN43)</f>
        <v>7145.9365998473895</v>
      </c>
      <c r="AP43" s="494">
        <v>7160.6201848998498</v>
      </c>
      <c r="AQ43" s="495">
        <f t="shared" si="31"/>
        <v>7198.7496438663575</v>
      </c>
      <c r="AR43" s="74">
        <v>7169.0290178571504</v>
      </c>
      <c r="AS43" s="81">
        <f t="shared" ref="AS43" si="666">AVERAGE(AR40:AR43)</f>
        <v>7192.346424831052</v>
      </c>
      <c r="AT43" s="74">
        <v>7156.1882352941202</v>
      </c>
      <c r="AU43" s="81">
        <f t="shared" si="33"/>
        <v>7202.3143532169443</v>
      </c>
      <c r="AV43" s="74">
        <v>6965.6296426068875</v>
      </c>
      <c r="AW43" s="99">
        <f t="shared" si="78"/>
        <v>6851.4472800102621</v>
      </c>
      <c r="AX43" s="105">
        <v>4.5012430489073294</v>
      </c>
      <c r="AY43" s="106">
        <f t="shared" si="105"/>
        <v>4.673960297029458</v>
      </c>
      <c r="AZ43" s="105">
        <v>4.8990704041712041</v>
      </c>
      <c r="BA43" s="81">
        <f t="shared" ref="BA43" si="667">AVERAGE(AZ40:AZ43)</f>
        <v>5.0147208446047165</v>
      </c>
      <c r="BB43" s="492">
        <v>4.9329738058551635</v>
      </c>
      <c r="BC43" s="493">
        <f t="shared" si="35"/>
        <v>5.0784247791658421</v>
      </c>
      <c r="BD43" s="105">
        <v>5.9620535714285783</v>
      </c>
      <c r="BE43" s="106">
        <f t="shared" ref="BE43" si="668">AVERAGE(BD40:BD43)</f>
        <v>6.4606936040986991</v>
      </c>
      <c r="BF43" s="105">
        <v>4.3905882352941177</v>
      </c>
      <c r="BG43" s="106">
        <f t="shared" si="37"/>
        <v>4.4088044757456935</v>
      </c>
      <c r="BH43" s="105">
        <v>4.7119831814996749</v>
      </c>
      <c r="BI43" s="107">
        <f t="shared" si="81"/>
        <v>4.6863575971232736</v>
      </c>
      <c r="BJ43" s="487">
        <v>0.39975263095302299</v>
      </c>
      <c r="BK43" s="488">
        <f t="shared" si="108"/>
        <v>0.41542563080989164</v>
      </c>
      <c r="BL43" s="487">
        <v>0.55438888214481163</v>
      </c>
      <c r="BM43" s="489">
        <f t="shared" ref="BM43" si="669">AVERAGE(BL40:BL43)</f>
        <v>0.56653098880048736</v>
      </c>
      <c r="BN43" s="487"/>
      <c r="BO43" s="489" t="e">
        <f t="shared" ref="BO43" si="670">AVERAGE(BN40:BN43)</f>
        <v>#DIV/0!</v>
      </c>
      <c r="BP43" s="487">
        <v>0</v>
      </c>
      <c r="BQ43" s="489">
        <f t="shared" ref="BQ43" si="671">AVERAGE(BP40:BP43)</f>
        <v>0</v>
      </c>
      <c r="BR43" s="487"/>
      <c r="BS43" s="489" t="e">
        <f t="shared" ref="BS43" si="672">AVERAGE(BR40:BR43)</f>
        <v>#DIV/0!</v>
      </c>
      <c r="BT43" s="487">
        <v>0</v>
      </c>
      <c r="BU43" s="490">
        <f t="shared" si="86"/>
        <v>0</v>
      </c>
      <c r="BV43" s="74">
        <v>6162.1386297591062</v>
      </c>
      <c r="BW43" s="81">
        <f t="shared" si="113"/>
        <v>6501.2725506565166</v>
      </c>
      <c r="BX43" s="74">
        <v>6643.8556008151891</v>
      </c>
      <c r="BY43" s="81">
        <f t="shared" ref="BY43" si="673">AVERAGE(BX40:BX43)</f>
        <v>6779.9979163352173</v>
      </c>
      <c r="BZ43" s="494">
        <v>6429.0408320493088</v>
      </c>
      <c r="CA43" s="495">
        <f t="shared" si="43"/>
        <v>6566.0020428382904</v>
      </c>
      <c r="CB43" s="74">
        <v>7363.5558035714366</v>
      </c>
      <c r="CC43" s="81">
        <f t="shared" ref="CC43" si="674">AVERAGE(CB40:CB43)</f>
        <v>7702.0468088205907</v>
      </c>
      <c r="CD43" s="74">
        <v>5936.4964705882358</v>
      </c>
      <c r="CE43" s="81">
        <f t="shared" si="45"/>
        <v>6010.0405540255269</v>
      </c>
      <c r="CF43" s="74">
        <v>7829.2557813595258</v>
      </c>
      <c r="CG43" s="99">
        <f t="shared" si="89"/>
        <v>7890.6641465605198</v>
      </c>
      <c r="CH43" s="156">
        <v>2.00298915432316E-2</v>
      </c>
      <c r="CI43" s="157">
        <f t="shared" si="113"/>
        <v>2.458875296389745E-2</v>
      </c>
      <c r="CJ43" s="156">
        <v>2.6723192591195162E-2</v>
      </c>
      <c r="CK43" s="81">
        <f t="shared" ref="CK43" si="675">AVERAGE(CJ40:CJ43)</f>
        <v>3.1214003285208097E-2</v>
      </c>
      <c r="CL43" s="491">
        <v>2.3882896764252707E-2</v>
      </c>
      <c r="CM43" s="483">
        <f t="shared" si="47"/>
        <v>2.8624474348334691E-2</v>
      </c>
      <c r="CN43" s="156">
        <v>3.5714285714285754E-2</v>
      </c>
      <c r="CO43" s="483">
        <f t="shared" ref="CO43" si="676">AVERAGE(CN40:CN43)</f>
        <v>4.2382718333389448E-2</v>
      </c>
      <c r="CP43" s="156">
        <v>1.7647058823529412E-2</v>
      </c>
      <c r="CQ43" s="483">
        <f t="shared" si="49"/>
        <v>2.172552323107501E-2</v>
      </c>
      <c r="CR43" s="156">
        <v>4.2396636299930103E-2</v>
      </c>
      <c r="CS43" s="158">
        <f t="shared" si="92"/>
        <v>4.4929838685566756E-2</v>
      </c>
      <c r="CT43" s="105">
        <v>43.818189159264122</v>
      </c>
      <c r="CU43" s="106">
        <f t="shared" si="118"/>
        <v>44.16046967249661</v>
      </c>
      <c r="CV43" s="105">
        <v>46.866624140764998</v>
      </c>
      <c r="CW43" s="81">
        <f t="shared" ref="CW43" si="677">AVERAGE(CV40:CV43)</f>
        <v>46.578629170523428</v>
      </c>
      <c r="CX43" s="492">
        <v>46.634822804314346</v>
      </c>
      <c r="CY43" s="493">
        <f t="shared" si="51"/>
        <v>46.426945737484694</v>
      </c>
      <c r="CZ43" s="105">
        <v>51.752232142857203</v>
      </c>
      <c r="DA43" s="106">
        <f t="shared" ref="DA43" si="678">AVERAGE(CZ40:CZ43)</f>
        <v>51.620682184973766</v>
      </c>
      <c r="DB43" s="105">
        <v>43.937647058823536</v>
      </c>
      <c r="DC43" s="106">
        <f t="shared" si="53"/>
        <v>43.88966625590183</v>
      </c>
      <c r="DD43" s="105">
        <v>48.145760336370216</v>
      </c>
      <c r="DE43" s="107">
        <f t="shared" si="95"/>
        <v>47.275538217436598</v>
      </c>
    </row>
    <row r="44" spans="1:109" x14ac:dyDescent="0.25">
      <c r="A44" s="155">
        <f t="shared" si="15"/>
        <v>45429</v>
      </c>
      <c r="B44" s="74">
        <v>39.738977383871919</v>
      </c>
      <c r="C44" s="81">
        <f t="shared" si="96"/>
        <v>39.944207545592796</v>
      </c>
      <c r="D44" s="74">
        <v>41.341565103498283</v>
      </c>
      <c r="E44" s="81">
        <f t="shared" si="16"/>
        <v>41.050977336894817</v>
      </c>
      <c r="F44" s="74">
        <v>41.540016168148775</v>
      </c>
      <c r="G44" s="81">
        <f t="shared" si="16"/>
        <v>41.192649611810204</v>
      </c>
      <c r="H44" s="74">
        <v>44.109865470852078</v>
      </c>
      <c r="I44" s="81">
        <f t="shared" ref="I44" si="679">AVERAGE(H41:H44)</f>
        <v>43.408568775785426</v>
      </c>
      <c r="J44" s="74">
        <v>40.091024020227579</v>
      </c>
      <c r="K44" s="81">
        <f t="shared" si="18"/>
        <v>40.055675897317343</v>
      </c>
      <c r="L44" s="74">
        <v>40.314482758620862</v>
      </c>
      <c r="M44" s="99">
        <f t="shared" ref="M44" si="680">AVERAGE(L41:L44)</f>
        <v>40.289519627933878</v>
      </c>
      <c r="N44" s="156">
        <v>6.0646230008552425E-2</v>
      </c>
      <c r="O44" s="157">
        <f t="shared" si="96"/>
        <v>6.1337060952356873E-2</v>
      </c>
      <c r="P44" s="156">
        <v>5.7405242820487597E-2</v>
      </c>
      <c r="Q44" s="157">
        <f t="shared" si="20"/>
        <v>6.0023932680507985E-2</v>
      </c>
      <c r="R44" s="491">
        <v>5.4971705739692837E-2</v>
      </c>
      <c r="S44" s="483">
        <f t="shared" si="21"/>
        <v>5.7818546888406049E-2</v>
      </c>
      <c r="T44" s="156">
        <v>7.3991031390134632E-2</v>
      </c>
      <c r="U44" s="157">
        <f t="shared" si="22"/>
        <v>7.572577664511633E-2</v>
      </c>
      <c r="V44" s="156">
        <v>4.4247787610619482E-2</v>
      </c>
      <c r="W44" s="157">
        <f t="shared" si="23"/>
        <v>4.8605006393502098E-2</v>
      </c>
      <c r="X44" s="156">
        <v>7.0000000000000284E-2</v>
      </c>
      <c r="Y44" s="158">
        <f t="shared" si="24"/>
        <v>7.2068187393350983E-2</v>
      </c>
      <c r="Z44" s="156">
        <v>0.14617214100182596</v>
      </c>
      <c r="AA44" s="157">
        <f t="shared" si="99"/>
        <v>0.1390331685247426</v>
      </c>
      <c r="AB44" s="156">
        <v>0.11726829441210128</v>
      </c>
      <c r="AC44" s="81">
        <f t="shared" ref="AC44" si="681">AVERAGE(AB41:AB44)</f>
        <v>0.10942474140257789</v>
      </c>
      <c r="AD44" s="491">
        <v>0.11541280778718316</v>
      </c>
      <c r="AE44" s="483">
        <f t="shared" si="26"/>
        <v>0.10559656456211962</v>
      </c>
      <c r="AF44" s="156">
        <v>0.15999157213715587</v>
      </c>
      <c r="AG44" s="483">
        <f t="shared" ref="AG44" si="682">AVERAGE(AF41:AF44)</f>
        <v>0.14430420005208974</v>
      </c>
      <c r="AH44" s="156">
        <v>9.7235090396181417E-2</v>
      </c>
      <c r="AI44" s="483">
        <f t="shared" si="28"/>
        <v>9.0892657100179963E-2</v>
      </c>
      <c r="AJ44" s="156">
        <v>0.12498701779134616</v>
      </c>
      <c r="AK44" s="158">
        <f t="shared" si="29"/>
        <v>0.12611807275131126</v>
      </c>
      <c r="AL44" s="74">
        <v>7541.1169226606398</v>
      </c>
      <c r="AM44" s="81">
        <f t="shared" si="102"/>
        <v>7487.9926460396655</v>
      </c>
      <c r="AN44" s="74">
        <v>7123.1948897080738</v>
      </c>
      <c r="AO44" s="81">
        <f t="shared" ref="AO44" si="683">AVERAGE(AN41:AN44)</f>
        <v>7156.0499803200792</v>
      </c>
      <c r="AP44" s="494">
        <v>7150.9280517380812</v>
      </c>
      <c r="AQ44" s="495">
        <f t="shared" si="31"/>
        <v>7203.4229794308449</v>
      </c>
      <c r="AR44" s="74">
        <v>7160.0269058296062</v>
      </c>
      <c r="AS44" s="81">
        <f t="shared" ref="AS44" si="684">AVERAGE(AR41:AR44)</f>
        <v>7227.4751750979749</v>
      </c>
      <c r="AT44" s="74">
        <v>7145.7977243994974</v>
      </c>
      <c r="AU44" s="81">
        <f t="shared" si="33"/>
        <v>7192.3763969294287</v>
      </c>
      <c r="AV44" s="74">
        <v>6979.6620689655392</v>
      </c>
      <c r="AW44" s="99">
        <f t="shared" si="78"/>
        <v>6881.0923576827436</v>
      </c>
      <c r="AX44" s="105">
        <v>4.5283339368997844</v>
      </c>
      <c r="AY44" s="106">
        <f t="shared" si="105"/>
        <v>4.632393580903396</v>
      </c>
      <c r="AZ44" s="105">
        <v>5.147922452130099</v>
      </c>
      <c r="BA44" s="81">
        <f t="shared" ref="BA44" si="685">AVERAGE(AZ41:AZ44)</f>
        <v>5.0210683379791927</v>
      </c>
      <c r="BB44" s="492">
        <v>5.231204527081653</v>
      </c>
      <c r="BC44" s="493">
        <f t="shared" si="35"/>
        <v>5.0819445653705042</v>
      </c>
      <c r="BD44" s="105">
        <v>6.6076233183856585</v>
      </c>
      <c r="BE44" s="106">
        <f t="shared" ref="BE44" si="686">AVERAGE(BD41:BD44)</f>
        <v>6.4548613384570173</v>
      </c>
      <c r="BF44" s="105">
        <v>4.4551201011378021</v>
      </c>
      <c r="BG44" s="106">
        <f t="shared" si="37"/>
        <v>4.3854786451742873</v>
      </c>
      <c r="BH44" s="105">
        <v>4.7168965517241617</v>
      </c>
      <c r="BI44" s="107">
        <f t="shared" si="81"/>
        <v>4.6798841847723951</v>
      </c>
      <c r="BJ44" s="487">
        <v>0.36553956388685999</v>
      </c>
      <c r="BK44" s="488">
        <f t="shared" si="108"/>
        <v>0.40609332537546916</v>
      </c>
      <c r="BL44" s="487">
        <v>0.53590386923046618</v>
      </c>
      <c r="BM44" s="489">
        <f t="shared" ref="BM44" si="687">AVERAGE(BL41:BL44)</f>
        <v>0.5595167023168669</v>
      </c>
      <c r="BN44" s="487"/>
      <c r="BO44" s="489" t="e">
        <f t="shared" ref="BO44" si="688">AVERAGE(BN41:BN44)</f>
        <v>#DIV/0!</v>
      </c>
      <c r="BP44" s="487">
        <v>0</v>
      </c>
      <c r="BQ44" s="489">
        <f t="shared" ref="BQ44" si="689">AVERAGE(BP41:BP44)</f>
        <v>0</v>
      </c>
      <c r="BR44" s="487"/>
      <c r="BS44" s="489" t="e">
        <f t="shared" ref="BS44" si="690">AVERAGE(BR41:BR44)</f>
        <v>#DIV/0!</v>
      </c>
      <c r="BT44" s="487">
        <v>0</v>
      </c>
      <c r="BU44" s="490">
        <f t="shared" si="86"/>
        <v>0</v>
      </c>
      <c r="BV44" s="74">
        <v>6192.1589282880777</v>
      </c>
      <c r="BW44" s="81">
        <f t="shared" si="113"/>
        <v>6398.2616962560051</v>
      </c>
      <c r="BX44" s="74">
        <v>7056.8381626716236</v>
      </c>
      <c r="BY44" s="81">
        <f t="shared" ref="BY44" si="691">AVERAGE(BX41:BX44)</f>
        <v>6839.6391746614463</v>
      </c>
      <c r="BZ44" s="494">
        <v>6922.8286176232878</v>
      </c>
      <c r="CA44" s="495">
        <f t="shared" si="43"/>
        <v>6642.916574919951</v>
      </c>
      <c r="CB44" s="74">
        <v>8073.1704035874545</v>
      </c>
      <c r="CC44" s="81">
        <f t="shared" ref="CC44" si="692">AVERAGE(CB41:CB44)</f>
        <v>7880.9965525745938</v>
      </c>
      <c r="CD44" s="74">
        <v>6274.2161820480442</v>
      </c>
      <c r="CE44" s="81">
        <f t="shared" si="45"/>
        <v>6012.5622234114117</v>
      </c>
      <c r="CF44" s="74">
        <v>7750.4037931034827</v>
      </c>
      <c r="CG44" s="99">
        <f t="shared" si="89"/>
        <v>7846.5572844214394</v>
      </c>
      <c r="CH44" s="156">
        <v>2.4897847253674683E-2</v>
      </c>
      <c r="CI44" s="157">
        <f t="shared" si="113"/>
        <v>2.4662320057718786E-2</v>
      </c>
      <c r="CJ44" s="156">
        <v>3.6175614404579844E-2</v>
      </c>
      <c r="CK44" s="81">
        <f t="shared" ref="CK44" si="693">AVERAGE(CJ41:CJ44)</f>
        <v>3.3298074662080561E-2</v>
      </c>
      <c r="CL44" s="491">
        <v>3.5569927243330662E-2</v>
      </c>
      <c r="CM44" s="483">
        <f t="shared" si="47"/>
        <v>3.1209616709626069E-2</v>
      </c>
      <c r="CN44" s="156">
        <v>5.6053811659192904E-2</v>
      </c>
      <c r="CO44" s="483">
        <f t="shared" ref="CO44" si="694">AVERAGE(CN41:CN44)</f>
        <v>5.0443790295806715E-2</v>
      </c>
      <c r="CP44" s="156">
        <v>2.4020227560050574E-2</v>
      </c>
      <c r="CQ44" s="483">
        <f t="shared" si="49"/>
        <v>2.125535489586243E-2</v>
      </c>
      <c r="CR44" s="156">
        <v>3.9310344827586371E-2</v>
      </c>
      <c r="CS44" s="158">
        <f t="shared" si="92"/>
        <v>4.3448596530837727E-2</v>
      </c>
      <c r="CT44" s="105">
        <v>43.645680442775308</v>
      </c>
      <c r="CU44" s="106">
        <f t="shared" si="118"/>
        <v>44.097113097316019</v>
      </c>
      <c r="CV44" s="105">
        <v>46.822144627947353</v>
      </c>
      <c r="CW44" s="81">
        <f t="shared" ref="CW44" si="695">AVERAGE(CV41:CV44)</f>
        <v>46.602068619166985</v>
      </c>
      <c r="CX44" s="492">
        <v>46.580436540016201</v>
      </c>
      <c r="CY44" s="493">
        <f t="shared" si="51"/>
        <v>46.396213893895464</v>
      </c>
      <c r="CZ44" s="105">
        <v>52.307174887892444</v>
      </c>
      <c r="DA44" s="106">
        <f t="shared" ref="DA44" si="696">AVERAGE(CZ41:CZ44)</f>
        <v>51.695690192661147</v>
      </c>
      <c r="DB44" s="105">
        <v>43.351453855878653</v>
      </c>
      <c r="DC44" s="106">
        <f t="shared" si="53"/>
        <v>43.678824764916541</v>
      </c>
      <c r="DD44" s="105">
        <v>48.073103448276072</v>
      </c>
      <c r="DE44" s="107">
        <f t="shared" si="95"/>
        <v>47.491276411893466</v>
      </c>
    </row>
    <row r="45" spans="1:109" x14ac:dyDescent="0.25">
      <c r="A45" s="155">
        <f t="shared" si="15"/>
        <v>45436</v>
      </c>
      <c r="B45" s="74">
        <v>39.452927093328114</v>
      </c>
      <c r="C45" s="81">
        <f t="shared" si="96"/>
        <v>39.869217995326395</v>
      </c>
      <c r="D45" s="74">
        <v>40.775303581084195</v>
      </c>
      <c r="E45" s="81">
        <f t="shared" si="16"/>
        <v>41.050291096031934</v>
      </c>
      <c r="F45" s="74">
        <v>40.831016825164582</v>
      </c>
      <c r="G45" s="81">
        <f t="shared" si="16"/>
        <v>41.182630380601353</v>
      </c>
      <c r="H45" s="74">
        <v>43.298319327731157</v>
      </c>
      <c r="I45" s="81">
        <f t="shared" ref="I45" si="697">AVERAGE(H42:H45)</f>
        <v>43.430998070083788</v>
      </c>
      <c r="J45" s="74">
        <v>39.512906846240135</v>
      </c>
      <c r="K45" s="81">
        <f t="shared" si="18"/>
        <v>39.969850321295681</v>
      </c>
      <c r="L45" s="74">
        <v>40.445158985352073</v>
      </c>
      <c r="M45" s="99">
        <f t="shared" ref="M45" si="698">AVERAGE(L42:L45)</f>
        <v>40.347457155197361</v>
      </c>
      <c r="N45" s="156">
        <v>6.3788236895483796E-2</v>
      </c>
      <c r="O45" s="157">
        <f t="shared" si="96"/>
        <v>6.1684054326318807E-2</v>
      </c>
      <c r="P45" s="156">
        <v>6.3274858225755473E-2</v>
      </c>
      <c r="Q45" s="157">
        <f t="shared" si="20"/>
        <v>6.1309535635467802E-2</v>
      </c>
      <c r="R45" s="491">
        <v>6.3643013899049E-2</v>
      </c>
      <c r="S45" s="483">
        <f t="shared" si="21"/>
        <v>5.973190452983497E-2</v>
      </c>
      <c r="T45" s="156">
        <v>8.6134453781512743E-2</v>
      </c>
      <c r="U45" s="157">
        <f t="shared" si="22"/>
        <v>7.8979820198021383E-2</v>
      </c>
      <c r="V45" s="156">
        <v>5.1627384960718239E-2</v>
      </c>
      <c r="W45" s="157">
        <f t="shared" si="23"/>
        <v>4.9373664024904826E-2</v>
      </c>
      <c r="X45" s="156">
        <v>6.1093247588424687E-2</v>
      </c>
      <c r="Y45" s="158">
        <f t="shared" si="24"/>
        <v>6.9557426265591041E-2</v>
      </c>
      <c r="Z45" s="156">
        <v>0.14363598840212313</v>
      </c>
      <c r="AA45" s="157">
        <f t="shared" si="99"/>
        <v>0.14007523334217006</v>
      </c>
      <c r="AB45" s="156">
        <v>0.11898970390223909</v>
      </c>
      <c r="AC45" s="81">
        <f t="shared" ref="AC45" si="699">AVERAGE(AB42:AB45)</f>
        <v>0.11350312860491027</v>
      </c>
      <c r="AD45" s="491">
        <v>0.12155438024735662</v>
      </c>
      <c r="AE45" s="483">
        <f t="shared" si="26"/>
        <v>0.11142484889150475</v>
      </c>
      <c r="AF45" s="156">
        <v>0.17272406143735444</v>
      </c>
      <c r="AG45" s="483">
        <f t="shared" ref="AG45" si="700">AVERAGE(AF42:AF45)</f>
        <v>0.15334470028377356</v>
      </c>
      <c r="AH45" s="156">
        <v>0.10173542341224336</v>
      </c>
      <c r="AI45" s="483">
        <f t="shared" si="28"/>
        <v>9.4830362630350648E-2</v>
      </c>
      <c r="AJ45" s="156">
        <v>0.10773529543817909</v>
      </c>
      <c r="AK45" s="158">
        <f t="shared" si="29"/>
        <v>0.12190944653459398</v>
      </c>
      <c r="AL45" s="74">
        <v>7630.0147070142712</v>
      </c>
      <c r="AM45" s="81">
        <f t="shared" si="102"/>
        <v>7513.6522365119408</v>
      </c>
      <c r="AN45" s="74">
        <v>7244.373850952371</v>
      </c>
      <c r="AO45" s="81">
        <f t="shared" ref="AO45" si="701">AVERAGE(AN42:AN45)</f>
        <v>7177.8979629186679</v>
      </c>
      <c r="AP45" s="494">
        <v>7327.4557425018256</v>
      </c>
      <c r="AQ45" s="495">
        <f t="shared" si="31"/>
        <v>7229.2948903167189</v>
      </c>
      <c r="AR45" s="74">
        <v>7403.8235294117758</v>
      </c>
      <c r="AS45" s="81">
        <f t="shared" ref="AS45" si="702">AVERAGE(AR42:AR45)</f>
        <v>7253.9944983111318</v>
      </c>
      <c r="AT45" s="74">
        <v>7286.6576879910108</v>
      </c>
      <c r="AU45" s="81">
        <f t="shared" si="33"/>
        <v>7216.0569253697604</v>
      </c>
      <c r="AV45" s="74">
        <v>6752.0485887817213</v>
      </c>
      <c r="AW45" s="99">
        <f t="shared" si="78"/>
        <v>6863.2550675972134</v>
      </c>
      <c r="AX45" s="105">
        <v>4.4827588049601763</v>
      </c>
      <c r="AY45" s="106">
        <f t="shared" si="105"/>
        <v>4.5811562757382189</v>
      </c>
      <c r="AZ45" s="105">
        <v>4.9476131357615927</v>
      </c>
      <c r="BA45" s="81">
        <f t="shared" ref="BA45" si="703">AVERAGE(AZ42:AZ45)</f>
        <v>5.048567441874634</v>
      </c>
      <c r="BB45" s="492">
        <v>4.9970738844184339</v>
      </c>
      <c r="BC45" s="493">
        <f t="shared" si="35"/>
        <v>5.1191362135584466</v>
      </c>
      <c r="BD45" s="105">
        <v>6.4831932773109342</v>
      </c>
      <c r="BE45" s="106">
        <f t="shared" ref="BE45" si="704">AVERAGE(BD42:BD45)</f>
        <v>6.4374876147739961</v>
      </c>
      <c r="BF45" s="105">
        <v>4.2031425364758661</v>
      </c>
      <c r="BG45" s="106">
        <f t="shared" si="37"/>
        <v>4.4091867816275219</v>
      </c>
      <c r="BH45" s="105">
        <v>4.6545194712397473</v>
      </c>
      <c r="BI45" s="107">
        <f t="shared" si="81"/>
        <v>4.6897688675919733</v>
      </c>
      <c r="BJ45" s="487">
        <v>0.39346364475954881</v>
      </c>
      <c r="BK45" s="488">
        <f t="shared" si="108"/>
        <v>0.40487804522726628</v>
      </c>
      <c r="BL45" s="487">
        <v>0.55768126311352362</v>
      </c>
      <c r="BM45" s="489">
        <f t="shared" ref="BM45" si="705">AVERAGE(BL42:BL45)</f>
        <v>0.5492818234434883</v>
      </c>
      <c r="BN45" s="487"/>
      <c r="BO45" s="489" t="e">
        <f t="shared" ref="BO45" si="706">AVERAGE(BN42:BN45)</f>
        <v>#DIV/0!</v>
      </c>
      <c r="BP45" s="487">
        <v>0</v>
      </c>
      <c r="BQ45" s="489">
        <f t="shared" ref="BQ45" si="707">AVERAGE(BP42:BP45)</f>
        <v>0</v>
      </c>
      <c r="BR45" s="487"/>
      <c r="BS45" s="489" t="e">
        <f t="shared" ref="BS45" si="708">AVERAGE(BR42:BR45)</f>
        <v>#DIV/0!</v>
      </c>
      <c r="BT45" s="487">
        <v>0</v>
      </c>
      <c r="BU45" s="490">
        <f t="shared" si="86"/>
        <v>0</v>
      </c>
      <c r="BV45" s="74">
        <v>6145.8024469514685</v>
      </c>
      <c r="BW45" s="81">
        <f t="shared" si="113"/>
        <v>6300.6000641256696</v>
      </c>
      <c r="BX45" s="74">
        <v>6876.8179407176376</v>
      </c>
      <c r="BY45" s="81">
        <f t="shared" ref="BY45" si="709">AVERAGE(BX42:BX45)</f>
        <v>6812.7751724835925</v>
      </c>
      <c r="BZ45" s="494">
        <v>6657.2655449890244</v>
      </c>
      <c r="CA45" s="495">
        <f t="shared" si="43"/>
        <v>6607.8216655942906</v>
      </c>
      <c r="CB45" s="74">
        <v>7512.6092436974905</v>
      </c>
      <c r="CC45" s="81">
        <f t="shared" ref="CC45" si="710">AVERAGE(CB42:CB45)</f>
        <v>7709.520906509717</v>
      </c>
      <c r="CD45" s="74">
        <v>6200.3142536475789</v>
      </c>
      <c r="CE45" s="81">
        <f t="shared" si="45"/>
        <v>6015.2843442462763</v>
      </c>
      <c r="CF45" s="74">
        <v>8177.8377992140304</v>
      </c>
      <c r="CG45" s="99">
        <f t="shared" si="89"/>
        <v>7916.2411814681691</v>
      </c>
      <c r="CH45" s="156">
        <v>2.5107003807814863E-2</v>
      </c>
      <c r="CI45" s="157">
        <f t="shared" si="113"/>
        <v>2.4870576196023168E-2</v>
      </c>
      <c r="CJ45" s="156">
        <v>3.465862390275485E-2</v>
      </c>
      <c r="CK45" s="81">
        <f t="shared" ref="CK45" si="711">AVERAGE(CJ42:CJ45)</f>
        <v>3.246273294105869E-2</v>
      </c>
      <c r="CL45" s="491">
        <v>3.2187271397220184E-2</v>
      </c>
      <c r="CM45" s="483">
        <f t="shared" si="47"/>
        <v>3.0304611642264452E-2</v>
      </c>
      <c r="CN45" s="156">
        <v>3.5714285714285768E-2</v>
      </c>
      <c r="CO45" s="483">
        <f t="shared" ref="CO45" si="712">AVERAGE(CN42:CN45)</f>
        <v>4.6469135917926521E-2</v>
      </c>
      <c r="CP45" s="156">
        <v>3.0303030303030273E-2</v>
      </c>
      <c r="CQ45" s="483">
        <f t="shared" si="49"/>
        <v>2.1594884647156885E-2</v>
      </c>
      <c r="CR45" s="156">
        <v>4.9303322615219913E-2</v>
      </c>
      <c r="CS45" s="158">
        <f t="shared" si="92"/>
        <v>4.4508744809571218E-2</v>
      </c>
      <c r="CT45" s="105">
        <v>42.604528010355587</v>
      </c>
      <c r="CU45" s="106">
        <f t="shared" si="118"/>
        <v>43.918371571312271</v>
      </c>
      <c r="CV45" s="105">
        <v>45.642212814391712</v>
      </c>
      <c r="CW45" s="81">
        <f t="shared" ref="CW45" si="713">AVERAGE(CV42:CV45)</f>
        <v>46.384213117484251</v>
      </c>
      <c r="CX45" s="492">
        <v>45.040965618141911</v>
      </c>
      <c r="CY45" s="493">
        <f t="shared" si="51"/>
        <v>46.065472225514277</v>
      </c>
      <c r="CZ45" s="105">
        <v>49.03991596638663</v>
      </c>
      <c r="DA45" s="106">
        <f t="shared" ref="DA45" si="714">AVERAGE(CZ42:CZ45)</f>
        <v>50.990615420816923</v>
      </c>
      <c r="DB45" s="105">
        <v>42.904601571268195</v>
      </c>
      <c r="DC45" s="106">
        <f t="shared" si="53"/>
        <v>43.410577398629954</v>
      </c>
      <c r="DD45" s="105">
        <v>49.205073240443213</v>
      </c>
      <c r="DE45" s="107">
        <f t="shared" si="95"/>
        <v>47.756453726858389</v>
      </c>
    </row>
    <row r="46" spans="1:109" x14ac:dyDescent="0.25">
      <c r="A46" s="155">
        <f t="shared" si="15"/>
        <v>45443</v>
      </c>
      <c r="B46" s="74">
        <v>39.706677965137395</v>
      </c>
      <c r="C46" s="81">
        <f t="shared" si="96"/>
        <v>39.802984812103865</v>
      </c>
      <c r="D46" s="74">
        <v>41.082814582731359</v>
      </c>
      <c r="E46" s="81">
        <f t="shared" si="16"/>
        <v>41.040404464691008</v>
      </c>
      <c r="F46" s="74">
        <v>41.272113943028494</v>
      </c>
      <c r="G46" s="81">
        <f t="shared" si="16"/>
        <v>41.172150370449103</v>
      </c>
      <c r="H46" s="74">
        <v>43.327058823529455</v>
      </c>
      <c r="I46" s="81">
        <f t="shared" ref="I46" si="715">AVERAGE(H43:H46)</f>
        <v>43.468967155528183</v>
      </c>
      <c r="J46" s="74">
        <v>40.311331133113306</v>
      </c>
      <c r="K46" s="81">
        <f t="shared" si="18"/>
        <v>39.964109617542313</v>
      </c>
      <c r="L46" s="74">
        <v>39.91335877862609</v>
      </c>
      <c r="M46" s="99">
        <f t="shared" ref="M46" si="716">AVERAGE(L43:L46)</f>
        <v>40.29351291971777</v>
      </c>
      <c r="N46" s="156">
        <v>5.7805803805884931E-2</v>
      </c>
      <c r="O46" s="157">
        <f t="shared" si="96"/>
        <v>6.0167087003324723E-2</v>
      </c>
      <c r="P46" s="156">
        <v>5.6875868522562836E-2</v>
      </c>
      <c r="Q46" s="157">
        <f t="shared" si="20"/>
        <v>6.2154880453560601E-2</v>
      </c>
      <c r="R46" s="491">
        <v>5.3973013493253383E-2</v>
      </c>
      <c r="S46" s="483">
        <f t="shared" si="21"/>
        <v>6.0481293837698347E-2</v>
      </c>
      <c r="T46" s="156">
        <v>5.4117647058823583E-2</v>
      </c>
      <c r="U46" s="157">
        <f t="shared" si="22"/>
        <v>7.6998283057617772E-2</v>
      </c>
      <c r="V46" s="156">
        <v>5.3905390539053903E-2</v>
      </c>
      <c r="W46" s="157">
        <f t="shared" si="23"/>
        <v>5.1562787836421438E-2</v>
      </c>
      <c r="X46" s="156">
        <v>7.4809160305343778E-2</v>
      </c>
      <c r="Y46" s="158">
        <f t="shared" si="24"/>
        <v>7.1622763851508148E-2</v>
      </c>
      <c r="Z46" s="156">
        <v>0.1386663697569584</v>
      </c>
      <c r="AA46" s="157">
        <f t="shared" si="99"/>
        <v>0.1375745584008099</v>
      </c>
      <c r="AB46" s="156">
        <v>0.11337078262161773</v>
      </c>
      <c r="AC46" s="81">
        <f t="shared" ref="AC46" si="717">AVERAGE(AB43:AB46)</f>
        <v>0.11662362865643652</v>
      </c>
      <c r="AD46" s="491">
        <v>0.10991242016139156</v>
      </c>
      <c r="AE46" s="483">
        <f t="shared" si="26"/>
        <v>0.11466664297144427</v>
      </c>
      <c r="AF46" s="156">
        <v>0.12172324613087541</v>
      </c>
      <c r="AG46" s="483">
        <f t="shared" ref="AG46" si="718">AVERAGE(AF43:AF46)</f>
        <v>0.15402095878094285</v>
      </c>
      <c r="AH46" s="156">
        <v>0.10572176087491514</v>
      </c>
      <c r="AI46" s="483">
        <f t="shared" si="28"/>
        <v>9.9255460266777382E-2</v>
      </c>
      <c r="AJ46" s="156">
        <v>0.12933081029913179</v>
      </c>
      <c r="AK46" s="158">
        <f t="shared" si="29"/>
        <v>0.12506244884162337</v>
      </c>
      <c r="AL46" s="74">
        <v>7706.5799781060341</v>
      </c>
      <c r="AM46" s="81">
        <f t="shared" si="102"/>
        <v>7561.6680900149167</v>
      </c>
      <c r="AN46" s="74">
        <v>7329.2037945742204</v>
      </c>
      <c r="AO46" s="81">
        <f t="shared" ref="AO46" si="719">AVERAGE(AN43:AN46)</f>
        <v>7206.8695339381084</v>
      </c>
      <c r="AP46" s="494">
        <v>7383.1334332833603</v>
      </c>
      <c r="AQ46" s="495">
        <f t="shared" si="31"/>
        <v>7255.5343531057797</v>
      </c>
      <c r="AR46" s="74">
        <v>7550.1341176470669</v>
      </c>
      <c r="AS46" s="81">
        <f t="shared" ref="AS46" si="720">AVERAGE(AR43:AR46)</f>
        <v>7320.7533926863998</v>
      </c>
      <c r="AT46" s="74">
        <v>7305.0528052805275</v>
      </c>
      <c r="AU46" s="81">
        <f t="shared" si="33"/>
        <v>7223.424113241289</v>
      </c>
      <c r="AV46" s="74">
        <v>6996.0366412213907</v>
      </c>
      <c r="AW46" s="99">
        <f t="shared" si="78"/>
        <v>6880.1403819154484</v>
      </c>
      <c r="AX46" s="105">
        <v>4.6247428061616098</v>
      </c>
      <c r="AY46" s="106">
        <f t="shared" si="105"/>
        <v>4.5737791704075752</v>
      </c>
      <c r="AZ46" s="105">
        <v>5.050696945644499</v>
      </c>
      <c r="BA46" s="81">
        <f t="shared" ref="BA46" si="721">AVERAGE(AZ43:AZ46)</f>
        <v>5.0113257344268485</v>
      </c>
      <c r="BB46" s="492">
        <v>5.0922038980509763</v>
      </c>
      <c r="BC46" s="493">
        <f t="shared" si="35"/>
        <v>5.0633640288515567</v>
      </c>
      <c r="BD46" s="105">
        <v>6.5011764705882431</v>
      </c>
      <c r="BE46" s="106">
        <f t="shared" ref="BE46" si="722">AVERAGE(BD43:BD46)</f>
        <v>6.3885116594283531</v>
      </c>
      <c r="BF46" s="105">
        <v>4.4334433443344343</v>
      </c>
      <c r="BG46" s="106">
        <f t="shared" si="37"/>
        <v>4.3705735543105551</v>
      </c>
      <c r="BH46" s="105">
        <v>4.7942748091603233</v>
      </c>
      <c r="BI46" s="107">
        <f t="shared" si="81"/>
        <v>4.701328977862441</v>
      </c>
      <c r="BJ46" s="487">
        <v>0.4083480150920698</v>
      </c>
      <c r="BK46" s="488">
        <f t="shared" si="108"/>
        <v>0.40519100943035574</v>
      </c>
      <c r="BL46" s="487">
        <v>0.5864765605299751</v>
      </c>
      <c r="BM46" s="489">
        <f t="shared" ref="BM46" si="723">AVERAGE(BL43:BL46)</f>
        <v>0.5586126437546941</v>
      </c>
      <c r="BN46" s="487"/>
      <c r="BO46" s="489" t="e">
        <f t="shared" ref="BO46" si="724">AVERAGE(BN43:BN46)</f>
        <v>#DIV/0!</v>
      </c>
      <c r="BP46" s="487">
        <v>0</v>
      </c>
      <c r="BQ46" s="489">
        <f t="shared" ref="BQ46" si="725">AVERAGE(BP43:BP46)</f>
        <v>0</v>
      </c>
      <c r="BR46" s="487"/>
      <c r="BS46" s="489" t="e">
        <f t="shared" ref="BS46" si="726">AVERAGE(BR43:BR46)</f>
        <v>#DIV/0!</v>
      </c>
      <c r="BT46" s="487">
        <v>0</v>
      </c>
      <c r="BU46" s="490">
        <f t="shared" si="86"/>
        <v>0</v>
      </c>
      <c r="BV46" s="74">
        <v>6308.8848412960751</v>
      </c>
      <c r="BW46" s="81">
        <f t="shared" si="113"/>
        <v>6252.3520858789825</v>
      </c>
      <c r="BX46" s="74">
        <v>7017.4394231052529</v>
      </c>
      <c r="BY46" s="81">
        <f t="shared" ref="BY46" si="727">AVERAGE(BX43:BX46)</f>
        <v>6898.7377818274263</v>
      </c>
      <c r="BZ46" s="494">
        <v>6806.1889055472257</v>
      </c>
      <c r="CA46" s="495">
        <f t="shared" si="43"/>
        <v>6703.8309750522112</v>
      </c>
      <c r="CB46" s="74">
        <v>8229.2117647058913</v>
      </c>
      <c r="CC46" s="81">
        <f t="shared" ref="CC46" si="728">AVERAGE(CB43:CB46)</f>
        <v>7794.6368038905684</v>
      </c>
      <c r="CD46" s="74">
        <v>6140.8591859185881</v>
      </c>
      <c r="CE46" s="81">
        <f t="shared" si="45"/>
        <v>6137.9715230506117</v>
      </c>
      <c r="CF46" s="74">
        <v>8322.5053435114769</v>
      </c>
      <c r="CG46" s="99">
        <f t="shared" si="89"/>
        <v>7998.308049529709</v>
      </c>
      <c r="CH46" s="156">
        <v>2.6643457594443271E-2</v>
      </c>
      <c r="CI46" s="157">
        <f t="shared" si="113"/>
        <v>2.4554533776630003E-2</v>
      </c>
      <c r="CJ46" s="156">
        <v>3.7934970646963141E-2</v>
      </c>
      <c r="CK46" s="81">
        <f t="shared" ref="CK46" si="729">AVERAGE(CJ43:CJ46)</f>
        <v>3.3873100386373249E-2</v>
      </c>
      <c r="CL46" s="491">
        <v>3.598200899550226E-2</v>
      </c>
      <c r="CM46" s="483">
        <f t="shared" si="47"/>
        <v>3.1905526100076451E-2</v>
      </c>
      <c r="CN46" s="156">
        <v>5.6470588235294182E-2</v>
      </c>
      <c r="CO46" s="483">
        <f t="shared" ref="CO46" si="730">AVERAGE(CN43:CN46)</f>
        <v>4.5988242830764657E-2</v>
      </c>
      <c r="CP46" s="156">
        <v>2.6402640264026406E-2</v>
      </c>
      <c r="CQ46" s="483">
        <f t="shared" si="49"/>
        <v>2.4593239237659166E-2</v>
      </c>
      <c r="CR46" s="156">
        <v>5.0000000000000183E-2</v>
      </c>
      <c r="CS46" s="158">
        <f t="shared" si="92"/>
        <v>4.5617884117468352E-2</v>
      </c>
      <c r="CT46" s="105">
        <v>42.651489880907931</v>
      </c>
      <c r="CU46" s="106">
        <f t="shared" si="118"/>
        <v>43.746678184436966</v>
      </c>
      <c r="CV46" s="105">
        <v>45.54398981865252</v>
      </c>
      <c r="CW46" s="81">
        <f t="shared" ref="CW46" si="731">AVERAGE(CV43:CV46)</f>
        <v>46.218742850439142</v>
      </c>
      <c r="CX46" s="492">
        <v>45.04047976011995</v>
      </c>
      <c r="CY46" s="493">
        <f t="shared" si="51"/>
        <v>45.824176180648102</v>
      </c>
      <c r="CZ46" s="105">
        <v>49.247058823529471</v>
      </c>
      <c r="DA46" s="106">
        <f t="shared" ref="DA46" si="732">AVERAGE(CZ43:CZ46)</f>
        <v>50.586595455166432</v>
      </c>
      <c r="DB46" s="105">
        <v>43.073707370737075</v>
      </c>
      <c r="DC46" s="106">
        <f t="shared" si="53"/>
        <v>43.316852464176868</v>
      </c>
      <c r="DD46" s="105">
        <v>48.654580152671947</v>
      </c>
      <c r="DE46" s="107">
        <f t="shared" si="95"/>
        <v>47.942156836512545</v>
      </c>
    </row>
    <row r="47" spans="1:109" x14ac:dyDescent="0.25">
      <c r="A47" s="155">
        <f t="shared" si="15"/>
        <v>45450</v>
      </c>
      <c r="B47" s="74">
        <v>39.60091539325056</v>
      </c>
      <c r="C47" s="81">
        <f t="shared" si="96"/>
        <v>39.763324077199464</v>
      </c>
      <c r="D47" s="74">
        <v>41.208552848660652</v>
      </c>
      <c r="E47" s="81">
        <f t="shared" si="16"/>
        <v>41.102059028993622</v>
      </c>
      <c r="F47" s="74">
        <v>41.280757097791778</v>
      </c>
      <c r="G47" s="81">
        <f t="shared" si="16"/>
        <v>41.230976008533403</v>
      </c>
      <c r="H47" s="74">
        <v>44.477434679334948</v>
      </c>
      <c r="I47" s="81">
        <f t="shared" ref="I47" si="733">AVERAGE(H44:H47)</f>
        <v>43.803169575361913</v>
      </c>
      <c r="J47" s="74">
        <v>39.691853600944476</v>
      </c>
      <c r="K47" s="81">
        <f t="shared" si="18"/>
        <v>39.901778900131376</v>
      </c>
      <c r="L47" s="74">
        <v>40.780714817572296</v>
      </c>
      <c r="M47" s="99">
        <f t="shared" ref="M47" si="734">AVERAGE(L44:L47)</f>
        <v>40.363428835042832</v>
      </c>
      <c r="N47" s="156">
        <v>5.994092493149733E-2</v>
      </c>
      <c r="O47" s="157">
        <f t="shared" si="96"/>
        <v>6.062974943299302E-2</v>
      </c>
      <c r="P47" s="156">
        <v>6.1956155018340162E-2</v>
      </c>
      <c r="Q47" s="157">
        <f t="shared" si="20"/>
        <v>5.9878031146786526E-2</v>
      </c>
      <c r="R47" s="491">
        <v>6.0725552050473156E-2</v>
      </c>
      <c r="S47" s="483">
        <f t="shared" si="21"/>
        <v>5.8328321295617089E-2</v>
      </c>
      <c r="T47" s="156">
        <v>8.0760095011876545E-2</v>
      </c>
      <c r="U47" s="157">
        <f t="shared" si="22"/>
        <v>7.3750806810586877E-2</v>
      </c>
      <c r="V47" s="156">
        <v>5.0767414403777987E-2</v>
      </c>
      <c r="W47" s="157">
        <f t="shared" si="23"/>
        <v>5.0136994378542403E-2</v>
      </c>
      <c r="X47" s="156">
        <v>6.9247952345494634E-2</v>
      </c>
      <c r="Y47" s="158">
        <f t="shared" si="24"/>
        <v>6.8787590059815842E-2</v>
      </c>
      <c r="Z47" s="156">
        <v>0.14595268408770998</v>
      </c>
      <c r="AA47" s="157">
        <f t="shared" si="99"/>
        <v>0.13909069440033767</v>
      </c>
      <c r="AB47" s="156">
        <v>0.12462587778119086</v>
      </c>
      <c r="AC47" s="81">
        <f t="shared" ref="AC47" si="735">AVERAGE(AB44:AB47)</f>
        <v>0.11856366467928722</v>
      </c>
      <c r="AD47" s="491">
        <v>0.12532111417260711</v>
      </c>
      <c r="AE47" s="483">
        <f t="shared" si="26"/>
        <v>0.11805018059213461</v>
      </c>
      <c r="AF47" s="156">
        <v>0.19065551598071517</v>
      </c>
      <c r="AG47" s="483">
        <f t="shared" ref="AG47" si="736">AVERAGE(AF44:AF47)</f>
        <v>0.16127359892152521</v>
      </c>
      <c r="AH47" s="156">
        <v>9.9418856147221887E-2</v>
      </c>
      <c r="AI47" s="483">
        <f t="shared" si="28"/>
        <v>0.10102778270764046</v>
      </c>
      <c r="AJ47" s="156">
        <v>0.1217431090448428</v>
      </c>
      <c r="AK47" s="158">
        <f t="shared" si="29"/>
        <v>0.12094905814337496</v>
      </c>
      <c r="AL47" s="74">
        <v>7884.4691932638852</v>
      </c>
      <c r="AM47" s="81">
        <f t="shared" si="102"/>
        <v>7621.9520650456006</v>
      </c>
      <c r="AN47" s="74">
        <v>7376.7607916241313</v>
      </c>
      <c r="AO47" s="81">
        <f t="shared" ref="AO47" si="737">AVERAGE(AN44:AN47)</f>
        <v>7268.3833317146991</v>
      </c>
      <c r="AP47" s="494">
        <v>7456.2444794952626</v>
      </c>
      <c r="AQ47" s="495">
        <f t="shared" si="31"/>
        <v>7329.4404267546324</v>
      </c>
      <c r="AR47" s="74">
        <v>7513.3135391924043</v>
      </c>
      <c r="AS47" s="81">
        <f t="shared" ref="AS47" si="738">AVERAGE(AR44:AR47)</f>
        <v>7406.8245230202128</v>
      </c>
      <c r="AT47" s="74">
        <v>7427.8783943329281</v>
      </c>
      <c r="AU47" s="81">
        <f t="shared" si="33"/>
        <v>7291.346653000991</v>
      </c>
      <c r="AV47" s="74">
        <v>6905.7892777363586</v>
      </c>
      <c r="AW47" s="99">
        <f t="shared" si="78"/>
        <v>6889.5538787690894</v>
      </c>
      <c r="AX47" s="105">
        <v>4.6156466252105082</v>
      </c>
      <c r="AY47" s="106">
        <f t="shared" si="105"/>
        <v>4.5684300747186368</v>
      </c>
      <c r="AZ47" s="105">
        <v>5.206573039745181</v>
      </c>
      <c r="BA47" s="81">
        <f t="shared" ref="BA47" si="739">AVERAGE(AZ44:AZ47)</f>
        <v>5.0882013933203432</v>
      </c>
      <c r="BB47" s="492">
        <v>5.2910094637223946</v>
      </c>
      <c r="BC47" s="493">
        <f t="shared" si="35"/>
        <v>5.1528729433183642</v>
      </c>
      <c r="BD47" s="105">
        <v>6.3657957244655625</v>
      </c>
      <c r="BE47" s="106">
        <f t="shared" ref="BE47" si="740">AVERAGE(BD44:BD47)</f>
        <v>6.4894471976875998</v>
      </c>
      <c r="BF47" s="105">
        <v>4.7567886658795695</v>
      </c>
      <c r="BG47" s="106">
        <f t="shared" si="37"/>
        <v>4.4621236619569178</v>
      </c>
      <c r="BH47" s="105">
        <v>4.7062546537601984</v>
      </c>
      <c r="BI47" s="107">
        <f t="shared" si="81"/>
        <v>4.7081656302184198</v>
      </c>
      <c r="BJ47" s="487">
        <v>0.36721339718411172</v>
      </c>
      <c r="BK47" s="488">
        <f t="shared" si="108"/>
        <v>0.39820407982983108</v>
      </c>
      <c r="BL47" s="487">
        <v>0.57152708519138651</v>
      </c>
      <c r="BM47" s="489">
        <f t="shared" ref="BM47" si="741">AVERAGE(BL44:BL47)</f>
        <v>0.56289719451633791</v>
      </c>
      <c r="BN47" s="487"/>
      <c r="BO47" s="489" t="e">
        <f t="shared" ref="BO47" si="742">AVERAGE(BN44:BN47)</f>
        <v>#DIV/0!</v>
      </c>
      <c r="BP47" s="487">
        <v>0</v>
      </c>
      <c r="BQ47" s="489">
        <f t="shared" ref="BQ47" si="743">AVERAGE(BP44:BP47)</f>
        <v>0</v>
      </c>
      <c r="BR47" s="487"/>
      <c r="BS47" s="489" t="e">
        <f t="shared" ref="BS47" si="744">AVERAGE(BR44:BR47)</f>
        <v>#DIV/0!</v>
      </c>
      <c r="BT47" s="487">
        <v>0</v>
      </c>
      <c r="BU47" s="490">
        <f t="shared" si="86"/>
        <v>0</v>
      </c>
      <c r="BV47" s="74">
        <v>5916.7432530581546</v>
      </c>
      <c r="BW47" s="81">
        <f t="shared" si="113"/>
        <v>6194.322027776192</v>
      </c>
      <c r="BX47" s="74">
        <v>6693.6323950939905</v>
      </c>
      <c r="BY47" s="81">
        <f t="shared" ref="BY47" si="745">AVERAGE(BX44:BX47)</f>
        <v>6911.1819803971266</v>
      </c>
      <c r="BZ47" s="494">
        <v>6491.21293375394</v>
      </c>
      <c r="CA47" s="495">
        <f t="shared" si="43"/>
        <v>6719.3740004783695</v>
      </c>
      <c r="CB47" s="74">
        <v>7431.304038004756</v>
      </c>
      <c r="CC47" s="81">
        <f t="shared" ref="CC47" si="746">AVERAGE(CB44:CB47)</f>
        <v>7811.5738624988981</v>
      </c>
      <c r="CD47" s="74">
        <v>6023.942148760324</v>
      </c>
      <c r="CE47" s="81">
        <f t="shared" si="45"/>
        <v>6159.8329425936336</v>
      </c>
      <c r="CF47" s="74">
        <v>7893.0457930006914</v>
      </c>
      <c r="CG47" s="99">
        <f t="shared" si="89"/>
        <v>8009.4821688782049</v>
      </c>
      <c r="CH47" s="156">
        <v>1.9946908986976659E-2</v>
      </c>
      <c r="CI47" s="157">
        <f t="shared" si="113"/>
        <v>2.4236911378515653E-2</v>
      </c>
      <c r="CJ47" s="156">
        <v>3.0742650793675386E-2</v>
      </c>
      <c r="CK47" s="81">
        <f t="shared" ref="CK47" si="747">AVERAGE(CJ44:CJ47)</f>
        <v>3.4877964936993307E-2</v>
      </c>
      <c r="CL47" s="491">
        <v>2.8391167192429012E-2</v>
      </c>
      <c r="CM47" s="483">
        <f t="shared" si="47"/>
        <v>3.3032593707120528E-2</v>
      </c>
      <c r="CN47" s="156">
        <v>4.2755344418052288E-2</v>
      </c>
      <c r="CO47" s="483">
        <f t="shared" ref="CO47" si="748">AVERAGE(CN44:CN47)</f>
        <v>4.7748507506706284E-2</v>
      </c>
      <c r="CP47" s="156">
        <v>2.1251475796930319E-2</v>
      </c>
      <c r="CQ47" s="483">
        <f t="shared" si="49"/>
        <v>2.5494343481009391E-2</v>
      </c>
      <c r="CR47" s="156">
        <v>4.4676098287415901E-2</v>
      </c>
      <c r="CS47" s="158">
        <f t="shared" si="92"/>
        <v>4.6193677169713884E-2</v>
      </c>
      <c r="CT47" s="105">
        <v>41.409236682487354</v>
      </c>
      <c r="CU47" s="106">
        <f t="shared" si="118"/>
        <v>43.293978034958073</v>
      </c>
      <c r="CV47" s="105">
        <v>44.463012053137184</v>
      </c>
      <c r="CW47" s="81">
        <f t="shared" ref="CW47" si="749">AVERAGE(CV44:CV47)</f>
        <v>45.61783982853219</v>
      </c>
      <c r="CX47" s="492">
        <v>43.592271293375376</v>
      </c>
      <c r="CY47" s="493">
        <f t="shared" si="51"/>
        <v>45.063538302913358</v>
      </c>
      <c r="CZ47" s="105">
        <v>47.135391923990532</v>
      </c>
      <c r="DA47" s="106">
        <f t="shared" ref="DA47" si="750">AVERAGE(CZ44:CZ47)</f>
        <v>49.432385400449775</v>
      </c>
      <c r="DB47" s="105">
        <v>41.831168831168796</v>
      </c>
      <c r="DC47" s="106">
        <f t="shared" si="53"/>
        <v>42.790232907263174</v>
      </c>
      <c r="DD47" s="105">
        <v>49.62248696947097</v>
      </c>
      <c r="DE47" s="107">
        <f t="shared" si="95"/>
        <v>48.338059893461171</v>
      </c>
    </row>
    <row r="48" spans="1:109" x14ac:dyDescent="0.25">
      <c r="A48" s="155">
        <f t="shared" si="15"/>
        <v>45457</v>
      </c>
      <c r="B48" s="74">
        <v>39.435666655024335</v>
      </c>
      <c r="C48" s="81">
        <f t="shared" si="96"/>
        <v>39.697386104683005</v>
      </c>
      <c r="D48" s="74">
        <v>40.511578150757096</v>
      </c>
      <c r="E48" s="81">
        <f t="shared" si="16"/>
        <v>40.894562290808324</v>
      </c>
      <c r="F48" s="74">
        <v>40.493528904227809</v>
      </c>
      <c r="G48" s="81">
        <f t="shared" si="16"/>
        <v>40.969354192553162</v>
      </c>
      <c r="H48" s="74">
        <v>42.618925831202098</v>
      </c>
      <c r="I48" s="81">
        <f t="shared" ref="I48" si="751">AVERAGE(H45:H48)</f>
        <v>43.430434665449411</v>
      </c>
      <c r="J48" s="74">
        <v>39.41145833333335</v>
      </c>
      <c r="K48" s="81">
        <f t="shared" si="18"/>
        <v>39.731887478407813</v>
      </c>
      <c r="L48" s="74">
        <v>40.613152804641878</v>
      </c>
      <c r="M48" s="99">
        <f t="shared" ref="M48" si="752">AVERAGE(L45:L48)</f>
        <v>40.438096346548086</v>
      </c>
      <c r="N48" s="156">
        <v>7.7145796257771057E-2</v>
      </c>
      <c r="O48" s="157">
        <f t="shared" si="96"/>
        <v>6.3362159333697737E-2</v>
      </c>
      <c r="P48" s="156">
        <v>8.4326776574297754E-2</v>
      </c>
      <c r="Q48" s="157">
        <f t="shared" si="20"/>
        <v>6.6608414585239056E-2</v>
      </c>
      <c r="R48" s="491">
        <v>8.7144089732528088E-2</v>
      </c>
      <c r="S48" s="483">
        <f t="shared" si="21"/>
        <v>6.637141729382591E-2</v>
      </c>
      <c r="T48" s="156">
        <v>0.10485933503836327</v>
      </c>
      <c r="U48" s="157">
        <f t="shared" si="22"/>
        <v>8.1467882722644033E-2</v>
      </c>
      <c r="V48" s="156">
        <v>7.8125000000000028E-2</v>
      </c>
      <c r="W48" s="157">
        <f t="shared" si="23"/>
        <v>5.8606297475887539E-2</v>
      </c>
      <c r="X48" s="156">
        <v>6.8471953578336076E-2</v>
      </c>
      <c r="Y48" s="158">
        <f t="shared" si="24"/>
        <v>6.840557845439979E-2</v>
      </c>
      <c r="Z48" s="156">
        <v>0.16758471131489819</v>
      </c>
      <c r="AA48" s="157">
        <f t="shared" si="99"/>
        <v>0.14460149574116349</v>
      </c>
      <c r="AB48" s="156">
        <v>0.15377481191708006</v>
      </c>
      <c r="AC48" s="81">
        <f t="shared" ref="AC48" si="753">AVERAGE(AB45:AB48)</f>
        <v>0.12769029405553195</v>
      </c>
      <c r="AD48" s="491">
        <v>0.16120456899312399</v>
      </c>
      <c r="AE48" s="483">
        <f t="shared" si="26"/>
        <v>0.12949812089361981</v>
      </c>
      <c r="AF48" s="156">
        <v>0.22547239762714866</v>
      </c>
      <c r="AG48" s="483">
        <f t="shared" ref="AG48" si="754">AVERAGE(AF45:AF48)</f>
        <v>0.1776438052940234</v>
      </c>
      <c r="AH48" s="156">
        <v>0.13753940428045838</v>
      </c>
      <c r="AI48" s="483">
        <f t="shared" si="28"/>
        <v>0.11110386117870968</v>
      </c>
      <c r="AJ48" s="156">
        <v>0.12119444864065664</v>
      </c>
      <c r="AK48" s="158">
        <f t="shared" si="29"/>
        <v>0.12000091585570258</v>
      </c>
      <c r="AL48" s="74">
        <v>7815.2981685356181</v>
      </c>
      <c r="AM48" s="81">
        <f t="shared" si="102"/>
        <v>7666.7015535877972</v>
      </c>
      <c r="AN48" s="74">
        <v>7350.3395371933002</v>
      </c>
      <c r="AO48" s="81">
        <f t="shared" ref="AO48" si="755">AVERAGE(AN45:AN48)</f>
        <v>7325.169493586006</v>
      </c>
      <c r="AP48" s="494">
        <v>7427.0431406384851</v>
      </c>
      <c r="AQ48" s="495">
        <f t="shared" si="31"/>
        <v>7398.4691989797329</v>
      </c>
      <c r="AR48" s="74">
        <v>7577.9002557544827</v>
      </c>
      <c r="AS48" s="81">
        <f t="shared" ref="AS48" si="756">AVERAGE(AR45:AR48)</f>
        <v>7511.2928605014331</v>
      </c>
      <c r="AT48" s="74">
        <v>7350.2395833333348</v>
      </c>
      <c r="AU48" s="81">
        <f t="shared" si="33"/>
        <v>7342.4571177344505</v>
      </c>
      <c r="AV48" s="74">
        <v>6918.6793036750059</v>
      </c>
      <c r="AW48" s="99">
        <f t="shared" si="78"/>
        <v>6913.5823489240265</v>
      </c>
      <c r="AX48" s="105">
        <v>4.517511336348571</v>
      </c>
      <c r="AY48" s="106">
        <f t="shared" si="105"/>
        <v>4.5725031828398333</v>
      </c>
      <c r="AZ48" s="105">
        <v>5.0345321742752889</v>
      </c>
      <c r="BA48" s="81">
        <f t="shared" ref="BA48" si="757">AVERAGE(AZ45:AZ48)</f>
        <v>5.0598538238566402</v>
      </c>
      <c r="BB48" s="492">
        <v>5.0854184641932738</v>
      </c>
      <c r="BC48" s="493">
        <f t="shared" si="35"/>
        <v>5.1164264275962692</v>
      </c>
      <c r="BD48" s="105">
        <v>6.0537084398977052</v>
      </c>
      <c r="BE48" s="106">
        <f t="shared" ref="BE48" si="758">AVERAGE(BD45:BD48)</f>
        <v>6.350968478065611</v>
      </c>
      <c r="BF48" s="105">
        <v>4.5924479166666687</v>
      </c>
      <c r="BG48" s="106">
        <f t="shared" si="37"/>
        <v>4.4964556158391344</v>
      </c>
      <c r="BH48" s="105">
        <v>4.7481624758220171</v>
      </c>
      <c r="BI48" s="107">
        <f t="shared" si="81"/>
        <v>4.7046543296062806</v>
      </c>
      <c r="BJ48" s="487">
        <v>0.36407919784887011</v>
      </c>
      <c r="BK48" s="488">
        <f t="shared" si="108"/>
        <v>0.38460342126814251</v>
      </c>
      <c r="BL48" s="487">
        <v>0.5626588787927117</v>
      </c>
      <c r="BM48" s="489">
        <f t="shared" ref="BM48" si="759">AVERAGE(BL45:BL48)</f>
        <v>0.56958594690689923</v>
      </c>
      <c r="BN48" s="487"/>
      <c r="BO48" s="489" t="e">
        <f t="shared" ref="BO48" si="760">AVERAGE(BN45:BN48)</f>
        <v>#DIV/0!</v>
      </c>
      <c r="BP48" s="487">
        <v>0</v>
      </c>
      <c r="BQ48" s="489">
        <f t="shared" ref="BQ48" si="761">AVERAGE(BP45:BP48)</f>
        <v>0</v>
      </c>
      <c r="BR48" s="487"/>
      <c r="BS48" s="489" t="e">
        <f t="shared" ref="BS48" si="762">AVERAGE(BR45:BR48)</f>
        <v>#DIV/0!</v>
      </c>
      <c r="BT48" s="487">
        <v>0</v>
      </c>
      <c r="BU48" s="490">
        <f t="shared" si="86"/>
        <v>0</v>
      </c>
      <c r="BV48" s="74">
        <v>6060.7405534123809</v>
      </c>
      <c r="BW48" s="81">
        <f t="shared" si="113"/>
        <v>6129.1050649070758</v>
      </c>
      <c r="BX48" s="74">
        <v>6854.8489557070989</v>
      </c>
      <c r="BY48" s="81">
        <f t="shared" ref="BY48" si="763">AVERAGE(BX45:BX48)</f>
        <v>6860.6846786559945</v>
      </c>
      <c r="BZ48" s="494">
        <v>6713.6238136324455</v>
      </c>
      <c r="CA48" s="495">
        <f t="shared" si="43"/>
        <v>6667.0727994806593</v>
      </c>
      <c r="CB48" s="74">
        <v>7702.1381074168867</v>
      </c>
      <c r="CC48" s="81">
        <f t="shared" ref="CC48" si="764">AVERAGE(CB45:CB48)</f>
        <v>7718.8157884562561</v>
      </c>
      <c r="CD48" s="74">
        <v>6210.3567708333348</v>
      </c>
      <c r="CE48" s="81">
        <f t="shared" si="45"/>
        <v>6143.8680897899567</v>
      </c>
      <c r="CF48" s="74">
        <v>7649.6131528045898</v>
      </c>
      <c r="CG48" s="99">
        <f t="shared" si="89"/>
        <v>7942.7382948937784</v>
      </c>
      <c r="CH48" s="156">
        <v>2.3156947036419462E-2</v>
      </c>
      <c r="CI48" s="157">
        <f t="shared" si="113"/>
        <v>2.3353740772610303E-2</v>
      </c>
      <c r="CJ48" s="156">
        <v>3.5407705885787531E-2</v>
      </c>
      <c r="CK48" s="81">
        <f t="shared" ref="CK48" si="765">AVERAGE(CJ45:CJ48)</f>
        <v>3.4685987807295225E-2</v>
      </c>
      <c r="CL48" s="491">
        <v>3.5375323554788632E-2</v>
      </c>
      <c r="CM48" s="483">
        <f t="shared" si="47"/>
        <v>3.2983942784985024E-2</v>
      </c>
      <c r="CN48" s="156">
        <v>4.0920716112532014E-2</v>
      </c>
      <c r="CO48" s="483">
        <f t="shared" ref="CO48" si="766">AVERAGE(CN45:CN48)</f>
        <v>4.396523362004106E-2</v>
      </c>
      <c r="CP48" s="156">
        <v>3.2552083333333343E-2</v>
      </c>
      <c r="CQ48" s="483">
        <f t="shared" si="49"/>
        <v>2.7627307424330085E-2</v>
      </c>
      <c r="CR48" s="156">
        <v>3.5589941972920452E-2</v>
      </c>
      <c r="CS48" s="158">
        <f t="shared" si="92"/>
        <v>4.3948488341437844E-2</v>
      </c>
      <c r="CT48" s="105">
        <v>41.845759037480569</v>
      </c>
      <c r="CU48" s="106">
        <f t="shared" si="118"/>
        <v>42.892832267355111</v>
      </c>
      <c r="CV48" s="105">
        <v>45.205421855298944</v>
      </c>
      <c r="CW48" s="81">
        <f t="shared" ref="CW48" si="767">AVERAGE(CV45:CV48)</f>
        <v>45.213659135370087</v>
      </c>
      <c r="CX48" s="492">
        <v>44.714408973252823</v>
      </c>
      <c r="CY48" s="493">
        <f t="shared" si="51"/>
        <v>44.597031411222517</v>
      </c>
      <c r="CZ48" s="105">
        <v>47.468030690537134</v>
      </c>
      <c r="DA48" s="106">
        <f t="shared" ref="DA48" si="768">AVERAGE(CZ45:CZ48)</f>
        <v>48.222599351110944</v>
      </c>
      <c r="DB48" s="105">
        <v>43.312500000000007</v>
      </c>
      <c r="DC48" s="106">
        <f t="shared" si="53"/>
        <v>42.78049444329352</v>
      </c>
      <c r="DD48" s="105">
        <v>47.968665377175689</v>
      </c>
      <c r="DE48" s="107">
        <f t="shared" si="95"/>
        <v>48.416141187731967</v>
      </c>
    </row>
    <row r="49" spans="1:109" x14ac:dyDescent="0.25">
      <c r="A49" s="155">
        <f t="shared" si="15"/>
        <v>45464</v>
      </c>
      <c r="B49" s="74">
        <v>39.878488540048721</v>
      </c>
      <c r="C49" s="81">
        <f t="shared" si="96"/>
        <v>39.678990437391555</v>
      </c>
      <c r="D49" s="74">
        <v>40.992145543774058</v>
      </c>
      <c r="E49" s="81">
        <f t="shared" si="16"/>
        <v>40.948772781480791</v>
      </c>
      <c r="F49" s="74">
        <v>41.098701298701329</v>
      </c>
      <c r="G49" s="81">
        <f t="shared" si="16"/>
        <v>41.036275310937356</v>
      </c>
      <c r="H49" s="74">
        <v>42.102380952381012</v>
      </c>
      <c r="I49" s="81">
        <f t="shared" ref="I49" si="769">AVERAGE(H46:H49)</f>
        <v>43.13145007161188</v>
      </c>
      <c r="J49" s="74">
        <v>40.525170068027229</v>
      </c>
      <c r="K49" s="81">
        <f t="shared" si="18"/>
        <v>39.984953283854587</v>
      </c>
      <c r="L49" s="74">
        <v>40.408456026058445</v>
      </c>
      <c r="M49" s="99">
        <f t="shared" ref="M49" si="770">AVERAGE(L46:L49)</f>
        <v>40.428920606724681</v>
      </c>
      <c r="N49" s="156">
        <v>6.0327296578769625E-2</v>
      </c>
      <c r="O49" s="157">
        <f t="shared" si="96"/>
        <v>6.4201118278841007E-2</v>
      </c>
      <c r="P49" s="156">
        <v>7.0832914294844854E-2</v>
      </c>
      <c r="Q49" s="157">
        <f t="shared" si="20"/>
        <v>6.8497928602511401E-2</v>
      </c>
      <c r="R49" s="491">
        <v>7.2727272727272779E-2</v>
      </c>
      <c r="S49" s="483">
        <f t="shared" si="21"/>
        <v>6.8642482000881855E-2</v>
      </c>
      <c r="T49" s="156">
        <v>0.10952380952380969</v>
      </c>
      <c r="U49" s="157">
        <f t="shared" si="22"/>
        <v>8.731522165821827E-2</v>
      </c>
      <c r="V49" s="156">
        <v>5.1700680272108862E-2</v>
      </c>
      <c r="W49" s="157">
        <f t="shared" si="23"/>
        <v>5.8624621303735198E-2</v>
      </c>
      <c r="X49" s="156">
        <v>6.0456026058643413E-2</v>
      </c>
      <c r="Y49" s="158">
        <f t="shared" si="24"/>
        <v>6.824627307195448E-2</v>
      </c>
      <c r="Z49" s="156">
        <v>0.13747845913207482</v>
      </c>
      <c r="AA49" s="157">
        <f t="shared" si="99"/>
        <v>0.14650899291471778</v>
      </c>
      <c r="AB49" s="156">
        <v>0.12621299724140139</v>
      </c>
      <c r="AC49" s="81">
        <f t="shared" ref="AC49" si="771">AVERAGE(AB46:AB49)</f>
        <v>0.12949611739032252</v>
      </c>
      <c r="AD49" s="491">
        <v>0.13028467948193523</v>
      </c>
      <c r="AE49" s="483">
        <f t="shared" si="26"/>
        <v>0.13168069570226448</v>
      </c>
      <c r="AF49" s="156">
        <v>0.21756228940834313</v>
      </c>
      <c r="AG49" s="483">
        <f t="shared" ref="AG49" si="772">AVERAGE(AF46:AF49)</f>
        <v>0.18885336228677058</v>
      </c>
      <c r="AH49" s="156">
        <v>9.1790133562655626E-2</v>
      </c>
      <c r="AI49" s="483">
        <f t="shared" si="28"/>
        <v>0.10861753871631277</v>
      </c>
      <c r="AJ49" s="156">
        <v>0.11020135719894111</v>
      </c>
      <c r="AK49" s="158">
        <f t="shared" si="29"/>
        <v>0.12061743129589308</v>
      </c>
      <c r="AL49" s="74">
        <v>7633.2568950124323</v>
      </c>
      <c r="AM49" s="81">
        <f t="shared" si="102"/>
        <v>7682.2161422333211</v>
      </c>
      <c r="AN49" s="74">
        <v>7367.1291429452676</v>
      </c>
      <c r="AO49" s="81">
        <f t="shared" ref="AO49" si="773">AVERAGE(AN46:AN49)</f>
        <v>7355.8583165842301</v>
      </c>
      <c r="AP49" s="494">
        <v>7473.7151515151563</v>
      </c>
      <c r="AQ49" s="495">
        <f t="shared" si="31"/>
        <v>7435.0340512330658</v>
      </c>
      <c r="AR49" s="74">
        <v>7625.5285714285828</v>
      </c>
      <c r="AS49" s="81">
        <f t="shared" ref="AS49" si="774">AVERAGE(AR46:AR49)</f>
        <v>7566.7191210056344</v>
      </c>
      <c r="AT49" s="74">
        <v>7386.9646258503426</v>
      </c>
      <c r="AU49" s="81">
        <f t="shared" si="33"/>
        <v>7367.5338521992835</v>
      </c>
      <c r="AV49" s="74">
        <v>6783.2739022794503</v>
      </c>
      <c r="AW49" s="99">
        <f t="shared" si="78"/>
        <v>6900.1599178951928</v>
      </c>
      <c r="AX49" s="105">
        <v>4.5890747432503005</v>
      </c>
      <c r="AY49" s="106">
        <f t="shared" si="105"/>
        <v>4.5513301859626116</v>
      </c>
      <c r="AZ49" s="105">
        <v>4.9979685017175042</v>
      </c>
      <c r="BA49" s="81">
        <f t="shared" ref="BA49" si="775">AVERAGE(AZ46:AZ49)</f>
        <v>5.0724426653456183</v>
      </c>
      <c r="BB49" s="492">
        <v>5.0640692640692668</v>
      </c>
      <c r="BC49" s="493">
        <f t="shared" si="35"/>
        <v>5.1331752725089785</v>
      </c>
      <c r="BD49" s="105">
        <v>5.9428571428571519</v>
      </c>
      <c r="BE49" s="106">
        <f t="shared" ref="BE49" si="776">AVERAGE(BD46:BD49)</f>
        <v>6.2158844444521648</v>
      </c>
      <c r="BF49" s="105">
        <v>4.5619047619047635</v>
      </c>
      <c r="BG49" s="106">
        <f t="shared" si="37"/>
        <v>4.5861461721963588</v>
      </c>
      <c r="BH49" s="105">
        <v>4.63588273615684</v>
      </c>
      <c r="BI49" s="107">
        <f t="shared" si="81"/>
        <v>4.7097105541947091</v>
      </c>
      <c r="BJ49" s="487">
        <v>0.36731984042183607</v>
      </c>
      <c r="BK49" s="488">
        <f t="shared" si="108"/>
        <v>0.38081661287804558</v>
      </c>
      <c r="BL49" s="487">
        <v>0.53812579197919075</v>
      </c>
      <c r="BM49" s="489">
        <f t="shared" ref="BM49" si="777">AVERAGE(BL46:BL49)</f>
        <v>0.56469707912331601</v>
      </c>
      <c r="BN49" s="487"/>
      <c r="BO49" s="489" t="e">
        <f t="shared" ref="BO49" si="778">AVERAGE(BN46:BN49)</f>
        <v>#DIV/0!</v>
      </c>
      <c r="BP49" s="487">
        <v>0</v>
      </c>
      <c r="BQ49" s="489">
        <f t="shared" ref="BQ49" si="779">AVERAGE(BP46:BP49)</f>
        <v>0</v>
      </c>
      <c r="BR49" s="487"/>
      <c r="BS49" s="489" t="e">
        <f t="shared" ref="BS49" si="780">AVERAGE(BR46:BR49)</f>
        <v>#DIV/0!</v>
      </c>
      <c r="BT49" s="487">
        <v>0</v>
      </c>
      <c r="BU49" s="490">
        <f t="shared" si="86"/>
        <v>0</v>
      </c>
      <c r="BV49" s="74">
        <v>6292.27321793997</v>
      </c>
      <c r="BW49" s="81">
        <f t="shared" si="113"/>
        <v>6154.1059815293183</v>
      </c>
      <c r="BX49" s="74">
        <v>6959.5724319710471</v>
      </c>
      <c r="BY49" s="81">
        <f t="shared" ref="BY49" si="781">AVERAGE(BX46:BX49)</f>
        <v>6881.3733014693471</v>
      </c>
      <c r="BZ49" s="494">
        <v>6769.3575757575809</v>
      </c>
      <c r="CA49" s="495">
        <f t="shared" si="43"/>
        <v>6695.0958071727982</v>
      </c>
      <c r="CB49" s="74">
        <v>7758.0952380952494</v>
      </c>
      <c r="CC49" s="81">
        <f t="shared" ref="CC49" si="782">AVERAGE(CB46:CB49)</f>
        <v>7780.1872870556963</v>
      </c>
      <c r="CD49" s="74">
        <v>6204.3646258503431</v>
      </c>
      <c r="CE49" s="81">
        <f t="shared" si="45"/>
        <v>6144.8806828406478</v>
      </c>
      <c r="CF49" s="74">
        <v>8001.5285211692453</v>
      </c>
      <c r="CG49" s="99">
        <f t="shared" si="89"/>
        <v>7946.3128834518629</v>
      </c>
      <c r="CH49" s="156">
        <v>2.0855241586890776E-2</v>
      </c>
      <c r="CI49" s="157">
        <f t="shared" si="113"/>
        <v>2.2948185401350189E-2</v>
      </c>
      <c r="CJ49" s="156">
        <v>3.0227085302872918E-2</v>
      </c>
      <c r="CK49" s="81">
        <f t="shared" ref="CK49" si="783">AVERAGE(CJ46:CJ49)</f>
        <v>3.3578103157324742E-2</v>
      </c>
      <c r="CL49" s="491">
        <v>2.8571428571428591E-2</v>
      </c>
      <c r="CM49" s="483">
        <f t="shared" si="47"/>
        <v>3.2079982078537121E-2</v>
      </c>
      <c r="CN49" s="156">
        <v>3.0952380952380999E-2</v>
      </c>
      <c r="CO49" s="483">
        <f t="shared" ref="CO49" si="784">AVERAGE(CN46:CN49)</f>
        <v>4.2774757429564873E-2</v>
      </c>
      <c r="CP49" s="156">
        <v>2.7210884353741503E-2</v>
      </c>
      <c r="CQ49" s="483">
        <f t="shared" si="49"/>
        <v>2.6854270937007891E-2</v>
      </c>
      <c r="CR49" s="156">
        <v>3.9296416938118223E-2</v>
      </c>
      <c r="CS49" s="158">
        <f t="shared" si="92"/>
        <v>4.2938965848741587E-2</v>
      </c>
      <c r="CT49" s="105">
        <v>41.886326272458646</v>
      </c>
      <c r="CU49" s="106">
        <f t="shared" si="118"/>
        <v>42.551601355104218</v>
      </c>
      <c r="CV49" s="105">
        <v>44.187728543588143</v>
      </c>
      <c r="CW49" s="81">
        <f t="shared" ref="CW49" si="785">AVERAGE(CV46:CV49)</f>
        <v>44.850038067669196</v>
      </c>
      <c r="CX49" s="492">
        <v>43.269264069264096</v>
      </c>
      <c r="CY49" s="493">
        <f t="shared" si="51"/>
        <v>44.154106024003063</v>
      </c>
      <c r="CZ49" s="105">
        <v>47.90000000000007</v>
      </c>
      <c r="DA49" s="106">
        <f t="shared" ref="DA49" si="786">AVERAGE(CZ46:CZ49)</f>
        <v>47.937620359514305</v>
      </c>
      <c r="DB49" s="105">
        <v>40.623129251700689</v>
      </c>
      <c r="DC49" s="106">
        <f t="shared" si="53"/>
        <v>42.210126363401642</v>
      </c>
      <c r="DD49" s="105">
        <v>49.218879478824135</v>
      </c>
      <c r="DE49" s="107">
        <f t="shared" si="95"/>
        <v>48.698364143318891</v>
      </c>
    </row>
    <row r="50" spans="1:109" x14ac:dyDescent="0.25">
      <c r="A50" s="155">
        <f t="shared" si="15"/>
        <v>45471</v>
      </c>
      <c r="B50" s="74">
        <v>39.519621927662818</v>
      </c>
      <c r="C50" s="81">
        <f t="shared" si="96"/>
        <v>39.61903927976055</v>
      </c>
      <c r="D50" s="74">
        <v>40.670448395396789</v>
      </c>
      <c r="E50" s="81">
        <f t="shared" si="16"/>
        <v>40.845681234647145</v>
      </c>
      <c r="F50" s="74">
        <v>40.691063829787254</v>
      </c>
      <c r="G50" s="81">
        <f t="shared" si="16"/>
        <v>40.891012782627044</v>
      </c>
      <c r="H50" s="74">
        <v>43.51304347826089</v>
      </c>
      <c r="I50" s="81">
        <f t="shared" ref="I50" si="787">AVERAGE(H47:H50)</f>
        <v>43.177946235294741</v>
      </c>
      <c r="J50" s="74">
        <v>39.518072289156635</v>
      </c>
      <c r="K50" s="81">
        <f t="shared" si="18"/>
        <v>39.786638572865421</v>
      </c>
      <c r="L50" s="74">
        <v>40.543287327477763</v>
      </c>
      <c r="M50" s="99">
        <f t="shared" ref="M50" si="788">AVERAGE(L47:L50)</f>
        <v>40.586402743937597</v>
      </c>
      <c r="N50" s="156">
        <v>6.3566312751561063E-2</v>
      </c>
      <c r="O50" s="157">
        <f t="shared" si="96"/>
        <v>6.3317228747074322E-2</v>
      </c>
      <c r="P50" s="156">
        <v>7.5660058868525726E-2</v>
      </c>
      <c r="Q50" s="157">
        <f t="shared" si="20"/>
        <v>7.3193976189002127E-2</v>
      </c>
      <c r="R50" s="491">
        <v>7.8297872340425567E-2</v>
      </c>
      <c r="S50" s="483">
        <f t="shared" si="21"/>
        <v>7.4723696712674897E-2</v>
      </c>
      <c r="T50" s="156">
        <v>9.2753623188405854E-2</v>
      </c>
      <c r="U50" s="157">
        <f t="shared" si="22"/>
        <v>9.6974215690613846E-2</v>
      </c>
      <c r="V50" s="156">
        <v>7.2289156626506049E-2</v>
      </c>
      <c r="W50" s="157">
        <f t="shared" si="23"/>
        <v>6.3220562825598237E-2</v>
      </c>
      <c r="X50" s="156">
        <v>5.9389376829777935E-2</v>
      </c>
      <c r="Y50" s="158">
        <f t="shared" si="24"/>
        <v>6.4391327203063009E-2</v>
      </c>
      <c r="Z50" s="156">
        <v>0.14491236219107229</v>
      </c>
      <c r="AA50" s="157">
        <f t="shared" si="99"/>
        <v>0.1463432451266661</v>
      </c>
      <c r="AB50" s="156">
        <v>0.14660061423762036</v>
      </c>
      <c r="AC50" s="81">
        <f t="shared" ref="AC50" si="789">AVERAGE(AB47:AB50)</f>
        <v>0.13780357529432316</v>
      </c>
      <c r="AD50" s="491">
        <v>0.15527569266968827</v>
      </c>
      <c r="AE50" s="483">
        <f t="shared" si="26"/>
        <v>0.14302151382933864</v>
      </c>
      <c r="AF50" s="156">
        <v>0.19299697297377599</v>
      </c>
      <c r="AG50" s="483">
        <f t="shared" ref="AG50" si="790">AVERAGE(AF47:AF50)</f>
        <v>0.20667179399749575</v>
      </c>
      <c r="AH50" s="156">
        <v>0.1429506089730353</v>
      </c>
      <c r="AI50" s="483">
        <f t="shared" si="28"/>
        <v>0.1179247507408428</v>
      </c>
      <c r="AJ50" s="156">
        <v>0.10495277492800541</v>
      </c>
      <c r="AK50" s="158">
        <f t="shared" si="29"/>
        <v>0.11452292245311149</v>
      </c>
      <c r="AL50" s="74">
        <v>7781.4293936328213</v>
      </c>
      <c r="AM50" s="81">
        <f t="shared" si="102"/>
        <v>7713.1664654608157</v>
      </c>
      <c r="AN50" s="74">
        <v>7456.8103750380697</v>
      </c>
      <c r="AO50" s="81">
        <f t="shared" ref="AO50" si="791">AVERAGE(AN47:AN50)</f>
        <v>7387.7599617001924</v>
      </c>
      <c r="AP50" s="494">
        <v>7538.5285106382998</v>
      </c>
      <c r="AQ50" s="495">
        <f t="shared" si="31"/>
        <v>7473.8828205718019</v>
      </c>
      <c r="AR50" s="74">
        <v>7661.6057971014525</v>
      </c>
      <c r="AS50" s="81">
        <f t="shared" ref="AS50" si="792">AVERAGE(AR47:AR50)</f>
        <v>7594.5870408692308</v>
      </c>
      <c r="AT50" s="74">
        <v>7487.3698795180744</v>
      </c>
      <c r="AU50" s="81">
        <f t="shared" si="33"/>
        <v>7413.1131207586704</v>
      </c>
      <c r="AV50" s="74">
        <v>6952.7528230865291</v>
      </c>
      <c r="AW50" s="99">
        <f t="shared" si="78"/>
        <v>6898.3203722494272</v>
      </c>
      <c r="AX50" s="105">
        <v>4.5110035062142249</v>
      </c>
      <c r="AY50" s="106">
        <f t="shared" si="105"/>
        <v>4.552724537006454</v>
      </c>
      <c r="AZ50" s="105">
        <v>4.9324781355183447</v>
      </c>
      <c r="BA50" s="81">
        <f t="shared" ref="BA50" si="793">AVERAGE(AZ47:AZ50)</f>
        <v>5.0428879628140795</v>
      </c>
      <c r="BB50" s="492">
        <v>4.9378723404255336</v>
      </c>
      <c r="BC50" s="493">
        <f t="shared" si="35"/>
        <v>5.0945923831026168</v>
      </c>
      <c r="BD50" s="105">
        <v>6.5710144927536271</v>
      </c>
      <c r="BE50" s="106">
        <f t="shared" ref="BE50" si="794">AVERAGE(BD47:BD50)</f>
        <v>6.233343949993511</v>
      </c>
      <c r="BF50" s="105">
        <v>4.2590361445783138</v>
      </c>
      <c r="BG50" s="106">
        <f t="shared" si="37"/>
        <v>4.5425443722573284</v>
      </c>
      <c r="BH50" s="105">
        <v>4.8992053534085818</v>
      </c>
      <c r="BI50" s="107">
        <f t="shared" si="81"/>
        <v>4.736456578753125</v>
      </c>
      <c r="BJ50" s="487">
        <v>0.41349128450854777</v>
      </c>
      <c r="BK50" s="488">
        <f t="shared" si="108"/>
        <v>0.38277927767169206</v>
      </c>
      <c r="BL50" s="487">
        <v>0.60783962626323262</v>
      </c>
      <c r="BM50" s="489">
        <f t="shared" ref="BM50" si="795">AVERAGE(BL47:BL50)</f>
        <v>0.5700378455566304</v>
      </c>
      <c r="BN50" s="487"/>
      <c r="BO50" s="489" t="e">
        <f t="shared" ref="BO50" si="796">AVERAGE(BN47:BN50)</f>
        <v>#DIV/0!</v>
      </c>
      <c r="BP50" s="487">
        <v>0</v>
      </c>
      <c r="BQ50" s="489">
        <f t="shared" ref="BQ50" si="797">AVERAGE(BP47:BP50)</f>
        <v>0</v>
      </c>
      <c r="BR50" s="487"/>
      <c r="BS50" s="489" t="e">
        <f t="shared" ref="BS50" si="798">AVERAGE(BR47:BR50)</f>
        <v>#DIV/0!</v>
      </c>
      <c r="BT50" s="487">
        <v>0</v>
      </c>
      <c r="BU50" s="490">
        <f t="shared" si="86"/>
        <v>0</v>
      </c>
      <c r="BV50" s="74">
        <v>6152.8742857448788</v>
      </c>
      <c r="BW50" s="81">
        <f t="shared" si="113"/>
        <v>6152.7825038130013</v>
      </c>
      <c r="BX50" s="74">
        <v>6883.1510766846577</v>
      </c>
      <c r="BY50" s="81">
        <f t="shared" ref="BY50" si="799">AVERAGE(BX47:BX50)</f>
        <v>6847.8012148641983</v>
      </c>
      <c r="BZ50" s="494">
        <v>6642.7293617021342</v>
      </c>
      <c r="CA50" s="495">
        <f t="shared" si="43"/>
        <v>6654.2309212115251</v>
      </c>
      <c r="CB50" s="74">
        <v>8175.9623188405849</v>
      </c>
      <c r="CC50" s="81">
        <f t="shared" ref="CC50" si="800">AVERAGE(CB47:CB50)</f>
        <v>7766.8749255893699</v>
      </c>
      <c r="CD50" s="74">
        <v>6005.4216867469941</v>
      </c>
      <c r="CE50" s="81">
        <f t="shared" si="45"/>
        <v>6111.0213080477497</v>
      </c>
      <c r="CF50" s="74">
        <v>8366.1313258050395</v>
      </c>
      <c r="CG50" s="99">
        <f t="shared" si="89"/>
        <v>8023.0093898012228</v>
      </c>
      <c r="CH50" s="156">
        <v>2.4355672715616925E-2</v>
      </c>
      <c r="CI50" s="157">
        <f t="shared" si="113"/>
        <v>2.356615414026238E-2</v>
      </c>
      <c r="CJ50" s="156">
        <v>3.5355374528062165E-2</v>
      </c>
      <c r="CK50" s="81">
        <f t="shared" ref="CK50" si="801">AVERAGE(CJ47:CJ50)</f>
        <v>3.2933204127599501E-2</v>
      </c>
      <c r="CL50" s="491">
        <v>3.2340425531914907E-2</v>
      </c>
      <c r="CM50" s="483">
        <f t="shared" si="47"/>
        <v>3.1169586212640286E-2</v>
      </c>
      <c r="CN50" s="156">
        <v>5.5072463768115976E-2</v>
      </c>
      <c r="CO50" s="483">
        <f t="shared" ref="CO50" si="802">AVERAGE(CN47:CN50)</f>
        <v>4.242522631277032E-2</v>
      </c>
      <c r="CP50" s="156">
        <v>2.2891566265060247E-2</v>
      </c>
      <c r="CQ50" s="483">
        <f t="shared" si="49"/>
        <v>2.5976502437266354E-2</v>
      </c>
      <c r="CR50" s="156">
        <v>5.3952321204516568E-2</v>
      </c>
      <c r="CS50" s="158">
        <f t="shared" si="92"/>
        <v>4.4589777977968224E-2</v>
      </c>
      <c r="CT50" s="105">
        <v>41.42228386554082</v>
      </c>
      <c r="CU50" s="106">
        <f t="shared" si="118"/>
        <v>42.209329170286601</v>
      </c>
      <c r="CV50" s="105">
        <v>44.237393846389331</v>
      </c>
      <c r="CW50" s="81">
        <f t="shared" ref="CW50" si="803">AVERAGE(CV47:CV50)</f>
        <v>44.523389074603401</v>
      </c>
      <c r="CX50" s="492">
        <v>43.362553191489376</v>
      </c>
      <c r="CY50" s="493">
        <f t="shared" si="51"/>
        <v>43.734624381845421</v>
      </c>
      <c r="CZ50" s="105">
        <v>48.971014492753646</v>
      </c>
      <c r="DA50" s="106">
        <f t="shared" ref="DA50" si="804">AVERAGE(CZ47:CZ50)</f>
        <v>47.868609276820344</v>
      </c>
      <c r="DB50" s="105">
        <v>41.031325301204831</v>
      </c>
      <c r="DC50" s="106">
        <f t="shared" si="53"/>
        <v>41.699530846018583</v>
      </c>
      <c r="DD50" s="105">
        <v>49.63362609786666</v>
      </c>
      <c r="DE50" s="107">
        <f t="shared" si="95"/>
        <v>48.910916394961241</v>
      </c>
    </row>
    <row r="51" spans="1:109" x14ac:dyDescent="0.25">
      <c r="A51" s="155">
        <f t="shared" si="15"/>
        <v>45478</v>
      </c>
      <c r="B51" s="74">
        <v>39.303563530882833</v>
      </c>
      <c r="C51" s="81">
        <f t="shared" si="96"/>
        <v>39.556837300762119</v>
      </c>
      <c r="D51" s="74">
        <v>41.137692454889375</v>
      </c>
      <c r="E51" s="81">
        <f t="shared" si="16"/>
        <v>40.827966136204324</v>
      </c>
      <c r="F51" s="74">
        <v>41.242634315424631</v>
      </c>
      <c r="G51" s="81">
        <f t="shared" si="16"/>
        <v>40.881482087035252</v>
      </c>
      <c r="H51" s="74">
        <v>42.367567567567598</v>
      </c>
      <c r="I51" s="81">
        <f t="shared" ref="I51" si="805">AVERAGE(H48:H51)</f>
        <v>42.650479457352901</v>
      </c>
      <c r="J51" s="74">
        <v>40.71173469387756</v>
      </c>
      <c r="K51" s="81">
        <f t="shared" si="18"/>
        <v>40.041608846098697</v>
      </c>
      <c r="L51" s="74">
        <v>40.597610879576671</v>
      </c>
      <c r="M51" s="99">
        <f t="shared" ref="M51" si="806">AVERAGE(L48:L51)</f>
        <v>40.540626759438695</v>
      </c>
      <c r="N51" s="156">
        <v>7.276969550868323E-2</v>
      </c>
      <c r="O51" s="157">
        <f t="shared" si="96"/>
        <v>6.5049152389950141E-2</v>
      </c>
      <c r="P51" s="156">
        <v>7.7603871822234841E-2</v>
      </c>
      <c r="Q51" s="157">
        <f t="shared" si="20"/>
        <v>7.710590538997579E-2</v>
      </c>
      <c r="R51" s="491">
        <v>8.1455805892547695E-2</v>
      </c>
      <c r="S51" s="483">
        <f t="shared" si="21"/>
        <v>7.9906260173193536E-2</v>
      </c>
      <c r="T51" s="156">
        <v>0.11081081081081089</v>
      </c>
      <c r="U51" s="157">
        <f t="shared" si="22"/>
        <v>0.10448689464034742</v>
      </c>
      <c r="V51" s="156">
        <v>6.760204081632655E-2</v>
      </c>
      <c r="W51" s="157">
        <f t="shared" si="23"/>
        <v>6.7429219428735365E-2</v>
      </c>
      <c r="X51" s="156">
        <v>5.7779955893125928E-2</v>
      </c>
      <c r="Y51" s="158">
        <f t="shared" si="24"/>
        <v>6.1524328089970839E-2</v>
      </c>
      <c r="Z51" s="156">
        <v>0.16300689272151841</v>
      </c>
      <c r="AA51" s="157">
        <f t="shared" si="99"/>
        <v>0.14874820965805075</v>
      </c>
      <c r="AB51" s="156">
        <v>0.14719673281811615</v>
      </c>
      <c r="AC51" s="81">
        <f t="shared" ref="AC51" si="807">AVERAGE(AB48:AB51)</f>
        <v>0.1434462890535545</v>
      </c>
      <c r="AD51" s="491">
        <v>0.1573186852120794</v>
      </c>
      <c r="AE51" s="483">
        <f t="shared" si="26"/>
        <v>0.15102090658920672</v>
      </c>
      <c r="AF51" s="156">
        <v>0.24656457095316511</v>
      </c>
      <c r="AG51" s="483">
        <f t="shared" ref="AG51" si="808">AVERAGE(AF48:AF51)</f>
        <v>0.2206490577406082</v>
      </c>
      <c r="AH51" s="156">
        <v>0.12386947789955406</v>
      </c>
      <c r="AI51" s="483">
        <f t="shared" si="28"/>
        <v>0.12403740617892584</v>
      </c>
      <c r="AJ51" s="156">
        <v>0.1074469101427227</v>
      </c>
      <c r="AK51" s="158">
        <f t="shared" si="29"/>
        <v>0.11094887272758147</v>
      </c>
      <c r="AL51" s="74">
        <v>7799.4272097431476</v>
      </c>
      <c r="AM51" s="81">
        <f t="shared" si="102"/>
        <v>7750.0679350440305</v>
      </c>
      <c r="AN51" s="74">
        <v>7422.089793031736</v>
      </c>
      <c r="AO51" s="81">
        <f t="shared" ref="AO51" si="809">AVERAGE(AN48:AN51)</f>
        <v>7399.0922120520936</v>
      </c>
      <c r="AP51" s="494">
        <v>7525.9254766031199</v>
      </c>
      <c r="AQ51" s="495">
        <f t="shared" si="31"/>
        <v>7491.3030698487646</v>
      </c>
      <c r="AR51" s="74">
        <v>7597.4675675675744</v>
      </c>
      <c r="AS51" s="81">
        <f t="shared" ref="AS51" si="810">AVERAGE(AR48:AR51)</f>
        <v>7615.6255479630236</v>
      </c>
      <c r="AT51" s="74">
        <v>7492.1619897959145</v>
      </c>
      <c r="AU51" s="81">
        <f t="shared" si="33"/>
        <v>7429.1840196244166</v>
      </c>
      <c r="AV51" s="74">
        <v>6887.7011394394613</v>
      </c>
      <c r="AW51" s="99">
        <f t="shared" si="78"/>
        <v>6885.1830966028456</v>
      </c>
      <c r="AX51" s="105">
        <v>4.3236148408373101</v>
      </c>
      <c r="AY51" s="106">
        <f t="shared" si="105"/>
        <v>4.5234789518546714</v>
      </c>
      <c r="AZ51" s="105">
        <v>4.8063192179812422</v>
      </c>
      <c r="BA51" s="81">
        <f t="shared" ref="BA51" si="811">AVERAGE(AZ48:AZ51)</f>
        <v>4.9428245073730945</v>
      </c>
      <c r="BB51" s="492">
        <v>4.7989601386481828</v>
      </c>
      <c r="BC51" s="493">
        <f t="shared" si="35"/>
        <v>4.9715800518340645</v>
      </c>
      <c r="BD51" s="105">
        <v>5.4594594594594641</v>
      </c>
      <c r="BE51" s="106">
        <f t="shared" ref="BE51" si="812">AVERAGE(BD48:BD51)</f>
        <v>6.0067598837419869</v>
      </c>
      <c r="BF51" s="105">
        <v>4.4872448979591848</v>
      </c>
      <c r="BG51" s="106">
        <f t="shared" si="37"/>
        <v>4.4751584302772329</v>
      </c>
      <c r="BH51" s="105">
        <v>4.8441925998593387</v>
      </c>
      <c r="BI51" s="107">
        <f t="shared" si="81"/>
        <v>4.754641728486722</v>
      </c>
      <c r="BJ51" s="487">
        <v>0.3560874717765114</v>
      </c>
      <c r="BK51" s="488">
        <f t="shared" si="108"/>
        <v>0.38142897879878507</v>
      </c>
      <c r="BL51" s="487">
        <v>0.56884523080325156</v>
      </c>
      <c r="BM51" s="489">
        <f t="shared" ref="BM51" si="813">AVERAGE(BL48:BL51)</f>
        <v>0.56936738195959669</v>
      </c>
      <c r="BN51" s="487"/>
      <c r="BO51" s="489" t="e">
        <f t="shared" ref="BO51" si="814">AVERAGE(BN48:BN51)</f>
        <v>#DIV/0!</v>
      </c>
      <c r="BP51" s="487">
        <v>0</v>
      </c>
      <c r="BQ51" s="489">
        <f t="shared" ref="BQ51" si="815">AVERAGE(BP48:BP51)</f>
        <v>0</v>
      </c>
      <c r="BR51" s="487"/>
      <c r="BS51" s="489" t="e">
        <f t="shared" ref="BS51" si="816">AVERAGE(BR48:BR51)</f>
        <v>#DIV/0!</v>
      </c>
      <c r="BT51" s="487">
        <v>0</v>
      </c>
      <c r="BU51" s="490">
        <f t="shared" si="86"/>
        <v>0</v>
      </c>
      <c r="BV51" s="74">
        <v>6033.3281656263161</v>
      </c>
      <c r="BW51" s="81">
        <f t="shared" si="113"/>
        <v>6130.0923948613199</v>
      </c>
      <c r="BX51" s="74">
        <v>6790.1467101991866</v>
      </c>
      <c r="BY51" s="81">
        <f t="shared" ref="BY51" si="817">AVERAGE(BX48:BX51)</f>
        <v>6871.9297936404982</v>
      </c>
      <c r="BZ51" s="494">
        <v>6567.2175043327588</v>
      </c>
      <c r="CA51" s="495">
        <f t="shared" si="43"/>
        <v>6673.2320638562296</v>
      </c>
      <c r="CB51" s="74">
        <v>7781.8621621621687</v>
      </c>
      <c r="CC51" s="81">
        <f t="shared" ref="CC51" si="818">AVERAGE(CB48:CB51)</f>
        <v>7854.5144566287227</v>
      </c>
      <c r="CD51" s="74">
        <v>5993.9795918367363</v>
      </c>
      <c r="CE51" s="81">
        <f t="shared" si="45"/>
        <v>6103.530668816853</v>
      </c>
      <c r="CF51" s="74">
        <v>7937.4482357624593</v>
      </c>
      <c r="CG51" s="99">
        <f t="shared" si="89"/>
        <v>8049.7300244667913</v>
      </c>
      <c r="CH51" s="156">
        <v>1.9336407403335792E-2</v>
      </c>
      <c r="CI51" s="157">
        <f t="shared" si="113"/>
        <v>2.2771662733071105E-2</v>
      </c>
      <c r="CJ51" s="156">
        <v>3.0557571021708984E-2</v>
      </c>
      <c r="CK51" s="81">
        <f t="shared" ref="CK51" si="819">AVERAGE(CJ48:CJ51)</f>
        <v>3.2886934184607898E-2</v>
      </c>
      <c r="CL51" s="491">
        <v>2.859618717504334E-2</v>
      </c>
      <c r="CM51" s="483">
        <f t="shared" si="47"/>
        <v>3.1220841208293867E-2</v>
      </c>
      <c r="CN51" s="156">
        <v>5.1351351351351396E-2</v>
      </c>
      <c r="CO51" s="483">
        <f t="shared" ref="CO51" si="820">AVERAGE(CN48:CN51)</f>
        <v>4.4574228046095093E-2</v>
      </c>
      <c r="CP51" s="156">
        <v>1.7857142857142863E-2</v>
      </c>
      <c r="CQ51" s="483">
        <f t="shared" si="49"/>
        <v>2.512791920231949E-2</v>
      </c>
      <c r="CR51" s="156">
        <v>4.0651801029611037E-2</v>
      </c>
      <c r="CS51" s="158">
        <f t="shared" si="92"/>
        <v>4.4781414578257468E-2</v>
      </c>
      <c r="CT51" s="105">
        <v>40.681681220161956</v>
      </c>
      <c r="CU51" s="106">
        <f t="shared" si="118"/>
        <v>41.785900709913271</v>
      </c>
      <c r="CV51" s="105">
        <v>43.525562314935755</v>
      </c>
      <c r="CW51" s="81">
        <f t="shared" ref="CW51" si="821">AVERAGE(CV48:CV51)</f>
        <v>44.289026640053038</v>
      </c>
      <c r="CX51" s="492">
        <v>42.409878682842312</v>
      </c>
      <c r="CY51" s="493">
        <f t="shared" si="51"/>
        <v>43.439026229212153</v>
      </c>
      <c r="CZ51" s="105">
        <v>48.681081081081125</v>
      </c>
      <c r="DA51" s="106">
        <f t="shared" ref="DA51" si="822">AVERAGE(CZ48:CZ51)</f>
        <v>48.255031566092995</v>
      </c>
      <c r="DB51" s="105">
        <v>39.450255102040835</v>
      </c>
      <c r="DC51" s="106">
        <f t="shared" si="53"/>
        <v>41.10430241373659</v>
      </c>
      <c r="DD51" s="105">
        <v>49.267409948456326</v>
      </c>
      <c r="DE51" s="107">
        <f t="shared" si="95"/>
        <v>49.081531609272702</v>
      </c>
    </row>
    <row r="52" spans="1:109" x14ac:dyDescent="0.25">
      <c r="A52" s="155">
        <f t="shared" si="15"/>
        <v>45485</v>
      </c>
      <c r="B52" s="74">
        <v>39.381209959768519</v>
      </c>
      <c r="C52" s="81">
        <f t="shared" si="96"/>
        <v>39.546591995967887</v>
      </c>
      <c r="D52" s="74">
        <v>40.642666377775427</v>
      </c>
      <c r="E52" s="81">
        <f t="shared" si="16"/>
        <v>40.860738192958912</v>
      </c>
      <c r="F52" s="74">
        <v>40.658835546476027</v>
      </c>
      <c r="G52" s="81">
        <f t="shared" si="16"/>
        <v>40.922808747597315</v>
      </c>
      <c r="H52" s="74">
        <v>42.836990595611297</v>
      </c>
      <c r="I52" s="81">
        <f t="shared" ref="I52" si="823">AVERAGE(H49:H52)</f>
        <v>42.704995648455196</v>
      </c>
      <c r="J52" s="74">
        <v>39.606060606060645</v>
      </c>
      <c r="K52" s="81">
        <f t="shared" si="18"/>
        <v>40.090259414280517</v>
      </c>
      <c r="L52" s="74">
        <v>40.55824175824192</v>
      </c>
      <c r="M52" s="99">
        <f t="shared" ref="M52" si="824">AVERAGE(L49:L52)</f>
        <v>40.5268989978387</v>
      </c>
      <c r="N52" s="156">
        <v>7.1365643088882977E-2</v>
      </c>
      <c r="O52" s="157">
        <f t="shared" si="96"/>
        <v>6.6131638989007174E-2</v>
      </c>
      <c r="P52" s="156">
        <v>7.5326302502182099E-2</v>
      </c>
      <c r="Q52" s="157">
        <f t="shared" si="20"/>
        <v>7.4855786871946869E-2</v>
      </c>
      <c r="R52" s="491">
        <v>7.7630234933605768E-2</v>
      </c>
      <c r="S52" s="483">
        <f t="shared" si="21"/>
        <v>7.7527796473462945E-2</v>
      </c>
      <c r="T52" s="156">
        <v>8.150470219435739E-2</v>
      </c>
      <c r="U52" s="157">
        <f t="shared" si="22"/>
        <v>9.8648236429345962E-2</v>
      </c>
      <c r="V52" s="156">
        <v>7.5757575757575829E-2</v>
      </c>
      <c r="W52" s="157">
        <f t="shared" si="23"/>
        <v>6.6837363368129316E-2</v>
      </c>
      <c r="X52" s="156">
        <v>6.3296703296703574E-2</v>
      </c>
      <c r="Y52" s="158">
        <f t="shared" si="24"/>
        <v>6.0230515519562711E-2</v>
      </c>
      <c r="Z52" s="156">
        <v>0.1560050086487185</v>
      </c>
      <c r="AA52" s="157">
        <f t="shared" si="99"/>
        <v>0.1505152125504215</v>
      </c>
      <c r="AB52" s="156">
        <v>0.14030673354118639</v>
      </c>
      <c r="AC52" s="81">
        <f t="shared" ref="AC52" si="825">AVERAGE(AB49:AB52)</f>
        <v>0.14007926945958107</v>
      </c>
      <c r="AD52" s="491">
        <v>0.14721422856687794</v>
      </c>
      <c r="AE52" s="483">
        <f t="shared" si="26"/>
        <v>0.14752332148264521</v>
      </c>
      <c r="AF52" s="156">
        <v>0.1384619386029462</v>
      </c>
      <c r="AG52" s="483">
        <f t="shared" ref="AG52" si="826">AVERAGE(AF49:AF52)</f>
        <v>0.19889644298455761</v>
      </c>
      <c r="AH52" s="156">
        <v>0.15037370112764237</v>
      </c>
      <c r="AI52" s="483">
        <f t="shared" si="28"/>
        <v>0.12724598039072182</v>
      </c>
      <c r="AJ52" s="156">
        <v>0.11281582223537803</v>
      </c>
      <c r="AK52" s="158">
        <f t="shared" si="29"/>
        <v>0.10885421612626181</v>
      </c>
      <c r="AL52" s="74">
        <v>7507.2621972031193</v>
      </c>
      <c r="AM52" s="81">
        <f t="shared" si="102"/>
        <v>7732.5318622138657</v>
      </c>
      <c r="AN52" s="74">
        <v>7325.270509618862</v>
      </c>
      <c r="AO52" s="81">
        <f t="shared" ref="AO52" si="827">AVERAGE(AN49:AN52)</f>
        <v>7392.824955158484</v>
      </c>
      <c r="AP52" s="494">
        <v>7394.1828396322835</v>
      </c>
      <c r="AQ52" s="495">
        <f t="shared" si="31"/>
        <v>7483.0879945972156</v>
      </c>
      <c r="AR52" s="74">
        <v>7566.2131661442027</v>
      </c>
      <c r="AS52" s="81">
        <f t="shared" ref="AS52" si="828">AVERAGE(AR49:AR52)</f>
        <v>7612.7037755604533</v>
      </c>
      <c r="AT52" s="74">
        <v>7311.0348484848564</v>
      </c>
      <c r="AU52" s="81">
        <f t="shared" si="33"/>
        <v>7419.3828359122963</v>
      </c>
      <c r="AV52" s="74">
        <v>6965.4562637362915</v>
      </c>
      <c r="AW52" s="99">
        <f t="shared" si="78"/>
        <v>6915.6699073106402</v>
      </c>
      <c r="AX52" s="105">
        <v>4.4815311916955736</v>
      </c>
      <c r="AY52" s="106">
        <f t="shared" si="105"/>
        <v>4.5233035785311566</v>
      </c>
      <c r="AZ52" s="105">
        <v>5.0446767120681768</v>
      </c>
      <c r="BA52" s="81">
        <f t="shared" ref="BA52" si="829">AVERAGE(AZ49:AZ52)</f>
        <v>4.945360641821317</v>
      </c>
      <c r="BB52" s="492">
        <v>5.086823289070483</v>
      </c>
      <c r="BC52" s="493">
        <f t="shared" si="35"/>
        <v>4.9719312580533668</v>
      </c>
      <c r="BD52" s="105">
        <v>5.877742946708465</v>
      </c>
      <c r="BE52" s="106">
        <f t="shared" ref="BE52" si="830">AVERAGE(BD49:BD52)</f>
        <v>5.9627685104446773</v>
      </c>
      <c r="BF52" s="105">
        <v>4.7045454545454586</v>
      </c>
      <c r="BG52" s="106">
        <f t="shared" si="37"/>
        <v>4.5031828147469302</v>
      </c>
      <c r="BH52" s="105">
        <v>4.8246153846154058</v>
      </c>
      <c r="BI52" s="107">
        <f t="shared" si="81"/>
        <v>4.7789411446832437</v>
      </c>
      <c r="BJ52" s="487">
        <v>0.36436544654689329</v>
      </c>
      <c r="BK52" s="488">
        <f t="shared" si="108"/>
        <v>0.37727209333983425</v>
      </c>
      <c r="BL52" s="487">
        <v>0.56579511361440593</v>
      </c>
      <c r="BM52" s="489">
        <f t="shared" ref="BM52" si="831">AVERAGE(BL49:BL52)</f>
        <v>0.57015144066502021</v>
      </c>
      <c r="BN52" s="487"/>
      <c r="BO52" s="489" t="e">
        <f t="shared" ref="BO52" si="832">AVERAGE(BN49:BN52)</f>
        <v>#DIV/0!</v>
      </c>
      <c r="BP52" s="487">
        <v>0</v>
      </c>
      <c r="BQ52" s="489">
        <f t="shared" ref="BQ52" si="833">AVERAGE(BP49:BP52)</f>
        <v>0</v>
      </c>
      <c r="BR52" s="487"/>
      <c r="BS52" s="489" t="e">
        <f t="shared" ref="BS52" si="834">AVERAGE(BR49:BR52)</f>
        <v>#DIV/0!</v>
      </c>
      <c r="BT52" s="487">
        <v>0</v>
      </c>
      <c r="BU52" s="490">
        <f t="shared" si="86"/>
        <v>0</v>
      </c>
      <c r="BV52" s="74">
        <v>6099.2653297219122</v>
      </c>
      <c r="BW52" s="81">
        <f t="shared" si="113"/>
        <v>6123.4442352570986</v>
      </c>
      <c r="BX52" s="74">
        <v>6923.8633603417229</v>
      </c>
      <c r="BY52" s="81">
        <f t="shared" ref="BY52" si="835">AVERAGE(BX49:BX52)</f>
        <v>6889.1833947991536</v>
      </c>
      <c r="BZ52" s="494">
        <v>6745.0194075587378</v>
      </c>
      <c r="CA52" s="495">
        <f t="shared" si="43"/>
        <v>6681.0809623378036</v>
      </c>
      <c r="CB52" s="74">
        <v>7858.9937304075256</v>
      </c>
      <c r="CC52" s="81">
        <f t="shared" ref="CC52" si="836">AVERAGE(CB49:CB52)</f>
        <v>7893.7283623763815</v>
      </c>
      <c r="CD52" s="74">
        <v>6206.5984848484904</v>
      </c>
      <c r="CE52" s="81">
        <f t="shared" si="45"/>
        <v>6102.5910973206419</v>
      </c>
      <c r="CF52" s="74">
        <v>7857.6672527472801</v>
      </c>
      <c r="CG52" s="99">
        <f t="shared" si="89"/>
        <v>8003.9913749715406</v>
      </c>
      <c r="CH52" s="156">
        <v>2.5383855637828728E-2</v>
      </c>
      <c r="CI52" s="157">
        <f t="shared" si="113"/>
        <v>2.2811212994501655E-2</v>
      </c>
      <c r="CJ52" s="156">
        <v>3.9005572224556542E-2</v>
      </c>
      <c r="CK52" s="81">
        <f t="shared" ref="CK52" si="837">AVERAGE(CJ49:CJ52)</f>
        <v>3.3786400769300153E-2</v>
      </c>
      <c r="CL52" s="491">
        <v>3.8815117466802884E-2</v>
      </c>
      <c r="CM52" s="483">
        <f t="shared" si="47"/>
        <v>3.2080789686297434E-2</v>
      </c>
      <c r="CN52" s="156">
        <v>4.3887147335423204E-2</v>
      </c>
      <c r="CO52" s="483">
        <f t="shared" ref="CO52" si="838">AVERAGE(CN49:CN52)</f>
        <v>4.5315835851817893E-2</v>
      </c>
      <c r="CP52" s="156">
        <v>3.636363636363639E-2</v>
      </c>
      <c r="CQ52" s="483">
        <f t="shared" si="49"/>
        <v>2.6080807459895251E-2</v>
      </c>
      <c r="CR52" s="156">
        <v>4.0000000000000174E-2</v>
      </c>
      <c r="CS52" s="158">
        <f t="shared" si="92"/>
        <v>4.3452368490368931E-2</v>
      </c>
      <c r="CT52" s="105">
        <v>41.438239603320227</v>
      </c>
      <c r="CU52" s="106">
        <f t="shared" si="118"/>
        <v>41.619288080336787</v>
      </c>
      <c r="CV52" s="105">
        <v>44.289341177285493</v>
      </c>
      <c r="CW52" s="81">
        <f t="shared" ref="CW52" si="839">AVERAGE(CV49:CV52)</f>
        <v>44.060006470549681</v>
      </c>
      <c r="CX52" s="492">
        <v>43.549540347293188</v>
      </c>
      <c r="CY52" s="493">
        <f t="shared" si="51"/>
        <v>43.147809072722239</v>
      </c>
      <c r="CZ52" s="105">
        <v>48.25705329153606</v>
      </c>
      <c r="DA52" s="106">
        <f t="shared" ref="DA52" si="840">AVERAGE(CZ49:CZ52)</f>
        <v>48.452287216342725</v>
      </c>
      <c r="DB52" s="105">
        <v>41.274242424242466</v>
      </c>
      <c r="DC52" s="106">
        <f t="shared" si="53"/>
        <v>40.594738019797205</v>
      </c>
      <c r="DD52" s="105">
        <v>48.15208791208812</v>
      </c>
      <c r="DE52" s="107">
        <f t="shared" si="95"/>
        <v>48.931105133793402</v>
      </c>
    </row>
    <row r="53" spans="1:109" x14ac:dyDescent="0.25">
      <c r="A53" s="155">
        <f t="shared" si="15"/>
        <v>45492</v>
      </c>
      <c r="B53" s="74">
        <v>39.689567596112084</v>
      </c>
      <c r="C53" s="81">
        <f t="shared" si="96"/>
        <v>39.544147657535696</v>
      </c>
      <c r="D53" s="74">
        <v>40.890110488232096</v>
      </c>
      <c r="E53" s="81">
        <f t="shared" si="16"/>
        <v>40.835229429073422</v>
      </c>
      <c r="F53" s="74">
        <v>40.954298150163247</v>
      </c>
      <c r="G53" s="81">
        <f t="shared" si="16"/>
        <v>40.886707960462786</v>
      </c>
      <c r="H53" s="74">
        <v>42.835051546391753</v>
      </c>
      <c r="I53" s="81">
        <f t="shared" ref="I53" si="841">AVERAGE(H50:H53)</f>
        <v>42.888163296957885</v>
      </c>
      <c r="J53" s="74">
        <v>40.082802547770733</v>
      </c>
      <c r="K53" s="81">
        <f t="shared" si="18"/>
        <v>39.979667534216397</v>
      </c>
      <c r="L53" s="74">
        <v>40.582006026689804</v>
      </c>
      <c r="M53" s="99">
        <f t="shared" ref="M53" si="842">AVERAGE(L50:L53)</f>
        <v>40.570286497996541</v>
      </c>
      <c r="N53" s="156">
        <v>6.7107302791357765E-2</v>
      </c>
      <c r="O53" s="157">
        <f t="shared" si="96"/>
        <v>6.7460424558360432E-2</v>
      </c>
      <c r="P53" s="156">
        <v>7.2378935493946084E-2</v>
      </c>
      <c r="Q53" s="157">
        <f t="shared" si="20"/>
        <v>7.524229217172218E-2</v>
      </c>
      <c r="R53" s="491">
        <v>7.5081610446137148E-2</v>
      </c>
      <c r="S53" s="483">
        <f t="shared" si="21"/>
        <v>7.8116380903179045E-2</v>
      </c>
      <c r="T53" s="156">
        <v>8.9347079037800675E-2</v>
      </c>
      <c r="U53" s="157">
        <f t="shared" si="22"/>
        <v>9.3604053807843701E-2</v>
      </c>
      <c r="V53" s="156">
        <v>6.8471337579617889E-2</v>
      </c>
      <c r="W53" s="157">
        <f t="shared" si="23"/>
        <v>7.1030027695006576E-2</v>
      </c>
      <c r="X53" s="156">
        <v>5.9405940594059674E-2</v>
      </c>
      <c r="Y53" s="158">
        <f t="shared" si="24"/>
        <v>5.9967994153416776E-2</v>
      </c>
      <c r="Z53" s="156">
        <v>0.15381930814217995</v>
      </c>
      <c r="AA53" s="157">
        <f t="shared" si="99"/>
        <v>0.15267991803402459</v>
      </c>
      <c r="AB53" s="156">
        <v>0.13673731243117357</v>
      </c>
      <c r="AC53" s="81">
        <f t="shared" ref="AC53" si="843">AVERAGE(AB50:AB53)</f>
        <v>0.14271034825702411</v>
      </c>
      <c r="AD53" s="491">
        <v>0.14541682548980184</v>
      </c>
      <c r="AE53" s="483">
        <f t="shared" si="26"/>
        <v>0.15130635798461187</v>
      </c>
      <c r="AF53" s="156">
        <v>0.16727688339412597</v>
      </c>
      <c r="AG53" s="483">
        <f t="shared" ref="AG53" si="844">AVERAGE(AF50:AF53)</f>
        <v>0.18632509148100332</v>
      </c>
      <c r="AH53" s="156">
        <v>0.13799104110209798</v>
      </c>
      <c r="AI53" s="483">
        <f t="shared" si="28"/>
        <v>0.13879620727558242</v>
      </c>
      <c r="AJ53" s="156">
        <v>0.1049348909704388</v>
      </c>
      <c r="AK53" s="158">
        <f t="shared" si="29"/>
        <v>0.10753759956913624</v>
      </c>
      <c r="AL53" s="74">
        <v>7755.4298576355613</v>
      </c>
      <c r="AM53" s="81">
        <f t="shared" si="102"/>
        <v>7739.5104164323693</v>
      </c>
      <c r="AN53" s="74">
        <v>7551.7094402724279</v>
      </c>
      <c r="AO53" s="81">
        <f t="shared" ref="AO53" si="845">AVERAGE(AN50:AN53)</f>
        <v>7438.9700294902741</v>
      </c>
      <c r="AP53" s="494">
        <v>7701.6420021762833</v>
      </c>
      <c r="AQ53" s="495">
        <f t="shared" si="31"/>
        <v>7540.0697072624971</v>
      </c>
      <c r="AR53" s="74">
        <v>7597.0206185567004</v>
      </c>
      <c r="AS53" s="81">
        <f t="shared" ref="AS53" si="846">AVERAGE(AR50:AR53)</f>
        <v>7605.5767873424829</v>
      </c>
      <c r="AT53" s="74">
        <v>7750.1210191082873</v>
      </c>
      <c r="AU53" s="81">
        <f t="shared" si="33"/>
        <v>7510.1719342267825</v>
      </c>
      <c r="AV53" s="74">
        <v>6832.0245372363624</v>
      </c>
      <c r="AW53" s="99">
        <f t="shared" si="78"/>
        <v>6892.239606741352</v>
      </c>
      <c r="AX53" s="105">
        <v>4.3805207497544112</v>
      </c>
      <c r="AY53" s="106">
        <f t="shared" si="105"/>
        <v>4.488414713330128</v>
      </c>
      <c r="AZ53" s="105">
        <v>4.8384388158572831</v>
      </c>
      <c r="BA53" s="81">
        <f t="shared" ref="BA53" si="847">AVERAGE(AZ50:AZ53)</f>
        <v>4.9054782203562617</v>
      </c>
      <c r="BB53" s="492">
        <v>4.8628944504896658</v>
      </c>
      <c r="BC53" s="493">
        <f t="shared" si="35"/>
        <v>4.9216375546584663</v>
      </c>
      <c r="BD53" s="105">
        <v>6.0721649484536071</v>
      </c>
      <c r="BE53" s="106">
        <f t="shared" ref="BE53" si="848">AVERAGE(BD50:BD53)</f>
        <v>5.9950954618437908</v>
      </c>
      <c r="BF53" s="105">
        <v>4.3025477707006416</v>
      </c>
      <c r="BG53" s="106">
        <f t="shared" si="37"/>
        <v>4.4383435669458997</v>
      </c>
      <c r="BH53" s="105">
        <v>4.7210503659061773</v>
      </c>
      <c r="BI53" s="107">
        <f t="shared" si="81"/>
        <v>4.7684805099326519</v>
      </c>
      <c r="BJ53" s="487">
        <v>0.38494172903479851</v>
      </c>
      <c r="BK53" s="488">
        <f t="shared" si="108"/>
        <v>0.37392833818879556</v>
      </c>
      <c r="BL53" s="487">
        <v>0.56553341615807973</v>
      </c>
      <c r="BM53" s="489">
        <f t="shared" ref="BM53" si="849">AVERAGE(BL50:BL53)</f>
        <v>0.57700334670974252</v>
      </c>
      <c r="BN53" s="487"/>
      <c r="BO53" s="489" t="e">
        <f t="shared" ref="BO53" si="850">AVERAGE(BN50:BN53)</f>
        <v>#DIV/0!</v>
      </c>
      <c r="BP53" s="487">
        <v>0</v>
      </c>
      <c r="BQ53" s="489">
        <f t="shared" ref="BQ53" si="851">AVERAGE(BP50:BP53)</f>
        <v>0</v>
      </c>
      <c r="BR53" s="487"/>
      <c r="BS53" s="489" t="e">
        <f t="shared" ref="BS53" si="852">AVERAGE(BR50:BR53)</f>
        <v>#DIV/0!</v>
      </c>
      <c r="BT53" s="487">
        <v>0</v>
      </c>
      <c r="BU53" s="490">
        <f t="shared" si="86"/>
        <v>0</v>
      </c>
      <c r="BV53" s="74">
        <v>5773.3474760848294</v>
      </c>
      <c r="BW53" s="81">
        <f t="shared" si="113"/>
        <v>6046.9388973697787</v>
      </c>
      <c r="BX53" s="74">
        <v>6624.6487978294772</v>
      </c>
      <c r="BY53" s="81">
        <f t="shared" ref="BY53" si="853">AVERAGE(BX50:BX53)</f>
        <v>6805.4524862637609</v>
      </c>
      <c r="BZ53" s="494">
        <v>6375.2154515778047</v>
      </c>
      <c r="CA53" s="495">
        <f t="shared" si="43"/>
        <v>6582.5454312928596</v>
      </c>
      <c r="CB53" s="74">
        <v>7400.9484536082464</v>
      </c>
      <c r="CC53" s="81">
        <f t="shared" ref="CC53" si="854">AVERAGE(CB50:CB53)</f>
        <v>7804.4416662546309</v>
      </c>
      <c r="CD53" s="74">
        <v>5899.9156050955462</v>
      </c>
      <c r="CE53" s="81">
        <f t="shared" si="45"/>
        <v>6026.4788421319417</v>
      </c>
      <c r="CF53" s="74">
        <v>7821.9431769264293</v>
      </c>
      <c r="CG53" s="99">
        <f t="shared" si="89"/>
        <v>7932.4824940308181</v>
      </c>
      <c r="CH53" s="156">
        <v>2.0415767613926453E-2</v>
      </c>
      <c r="CI53" s="157">
        <f t="shared" si="113"/>
        <v>2.1921542997284969E-2</v>
      </c>
      <c r="CJ53" s="156">
        <v>2.9648248664954333E-2</v>
      </c>
      <c r="CK53" s="81">
        <f t="shared" ref="CK53" si="855">AVERAGE(CJ50:CJ53)</f>
        <v>3.3641691609820508E-2</v>
      </c>
      <c r="CL53" s="491">
        <v>2.8291621327529944E-2</v>
      </c>
      <c r="CM53" s="483">
        <f t="shared" si="47"/>
        <v>3.2010837875322766E-2</v>
      </c>
      <c r="CN53" s="156">
        <v>4.4673539518900338E-2</v>
      </c>
      <c r="CO53" s="483">
        <f t="shared" ref="CO53" si="856">AVERAGE(CN50:CN53)</f>
        <v>4.8746125493447728E-2</v>
      </c>
      <c r="CP53" s="156">
        <v>2.0700636942675179E-2</v>
      </c>
      <c r="CQ53" s="483">
        <f t="shared" si="49"/>
        <v>2.4453245607128672E-2</v>
      </c>
      <c r="CR53" s="156">
        <v>3.6160137752905892E-2</v>
      </c>
      <c r="CS53" s="158">
        <f t="shared" si="92"/>
        <v>4.1475245312212604E-2</v>
      </c>
      <c r="CT53" s="105">
        <v>42.054119450198854</v>
      </c>
      <c r="CU53" s="106">
        <f t="shared" si="118"/>
        <v>41.533949447378347</v>
      </c>
      <c r="CV53" s="105">
        <v>45.350024492287368</v>
      </c>
      <c r="CW53" s="81">
        <f t="shared" ref="CW53" si="857">AVERAGE(CV50:CV53)</f>
        <v>44.350580457724483</v>
      </c>
      <c r="CX53" s="492">
        <v>44.633297062023956</v>
      </c>
      <c r="CY53" s="493">
        <f t="shared" si="51"/>
        <v>43.488817320912212</v>
      </c>
      <c r="CZ53" s="105">
        <v>51.103092783505147</v>
      </c>
      <c r="DA53" s="106">
        <f t="shared" ref="DA53" si="858">AVERAGE(CZ50:CZ53)</f>
        <v>49.253060412219</v>
      </c>
      <c r="DB53" s="105">
        <v>41.635350318471374</v>
      </c>
      <c r="DC53" s="106">
        <f t="shared" si="53"/>
        <v>40.847793286489875</v>
      </c>
      <c r="DD53" s="105">
        <v>48.790357296599453</v>
      </c>
      <c r="DE53" s="107">
        <f t="shared" si="95"/>
        <v>48.950501868640188</v>
      </c>
    </row>
    <row r="54" spans="1:109" x14ac:dyDescent="0.25">
      <c r="A54" s="155">
        <f t="shared" si="15"/>
        <v>45499</v>
      </c>
      <c r="B54" s="74">
        <v>40.057100443112617</v>
      </c>
      <c r="C54" s="81">
        <f t="shared" si="96"/>
        <v>39.609316950373127</v>
      </c>
      <c r="D54" s="74">
        <v>41.207599228647823</v>
      </c>
      <c r="E54" s="81">
        <f t="shared" si="16"/>
        <v>40.969517137386177</v>
      </c>
      <c r="F54" s="74">
        <v>41.346960167714911</v>
      </c>
      <c r="G54" s="81">
        <f t="shared" si="16"/>
        <v>41.050682044944708</v>
      </c>
      <c r="H54" s="74">
        <v>43.375838926174502</v>
      </c>
      <c r="I54" s="81">
        <f t="shared" ref="I54" si="859">AVERAGE(H51:H54)</f>
        <v>42.853862158936288</v>
      </c>
      <c r="J54" s="74">
        <v>40.425304878048827</v>
      </c>
      <c r="K54" s="81">
        <f t="shared" si="18"/>
        <v>40.206475681439443</v>
      </c>
      <c r="L54" s="74">
        <v>40.456956724057861</v>
      </c>
      <c r="M54" s="99">
        <f t="shared" ref="M54" si="860">AVERAGE(L51:L54)</f>
        <v>40.548703847141567</v>
      </c>
      <c r="N54" s="156">
        <v>6.1814952176485589E-2</v>
      </c>
      <c r="O54" s="157">
        <f t="shared" si="96"/>
        <v>6.7728142736215899E-2</v>
      </c>
      <c r="P54" s="156">
        <v>6.6719128741309919E-2</v>
      </c>
      <c r="Q54" s="157">
        <f t="shared" si="20"/>
        <v>7.3007059639918243E-2</v>
      </c>
      <c r="R54" s="491">
        <v>6.8134171907756863E-2</v>
      </c>
      <c r="S54" s="483">
        <f t="shared" si="21"/>
        <v>7.5575455795011875E-2</v>
      </c>
      <c r="T54" s="156">
        <v>8.3892617449664433E-2</v>
      </c>
      <c r="U54" s="157">
        <f t="shared" si="22"/>
        <v>9.1388802373158343E-2</v>
      </c>
      <c r="V54" s="156">
        <v>6.0975609756097615E-2</v>
      </c>
      <c r="W54" s="157">
        <f t="shared" si="23"/>
        <v>6.8201640977404471E-2</v>
      </c>
      <c r="X54" s="156">
        <v>5.9097254536994194E-2</v>
      </c>
      <c r="Y54" s="158">
        <f t="shared" si="24"/>
        <v>5.9894963580220839E-2</v>
      </c>
      <c r="Z54" s="156">
        <v>0.14616101789387492</v>
      </c>
      <c r="AA54" s="157">
        <f t="shared" si="99"/>
        <v>0.15270968000633386</v>
      </c>
      <c r="AB54" s="156">
        <v>0.12331296002548181</v>
      </c>
      <c r="AC54" s="81">
        <f t="shared" ref="AC54" si="861">AVERAGE(AB51:AB54)</f>
        <v>0.13688843470398948</v>
      </c>
      <c r="AD54" s="491">
        <v>0.12797535268797072</v>
      </c>
      <c r="AE54" s="483">
        <f t="shared" si="26"/>
        <v>0.14448127298918245</v>
      </c>
      <c r="AF54" s="156">
        <v>0.17370479423736837</v>
      </c>
      <c r="AG54" s="483">
        <f t="shared" ref="AG54" si="862">AVERAGE(AF51:AF54)</f>
        <v>0.18150204679690141</v>
      </c>
      <c r="AH54" s="156">
        <v>0.1119488858453539</v>
      </c>
      <c r="AI54" s="483">
        <f t="shared" si="28"/>
        <v>0.13104577649366206</v>
      </c>
      <c r="AJ54" s="156">
        <v>0.10499652571919163</v>
      </c>
      <c r="AK54" s="158">
        <f t="shared" si="29"/>
        <v>0.10754853726693278</v>
      </c>
      <c r="AL54" s="74">
        <v>7621.1835203127839</v>
      </c>
      <c r="AM54" s="81">
        <f t="shared" si="102"/>
        <v>7701.8981774393551</v>
      </c>
      <c r="AN54" s="74">
        <v>7391.6914258754759</v>
      </c>
      <c r="AO54" s="81">
        <f t="shared" ref="AO54" si="863">AVERAGE(AN51:AN54)</f>
        <v>7422.6902921996261</v>
      </c>
      <c r="AP54" s="494">
        <v>7489.6184486373231</v>
      </c>
      <c r="AQ54" s="495">
        <f t="shared" si="31"/>
        <v>7527.8421917622527</v>
      </c>
      <c r="AR54" s="74">
        <v>8128.6778523489929</v>
      </c>
      <c r="AS54" s="81">
        <f t="shared" ref="AS54" si="864">AVERAGE(AR51:AR54)</f>
        <v>7722.3448011543678</v>
      </c>
      <c r="AT54" s="74">
        <v>7199.3140243902544</v>
      </c>
      <c r="AU54" s="81">
        <f t="shared" si="33"/>
        <v>7438.1579704448286</v>
      </c>
      <c r="AV54" s="74">
        <v>6864.2252210330544</v>
      </c>
      <c r="AW54" s="99">
        <f t="shared" si="78"/>
        <v>6886.3018843551663</v>
      </c>
      <c r="AX54" s="105">
        <v>4.5076848170957993</v>
      </c>
      <c r="AY54" s="106">
        <f t="shared" si="105"/>
        <v>4.4729915978851702</v>
      </c>
      <c r="AZ54" s="105">
        <v>5.0614923517157067</v>
      </c>
      <c r="BA54" s="81">
        <f t="shared" ref="BA54" si="865">AVERAGE(AZ51:AZ54)</f>
        <v>4.9377317744056022</v>
      </c>
      <c r="BB54" s="492">
        <v>5.0859538784067118</v>
      </c>
      <c r="BC54" s="493">
        <f t="shared" si="35"/>
        <v>4.9586579391537606</v>
      </c>
      <c r="BD54" s="105">
        <v>6.0939597315436238</v>
      </c>
      <c r="BE54" s="106">
        <f t="shared" ref="BE54" si="866">AVERAGE(BD51:BD54)</f>
        <v>5.8758317715412902</v>
      </c>
      <c r="BF54" s="105">
        <v>4.6280487804878092</v>
      </c>
      <c r="BG54" s="106">
        <f t="shared" si="37"/>
        <v>4.5305967259232736</v>
      </c>
      <c r="BH54" s="105">
        <v>4.9297347603536723</v>
      </c>
      <c r="BI54" s="107">
        <f t="shared" si="81"/>
        <v>4.800406239446005</v>
      </c>
      <c r="BJ54" s="487">
        <v>0.39232963069273991</v>
      </c>
      <c r="BK54" s="488">
        <f t="shared" si="108"/>
        <v>0.37751637154717105</v>
      </c>
      <c r="BL54" s="487">
        <v>0.57995851612722515</v>
      </c>
      <c r="BM54" s="489">
        <f t="shared" ref="BM54" si="867">AVERAGE(BL51:BL54)</f>
        <v>0.5700330691757407</v>
      </c>
      <c r="BN54" s="487"/>
      <c r="BO54" s="489" t="e">
        <f t="shared" ref="BO54" si="868">AVERAGE(BN51:BN54)</f>
        <v>#DIV/0!</v>
      </c>
      <c r="BP54" s="487">
        <v>0</v>
      </c>
      <c r="BQ54" s="489">
        <f t="shared" ref="BQ54" si="869">AVERAGE(BP51:BP54)</f>
        <v>0</v>
      </c>
      <c r="BR54" s="487"/>
      <c r="BS54" s="489" t="e">
        <f t="shared" ref="BS54" si="870">AVERAGE(BR51:BR54)</f>
        <v>#DIV/0!</v>
      </c>
      <c r="BT54" s="487">
        <v>0</v>
      </c>
      <c r="BU54" s="490">
        <f t="shared" si="86"/>
        <v>0</v>
      </c>
      <c r="BV54" s="74">
        <v>5811.2958659313344</v>
      </c>
      <c r="BW54" s="81">
        <f t="shared" si="113"/>
        <v>6031.874984923089</v>
      </c>
      <c r="BX54" s="74">
        <v>6503.5290167833446</v>
      </c>
      <c r="BY54" s="81">
        <f t="shared" ref="BY54" si="871">AVERAGE(BX51:BX54)</f>
        <v>6710.5469712884333</v>
      </c>
      <c r="BZ54" s="494">
        <v>6152.4129979035688</v>
      </c>
      <c r="CA54" s="495">
        <f t="shared" si="43"/>
        <v>6459.9663403432178</v>
      </c>
      <c r="CB54" s="74">
        <v>7111.8187919463107</v>
      </c>
      <c r="CC54" s="81">
        <f t="shared" ref="CC54" si="872">AVERAGE(CB51:CB54)</f>
        <v>7538.4057845310635</v>
      </c>
      <c r="CD54" s="74">
        <v>5716.5853658536644</v>
      </c>
      <c r="CE54" s="81">
        <f t="shared" si="45"/>
        <v>5954.2697619086093</v>
      </c>
      <c r="CF54" s="74">
        <v>8394.7519776640638</v>
      </c>
      <c r="CG54" s="99">
        <f t="shared" si="89"/>
        <v>8004.1548061255862</v>
      </c>
      <c r="CH54" s="156">
        <v>2.1696196561924345E-2</v>
      </c>
      <c r="CI54" s="157">
        <f t="shared" si="113"/>
        <v>2.2171441222277495E-2</v>
      </c>
      <c r="CJ54" s="156">
        <v>3.165697575462869E-2</v>
      </c>
      <c r="CK54" s="81">
        <f t="shared" ref="CK54" si="873">AVERAGE(CJ51:CJ54)</f>
        <v>3.2717091916462139E-2</v>
      </c>
      <c r="CL54" s="491">
        <v>2.7253668763102746E-2</v>
      </c>
      <c r="CM54" s="483">
        <f t="shared" si="47"/>
        <v>3.0739148683119725E-2</v>
      </c>
      <c r="CN54" s="156">
        <v>4.362416107382551E-2</v>
      </c>
      <c r="CO54" s="483">
        <f t="shared" ref="CO54" si="874">AVERAGE(CN51:CN54)</f>
        <v>4.5884049819875108E-2</v>
      </c>
      <c r="CP54" s="156">
        <v>1.9817073170731728E-2</v>
      </c>
      <c r="CQ54" s="483">
        <f t="shared" si="49"/>
        <v>2.368462233354654E-2</v>
      </c>
      <c r="CR54" s="156">
        <v>5.537459283387644E-2</v>
      </c>
      <c r="CS54" s="158">
        <f t="shared" si="92"/>
        <v>4.3003601675992688E-2</v>
      </c>
      <c r="CT54" s="105">
        <v>42.012379489341285</v>
      </c>
      <c r="CU54" s="106">
        <f t="shared" si="118"/>
        <v>41.62011270550034</v>
      </c>
      <c r="CV54" s="105">
        <v>44.119555237953712</v>
      </c>
      <c r="CW54" s="81">
        <f t="shared" ref="CW54" si="875">AVERAGE(CV51:CV54)</f>
        <v>44.321120805615578</v>
      </c>
      <c r="CX54" s="492">
        <v>43.157232704402546</v>
      </c>
      <c r="CY54" s="493">
        <f t="shared" si="51"/>
        <v>43.437487199140506</v>
      </c>
      <c r="CZ54" s="105">
        <v>49.577181208053702</v>
      </c>
      <c r="DA54" s="106">
        <f t="shared" ref="DA54" si="876">AVERAGE(CZ51:CZ54)</f>
        <v>49.404602091044005</v>
      </c>
      <c r="DB54" s="105">
        <v>40.240853658536622</v>
      </c>
      <c r="DC54" s="106">
        <f t="shared" si="53"/>
        <v>40.650175375822826</v>
      </c>
      <c r="DD54" s="105">
        <v>49.302931596091405</v>
      </c>
      <c r="DE54" s="107">
        <f t="shared" si="95"/>
        <v>48.904851101014536</v>
      </c>
    </row>
    <row r="55" spans="1:109" x14ac:dyDescent="0.25">
      <c r="A55" s="155">
        <f t="shared" si="15"/>
        <v>45506</v>
      </c>
      <c r="B55" s="74">
        <v>39.286990072913383</v>
      </c>
      <c r="C55" s="81">
        <f t="shared" si="96"/>
        <v>39.588077438642998</v>
      </c>
      <c r="D55" s="74">
        <v>40.595508052281154</v>
      </c>
      <c r="E55" s="81">
        <f t="shared" si="16"/>
        <v>40.833971036734127</v>
      </c>
      <c r="F55" s="74">
        <v>40.577220077220105</v>
      </c>
      <c r="G55" s="81">
        <f t="shared" si="16"/>
        <v>40.884328485393567</v>
      </c>
      <c r="H55" s="74">
        <v>43.176100628930826</v>
      </c>
      <c r="I55" s="81">
        <f t="shared" ref="I55" si="877">AVERAGE(H52:H55)</f>
        <v>43.0559954242771</v>
      </c>
      <c r="J55" s="74">
        <v>39.426183844011163</v>
      </c>
      <c r="K55" s="81">
        <f t="shared" si="18"/>
        <v>39.88508796897284</v>
      </c>
      <c r="L55" s="74">
        <v>40.700000000000102</v>
      </c>
      <c r="M55" s="99">
        <f t="shared" ref="M55" si="878">AVERAGE(L52:L55)</f>
        <v>40.574301127247423</v>
      </c>
      <c r="N55" s="156">
        <v>5.8663978872567343E-2</v>
      </c>
      <c r="O55" s="157">
        <f t="shared" si="96"/>
        <v>6.5087883109758229E-2</v>
      </c>
      <c r="P55" s="156">
        <v>7.4131580849093506E-2</v>
      </c>
      <c r="Q55" s="157">
        <f t="shared" si="20"/>
        <v>7.2138986896632895E-2</v>
      </c>
      <c r="R55" s="491">
        <v>7.9150579150579187E-2</v>
      </c>
      <c r="S55" s="483">
        <f t="shared" si="21"/>
        <v>7.4999149109519742E-2</v>
      </c>
      <c r="T55" s="156">
        <v>0.12264150943396231</v>
      </c>
      <c r="U55" s="157">
        <f t="shared" si="22"/>
        <v>9.4346477028946191E-2</v>
      </c>
      <c r="V55" s="156">
        <v>5.9888579387186648E-2</v>
      </c>
      <c r="W55" s="157">
        <f t="shared" si="23"/>
        <v>6.6273275620119504E-2</v>
      </c>
      <c r="X55" s="156">
        <v>4.5454545454545574E-2</v>
      </c>
      <c r="Y55" s="158">
        <f t="shared" si="24"/>
        <v>5.6813610970575752E-2</v>
      </c>
      <c r="Z55" s="156">
        <v>0.15157948668457619</v>
      </c>
      <c r="AA55" s="157">
        <f t="shared" si="99"/>
        <v>0.1504232193448593</v>
      </c>
      <c r="AB55" s="156">
        <v>0.14974240950218839</v>
      </c>
      <c r="AC55" s="81">
        <f t="shared" ref="AC55" si="879">AVERAGE(AB52:AB55)</f>
        <v>0.13752485387500754</v>
      </c>
      <c r="AD55" s="491">
        <v>0.16444456924916659</v>
      </c>
      <c r="AE55" s="483">
        <f t="shared" si="26"/>
        <v>0.14626274399845426</v>
      </c>
      <c r="AF55" s="156">
        <v>0.28980706941449474</v>
      </c>
      <c r="AG55" s="483">
        <f t="shared" ref="AG55" si="880">AVERAGE(AF52:AF55)</f>
        <v>0.19231267141223382</v>
      </c>
      <c r="AH55" s="156">
        <v>0.11801758951461543</v>
      </c>
      <c r="AI55" s="483">
        <f t="shared" si="28"/>
        <v>0.12958280439742742</v>
      </c>
      <c r="AJ55" s="156">
        <v>8.3447931594330255E-2</v>
      </c>
      <c r="AK55" s="158">
        <f t="shared" si="29"/>
        <v>0.10154879262983468</v>
      </c>
      <c r="AL55" s="74">
        <v>7825.9871080800958</v>
      </c>
      <c r="AM55" s="81">
        <f t="shared" si="102"/>
        <v>7703.4251688028517</v>
      </c>
      <c r="AN55" s="74">
        <v>7606.662133527836</v>
      </c>
      <c r="AO55" s="81">
        <f t="shared" ref="AO55" si="881">AVERAGE(AN52:AN55)</f>
        <v>7468.8333773236509</v>
      </c>
      <c r="AP55" s="494">
        <v>7739.3407335907359</v>
      </c>
      <c r="AQ55" s="495">
        <f t="shared" si="31"/>
        <v>7581.1960060091569</v>
      </c>
      <c r="AR55" s="74">
        <v>7748.2075471698145</v>
      </c>
      <c r="AS55" s="81">
        <f t="shared" ref="AS55" si="882">AVERAGE(AR52:AR55)</f>
        <v>7760.0297960549278</v>
      </c>
      <c r="AT55" s="74">
        <v>7735.4136490250712</v>
      </c>
      <c r="AU55" s="81">
        <f t="shared" si="33"/>
        <v>7498.9708852521171</v>
      </c>
      <c r="AV55" s="74">
        <v>6848.5768181818185</v>
      </c>
      <c r="AW55" s="99">
        <f t="shared" si="78"/>
        <v>6876.2872435704248</v>
      </c>
      <c r="AX55" s="105">
        <v>4.3965118135294317</v>
      </c>
      <c r="AY55" s="106">
        <f t="shared" si="105"/>
        <v>4.4557059517681505</v>
      </c>
      <c r="AZ55" s="105">
        <v>4.7363643749466835</v>
      </c>
      <c r="BA55" s="81">
        <f t="shared" ref="BA55" si="883">AVERAGE(AZ52:AZ55)</f>
        <v>4.9202430636469625</v>
      </c>
      <c r="BB55" s="492">
        <v>4.7036679536679555</v>
      </c>
      <c r="BC55" s="493">
        <f t="shared" si="35"/>
        <v>4.9348348929087047</v>
      </c>
      <c r="BD55" s="105">
        <v>5.6006289308176118</v>
      </c>
      <c r="BE55" s="106">
        <f t="shared" ref="BE55" si="884">AVERAGE(BD52:BD55)</f>
        <v>5.9111241393808278</v>
      </c>
      <c r="BF55" s="105">
        <v>4.3064066852367704</v>
      </c>
      <c r="BG55" s="106">
        <f t="shared" si="37"/>
        <v>4.4853871727426702</v>
      </c>
      <c r="BH55" s="105">
        <v>4.9231818181818321</v>
      </c>
      <c r="BI55" s="107">
        <f t="shared" si="81"/>
        <v>4.8254090026402636</v>
      </c>
      <c r="BJ55" s="487">
        <v>0.36196234438639041</v>
      </c>
      <c r="BK55" s="488">
        <f t="shared" si="108"/>
        <v>0.37721396390967382</v>
      </c>
      <c r="BL55" s="487">
        <v>0.58982089985974029</v>
      </c>
      <c r="BM55" s="489">
        <f t="shared" ref="BM55" si="885">AVERAGE(BL52:BL55)</f>
        <v>0.5752769864398628</v>
      </c>
      <c r="BN55" s="487"/>
      <c r="BO55" s="489" t="e">
        <f t="shared" ref="BO55" si="886">AVERAGE(BN52:BN55)</f>
        <v>#DIV/0!</v>
      </c>
      <c r="BP55" s="487">
        <v>0</v>
      </c>
      <c r="BQ55" s="489">
        <f t="shared" ref="BQ55" si="887">AVERAGE(BP52:BP55)</f>
        <v>0</v>
      </c>
      <c r="BR55" s="487"/>
      <c r="BS55" s="489" t="e">
        <f t="shared" ref="BS55" si="888">AVERAGE(BR52:BR55)</f>
        <v>#DIV/0!</v>
      </c>
      <c r="BT55" s="487">
        <v>0</v>
      </c>
      <c r="BU55" s="490">
        <f t="shared" si="86"/>
        <v>0</v>
      </c>
      <c r="BV55" s="74">
        <v>5973.1833791942026</v>
      </c>
      <c r="BW55" s="81">
        <f t="shared" si="113"/>
        <v>6019.3668171776353</v>
      </c>
      <c r="BX55" s="74">
        <v>6518.3245061406451</v>
      </c>
      <c r="BY55" s="81">
        <f t="shared" ref="BY55" si="889">AVERAGE(BX52:BX55)</f>
        <v>6642.5914202737977</v>
      </c>
      <c r="BZ55" s="494">
        <v>6238.3281853281887</v>
      </c>
      <c r="CA55" s="495">
        <f t="shared" si="43"/>
        <v>6377.744010592075</v>
      </c>
      <c r="CB55" s="74">
        <v>6854.924528301889</v>
      </c>
      <c r="CC55" s="81">
        <f t="shared" ref="CC55" si="890">AVERAGE(CB52:CB55)</f>
        <v>7306.6713760659932</v>
      </c>
      <c r="CD55" s="74">
        <v>5965.2395543175517</v>
      </c>
      <c r="CE55" s="81">
        <f t="shared" si="45"/>
        <v>5947.0847525288136</v>
      </c>
      <c r="CF55" s="74">
        <v>8118.1386363636539</v>
      </c>
      <c r="CG55" s="99">
        <f t="shared" si="89"/>
        <v>8071.0870180625952</v>
      </c>
      <c r="CH55" s="156">
        <v>1.980684755791497E-2</v>
      </c>
      <c r="CI55" s="157">
        <f t="shared" si="113"/>
        <v>2.1692855582491146E-2</v>
      </c>
      <c r="CJ55" s="156">
        <v>3.1829999277344499E-2</v>
      </c>
      <c r="CK55" s="81">
        <f t="shared" ref="CK55" si="891">AVERAGE(CJ52:CJ55)</f>
        <v>3.3035198980371015E-2</v>
      </c>
      <c r="CL55" s="491">
        <v>2.9922779922779939E-2</v>
      </c>
      <c r="CM55" s="483">
        <f t="shared" si="47"/>
        <v>3.1070796870053874E-2</v>
      </c>
      <c r="CN55" s="156">
        <v>3.7735849056603786E-2</v>
      </c>
      <c r="CO55" s="483">
        <f t="shared" ref="CO55" si="892">AVERAGE(CN52:CN55)</f>
        <v>4.2480174246188211E-2</v>
      </c>
      <c r="CP55" s="156">
        <v>2.6462395543175501E-2</v>
      </c>
      <c r="CQ55" s="483">
        <f t="shared" si="49"/>
        <v>2.58359355050547E-2</v>
      </c>
      <c r="CR55" s="156">
        <v>4.2727272727272836E-2</v>
      </c>
      <c r="CS55" s="158">
        <f t="shared" si="92"/>
        <v>4.4023220355185876E-2</v>
      </c>
      <c r="CT55" s="105">
        <v>41.465444153852381</v>
      </c>
      <c r="CU55" s="106">
        <f t="shared" si="118"/>
        <v>41.565782007839168</v>
      </c>
      <c r="CV55" s="105">
        <v>44.146547988517113</v>
      </c>
      <c r="CW55" s="81">
        <f t="shared" ref="CW55" si="893">AVERAGE(CV52:CV55)</f>
        <v>44.476367224010922</v>
      </c>
      <c r="CX55" s="492">
        <v>43.279922779922806</v>
      </c>
      <c r="CY55" s="493">
        <f t="shared" si="51"/>
        <v>43.654998223410622</v>
      </c>
      <c r="CZ55" s="105">
        <v>48.264150943396238</v>
      </c>
      <c r="DA55" s="106">
        <f t="shared" ref="DA55" si="894">AVERAGE(CZ52:CZ55)</f>
        <v>49.300369556622783</v>
      </c>
      <c r="DB55" s="105">
        <v>41.072423398328709</v>
      </c>
      <c r="DC55" s="106">
        <f t="shared" si="53"/>
        <v>41.055717449894793</v>
      </c>
      <c r="DD55" s="105">
        <v>49.098181818181956</v>
      </c>
      <c r="DE55" s="107">
        <f t="shared" si="95"/>
        <v>49.066210592586863</v>
      </c>
    </row>
    <row r="56" spans="1:109" x14ac:dyDescent="0.25">
      <c r="A56" s="155">
        <f t="shared" si="15"/>
        <v>45513</v>
      </c>
      <c r="B56" s="74">
        <v>39.557107073471379</v>
      </c>
      <c r="C56" s="81">
        <f t="shared" si="96"/>
        <v>39.542165800560518</v>
      </c>
      <c r="D56" s="74">
        <v>40.965049845675047</v>
      </c>
      <c r="E56" s="81">
        <f t="shared" si="16"/>
        <v>40.91456690370903</v>
      </c>
      <c r="F56" s="74">
        <v>40.986842105263193</v>
      </c>
      <c r="G56" s="81">
        <f t="shared" si="16"/>
        <v>40.966330125090366</v>
      </c>
      <c r="H56" s="74">
        <v>43.367088607594944</v>
      </c>
      <c r="I56" s="81">
        <f t="shared" ref="I56" si="895">AVERAGE(H53:H56)</f>
        <v>43.188519927273006</v>
      </c>
      <c r="J56" s="74">
        <v>40.045075125208726</v>
      </c>
      <c r="K56" s="81">
        <f t="shared" si="18"/>
        <v>39.994841598759862</v>
      </c>
      <c r="L56" s="74">
        <v>40.847906730259744</v>
      </c>
      <c r="M56" s="99">
        <f t="shared" ref="M56" si="896">AVERAGE(L53:L56)</f>
        <v>40.646717370251878</v>
      </c>
      <c r="N56" s="156">
        <v>5.4915346292780748E-2</v>
      </c>
      <c r="O56" s="157">
        <f t="shared" si="96"/>
        <v>6.4314747354616952E-2</v>
      </c>
      <c r="P56" s="156">
        <v>6.2419302105156546E-2</v>
      </c>
      <c r="Q56" s="157">
        <f t="shared" si="20"/>
        <v>6.8912236797376514E-2</v>
      </c>
      <c r="R56" s="491">
        <v>6.220095693779909E-2</v>
      </c>
      <c r="S56" s="483">
        <f t="shared" si="21"/>
        <v>7.1141829610568072E-2</v>
      </c>
      <c r="T56" s="156">
        <v>7.1729957805907185E-2</v>
      </c>
      <c r="U56" s="157">
        <f t="shared" si="22"/>
        <v>9.190279093183365E-2</v>
      </c>
      <c r="V56" s="156">
        <v>5.8430717863105226E-2</v>
      </c>
      <c r="W56" s="157">
        <f t="shared" si="23"/>
        <v>6.1941561146501838E-2</v>
      </c>
      <c r="X56" s="156">
        <v>6.3593004769475478E-2</v>
      </c>
      <c r="Y56" s="158">
        <f t="shared" si="24"/>
        <v>5.6887686338768728E-2</v>
      </c>
      <c r="Z56" s="156">
        <v>0.1301153835893866</v>
      </c>
      <c r="AA56" s="157">
        <f t="shared" si="99"/>
        <v>0.14937135141018956</v>
      </c>
      <c r="AB56" s="156">
        <v>0.11448120595474028</v>
      </c>
      <c r="AC56" s="81">
        <f t="shared" ref="AC56" si="897">AVERAGE(AB53:AB56)</f>
        <v>0.13106847197839602</v>
      </c>
      <c r="AD56" s="491">
        <v>0.11316464486119482</v>
      </c>
      <c r="AE56" s="483">
        <f t="shared" si="26"/>
        <v>0.13775034807203348</v>
      </c>
      <c r="AF56" s="156">
        <v>0.15354171843258019</v>
      </c>
      <c r="AG56" s="483">
        <f t="shared" ref="AG56" si="898">AVERAGE(AF53:AF56)</f>
        <v>0.1960826163696423</v>
      </c>
      <c r="AH56" s="156">
        <v>0.10142700797729687</v>
      </c>
      <c r="AI56" s="483">
        <f t="shared" si="28"/>
        <v>0.11734613110984105</v>
      </c>
      <c r="AJ56" s="156">
        <v>0.12029389427004324</v>
      </c>
      <c r="AK56" s="158">
        <f t="shared" si="29"/>
        <v>0.10341831063850099</v>
      </c>
      <c r="AL56" s="74">
        <v>7877.4921569400321</v>
      </c>
      <c r="AM56" s="81">
        <f t="shared" si="102"/>
        <v>7738.3159205067941</v>
      </c>
      <c r="AN56" s="74">
        <v>7519.07575768882</v>
      </c>
      <c r="AO56" s="81">
        <f t="shared" ref="AO56" si="899">AVERAGE(AN53:AN56)</f>
        <v>7517.2846893411406</v>
      </c>
      <c r="AP56" s="494">
        <v>7636.3839712918725</v>
      </c>
      <c r="AQ56" s="495">
        <f t="shared" si="31"/>
        <v>7641.7462889240542</v>
      </c>
      <c r="AR56" s="74">
        <v>7927.3080168776378</v>
      </c>
      <c r="AS56" s="81">
        <f t="shared" ref="AS56" si="900">AVERAGE(AR53:AR56)</f>
        <v>7850.3035087382868</v>
      </c>
      <c r="AT56" s="74">
        <v>7521.2771285475874</v>
      </c>
      <c r="AU56" s="81">
        <f t="shared" si="33"/>
        <v>7551.5314552678001</v>
      </c>
      <c r="AV56" s="74">
        <v>6888.4917859035622</v>
      </c>
      <c r="AW56" s="99">
        <f t="shared" si="78"/>
        <v>6891.3183698024395</v>
      </c>
      <c r="AX56" s="105">
        <v>4.7017944084150312</v>
      </c>
      <c r="AY56" s="106">
        <f t="shared" si="105"/>
        <v>4.4718087610773978</v>
      </c>
      <c r="AZ56" s="105">
        <v>5.0284444493702818</v>
      </c>
      <c r="BA56" s="81">
        <f t="shared" ref="BA56" si="901">AVERAGE(AZ53:AZ56)</f>
        <v>4.916184997972489</v>
      </c>
      <c r="BB56" s="492">
        <v>5.0287081339712962</v>
      </c>
      <c r="BC56" s="493">
        <f t="shared" si="35"/>
        <v>4.9203061041339078</v>
      </c>
      <c r="BD56" s="105">
        <v>6.2067510548523215</v>
      </c>
      <c r="BE56" s="106">
        <f t="shared" ref="BE56" si="902">AVERAGE(BD53:BD56)</f>
        <v>5.9933761664167919</v>
      </c>
      <c r="BF56" s="105">
        <v>4.562604340567618</v>
      </c>
      <c r="BG56" s="106">
        <f t="shared" si="37"/>
        <v>4.4499018942482094</v>
      </c>
      <c r="BH56" s="105">
        <v>5.0270270270270396</v>
      </c>
      <c r="BI56" s="107">
        <f t="shared" si="81"/>
        <v>4.881286758478864</v>
      </c>
      <c r="BJ56" s="487">
        <v>0.37258834801427088</v>
      </c>
      <c r="BK56" s="488">
        <f t="shared" si="108"/>
        <v>0.37796660785145036</v>
      </c>
      <c r="BL56" s="487">
        <v>0.60412175756567854</v>
      </c>
      <c r="BM56" s="489">
        <f t="shared" ref="BM56" si="903">AVERAGE(BL53:BL56)</f>
        <v>0.5848586474276809</v>
      </c>
      <c r="BN56" s="487"/>
      <c r="BO56" s="489" t="e">
        <f t="shared" ref="BO56" si="904">AVERAGE(BN53:BN56)</f>
        <v>#DIV/0!</v>
      </c>
      <c r="BP56" s="487">
        <v>0</v>
      </c>
      <c r="BQ56" s="489">
        <f t="shared" ref="BQ56" si="905">AVERAGE(BP53:BP56)</f>
        <v>0</v>
      </c>
      <c r="BR56" s="487"/>
      <c r="BS56" s="489" t="e">
        <f t="shared" ref="BS56" si="906">AVERAGE(BR53:BR56)</f>
        <v>#DIV/0!</v>
      </c>
      <c r="BT56" s="487">
        <v>0</v>
      </c>
      <c r="BU56" s="490">
        <f t="shared" si="86"/>
        <v>0</v>
      </c>
      <c r="BV56" s="74">
        <v>5868.1071795141688</v>
      </c>
      <c r="BW56" s="81">
        <f t="shared" si="113"/>
        <v>5958.7716688310911</v>
      </c>
      <c r="BX56" s="74">
        <v>6458.2787422413048</v>
      </c>
      <c r="BY56" s="81">
        <f t="shared" ref="BY56" si="907">AVERAGE(BX53:BX56)</f>
        <v>6526.1952657486936</v>
      </c>
      <c r="BZ56" s="494">
        <v>6204.4031100478524</v>
      </c>
      <c r="CA56" s="495">
        <f t="shared" si="43"/>
        <v>6242.5899362143537</v>
      </c>
      <c r="CB56" s="74">
        <v>7218.0337552742612</v>
      </c>
      <c r="CC56" s="81">
        <f t="shared" ref="CC56" si="908">AVERAGE(CB53:CB56)</f>
        <v>7146.4313822826771</v>
      </c>
      <c r="CD56" s="74">
        <v>5803.3505843071853</v>
      </c>
      <c r="CE56" s="81">
        <f t="shared" si="45"/>
        <v>5846.2727773934876</v>
      </c>
      <c r="CF56" s="74">
        <v>7822.9735029147041</v>
      </c>
      <c r="CG56" s="99">
        <f t="shared" si="89"/>
        <v>8045.579158311948</v>
      </c>
      <c r="CH56" s="156">
        <v>1.6702295952463638E-2</v>
      </c>
      <c r="CI56" s="157">
        <f t="shared" si="113"/>
        <v>2.1099577634715837E-2</v>
      </c>
      <c r="CJ56" s="156">
        <v>2.5823326332117764E-2</v>
      </c>
      <c r="CK56" s="81">
        <f t="shared" ref="CK56" si="909">AVERAGE(CJ53:CJ56)</f>
        <v>2.9739637507261323E-2</v>
      </c>
      <c r="CL56" s="491">
        <v>2.3923444976076576E-2</v>
      </c>
      <c r="CM56" s="483">
        <f t="shared" si="47"/>
        <v>2.7347878747372302E-2</v>
      </c>
      <c r="CN56" s="156">
        <v>2.9535864978902957E-2</v>
      </c>
      <c r="CO56" s="483">
        <f t="shared" ref="CO56" si="910">AVERAGE(CN53:CN56)</f>
        <v>3.8892353657058149E-2</v>
      </c>
      <c r="CP56" s="156">
        <v>2.1702838063439089E-2</v>
      </c>
      <c r="CQ56" s="483">
        <f t="shared" si="49"/>
        <v>2.2170735930005375E-2</v>
      </c>
      <c r="CR56" s="156">
        <v>3.6036036036036112E-2</v>
      </c>
      <c r="CS56" s="158">
        <f t="shared" si="92"/>
        <v>4.3557451654888432E-2</v>
      </c>
      <c r="CT56" s="105">
        <v>40.799847998906174</v>
      </c>
      <c r="CU56" s="106">
        <f t="shared" si="118"/>
        <v>41.4105708259031</v>
      </c>
      <c r="CV56" s="105">
        <v>43.927799974274357</v>
      </c>
      <c r="CW56" s="81">
        <f t="shared" ref="CW56" si="911">AVERAGE(CV53:CV56)</f>
        <v>44.385981923258143</v>
      </c>
      <c r="CX56" s="492">
        <v>42.980861244019181</v>
      </c>
      <c r="CY56" s="493">
        <f t="shared" si="51"/>
        <v>43.512828447592128</v>
      </c>
      <c r="CZ56" s="105">
        <v>47.084388185654021</v>
      </c>
      <c r="DA56" s="106">
        <f t="shared" ref="DA56" si="912">AVERAGE(CZ53:CZ56)</f>
        <v>49.007203280152282</v>
      </c>
      <c r="DB56" s="105">
        <v>41.357262103505896</v>
      </c>
      <c r="DC56" s="106">
        <f t="shared" si="53"/>
        <v>41.07647236971065</v>
      </c>
      <c r="DD56" s="105">
        <v>49.018018018018118</v>
      </c>
      <c r="DE56" s="107">
        <f t="shared" si="95"/>
        <v>49.037516098186003</v>
      </c>
    </row>
    <row r="57" spans="1:109" x14ac:dyDescent="0.25">
      <c r="A57" s="155">
        <f t="shared" si="15"/>
        <v>45520</v>
      </c>
      <c r="B57" s="74">
        <v>39.488431533150326</v>
      </c>
      <c r="C57" s="81">
        <f t="shared" si="96"/>
        <v>39.537710029915878</v>
      </c>
      <c r="D57" s="74">
        <v>40.966143553152293</v>
      </c>
      <c r="E57" s="81">
        <f t="shared" si="16"/>
        <v>40.933575169939076</v>
      </c>
      <c r="F57" s="74">
        <v>41.05452292441143</v>
      </c>
      <c r="G57" s="81">
        <f t="shared" si="16"/>
        <v>40.99138631865241</v>
      </c>
      <c r="H57" s="74">
        <v>43.287401574803141</v>
      </c>
      <c r="I57" s="81">
        <f t="shared" ref="I57" si="913">AVERAGE(H54:H57)</f>
        <v>43.301607434375853</v>
      </c>
      <c r="J57" s="74">
        <v>40.028933092224278</v>
      </c>
      <c r="K57" s="81">
        <f t="shared" si="18"/>
        <v>39.98137423487325</v>
      </c>
      <c r="L57" s="74">
        <v>40.551294343240791</v>
      </c>
      <c r="M57" s="99">
        <f t="shared" ref="M57" si="914">AVERAGE(L54:L57)</f>
        <v>40.639039449389621</v>
      </c>
      <c r="N57" s="156">
        <v>5.4463110066932295E-2</v>
      </c>
      <c r="O57" s="157">
        <f t="shared" si="96"/>
        <v>6.3014289828241421E-2</v>
      </c>
      <c r="P57" s="156">
        <v>6.1937316180602713E-2</v>
      </c>
      <c r="Q57" s="157">
        <f t="shared" si="20"/>
        <v>6.6301831969040673E-2</v>
      </c>
      <c r="R57" s="491">
        <v>6.1957868649318501E-2</v>
      </c>
      <c r="S57" s="483">
        <f t="shared" si="21"/>
        <v>6.7860894161363414E-2</v>
      </c>
      <c r="T57" s="156">
        <v>6.6929133858267709E-2</v>
      </c>
      <c r="U57" s="157">
        <f t="shared" si="22"/>
        <v>8.6298304636950401E-2</v>
      </c>
      <c r="V57" s="156">
        <v>5.9674502712477442E-2</v>
      </c>
      <c r="W57" s="157">
        <f t="shared" si="23"/>
        <v>5.9742352429716733E-2</v>
      </c>
      <c r="X57" s="156">
        <v>6.184084372003857E-2</v>
      </c>
      <c r="Y57" s="158">
        <f t="shared" si="24"/>
        <v>5.7496412120263449E-2</v>
      </c>
      <c r="Z57" s="156">
        <v>0.13671505786206761</v>
      </c>
      <c r="AA57" s="157">
        <f t="shared" si="99"/>
        <v>0.14820030793461747</v>
      </c>
      <c r="AB57" s="156">
        <v>0.13743162295234723</v>
      </c>
      <c r="AC57" s="81">
        <f t="shared" ref="AC57" si="915">AVERAGE(AB54:AB57)</f>
        <v>0.1312420496086894</v>
      </c>
      <c r="AD57" s="491">
        <v>0.14483103884205212</v>
      </c>
      <c r="AE57" s="483">
        <f t="shared" si="26"/>
        <v>0.13760390141009604</v>
      </c>
      <c r="AF57" s="156">
        <v>0.15140243239518184</v>
      </c>
      <c r="AG57" s="483">
        <f t="shared" ref="AG57" si="916">AVERAGE(AF54:AF57)</f>
        <v>0.1921140036199063</v>
      </c>
      <c r="AH57" s="156">
        <v>0.14260644564779945</v>
      </c>
      <c r="AI57" s="483">
        <f t="shared" si="28"/>
        <v>0.11849998224626641</v>
      </c>
      <c r="AJ57" s="156">
        <v>0.10939733602397057</v>
      </c>
      <c r="AK57" s="158">
        <f t="shared" si="29"/>
        <v>0.10453392190188392</v>
      </c>
      <c r="AL57" s="74">
        <v>7711.337435848598</v>
      </c>
      <c r="AM57" s="81">
        <f t="shared" si="102"/>
        <v>7728.3027836804768</v>
      </c>
      <c r="AN57" s="74">
        <v>7391.6645618864095</v>
      </c>
      <c r="AO57" s="81">
        <f t="shared" ref="AO57" si="917">AVERAGE(AN54:AN57)</f>
        <v>7477.2734697446358</v>
      </c>
      <c r="AP57" s="494">
        <v>7482.6022304832777</v>
      </c>
      <c r="AQ57" s="495">
        <f t="shared" si="31"/>
        <v>7586.9863460008028</v>
      </c>
      <c r="AR57" s="74">
        <v>7430.8070866141725</v>
      </c>
      <c r="AS57" s="81">
        <f t="shared" ref="AS57" si="918">AVERAGE(AR54:AR57)</f>
        <v>7808.7501257526546</v>
      </c>
      <c r="AT57" s="74">
        <v>7506.3924050632986</v>
      </c>
      <c r="AU57" s="81">
        <f t="shared" si="33"/>
        <v>7490.5993017565534</v>
      </c>
      <c r="AV57" s="74">
        <v>6964.8068072866936</v>
      </c>
      <c r="AW57" s="99">
        <f t="shared" si="78"/>
        <v>6893.0403675453208</v>
      </c>
      <c r="AX57" s="105">
        <v>4.412949789693096</v>
      </c>
      <c r="AY57" s="106">
        <f t="shared" si="105"/>
        <v>4.4578010872886651</v>
      </c>
      <c r="AZ57" s="105">
        <v>4.7222671246695924</v>
      </c>
      <c r="BA57" s="81">
        <f t="shared" ref="BA57" si="919">AVERAGE(AZ54:AZ57)</f>
        <v>4.8871420751755661</v>
      </c>
      <c r="BB57" s="492">
        <v>4.7137546468401528</v>
      </c>
      <c r="BC57" s="493">
        <f t="shared" si="35"/>
        <v>4.8830211532215291</v>
      </c>
      <c r="BD57" s="105">
        <v>5.8779527559055111</v>
      </c>
      <c r="BE57" s="106">
        <f t="shared" ref="BE57" si="920">AVERAGE(BD54:BD57)</f>
        <v>5.9448231182797668</v>
      </c>
      <c r="BF57" s="105">
        <v>4.1790235081374369</v>
      </c>
      <c r="BG57" s="106">
        <f t="shared" si="37"/>
        <v>4.4190208286074082</v>
      </c>
      <c r="BH57" s="105">
        <v>4.7622243528283974</v>
      </c>
      <c r="BI57" s="107">
        <f t="shared" si="81"/>
        <v>4.8617180441102663</v>
      </c>
      <c r="BJ57" s="487">
        <v>0.35423589278069756</v>
      </c>
      <c r="BK57" s="488">
        <f t="shared" si="108"/>
        <v>0.36950155189032891</v>
      </c>
      <c r="BL57" s="487">
        <v>0.56490649067824705</v>
      </c>
      <c r="BM57" s="489">
        <f t="shared" ref="BM57" si="921">AVERAGE(BL54:BL57)</f>
        <v>0.5847019160577227</v>
      </c>
      <c r="BN57" s="487"/>
      <c r="BO57" s="489" t="e">
        <f t="shared" ref="BO57" si="922">AVERAGE(BN54:BN57)</f>
        <v>#DIV/0!</v>
      </c>
      <c r="BP57" s="487">
        <v>0</v>
      </c>
      <c r="BQ57" s="489">
        <f t="shared" ref="BQ57" si="923">AVERAGE(BP54:BP57)</f>
        <v>0</v>
      </c>
      <c r="BR57" s="487"/>
      <c r="BS57" s="489" t="e">
        <f t="shared" ref="BS57" si="924">AVERAGE(BR54:BR57)</f>
        <v>#DIV/0!</v>
      </c>
      <c r="BT57" s="487">
        <v>0</v>
      </c>
      <c r="BU57" s="490">
        <f t="shared" si="86"/>
        <v>0</v>
      </c>
      <c r="BV57" s="74">
        <v>5817.1247412739895</v>
      </c>
      <c r="BW57" s="81">
        <f t="shared" si="113"/>
        <v>5910.8074481923932</v>
      </c>
      <c r="BX57" s="74">
        <v>6346.3047079485877</v>
      </c>
      <c r="BY57" s="81">
        <f t="shared" ref="BY57" si="925">AVERAGE(BX54:BX57)</f>
        <v>6456.6092432784708</v>
      </c>
      <c r="BZ57" s="494">
        <v>6044.2453531598567</v>
      </c>
      <c r="CA57" s="495">
        <f t="shared" si="43"/>
        <v>6159.847411609866</v>
      </c>
      <c r="CB57" s="74">
        <v>7165.8346456692907</v>
      </c>
      <c r="CC57" s="81">
        <f t="shared" ref="CC57" si="926">AVERAGE(CB54:CB57)</f>
        <v>7087.6529302979379</v>
      </c>
      <c r="CD57" s="74">
        <v>5529.084990958414</v>
      </c>
      <c r="CE57" s="81">
        <f t="shared" si="45"/>
        <v>5753.5651238592036</v>
      </c>
      <c r="CF57" s="74">
        <v>7764.1591562799913</v>
      </c>
      <c r="CG57" s="99">
        <f t="shared" si="89"/>
        <v>7959.5831340940831</v>
      </c>
      <c r="CH57" s="156">
        <v>1.801811908781106E-2</v>
      </c>
      <c r="CI57" s="157">
        <f t="shared" si="113"/>
        <v>2.0194212830743567E-2</v>
      </c>
      <c r="CJ57" s="156">
        <v>2.8535506611576781E-2</v>
      </c>
      <c r="CK57" s="81">
        <f t="shared" ref="CK57" si="927">AVERAGE(CJ54:CJ57)</f>
        <v>2.9461451993916934E-2</v>
      </c>
      <c r="CL57" s="491">
        <v>2.7261462205700141E-2</v>
      </c>
      <c r="CM57" s="483">
        <f t="shared" si="47"/>
        <v>2.7090338966914852E-2</v>
      </c>
      <c r="CN57" s="156">
        <v>3.9370078740157473E-2</v>
      </c>
      <c r="CO57" s="483">
        <f t="shared" ref="CO57" si="928">AVERAGE(CN54:CN57)</f>
        <v>3.7566488462372427E-2</v>
      </c>
      <c r="CP57" s="156">
        <v>2.169981916817362E-2</v>
      </c>
      <c r="CQ57" s="483">
        <f t="shared" si="49"/>
        <v>2.2420531486379985E-2</v>
      </c>
      <c r="CR57" s="156">
        <v>3.4515819750719205E-2</v>
      </c>
      <c r="CS57" s="158">
        <f t="shared" si="92"/>
        <v>4.0780808590060239E-2</v>
      </c>
      <c r="CT57" s="105">
        <v>40.620259898430234</v>
      </c>
      <c r="CU57" s="106">
        <f t="shared" si="118"/>
        <v>41.29599597345873</v>
      </c>
      <c r="CV57" s="105">
        <v>43.834787049936331</v>
      </c>
      <c r="CW57" s="81">
        <f t="shared" ref="CW57" si="929">AVERAGE(CV54:CV57)</f>
        <v>44.007172562670377</v>
      </c>
      <c r="CX57" s="492">
        <v>43.0210656753408</v>
      </c>
      <c r="CY57" s="493">
        <f t="shared" si="51"/>
        <v>43.10977060092133</v>
      </c>
      <c r="CZ57" s="105">
        <v>48.275590551181097</v>
      </c>
      <c r="DA57" s="106">
        <f t="shared" ref="DA57" si="930">AVERAGE(CZ54:CZ57)</f>
        <v>48.300327722071259</v>
      </c>
      <c r="DB57" s="105">
        <v>40.6075949367089</v>
      </c>
      <c r="DC57" s="106">
        <f t="shared" si="53"/>
        <v>40.819533524270028</v>
      </c>
      <c r="DD57" s="105">
        <v>47.654362416107553</v>
      </c>
      <c r="DE57" s="107">
        <f t="shared" si="95"/>
        <v>48.754764143648991</v>
      </c>
    </row>
    <row r="58" spans="1:109" x14ac:dyDescent="0.25">
      <c r="A58" s="155">
        <f t="shared" si="15"/>
        <v>45527</v>
      </c>
      <c r="B58" s="74">
        <v>40.183584188388224</v>
      </c>
      <c r="C58" s="81">
        <f t="shared" si="96"/>
        <v>39.663427266702357</v>
      </c>
      <c r="D58" s="74">
        <v>41.110684818061763</v>
      </c>
      <c r="E58" s="81">
        <f t="shared" si="16"/>
        <v>40.909346567292566</v>
      </c>
      <c r="F58" s="74">
        <v>41.230224321133441</v>
      </c>
      <c r="G58" s="81">
        <f t="shared" si="16"/>
        <v>40.962202357007044</v>
      </c>
      <c r="H58" s="74">
        <v>43.902777777777793</v>
      </c>
      <c r="I58" s="81">
        <f t="shared" ref="I58" si="931">AVERAGE(H55:H58)</f>
        <v>43.433342147276676</v>
      </c>
      <c r="J58" s="74">
        <v>39.853309481216485</v>
      </c>
      <c r="K58" s="81">
        <f t="shared" si="18"/>
        <v>39.838375385665159</v>
      </c>
      <c r="L58" s="74">
        <v>40.482617586912177</v>
      </c>
      <c r="M58" s="99">
        <f t="shared" ref="M58" si="932">AVERAGE(L55:L58)</f>
        <v>40.645454665103202</v>
      </c>
      <c r="N58" s="156">
        <v>5.1077114261420711E-2</v>
      </c>
      <c r="O58" s="157">
        <f t="shared" si="96"/>
        <v>5.9915349650061053E-2</v>
      </c>
      <c r="P58" s="156">
        <v>6.6857771916939854E-2</v>
      </c>
      <c r="Q58" s="157">
        <f t="shared" si="20"/>
        <v>6.633649276294816E-2</v>
      </c>
      <c r="R58" s="491">
        <v>6.9657615112160606E-2</v>
      </c>
      <c r="S58" s="483">
        <f t="shared" si="21"/>
        <v>6.8241754962464346E-2</v>
      </c>
      <c r="T58" s="156">
        <v>7.6388888888888909E-2</v>
      </c>
      <c r="U58" s="157">
        <f t="shared" si="22"/>
        <v>8.442237249675652E-2</v>
      </c>
      <c r="V58" s="156">
        <v>6.6189624329159272E-2</v>
      </c>
      <c r="W58" s="157">
        <f t="shared" si="23"/>
        <v>6.1045856072982144E-2</v>
      </c>
      <c r="X58" s="156">
        <v>5.2147239263803803E-2</v>
      </c>
      <c r="Y58" s="158">
        <f t="shared" si="24"/>
        <v>5.5758908301965851E-2</v>
      </c>
      <c r="Z58" s="156">
        <v>0.11387322186379677</v>
      </c>
      <c r="AA58" s="157">
        <f t="shared" si="99"/>
        <v>0.14118121209780007</v>
      </c>
      <c r="AB58" s="156">
        <v>0.12103535665630272</v>
      </c>
      <c r="AC58" s="81">
        <f t="shared" ref="AC58" si="933">AVERAGE(AB55:AB58)</f>
        <v>0.13067264876639467</v>
      </c>
      <c r="AD58" s="491">
        <v>0.12825469146850035</v>
      </c>
      <c r="AE58" s="483">
        <f t="shared" si="26"/>
        <v>0.13767373610522848</v>
      </c>
      <c r="AF58" s="156">
        <v>0.13068205722566872</v>
      </c>
      <c r="AG58" s="483">
        <f t="shared" ref="AG58" si="934">AVERAGE(AF55:AF58)</f>
        <v>0.18135831936698138</v>
      </c>
      <c r="AH58" s="156">
        <v>0.12735657205119025</v>
      </c>
      <c r="AI58" s="483">
        <f t="shared" si="28"/>
        <v>0.12235190379772551</v>
      </c>
      <c r="AJ58" s="156">
        <v>9.2994853253209386E-2</v>
      </c>
      <c r="AK58" s="158">
        <f t="shared" si="29"/>
        <v>0.10153350378538836</v>
      </c>
      <c r="AL58" s="74">
        <v>7765.2140038355537</v>
      </c>
      <c r="AM58" s="81">
        <f t="shared" si="102"/>
        <v>7723.4151828365348</v>
      </c>
      <c r="AN58" s="74">
        <v>7386.0277121061654</v>
      </c>
      <c r="AO58" s="81">
        <f t="shared" ref="AO58" si="935">AVERAGE(AN55:AN58)</f>
        <v>7475.8575413023082</v>
      </c>
      <c r="AP58" s="494">
        <v>7500.8819362455779</v>
      </c>
      <c r="AQ58" s="495">
        <f t="shared" si="31"/>
        <v>7589.8022179028667</v>
      </c>
      <c r="AR58" s="74">
        <v>7479.6631944444471</v>
      </c>
      <c r="AS58" s="81">
        <f t="shared" ref="AS58" si="936">AVERAGE(AR55:AR58)</f>
        <v>7646.4964612765179</v>
      </c>
      <c r="AT58" s="74">
        <v>7511.8139534883785</v>
      </c>
      <c r="AU58" s="81">
        <f t="shared" si="33"/>
        <v>7568.7242840310837</v>
      </c>
      <c r="AV58" s="74">
        <v>6782.5771983640198</v>
      </c>
      <c r="AW58" s="99">
        <f t="shared" si="78"/>
        <v>6878.0226616774016</v>
      </c>
      <c r="AX58" s="105">
        <v>4.479747669751843</v>
      </c>
      <c r="AY58" s="106">
        <f t="shared" si="105"/>
        <v>4.4801057771335975</v>
      </c>
      <c r="AZ58" s="105">
        <v>4.7786685123185686</v>
      </c>
      <c r="BA58" s="81">
        <f t="shared" ref="BA58" si="937">AVERAGE(AZ55:AZ58)</f>
        <v>4.8164361153262814</v>
      </c>
      <c r="BB58" s="492">
        <v>4.7650531286894955</v>
      </c>
      <c r="BC58" s="493">
        <f t="shared" si="35"/>
        <v>4.8027959657922255</v>
      </c>
      <c r="BD58" s="105">
        <v>5.0138888888888902</v>
      </c>
      <c r="BE58" s="106">
        <f t="shared" ref="BE58" si="938">AVERAGE(BD55:BD58)</f>
        <v>5.6748054076160832</v>
      </c>
      <c r="BF58" s="105">
        <v>4.6368515205724545</v>
      </c>
      <c r="BG58" s="106">
        <f t="shared" si="37"/>
        <v>4.42122151362857</v>
      </c>
      <c r="BH58" s="105">
        <v>4.8502044989775186</v>
      </c>
      <c r="BI58" s="107">
        <f t="shared" si="81"/>
        <v>4.8625768868414339</v>
      </c>
      <c r="BJ58" s="487">
        <v>0.34529539284261884</v>
      </c>
      <c r="BK58" s="488">
        <f t="shared" si="108"/>
        <v>0.36795982632834423</v>
      </c>
      <c r="BL58" s="487">
        <v>0.55444864684831618</v>
      </c>
      <c r="BM58" s="489">
        <f t="shared" ref="BM58" si="939">AVERAGE(BL55:BL58)</f>
        <v>0.57832444873799549</v>
      </c>
      <c r="BN58" s="487"/>
      <c r="BO58" s="489" t="e">
        <f t="shared" ref="BO58" si="940">AVERAGE(BN55:BN58)</f>
        <v>#DIV/0!</v>
      </c>
      <c r="BP58" s="487">
        <v>0</v>
      </c>
      <c r="BQ58" s="489">
        <f t="shared" ref="BQ58" si="941">AVERAGE(BP55:BP58)</f>
        <v>0</v>
      </c>
      <c r="BR58" s="487"/>
      <c r="BS58" s="489" t="e">
        <f t="shared" ref="BS58" si="942">AVERAGE(BR55:BR58)</f>
        <v>#DIV/0!</v>
      </c>
      <c r="BT58" s="487">
        <v>0</v>
      </c>
      <c r="BU58" s="490">
        <f t="shared" si="86"/>
        <v>0</v>
      </c>
      <c r="BV58" s="74">
        <v>6009.1921299821279</v>
      </c>
      <c r="BW58" s="81">
        <f t="shared" si="113"/>
        <v>5907.3594431003658</v>
      </c>
      <c r="BX58" s="74">
        <v>6695.0399194895081</v>
      </c>
      <c r="BY58" s="81">
        <f t="shared" ref="BY58" si="943">AVERAGE(BX55:BX58)</f>
        <v>6504.4869689550114</v>
      </c>
      <c r="BZ58" s="494">
        <v>6404.0791027154692</v>
      </c>
      <c r="CA58" s="495">
        <f t="shared" si="43"/>
        <v>6222.7639378128424</v>
      </c>
      <c r="CB58" s="74">
        <v>6570.3055555555584</v>
      </c>
      <c r="CC58" s="81">
        <f t="shared" ref="CC58" si="944">AVERAGE(CB55:CB58)</f>
        <v>6952.2746212002503</v>
      </c>
      <c r="CD58" s="74">
        <v>6318.4382826475894</v>
      </c>
      <c r="CE58" s="81">
        <f t="shared" si="45"/>
        <v>5904.0283530576844</v>
      </c>
      <c r="CF58" s="74">
        <v>8223.7643149284431</v>
      </c>
      <c r="CG58" s="99">
        <f t="shared" si="89"/>
        <v>8000.485431117796</v>
      </c>
      <c r="CH58" s="156">
        <v>2.1439051815366914E-2</v>
      </c>
      <c r="CI58" s="157">
        <f t="shared" si="113"/>
        <v>2.0494590603890871E-2</v>
      </c>
      <c r="CJ58" s="156">
        <v>3.4300849073485296E-2</v>
      </c>
      <c r="CK58" s="81">
        <f t="shared" ref="CK58" si="945">AVERAGE(CJ55:CJ58)</f>
        <v>3.0122420323631084E-2</v>
      </c>
      <c r="CL58" s="491">
        <v>3.1877213695395534E-2</v>
      </c>
      <c r="CM58" s="483">
        <f t="shared" si="47"/>
        <v>2.8246225199988047E-2</v>
      </c>
      <c r="CN58" s="156">
        <v>3.4722222222222231E-2</v>
      </c>
      <c r="CO58" s="483">
        <f t="shared" ref="CO58" si="946">AVERAGE(CN55:CN58)</f>
        <v>3.5341003749471613E-2</v>
      </c>
      <c r="CP58" s="156">
        <v>3.0411449016100201E-2</v>
      </c>
      <c r="CQ58" s="483">
        <f t="shared" si="49"/>
        <v>2.5069125447722104E-2</v>
      </c>
      <c r="CR58" s="156">
        <v>4.7034764826175988E-2</v>
      </c>
      <c r="CS58" s="158">
        <f t="shared" si="92"/>
        <v>4.1692660560998088E-2</v>
      </c>
      <c r="CT58" s="105">
        <v>40.907522218241681</v>
      </c>
      <c r="CU58" s="106">
        <f t="shared" si="118"/>
        <v>41.328258973184404</v>
      </c>
      <c r="CV58" s="105">
        <v>43.599518240098739</v>
      </c>
      <c r="CW58" s="81">
        <f t="shared" ref="CW58" si="947">AVERAGE(CV55:CV58)</f>
        <v>43.877163313206637</v>
      </c>
      <c r="CX58" s="492">
        <v>42.467532467532493</v>
      </c>
      <c r="CY58" s="493">
        <f t="shared" si="51"/>
        <v>42.93734554170382</v>
      </c>
      <c r="CZ58" s="105">
        <v>47.031250000000021</v>
      </c>
      <c r="DA58" s="106">
        <f t="shared" ref="DA58" si="948">AVERAGE(CZ55:CZ58)</f>
        <v>47.663844920057848</v>
      </c>
      <c r="DB58" s="105">
        <v>40.116279069767472</v>
      </c>
      <c r="DC58" s="106">
        <f t="shared" si="53"/>
        <v>40.788389877077741</v>
      </c>
      <c r="DD58" s="105">
        <v>49.547034764826307</v>
      </c>
      <c r="DE58" s="107">
        <f t="shared" si="95"/>
        <v>48.794710545987563</v>
      </c>
    </row>
    <row r="59" spans="1:109" x14ac:dyDescent="0.25">
      <c r="A59" s="155">
        <f t="shared" si="15"/>
        <v>45534</v>
      </c>
      <c r="B59" s="74">
        <v>39.894228339311105</v>
      </c>
      <c r="C59" s="81">
        <f t="shared" si="96"/>
        <v>39.736715606637013</v>
      </c>
      <c r="D59" s="74">
        <v>40.82405369848</v>
      </c>
      <c r="E59" s="81">
        <f t="shared" si="16"/>
        <v>40.966482978842279</v>
      </c>
      <c r="F59" s="74">
        <v>40.887626262626291</v>
      </c>
      <c r="G59" s="81">
        <f t="shared" si="16"/>
        <v>41.039803903358589</v>
      </c>
      <c r="H59" s="74">
        <v>44.045833333333341</v>
      </c>
      <c r="I59" s="81">
        <f t="shared" ref="I59" si="949">AVERAGE(H56:H59)</f>
        <v>43.65077532337731</v>
      </c>
      <c r="J59" s="74">
        <v>39.51449275362323</v>
      </c>
      <c r="K59" s="81">
        <f t="shared" si="18"/>
        <v>39.860452613068176</v>
      </c>
      <c r="L59" s="74">
        <v>40.49239956568956</v>
      </c>
      <c r="M59" s="99">
        <f t="shared" ref="M59" si="950">AVERAGE(L56:L59)</f>
        <v>40.593554556525568</v>
      </c>
      <c r="N59" s="156">
        <v>4.7259500369720667E-2</v>
      </c>
      <c r="O59" s="157">
        <f t="shared" si="96"/>
        <v>5.6471614975895014E-2</v>
      </c>
      <c r="P59" s="156">
        <v>6.2244577177518939E-2</v>
      </c>
      <c r="Q59" s="157">
        <f t="shared" si="20"/>
        <v>6.3364741845054501E-2</v>
      </c>
      <c r="R59" s="491">
        <v>6.4393939393939434E-2</v>
      </c>
      <c r="S59" s="483">
        <f t="shared" si="21"/>
        <v>6.4552595023304404E-2</v>
      </c>
      <c r="T59" s="156">
        <v>7.4999999999999997E-2</v>
      </c>
      <c r="U59" s="157">
        <f t="shared" si="22"/>
        <v>7.251199513826595E-2</v>
      </c>
      <c r="V59" s="156">
        <v>5.9782608695652238E-2</v>
      </c>
      <c r="W59" s="157">
        <f t="shared" si="23"/>
        <v>6.1019363400098552E-2</v>
      </c>
      <c r="X59" s="156">
        <v>5.1031487513572303E-2</v>
      </c>
      <c r="Y59" s="158">
        <f t="shared" si="24"/>
        <v>5.715314381672254E-2</v>
      </c>
      <c r="Z59" s="156">
        <v>0.1167498570055677</v>
      </c>
      <c r="AA59" s="157">
        <f t="shared" si="99"/>
        <v>0.13557333329163568</v>
      </c>
      <c r="AB59" s="156">
        <v>0.12559551666173815</v>
      </c>
      <c r="AC59" s="81">
        <f t="shared" ref="AC59" si="951">AVERAGE(AB56:AB59)</f>
        <v>0.12463592555628208</v>
      </c>
      <c r="AD59" s="491">
        <v>0.1340637885114315</v>
      </c>
      <c r="AE59" s="483">
        <f t="shared" si="26"/>
        <v>0.13007854092079471</v>
      </c>
      <c r="AF59" s="156">
        <v>0.18171490501405943</v>
      </c>
      <c r="AG59" s="483">
        <f t="shared" ref="AG59" si="952">AVERAGE(AF56:AF59)</f>
        <v>0.15433527826687254</v>
      </c>
      <c r="AH59" s="156">
        <v>0.11790516062368529</v>
      </c>
      <c r="AI59" s="483">
        <f t="shared" si="28"/>
        <v>0.12232379657499295</v>
      </c>
      <c r="AJ59" s="156">
        <v>9.1674747337199963E-2</v>
      </c>
      <c r="AK59" s="158">
        <f t="shared" si="29"/>
        <v>0.10359020772110578</v>
      </c>
      <c r="AL59" s="74">
        <v>7883.5685945125833</v>
      </c>
      <c r="AM59" s="81">
        <f t="shared" si="102"/>
        <v>7777.1732395950294</v>
      </c>
      <c r="AN59" s="74">
        <v>7523.6598728862909</v>
      </c>
      <c r="AO59" s="81">
        <f t="shared" ref="AO59" si="953">AVERAGE(AN56:AN59)</f>
        <v>7455.1069761419221</v>
      </c>
      <c r="AP59" s="494">
        <v>7645.5719696969754</v>
      </c>
      <c r="AQ59" s="495">
        <f t="shared" si="31"/>
        <v>7566.3600269294257</v>
      </c>
      <c r="AR59" s="74">
        <v>8295.9541666666682</v>
      </c>
      <c r="AS59" s="81">
        <f t="shared" ref="AS59" si="954">AVERAGE(AR56:AR59)</f>
        <v>7783.4331161507325</v>
      </c>
      <c r="AT59" s="74">
        <v>7362.7971014492832</v>
      </c>
      <c r="AU59" s="81">
        <f t="shared" si="33"/>
        <v>7475.5701471371367</v>
      </c>
      <c r="AV59" s="74">
        <v>6887.6520086862101</v>
      </c>
      <c r="AW59" s="99">
        <f t="shared" si="78"/>
        <v>6866.9077680988175</v>
      </c>
      <c r="AX59" s="105">
        <v>4.418792224998465</v>
      </c>
      <c r="AY59" s="106">
        <f t="shared" si="105"/>
        <v>4.47114306760544</v>
      </c>
      <c r="AZ59" s="105">
        <v>4.813475846159915</v>
      </c>
      <c r="BA59" s="81">
        <f t="shared" ref="BA59" si="955">AVERAGE(AZ56:AZ59)</f>
        <v>4.8357139831295894</v>
      </c>
      <c r="BB59" s="492">
        <v>4.772727272727276</v>
      </c>
      <c r="BC59" s="493">
        <f t="shared" si="35"/>
        <v>4.8200607955570556</v>
      </c>
      <c r="BD59" s="105">
        <v>5.9375</v>
      </c>
      <c r="BE59" s="106">
        <f t="shared" ref="BE59" si="956">AVERAGE(BD56:BD59)</f>
        <v>5.7590231749116807</v>
      </c>
      <c r="BF59" s="105">
        <v>4.2663043478260922</v>
      </c>
      <c r="BG59" s="106">
        <f t="shared" si="37"/>
        <v>4.4111959292759</v>
      </c>
      <c r="BH59" s="105">
        <v>5.0260586319218357</v>
      </c>
      <c r="BI59" s="107">
        <f t="shared" si="81"/>
        <v>4.8913544935994961</v>
      </c>
      <c r="BJ59" s="487">
        <v>0.37291732069402439</v>
      </c>
      <c r="BK59" s="488">
        <f t="shared" si="108"/>
        <v>0.36918152263507725</v>
      </c>
      <c r="BL59" s="487">
        <v>0.58486150409697157</v>
      </c>
      <c r="BM59" s="489">
        <f t="shared" ref="BM59" si="957">AVERAGE(BL56:BL59)</f>
        <v>0.57708459979730331</v>
      </c>
      <c r="BN59" s="487"/>
      <c r="BO59" s="489" t="e">
        <f t="shared" ref="BO59" si="958">AVERAGE(BN56:BN59)</f>
        <v>#DIV/0!</v>
      </c>
      <c r="BP59" s="487">
        <v>0</v>
      </c>
      <c r="BQ59" s="489">
        <f t="shared" ref="BQ59" si="959">AVERAGE(BP56:BP59)</f>
        <v>0</v>
      </c>
      <c r="BR59" s="487"/>
      <c r="BS59" s="489" t="e">
        <f t="shared" ref="BS59" si="960">AVERAGE(BR56:BR59)</f>
        <v>#DIV/0!</v>
      </c>
      <c r="BT59" s="487">
        <v>0</v>
      </c>
      <c r="BU59" s="490">
        <f t="shared" si="86"/>
        <v>0</v>
      </c>
      <c r="BV59" s="74">
        <v>6023.2079626884488</v>
      </c>
      <c r="BW59" s="81">
        <f t="shared" si="113"/>
        <v>5896.4941049527288</v>
      </c>
      <c r="BX59" s="74">
        <v>6649.73825482951</v>
      </c>
      <c r="BY59" s="81">
        <f t="shared" ref="BY59" si="961">AVERAGE(BX56:BX59)</f>
        <v>6537.3404061272277</v>
      </c>
      <c r="BZ59" s="494">
        <v>6297.9128787878844</v>
      </c>
      <c r="CA59" s="495">
        <f t="shared" si="43"/>
        <v>6237.6601111777654</v>
      </c>
      <c r="CB59" s="74">
        <v>7535.0666666666666</v>
      </c>
      <c r="CC59" s="81">
        <f t="shared" ref="CC59" si="962">AVERAGE(CB56:CB59)</f>
        <v>7122.3101557914442</v>
      </c>
      <c r="CD59" s="74">
        <v>5760.0199275362384</v>
      </c>
      <c r="CE59" s="81">
        <f t="shared" si="45"/>
        <v>5852.7234463623572</v>
      </c>
      <c r="CF59" s="74">
        <v>8485.1894679696088</v>
      </c>
      <c r="CG59" s="99">
        <f t="shared" si="89"/>
        <v>8090.1314618638426</v>
      </c>
      <c r="CH59" s="156">
        <v>2.3255249247253029E-2</v>
      </c>
      <c r="CI59" s="157">
        <f t="shared" si="113"/>
        <v>2.0190503976665775E-2</v>
      </c>
      <c r="CJ59" s="156">
        <v>3.629187187762227E-2</v>
      </c>
      <c r="CK59" s="81">
        <f t="shared" ref="CK59" si="963">AVERAGE(CJ56:CJ59)</f>
        <v>3.1237888473700529E-2</v>
      </c>
      <c r="CL59" s="491">
        <v>3.4090909090909123E-2</v>
      </c>
      <c r="CM59" s="483">
        <f t="shared" si="47"/>
        <v>2.9288257492020346E-2</v>
      </c>
      <c r="CN59" s="156">
        <v>5.8333333333333341E-2</v>
      </c>
      <c r="CO59" s="483">
        <f t="shared" ref="CO59" si="964">AVERAGE(CN56:CN59)</f>
        <v>4.0490374818654001E-2</v>
      </c>
      <c r="CP59" s="156">
        <v>2.3550724637681184E-2</v>
      </c>
      <c r="CQ59" s="483">
        <f t="shared" si="49"/>
        <v>2.4341207721348523E-2</v>
      </c>
      <c r="CR59" s="156">
        <v>4.7774158523344282E-2</v>
      </c>
      <c r="CS59" s="158">
        <f t="shared" si="92"/>
        <v>4.2803254635761533E-2</v>
      </c>
      <c r="CT59" s="105">
        <v>41.20610999294626</v>
      </c>
      <c r="CU59" s="106">
        <f t="shared" si="118"/>
        <v>41.295097600273841</v>
      </c>
      <c r="CV59" s="105">
        <v>42.73415650767236</v>
      </c>
      <c r="CW59" s="81">
        <f t="shared" ref="CW59" si="965">AVERAGE(CV56:CV59)</f>
        <v>43.52406544299545</v>
      </c>
      <c r="CX59" s="492">
        <v>41.529040404040437</v>
      </c>
      <c r="CY59" s="493">
        <f t="shared" si="51"/>
        <v>42.499624947733231</v>
      </c>
      <c r="CZ59" s="105">
        <v>48.075000000000003</v>
      </c>
      <c r="DA59" s="106">
        <f t="shared" ref="DA59" si="966">AVERAGE(CZ56:CZ59)</f>
        <v>47.616557184208787</v>
      </c>
      <c r="DB59" s="105">
        <v>38.682971014492793</v>
      </c>
      <c r="DC59" s="106">
        <f t="shared" si="53"/>
        <v>40.191026781118765</v>
      </c>
      <c r="DD59" s="105">
        <v>49.021172638436589</v>
      </c>
      <c r="DE59" s="107">
        <f t="shared" si="95"/>
        <v>48.918865506894484</v>
      </c>
    </row>
    <row r="60" spans="1:109" x14ac:dyDescent="0.25">
      <c r="A60" s="155">
        <f t="shared" si="15"/>
        <v>45541</v>
      </c>
      <c r="B60" s="74">
        <v>40.129362370926131</v>
      </c>
      <c r="C60" s="81">
        <f t="shared" si="96"/>
        <v>39.799543431610452</v>
      </c>
      <c r="D60" s="74">
        <v>41.567324959715428</v>
      </c>
      <c r="E60" s="81">
        <f t="shared" si="16"/>
        <v>41.117051757352371</v>
      </c>
      <c r="F60" s="74">
        <v>41.646808510638316</v>
      </c>
      <c r="G60" s="81">
        <f t="shared" si="16"/>
        <v>41.204795504702375</v>
      </c>
      <c r="H60" s="74">
        <v>43.449664429530209</v>
      </c>
      <c r="I60" s="81">
        <f t="shared" ref="I60" si="967">AVERAGE(H57:H60)</f>
        <v>43.671419278861123</v>
      </c>
      <c r="J60" s="74">
        <v>40.809968847352046</v>
      </c>
      <c r="K60" s="81">
        <f t="shared" si="18"/>
        <v>40.051676043604012</v>
      </c>
      <c r="L60" s="74">
        <v>41.009456410311003</v>
      </c>
      <c r="M60" s="99">
        <f t="shared" ref="M60" si="968">AVERAGE(L57:L60)</f>
        <v>40.633941976538381</v>
      </c>
      <c r="N60" s="156">
        <v>5.537039952682165E-2</v>
      </c>
      <c r="O60" s="157">
        <f t="shared" si="96"/>
        <v>5.4794914509532715E-2</v>
      </c>
      <c r="P60" s="156">
        <v>6.7227750633063507E-2</v>
      </c>
      <c r="Q60" s="157">
        <f t="shared" si="20"/>
        <v>6.4566853977031255E-2</v>
      </c>
      <c r="R60" s="491">
        <v>6.9148936170212796E-2</v>
      </c>
      <c r="S60" s="483">
        <f t="shared" si="21"/>
        <v>6.6289589831407827E-2</v>
      </c>
      <c r="T60" s="156">
        <v>8.0536912751677861E-2</v>
      </c>
      <c r="U60" s="157">
        <f t="shared" si="22"/>
        <v>7.4713733874708615E-2</v>
      </c>
      <c r="V60" s="156">
        <v>6.3862928348909706E-2</v>
      </c>
      <c r="W60" s="157">
        <f t="shared" si="23"/>
        <v>6.237741602154967E-2</v>
      </c>
      <c r="X60" s="156">
        <v>5.3743589743144679E-2</v>
      </c>
      <c r="Y60" s="158">
        <f t="shared" si="24"/>
        <v>5.4690790060139841E-2</v>
      </c>
      <c r="Z60" s="156">
        <v>0.12187123483268804</v>
      </c>
      <c r="AA60" s="157">
        <f t="shared" si="99"/>
        <v>0.13100932281885111</v>
      </c>
      <c r="AB60" s="156">
        <v>0.12703362032926369</v>
      </c>
      <c r="AC60" s="81">
        <f t="shared" ref="AC60" si="969">AVERAGE(AB57:AB60)</f>
        <v>0.12777402914991295</v>
      </c>
      <c r="AD60" s="491">
        <v>0.13120259004061219</v>
      </c>
      <c r="AE60" s="483">
        <f t="shared" si="26"/>
        <v>0.13458802721564905</v>
      </c>
      <c r="AF60" s="156">
        <v>0.16066517519027648</v>
      </c>
      <c r="AG60" s="483">
        <f t="shared" ref="AG60" si="970">AVERAGE(AF57:AF60)</f>
        <v>0.1561161424562966</v>
      </c>
      <c r="AH60" s="156">
        <v>0.11944914515152689</v>
      </c>
      <c r="AI60" s="483">
        <f t="shared" si="28"/>
        <v>0.12682933086855047</v>
      </c>
      <c r="AJ60" s="156">
        <v>0.10476865733700447</v>
      </c>
      <c r="AK60" s="158">
        <f t="shared" si="29"/>
        <v>9.9708898487846087E-2</v>
      </c>
      <c r="AL60" s="74">
        <v>7899.582947976357</v>
      </c>
      <c r="AM60" s="81">
        <f t="shared" si="102"/>
        <v>7797.7665382151417</v>
      </c>
      <c r="AN60" s="74">
        <v>7516.5660331026475</v>
      </c>
      <c r="AO60" s="81">
        <f t="shared" ref="AO60" si="971">AVERAGE(AN57:AN60)</f>
        <v>7454.479544995379</v>
      </c>
      <c r="AP60" s="494">
        <v>7619.1308510638337</v>
      </c>
      <c r="AQ60" s="495">
        <f t="shared" si="31"/>
        <v>7562.0467468724164</v>
      </c>
      <c r="AR60" s="74">
        <v>7979.2147651006726</v>
      </c>
      <c r="AS60" s="81">
        <f t="shared" ref="AS60" si="972">AVERAGE(AR57:AR60)</f>
        <v>7796.4098032064903</v>
      </c>
      <c r="AT60" s="74">
        <v>7451.9890965732147</v>
      </c>
      <c r="AU60" s="81">
        <f t="shared" si="33"/>
        <v>7458.248139143544</v>
      </c>
      <c r="AV60" s="74">
        <v>6796.6977641138983</v>
      </c>
      <c r="AW60" s="99">
        <f t="shared" si="78"/>
        <v>6861.8610862241785</v>
      </c>
      <c r="AX60" s="105">
        <v>4.5654206974481228</v>
      </c>
      <c r="AY60" s="106">
        <f t="shared" si="105"/>
        <v>4.4975573458473983</v>
      </c>
      <c r="AZ60" s="105">
        <v>5.1029623186912554</v>
      </c>
      <c r="BA60" s="81">
        <f t="shared" ref="BA60" si="973">AVERAGE(AZ57:AZ60)</f>
        <v>4.8543434504598322</v>
      </c>
      <c r="BB60" s="492">
        <v>5.1170212765957475</v>
      </c>
      <c r="BC60" s="493">
        <f t="shared" si="35"/>
        <v>4.8421390812131682</v>
      </c>
      <c r="BD60" s="105">
        <v>6.0335570469798672</v>
      </c>
      <c r="BE60" s="106">
        <f t="shared" ref="BE60" si="974">AVERAGE(BD57:BD60)</f>
        <v>5.7157246729435673</v>
      </c>
      <c r="BF60" s="105">
        <v>4.6915887850467328</v>
      </c>
      <c r="BG60" s="106">
        <f t="shared" si="37"/>
        <v>4.4434420403956789</v>
      </c>
      <c r="BH60" s="105">
        <v>5.0042871794800554</v>
      </c>
      <c r="BI60" s="107">
        <f t="shared" si="81"/>
        <v>4.9318168955386215</v>
      </c>
      <c r="BJ60" s="487">
        <v>0.39327360182011561</v>
      </c>
      <c r="BK60" s="488">
        <f t="shared" si="108"/>
        <v>0.37037179017583677</v>
      </c>
      <c r="BL60" s="487">
        <v>0.59780512138259279</v>
      </c>
      <c r="BM60" s="489">
        <f t="shared" ref="BM60" si="975">AVERAGE(BL57:BL60)</f>
        <v>0.57550544075153187</v>
      </c>
      <c r="BN60" s="487"/>
      <c r="BO60" s="489" t="e">
        <f t="shared" ref="BO60" si="976">AVERAGE(BN57:BN60)</f>
        <v>#DIV/0!</v>
      </c>
      <c r="BP60" s="487">
        <v>0</v>
      </c>
      <c r="BQ60" s="489">
        <f t="shared" ref="BQ60" si="977">AVERAGE(BP57:BP60)</f>
        <v>0</v>
      </c>
      <c r="BR60" s="487"/>
      <c r="BS60" s="489" t="e">
        <f t="shared" ref="BS60" si="978">AVERAGE(BR57:BR60)</f>
        <v>#DIV/0!</v>
      </c>
      <c r="BT60" s="487">
        <v>0</v>
      </c>
      <c r="BU60" s="490">
        <f t="shared" si="86"/>
        <v>0</v>
      </c>
      <c r="BV60" s="74">
        <v>5648.5471118735413</v>
      </c>
      <c r="BW60" s="81">
        <f t="shared" si="113"/>
        <v>5878.6654814939748</v>
      </c>
      <c r="BX60" s="74">
        <v>6309.0186360006446</v>
      </c>
      <c r="BY60" s="81">
        <f t="shared" ref="BY60" si="979">AVERAGE(BX57:BX60)</f>
        <v>6500.0253795670624</v>
      </c>
      <c r="BZ60" s="494">
        <v>6072.8148936170246</v>
      </c>
      <c r="CA60" s="495">
        <f t="shared" si="43"/>
        <v>6204.7630570700585</v>
      </c>
      <c r="CB60" s="74">
        <v>7061.8489932885914</v>
      </c>
      <c r="CC60" s="81">
        <f t="shared" ref="CC60" si="980">AVERAGE(CB57:CB60)</f>
        <v>7083.2639652950274</v>
      </c>
      <c r="CD60" s="74">
        <v>5613.7305295950191</v>
      </c>
      <c r="CE60" s="81">
        <f t="shared" si="45"/>
        <v>5805.3184326843148</v>
      </c>
      <c r="CF60" s="74">
        <v>7966.8539691916758</v>
      </c>
      <c r="CG60" s="99">
        <f t="shared" si="89"/>
        <v>8110.8330036160196</v>
      </c>
      <c r="CH60" s="156">
        <v>1.7347616622435787E-2</v>
      </c>
      <c r="CI60" s="157">
        <f t="shared" si="113"/>
        <v>1.9752196692167105E-2</v>
      </c>
      <c r="CJ60" s="156">
        <v>2.6261799391096283E-2</v>
      </c>
      <c r="CK60" s="81">
        <f t="shared" ref="CK60" si="981">AVERAGE(CJ57:CJ60)</f>
        <v>3.1347506738445156E-2</v>
      </c>
      <c r="CL60" s="491">
        <v>2.446808510638299E-2</v>
      </c>
      <c r="CM60" s="483">
        <f t="shared" si="47"/>
        <v>2.9424417524596944E-2</v>
      </c>
      <c r="CN60" s="156">
        <v>4.0268456375838937E-2</v>
      </c>
      <c r="CO60" s="483">
        <f t="shared" ref="CO60" si="982">AVERAGE(CN57:CN60)</f>
        <v>4.3173522667888001E-2</v>
      </c>
      <c r="CP60" s="156">
        <v>1.7133956386292844E-2</v>
      </c>
      <c r="CQ60" s="483">
        <f t="shared" si="49"/>
        <v>2.3198987302061963E-2</v>
      </c>
      <c r="CR60" s="156">
        <v>3.8851282050594529E-2</v>
      </c>
      <c r="CS60" s="158">
        <f t="shared" si="92"/>
        <v>4.3187703821145625E-2</v>
      </c>
      <c r="CT60" s="105">
        <v>40.750684178070358</v>
      </c>
      <c r="CU60" s="106">
        <f t="shared" si="118"/>
        <v>41.108892561398342</v>
      </c>
      <c r="CV60" s="105">
        <v>43.375485405860765</v>
      </c>
      <c r="CW60" s="81">
        <f t="shared" ref="CW60" si="983">AVERAGE(CV57:CV60)</f>
        <v>43.385986800892049</v>
      </c>
      <c r="CX60" s="492">
        <v>42.635106382978741</v>
      </c>
      <c r="CY60" s="493">
        <f t="shared" si="51"/>
        <v>42.413186232473116</v>
      </c>
      <c r="CZ60" s="105">
        <v>45.979865771812086</v>
      </c>
      <c r="DA60" s="106">
        <f t="shared" ref="DA60" si="984">AVERAGE(CZ57:CZ60)</f>
        <v>47.340426580748307</v>
      </c>
      <c r="DB60" s="105">
        <v>41.082554517133978</v>
      </c>
      <c r="DC60" s="106">
        <f t="shared" si="53"/>
        <v>40.122349884525782</v>
      </c>
      <c r="DD60" s="105">
        <v>48.571958974403017</v>
      </c>
      <c r="DE60" s="107">
        <f t="shared" si="95"/>
        <v>48.887665746580709</v>
      </c>
    </row>
    <row r="61" spans="1:109" x14ac:dyDescent="0.25">
      <c r="A61" s="155">
        <f t="shared" si="15"/>
        <v>45548</v>
      </c>
      <c r="B61" s="74">
        <v>40.129444555888938</v>
      </c>
      <c r="C61" s="81">
        <f t="shared" si="96"/>
        <v>39.809878304864206</v>
      </c>
      <c r="D61" s="74">
        <v>41.577161595559787</v>
      </c>
      <c r="E61" s="81">
        <f t="shared" si="16"/>
        <v>41.269806267954237</v>
      </c>
      <c r="F61" s="74">
        <v>41.764935064935109</v>
      </c>
      <c r="G61" s="81">
        <f t="shared" si="16"/>
        <v>41.382398539833289</v>
      </c>
      <c r="H61" s="74">
        <v>43.789062500000014</v>
      </c>
      <c r="I61" s="81">
        <f t="shared" ref="I61" si="985">AVERAGE(H58:H61)</f>
        <v>43.796834510160338</v>
      </c>
      <c r="J61" s="74">
        <v>40.756809338521464</v>
      </c>
      <c r="K61" s="81">
        <f t="shared" si="18"/>
        <v>40.233645105178304</v>
      </c>
      <c r="L61" s="74">
        <v>40.53056516724314</v>
      </c>
      <c r="M61" s="99">
        <f t="shared" ref="M61" si="986">AVERAGE(L58:L61)</f>
        <v>40.62875968253897</v>
      </c>
      <c r="N61" s="156">
        <v>7.1734754779475135E-2</v>
      </c>
      <c r="O61" s="157">
        <f t="shared" si="96"/>
        <v>5.6212029167102648E-2</v>
      </c>
      <c r="P61" s="156">
        <v>7.858339938155276E-2</v>
      </c>
      <c r="Q61" s="157">
        <f t="shared" si="20"/>
        <v>6.8728374777268758E-2</v>
      </c>
      <c r="R61" s="491">
        <v>8.1818181818181901E-2</v>
      </c>
      <c r="S61" s="483">
        <f t="shared" si="21"/>
        <v>7.1254668123623688E-2</v>
      </c>
      <c r="T61" s="156">
        <v>0.11328125000000004</v>
      </c>
      <c r="U61" s="157">
        <f t="shared" si="22"/>
        <v>8.6301762910141702E-2</v>
      </c>
      <c r="V61" s="156">
        <v>6.6147859922179073E-2</v>
      </c>
      <c r="W61" s="157">
        <f t="shared" si="23"/>
        <v>6.399575532397507E-2</v>
      </c>
      <c r="X61" s="156">
        <v>6.0553633217992724E-2</v>
      </c>
      <c r="Y61" s="158">
        <f t="shared" si="24"/>
        <v>5.4368987434628382E-2</v>
      </c>
      <c r="Z61" s="156">
        <v>0.15918589437191039</v>
      </c>
      <c r="AA61" s="157">
        <f t="shared" si="99"/>
        <v>0.13287001945857049</v>
      </c>
      <c r="AB61" s="156">
        <v>0.15828754074818946</v>
      </c>
      <c r="AC61" s="81">
        <f t="shared" ref="AC61" si="987">AVERAGE(AB58:AB61)</f>
        <v>0.1329880085988735</v>
      </c>
      <c r="AD61" s="491">
        <v>0.17013564367935899</v>
      </c>
      <c r="AE61" s="483">
        <f t="shared" si="26"/>
        <v>0.14091417842497575</v>
      </c>
      <c r="AF61" s="156">
        <v>0.24111459452395601</v>
      </c>
      <c r="AG61" s="483">
        <f t="shared" ref="AG61" si="988">AVERAGE(AF58:AF61)</f>
        <v>0.17854418298849015</v>
      </c>
      <c r="AH61" s="156">
        <v>0.14088299840066637</v>
      </c>
      <c r="AI61" s="483">
        <f t="shared" si="28"/>
        <v>0.12639846905676722</v>
      </c>
      <c r="AJ61" s="156">
        <v>0.10742278600635245</v>
      </c>
      <c r="AK61" s="158">
        <f t="shared" si="29"/>
        <v>9.9215260983441578E-2</v>
      </c>
      <c r="AL61" s="74">
        <v>7896.4773955391456</v>
      </c>
      <c r="AM61" s="81">
        <f t="shared" si="102"/>
        <v>7837.0942346760512</v>
      </c>
      <c r="AN61" s="74">
        <v>7512.0171493708749</v>
      </c>
      <c r="AO61" s="81">
        <f t="shared" ref="AO61" si="989">AVERAGE(AN58:AN61)</f>
        <v>7484.567691866494</v>
      </c>
      <c r="AP61" s="494">
        <v>7603.7324675324762</v>
      </c>
      <c r="AQ61" s="495">
        <f t="shared" si="31"/>
        <v>7592.3293061347158</v>
      </c>
      <c r="AR61" s="74">
        <v>7742.9843750000036</v>
      </c>
      <c r="AS61" s="81">
        <f t="shared" ref="AS61" si="990">AVERAGE(AR58:AR61)</f>
        <v>7874.4541253029483</v>
      </c>
      <c r="AT61" s="74">
        <v>7534.3774319066242</v>
      </c>
      <c r="AU61" s="81">
        <f t="shared" si="33"/>
        <v>7465.2443958543754</v>
      </c>
      <c r="AV61" s="74">
        <v>7000.8217993079161</v>
      </c>
      <c r="AW61" s="99">
        <f t="shared" si="78"/>
        <v>6881.3748831205885</v>
      </c>
      <c r="AX61" s="105">
        <v>4.2808779088756426</v>
      </c>
      <c r="AY61" s="106">
        <f t="shared" si="105"/>
        <v>4.4651563589588044</v>
      </c>
      <c r="AZ61" s="105">
        <v>4.9409709407496747</v>
      </c>
      <c r="BA61" s="81">
        <f t="shared" ref="BA61" si="991">AVERAGE(AZ58:AZ61)</f>
        <v>4.9090194044798539</v>
      </c>
      <c r="BB61" s="492">
        <v>4.9532467532467583</v>
      </c>
      <c r="BC61" s="493">
        <f t="shared" si="35"/>
        <v>4.9020121078148193</v>
      </c>
      <c r="BD61" s="105">
        <v>6.2265625000000027</v>
      </c>
      <c r="BE61" s="106">
        <f t="shared" ref="BE61" si="992">AVERAGE(BD58:BD61)</f>
        <v>5.8028771089671904</v>
      </c>
      <c r="BF61" s="105">
        <v>4.3190661478599282</v>
      </c>
      <c r="BG61" s="106">
        <f t="shared" si="37"/>
        <v>4.4784527003263017</v>
      </c>
      <c r="BH61" s="105">
        <v>4.8725490196078143</v>
      </c>
      <c r="BI61" s="107">
        <f t="shared" si="81"/>
        <v>4.9236475040034984</v>
      </c>
      <c r="BJ61" s="487">
        <v>0.39876087009551764</v>
      </c>
      <c r="BK61" s="488">
        <f t="shared" si="108"/>
        <v>0.37129053866194789</v>
      </c>
      <c r="BL61" s="487">
        <v>0.56598682259766209</v>
      </c>
      <c r="BM61" s="489">
        <f t="shared" ref="BM61" si="993">AVERAGE(BL58:BL61)</f>
        <v>0.57577552373138574</v>
      </c>
      <c r="BN61" s="487"/>
      <c r="BO61" s="489" t="e">
        <f t="shared" ref="BO61" si="994">AVERAGE(BN58:BN61)</f>
        <v>#DIV/0!</v>
      </c>
      <c r="BP61" s="487">
        <v>0</v>
      </c>
      <c r="BQ61" s="489">
        <f t="shared" ref="BQ61" si="995">AVERAGE(BP58:BP61)</f>
        <v>0</v>
      </c>
      <c r="BR61" s="487"/>
      <c r="BS61" s="489" t="e">
        <f t="shared" ref="BS61" si="996">AVERAGE(BR58:BR61)</f>
        <v>#DIV/0!</v>
      </c>
      <c r="BT61" s="487">
        <v>0</v>
      </c>
      <c r="BU61" s="490">
        <f t="shared" si="86"/>
        <v>0</v>
      </c>
      <c r="BV61" s="74">
        <v>5283.8063088389617</v>
      </c>
      <c r="BW61" s="81">
        <f t="shared" si="113"/>
        <v>5803.3098304807772</v>
      </c>
      <c r="BX61" s="74">
        <v>6253.6081660026421</v>
      </c>
      <c r="BY61" s="81">
        <f t="shared" ref="BY61" si="997">AVERAGE(BX58:BX61)</f>
        <v>6476.8512440805762</v>
      </c>
      <c r="BZ61" s="494">
        <v>6010.3636363636433</v>
      </c>
      <c r="CA61" s="495">
        <f t="shared" si="43"/>
        <v>6196.2926278710056</v>
      </c>
      <c r="CB61" s="74">
        <v>6620.5234375000027</v>
      </c>
      <c r="CC61" s="81">
        <f t="shared" ref="CC61" si="998">AVERAGE(CB58:CB61)</f>
        <v>6946.9361632527043</v>
      </c>
      <c r="CD61" s="74">
        <v>5706.4708171206303</v>
      </c>
      <c r="CE61" s="81">
        <f t="shared" si="45"/>
        <v>5849.6648892248686</v>
      </c>
      <c r="CF61" s="74">
        <v>7609.3846597462098</v>
      </c>
      <c r="CG61" s="99">
        <f t="shared" si="89"/>
        <v>7998.6376724848969</v>
      </c>
      <c r="CH61" s="156">
        <v>2.2493385924083596E-2</v>
      </c>
      <c r="CI61" s="157">
        <f t="shared" si="113"/>
        <v>1.9866080886761284E-2</v>
      </c>
      <c r="CJ61" s="156">
        <v>3.0726087982414552E-2</v>
      </c>
      <c r="CK61" s="81">
        <f t="shared" ref="CK61" si="999">AVERAGE(CJ58:CJ61)</f>
        <v>3.18951520811546E-2</v>
      </c>
      <c r="CL61" s="491">
        <v>3.1168831168831203E-2</v>
      </c>
      <c r="CM61" s="483">
        <f t="shared" si="47"/>
        <v>3.0401259765379711E-2</v>
      </c>
      <c r="CN61" s="156">
        <v>4.6875000000000028E-2</v>
      </c>
      <c r="CO61" s="483">
        <f t="shared" ref="CO61" si="1000">AVERAGE(CN58:CN61)</f>
        <v>4.5049752982848634E-2</v>
      </c>
      <c r="CP61" s="156">
        <v>2.3346303501945557E-2</v>
      </c>
      <c r="CQ61" s="483">
        <f t="shared" si="49"/>
        <v>2.3610608385504946E-2</v>
      </c>
      <c r="CR61" s="156">
        <v>2.8258362168396601E-2</v>
      </c>
      <c r="CS61" s="158">
        <f t="shared" si="92"/>
        <v>3.9313956583219942E-2</v>
      </c>
      <c r="CT61" s="105">
        <v>40.266424738818351</v>
      </c>
      <c r="CU61" s="106">
        <f t="shared" si="118"/>
        <v>40.859470454180773</v>
      </c>
      <c r="CV61" s="105">
        <v>42.798457796657459</v>
      </c>
      <c r="CW61" s="81">
        <f t="shared" ref="CW61" si="1001">AVERAGE(CV58:CV61)</f>
        <v>43.126904487572332</v>
      </c>
      <c r="CX61" s="492">
        <v>41.949350649350698</v>
      </c>
      <c r="CY61" s="493">
        <f t="shared" si="51"/>
        <v>42.14525747597559</v>
      </c>
      <c r="CZ61" s="105">
        <v>49.250000000000021</v>
      </c>
      <c r="DA61" s="106">
        <f t="shared" ref="DA61" si="1002">AVERAGE(CZ58:CZ61)</f>
        <v>47.584028942953033</v>
      </c>
      <c r="DB61" s="105">
        <v>38.313229571984493</v>
      </c>
      <c r="DC61" s="106">
        <f t="shared" si="53"/>
        <v>39.548758543344682</v>
      </c>
      <c r="DD61" s="105">
        <v>47.531141868511824</v>
      </c>
      <c r="DE61" s="107">
        <f t="shared" si="95"/>
        <v>48.634552928355056</v>
      </c>
    </row>
    <row r="62" spans="1:109" x14ac:dyDescent="0.25">
      <c r="A62" s="155">
        <f t="shared" si="15"/>
        <v>45555</v>
      </c>
      <c r="B62" s="74">
        <v>39.927986534888063</v>
      </c>
      <c r="C62" s="81">
        <f t="shared" si="96"/>
        <v>39.901449228003457</v>
      </c>
      <c r="D62" s="74">
        <v>41.270019786992393</v>
      </c>
      <c r="E62" s="81">
        <f t="shared" si="16"/>
        <v>41.309640010186904</v>
      </c>
      <c r="F62" s="74">
        <v>41.449938195302884</v>
      </c>
      <c r="G62" s="81">
        <f t="shared" si="16"/>
        <v>41.437327008375647</v>
      </c>
      <c r="H62" s="74">
        <v>43.97318007662836</v>
      </c>
      <c r="I62" s="81">
        <f t="shared" ref="I62" si="1003">AVERAGE(H59:H62)</f>
        <v>43.814435084872983</v>
      </c>
      <c r="J62" s="74">
        <v>40.248175182481802</v>
      </c>
      <c r="K62" s="81">
        <f t="shared" si="18"/>
        <v>40.332361530494637</v>
      </c>
      <c r="L62" s="74">
        <v>40.192806603773377</v>
      </c>
      <c r="M62" s="99">
        <f t="shared" ref="M62" si="1004">AVERAGE(L59:L62)</f>
        <v>40.556306936754268</v>
      </c>
      <c r="N62" s="156">
        <v>5.8567215163621157E-2</v>
      </c>
      <c r="O62" s="157">
        <f t="shared" si="96"/>
        <v>5.6198205780110332E-2</v>
      </c>
      <c r="P62" s="156">
        <v>6.7584240237385795E-2</v>
      </c>
      <c r="Q62" s="157">
        <f t="shared" si="20"/>
        <v>6.8909991857380254E-2</v>
      </c>
      <c r="R62" s="491">
        <v>6.9221260815822069E-2</v>
      </c>
      <c r="S62" s="483">
        <f t="shared" si="21"/>
        <v>7.1145579549539054E-2</v>
      </c>
      <c r="T62" s="156">
        <v>8.4291187739463605E-2</v>
      </c>
      <c r="U62" s="157">
        <f t="shared" si="22"/>
        <v>8.8277337622785376E-2</v>
      </c>
      <c r="V62" s="156">
        <v>6.2043795620438026E-2</v>
      </c>
      <c r="W62" s="157">
        <f t="shared" si="23"/>
        <v>6.2959298146794768E-2</v>
      </c>
      <c r="X62" s="156">
        <v>5.7783018867924224E-2</v>
      </c>
      <c r="Y62" s="158">
        <f t="shared" si="24"/>
        <v>5.5777932335658482E-2</v>
      </c>
      <c r="Z62" s="156">
        <v>0.13129714211438892</v>
      </c>
      <c r="AA62" s="157">
        <f t="shared" si="99"/>
        <v>0.12997254166282943</v>
      </c>
      <c r="AB62" s="156">
        <v>0.1369086121217796</v>
      </c>
      <c r="AC62" s="81">
        <f t="shared" ref="AC62" si="1005">AVERAGE(AB59:AB62)</f>
        <v>0.13695632246524272</v>
      </c>
      <c r="AD62" s="491">
        <v>0.14335897680278722</v>
      </c>
      <c r="AE62" s="483">
        <f t="shared" si="26"/>
        <v>0.14469024975854747</v>
      </c>
      <c r="AF62" s="156">
        <v>0.19844212360541091</v>
      </c>
      <c r="AG62" s="483">
        <f t="shared" ref="AG62" si="1006">AVERAGE(AF59:AF62)</f>
        <v>0.19548419958342569</v>
      </c>
      <c r="AH62" s="156">
        <v>0.12161630572974765</v>
      </c>
      <c r="AI62" s="483">
        <f t="shared" si="28"/>
        <v>0.12496340247640654</v>
      </c>
      <c r="AJ62" s="156">
        <v>0.10546160665156007</v>
      </c>
      <c r="AK62" s="158">
        <f t="shared" si="29"/>
        <v>0.10233194933302923</v>
      </c>
      <c r="AL62" s="74">
        <v>7774.8944653348735</v>
      </c>
      <c r="AM62" s="81">
        <f t="shared" si="102"/>
        <v>7829.7952857124492</v>
      </c>
      <c r="AN62" s="74">
        <v>7378.5798987340268</v>
      </c>
      <c r="AO62" s="81">
        <f t="shared" ref="AO62" si="1007">AVERAGE(AN59:AN62)</f>
        <v>7482.7057385234602</v>
      </c>
      <c r="AP62" s="494">
        <v>7465.7169344870281</v>
      </c>
      <c r="AQ62" s="495">
        <f t="shared" si="31"/>
        <v>7583.5380556950786</v>
      </c>
      <c r="AR62" s="74">
        <v>7892.9770114942539</v>
      </c>
      <c r="AS62" s="81">
        <f t="shared" ref="AS62" si="1008">AVERAGE(AR59:AR62)</f>
        <v>7977.7825795653998</v>
      </c>
      <c r="AT62" s="74">
        <v>7262.2226277372347</v>
      </c>
      <c r="AU62" s="81">
        <f t="shared" si="33"/>
        <v>7402.8465644165899</v>
      </c>
      <c r="AV62" s="74">
        <v>6856.8702830188276</v>
      </c>
      <c r="AW62" s="99">
        <f t="shared" si="78"/>
        <v>6882.5596638115894</v>
      </c>
      <c r="AX62" s="105">
        <v>4.3649176149622946</v>
      </c>
      <c r="AY62" s="106">
        <f t="shared" si="105"/>
        <v>4.4606429020206422</v>
      </c>
      <c r="AZ62" s="105">
        <v>5.0880608741177609</v>
      </c>
      <c r="BA62" s="81">
        <f t="shared" ref="BA62" si="1009">AVERAGE(AZ59:AZ62)</f>
        <v>4.9863674949296515</v>
      </c>
      <c r="BB62" s="492">
        <v>5.1446229913473474</v>
      </c>
      <c r="BC62" s="493">
        <f t="shared" si="35"/>
        <v>4.9969045734792825</v>
      </c>
      <c r="BD62" s="105">
        <v>6.0651340996168592</v>
      </c>
      <c r="BE62" s="106">
        <f t="shared" ref="BE62" si="1010">AVERAGE(BD59:BD62)</f>
        <v>6.065688411649182</v>
      </c>
      <c r="BF62" s="105">
        <v>4.706204379562049</v>
      </c>
      <c r="BG62" s="106">
        <f t="shared" si="37"/>
        <v>4.4957909150737008</v>
      </c>
      <c r="BH62" s="105">
        <v>4.7494103773584708</v>
      </c>
      <c r="BI62" s="107">
        <f t="shared" si="81"/>
        <v>4.8988230124573047</v>
      </c>
      <c r="BJ62" s="487">
        <v>0.397190107774818</v>
      </c>
      <c r="BK62" s="488">
        <f t="shared" si="108"/>
        <v>0.37632307628886613</v>
      </c>
      <c r="BL62" s="487">
        <v>0.58043415002856091</v>
      </c>
      <c r="BM62" s="489">
        <f t="shared" ref="BM62" si="1011">AVERAGE(BL59:BL62)</f>
        <v>0.58227189952644687</v>
      </c>
      <c r="BN62" s="487"/>
      <c r="BO62" s="489" t="e">
        <f t="shared" ref="BO62" si="1012">AVERAGE(BN59:BN62)</f>
        <v>#DIV/0!</v>
      </c>
      <c r="BP62" s="487">
        <v>0</v>
      </c>
      <c r="BQ62" s="489">
        <f t="shared" ref="BQ62" si="1013">AVERAGE(BP59:BP62)</f>
        <v>0</v>
      </c>
      <c r="BR62" s="487"/>
      <c r="BS62" s="489" t="e">
        <f t="shared" ref="BS62" si="1014">AVERAGE(BR59:BR62)</f>
        <v>#DIV/0!</v>
      </c>
      <c r="BT62" s="487">
        <v>0</v>
      </c>
      <c r="BU62" s="490">
        <f t="shared" si="86"/>
        <v>0</v>
      </c>
      <c r="BV62" s="74">
        <v>5444.4194411196167</v>
      </c>
      <c r="BW62" s="81">
        <f t="shared" si="113"/>
        <v>5727.7721250415498</v>
      </c>
      <c r="BX62" s="74">
        <v>6639.4045219184381</v>
      </c>
      <c r="BY62" s="81">
        <f t="shared" ref="BY62" si="1015">AVERAGE(BX59:BX62)</f>
        <v>6462.9423946878087</v>
      </c>
      <c r="BZ62" s="494">
        <v>6435.622991347348</v>
      </c>
      <c r="CA62" s="495">
        <f t="shared" si="43"/>
        <v>6204.1786000289749</v>
      </c>
      <c r="CB62" s="74">
        <v>7994.0842911877398</v>
      </c>
      <c r="CC62" s="81">
        <f t="shared" ref="CC62" si="1016">AVERAGE(CB59:CB62)</f>
        <v>7302.8808471607508</v>
      </c>
      <c r="CD62" s="74">
        <v>5693.363138686138</v>
      </c>
      <c r="CE62" s="81">
        <f t="shared" si="45"/>
        <v>5693.396103234506</v>
      </c>
      <c r="CF62" s="74">
        <v>7859.4917452829814</v>
      </c>
      <c r="CG62" s="99">
        <f t="shared" si="89"/>
        <v>7961.688116616232</v>
      </c>
      <c r="CH62" s="156">
        <v>2.3971398297790193E-2</v>
      </c>
      <c r="CI62" s="157">
        <f t="shared" si="113"/>
        <v>2.0461016706743457E-2</v>
      </c>
      <c r="CJ62" s="156">
        <v>3.4889134609798651E-2</v>
      </c>
      <c r="CK62" s="81">
        <f t="shared" ref="CK62" si="1017">AVERAGE(CJ59:CJ62)</f>
        <v>3.2042223465232937E-2</v>
      </c>
      <c r="CL62" s="491">
        <v>3.4610630407911035E-2</v>
      </c>
      <c r="CM62" s="483">
        <f t="shared" si="47"/>
        <v>3.1084613943508588E-2</v>
      </c>
      <c r="CN62" s="156">
        <v>6.8965517241379323E-2</v>
      </c>
      <c r="CO62" s="483">
        <f t="shared" ref="CO62" si="1018">AVERAGE(CN59:CN62)</f>
        <v>5.3610576737637902E-2</v>
      </c>
      <c r="CP62" s="156">
        <v>1.8248175182481775E-2</v>
      </c>
      <c r="CQ62" s="483">
        <f t="shared" si="49"/>
        <v>2.0569789927100339E-2</v>
      </c>
      <c r="CR62" s="156">
        <v>3.6556603773584717E-2</v>
      </c>
      <c r="CS62" s="158">
        <f t="shared" si="92"/>
        <v>3.8432432446978783E-2</v>
      </c>
      <c r="CT62" s="105">
        <v>40.259214332887503</v>
      </c>
      <c r="CU62" s="106">
        <f t="shared" si="118"/>
        <v>40.687151908328651</v>
      </c>
      <c r="CV62" s="105">
        <v>42.23025082934295</v>
      </c>
      <c r="CW62" s="81">
        <f t="shared" ref="CW62" si="1019">AVERAGE(CV59:CV62)</f>
        <v>42.78458763488338</v>
      </c>
      <c r="CX62" s="492">
        <v>41.24845488257111</v>
      </c>
      <c r="CY62" s="493">
        <f t="shared" si="51"/>
        <v>41.840488079735245</v>
      </c>
      <c r="CZ62" s="105">
        <v>47.252873563218394</v>
      </c>
      <c r="DA62" s="106">
        <f t="shared" ref="DA62" si="1020">AVERAGE(CZ59:CZ62)</f>
        <v>47.639434833757626</v>
      </c>
      <c r="DB62" s="105">
        <v>38.388686131386905</v>
      </c>
      <c r="DC62" s="106">
        <f t="shared" si="53"/>
        <v>39.116860308749537</v>
      </c>
      <c r="DD62" s="105">
        <v>48.108490566037489</v>
      </c>
      <c r="DE62" s="107">
        <f t="shared" si="95"/>
        <v>48.493168463762991</v>
      </c>
    </row>
    <row r="63" spans="1:109" x14ac:dyDescent="0.25">
      <c r="A63" s="155">
        <f t="shared" si="15"/>
        <v>45562</v>
      </c>
      <c r="B63" s="74">
        <v>40.133806484369416</v>
      </c>
      <c r="C63" s="81">
        <f t="shared" si="96"/>
        <v>39.983834858131743</v>
      </c>
      <c r="D63" s="74">
        <v>41.227109604468566</v>
      </c>
      <c r="E63" s="81">
        <f t="shared" si="16"/>
        <v>41.410403986684045</v>
      </c>
      <c r="F63" s="74">
        <v>41.262557077625601</v>
      </c>
      <c r="G63" s="81">
        <f t="shared" si="16"/>
        <v>41.531059712125483</v>
      </c>
      <c r="H63" s="74">
        <v>43.080000000000005</v>
      </c>
      <c r="I63" s="81">
        <f t="shared" ref="I63" si="1021">AVERAGE(H60:H63)</f>
        <v>43.572976751539649</v>
      </c>
      <c r="J63" s="74">
        <v>40.536741214057542</v>
      </c>
      <c r="K63" s="81">
        <f t="shared" si="18"/>
        <v>40.587923645603212</v>
      </c>
      <c r="L63" s="74">
        <v>40.966577540106726</v>
      </c>
      <c r="M63" s="99">
        <f t="shared" ref="M63" si="1022">AVERAGE(L60:L63)</f>
        <v>40.674851430358558</v>
      </c>
      <c r="N63" s="156">
        <v>6.2152550753894503E-2</v>
      </c>
      <c r="O63" s="157">
        <f t="shared" si="96"/>
        <v>5.7232092131698012E-2</v>
      </c>
      <c r="P63" s="156">
        <v>7.3408272785382686E-2</v>
      </c>
      <c r="Q63" s="157">
        <f t="shared" si="20"/>
        <v>7.1700915759346187E-2</v>
      </c>
      <c r="R63" s="491">
        <v>7.6484018264840234E-2</v>
      </c>
      <c r="S63" s="483">
        <f t="shared" si="21"/>
        <v>7.4168099267264254E-2</v>
      </c>
      <c r="T63" s="156">
        <v>0.10800000000000001</v>
      </c>
      <c r="U63" s="157">
        <f t="shared" si="22"/>
        <v>9.652733762278537E-2</v>
      </c>
      <c r="V63" s="156">
        <v>6.3897763578274813E-2</v>
      </c>
      <c r="W63" s="157">
        <f t="shared" si="23"/>
        <v>6.3988086867450403E-2</v>
      </c>
      <c r="X63" s="156">
        <v>5.0802139037432852E-2</v>
      </c>
      <c r="Y63" s="158">
        <f t="shared" si="24"/>
        <v>5.572059521662362E-2</v>
      </c>
      <c r="Z63" s="156">
        <v>0.12747958699688119</v>
      </c>
      <c r="AA63" s="157">
        <f t="shared" si="99"/>
        <v>0.12959599929247154</v>
      </c>
      <c r="AB63" s="156">
        <v>0.13988184339853679</v>
      </c>
      <c r="AC63" s="81">
        <f t="shared" ref="AC63" si="1023">AVERAGE(AB60:AB63)</f>
        <v>0.14052790414944238</v>
      </c>
      <c r="AD63" s="491">
        <v>0.14843928241730731</v>
      </c>
      <c r="AE63" s="483">
        <f t="shared" si="26"/>
        <v>0.14828412323501641</v>
      </c>
      <c r="AF63" s="156">
        <v>0.24483450466179474</v>
      </c>
      <c r="AG63" s="483">
        <f t="shared" ref="AG63" si="1024">AVERAGE(AF60:AF63)</f>
        <v>0.21126409949535951</v>
      </c>
      <c r="AH63" s="156">
        <v>0.11596076882760535</v>
      </c>
      <c r="AI63" s="483">
        <f t="shared" si="28"/>
        <v>0.12447730452738656</v>
      </c>
      <c r="AJ63" s="156">
        <v>8.8980373490793629E-2</v>
      </c>
      <c r="AK63" s="158">
        <f t="shared" si="29"/>
        <v>0.10165835587142766</v>
      </c>
      <c r="AL63" s="74">
        <v>7687.7323414883103</v>
      </c>
      <c r="AM63" s="81">
        <f t="shared" si="102"/>
        <v>7802.6867406479159</v>
      </c>
      <c r="AN63" s="74">
        <v>7397.5089579489177</v>
      </c>
      <c r="AO63" s="81">
        <f t="shared" ref="AO63" si="1025">AVERAGE(AN60:AN63)</f>
        <v>7451.1680097891167</v>
      </c>
      <c r="AP63" s="494">
        <v>7467.0182648401878</v>
      </c>
      <c r="AQ63" s="495">
        <f t="shared" si="31"/>
        <v>7538.8996294808821</v>
      </c>
      <c r="AR63" s="74">
        <v>7754.9880000000012</v>
      </c>
      <c r="AS63" s="81">
        <f t="shared" ref="AS63" si="1026">AVERAGE(AR60:AR63)</f>
        <v>7842.5410378987326</v>
      </c>
      <c r="AT63" s="74">
        <v>7352.0143769968108</v>
      </c>
      <c r="AU63" s="81">
        <f t="shared" si="33"/>
        <v>7400.1508833034713</v>
      </c>
      <c r="AV63" s="74">
        <v>6886.6290106951383</v>
      </c>
      <c r="AW63" s="99">
        <f t="shared" si="78"/>
        <v>6882.2935530675295</v>
      </c>
      <c r="AX63" s="105">
        <v>4.0518841772439114</v>
      </c>
      <c r="AY63" s="106">
        <f t="shared" si="105"/>
        <v>4.3677985832819104</v>
      </c>
      <c r="AZ63" s="105">
        <v>4.5511969700342441</v>
      </c>
      <c r="BA63" s="81">
        <f t="shared" ref="BA63" si="1027">AVERAGE(AZ60:AZ63)</f>
        <v>4.920797775898234</v>
      </c>
      <c r="BB63" s="492">
        <v>4.478310502283108</v>
      </c>
      <c r="BC63" s="493">
        <f t="shared" si="35"/>
        <v>4.9233003808682403</v>
      </c>
      <c r="BD63" s="105">
        <v>6.024</v>
      </c>
      <c r="BE63" s="106">
        <f t="shared" ref="BE63" si="1028">AVERAGE(BD60:BD63)</f>
        <v>6.0873134116491823</v>
      </c>
      <c r="BF63" s="105">
        <v>3.8610223642172556</v>
      </c>
      <c r="BG63" s="106">
        <f t="shared" si="37"/>
        <v>4.3944704191714914</v>
      </c>
      <c r="BH63" s="105">
        <v>5.0868983957219012</v>
      </c>
      <c r="BI63" s="107">
        <f t="shared" si="81"/>
        <v>4.9073760651279992</v>
      </c>
      <c r="BJ63" s="487">
        <v>0.46253149132861587</v>
      </c>
      <c r="BK63" s="488">
        <f t="shared" si="108"/>
        <v>0.38917209676234404</v>
      </c>
      <c r="BL63" s="487">
        <v>0.62902762747859875</v>
      </c>
      <c r="BM63" s="489">
        <f t="shared" ref="BM63" si="1029">AVERAGE(BL60:BL63)</f>
        <v>0.59331343037185358</v>
      </c>
      <c r="BN63" s="487"/>
      <c r="BO63" s="489" t="e">
        <f t="shared" ref="BO63" si="1030">AVERAGE(BN60:BN63)</f>
        <v>#DIV/0!</v>
      </c>
      <c r="BP63" s="487">
        <v>0</v>
      </c>
      <c r="BQ63" s="489">
        <f t="shared" ref="BQ63" si="1031">AVERAGE(BP60:BP63)</f>
        <v>0</v>
      </c>
      <c r="BR63" s="487"/>
      <c r="BS63" s="489" t="e">
        <f t="shared" ref="BS63" si="1032">AVERAGE(BR60:BR63)</f>
        <v>#DIV/0!</v>
      </c>
      <c r="BT63" s="487">
        <v>0</v>
      </c>
      <c r="BU63" s="490">
        <f t="shared" si="86"/>
        <v>0</v>
      </c>
      <c r="BV63" s="74">
        <v>5474.6207475055726</v>
      </c>
      <c r="BW63" s="81">
        <f t="shared" si="113"/>
        <v>5671.5597776117502</v>
      </c>
      <c r="BX63" s="74">
        <v>6394.04620316413</v>
      </c>
      <c r="BY63" s="81">
        <f t="shared" ref="BY63" si="1033">AVERAGE(BX60:BX63)</f>
        <v>6399.0193817714635</v>
      </c>
      <c r="BZ63" s="494">
        <v>6106.8390410958937</v>
      </c>
      <c r="CA63" s="495">
        <f t="shared" si="43"/>
        <v>6156.4101406059772</v>
      </c>
      <c r="CB63" s="74">
        <v>7659.7119999999995</v>
      </c>
      <c r="CC63" s="81">
        <f t="shared" ref="CC63" si="1034">AVERAGE(CB60:CB63)</f>
        <v>7334.0421804940834</v>
      </c>
      <c r="CD63" s="74">
        <v>5486.6821086262025</v>
      </c>
      <c r="CE63" s="81">
        <f t="shared" si="45"/>
        <v>5625.0616485069977</v>
      </c>
      <c r="CF63" s="74">
        <v>8504.963235294068</v>
      </c>
      <c r="CG63" s="99">
        <f t="shared" si="89"/>
        <v>8059.1152212418538</v>
      </c>
      <c r="CH63" s="156">
        <v>2.4146087504379226E-2</v>
      </c>
      <c r="CI63" s="157">
        <f t="shared" si="113"/>
        <v>2.1524415499874255E-2</v>
      </c>
      <c r="CJ63" s="156">
        <v>3.2734480245647464E-2</v>
      </c>
      <c r="CK63" s="81">
        <f t="shared" ref="CK63" si="1035">AVERAGE(CJ60:CJ63)</f>
        <v>3.1152875557239237E-2</v>
      </c>
      <c r="CL63" s="491">
        <v>3.0821917808219201E-2</v>
      </c>
      <c r="CM63" s="483">
        <f t="shared" si="47"/>
        <v>3.026736612283611E-2</v>
      </c>
      <c r="CN63" s="156">
        <v>5.2000000000000005E-2</v>
      </c>
      <c r="CO63" s="483">
        <f t="shared" ref="CO63" si="1036">AVERAGE(CN60:CN63)</f>
        <v>5.2027243404304577E-2</v>
      </c>
      <c r="CP63" s="156">
        <v>2.2364217252396186E-2</v>
      </c>
      <c r="CQ63" s="483">
        <f t="shared" si="49"/>
        <v>2.0273163080779089E-2</v>
      </c>
      <c r="CR63" s="156">
        <v>4.6791443850267095E-2</v>
      </c>
      <c r="CS63" s="158">
        <f t="shared" si="92"/>
        <v>3.9968919277583205E-2</v>
      </c>
      <c r="CT63" s="105">
        <v>40.078859463832202</v>
      </c>
      <c r="CU63" s="106">
        <f t="shared" si="118"/>
        <v>40.58415354617523</v>
      </c>
      <c r="CV63" s="105">
        <v>41.749837128193604</v>
      </c>
      <c r="CW63" s="81">
        <f t="shared" ref="CW63" si="1037">AVERAGE(CV60:CV63)</f>
        <v>42.538507790013689</v>
      </c>
      <c r="CX63" s="492">
        <v>40.700913242009157</v>
      </c>
      <c r="CY63" s="493">
        <f t="shared" si="51"/>
        <v>41.633456289227425</v>
      </c>
      <c r="CZ63" s="105">
        <v>45.304000000000009</v>
      </c>
      <c r="DA63" s="106">
        <f t="shared" ref="DA63" si="1038">AVERAGE(CZ60:CZ63)</f>
        <v>46.946684833757629</v>
      </c>
      <c r="DB63" s="105">
        <v>38.862619808306746</v>
      </c>
      <c r="DC63" s="106">
        <f t="shared" si="53"/>
        <v>39.161772507203032</v>
      </c>
      <c r="DD63" s="105">
        <v>49.459224598930184</v>
      </c>
      <c r="DE63" s="107">
        <f t="shared" si="95"/>
        <v>48.556197975321844</v>
      </c>
    </row>
    <row r="64" spans="1:109" x14ac:dyDescent="0.25">
      <c r="A64" s="155">
        <f t="shared" si="15"/>
        <v>45569</v>
      </c>
      <c r="B64" s="74">
        <v>39.796901217361167</v>
      </c>
      <c r="C64" s="81">
        <f t="shared" si="96"/>
        <v>40.027901955876146</v>
      </c>
      <c r="D64" s="74">
        <v>41.021700826938407</v>
      </c>
      <c r="E64" s="81">
        <f t="shared" si="16"/>
        <v>41.27399795348979</v>
      </c>
      <c r="F64" s="74">
        <v>41.110444177671091</v>
      </c>
      <c r="G64" s="81">
        <f t="shared" si="16"/>
        <v>41.39696862888367</v>
      </c>
      <c r="H64" s="74">
        <v>44.95330739299613</v>
      </c>
      <c r="I64" s="81">
        <f t="shared" ref="I64" si="1039">AVERAGE(H61:H64)</f>
        <v>43.948887492406129</v>
      </c>
      <c r="J64" s="74">
        <v>39.395833333333364</v>
      </c>
      <c r="K64" s="81">
        <f t="shared" si="18"/>
        <v>40.234389767098541</v>
      </c>
      <c r="L64" s="74">
        <v>40.50497369120815</v>
      </c>
      <c r="M64" s="99">
        <f t="shared" ref="M64" si="1040">AVERAGE(L61:L64)</f>
        <v>40.548730750582848</v>
      </c>
      <c r="N64" s="156">
        <v>6.0560822094307729E-2</v>
      </c>
      <c r="O64" s="157">
        <f t="shared" si="96"/>
        <v>5.8103193849894506E-2</v>
      </c>
      <c r="P64" s="156">
        <v>5.9512618003807145E-2</v>
      </c>
      <c r="Q64" s="157">
        <f t="shared" si="20"/>
        <v>6.9772132602032091E-2</v>
      </c>
      <c r="R64" s="491">
        <v>6.2424969987995238E-2</v>
      </c>
      <c r="S64" s="483">
        <f t="shared" si="21"/>
        <v>7.2487107721709867E-2</v>
      </c>
      <c r="T64" s="156">
        <v>9.7276264591439732E-2</v>
      </c>
      <c r="U64" s="157">
        <f t="shared" si="22"/>
        <v>0.10071217558272584</v>
      </c>
      <c r="V64" s="156">
        <v>4.6875000000000035E-2</v>
      </c>
      <c r="W64" s="157">
        <f t="shared" si="23"/>
        <v>5.9741104780222987E-2</v>
      </c>
      <c r="X64" s="156">
        <v>4.2554825824413597E-2</v>
      </c>
      <c r="Y64" s="158">
        <f t="shared" si="24"/>
        <v>5.2923404236940849E-2</v>
      </c>
      <c r="Z64" s="156">
        <v>0.13316345370882465</v>
      </c>
      <c r="AA64" s="157">
        <f t="shared" si="99"/>
        <v>0.12908862727057965</v>
      </c>
      <c r="AB64" s="156">
        <v>0.12248723484198198</v>
      </c>
      <c r="AC64" s="81">
        <f t="shared" ref="AC64" si="1041">AVERAGE(AB61:AB64)</f>
        <v>0.13939130777762196</v>
      </c>
      <c r="AD64" s="491">
        <v>0.13089294165696136</v>
      </c>
      <c r="AE64" s="483">
        <f t="shared" si="26"/>
        <v>0.14820671113910372</v>
      </c>
      <c r="AF64" s="156">
        <v>0.2229715379157676</v>
      </c>
      <c r="AG64" s="483">
        <f t="shared" ref="AG64" si="1042">AVERAGE(AF61:AF64)</f>
        <v>0.22684069017673233</v>
      </c>
      <c r="AH64" s="156">
        <v>9.885451042574897E-2</v>
      </c>
      <c r="AI64" s="483">
        <f t="shared" si="28"/>
        <v>0.11932864584594208</v>
      </c>
      <c r="AJ64" s="156">
        <v>8.4136857438717738E-2</v>
      </c>
      <c r="AK64" s="158">
        <f t="shared" si="29"/>
        <v>9.6500405896855976E-2</v>
      </c>
      <c r="AL64" s="74">
        <v>7754.030319842831</v>
      </c>
      <c r="AM64" s="81">
        <f t="shared" si="102"/>
        <v>7808.7857240756648</v>
      </c>
      <c r="AN64" s="74">
        <v>7439.3179748288967</v>
      </c>
      <c r="AO64" s="81">
        <f t="shared" ref="AO64" si="1043">AVERAGE(AN61:AN64)</f>
        <v>7431.8559952206788</v>
      </c>
      <c r="AP64" s="494">
        <v>7549.249699879957</v>
      </c>
      <c r="AQ64" s="495">
        <f t="shared" si="31"/>
        <v>7521.4293416849132</v>
      </c>
      <c r="AR64" s="74">
        <v>7676.8404669260744</v>
      </c>
      <c r="AS64" s="81">
        <f t="shared" ref="AS64" si="1044">AVERAGE(AR61:AR64)</f>
        <v>7766.9474633550835</v>
      </c>
      <c r="AT64" s="74">
        <v>7492.3211805555611</v>
      </c>
      <c r="AU64" s="81">
        <f t="shared" si="33"/>
        <v>7410.2339042990579</v>
      </c>
      <c r="AV64" s="74">
        <v>6799.2169988962887</v>
      </c>
      <c r="AW64" s="99">
        <f t="shared" si="78"/>
        <v>6858.6378661546141</v>
      </c>
      <c r="AX64" s="105">
        <v>3.980563420663795</v>
      </c>
      <c r="AY64" s="106">
        <f t="shared" si="105"/>
        <v>4.3060291019920109</v>
      </c>
      <c r="AZ64" s="105">
        <v>4.471738261560823</v>
      </c>
      <c r="BA64" s="81">
        <f t="shared" ref="BA64" si="1045">AVERAGE(AZ61:AZ64)</f>
        <v>4.7629917616156252</v>
      </c>
      <c r="BB64" s="492">
        <v>4.3877551020408196</v>
      </c>
      <c r="BC64" s="493">
        <f t="shared" si="35"/>
        <v>4.7409838372295088</v>
      </c>
      <c r="BD64" s="105">
        <v>5.533073929961092</v>
      </c>
      <c r="BE64" s="106">
        <f t="shared" ref="BE64" si="1046">AVERAGE(BD61:BD64)</f>
        <v>5.9621926323944887</v>
      </c>
      <c r="BF64" s="105">
        <v>3.8767361111111143</v>
      </c>
      <c r="BG64" s="106">
        <f t="shared" si="37"/>
        <v>4.1907572506875868</v>
      </c>
      <c r="BH64" s="105">
        <v>4.9607481660783037</v>
      </c>
      <c r="BI64" s="107">
        <f t="shared" si="81"/>
        <v>4.9357366098779858</v>
      </c>
      <c r="BJ64" s="487">
        <v>0.42181097271925133</v>
      </c>
      <c r="BK64" s="488">
        <f t="shared" si="108"/>
        <v>0.39882567961070875</v>
      </c>
      <c r="BL64" s="487">
        <v>0.59012739033955608</v>
      </c>
      <c r="BM64" s="489">
        <f t="shared" ref="BM64" si="1047">AVERAGE(BL61:BL64)</f>
        <v>0.59139399761109446</v>
      </c>
      <c r="BN64" s="487"/>
      <c r="BO64" s="489" t="e">
        <f t="shared" ref="BO64" si="1048">AVERAGE(BN61:BN64)</f>
        <v>#DIV/0!</v>
      </c>
      <c r="BP64" s="487">
        <v>0</v>
      </c>
      <c r="BQ64" s="489">
        <f t="shared" ref="BQ64" si="1049">AVERAGE(BP61:BP64)</f>
        <v>0</v>
      </c>
      <c r="BR64" s="487"/>
      <c r="BS64" s="489" t="e">
        <f t="shared" ref="BS64" si="1050">AVERAGE(BR61:BR64)</f>
        <v>#DIV/0!</v>
      </c>
      <c r="BT64" s="487">
        <v>0</v>
      </c>
      <c r="BU64" s="490">
        <f t="shared" si="86"/>
        <v>0</v>
      </c>
      <c r="BV64" s="74">
        <v>5306.975443258525</v>
      </c>
      <c r="BW64" s="81">
        <f t="shared" si="113"/>
        <v>5598.6813064666849</v>
      </c>
      <c r="BX64" s="74">
        <v>6267.709394661465</v>
      </c>
      <c r="BY64" s="81">
        <f t="shared" ref="BY64" si="1051">AVERAGE(BX61:BX64)</f>
        <v>6388.6920714366688</v>
      </c>
      <c r="BZ64" s="494">
        <v>5960.3385354141692</v>
      </c>
      <c r="CA64" s="495">
        <f t="shared" si="43"/>
        <v>6128.2910510552629</v>
      </c>
      <c r="CB64" s="74">
        <v>7303.9377431906651</v>
      </c>
      <c r="CC64" s="81">
        <f t="shared" ref="CC64" si="1052">AVERAGE(CB61:CB64)</f>
        <v>7394.5643679696013</v>
      </c>
      <c r="CD64" s="74">
        <v>5360.850694444448</v>
      </c>
      <c r="CE64" s="81">
        <f t="shared" si="45"/>
        <v>5561.8416897193547</v>
      </c>
      <c r="CF64" s="74">
        <v>8057.4419480809511</v>
      </c>
      <c r="CG64" s="99">
        <f t="shared" si="89"/>
        <v>8101.0127629277058</v>
      </c>
      <c r="CH64" s="156">
        <v>2.190238581461933E-2</v>
      </c>
      <c r="CI64" s="157">
        <f t="shared" si="113"/>
        <v>2.2079310746561154E-2</v>
      </c>
      <c r="CJ64" s="156">
        <v>2.9556469998904683E-2</v>
      </c>
      <c r="CK64" s="81">
        <f t="shared" ref="CK64" si="1053">AVERAGE(CJ61:CJ64)</f>
        <v>3.1976543209191334E-2</v>
      </c>
      <c r="CL64" s="491">
        <v>2.8811524609843955E-2</v>
      </c>
      <c r="CM64" s="483">
        <f t="shared" si="47"/>
        <v>3.1353225998701349E-2</v>
      </c>
      <c r="CN64" s="156">
        <v>5.058365758754866E-2</v>
      </c>
      <c r="CO64" s="483">
        <f t="shared" ref="CO64" si="1054">AVERAGE(CN61:CN64)</f>
        <v>5.4606043707232002E-2</v>
      </c>
      <c r="CP64" s="156">
        <v>1.9097222222222234E-2</v>
      </c>
      <c r="CQ64" s="483">
        <f t="shared" si="49"/>
        <v>2.0763979539761439E-2</v>
      </c>
      <c r="CR64" s="156">
        <v>3.3894073819210432E-2</v>
      </c>
      <c r="CS64" s="158">
        <f t="shared" si="92"/>
        <v>3.988009843022481E-2</v>
      </c>
      <c r="CT64" s="105">
        <v>40.30845001149148</v>
      </c>
      <c r="CU64" s="106">
        <f t="shared" si="118"/>
        <v>40.539609276612545</v>
      </c>
      <c r="CV64" s="105">
        <v>41.839681270740712</v>
      </c>
      <c r="CW64" s="81">
        <f t="shared" ref="CW64" si="1055">AVERAGE(CV61:CV64)</f>
        <v>42.154556756233681</v>
      </c>
      <c r="CX64" s="492">
        <v>40.697478991596654</v>
      </c>
      <c r="CY64" s="493">
        <f t="shared" si="51"/>
        <v>41.149049441381905</v>
      </c>
      <c r="CZ64" s="105">
        <v>43.315175097276281</v>
      </c>
      <c r="DA64" s="106">
        <f t="shared" ref="DA64" si="1056">AVERAGE(CZ61:CZ64)</f>
        <v>46.280512165123682</v>
      </c>
      <c r="DB64" s="105">
        <v>39.529513888888914</v>
      </c>
      <c r="DC64" s="106">
        <f t="shared" si="53"/>
        <v>38.773512350141765</v>
      </c>
      <c r="DD64" s="105">
        <v>48.490398279438459</v>
      </c>
      <c r="DE64" s="107">
        <f t="shared" si="95"/>
        <v>48.675631670083419</v>
      </c>
    </row>
    <row r="65" spans="1:109" x14ac:dyDescent="0.25">
      <c r="A65" s="155">
        <f t="shared" si="15"/>
        <v>45576</v>
      </c>
      <c r="B65" s="74">
        <v>40.045717980376907</v>
      </c>
      <c r="C65" s="81">
        <f t="shared" si="96"/>
        <v>40.008206783303095</v>
      </c>
      <c r="D65" s="74">
        <v>41.167832793296533</v>
      </c>
      <c r="E65" s="81">
        <f t="shared" si="16"/>
        <v>41.171665752923971</v>
      </c>
      <c r="F65" s="74">
        <v>41.277777777777807</v>
      </c>
      <c r="G65" s="81">
        <f t="shared" si="16"/>
        <v>41.275179307094348</v>
      </c>
      <c r="H65" s="74">
        <v>44.694174757281552</v>
      </c>
      <c r="I65" s="81">
        <f t="shared" ref="I65" si="1057">AVERAGE(H62:H65)</f>
        <v>44.175165556726512</v>
      </c>
      <c r="J65" s="74">
        <v>39.805439330543983</v>
      </c>
      <c r="K65" s="81">
        <f t="shared" si="18"/>
        <v>39.996547265104169</v>
      </c>
      <c r="L65" s="74">
        <v>40.511861969805885</v>
      </c>
      <c r="M65" s="99">
        <f t="shared" ref="M65" si="1058">AVERAGE(L62:L65)</f>
        <v>40.544054951223536</v>
      </c>
      <c r="N65" s="156">
        <v>6.1809343103539659E-2</v>
      </c>
      <c r="O65" s="157">
        <f t="shared" si="96"/>
        <v>5.9636369398768645E-2</v>
      </c>
      <c r="P65" s="156">
        <v>6.8343962629003427E-2</v>
      </c>
      <c r="Q65" s="157">
        <f t="shared" si="20"/>
        <v>6.7212273413894769E-2</v>
      </c>
      <c r="R65" s="491">
        <v>6.8713450292397713E-2</v>
      </c>
      <c r="S65" s="483">
        <f t="shared" si="21"/>
        <v>6.921092484026381E-2</v>
      </c>
      <c r="T65" s="156">
        <v>6.7961165048543701E-2</v>
      </c>
      <c r="U65" s="157">
        <f t="shared" si="22"/>
        <v>8.9382154344861769E-2</v>
      </c>
      <c r="V65" s="156">
        <v>6.9037656903765773E-2</v>
      </c>
      <c r="W65" s="157">
        <f t="shared" si="23"/>
        <v>6.0463554025619662E-2</v>
      </c>
      <c r="X65" s="156">
        <v>6.6139468008626884E-2</v>
      </c>
      <c r="Y65" s="158">
        <f t="shared" si="24"/>
        <v>5.4319862934599387E-2</v>
      </c>
      <c r="Z65" s="156">
        <v>0.13115062787401607</v>
      </c>
      <c r="AA65" s="157">
        <f t="shared" si="99"/>
        <v>0.13155682812918243</v>
      </c>
      <c r="AB65" s="156">
        <v>0.14435121986249239</v>
      </c>
      <c r="AC65" s="81">
        <f t="shared" ref="AC65" si="1059">AVERAGE(AB62:AB65)</f>
        <v>0.13590722755619769</v>
      </c>
      <c r="AD65" s="491">
        <v>0.14867664024336891</v>
      </c>
      <c r="AE65" s="483">
        <f t="shared" si="26"/>
        <v>0.14284196028010621</v>
      </c>
      <c r="AF65" s="156">
        <v>0.16482312567837815</v>
      </c>
      <c r="AG65" s="483">
        <f t="shared" ref="AG65" si="1060">AVERAGE(AF62:AF65)</f>
        <v>0.20776782296533786</v>
      </c>
      <c r="AH65" s="156">
        <v>0.14320799085211189</v>
      </c>
      <c r="AI65" s="483">
        <f t="shared" si="28"/>
        <v>0.11990989395880347</v>
      </c>
      <c r="AJ65" s="156">
        <v>0.12314035713866307</v>
      </c>
      <c r="AK65" s="158">
        <f t="shared" si="29"/>
        <v>0.10042979867993362</v>
      </c>
      <c r="AL65" s="74">
        <v>7842.3745052264285</v>
      </c>
      <c r="AM65" s="81">
        <f t="shared" si="102"/>
        <v>7819.8086528457889</v>
      </c>
      <c r="AN65" s="74">
        <v>7370.5689046788812</v>
      </c>
      <c r="AO65" s="81">
        <f t="shared" ref="AO65" si="1061">AVERAGE(AN62:AN65)</f>
        <v>7396.4939340476813</v>
      </c>
      <c r="AP65" s="494">
        <v>7419.4166666666724</v>
      </c>
      <c r="AQ65" s="495">
        <f t="shared" si="31"/>
        <v>7475.3503914684616</v>
      </c>
      <c r="AR65" s="74">
        <v>7326.4902912621355</v>
      </c>
      <c r="AS65" s="81">
        <f t="shared" ref="AS65" si="1062">AVERAGE(AR62:AR65)</f>
        <v>7662.8239424206167</v>
      </c>
      <c r="AT65" s="74">
        <v>7459.4644351464522</v>
      </c>
      <c r="AU65" s="81">
        <f t="shared" si="33"/>
        <v>7391.5056551090147</v>
      </c>
      <c r="AV65" s="74">
        <v>7079.1258087706565</v>
      </c>
      <c r="AW65" s="99">
        <f t="shared" si="78"/>
        <v>6901.0019533555615</v>
      </c>
      <c r="AX65" s="105">
        <v>4.1375825197356368</v>
      </c>
      <c r="AY65" s="106">
        <f t="shared" si="105"/>
        <v>4.2571483662754099</v>
      </c>
      <c r="AZ65" s="105">
        <v>4.805163980091927</v>
      </c>
      <c r="BA65" s="81">
        <f t="shared" ref="BA65" si="1063">AVERAGE(AZ62:AZ65)</f>
        <v>4.7290400214511887</v>
      </c>
      <c r="BB65" s="492">
        <v>4.7587719298245652</v>
      </c>
      <c r="BC65" s="493">
        <f t="shared" si="35"/>
        <v>4.6923651313739603</v>
      </c>
      <c r="BD65" s="105">
        <v>5.4271844660194164</v>
      </c>
      <c r="BE65" s="106">
        <f t="shared" ref="BE65" si="1064">AVERAGE(BD62:BD65)</f>
        <v>5.7623481238993417</v>
      </c>
      <c r="BF65" s="105">
        <v>4.4707112970711353</v>
      </c>
      <c r="BG65" s="106">
        <f t="shared" si="37"/>
        <v>4.228668537990389</v>
      </c>
      <c r="BH65" s="105">
        <v>5.0819554277498238</v>
      </c>
      <c r="BI65" s="107">
        <f t="shared" si="81"/>
        <v>4.968843885416887</v>
      </c>
      <c r="BJ65" s="487">
        <v>0.41794995431191917</v>
      </c>
      <c r="BK65" s="488">
        <f t="shared" si="108"/>
        <v>0.40920490267775173</v>
      </c>
      <c r="BL65" s="487">
        <v>0.59851533854597549</v>
      </c>
      <c r="BM65" s="489">
        <f t="shared" ref="BM65" si="1065">AVERAGE(BL62:BL65)</f>
        <v>0.59952612659817284</v>
      </c>
      <c r="BN65" s="487"/>
      <c r="BO65" s="489" t="e">
        <f t="shared" ref="BO65" si="1066">AVERAGE(BN62:BN65)</f>
        <v>#DIV/0!</v>
      </c>
      <c r="BP65" s="487">
        <v>0</v>
      </c>
      <c r="BQ65" s="489">
        <f t="shared" ref="BQ65" si="1067">AVERAGE(BP62:BP65)</f>
        <v>0</v>
      </c>
      <c r="BR65" s="487"/>
      <c r="BS65" s="489" t="e">
        <f t="shared" ref="BS65" si="1068">AVERAGE(BR62:BR65)</f>
        <v>#DIV/0!</v>
      </c>
      <c r="BT65" s="487">
        <v>0</v>
      </c>
      <c r="BU65" s="490">
        <f t="shared" si="86"/>
        <v>0</v>
      </c>
      <c r="BV65" s="74">
        <v>5519.6760923459206</v>
      </c>
      <c r="BW65" s="81">
        <f t="shared" si="113"/>
        <v>5528.7504439472268</v>
      </c>
      <c r="BX65" s="74">
        <v>6851.8328964229731</v>
      </c>
      <c r="BY65" s="81">
        <f t="shared" ref="BY65" si="1069">AVERAGE(BX62:BX65)</f>
        <v>6538.2482540417514</v>
      </c>
      <c r="BZ65" s="494">
        <v>6681.6242690058525</v>
      </c>
      <c r="CA65" s="495">
        <f t="shared" si="43"/>
        <v>6296.1062092158163</v>
      </c>
      <c r="CB65" s="74">
        <v>8834.5</v>
      </c>
      <c r="CC65" s="81">
        <f t="shared" ref="CC65" si="1070">AVERAGE(CB62:CB65)</f>
        <v>7948.0585085946013</v>
      </c>
      <c r="CD65" s="74">
        <v>5753.8158995815966</v>
      </c>
      <c r="CE65" s="81">
        <f t="shared" si="45"/>
        <v>5573.6779603345967</v>
      </c>
      <c r="CF65" s="74">
        <v>7867.3580158159612</v>
      </c>
      <c r="CG65" s="99">
        <f t="shared" si="89"/>
        <v>8050.0975773402088</v>
      </c>
      <c r="CH65" s="156">
        <v>3.1955724894248479E-2</v>
      </c>
      <c r="CI65" s="157">
        <f t="shared" si="113"/>
        <v>2.3581692614972807E-2</v>
      </c>
      <c r="CJ65" s="156">
        <v>4.5757569503836241E-2</v>
      </c>
      <c r="CK65" s="81">
        <f t="shared" ref="CK65" si="1071">AVERAGE(CJ62:CJ65)</f>
        <v>3.5734413589546758E-2</v>
      </c>
      <c r="CL65" s="491">
        <v>4.8245614035087758E-2</v>
      </c>
      <c r="CM65" s="483">
        <f t="shared" si="47"/>
        <v>3.5622421715265487E-2</v>
      </c>
      <c r="CN65" s="156">
        <v>9.2233009708737865E-2</v>
      </c>
      <c r="CO65" s="483">
        <f t="shared" ref="CO65" si="1072">AVERAGE(CN62:CN65)</f>
        <v>6.5945546134416458E-2</v>
      </c>
      <c r="CP65" s="156">
        <v>2.9288702928870324E-2</v>
      </c>
      <c r="CQ65" s="483">
        <f t="shared" si="49"/>
        <v>2.2249579396492632E-2</v>
      </c>
      <c r="CR65" s="156">
        <v>3.0913012221423435E-2</v>
      </c>
      <c r="CS65" s="158">
        <f t="shared" si="92"/>
        <v>3.7576990915260157E-2</v>
      </c>
      <c r="CT65" s="105">
        <v>39.125111404436289</v>
      </c>
      <c r="CU65" s="106">
        <f t="shared" si="118"/>
        <v>40.284979160354631</v>
      </c>
      <c r="CV65" s="105">
        <v>40.53809690859849</v>
      </c>
      <c r="CW65" s="81">
        <f t="shared" ref="CW65" si="1073">AVERAGE(CV62:CV65)</f>
        <v>41.589466534218943</v>
      </c>
      <c r="CX65" s="492">
        <v>39.323099415204709</v>
      </c>
      <c r="CY65" s="493">
        <f t="shared" si="51"/>
        <v>40.492486632845413</v>
      </c>
      <c r="CZ65" s="105">
        <v>44.786407766990294</v>
      </c>
      <c r="DA65" s="106">
        <f t="shared" ref="DA65" si="1074">AVERAGE(CZ62:CZ65)</f>
        <v>45.164614106871241</v>
      </c>
      <c r="DB65" s="105">
        <v>36.968619246861969</v>
      </c>
      <c r="DC65" s="106">
        <f t="shared" si="53"/>
        <v>38.437359768861135</v>
      </c>
      <c r="DD65" s="105">
        <v>47.787203450754866</v>
      </c>
      <c r="DE65" s="107">
        <f t="shared" si="95"/>
        <v>48.42422719664463</v>
      </c>
    </row>
    <row r="66" spans="1:109" x14ac:dyDescent="0.25">
      <c r="A66" s="155">
        <f t="shared" si="15"/>
        <v>45583</v>
      </c>
      <c r="B66" s="74">
        <v>39.438408887328769</v>
      </c>
      <c r="C66" s="81">
        <f t="shared" si="96"/>
        <v>39.9430897187342</v>
      </c>
      <c r="D66" s="74">
        <v>40.369992857743014</v>
      </c>
      <c r="E66" s="81">
        <f t="shared" si="16"/>
        <v>40.946659020611634</v>
      </c>
      <c r="F66" s="74">
        <v>40.350062735257254</v>
      </c>
      <c r="G66" s="81">
        <f t="shared" si="16"/>
        <v>41.000210442082931</v>
      </c>
      <c r="H66" s="74">
        <v>43.225000000000001</v>
      </c>
      <c r="I66" s="81">
        <f t="shared" ref="I66" si="1075">AVERAGE(H63:H66)</f>
        <v>43.988120537569422</v>
      </c>
      <c r="J66" s="74">
        <v>39.11131059245966</v>
      </c>
      <c r="K66" s="81">
        <f t="shared" si="18"/>
        <v>39.712331117598637</v>
      </c>
      <c r="L66" s="74">
        <v>40.51339285714284</v>
      </c>
      <c r="M66" s="99">
        <f t="shared" ref="M66" si="1076">AVERAGE(L63:L66)</f>
        <v>40.624201514565897</v>
      </c>
      <c r="N66" s="156">
        <v>6.7025390694116505E-2</v>
      </c>
      <c r="O66" s="157">
        <f t="shared" si="96"/>
        <v>6.2460068016539472E-2</v>
      </c>
      <c r="P66" s="156">
        <v>6.7306644715778505E-2</v>
      </c>
      <c r="Q66" s="157">
        <f t="shared" si="20"/>
        <v>6.7142874533492949E-2</v>
      </c>
      <c r="R66" s="491">
        <v>6.9008782936010107E-2</v>
      </c>
      <c r="S66" s="483">
        <f t="shared" si="21"/>
        <v>6.9157805370310826E-2</v>
      </c>
      <c r="T66" s="156">
        <v>7.4999999999999997E-2</v>
      </c>
      <c r="U66" s="157">
        <f t="shared" si="22"/>
        <v>8.7059357409995861E-2</v>
      </c>
      <c r="V66" s="156">
        <v>6.6427289048474059E-2</v>
      </c>
      <c r="W66" s="157">
        <f t="shared" si="23"/>
        <v>6.1559427382628665E-2</v>
      </c>
      <c r="X66" s="156">
        <v>5.5059523809523815E-2</v>
      </c>
      <c r="Y66" s="158">
        <f t="shared" si="24"/>
        <v>5.3638989169999284E-2</v>
      </c>
      <c r="Z66" s="156">
        <v>0.15409760613019552</v>
      </c>
      <c r="AA66" s="157">
        <f t="shared" si="99"/>
        <v>0.13689222086127212</v>
      </c>
      <c r="AB66" s="156">
        <v>0.15083731815734083</v>
      </c>
      <c r="AC66" s="81">
        <f t="shared" ref="AC66" si="1077">AVERAGE(AB63:AB66)</f>
        <v>0.13938940406508801</v>
      </c>
      <c r="AD66" s="491">
        <v>0.16028597881090445</v>
      </c>
      <c r="AE66" s="483">
        <f t="shared" si="26"/>
        <v>0.14707371078213549</v>
      </c>
      <c r="AF66" s="156">
        <v>0.15109963148636779</v>
      </c>
      <c r="AG66" s="483">
        <f t="shared" ref="AG66" si="1078">AVERAGE(AF63:AF66)</f>
        <v>0.19593219993557703</v>
      </c>
      <c r="AH66" s="156">
        <v>0.1630592037510496</v>
      </c>
      <c r="AI66" s="483">
        <f t="shared" si="28"/>
        <v>0.13027061846412896</v>
      </c>
      <c r="AJ66" s="156">
        <v>9.4857402039477137E-2</v>
      </c>
      <c r="AK66" s="158">
        <f t="shared" si="29"/>
        <v>9.7778747526912888E-2</v>
      </c>
      <c r="AL66" s="74">
        <v>7721.4724117203286</v>
      </c>
      <c r="AM66" s="81">
        <f t="shared" si="102"/>
        <v>7796.6520553040391</v>
      </c>
      <c r="AN66" s="74">
        <v>7342.0799024400412</v>
      </c>
      <c r="AO66" s="81">
        <f t="shared" ref="AO66" si="1079">AVERAGE(AN63:AN66)</f>
        <v>7387.3689349741835</v>
      </c>
      <c r="AP66" s="494">
        <v>7382.5872020075349</v>
      </c>
      <c r="AQ66" s="495">
        <f t="shared" si="31"/>
        <v>7454.5679583485871</v>
      </c>
      <c r="AR66" s="74">
        <v>7192.1625000000004</v>
      </c>
      <c r="AS66" s="81">
        <f t="shared" ref="AS66" si="1080">AVERAGE(AR63:AR66)</f>
        <v>7487.6203145470536</v>
      </c>
      <c r="AT66" s="74">
        <v>7464.637342908447</v>
      </c>
      <c r="AU66" s="81">
        <f t="shared" si="33"/>
        <v>7442.1093339018171</v>
      </c>
      <c r="AV66" s="74">
        <v>7050.6242559523716</v>
      </c>
      <c r="AW66" s="99">
        <f t="shared" si="78"/>
        <v>6924.2837029650154</v>
      </c>
      <c r="AX66" s="105">
        <v>4.1317125344536603</v>
      </c>
      <c r="AY66" s="106">
        <f t="shared" si="105"/>
        <v>4.2161369819118661</v>
      </c>
      <c r="AZ66" s="105">
        <v>4.6581585095601588</v>
      </c>
      <c r="BA66" s="81">
        <f t="shared" ref="BA66" si="1081">AVERAGE(AZ63:AZ66)</f>
        <v>4.6215644303117882</v>
      </c>
      <c r="BB66" s="492">
        <v>4.6223337515683856</v>
      </c>
      <c r="BC66" s="493">
        <f t="shared" si="35"/>
        <v>4.5617928214292203</v>
      </c>
      <c r="BD66" s="105">
        <v>5.604166666666667</v>
      </c>
      <c r="BE66" s="106">
        <f t="shared" ref="BE66" si="1082">AVERAGE(BD63:BD66)</f>
        <v>5.6471062656617939</v>
      </c>
      <c r="BF66" s="105">
        <v>4.1992818671454275</v>
      </c>
      <c r="BG66" s="106">
        <f t="shared" si="37"/>
        <v>4.1019379098862334</v>
      </c>
      <c r="BH66" s="105">
        <v>4.9159226190476231</v>
      </c>
      <c r="BI66" s="107">
        <f t="shared" si="81"/>
        <v>4.9531101692919979</v>
      </c>
      <c r="BJ66" s="487">
        <v>0.4540222372468341</v>
      </c>
      <c r="BK66" s="488">
        <f t="shared" si="108"/>
        <v>0.42079131932815311</v>
      </c>
      <c r="BL66" s="487">
        <v>0.61359206849079651</v>
      </c>
      <c r="BM66" s="489">
        <f t="shared" ref="BM66" si="1083">AVERAGE(BL63:BL66)</f>
        <v>0.60781560621373165</v>
      </c>
      <c r="BN66" s="487"/>
      <c r="BO66" s="489" t="e">
        <f t="shared" ref="BO66" si="1084">AVERAGE(BN63:BN66)</f>
        <v>#DIV/0!</v>
      </c>
      <c r="BP66" s="487">
        <v>0</v>
      </c>
      <c r="BQ66" s="489">
        <f t="shared" ref="BQ66" si="1085">AVERAGE(BP63:BP66)</f>
        <v>0</v>
      </c>
      <c r="BR66" s="487"/>
      <c r="BS66" s="489" t="e">
        <f t="shared" ref="BS66" si="1086">AVERAGE(BR63:BR66)</f>
        <v>#DIV/0!</v>
      </c>
      <c r="BT66" s="487">
        <v>0</v>
      </c>
      <c r="BU66" s="490">
        <f t="shared" si="86"/>
        <v>0</v>
      </c>
      <c r="BV66" s="74">
        <v>5328.886344112706</v>
      </c>
      <c r="BW66" s="81">
        <f t="shared" si="113"/>
        <v>5429.5616412935487</v>
      </c>
      <c r="BX66" s="74">
        <v>6113.6998679899079</v>
      </c>
      <c r="BY66" s="81">
        <f t="shared" ref="BY66" si="1087">AVERAGE(BX63:BX66)</f>
        <v>6406.822090559619</v>
      </c>
      <c r="BZ66" s="494">
        <v>5881.2860727729039</v>
      </c>
      <c r="CA66" s="495">
        <f t="shared" si="43"/>
        <v>6157.5219795722041</v>
      </c>
      <c r="CB66" s="74">
        <v>6580.0124999999989</v>
      </c>
      <c r="CC66" s="81">
        <f t="shared" ref="CC66" si="1088">AVERAGE(CB63:CB66)</f>
        <v>7594.5405607976663</v>
      </c>
      <c r="CD66" s="74">
        <v>5580.2190305206532</v>
      </c>
      <c r="CE66" s="81">
        <f t="shared" si="45"/>
        <v>5545.3919332932255</v>
      </c>
      <c r="CF66" s="74">
        <v>7785.9494047619028</v>
      </c>
      <c r="CG66" s="99">
        <f t="shared" si="89"/>
        <v>7950.2061397391071</v>
      </c>
      <c r="CH66" s="156">
        <v>2.0424250923461056E-2</v>
      </c>
      <c r="CI66" s="157">
        <f t="shared" si="113"/>
        <v>2.3177264283002524E-2</v>
      </c>
      <c r="CJ66" s="156">
        <v>2.5391310663668461E-2</v>
      </c>
      <c r="CK66" s="81">
        <f t="shared" ref="CK66" si="1089">AVERAGE(CJ63:CJ66)</f>
        <v>3.3359957603014211E-2</v>
      </c>
      <c r="CL66" s="491">
        <v>2.5094102885821853E-2</v>
      </c>
      <c r="CM66" s="483">
        <f t="shared" si="47"/>
        <v>3.3243289834743187E-2</v>
      </c>
      <c r="CN66" s="156">
        <v>3.3333333333333333E-2</v>
      </c>
      <c r="CO66" s="483">
        <f t="shared" ref="CO66" si="1090">AVERAGE(CN63:CN66)</f>
        <v>5.7037500157404969E-2</v>
      </c>
      <c r="CP66" s="156">
        <v>2.1543985637342937E-2</v>
      </c>
      <c r="CQ66" s="483">
        <f t="shared" si="49"/>
        <v>2.3073532010207919E-2</v>
      </c>
      <c r="CR66" s="156">
        <v>2.7529761904761908E-2</v>
      </c>
      <c r="CS66" s="158">
        <f t="shared" si="92"/>
        <v>3.4684934255462672E-2</v>
      </c>
      <c r="CT66" s="105">
        <v>38.295081069099915</v>
      </c>
      <c r="CU66" s="106">
        <f t="shared" si="118"/>
        <v>39.869117885519437</v>
      </c>
      <c r="CV66" s="105">
        <v>39.524332078075545</v>
      </c>
      <c r="CW66" s="81">
        <f t="shared" ref="CW66" si="1091">AVERAGE(CV63:CV66)</f>
        <v>40.912986846402092</v>
      </c>
      <c r="CX66" s="492">
        <v>38.286072772898407</v>
      </c>
      <c r="CY66" s="493">
        <f t="shared" si="51"/>
        <v>39.751891105427234</v>
      </c>
      <c r="CZ66" s="105">
        <v>42.862499999999997</v>
      </c>
      <c r="DA66" s="106">
        <f t="shared" ref="DA66" si="1092">AVERAGE(CZ63:CZ66)</f>
        <v>44.067020716066651</v>
      </c>
      <c r="DB66" s="105">
        <v>36.314183123877967</v>
      </c>
      <c r="DC66" s="106">
        <f t="shared" si="53"/>
        <v>37.918734016983898</v>
      </c>
      <c r="DD66" s="105">
        <v>48.433779761904766</v>
      </c>
      <c r="DE66" s="107">
        <f t="shared" si="95"/>
        <v>48.340313928568655</v>
      </c>
    </row>
    <row r="67" spans="1:109" x14ac:dyDescent="0.25">
      <c r="A67" s="155">
        <f t="shared" si="15"/>
        <v>45590</v>
      </c>
      <c r="B67" s="74">
        <v>40.40677323202133</v>
      </c>
      <c r="C67" s="81">
        <f t="shared" si="96"/>
        <v>39.982719841747794</v>
      </c>
      <c r="D67" s="74">
        <v>41.501086726358814</v>
      </c>
      <c r="E67" s="81">
        <f t="shared" si="16"/>
        <v>41.01515330108419</v>
      </c>
      <c r="F67" s="74">
        <v>41.59280089988755</v>
      </c>
      <c r="G67" s="81">
        <f t="shared" si="16"/>
        <v>41.082771397648429</v>
      </c>
      <c r="H67" s="74">
        <v>43.638225255972721</v>
      </c>
      <c r="I67" s="81">
        <f t="shared" ref="I67" si="1093">AVERAGE(H64:H67)</f>
        <v>44.127676851562597</v>
      </c>
      <c r="J67" s="74">
        <v>40.587248322147694</v>
      </c>
      <c r="K67" s="81">
        <f t="shared" si="18"/>
        <v>39.724957894621177</v>
      </c>
      <c r="L67" s="74">
        <v>40.659863945578238</v>
      </c>
      <c r="M67" s="99">
        <f t="shared" ref="M67" si="1094">AVERAGE(L64:L67)</f>
        <v>40.547523115933771</v>
      </c>
      <c r="N67" s="156">
        <v>7.5402044352379141E-2</v>
      </c>
      <c r="O67" s="157">
        <f t="shared" si="96"/>
        <v>6.5321731563047686E-2</v>
      </c>
      <c r="P67" s="156">
        <v>7.812726401395606E-2</v>
      </c>
      <c r="Q67" s="157">
        <f t="shared" si="20"/>
        <v>6.8322622340636296E-2</v>
      </c>
      <c r="R67" s="491">
        <v>8.0989876265466873E-2</v>
      </c>
      <c r="S67" s="483">
        <f t="shared" si="21"/>
        <v>7.0284269870467486E-2</v>
      </c>
      <c r="T67" s="156">
        <v>9.2150170648464189E-2</v>
      </c>
      <c r="U67" s="157">
        <f t="shared" si="22"/>
        <v>8.3096900072111915E-2</v>
      </c>
      <c r="V67" s="156">
        <v>7.5503355704698058E-2</v>
      </c>
      <c r="W67" s="157">
        <f t="shared" si="23"/>
        <v>6.4460825414234479E-2</v>
      </c>
      <c r="X67" s="156">
        <v>5.187074829931973E-2</v>
      </c>
      <c r="Y67" s="158">
        <f t="shared" si="24"/>
        <v>5.3906141485471008E-2</v>
      </c>
      <c r="Z67" s="156">
        <v>0.15078720467831994</v>
      </c>
      <c r="AA67" s="157">
        <f t="shared" si="99"/>
        <v>0.14102307369636238</v>
      </c>
      <c r="AB67" s="156">
        <v>0.14540575756979038</v>
      </c>
      <c r="AC67" s="81">
        <f t="shared" ref="AC67" si="1095">AVERAGE(AB64:AB67)</f>
        <v>0.1407703826079014</v>
      </c>
      <c r="AD67" s="491">
        <v>0.15215421018686823</v>
      </c>
      <c r="AE67" s="483">
        <f t="shared" si="26"/>
        <v>0.14800244272452573</v>
      </c>
      <c r="AF67" s="156">
        <v>0.20820362832848222</v>
      </c>
      <c r="AG67" s="483">
        <f t="shared" ref="AG67" si="1096">AVERAGE(AF64:AF67)</f>
        <v>0.18677448085224896</v>
      </c>
      <c r="AH67" s="156">
        <v>0.12989996626597075</v>
      </c>
      <c r="AI67" s="483">
        <f t="shared" si="28"/>
        <v>0.1337554178237203</v>
      </c>
      <c r="AJ67" s="156">
        <v>9.7724127020507479E-2</v>
      </c>
      <c r="AK67" s="158">
        <f t="shared" si="29"/>
        <v>9.996468590934135E-2</v>
      </c>
      <c r="AL67" s="74">
        <v>7734.4888010736813</v>
      </c>
      <c r="AM67" s="81">
        <f t="shared" si="102"/>
        <v>7773.0671771750858</v>
      </c>
      <c r="AN67" s="74">
        <v>7476.8722678790073</v>
      </c>
      <c r="AO67" s="81">
        <f t="shared" ref="AO67" si="1097">AVERAGE(AN64:AN67)</f>
        <v>7407.2097624567068</v>
      </c>
      <c r="AP67" s="494">
        <v>7554.0416197975319</v>
      </c>
      <c r="AQ67" s="495">
        <f t="shared" si="31"/>
        <v>7476.3237970879245</v>
      </c>
      <c r="AR67" s="74">
        <v>7677.0750853242362</v>
      </c>
      <c r="AS67" s="81">
        <f t="shared" ref="AS67" si="1098">AVERAGE(AR64:AR67)</f>
        <v>7468.1420858781112</v>
      </c>
      <c r="AT67" s="74">
        <v>7493.5570469798731</v>
      </c>
      <c r="AU67" s="81">
        <f t="shared" si="33"/>
        <v>7477.495001397584</v>
      </c>
      <c r="AV67" s="74">
        <v>6769.0578231292329</v>
      </c>
      <c r="AW67" s="99">
        <f t="shared" si="78"/>
        <v>6920.3351399672047</v>
      </c>
      <c r="AX67" s="105">
        <v>4.2165304107713011</v>
      </c>
      <c r="AY67" s="106">
        <f t="shared" si="105"/>
        <v>4.1662955123866059</v>
      </c>
      <c r="AZ67" s="105">
        <v>4.7023651623263563</v>
      </c>
      <c r="BA67" s="81">
        <f t="shared" ref="BA67" si="1099">AVERAGE(AZ64:AZ67)</f>
        <v>4.659356478384816</v>
      </c>
      <c r="BB67" s="492">
        <v>4.6501687289088904</v>
      </c>
      <c r="BC67" s="493">
        <f t="shared" si="35"/>
        <v>4.6047573780856652</v>
      </c>
      <c r="BD67" s="105">
        <v>6.2218430034129719</v>
      </c>
      <c r="BE67" s="106">
        <f t="shared" ref="BE67" si="1100">AVERAGE(BD64:BD67)</f>
        <v>5.6965670165150364</v>
      </c>
      <c r="BF67" s="105">
        <v>3.8775167785234941</v>
      </c>
      <c r="BG67" s="106">
        <f t="shared" si="37"/>
        <v>4.1060615134627927</v>
      </c>
      <c r="BH67" s="105">
        <v>5.1811224489795951</v>
      </c>
      <c r="BI67" s="107">
        <f t="shared" si="81"/>
        <v>4.9783723506490762</v>
      </c>
      <c r="BJ67" s="487">
        <v>0.46235248000244727</v>
      </c>
      <c r="BK67" s="488">
        <f t="shared" si="108"/>
        <v>0.43065973049705769</v>
      </c>
      <c r="BL67" s="487">
        <v>0.60450963565764526</v>
      </c>
      <c r="BM67" s="489">
        <f t="shared" ref="BM67" si="1101">AVERAGE(BL64:BL67)</f>
        <v>0.60168610825849334</v>
      </c>
      <c r="BN67" s="487"/>
      <c r="BO67" s="489" t="e">
        <f t="shared" ref="BO67" si="1102">AVERAGE(BN64:BN67)</f>
        <v>#DIV/0!</v>
      </c>
      <c r="BP67" s="487">
        <v>0</v>
      </c>
      <c r="BQ67" s="489">
        <f t="shared" ref="BQ67" si="1103">AVERAGE(BP64:BP67)</f>
        <v>0</v>
      </c>
      <c r="BR67" s="487"/>
      <c r="BS67" s="489" t="e">
        <f t="shared" ref="BS67" si="1104">AVERAGE(BR64:BR67)</f>
        <v>#DIV/0!</v>
      </c>
      <c r="BT67" s="487">
        <v>0</v>
      </c>
      <c r="BU67" s="490">
        <f t="shared" si="86"/>
        <v>0</v>
      </c>
      <c r="BV67" s="74">
        <v>5613.4708773332968</v>
      </c>
      <c r="BW67" s="81">
        <f t="shared" si="113"/>
        <v>5424.5507506449439</v>
      </c>
      <c r="BX67" s="74">
        <v>6575.9666848095321</v>
      </c>
      <c r="BY67" s="81">
        <f t="shared" ref="BY67" si="1105">AVERAGE(BX64:BX67)</f>
        <v>6452.30221097097</v>
      </c>
      <c r="BZ67" s="494">
        <v>6341.7154105736836</v>
      </c>
      <c r="CA67" s="495">
        <f t="shared" si="43"/>
        <v>6216.241071941653</v>
      </c>
      <c r="CB67" s="74">
        <v>7656.8361774744053</v>
      </c>
      <c r="CC67" s="81">
        <f t="shared" ref="CC67" si="1106">AVERAGE(CB64:CB67)</f>
        <v>7593.8216051662675</v>
      </c>
      <c r="CD67" s="74">
        <v>5695.1879194630928</v>
      </c>
      <c r="CE67" s="81">
        <f t="shared" si="45"/>
        <v>5597.5183860024472</v>
      </c>
      <c r="CF67" s="74">
        <v>8724.5714285714203</v>
      </c>
      <c r="CG67" s="99">
        <f t="shared" si="89"/>
        <v>8058.4514910790704</v>
      </c>
      <c r="CH67" s="156">
        <v>2.1614963520595037E-2</v>
      </c>
      <c r="CI67" s="157">
        <f t="shared" si="113"/>
        <v>2.3786885268453847E-2</v>
      </c>
      <c r="CJ67" s="156">
        <v>2.8260457650477171E-2</v>
      </c>
      <c r="CK67" s="81">
        <f t="shared" ref="CK67" si="1107">AVERAGE(CJ64:CJ67)</f>
        <v>3.2241451954221637E-2</v>
      </c>
      <c r="CL67" s="491">
        <v>2.5871766029246363E-2</v>
      </c>
      <c r="CM67" s="483">
        <f t="shared" si="47"/>
        <v>3.2005751889999982E-2</v>
      </c>
      <c r="CN67" s="156">
        <v>5.119453924914677E-2</v>
      </c>
      <c r="CO67" s="483">
        <f t="shared" ref="CO67" si="1108">AVERAGE(CN64:CN67)</f>
        <v>5.6836134969691657E-2</v>
      </c>
      <c r="CP67" s="156">
        <v>1.3422818791946322E-2</v>
      </c>
      <c r="CQ67" s="483">
        <f t="shared" si="49"/>
        <v>2.0838182395095453E-2</v>
      </c>
      <c r="CR67" s="156">
        <v>5.0170068027210891E-2</v>
      </c>
      <c r="CS67" s="158">
        <f t="shared" si="92"/>
        <v>3.6301903680693581E-2</v>
      </c>
      <c r="CT67" s="105">
        <v>39.59034897293872</v>
      </c>
      <c r="CU67" s="106">
        <f t="shared" si="118"/>
        <v>39.70335571335778</v>
      </c>
      <c r="CV67" s="105">
        <v>41.431536240717733</v>
      </c>
      <c r="CW67" s="81">
        <f t="shared" ref="CW67" si="1109">AVERAGE(CV64:CV67)</f>
        <v>40.83341162453312</v>
      </c>
      <c r="CX67" s="492">
        <v>40.63104611923513</v>
      </c>
      <c r="CY67" s="493">
        <f t="shared" si="51"/>
        <v>39.734424324733723</v>
      </c>
      <c r="CZ67" s="105">
        <v>46.21843003412971</v>
      </c>
      <c r="DA67" s="106">
        <f t="shared" ref="DA67" si="1110">AVERAGE(CZ64:CZ67)</f>
        <v>44.295628224599071</v>
      </c>
      <c r="DB67" s="105">
        <v>37.884228187919504</v>
      </c>
      <c r="DC67" s="106">
        <f t="shared" si="53"/>
        <v>37.674136111887094</v>
      </c>
      <c r="DD67" s="105">
        <v>48.773809523809533</v>
      </c>
      <c r="DE67" s="107">
        <f t="shared" si="95"/>
        <v>48.369149721341024</v>
      </c>
    </row>
    <row r="68" spans="1:109" x14ac:dyDescent="0.25">
      <c r="A68" s="155">
        <f t="shared" si="15"/>
        <v>45597</v>
      </c>
      <c r="B68" s="74">
        <v>40.452118307375606</v>
      </c>
      <c r="C68" s="81">
        <f t="shared" si="96"/>
        <v>40.028816091960174</v>
      </c>
      <c r="D68" s="74">
        <v>41.337254076810709</v>
      </c>
      <c r="E68" s="81">
        <f t="shared" si="16"/>
        <v>41.094041613552264</v>
      </c>
      <c r="F68" s="74">
        <v>41.348279457768534</v>
      </c>
      <c r="G68" s="81">
        <f t="shared" si="16"/>
        <v>41.14223021767279</v>
      </c>
      <c r="H68" s="74">
        <v>43.020270270270288</v>
      </c>
      <c r="I68" s="81">
        <f t="shared" ref="I68" si="1111">AVERAGE(H65:H68)</f>
        <v>43.644417570881139</v>
      </c>
      <c r="J68" s="74">
        <v>40.601809954751168</v>
      </c>
      <c r="K68" s="81">
        <f t="shared" si="18"/>
        <v>40.026452049975624</v>
      </c>
      <c r="L68" s="74">
        <v>41.213597224089632</v>
      </c>
      <c r="M68" s="99">
        <f t="shared" ref="M68" si="1112">AVERAGE(L65:L68)</f>
        <v>40.72467899915415</v>
      </c>
      <c r="N68" s="156">
        <v>7.436515289380205E-2</v>
      </c>
      <c r="O68" s="157">
        <f t="shared" si="96"/>
        <v>6.5697502722237247E-2</v>
      </c>
      <c r="P68" s="156">
        <v>8.7538137823089168E-2</v>
      </c>
      <c r="Q68" s="157">
        <f t="shared" si="20"/>
        <v>7.532900229545679E-2</v>
      </c>
      <c r="R68" s="491">
        <v>9.176225234619402E-2</v>
      </c>
      <c r="S68" s="483">
        <f t="shared" si="21"/>
        <v>7.7618590460017178E-2</v>
      </c>
      <c r="T68" s="156">
        <v>9.4594594594594628E-2</v>
      </c>
      <c r="U68" s="157">
        <f t="shared" si="22"/>
        <v>8.2426482572900625E-2</v>
      </c>
      <c r="V68" s="156">
        <v>9.0497737556561153E-2</v>
      </c>
      <c r="W68" s="157">
        <f t="shared" si="23"/>
        <v>7.5366509803374768E-2</v>
      </c>
      <c r="X68" s="156">
        <v>4.0161932913795988E-2</v>
      </c>
      <c r="Y68" s="158">
        <f t="shared" si="24"/>
        <v>5.3307918257816604E-2</v>
      </c>
      <c r="Z68" s="156">
        <v>0.14007479449516155</v>
      </c>
      <c r="AA68" s="157">
        <f t="shared" si="99"/>
        <v>0.13829291657111256</v>
      </c>
      <c r="AB68" s="156">
        <v>0.15552493257804845</v>
      </c>
      <c r="AC68" s="81">
        <f t="shared" ref="AC68" si="1113">AVERAGE(AB65:AB68)</f>
        <v>0.14902980704191801</v>
      </c>
      <c r="AD68" s="491">
        <v>0.16436636381710859</v>
      </c>
      <c r="AE68" s="483">
        <f t="shared" si="26"/>
        <v>0.15637079826456254</v>
      </c>
      <c r="AF68" s="156">
        <v>0.15556234705117439</v>
      </c>
      <c r="AG68" s="483">
        <f t="shared" ref="AG68" si="1114">AVERAGE(AF65:AF68)</f>
        <v>0.16992218313610064</v>
      </c>
      <c r="AH68" s="156">
        <v>0.16750597340125759</v>
      </c>
      <c r="AI68" s="483">
        <f t="shared" si="28"/>
        <v>0.15091828356759746</v>
      </c>
      <c r="AJ68" s="156">
        <v>7.4946919728065123E-2</v>
      </c>
      <c r="AK68" s="158">
        <f t="shared" si="29"/>
        <v>9.7667201481678206E-2</v>
      </c>
      <c r="AL68" s="74">
        <v>7676.9629501322843</v>
      </c>
      <c r="AM68" s="81">
        <f t="shared" si="102"/>
        <v>7741.7079706883906</v>
      </c>
      <c r="AN68" s="74">
        <v>7507.8867411985684</v>
      </c>
      <c r="AO68" s="81">
        <f t="shared" ref="AO68" si="1115">AVERAGE(AN65:AN68)</f>
        <v>7424.3519540491252</v>
      </c>
      <c r="AP68" s="494">
        <v>7558.9071949947929</v>
      </c>
      <c r="AQ68" s="495">
        <f t="shared" si="31"/>
        <v>7478.7381708666335</v>
      </c>
      <c r="AR68" s="74">
        <v>7542.9020270270312</v>
      </c>
      <c r="AS68" s="81">
        <f t="shared" ref="AS68" si="1116">AVERAGE(AR65:AR68)</f>
        <v>7434.6574759033501</v>
      </c>
      <c r="AT68" s="74">
        <v>7566.0527903469147</v>
      </c>
      <c r="AU68" s="81">
        <f t="shared" si="33"/>
        <v>7495.9279038454215</v>
      </c>
      <c r="AV68" s="74">
        <v>6935.6590091156022</v>
      </c>
      <c r="AW68" s="99">
        <f t="shared" si="78"/>
        <v>6911.0261699397306</v>
      </c>
      <c r="AX68" s="105">
        <v>4.4775665052182463</v>
      </c>
      <c r="AY68" s="106">
        <f t="shared" si="105"/>
        <v>4.1943938832926921</v>
      </c>
      <c r="AZ68" s="105">
        <v>4.8910520778509703</v>
      </c>
      <c r="BA68" s="81">
        <f t="shared" ref="BA68" si="1117">AVERAGE(AZ65:AZ68)</f>
        <v>4.7641849324573524</v>
      </c>
      <c r="BB68" s="492">
        <v>4.8821689259645504</v>
      </c>
      <c r="BC68" s="493">
        <f t="shared" si="35"/>
        <v>4.7283608340665975</v>
      </c>
      <c r="BD68" s="105">
        <v>5.7533783783783807</v>
      </c>
      <c r="BE68" s="106">
        <f t="shared" ref="BE68" si="1118">AVERAGE(BD65:BD68)</f>
        <v>5.7516431286193583</v>
      </c>
      <c r="BF68" s="105">
        <v>4.4932126696832624</v>
      </c>
      <c r="BG68" s="106">
        <f t="shared" si="37"/>
        <v>4.2601806531058299</v>
      </c>
      <c r="BH68" s="105">
        <v>4.9906824315522123</v>
      </c>
      <c r="BI68" s="107">
        <f t="shared" si="81"/>
        <v>4.9952485523554184</v>
      </c>
      <c r="BJ68" s="487">
        <v>0.50052855226603943</v>
      </c>
      <c r="BK68" s="488">
        <f t="shared" si="108"/>
        <v>0.44519797080713225</v>
      </c>
      <c r="BL68" s="487">
        <v>0.63475013152134296</v>
      </c>
      <c r="BM68" s="489">
        <f t="shared" ref="BM68" si="1119">AVERAGE(BL65:BL68)</f>
        <v>0.61284179355394008</v>
      </c>
      <c r="BN68" s="487"/>
      <c r="BO68" s="489" t="e">
        <f t="shared" ref="BO68" si="1120">AVERAGE(BN65:BN68)</f>
        <v>#DIV/0!</v>
      </c>
      <c r="BP68" s="487">
        <v>0</v>
      </c>
      <c r="BQ68" s="489">
        <f t="shared" ref="BQ68" si="1121">AVERAGE(BP65:BP68)</f>
        <v>0</v>
      </c>
      <c r="BR68" s="487"/>
      <c r="BS68" s="489" t="e">
        <f t="shared" ref="BS68" si="1122">AVERAGE(BR65:BR68)</f>
        <v>#DIV/0!</v>
      </c>
      <c r="BT68" s="487">
        <v>0</v>
      </c>
      <c r="BU68" s="490">
        <f t="shared" si="86"/>
        <v>0</v>
      </c>
      <c r="BV68" s="74">
        <v>5892.5703020544161</v>
      </c>
      <c r="BW68" s="81">
        <f t="shared" si="113"/>
        <v>5511.5170353900075</v>
      </c>
      <c r="BX68" s="74">
        <v>6773.6578116480941</v>
      </c>
      <c r="BY68" s="81">
        <f t="shared" ref="BY68" si="1123">AVERAGE(BX65:BX68)</f>
        <v>6578.7893152176275</v>
      </c>
      <c r="BZ68" s="494">
        <v>6651.2210636079299</v>
      </c>
      <c r="CA68" s="495">
        <f t="shared" si="43"/>
        <v>6388.9617039900922</v>
      </c>
      <c r="CB68" s="74">
        <v>7950.4527027027061</v>
      </c>
      <c r="CC68" s="81">
        <f t="shared" ref="CC68" si="1124">AVERAGE(CB65:CB68)</f>
        <v>7755.450345044278</v>
      </c>
      <c r="CD68" s="74">
        <v>6071.1719457013623</v>
      </c>
      <c r="CE68" s="81">
        <f t="shared" si="45"/>
        <v>5775.0986988166769</v>
      </c>
      <c r="CF68" s="74">
        <v>8146.8659554734286</v>
      </c>
      <c r="CG68" s="99">
        <f t="shared" si="89"/>
        <v>8135.2345333258154</v>
      </c>
      <c r="CH68" s="156">
        <v>2.8594018158223194E-2</v>
      </c>
      <c r="CI68" s="157">
        <f t="shared" si="113"/>
        <v>2.4658404159045213E-2</v>
      </c>
      <c r="CJ68" s="156">
        <v>3.6254602840619349E-2</v>
      </c>
      <c r="CK68" s="81">
        <f t="shared" ref="CK68" si="1125">AVERAGE(CJ65:CJ68)</f>
        <v>3.3915985164650303E-2</v>
      </c>
      <c r="CL68" s="491">
        <v>3.6496350364963528E-2</v>
      </c>
      <c r="CM68" s="483">
        <f t="shared" si="47"/>
        <v>3.3926958328779871E-2</v>
      </c>
      <c r="CN68" s="156">
        <v>5.7432432432432449E-2</v>
      </c>
      <c r="CO68" s="483">
        <f t="shared" ref="CO68" si="1126">AVERAGE(CN65:CN68)</f>
        <v>5.8548328680912608E-2</v>
      </c>
      <c r="CP68" s="156">
        <v>2.7149321266968347E-2</v>
      </c>
      <c r="CQ68" s="483">
        <f t="shared" si="49"/>
        <v>2.2851207156281979E-2</v>
      </c>
      <c r="CR68" s="156">
        <v>3.354324636886688E-2</v>
      </c>
      <c r="CS68" s="158">
        <f t="shared" si="92"/>
        <v>3.7056887137903623E-2</v>
      </c>
      <c r="CT68" s="105">
        <v>40.518681972696356</v>
      </c>
      <c r="CU68" s="106">
        <f t="shared" si="118"/>
        <v>39.739392461054642</v>
      </c>
      <c r="CV68" s="105">
        <v>41.973064176627013</v>
      </c>
      <c r="CW68" s="81">
        <f t="shared" ref="CW68" si="1127">AVERAGE(CV65:CV68)</f>
        <v>40.866757351004694</v>
      </c>
      <c r="CX68" s="492">
        <v>41.376433785192944</v>
      </c>
      <c r="CY68" s="493">
        <f t="shared" si="51"/>
        <v>39.904163023132796</v>
      </c>
      <c r="CZ68" s="105">
        <v>48.706081081081095</v>
      </c>
      <c r="DA68" s="106">
        <f t="shared" ref="DA68" si="1128">AVERAGE(CZ65:CZ68)</f>
        <v>45.643354720550278</v>
      </c>
      <c r="DB68" s="105">
        <v>38.104072398190077</v>
      </c>
      <c r="DC68" s="106">
        <f t="shared" si="53"/>
        <v>37.317775739212379</v>
      </c>
      <c r="DD68" s="105">
        <v>48.66466392494933</v>
      </c>
      <c r="DE68" s="107">
        <f t="shared" si="95"/>
        <v>48.531081443689231</v>
      </c>
    </row>
    <row r="69" spans="1:109" x14ac:dyDescent="0.25">
      <c r="A69" s="155">
        <f t="shared" si="15"/>
        <v>45604</v>
      </c>
      <c r="B69" s="74">
        <v>39.850811018680773</v>
      </c>
      <c r="C69" s="81">
        <f t="shared" si="96"/>
        <v>40.017791018216279</v>
      </c>
      <c r="D69" s="74">
        <v>41.370381194939611</v>
      </c>
      <c r="E69" s="81">
        <f t="shared" si="16"/>
        <v>41.144678713963039</v>
      </c>
      <c r="F69" s="74">
        <v>41.372773536895707</v>
      </c>
      <c r="G69" s="81">
        <f t="shared" si="16"/>
        <v>41.165979157452256</v>
      </c>
      <c r="H69" s="74">
        <v>44.470338983050851</v>
      </c>
      <c r="I69" s="81">
        <f t="shared" ref="I69" si="1129">AVERAGE(H66:H69)</f>
        <v>43.588458627323462</v>
      </c>
      <c r="J69" s="74">
        <v>40.043636363636402</v>
      </c>
      <c r="K69" s="81">
        <f t="shared" si="18"/>
        <v>40.086001308248733</v>
      </c>
      <c r="L69" s="74">
        <v>41.343283582089533</v>
      </c>
      <c r="M69" s="99">
        <f t="shared" ref="M69" si="1130">AVERAGE(L66:L69)</f>
        <v>40.932534402225059</v>
      </c>
      <c r="N69" s="156">
        <v>6.872658233867239E-2</v>
      </c>
      <c r="O69" s="157">
        <f t="shared" si="96"/>
        <v>6.7148840890101702E-2</v>
      </c>
      <c r="P69" s="156">
        <v>6.8954885455201523E-2</v>
      </c>
      <c r="Q69" s="157">
        <f t="shared" si="20"/>
        <v>7.5481733002006307E-2</v>
      </c>
      <c r="R69" s="491">
        <v>6.9974554707379191E-2</v>
      </c>
      <c r="S69" s="483">
        <f t="shared" si="21"/>
        <v>7.7933866563762541E-2</v>
      </c>
      <c r="T69" s="156">
        <v>8.4745762711864403E-2</v>
      </c>
      <c r="U69" s="157">
        <f t="shared" si="22"/>
        <v>8.6622631988730797E-2</v>
      </c>
      <c r="V69" s="156">
        <v>6.3636363636363699E-2</v>
      </c>
      <c r="W69" s="157">
        <f t="shared" si="23"/>
        <v>7.4016186486524249E-2</v>
      </c>
      <c r="X69" s="156">
        <v>5.7405281285878275E-2</v>
      </c>
      <c r="Y69" s="158">
        <f t="shared" si="24"/>
        <v>5.112437157712945E-2</v>
      </c>
      <c r="Z69" s="156">
        <v>0.13405929535298156</v>
      </c>
      <c r="AA69" s="157">
        <f t="shared" si="99"/>
        <v>0.13868750989091153</v>
      </c>
      <c r="AB69" s="156">
        <v>0.12397735768212138</v>
      </c>
      <c r="AC69" s="81">
        <f t="shared" ref="AC69" si="1131">AVERAGE(AB66:AB69)</f>
        <v>0.14393634149682527</v>
      </c>
      <c r="AD69" s="491">
        <v>0.1253597801916031</v>
      </c>
      <c r="AE69" s="483">
        <f t="shared" si="26"/>
        <v>0.15054158325162109</v>
      </c>
      <c r="AF69" s="156">
        <v>0.13870482561343553</v>
      </c>
      <c r="AG69" s="483">
        <f t="shared" ref="AG69" si="1132">AVERAGE(AF66:AF69)</f>
        <v>0.163392608119865</v>
      </c>
      <c r="AH69" s="156">
        <v>0.12129324846863355</v>
      </c>
      <c r="AI69" s="483">
        <f t="shared" si="28"/>
        <v>0.14543959797172787</v>
      </c>
      <c r="AJ69" s="156">
        <v>0.11072761113072176</v>
      </c>
      <c r="AK69" s="158">
        <f t="shared" si="29"/>
        <v>9.456401497969287E-2</v>
      </c>
      <c r="AL69" s="74">
        <v>7845.5003434912587</v>
      </c>
      <c r="AM69" s="81">
        <f t="shared" si="102"/>
        <v>7751.7945247107318</v>
      </c>
      <c r="AN69" s="74">
        <v>7484.0308707183331</v>
      </c>
      <c r="AO69" s="81">
        <f t="shared" ref="AO69" si="1133">AVERAGE(AN66:AN69)</f>
        <v>7452.7174455589875</v>
      </c>
      <c r="AP69" s="494">
        <v>7528.6424936386829</v>
      </c>
      <c r="AQ69" s="495">
        <f t="shared" si="31"/>
        <v>7506.0446276096354</v>
      </c>
      <c r="AR69" s="74">
        <v>7758.4745762711873</v>
      </c>
      <c r="AS69" s="81">
        <f t="shared" ref="AS69" si="1134">AVERAGE(AR66:AR69)</f>
        <v>7542.6535471556135</v>
      </c>
      <c r="AT69" s="74">
        <v>7430.0236363636441</v>
      </c>
      <c r="AU69" s="81">
        <f t="shared" si="33"/>
        <v>7488.5677041497192</v>
      </c>
      <c r="AV69" s="74">
        <v>6978.7233065441987</v>
      </c>
      <c r="AW69" s="99">
        <f t="shared" si="78"/>
        <v>6928.4337447290691</v>
      </c>
      <c r="AX69" s="105">
        <v>4.1407807630010591</v>
      </c>
      <c r="AY69" s="106">
        <f t="shared" si="105"/>
        <v>4.162374333012516</v>
      </c>
      <c r="AZ69" s="105">
        <v>4.7655726595659091</v>
      </c>
      <c r="BA69" s="81">
        <f t="shared" ref="BA69" si="1135">AVERAGE(AZ66:AZ69)</f>
        <v>4.7542871023258488</v>
      </c>
      <c r="BB69" s="492">
        <v>4.730279898218833</v>
      </c>
      <c r="BC69" s="493">
        <f t="shared" si="35"/>
        <v>4.7212378261651642</v>
      </c>
      <c r="BD69" s="105">
        <v>5.8686440677966107</v>
      </c>
      <c r="BE69" s="106">
        <f t="shared" ref="BE69" si="1136">AVERAGE(BD66:BD69)</f>
        <v>5.8620080290636576</v>
      </c>
      <c r="BF69" s="105">
        <v>4.2418181818181857</v>
      </c>
      <c r="BG69" s="106">
        <f t="shared" si="37"/>
        <v>4.2029573742925921</v>
      </c>
      <c r="BH69" s="105">
        <v>5.165327210103329</v>
      </c>
      <c r="BI69" s="107">
        <f t="shared" si="81"/>
        <v>5.0546652427475411</v>
      </c>
      <c r="BJ69" s="487">
        <v>0.45485034303968769</v>
      </c>
      <c r="BK69" s="488">
        <f t="shared" si="108"/>
        <v>0.45343514727354212</v>
      </c>
      <c r="BL69" s="487">
        <v>0.64297941630613165</v>
      </c>
      <c r="BM69" s="489">
        <f t="shared" ref="BM69" si="1137">AVERAGE(BL66:BL69)</f>
        <v>0.62395781299397912</v>
      </c>
      <c r="BN69" s="487"/>
      <c r="BO69" s="489" t="e">
        <f t="shared" ref="BO69" si="1138">AVERAGE(BN66:BN69)</f>
        <v>#DIV/0!</v>
      </c>
      <c r="BP69" s="487">
        <v>0</v>
      </c>
      <c r="BQ69" s="489">
        <f t="shared" ref="BQ69" si="1139">AVERAGE(BP66:BP69)</f>
        <v>0</v>
      </c>
      <c r="BR69" s="487"/>
      <c r="BS69" s="489" t="e">
        <f t="shared" ref="BS69" si="1140">AVERAGE(BR66:BR69)</f>
        <v>#DIV/0!</v>
      </c>
      <c r="BT69" s="487">
        <v>0</v>
      </c>
      <c r="BU69" s="490">
        <f t="shared" si="86"/>
        <v>0</v>
      </c>
      <c r="BV69" s="74">
        <v>5415.0852276126097</v>
      </c>
      <c r="BW69" s="81">
        <f t="shared" si="113"/>
        <v>5507.3264334604346</v>
      </c>
      <c r="BX69" s="74">
        <v>6612.5952280809724</v>
      </c>
      <c r="BY69" s="81">
        <f t="shared" ref="BY69" si="1141">AVERAGE(BX66:BX69)</f>
        <v>6518.9798981321273</v>
      </c>
      <c r="BZ69" s="494">
        <v>6530.5407124681979</v>
      </c>
      <c r="CA69" s="495">
        <f t="shared" si="43"/>
        <v>6351.1908148556786</v>
      </c>
      <c r="CB69" s="74">
        <v>8191.4830508474579</v>
      </c>
      <c r="CC69" s="81">
        <f t="shared" ref="CC69" si="1142">AVERAGE(CB66:CB69)</f>
        <v>7594.6961077561427</v>
      </c>
      <c r="CD69" s="74">
        <v>5817.8454545454597</v>
      </c>
      <c r="CE69" s="81">
        <f t="shared" si="45"/>
        <v>5791.1060875576422</v>
      </c>
      <c r="CF69" s="74">
        <v>7542.0114810562545</v>
      </c>
      <c r="CG69" s="99">
        <f t="shared" si="89"/>
        <v>8089.8802098648539</v>
      </c>
      <c r="CH69" s="156">
        <v>2.2192982053548013E-2</v>
      </c>
      <c r="CI69" s="157">
        <f t="shared" si="113"/>
        <v>2.4404344695582052E-2</v>
      </c>
      <c r="CJ69" s="156">
        <v>3.1368531264134816E-2</v>
      </c>
      <c r="CK69" s="81">
        <f t="shared" ref="CK69" si="1143">AVERAGE(CJ66:CJ69)</f>
        <v>3.0318725604724948E-2</v>
      </c>
      <c r="CL69" s="491">
        <v>3.1806615776081446E-2</v>
      </c>
      <c r="CM69" s="483">
        <f t="shared" si="47"/>
        <v>2.9817208764028297E-2</v>
      </c>
      <c r="CN69" s="156">
        <v>5.0847457627118647E-2</v>
      </c>
      <c r="CO69" s="483">
        <f t="shared" ref="CO69" si="1144">AVERAGE(CN66:CN69)</f>
        <v>4.82019406605078E-2</v>
      </c>
      <c r="CP69" s="156">
        <v>2.363636363636366E-2</v>
      </c>
      <c r="CQ69" s="483">
        <f t="shared" si="49"/>
        <v>2.1438122333155316E-2</v>
      </c>
      <c r="CR69" s="156">
        <v>2.6406429391504005E-2</v>
      </c>
      <c r="CS69" s="158">
        <f t="shared" si="92"/>
        <v>3.5606862226177809E-2</v>
      </c>
      <c r="CT69" s="105">
        <v>40.405977455685004</v>
      </c>
      <c r="CU69" s="106">
        <f t="shared" si="118"/>
        <v>39.76035862145428</v>
      </c>
      <c r="CV69" s="105">
        <v>42.904638637235486</v>
      </c>
      <c r="CW69" s="81">
        <f t="shared" ref="CW69" si="1145">AVERAGE(CV66:CV69)</f>
        <v>41.458392783163944</v>
      </c>
      <c r="CX69" s="492">
        <v>42.437659033078916</v>
      </c>
      <c r="CY69" s="493">
        <f t="shared" si="51"/>
        <v>40.682802927601351</v>
      </c>
      <c r="CZ69" s="105">
        <v>46.478813559322035</v>
      </c>
      <c r="DA69" s="106">
        <f t="shared" ref="DA69" si="1146">AVERAGE(CZ66:CZ69)</f>
        <v>46.066456168633209</v>
      </c>
      <c r="DB69" s="105">
        <v>40.703636363636406</v>
      </c>
      <c r="DC69" s="106">
        <f t="shared" si="53"/>
        <v>38.251530018405987</v>
      </c>
      <c r="DD69" s="105">
        <v>48.19402985074624</v>
      </c>
      <c r="DE69" s="107">
        <f t="shared" si="95"/>
        <v>48.543301341504765</v>
      </c>
    </row>
    <row r="70" spans="1:109" x14ac:dyDescent="0.25">
      <c r="A70" s="155">
        <f t="shared" si="15"/>
        <v>45611</v>
      </c>
      <c r="B70" s="74">
        <v>39.810209915939254</v>
      </c>
      <c r="C70" s="81">
        <f t="shared" si="96"/>
        <v>39.971562937011974</v>
      </c>
      <c r="D70" s="74">
        <v>40.721420307074574</v>
      </c>
      <c r="E70" s="81">
        <f t="shared" si="16"/>
        <v>41.23253557629593</v>
      </c>
      <c r="F70" s="74">
        <v>40.773234200743545</v>
      </c>
      <c r="G70" s="81">
        <f t="shared" si="16"/>
        <v>41.271772023823836</v>
      </c>
      <c r="H70" s="74">
        <v>43.903614457831353</v>
      </c>
      <c r="I70" s="81">
        <f t="shared" ref="I70" si="1147">AVERAGE(H67:H70)</f>
        <v>43.758112241781305</v>
      </c>
      <c r="J70" s="74">
        <v>39.376344086021561</v>
      </c>
      <c r="K70" s="81">
        <f t="shared" si="18"/>
        <v>40.152259681639208</v>
      </c>
      <c r="L70" s="74">
        <v>40.136971046770583</v>
      </c>
      <c r="M70" s="99">
        <f t="shared" ref="M70" si="1148">AVERAGE(L67:L70)</f>
        <v>40.838428949631997</v>
      </c>
      <c r="N70" s="156">
        <v>6.0040089492687895E-2</v>
      </c>
      <c r="O70" s="157">
        <f t="shared" si="96"/>
        <v>6.6847060709929337E-2</v>
      </c>
      <c r="P70" s="156">
        <v>6.31289283592332E-2</v>
      </c>
      <c r="Q70" s="157">
        <f t="shared" si="20"/>
        <v>7.4437303912869984E-2</v>
      </c>
      <c r="R70" s="491">
        <v>6.3197026022304897E-2</v>
      </c>
      <c r="S70" s="483">
        <f t="shared" si="21"/>
        <v>7.6480927335336235E-2</v>
      </c>
      <c r="T70" s="156">
        <v>7.6305220883534169E-2</v>
      </c>
      <c r="U70" s="157">
        <f t="shared" si="22"/>
        <v>8.6948937209614358E-2</v>
      </c>
      <c r="V70" s="156">
        <v>5.7347670250896134E-2</v>
      </c>
      <c r="W70" s="157">
        <f t="shared" si="23"/>
        <v>7.1746281787129773E-2</v>
      </c>
      <c r="X70" s="156">
        <v>6.2360801781737182E-2</v>
      </c>
      <c r="Y70" s="158">
        <f t="shared" si="24"/>
        <v>5.2949691070182797E-2</v>
      </c>
      <c r="Z70" s="156">
        <v>0.11788941671415505</v>
      </c>
      <c r="AA70" s="157">
        <f t="shared" si="99"/>
        <v>0.13731748556480777</v>
      </c>
      <c r="AB70" s="156">
        <v>0.11073181593466445</v>
      </c>
      <c r="AC70" s="81">
        <f t="shared" ref="AC70" si="1149">AVERAGE(AB67:AB70)</f>
        <v>0.13390996594115614</v>
      </c>
      <c r="AD70" s="491">
        <v>0.11074418160775833</v>
      </c>
      <c r="AE70" s="483">
        <f t="shared" si="26"/>
        <v>0.13815613395083456</v>
      </c>
      <c r="AF70" s="156">
        <v>0.15152773351017002</v>
      </c>
      <c r="AG70" s="483">
        <f t="shared" ref="AG70" si="1150">AVERAGE(AF67:AF70)</f>
        <v>0.16349963362581554</v>
      </c>
      <c r="AH70" s="156">
        <v>9.6709204548686367E-2</v>
      </c>
      <c r="AI70" s="483">
        <f t="shared" si="28"/>
        <v>0.12885209817113707</v>
      </c>
      <c r="AJ70" s="156">
        <v>0.11061832389624238</v>
      </c>
      <c r="AK70" s="158">
        <f t="shared" si="29"/>
        <v>9.8504245443884184E-2</v>
      </c>
      <c r="AL70" s="74">
        <v>7859.059467545123</v>
      </c>
      <c r="AM70" s="81">
        <f t="shared" si="102"/>
        <v>7776.2698284331336</v>
      </c>
      <c r="AN70" s="74">
        <v>7501.318765437939</v>
      </c>
      <c r="AO70" s="81">
        <f t="shared" ref="AO70" si="1151">AVERAGE(AN67:AN70)</f>
        <v>7492.5271613084624</v>
      </c>
      <c r="AP70" s="494">
        <v>7550.8451053283834</v>
      </c>
      <c r="AQ70" s="495">
        <f t="shared" si="31"/>
        <v>7548.1091034398478</v>
      </c>
      <c r="AR70" s="74">
        <v>7532.2289156626539</v>
      </c>
      <c r="AS70" s="81">
        <f t="shared" ref="AS70" si="1152">AVERAGE(AR67:AR70)</f>
        <v>7627.6701510712774</v>
      </c>
      <c r="AT70" s="74">
        <v>7559.1523297491131</v>
      </c>
      <c r="AU70" s="81">
        <f t="shared" si="33"/>
        <v>7512.1964508598867</v>
      </c>
      <c r="AV70" s="74">
        <v>6942.6726057906435</v>
      </c>
      <c r="AW70" s="99">
        <f t="shared" si="78"/>
        <v>6936.4399725998564</v>
      </c>
      <c r="AX70" s="105">
        <v>4.221749035644895</v>
      </c>
      <c r="AY70" s="106">
        <f t="shared" si="105"/>
        <v>4.1866407413555136</v>
      </c>
      <c r="AZ70" s="105">
        <v>4.9103661778038896</v>
      </c>
      <c r="BA70" s="81">
        <f t="shared" ref="BA70" si="1153">AVERAGE(AZ67:AZ70)</f>
        <v>4.8173390193867816</v>
      </c>
      <c r="BB70" s="492">
        <v>4.9182156133829045</v>
      </c>
      <c r="BC70" s="493">
        <f t="shared" si="35"/>
        <v>4.7952082916187946</v>
      </c>
      <c r="BD70" s="105">
        <v>6.4979919678714886</v>
      </c>
      <c r="BE70" s="106">
        <f t="shared" ref="BE70" si="1154">AVERAGE(BD67:BD70)</f>
        <v>6.0854643543648637</v>
      </c>
      <c r="BF70" s="105">
        <v>4.213261648745525</v>
      </c>
      <c r="BG70" s="106">
        <f t="shared" si="37"/>
        <v>4.2064523196926169</v>
      </c>
      <c r="BH70" s="105">
        <v>4.8218262806236059</v>
      </c>
      <c r="BI70" s="107">
        <f t="shared" si="81"/>
        <v>5.0167977977334983</v>
      </c>
      <c r="BJ70" s="487">
        <v>0.44299715709600707</v>
      </c>
      <c r="BK70" s="488">
        <f t="shared" si="108"/>
        <v>0.45064452809745514</v>
      </c>
      <c r="BL70" s="487">
        <v>0.63514181181185658</v>
      </c>
      <c r="BM70" s="489">
        <f t="shared" ref="BM70" si="1155">AVERAGE(BL67:BL70)</f>
        <v>0.62934524882424414</v>
      </c>
      <c r="BN70" s="487"/>
      <c r="BO70" s="489" t="e">
        <f t="shared" ref="BO70" si="1156">AVERAGE(BN67:BN70)</f>
        <v>#DIV/0!</v>
      </c>
      <c r="BP70" s="487">
        <v>0</v>
      </c>
      <c r="BQ70" s="489">
        <f t="shared" ref="BQ70" si="1157">AVERAGE(BP67:BP70)</f>
        <v>0</v>
      </c>
      <c r="BR70" s="487"/>
      <c r="BS70" s="489" t="e">
        <f t="shared" ref="BS70" si="1158">AVERAGE(BR67:BR70)</f>
        <v>#DIV/0!</v>
      </c>
      <c r="BT70" s="487">
        <v>0</v>
      </c>
      <c r="BU70" s="490">
        <f t="shared" si="86"/>
        <v>0</v>
      </c>
      <c r="BV70" s="74">
        <v>5376.9088007874279</v>
      </c>
      <c r="BW70" s="81">
        <f t="shared" si="113"/>
        <v>5493.3675839292719</v>
      </c>
      <c r="BX70" s="74">
        <v>6576.1824072089967</v>
      </c>
      <c r="BY70" s="81">
        <f t="shared" ref="BY70" si="1159">AVERAGE(BX67:BX70)</f>
        <v>6634.6005329368982</v>
      </c>
      <c r="BZ70" s="494">
        <v>6464.3110285006251</v>
      </c>
      <c r="CA70" s="495">
        <f t="shared" si="43"/>
        <v>6496.9470537876095</v>
      </c>
      <c r="CB70" s="74">
        <v>8000.1967871485986</v>
      </c>
      <c r="CC70" s="81">
        <f t="shared" ref="CC70" si="1160">AVERAGE(CB67:CB70)</f>
        <v>7949.742179543292</v>
      </c>
      <c r="CD70" s="74">
        <v>5778.9426523297561</v>
      </c>
      <c r="CE70" s="81">
        <f t="shared" si="45"/>
        <v>5840.7869930099178</v>
      </c>
      <c r="CF70" s="74">
        <v>7838.0668151447671</v>
      </c>
      <c r="CG70" s="99">
        <f t="shared" si="89"/>
        <v>7994.6092927006684</v>
      </c>
      <c r="CH70" s="156">
        <v>2.3686324852360833E-2</v>
      </c>
      <c r="CI70" s="157">
        <f t="shared" si="113"/>
        <v>2.4338664316722276E-2</v>
      </c>
      <c r="CJ70" s="156">
        <v>3.3956659057478321E-2</v>
      </c>
      <c r="CK70" s="81">
        <f t="shared" ref="CK70" si="1161">AVERAGE(CJ67:CJ70)</f>
        <v>3.2460062703177417E-2</v>
      </c>
      <c r="CL70" s="491">
        <v>3.4696406443618377E-2</v>
      </c>
      <c r="CM70" s="483">
        <f t="shared" si="47"/>
        <v>3.2217784653477424E-2</v>
      </c>
      <c r="CN70" s="156">
        <v>4.4176706827309252E-2</v>
      </c>
      <c r="CO70" s="483">
        <f t="shared" ref="CO70" si="1162">AVERAGE(CN67:CN70)</f>
        <v>5.0912784034001783E-2</v>
      </c>
      <c r="CP70" s="156">
        <v>3.0465949820788568E-2</v>
      </c>
      <c r="CQ70" s="483">
        <f t="shared" si="49"/>
        <v>2.3668613379016726E-2</v>
      </c>
      <c r="CR70" s="156">
        <v>2.561247216035634E-2</v>
      </c>
      <c r="CS70" s="158">
        <f t="shared" si="92"/>
        <v>3.2581294841904841E-2</v>
      </c>
      <c r="CT70" s="105">
        <v>39.714242320602395</v>
      </c>
      <c r="CU70" s="106">
        <f t="shared" si="118"/>
        <v>39.708270458135743</v>
      </c>
      <c r="CV70" s="105">
        <v>42.68162856876377</v>
      </c>
      <c r="CW70" s="81">
        <f t="shared" ref="CW70" si="1163">AVERAGE(CV67:CV70)</f>
        <v>42.247716905836</v>
      </c>
      <c r="CX70" s="492">
        <v>42.275092936803013</v>
      </c>
      <c r="CY70" s="493">
        <f t="shared" si="51"/>
        <v>41.680057968577501</v>
      </c>
      <c r="CZ70" s="105">
        <v>47.317269076305244</v>
      </c>
      <c r="DA70" s="106">
        <f t="shared" ref="DA70" si="1164">AVERAGE(CZ67:CZ70)</f>
        <v>47.180148437709519</v>
      </c>
      <c r="DB70" s="105">
        <v>40.025089605734813</v>
      </c>
      <c r="DC70" s="106">
        <f t="shared" si="53"/>
        <v>39.1792566388702</v>
      </c>
      <c r="DD70" s="105">
        <v>47.267260579064569</v>
      </c>
      <c r="DE70" s="107">
        <f t="shared" si="95"/>
        <v>48.230163624381113</v>
      </c>
    </row>
    <row r="71" spans="1:109" x14ac:dyDescent="0.25">
      <c r="A71" s="155">
        <f t="shared" ref="A71:A109" si="1165">A70+7</f>
        <v>45618</v>
      </c>
      <c r="B71" s="74">
        <v>39.69134144049363</v>
      </c>
      <c r="C71" s="81">
        <f t="shared" si="96"/>
        <v>39.956482968888039</v>
      </c>
      <c r="D71" s="74">
        <v>40.555178706568945</v>
      </c>
      <c r="E71" s="81">
        <f t="shared" si="16"/>
        <v>40.996058571348456</v>
      </c>
      <c r="F71" s="74">
        <v>40.580392156862771</v>
      </c>
      <c r="G71" s="81">
        <f t="shared" si="16"/>
        <v>41.018669838067638</v>
      </c>
      <c r="H71" s="74">
        <v>41.956647398843955</v>
      </c>
      <c r="I71" s="81">
        <f t="shared" ref="I71" si="1166">AVERAGE(H68:H71)</f>
        <v>43.337717777499115</v>
      </c>
      <c r="J71" s="74">
        <v>39.873887240356112</v>
      </c>
      <c r="K71" s="81">
        <f t="shared" si="18"/>
        <v>39.973919411191311</v>
      </c>
      <c r="L71" s="74">
        <v>40.161997563946372</v>
      </c>
      <c r="M71" s="99">
        <f t="shared" ref="M71" si="1167">AVERAGE(L68:L71)</f>
        <v>40.71396235422403</v>
      </c>
      <c r="N71" s="156">
        <v>7.139272655428669E-2</v>
      </c>
      <c r="O71" s="157">
        <f t="shared" si="96"/>
        <v>6.8394475632783475E-2</v>
      </c>
      <c r="P71" s="156">
        <v>7.8923989278307932E-2</v>
      </c>
      <c r="Q71" s="157">
        <f t="shared" si="20"/>
        <v>7.4636485228957952E-2</v>
      </c>
      <c r="R71" s="491">
        <v>8.0392156862745132E-2</v>
      </c>
      <c r="S71" s="483">
        <f t="shared" si="21"/>
        <v>7.6331497484655814E-2</v>
      </c>
      <c r="T71" s="156">
        <v>9.5375722543352637E-2</v>
      </c>
      <c r="U71" s="157">
        <f t="shared" si="22"/>
        <v>8.7755325183336466E-2</v>
      </c>
      <c r="V71" s="156">
        <v>7.2700296735905084E-2</v>
      </c>
      <c r="W71" s="157">
        <f t="shared" si="23"/>
        <v>7.1045517044931519E-2</v>
      </c>
      <c r="X71" s="156">
        <v>5.6029232643118092E-2</v>
      </c>
      <c r="Y71" s="158">
        <f t="shared" si="24"/>
        <v>5.3989312156132382E-2</v>
      </c>
      <c r="Z71" s="156">
        <v>0.1304137296596885</v>
      </c>
      <c r="AA71" s="157">
        <f t="shared" si="99"/>
        <v>0.1369246678435026</v>
      </c>
      <c r="AB71" s="156">
        <v>0.13673993097690573</v>
      </c>
      <c r="AC71" s="81">
        <f t="shared" ref="AC71" si="1168">AVERAGE(AB68:AB71)</f>
        <v>0.13174350929293499</v>
      </c>
      <c r="AD71" s="491">
        <v>0.1389648756695025</v>
      </c>
      <c r="AE71" s="483">
        <f t="shared" si="26"/>
        <v>0.13485880032149311</v>
      </c>
      <c r="AF71" s="156">
        <v>0.17499946890108772</v>
      </c>
      <c r="AG71" s="483">
        <f t="shared" ref="AG71" si="1169">AVERAGE(AF68:AF71)</f>
        <v>0.15519859376896691</v>
      </c>
      <c r="AH71" s="156">
        <v>0.12385362572064822</v>
      </c>
      <c r="AI71" s="483">
        <f t="shared" si="28"/>
        <v>0.12734051303480642</v>
      </c>
      <c r="AJ71" s="156">
        <v>0.10749660515286169</v>
      </c>
      <c r="AK71" s="158">
        <f t="shared" si="29"/>
        <v>0.10094736497697274</v>
      </c>
      <c r="AL71" s="74">
        <v>7789.8692771463066</v>
      </c>
      <c r="AM71" s="81">
        <f t="shared" si="102"/>
        <v>7781.3896794764878</v>
      </c>
      <c r="AN71" s="74">
        <v>7456.1642667848428</v>
      </c>
      <c r="AO71" s="81">
        <f t="shared" ref="AO71" si="1170">AVERAGE(AN68:AN71)</f>
        <v>7487.3501610349213</v>
      </c>
      <c r="AP71" s="494">
        <v>7472.0245098039259</v>
      </c>
      <c r="AQ71" s="495">
        <f t="shared" si="31"/>
        <v>7527.6048259414465</v>
      </c>
      <c r="AR71" s="74">
        <v>7823.1763005780385</v>
      </c>
      <c r="AS71" s="81">
        <f t="shared" ref="AS71" si="1171">AVERAGE(AR68:AR71)</f>
        <v>7664.195454884728</v>
      </c>
      <c r="AT71" s="74">
        <v>7291.7596439169183</v>
      </c>
      <c r="AU71" s="81">
        <f t="shared" si="33"/>
        <v>7461.7471000941468</v>
      </c>
      <c r="AV71" s="74">
        <v>7208.8380024360467</v>
      </c>
      <c r="AW71" s="99">
        <f t="shared" si="78"/>
        <v>6994.9572588198216</v>
      </c>
      <c r="AX71" s="105">
        <v>4.2853695723139609</v>
      </c>
      <c r="AY71" s="106">
        <f t="shared" si="105"/>
        <v>4.2301844773055368</v>
      </c>
      <c r="AZ71" s="105">
        <v>4.8880606648119587</v>
      </c>
      <c r="BA71" s="81">
        <f t="shared" ref="BA71" si="1172">AVERAGE(AZ68:AZ71)</f>
        <v>4.8637628950081826</v>
      </c>
      <c r="BB71" s="492">
        <v>4.8950980392156884</v>
      </c>
      <c r="BC71" s="493">
        <f t="shared" si="35"/>
        <v>4.8564406191954941</v>
      </c>
      <c r="BD71" s="105">
        <v>6.0317919075144522</v>
      </c>
      <c r="BE71" s="106">
        <f t="shared" ref="BE71" si="1173">AVERAGE(BD68:BD71)</f>
        <v>6.0379515803902333</v>
      </c>
      <c r="BF71" s="105">
        <v>4.3115727002967388</v>
      </c>
      <c r="BG71" s="106">
        <f t="shared" si="37"/>
        <v>4.3149663001359286</v>
      </c>
      <c r="BH71" s="105">
        <v>4.7783191230207018</v>
      </c>
      <c r="BI71" s="107">
        <f t="shared" si="81"/>
        <v>4.990736505868127</v>
      </c>
      <c r="BJ71" s="487">
        <v>0.45489906013360182</v>
      </c>
      <c r="BK71" s="488">
        <f t="shared" si="108"/>
        <v>0.45537139772807661</v>
      </c>
      <c r="BL71" s="487">
        <v>0.62096388408532377</v>
      </c>
      <c r="BM71" s="489">
        <f t="shared" ref="BM71" si="1174">AVERAGE(BL68:BL71)</f>
        <v>0.63345881093116374</v>
      </c>
      <c r="BN71" s="487"/>
      <c r="BO71" s="489" t="e">
        <f t="shared" ref="BO71" si="1175">AVERAGE(BN68:BN71)</f>
        <v>#DIV/0!</v>
      </c>
      <c r="BP71" s="487">
        <v>0</v>
      </c>
      <c r="BQ71" s="489">
        <f t="shared" ref="BQ71" si="1176">AVERAGE(BP68:BP71)</f>
        <v>0</v>
      </c>
      <c r="BR71" s="487"/>
      <c r="BS71" s="489" t="e">
        <f t="shared" ref="BS71" si="1177">AVERAGE(BR68:BR71)</f>
        <v>#DIV/0!</v>
      </c>
      <c r="BT71" s="487">
        <v>0</v>
      </c>
      <c r="BU71" s="490">
        <f t="shared" si="86"/>
        <v>0</v>
      </c>
      <c r="BV71" s="74">
        <v>5777.2712595689491</v>
      </c>
      <c r="BW71" s="81">
        <f t="shared" si="113"/>
        <v>5560.5527005450476</v>
      </c>
      <c r="BX71" s="74">
        <v>6944.0232681768393</v>
      </c>
      <c r="BY71" s="81">
        <f t="shared" ref="BY71" si="1178">AVERAGE(BX68:BX71)</f>
        <v>6726.6146787787256</v>
      </c>
      <c r="BZ71" s="494">
        <v>6897.4578431372593</v>
      </c>
      <c r="CA71" s="495">
        <f t="shared" si="43"/>
        <v>6635.8826619285028</v>
      </c>
      <c r="CB71" s="74">
        <v>9572.4421965317961</v>
      </c>
      <c r="CC71" s="81">
        <f t="shared" ref="CC71" si="1179">AVERAGE(CB68:CB71)</f>
        <v>8428.6436843076408</v>
      </c>
      <c r="CD71" s="74">
        <v>5524.2462908011912</v>
      </c>
      <c r="CE71" s="81">
        <f t="shared" si="45"/>
        <v>5798.0515858444423</v>
      </c>
      <c r="CF71" s="74">
        <v>7670.1693057247194</v>
      </c>
      <c r="CG71" s="99">
        <f t="shared" si="89"/>
        <v>7939.2846295069221</v>
      </c>
      <c r="CH71" s="156">
        <v>2.8916061412896897E-2</v>
      </c>
      <c r="CI71" s="157">
        <f t="shared" si="113"/>
        <v>2.5340617973619077E-2</v>
      </c>
      <c r="CJ71" s="156">
        <v>3.9461994639153959E-2</v>
      </c>
      <c r="CK71" s="81">
        <f t="shared" ref="CK71" si="1180">AVERAGE(CJ68:CJ71)</f>
        <v>3.5260446950346608E-2</v>
      </c>
      <c r="CL71" s="491">
        <v>4.0196078431372566E-2</v>
      </c>
      <c r="CM71" s="483">
        <f t="shared" si="47"/>
        <v>3.5798862754008981E-2</v>
      </c>
      <c r="CN71" s="156">
        <v>7.8034682080924886E-2</v>
      </c>
      <c r="CO71" s="483">
        <f t="shared" ref="CO71" si="1181">AVERAGE(CN68:CN71)</f>
        <v>5.7622819741946316E-2</v>
      </c>
      <c r="CP71" s="156">
        <v>2.0771513353115743E-2</v>
      </c>
      <c r="CQ71" s="483">
        <f t="shared" si="49"/>
        <v>2.5505787019309077E-2</v>
      </c>
      <c r="CR71" s="156">
        <v>2.8014616321559049E-2</v>
      </c>
      <c r="CS71" s="158">
        <f t="shared" si="92"/>
        <v>3.1741372342240358E-2</v>
      </c>
      <c r="CT71" s="105">
        <v>41.136357717434421</v>
      </c>
      <c r="CU71" s="106">
        <f t="shared" si="118"/>
        <v>39.826542987556152</v>
      </c>
      <c r="CV71" s="105">
        <v>43.759788300874163</v>
      </c>
      <c r="CW71" s="81">
        <f t="shared" ref="CW71" si="1182">AVERAGE(CV68:CV71)</f>
        <v>42.829779920875112</v>
      </c>
      <c r="CX71" s="492">
        <v>43.496078431372567</v>
      </c>
      <c r="CY71" s="493">
        <f t="shared" si="51"/>
        <v>42.396316046611858</v>
      </c>
      <c r="CZ71" s="105">
        <v>45.300578034682097</v>
      </c>
      <c r="DA71" s="106">
        <f t="shared" ref="DA71" si="1183">AVERAGE(CZ68:CZ71)</f>
        <v>46.950685437847618</v>
      </c>
      <c r="DB71" s="105">
        <v>42.569732937685487</v>
      </c>
      <c r="DC71" s="106">
        <f t="shared" si="53"/>
        <v>40.350632826311696</v>
      </c>
      <c r="DD71" s="105">
        <v>47.872107186358058</v>
      </c>
      <c r="DE71" s="107">
        <f t="shared" si="95"/>
        <v>48.141836325369624</v>
      </c>
    </row>
    <row r="72" spans="1:109" x14ac:dyDescent="0.25">
      <c r="A72" s="155">
        <f t="shared" si="1165"/>
        <v>45625</v>
      </c>
      <c r="B72" s="74">
        <v>39.63908108299259</v>
      </c>
      <c r="C72" s="81">
        <f t="shared" si="96"/>
        <v>39.89839198354742</v>
      </c>
      <c r="D72" s="74">
        <v>40.390896511580081</v>
      </c>
      <c r="E72" s="81">
        <f t="shared" si="16"/>
        <v>40.759469180040803</v>
      </c>
      <c r="F72" s="74">
        <v>40.367977528089895</v>
      </c>
      <c r="G72" s="81">
        <f t="shared" si="16"/>
        <v>40.77359435564798</v>
      </c>
      <c r="H72" s="74">
        <v>43.571895424836612</v>
      </c>
      <c r="I72" s="81">
        <f t="shared" ref="I72" si="1184">AVERAGE(H69:H72)</f>
        <v>43.475624066140696</v>
      </c>
      <c r="J72" s="74">
        <v>39.081364829396335</v>
      </c>
      <c r="K72" s="81">
        <f t="shared" si="18"/>
        <v>39.593808129852604</v>
      </c>
      <c r="L72" s="74">
        <v>40.925217391304336</v>
      </c>
      <c r="M72" s="99">
        <f t="shared" ref="M72" si="1185">AVERAGE(L69:L72)</f>
        <v>40.641867396027706</v>
      </c>
      <c r="N72" s="156">
        <v>6.1512025900794735E-2</v>
      </c>
      <c r="O72" s="157">
        <f t="shared" si="96"/>
        <v>6.8352001746677063E-2</v>
      </c>
      <c r="P72" s="156">
        <v>7.3971393123755766E-2</v>
      </c>
      <c r="Q72" s="157">
        <f t="shared" si="20"/>
        <v>7.1244799054124605E-2</v>
      </c>
      <c r="R72" s="491">
        <v>7.4906367041198504E-2</v>
      </c>
      <c r="S72" s="483">
        <f t="shared" si="21"/>
        <v>7.2117526158406942E-2</v>
      </c>
      <c r="T72" s="156">
        <v>8.496732026143794E-2</v>
      </c>
      <c r="U72" s="157">
        <f t="shared" si="22"/>
        <v>8.534850660004728E-2</v>
      </c>
      <c r="V72" s="156">
        <v>7.0866141732283477E-2</v>
      </c>
      <c r="W72" s="157">
        <f t="shared" si="23"/>
        <v>6.6137618088862093E-2</v>
      </c>
      <c r="X72" s="156">
        <v>5.2173913043478244E-2</v>
      </c>
      <c r="Y72" s="158">
        <f t="shared" si="24"/>
        <v>5.699230718855295E-2</v>
      </c>
      <c r="Z72" s="156">
        <v>0.11375055363752275</v>
      </c>
      <c r="AA72" s="157">
        <f t="shared" si="99"/>
        <v>0.134438942952575</v>
      </c>
      <c r="AB72" s="156">
        <v>0.13037385253004563</v>
      </c>
      <c r="AC72" s="81">
        <f t="shared" ref="AC72" si="1186">AVERAGE(AB69:AB72)</f>
        <v>0.12545573928093429</v>
      </c>
      <c r="AD72" s="491">
        <v>0.13206737824576789</v>
      </c>
      <c r="AE72" s="483">
        <f t="shared" si="26"/>
        <v>0.12678405392865796</v>
      </c>
      <c r="AF72" s="156">
        <v>0.14015647778522694</v>
      </c>
      <c r="AG72" s="483">
        <f t="shared" ref="AG72" si="1187">AVERAGE(AF69:AF72)</f>
        <v>0.15134712645248005</v>
      </c>
      <c r="AH72" s="156">
        <v>0.12958462656343744</v>
      </c>
      <c r="AI72" s="483">
        <f t="shared" si="28"/>
        <v>0.1178601763253514</v>
      </c>
      <c r="AJ72" s="156">
        <v>9.7241557985109417E-2</v>
      </c>
      <c r="AK72" s="158">
        <f t="shared" si="29"/>
        <v>0.10652102454123381</v>
      </c>
      <c r="AL72" s="74">
        <v>7690.516360530708</v>
      </c>
      <c r="AM72" s="81">
        <f t="shared" si="102"/>
        <v>7759.695658805671</v>
      </c>
      <c r="AN72" s="74">
        <v>7335.8609194743203</v>
      </c>
      <c r="AO72" s="81">
        <f t="shared" ref="AO72" si="1188">AVERAGE(AN69:AN72)</f>
        <v>7444.3437056038583</v>
      </c>
      <c r="AP72" s="494">
        <v>7353.4438202247165</v>
      </c>
      <c r="AQ72" s="495">
        <f t="shared" si="31"/>
        <v>7476.2389822489276</v>
      </c>
      <c r="AR72" s="74">
        <v>7408.1307189542504</v>
      </c>
      <c r="AS72" s="81">
        <f t="shared" ref="AS72" si="1189">AVERAGE(AR69:AR72)</f>
        <v>7630.5026278665318</v>
      </c>
      <c r="AT72" s="74">
        <v>7331.4829396325422</v>
      </c>
      <c r="AU72" s="81">
        <f t="shared" si="33"/>
        <v>7403.104637415554</v>
      </c>
      <c r="AV72" s="74">
        <v>6925.9426086956501</v>
      </c>
      <c r="AW72" s="99">
        <f t="shared" si="78"/>
        <v>6973.0739445233921</v>
      </c>
      <c r="AX72" s="105">
        <v>4.2061567319980293</v>
      </c>
      <c r="AY72" s="106">
        <f t="shared" si="105"/>
        <v>4.2399807933430207</v>
      </c>
      <c r="AZ72" s="105">
        <v>4.6803567596643738</v>
      </c>
      <c r="BA72" s="81">
        <f t="shared" ref="BA72" si="1190">AVERAGE(AZ69:AZ72)</f>
        <v>4.811089065461533</v>
      </c>
      <c r="BB72" s="492">
        <v>4.6526217228464422</v>
      </c>
      <c r="BC72" s="493">
        <f t="shared" si="35"/>
        <v>4.7990538184159668</v>
      </c>
      <c r="BD72" s="105">
        <v>6.3627450980392162</v>
      </c>
      <c r="BE72" s="106">
        <f t="shared" ref="BE72" si="1191">AVERAGE(BD69:BD72)</f>
        <v>6.1902932603054417</v>
      </c>
      <c r="BF72" s="105">
        <v>3.9658792650918642</v>
      </c>
      <c r="BG72" s="106">
        <f t="shared" si="37"/>
        <v>4.1831329489880789</v>
      </c>
      <c r="BH72" s="105">
        <v>5.3269565217391293</v>
      </c>
      <c r="BI72" s="107">
        <f t="shared" si="81"/>
        <v>5.0257366621523127</v>
      </c>
      <c r="BJ72" s="487">
        <v>0.51806174024735974</v>
      </c>
      <c r="BK72" s="488">
        <f t="shared" si="108"/>
        <v>0.46967308143313957</v>
      </c>
      <c r="BL72" s="487">
        <v>0.68413795825025636</v>
      </c>
      <c r="BM72" s="489">
        <f t="shared" ref="BM72" si="1192">AVERAGE(BL69:BL72)</f>
        <v>0.64580576761339203</v>
      </c>
      <c r="BN72" s="487"/>
      <c r="BO72" s="489" t="e">
        <f t="shared" ref="BO72" si="1193">AVERAGE(BN69:BN72)</f>
        <v>#DIV/0!</v>
      </c>
      <c r="BP72" s="487">
        <v>0</v>
      </c>
      <c r="BQ72" s="489">
        <f t="shared" ref="BQ72" si="1194">AVERAGE(BP69:BP72)</f>
        <v>0</v>
      </c>
      <c r="BR72" s="487"/>
      <c r="BS72" s="489" t="e">
        <f t="shared" ref="BS72" si="1195">AVERAGE(BR69:BR72)</f>
        <v>#DIV/0!</v>
      </c>
      <c r="BT72" s="487">
        <v>0</v>
      </c>
      <c r="BU72" s="490">
        <f t="shared" si="86"/>
        <v>0</v>
      </c>
      <c r="BV72" s="74">
        <v>5597.9254818337349</v>
      </c>
      <c r="BW72" s="81">
        <f t="shared" si="113"/>
        <v>5571.731184757592</v>
      </c>
      <c r="BX72" s="74">
        <v>6549.8231864216577</v>
      </c>
      <c r="BY72" s="81">
        <f t="shared" ref="BY72" si="1196">AVERAGE(BX69:BX72)</f>
        <v>6670.6560224721161</v>
      </c>
      <c r="BZ72" s="494">
        <v>6464.7397003745336</v>
      </c>
      <c r="CA72" s="495">
        <f t="shared" si="43"/>
        <v>6589.2623211201535</v>
      </c>
      <c r="CB72" s="74">
        <v>8960.5980392156889</v>
      </c>
      <c r="CC72" s="81">
        <f t="shared" ref="CC72" si="1197">AVERAGE(CB69:CB72)</f>
        <v>8681.1800184358854</v>
      </c>
      <c r="CD72" s="74">
        <v>5462.4658792650935</v>
      </c>
      <c r="CE72" s="81">
        <f t="shared" si="45"/>
        <v>5645.8750692353751</v>
      </c>
      <c r="CF72" s="74">
        <v>8533.413913043476</v>
      </c>
      <c r="CG72" s="99">
        <f t="shared" si="89"/>
        <v>8034.4354719679959</v>
      </c>
      <c r="CH72" s="156">
        <v>2.4416172603928619E-2</v>
      </c>
      <c r="CI72" s="157">
        <f t="shared" si="113"/>
        <v>2.426353907500195E-2</v>
      </c>
      <c r="CJ72" s="156">
        <v>3.2242549213561449E-2</v>
      </c>
      <c r="CK72" s="81">
        <f t="shared" ref="CK72" si="1198">AVERAGE(CJ69:CJ72)</f>
        <v>3.4257433543582134E-2</v>
      </c>
      <c r="CL72" s="491">
        <v>3.1835205992509365E-2</v>
      </c>
      <c r="CM72" s="483">
        <f t="shared" si="47"/>
        <v>3.4633576660895435E-2</v>
      </c>
      <c r="CN72" s="156">
        <v>5.5555555555555566E-2</v>
      </c>
      <c r="CO72" s="483">
        <f t="shared" ref="CO72" si="1199">AVERAGE(CN69:CN72)</f>
        <v>5.7153600522727097E-2</v>
      </c>
      <c r="CP72" s="156">
        <v>2.2309711286089242E-2</v>
      </c>
      <c r="CQ72" s="483">
        <f t="shared" si="49"/>
        <v>2.4295884524089303E-2</v>
      </c>
      <c r="CR72" s="156">
        <v>4.1739130434782598E-2</v>
      </c>
      <c r="CS72" s="158">
        <f t="shared" si="92"/>
        <v>3.3287960658434528E-2</v>
      </c>
      <c r="CT72" s="105">
        <v>41.051950405469519</v>
      </c>
      <c r="CU72" s="106">
        <f t="shared" si="118"/>
        <v>40.101805701989477</v>
      </c>
      <c r="CV72" s="105">
        <v>43.936486716482115</v>
      </c>
      <c r="CW72" s="81">
        <f t="shared" ref="CW72" si="1200">AVERAGE(CV69:CV72)</f>
        <v>43.320635555838884</v>
      </c>
      <c r="CX72" s="492">
        <v>43.738764044943828</v>
      </c>
      <c r="CY72" s="493">
        <f t="shared" si="51"/>
        <v>42.986898611549577</v>
      </c>
      <c r="CZ72" s="105">
        <v>49.539215686274524</v>
      </c>
      <c r="DA72" s="106">
        <f t="shared" ref="DA72" si="1201">AVERAGE(CZ69:CZ72)</f>
        <v>47.158969089145977</v>
      </c>
      <c r="DB72" s="105">
        <v>41.409448818897651</v>
      </c>
      <c r="DC72" s="106">
        <f t="shared" si="53"/>
        <v>41.176976931488589</v>
      </c>
      <c r="DD72" s="105">
        <v>48.546086956521734</v>
      </c>
      <c r="DE72" s="107">
        <f t="shared" si="95"/>
        <v>48.250248254764884</v>
      </c>
    </row>
    <row r="73" spans="1:109" x14ac:dyDescent="0.25">
      <c r="A73" s="155">
        <f t="shared" si="1165"/>
        <v>45632</v>
      </c>
      <c r="B73" s="74">
        <v>39.10833275263461</v>
      </c>
      <c r="C73" s="81">
        <f t="shared" si="96"/>
        <v>39.851238250019684</v>
      </c>
      <c r="D73" s="74">
        <v>40.182110053776455</v>
      </c>
      <c r="E73" s="81">
        <f t="shared" ref="E73:G109" si="1202">AVERAGE(D70:D73)</f>
        <v>40.462401394750017</v>
      </c>
      <c r="F73" s="74">
        <v>40.16262353998205</v>
      </c>
      <c r="G73" s="81">
        <f t="shared" si="1202"/>
        <v>40.471056856419565</v>
      </c>
      <c r="H73" s="74">
        <v>42.606811145510846</v>
      </c>
      <c r="I73" s="81">
        <f t="shared" ref="I73" si="1203">AVERAGE(H70:H73)</f>
        <v>43.009742106755695</v>
      </c>
      <c r="J73" s="74">
        <v>39.163291139240528</v>
      </c>
      <c r="K73" s="81">
        <f t="shared" ref="K73:K109" si="1204">AVERAGE(J70:J73)</f>
        <v>39.373721823753634</v>
      </c>
      <c r="L73" s="74">
        <v>40.624558650324488</v>
      </c>
      <c r="M73" s="99">
        <f t="shared" ref="M73" si="1205">AVERAGE(L70:L73)</f>
        <v>40.462186163086443</v>
      </c>
      <c r="N73" s="156">
        <v>6.5506854245563198E-2</v>
      </c>
      <c r="O73" s="157">
        <f t="shared" si="96"/>
        <v>6.8135067968312299E-2</v>
      </c>
      <c r="P73" s="156">
        <v>7.1094036290731979E-2</v>
      </c>
      <c r="Q73" s="157">
        <f t="shared" ref="Q73:Q109" si="1206">AVERAGE(P70:P73)</f>
        <v>7.1779586763007219E-2</v>
      </c>
      <c r="R73" s="491">
        <v>7.1877807726864362E-2</v>
      </c>
      <c r="S73" s="483">
        <f t="shared" ref="S73:S109" si="1207">AVERAGE(R70:R73)</f>
        <v>7.2593339413278224E-2</v>
      </c>
      <c r="T73" s="156">
        <v>7.7399380804953566E-2</v>
      </c>
      <c r="U73" s="157">
        <f t="shared" ref="U73:U109" si="1208">AVERAGE(T70:T73)</f>
        <v>8.3511911123319571E-2</v>
      </c>
      <c r="V73" s="156">
        <v>6.9620253164557E-2</v>
      </c>
      <c r="W73" s="157">
        <f t="shared" ref="W73:W109" si="1209">AVERAGE(V70:V73)</f>
        <v>6.7633590470910415E-2</v>
      </c>
      <c r="X73" s="156">
        <v>5.3298212184394525E-2</v>
      </c>
      <c r="Y73" s="158">
        <f t="shared" ref="Y73:Y109" si="1210">AVERAGE(X70:X73)</f>
        <v>5.5965539913182011E-2</v>
      </c>
      <c r="Z73" s="156">
        <v>0.11457851181404037</v>
      </c>
      <c r="AA73" s="157">
        <f t="shared" si="99"/>
        <v>0.12879335805026709</v>
      </c>
      <c r="AB73" s="156">
        <v>0.11487358640502443</v>
      </c>
      <c r="AC73" s="81">
        <f t="shared" ref="AC73" si="1211">AVERAGE(AB70:AB73)</f>
        <v>0.12317979646166007</v>
      </c>
      <c r="AD73" s="491">
        <v>0.11469998974013834</v>
      </c>
      <c r="AE73" s="483">
        <f t="shared" ref="AE73:AE109" si="1212">AVERAGE(AD70:AD73)</f>
        <v>0.12411910631579177</v>
      </c>
      <c r="AF73" s="156">
        <v>0.1162172882905136</v>
      </c>
      <c r="AG73" s="483">
        <f t="shared" ref="AG73" si="1213">AVERAGE(AF70:AF73)</f>
        <v>0.14572524212174959</v>
      </c>
      <c r="AH73" s="156">
        <v>0.11421166850690083</v>
      </c>
      <c r="AI73" s="483">
        <f t="shared" ref="AI73:AI109" si="1214">AVERAGE(AH70:AH73)</f>
        <v>0.11608978133491822</v>
      </c>
      <c r="AJ73" s="156">
        <v>0.11825910780320956</v>
      </c>
      <c r="AK73" s="158">
        <f t="shared" ref="AK73:AK109" si="1215">AVERAGE(AJ70:AJ73)</f>
        <v>0.10840389870935577</v>
      </c>
      <c r="AL73" s="74">
        <v>7644.9731143245763</v>
      </c>
      <c r="AM73" s="81">
        <f t="shared" si="102"/>
        <v>7748.7671877491348</v>
      </c>
      <c r="AN73" s="74">
        <v>7297.5250192111671</v>
      </c>
      <c r="AO73" s="81">
        <f t="shared" ref="AO73" si="1216">AVERAGE(AN70:AN73)</f>
        <v>7397.717242727068</v>
      </c>
      <c r="AP73" s="494">
        <v>7307.7933513027865</v>
      </c>
      <c r="AQ73" s="495">
        <f t="shared" ref="AQ73:AQ109" si="1217">AVERAGE(AP70:AP73)</f>
        <v>7421.0266966649533</v>
      </c>
      <c r="AR73" s="74">
        <v>7411.7492260061936</v>
      </c>
      <c r="AS73" s="81">
        <f t="shared" ref="AS73" si="1218">AVERAGE(AR70:AR73)</f>
        <v>7543.8212903002841</v>
      </c>
      <c r="AT73" s="74">
        <v>7265.2898734177224</v>
      </c>
      <c r="AU73" s="81">
        <f t="shared" ref="AU73:AU109" si="1219">AVERAGE(AT70:AT73)</f>
        <v>7361.9211966790735</v>
      </c>
      <c r="AV73" s="74">
        <v>7064.3786919227196</v>
      </c>
      <c r="AW73" s="99">
        <f t="shared" si="78"/>
        <v>6975.0388639477269</v>
      </c>
      <c r="AX73" s="105">
        <v>4.3193759061329224</v>
      </c>
      <c r="AY73" s="106">
        <f t="shared" si="105"/>
        <v>4.2667898464400595</v>
      </c>
      <c r="AZ73" s="105">
        <v>4.8093717122723385</v>
      </c>
      <c r="BA73" s="81">
        <f t="shared" ref="BA73" si="1220">AVERAGE(AZ70:AZ73)</f>
        <v>4.8220388286381404</v>
      </c>
      <c r="BB73" s="492">
        <v>4.7987421383647817</v>
      </c>
      <c r="BC73" s="493">
        <f t="shared" ref="BC73:BC109" si="1221">AVERAGE(BB70:BB73)</f>
        <v>4.8161693784524537</v>
      </c>
      <c r="BD73" s="105">
        <v>6.6532507739938094</v>
      </c>
      <c r="BE73" s="106">
        <f t="shared" ref="BE73" si="1222">AVERAGE(BD70:BD73)</f>
        <v>6.3864449368547422</v>
      </c>
      <c r="BF73" s="105">
        <v>4.040506329113926</v>
      </c>
      <c r="BG73" s="106">
        <f t="shared" ref="BG73:BG109" si="1223">AVERAGE(BF70:BF73)</f>
        <v>4.1328049858120135</v>
      </c>
      <c r="BH73" s="105">
        <v>5.0507201703351265</v>
      </c>
      <c r="BI73" s="107">
        <f t="shared" si="81"/>
        <v>5.044993455193385</v>
      </c>
      <c r="BJ73" s="487">
        <v>0.50864278311430666</v>
      </c>
      <c r="BK73" s="488">
        <f t="shared" si="108"/>
        <v>0.47747601655706429</v>
      </c>
      <c r="BL73" s="487">
        <v>0.67985105503287202</v>
      </c>
      <c r="BM73" s="489">
        <f t="shared" ref="BM73" si="1224">AVERAGE(BL70:BL73)</f>
        <v>0.65502367729507727</v>
      </c>
      <c r="BN73" s="487"/>
      <c r="BO73" s="489" t="e">
        <f t="shared" ref="BO73" si="1225">AVERAGE(BN70:BN73)</f>
        <v>#DIV/0!</v>
      </c>
      <c r="BP73" s="487">
        <v>0</v>
      </c>
      <c r="BQ73" s="489">
        <f t="shared" ref="BQ73" si="1226">AVERAGE(BP70:BP73)</f>
        <v>0</v>
      </c>
      <c r="BR73" s="487"/>
      <c r="BS73" s="489" t="e">
        <f t="shared" ref="BS73" si="1227">AVERAGE(BR70:BR73)</f>
        <v>#DIV/0!</v>
      </c>
      <c r="BT73" s="487">
        <v>0</v>
      </c>
      <c r="BU73" s="490">
        <f t="shared" si="86"/>
        <v>0</v>
      </c>
      <c r="BV73" s="74">
        <v>6137.9198804566022</v>
      </c>
      <c r="BW73" s="81">
        <f t="shared" si="113"/>
        <v>5687.307404235291</v>
      </c>
      <c r="BX73" s="74">
        <v>6988.5226810097665</v>
      </c>
      <c r="BY73" s="81">
        <f t="shared" ref="BY73" si="1228">AVERAGE(BX70:BX73)</f>
        <v>6764.6378857043146</v>
      </c>
      <c r="BZ73" s="494">
        <v>6966.4447439353144</v>
      </c>
      <c r="CA73" s="495">
        <f t="shared" ref="CA73:CA109" si="1229">AVERAGE(BZ70:BZ73)</f>
        <v>6698.2383289869331</v>
      </c>
      <c r="CB73" s="74">
        <v>9508.0247678018568</v>
      </c>
      <c r="CC73" s="81">
        <f t="shared" ref="CC73" si="1230">AVERAGE(CB70:CB73)</f>
        <v>9010.3154476744858</v>
      </c>
      <c r="CD73" s="74">
        <v>5927.2924050632964</v>
      </c>
      <c r="CE73" s="81">
        <f t="shared" ref="CE73:CE109" si="1231">AVERAGE(CD70:CD73)</f>
        <v>5673.2368068648348</v>
      </c>
      <c r="CF73" s="74">
        <v>7489.8105140374419</v>
      </c>
      <c r="CG73" s="99">
        <f t="shared" si="89"/>
        <v>7992.1299161502156</v>
      </c>
      <c r="CH73" s="156">
        <v>3.0686538854365116E-2</v>
      </c>
      <c r="CI73" s="157">
        <f t="shared" si="113"/>
        <v>2.5729580207988243E-2</v>
      </c>
      <c r="CJ73" s="156">
        <v>3.840652520843215E-2</v>
      </c>
      <c r="CK73" s="81">
        <f t="shared" ref="CK73" si="1232">AVERAGE(CJ70:CJ73)</f>
        <v>3.6016932029656473E-2</v>
      </c>
      <c r="CL73" s="491">
        <v>3.8634321653189592E-2</v>
      </c>
      <c r="CM73" s="483">
        <f t="shared" ref="CM73:CM109" si="1233">AVERAGE(CL70:CL73)</f>
        <v>3.6340503130172473E-2</v>
      </c>
      <c r="CN73" s="156">
        <v>6.8111455108359142E-2</v>
      </c>
      <c r="CO73" s="483">
        <f t="shared" ref="CO73" si="1234">AVERAGE(CN70:CN73)</f>
        <v>6.1469599893037213E-2</v>
      </c>
      <c r="CP73" s="156">
        <v>2.6582278481012672E-2</v>
      </c>
      <c r="CQ73" s="483">
        <f t="shared" ref="CQ73:CQ109" si="1235">AVERAGE(CP70:CP73)</f>
        <v>2.5032363235251556E-2</v>
      </c>
      <c r="CR73" s="156">
        <v>3.3234321583665627E-2</v>
      </c>
      <c r="CS73" s="158">
        <f t="shared" si="92"/>
        <v>3.4102897755420768E-2</v>
      </c>
      <c r="CT73" s="105">
        <v>41.826525323493982</v>
      </c>
      <c r="CU73" s="106">
        <f t="shared" si="118"/>
        <v>40.606297738331484</v>
      </c>
      <c r="CV73" s="105">
        <v>44.195500916093067</v>
      </c>
      <c r="CW73" s="81">
        <f t="shared" ref="CW73" si="1236">AVERAGE(CV70:CV73)</f>
        <v>43.643351125553281</v>
      </c>
      <c r="CX73" s="492">
        <v>44.021563342318082</v>
      </c>
      <c r="CY73" s="493">
        <f t="shared" ref="CY73:CY109" si="1237">AVERAGE(CX70:CX73)</f>
        <v>43.382874688859367</v>
      </c>
      <c r="CZ73" s="105">
        <v>49.281733746130044</v>
      </c>
      <c r="DA73" s="106">
        <f t="shared" ref="DA73" si="1238">AVERAGE(CZ70:CZ73)</f>
        <v>47.859699135847976</v>
      </c>
      <c r="DB73" s="105">
        <v>41.870886075949393</v>
      </c>
      <c r="DC73" s="106">
        <f t="shared" ref="DC73:DC109" si="1239">AVERAGE(DB70:DB73)</f>
        <v>41.468789359566834</v>
      </c>
      <c r="DD73" s="105">
        <v>48.14481869636014</v>
      </c>
      <c r="DE73" s="107">
        <f t="shared" si="95"/>
        <v>48.208968102544226</v>
      </c>
    </row>
    <row r="74" spans="1:109" x14ac:dyDescent="0.25">
      <c r="A74" s="155">
        <f t="shared" si="1165"/>
        <v>45639</v>
      </c>
      <c r="B74" s="74">
        <v>39.271264514116936</v>
      </c>
      <c r="C74" s="81">
        <f t="shared" si="96"/>
        <v>39.689022718890484</v>
      </c>
      <c r="D74" s="74">
        <v>40.266726634117397</v>
      </c>
      <c r="E74" s="81">
        <f t="shared" si="1202"/>
        <v>40.348727976510716</v>
      </c>
      <c r="F74" s="74">
        <v>40.282520325203279</v>
      </c>
      <c r="G74" s="81">
        <f t="shared" si="1202"/>
        <v>40.348378387534495</v>
      </c>
      <c r="H74" s="74">
        <v>43.032894736842138</v>
      </c>
      <c r="I74" s="81">
        <f t="shared" ref="I74" si="1240">AVERAGE(H71:H74)</f>
        <v>42.792062176508388</v>
      </c>
      <c r="J74" s="74">
        <v>39.052941176470618</v>
      </c>
      <c r="K74" s="81">
        <f t="shared" si="1204"/>
        <v>39.2928710963659</v>
      </c>
      <c r="L74" s="74">
        <v>39.898437500000028</v>
      </c>
      <c r="M74" s="99">
        <f t="shared" ref="M74" si="1241">AVERAGE(L71:L74)</f>
        <v>40.402552776393804</v>
      </c>
      <c r="N74" s="156">
        <v>7.1032899618931639E-2</v>
      </c>
      <c r="O74" s="157">
        <f t="shared" si="96"/>
        <v>6.751090443496266E-2</v>
      </c>
      <c r="P74" s="156">
        <v>7.8578771524224364E-2</v>
      </c>
      <c r="Q74" s="157">
        <f t="shared" si="1206"/>
        <v>7.5642047554255007E-2</v>
      </c>
      <c r="R74" s="491">
        <v>7.92682926829269E-2</v>
      </c>
      <c r="S74" s="483">
        <f t="shared" si="1207"/>
        <v>7.6611156078433718E-2</v>
      </c>
      <c r="T74" s="156">
        <v>9.8684210526315874E-2</v>
      </c>
      <c r="U74" s="157">
        <f t="shared" si="1208"/>
        <v>8.9106658534015004E-2</v>
      </c>
      <c r="V74" s="156">
        <v>7.0588235294117702E-2</v>
      </c>
      <c r="W74" s="157">
        <f t="shared" si="1209"/>
        <v>7.0943731731715809E-2</v>
      </c>
      <c r="X74" s="156">
        <v>6.2500000000000042E-2</v>
      </c>
      <c r="Y74" s="158">
        <f t="shared" si="1210"/>
        <v>5.6000339467747726E-2</v>
      </c>
      <c r="Z74" s="156">
        <v>0.11814930903335245</v>
      </c>
      <c r="AA74" s="157">
        <f t="shared" si="99"/>
        <v>0.12413080152955745</v>
      </c>
      <c r="AB74" s="156">
        <v>0.12117631679100328</v>
      </c>
      <c r="AC74" s="81">
        <f t="shared" ref="AC74" si="1242">AVERAGE(AB71:AB74)</f>
        <v>0.12579092167574477</v>
      </c>
      <c r="AD74" s="491">
        <v>0.12189803133130887</v>
      </c>
      <c r="AE74" s="483">
        <f t="shared" si="1212"/>
        <v>0.12690756874667941</v>
      </c>
      <c r="AF74" s="156">
        <v>0.16937447469926484</v>
      </c>
      <c r="AG74" s="483">
        <f t="shared" ref="AG74" si="1243">AVERAGE(AF71:AF74)</f>
        <v>0.15018692741902326</v>
      </c>
      <c r="AH74" s="156">
        <v>0.10614116307526102</v>
      </c>
      <c r="AI74" s="483">
        <f t="shared" si="1214"/>
        <v>0.11844777096656188</v>
      </c>
      <c r="AJ74" s="156">
        <v>0.10667546464223104</v>
      </c>
      <c r="AK74" s="158">
        <f t="shared" si="1215"/>
        <v>0.10741818389585293</v>
      </c>
      <c r="AL74" s="74">
        <v>7631.0501532613789</v>
      </c>
      <c r="AM74" s="81">
        <f t="shared" si="102"/>
        <v>7733.9902380616613</v>
      </c>
      <c r="AN74" s="74">
        <v>7298.0184774696727</v>
      </c>
      <c r="AO74" s="81">
        <f t="shared" ref="AO74" si="1244">AVERAGE(AN71:AN74)</f>
        <v>7346.8921707350009</v>
      </c>
      <c r="AP74" s="494">
        <v>7299.059959349599</v>
      </c>
      <c r="AQ74" s="495">
        <f t="shared" si="1217"/>
        <v>7358.0804101702561</v>
      </c>
      <c r="AR74" s="74">
        <v>7598.6743421052697</v>
      </c>
      <c r="AS74" s="81">
        <f t="shared" ref="AS74" si="1245">AVERAGE(AR71:AR74)</f>
        <v>7560.4326469109383</v>
      </c>
      <c r="AT74" s="74">
        <v>7165.1147058823581</v>
      </c>
      <c r="AU74" s="81">
        <f t="shared" si="1219"/>
        <v>7263.4117907123855</v>
      </c>
      <c r="AV74" s="74">
        <v>7273.7324218750027</v>
      </c>
      <c r="AW74" s="99">
        <f t="shared" si="78"/>
        <v>7047.1352351971227</v>
      </c>
      <c r="AX74" s="105">
        <v>4.3019379620022482</v>
      </c>
      <c r="AY74" s="106">
        <f t="shared" si="105"/>
        <v>4.2789909251873377</v>
      </c>
      <c r="AZ74" s="105">
        <v>4.8113541934354505</v>
      </c>
      <c r="BA74" s="81">
        <f t="shared" ref="BA74" si="1246">AVERAGE(AZ71:AZ74)</f>
        <v>4.7972858325460308</v>
      </c>
      <c r="BB74" s="492">
        <v>4.802845528455288</v>
      </c>
      <c r="BC74" s="493">
        <f t="shared" si="1221"/>
        <v>4.7873268572205498</v>
      </c>
      <c r="BD74" s="105">
        <v>6.4013157894736894</v>
      </c>
      <c r="BE74" s="106">
        <f t="shared" ref="BE74" si="1247">AVERAGE(BD71:BD74)</f>
        <v>6.3622758922552913</v>
      </c>
      <c r="BF74" s="105">
        <v>4.0882352941176503</v>
      </c>
      <c r="BG74" s="106">
        <f t="shared" si="1223"/>
        <v>4.101548397155045</v>
      </c>
      <c r="BH74" s="105">
        <v>5.0097656250000027</v>
      </c>
      <c r="BI74" s="107">
        <f t="shared" si="81"/>
        <v>5.0205139089105861</v>
      </c>
      <c r="BJ74" s="487">
        <v>0.49421743686072289</v>
      </c>
      <c r="BK74" s="488">
        <f t="shared" si="108"/>
        <v>0.48202815325110365</v>
      </c>
      <c r="BL74" s="487">
        <v>0.66264028099833427</v>
      </c>
      <c r="BM74" s="489">
        <f t="shared" ref="BM74" si="1248">AVERAGE(BL71:BL74)</f>
        <v>0.66189829459169658</v>
      </c>
      <c r="BN74" s="487"/>
      <c r="BO74" s="489" t="e">
        <f t="shared" ref="BO74" si="1249">AVERAGE(BN71:BN74)</f>
        <v>#DIV/0!</v>
      </c>
      <c r="BP74" s="487">
        <v>0</v>
      </c>
      <c r="BQ74" s="489">
        <f t="shared" ref="BQ74" si="1250">AVERAGE(BP71:BP74)</f>
        <v>0</v>
      </c>
      <c r="BR74" s="487"/>
      <c r="BS74" s="489" t="e">
        <f t="shared" ref="BS74" si="1251">AVERAGE(BR71:BR74)</f>
        <v>#DIV/0!</v>
      </c>
      <c r="BT74" s="487">
        <v>0</v>
      </c>
      <c r="BU74" s="490">
        <f t="shared" si="86"/>
        <v>0</v>
      </c>
      <c r="BV74" s="74">
        <v>5539.4196009143243</v>
      </c>
      <c r="BW74" s="81">
        <f t="shared" si="113"/>
        <v>5676.7286504611529</v>
      </c>
      <c r="BX74" s="74">
        <v>6511.6963719605255</v>
      </c>
      <c r="BY74" s="81">
        <f t="shared" ref="BY74" si="1252">AVERAGE(BX71:BX74)</f>
        <v>6748.5163768921975</v>
      </c>
      <c r="BZ74" s="494">
        <v>6479.8465447154513</v>
      </c>
      <c r="CA74" s="495">
        <f t="shared" si="1229"/>
        <v>6702.1222080406396</v>
      </c>
      <c r="CB74" s="74">
        <v>8680.4703947368489</v>
      </c>
      <c r="CC74" s="81">
        <f t="shared" ref="CC74" si="1253">AVERAGE(CB71:CB74)</f>
        <v>9180.3838495715481</v>
      </c>
      <c r="CD74" s="74">
        <v>5496.0382352941215</v>
      </c>
      <c r="CE74" s="81">
        <f t="shared" si="1231"/>
        <v>5602.510702605925</v>
      </c>
      <c r="CF74" s="74">
        <v>7254.3945312500055</v>
      </c>
      <c r="CG74" s="99">
        <f t="shared" si="89"/>
        <v>7782.1046451042994</v>
      </c>
      <c r="CH74" s="156">
        <v>2.1677670227772852E-2</v>
      </c>
      <c r="CI74" s="157">
        <f t="shared" si="113"/>
        <v>2.573853830901365E-2</v>
      </c>
      <c r="CJ74" s="156">
        <v>2.9062794483110249E-2</v>
      </c>
      <c r="CK74" s="81">
        <f t="shared" ref="CK74" si="1254">AVERAGE(CJ71:CJ74)</f>
        <v>3.4793465886064454E-2</v>
      </c>
      <c r="CL74" s="491">
        <v>2.9471544715447173E-2</v>
      </c>
      <c r="CM74" s="483">
        <f t="shared" si="1233"/>
        <v>3.5034287698129669E-2</v>
      </c>
      <c r="CN74" s="156">
        <v>5.5921052631578989E-2</v>
      </c>
      <c r="CO74" s="483">
        <f t="shared" ref="CO74" si="1255">AVERAGE(CN71:CN74)</f>
        <v>6.4405686344104651E-2</v>
      </c>
      <c r="CP74" s="156">
        <v>1.7647058823529422E-2</v>
      </c>
      <c r="CQ74" s="483">
        <f t="shared" si="1235"/>
        <v>2.1827640485936769E-2</v>
      </c>
      <c r="CR74" s="156">
        <v>1.9531250000000014E-2</v>
      </c>
      <c r="CS74" s="158">
        <f t="shared" si="92"/>
        <v>2.9725923751533496E-2</v>
      </c>
      <c r="CT74" s="105">
        <v>42.643833211796426</v>
      </c>
      <c r="CU74" s="106">
        <f t="shared" si="118"/>
        <v>41.042509772454018</v>
      </c>
      <c r="CV74" s="105">
        <v>45.714303306761778</v>
      </c>
      <c r="CW74" s="81">
        <f t="shared" ref="CW74" si="1256">AVERAGE(CV71:CV74)</f>
        <v>44.401519810052775</v>
      </c>
      <c r="CX74" s="492">
        <v>45.66260162601629</v>
      </c>
      <c r="CY74" s="493">
        <f t="shared" si="1237"/>
        <v>44.22975186116269</v>
      </c>
      <c r="CZ74" s="105">
        <v>49.513157894736878</v>
      </c>
      <c r="DA74" s="106">
        <f t="shared" ref="DA74" si="1257">AVERAGE(CZ71:CZ74)</f>
        <v>48.408671340455882</v>
      </c>
      <c r="DB74" s="105">
        <v>43.941176470588267</v>
      </c>
      <c r="DC74" s="106">
        <f t="shared" si="1239"/>
        <v>42.447811075780194</v>
      </c>
      <c r="DD74" s="105">
        <v>46.919921875000036</v>
      </c>
      <c r="DE74" s="107">
        <f t="shared" si="95"/>
        <v>47.944127009857155</v>
      </c>
    </row>
    <row r="75" spans="1:109" x14ac:dyDescent="0.25">
      <c r="A75" s="155">
        <f t="shared" si="1165"/>
        <v>45646</v>
      </c>
      <c r="B75" s="74">
        <v>38.635490450434936</v>
      </c>
      <c r="C75" s="81">
        <f t="shared" si="96"/>
        <v>39.429504453613241</v>
      </c>
      <c r="D75" s="74">
        <v>39.503239056570678</v>
      </c>
      <c r="E75" s="81">
        <f t="shared" si="1202"/>
        <v>40.085743064011155</v>
      </c>
      <c r="F75" s="74">
        <v>39.475206611570272</v>
      </c>
      <c r="G75" s="81">
        <f t="shared" si="1202"/>
        <v>40.072082001211371</v>
      </c>
      <c r="H75" s="74">
        <v>40.87455197132617</v>
      </c>
      <c r="I75" s="81">
        <f t="shared" ref="I75" si="1258">AVERAGE(H72:H75)</f>
        <v>42.521538319628945</v>
      </c>
      <c r="J75" s="74">
        <v>38.908563134978259</v>
      </c>
      <c r="K75" s="81">
        <f t="shared" si="1204"/>
        <v>39.051540070021439</v>
      </c>
      <c r="L75" s="74">
        <v>40.218777166075938</v>
      </c>
      <c r="M75" s="99">
        <f t="shared" ref="M75" si="1259">AVERAGE(L72:L75)</f>
        <v>40.4167476769262</v>
      </c>
      <c r="N75" s="156">
        <v>7.2470149745187715E-2</v>
      </c>
      <c r="O75" s="157">
        <f t="shared" si="96"/>
        <v>6.7240189699446326E-2</v>
      </c>
      <c r="P75" s="156">
        <v>8.0244485956876443E-2</v>
      </c>
      <c r="Q75" s="157">
        <f t="shared" si="1206"/>
        <v>7.5972171723897142E-2</v>
      </c>
      <c r="R75" s="491">
        <v>8.0578512396694266E-2</v>
      </c>
      <c r="S75" s="483">
        <f t="shared" si="1207"/>
        <v>7.6657744961921015E-2</v>
      </c>
      <c r="T75" s="156">
        <v>0.10035842293906813</v>
      </c>
      <c r="U75" s="157">
        <f t="shared" si="1208"/>
        <v>9.0352333632943871E-2</v>
      </c>
      <c r="V75" s="156">
        <v>7.2568940493468861E-2</v>
      </c>
      <c r="W75" s="157">
        <f t="shared" si="1209"/>
        <v>7.0910892671106757E-2</v>
      </c>
      <c r="X75" s="156">
        <v>7.171834250886136E-2</v>
      </c>
      <c r="Y75" s="158">
        <f t="shared" si="1210"/>
        <v>5.9922616934183541E-2</v>
      </c>
      <c r="Z75" s="156">
        <v>0.11432221993145993</v>
      </c>
      <c r="AA75" s="157">
        <f t="shared" si="99"/>
        <v>0.12045186230617151</v>
      </c>
      <c r="AB75" s="156">
        <v>0.11156252642486347</v>
      </c>
      <c r="AC75" s="81">
        <f t="shared" ref="AC75" si="1260">AVERAGE(AB72:AB75)</f>
        <v>0.1194965705377342</v>
      </c>
      <c r="AD75" s="491">
        <v>0.1101008439626221</v>
      </c>
      <c r="AE75" s="483">
        <f t="shared" si="1212"/>
        <v>0.1196915608199593</v>
      </c>
      <c r="AF75" s="156">
        <v>0.15158814130174106</v>
      </c>
      <c r="AG75" s="483">
        <f t="shared" ref="AG75" si="1261">AVERAGE(AF72:AF75)</f>
        <v>0.14433409551918661</v>
      </c>
      <c r="AH75" s="156">
        <v>9.6637211037911619E-2</v>
      </c>
      <c r="AI75" s="483">
        <f t="shared" si="1214"/>
        <v>0.11164366729587773</v>
      </c>
      <c r="AJ75" s="156">
        <v>0.14350870199804397</v>
      </c>
      <c r="AK75" s="158">
        <f t="shared" si="1215"/>
        <v>0.11642120810714851</v>
      </c>
      <c r="AL75" s="74">
        <v>7702.4826675143504</v>
      </c>
      <c r="AM75" s="81">
        <f t="shared" si="102"/>
        <v>7737.6359119733852</v>
      </c>
      <c r="AN75" s="74">
        <v>7437.4970668283659</v>
      </c>
      <c r="AO75" s="81">
        <f t="shared" ref="AO75" si="1262">AVERAGE(AN72:AN75)</f>
        <v>7342.2253707458822</v>
      </c>
      <c r="AP75" s="494">
        <v>7452.4008264462864</v>
      </c>
      <c r="AQ75" s="495">
        <f t="shared" si="1217"/>
        <v>7353.1744893308469</v>
      </c>
      <c r="AR75" s="74">
        <v>7665.4121863799301</v>
      </c>
      <c r="AS75" s="81">
        <f t="shared" ref="AS75" si="1263">AVERAGE(AR72:AR75)</f>
        <v>7520.9916183614114</v>
      </c>
      <c r="AT75" s="74">
        <v>7366.1451378809925</v>
      </c>
      <c r="AU75" s="81">
        <f t="shared" si="1219"/>
        <v>7282.0081642034038</v>
      </c>
      <c r="AV75" s="74">
        <v>7057.0733120907707</v>
      </c>
      <c r="AW75" s="99">
        <f t="shared" ref="AW75:AW109" si="1264">AVERAGE(AV69:AV75)</f>
        <v>7064.4801356221478</v>
      </c>
      <c r="AX75" s="105">
        <v>3.9899131189921659</v>
      </c>
      <c r="AY75" s="106">
        <f t="shared" si="105"/>
        <v>4.209326155726469</v>
      </c>
      <c r="AZ75" s="105">
        <v>4.5251695998403854</v>
      </c>
      <c r="BA75" s="81">
        <f t="shared" ref="BA75" si="1265">AVERAGE(AZ72:AZ75)</f>
        <v>4.7065630663031364</v>
      </c>
      <c r="BB75" s="492">
        <v>4.5196280991735565</v>
      </c>
      <c r="BC75" s="493">
        <f t="shared" si="1221"/>
        <v>4.6934593722100173</v>
      </c>
      <c r="BD75" s="105">
        <v>6.2508960573476715</v>
      </c>
      <c r="BE75" s="106">
        <f t="shared" ref="BE75" si="1266">AVERAGE(BD72:BD75)</f>
        <v>6.4170519297135966</v>
      </c>
      <c r="BF75" s="105">
        <v>3.8185776487663312</v>
      </c>
      <c r="BG75" s="106">
        <f t="shared" si="1223"/>
        <v>3.9782996342724428</v>
      </c>
      <c r="BH75" s="105">
        <v>4.6666183714658453</v>
      </c>
      <c r="BI75" s="107">
        <f t="shared" ref="BI75:BI109" si="1267">AVERAGE(BH69:BH75)</f>
        <v>4.9742190431839637</v>
      </c>
      <c r="BJ75" s="487">
        <v>0.49589032734698651</v>
      </c>
      <c r="BK75" s="488">
        <f t="shared" si="108"/>
        <v>0.48136554969123896</v>
      </c>
      <c r="BL75" s="487">
        <v>0.68593714155363195</v>
      </c>
      <c r="BM75" s="489">
        <f t="shared" ref="BM75" si="1268">AVERAGE(BL72:BL75)</f>
        <v>0.67814160895877373</v>
      </c>
      <c r="BN75" s="487"/>
      <c r="BO75" s="489" t="e">
        <f t="shared" ref="BO75" si="1269">AVERAGE(BN72:BN75)</f>
        <v>#DIV/0!</v>
      </c>
      <c r="BP75" s="487">
        <v>0</v>
      </c>
      <c r="BQ75" s="489">
        <f t="shared" ref="BQ75" si="1270">AVERAGE(BP72:BP75)</f>
        <v>0</v>
      </c>
      <c r="BR75" s="487"/>
      <c r="BS75" s="489" t="e">
        <f t="shared" ref="BS75" si="1271">AVERAGE(BR72:BR75)</f>
        <v>#DIV/0!</v>
      </c>
      <c r="BT75" s="487">
        <v>2.6369168364549667E-2</v>
      </c>
      <c r="BU75" s="490">
        <f t="shared" ref="BU75:BU109" si="1272">AVERAGE(BT69:BT75)</f>
        <v>3.7670240520785237E-3</v>
      </c>
      <c r="BV75" s="74">
        <v>5668.9074402850838</v>
      </c>
      <c r="BW75" s="81">
        <f t="shared" si="113"/>
        <v>5644.7768130655331</v>
      </c>
      <c r="BX75" s="74">
        <v>6824.0082806188957</v>
      </c>
      <c r="BY75" s="81">
        <f t="shared" ref="BY75" si="1273">AVERAGE(BX72:BX75)</f>
        <v>6718.5126300027114</v>
      </c>
      <c r="BZ75" s="494">
        <v>6811.9876033057899</v>
      </c>
      <c r="CA75" s="495">
        <f t="shared" si="1229"/>
        <v>6680.7546480827732</v>
      </c>
      <c r="CB75" s="74">
        <v>8849.8566308243735</v>
      </c>
      <c r="CC75" s="81">
        <f t="shared" ref="CC75" si="1274">AVERAGE(CB72:CB75)</f>
        <v>8999.7374581446929</v>
      </c>
      <c r="CD75" s="74">
        <v>5986.7837445573341</v>
      </c>
      <c r="CE75" s="81">
        <f t="shared" si="1231"/>
        <v>5718.1450660449618</v>
      </c>
      <c r="CF75" s="74">
        <v>7130.8403360985403</v>
      </c>
      <c r="CG75" s="99">
        <f t="shared" ref="CG75:CG109" si="1275">AVERAGE(CF69:CF75)</f>
        <v>7636.9581280507427</v>
      </c>
      <c r="CH75" s="156">
        <v>2.0716968841815276E-2</v>
      </c>
      <c r="CI75" s="157">
        <f t="shared" si="113"/>
        <v>2.4613245549526801E-2</v>
      </c>
      <c r="CJ75" s="156">
        <v>2.8654453293200287E-2</v>
      </c>
      <c r="CK75" s="81">
        <f t="shared" ref="CK75" si="1276">AVERAGE(CJ72:CJ75)</f>
        <v>3.2091580549576032E-2</v>
      </c>
      <c r="CL75" s="491">
        <v>2.8925619834710765E-2</v>
      </c>
      <c r="CM75" s="483">
        <f t="shared" si="1233"/>
        <v>3.2216673048964223E-2</v>
      </c>
      <c r="CN75" s="156">
        <v>5.7347670250896071E-2</v>
      </c>
      <c r="CO75" s="483">
        <f t="shared" ref="CO75" si="1277">AVERAGE(CN72:CN75)</f>
        <v>5.9233933386597444E-2</v>
      </c>
      <c r="CP75" s="156">
        <v>1.7416545718432524E-2</v>
      </c>
      <c r="CQ75" s="483">
        <f t="shared" si="1235"/>
        <v>2.0988898577265967E-2</v>
      </c>
      <c r="CR75" s="156">
        <v>2.1732831063291314E-2</v>
      </c>
      <c r="CS75" s="158">
        <f t="shared" ref="CS75:CS109" si="1278">AVERAGE(CR69:CR75)</f>
        <v>2.8038721565022708E-2</v>
      </c>
      <c r="CT75" s="105">
        <v>41.645150202935127</v>
      </c>
      <c r="CU75" s="106">
        <f t="shared" si="118"/>
        <v>41.203433805345263</v>
      </c>
      <c r="CV75" s="105">
        <v>44.219960890960628</v>
      </c>
      <c r="CW75" s="81">
        <f t="shared" ref="CW75" si="1279">AVERAGE(CV72:CV75)</f>
        <v>44.516562957574394</v>
      </c>
      <c r="CX75" s="492">
        <v>44.111570247933919</v>
      </c>
      <c r="CY75" s="493">
        <f t="shared" si="1237"/>
        <v>44.38362481530303</v>
      </c>
      <c r="CZ75" s="105">
        <v>49.913978494623663</v>
      </c>
      <c r="DA75" s="106">
        <f t="shared" ref="DA75" si="1280">AVERAGE(CZ72:CZ75)</f>
        <v>49.562021455441283</v>
      </c>
      <c r="DB75" s="105">
        <v>41.761973875181454</v>
      </c>
      <c r="DC75" s="106">
        <f t="shared" si="1239"/>
        <v>42.245871310154186</v>
      </c>
      <c r="DD75" s="105">
        <v>46.986670530389794</v>
      </c>
      <c r="DE75" s="107">
        <f t="shared" ref="DE75:DE109" si="1281">AVERAGE(DD69:DD75)</f>
        <v>47.704413667777224</v>
      </c>
    </row>
    <row r="76" spans="1:109" x14ac:dyDescent="0.25">
      <c r="A76" s="155">
        <f t="shared" si="1165"/>
        <v>45653</v>
      </c>
      <c r="B76" s="74">
        <v>38.936482975544983</v>
      </c>
      <c r="C76" s="81">
        <f t="shared" ref="C76:O104" si="1282">AVERAGE(B70:B76)</f>
        <v>39.298886161736711</v>
      </c>
      <c r="D76" s="74">
        <v>40.044859120972227</v>
      </c>
      <c r="E76" s="81">
        <f t="shared" si="1202"/>
        <v>39.999233716359186</v>
      </c>
      <c r="F76" s="74">
        <v>40.010512483574267</v>
      </c>
      <c r="G76" s="81">
        <f t="shared" si="1202"/>
        <v>39.982715740082469</v>
      </c>
      <c r="H76" s="74">
        <v>43.202702702702702</v>
      </c>
      <c r="I76" s="81">
        <f t="shared" ref="I76" si="1283">AVERAGE(H73:H76)</f>
        <v>42.429240139095462</v>
      </c>
      <c r="J76" s="74">
        <v>38.695732838590011</v>
      </c>
      <c r="K76" s="81">
        <f t="shared" si="1204"/>
        <v>38.955132072319856</v>
      </c>
      <c r="L76" s="74">
        <v>41.07119741100324</v>
      </c>
      <c r="M76" s="99">
        <f t="shared" ref="M76" si="1284">AVERAGE(L73:L76)</f>
        <v>40.453242681850924</v>
      </c>
      <c r="N76" s="156">
        <v>6.5842890818257699E-2</v>
      </c>
      <c r="O76" s="157">
        <f t="shared" si="1282"/>
        <v>6.6828233767958517E-2</v>
      </c>
      <c r="P76" s="156">
        <v>6.0585313371066603E-2</v>
      </c>
      <c r="Q76" s="157">
        <f t="shared" si="1206"/>
        <v>7.2625651785724846E-2</v>
      </c>
      <c r="R76" s="491">
        <v>6.0446780551905423E-2</v>
      </c>
      <c r="S76" s="483">
        <f t="shared" si="1207"/>
        <v>7.3042848339597746E-2</v>
      </c>
      <c r="T76" s="156">
        <v>5.8558558558558543E-2</v>
      </c>
      <c r="U76" s="157">
        <f t="shared" si="1208"/>
        <v>8.3750143207224015E-2</v>
      </c>
      <c r="V76" s="156">
        <v>6.1224489795918421E-2</v>
      </c>
      <c r="W76" s="157">
        <f t="shared" si="1209"/>
        <v>6.8500479687015503E-2</v>
      </c>
      <c r="X76" s="156">
        <v>6.4724919093851141E-2</v>
      </c>
      <c r="Y76" s="158">
        <f t="shared" si="1210"/>
        <v>6.306036844677676E-2</v>
      </c>
      <c r="Z76" s="156">
        <v>0.10480056454935734</v>
      </c>
      <c r="AA76" s="157">
        <f t="shared" ref="AA76:AA104" si="1285">AVERAGE(Z70:Z76)</f>
        <v>0.11627204361993949</v>
      </c>
      <c r="AB76" s="156">
        <v>8.7948631140110201E-2</v>
      </c>
      <c r="AC76" s="81">
        <f t="shared" ref="AC76" si="1286">AVERAGE(AB73:AB76)</f>
        <v>0.10889026519025034</v>
      </c>
      <c r="AD76" s="491">
        <v>8.5995459894650642E-2</v>
      </c>
      <c r="AE76" s="483">
        <f t="shared" si="1212"/>
        <v>0.10817358123217999</v>
      </c>
      <c r="AF76" s="156">
        <v>8.5943476274651154E-2</v>
      </c>
      <c r="AG76" s="483">
        <f t="shared" ref="AG76" si="1287">AVERAGE(AF73:AF76)</f>
        <v>0.13078084514154267</v>
      </c>
      <c r="AH76" s="156">
        <v>8.6011852507488357E-2</v>
      </c>
      <c r="AI76" s="483">
        <f t="shared" si="1214"/>
        <v>0.10075047378189045</v>
      </c>
      <c r="AJ76" s="156">
        <v>0.13998323562395346</v>
      </c>
      <c r="AK76" s="158">
        <f t="shared" si="1215"/>
        <v>0.1271066275168595</v>
      </c>
      <c r="AL76" s="74">
        <v>7620.5753792350251</v>
      </c>
      <c r="AM76" s="81">
        <f t="shared" ref="AM76:AM104" si="1288">AVERAGE(AL70:AL76)</f>
        <v>7705.5037742224949</v>
      </c>
      <c r="AN76" s="74">
        <v>7315.04168733607</v>
      </c>
      <c r="AO76" s="81">
        <f t="shared" ref="AO76" si="1289">AVERAGE(AN73:AN76)</f>
        <v>7337.0205627113182</v>
      </c>
      <c r="AP76" s="494">
        <v>7320.5072273324613</v>
      </c>
      <c r="AQ76" s="495">
        <f t="shared" si="1217"/>
        <v>7344.9403411077838</v>
      </c>
      <c r="AR76" s="74">
        <v>7546.072072072071</v>
      </c>
      <c r="AS76" s="81">
        <f t="shared" ref="AS76" si="1290">AVERAGE(AR73:AR76)</f>
        <v>7555.4769566408659</v>
      </c>
      <c r="AT76" s="74">
        <v>7227.6029684601162</v>
      </c>
      <c r="AU76" s="81">
        <f t="shared" si="1219"/>
        <v>7256.0381714102969</v>
      </c>
      <c r="AV76" s="74">
        <v>7151.7216828478977</v>
      </c>
      <c r="AW76" s="99">
        <f t="shared" si="1264"/>
        <v>7089.1941893798185</v>
      </c>
      <c r="AX76" s="105">
        <v>4.3090684546992311</v>
      </c>
      <c r="AY76" s="106">
        <f t="shared" ref="AY76:AY104" si="1291">AVERAGE(AX70:AX76)</f>
        <v>4.2333672545404939</v>
      </c>
      <c r="AZ76" s="105">
        <v>4.8648637319468095</v>
      </c>
      <c r="BA76" s="81">
        <f t="shared" ref="BA76" si="1292">AVERAGE(AZ73:AZ76)</f>
        <v>4.752689809373746</v>
      </c>
      <c r="BB76" s="492">
        <v>4.8567674113009218</v>
      </c>
      <c r="BC76" s="493">
        <f t="shared" si="1221"/>
        <v>4.7444957943236368</v>
      </c>
      <c r="BD76" s="105">
        <v>6.9774774774774757</v>
      </c>
      <c r="BE76" s="106">
        <f t="shared" ref="BE76" si="1293">AVERAGE(BD73:BD76)</f>
        <v>6.5707350245731613</v>
      </c>
      <c r="BF76" s="105">
        <v>3.9833024118738432</v>
      </c>
      <c r="BG76" s="106">
        <f t="shared" si="1223"/>
        <v>3.9826554209679377</v>
      </c>
      <c r="BH76" s="105">
        <v>5.1067961165048539</v>
      </c>
      <c r="BI76" s="107">
        <f t="shared" si="1267"/>
        <v>4.965857458384181</v>
      </c>
      <c r="BJ76" s="487">
        <v>0.52360950087368352</v>
      </c>
      <c r="BK76" s="488">
        <f t="shared" ref="BK76:BK104" si="1294">AVERAGE(BJ70:BJ76)</f>
        <v>0.49118828652466689</v>
      </c>
      <c r="BL76" s="487">
        <v>0.68534341226191908</v>
      </c>
      <c r="BM76" s="489">
        <f t="shared" ref="BM76" si="1295">AVERAGE(BL73:BL76)</f>
        <v>0.67844297246168939</v>
      </c>
      <c r="BN76" s="487"/>
      <c r="BO76" s="489" t="e">
        <f t="shared" ref="BO76" si="1296">AVERAGE(BN73:BN76)</f>
        <v>#DIV/0!</v>
      </c>
      <c r="BP76" s="487">
        <v>0</v>
      </c>
      <c r="BQ76" s="489">
        <f t="shared" ref="BQ76" si="1297">AVERAGE(BP73:BP76)</f>
        <v>0</v>
      </c>
      <c r="BR76" s="487"/>
      <c r="BS76" s="489" t="e">
        <f t="shared" ref="BS76" si="1298">AVERAGE(BR73:BR76)</f>
        <v>#DIV/0!</v>
      </c>
      <c r="BT76" s="487">
        <v>0</v>
      </c>
      <c r="BU76" s="490">
        <f t="shared" si="1272"/>
        <v>3.7670240520785237E-3</v>
      </c>
      <c r="BV76" s="74">
        <v>6023.7036768184189</v>
      </c>
      <c r="BW76" s="81">
        <f t="shared" ref="BW76:CI104" si="1299">AVERAGE(BV70:BV76)</f>
        <v>5731.7223058092204</v>
      </c>
      <c r="BX76" s="74">
        <v>6998.1468592886358</v>
      </c>
      <c r="BY76" s="81">
        <f t="shared" ref="BY76" si="1300">AVERAGE(BX73:BX76)</f>
        <v>6830.5935482194564</v>
      </c>
      <c r="BZ76" s="494">
        <v>6948.9829172141963</v>
      </c>
      <c r="CA76" s="495">
        <f t="shared" si="1229"/>
        <v>6801.8154522926889</v>
      </c>
      <c r="CB76" s="74">
        <v>9116.3648648648632</v>
      </c>
      <c r="CC76" s="81">
        <f t="shared" ref="CC76" si="1301">AVERAGE(CB73:CB76)</f>
        <v>9038.6791645569865</v>
      </c>
      <c r="CD76" s="74">
        <v>6056.294990723567</v>
      </c>
      <c r="CE76" s="81">
        <f t="shared" si="1231"/>
        <v>5866.6023439095798</v>
      </c>
      <c r="CF76" s="74">
        <v>8467.2524271844668</v>
      </c>
      <c r="CG76" s="99">
        <f t="shared" si="1275"/>
        <v>7769.1354060690592</v>
      </c>
      <c r="CH76" s="156">
        <v>2.4372557623281447E-2</v>
      </c>
      <c r="CI76" s="157">
        <f t="shared" si="1299"/>
        <v>2.492461348806015E-2</v>
      </c>
      <c r="CJ76" s="156">
        <v>3.1878549920608262E-2</v>
      </c>
      <c r="CK76" s="81">
        <f t="shared" ref="CK76" si="1302">AVERAGE(CJ73:CJ76)</f>
        <v>3.2000580726337741E-2</v>
      </c>
      <c r="CL76" s="491">
        <v>3.1537450722733264E-2</v>
      </c>
      <c r="CM76" s="483">
        <f t="shared" si="1233"/>
        <v>3.2142234231520198E-2</v>
      </c>
      <c r="CN76" s="156">
        <v>5.4054054054054043E-2</v>
      </c>
      <c r="CO76" s="483">
        <f t="shared" ref="CO76" si="1303">AVERAGE(CN73:CN76)</f>
        <v>5.8858558011222056E-2</v>
      </c>
      <c r="CP76" s="156">
        <v>2.2263450834879423E-2</v>
      </c>
      <c r="CQ76" s="483">
        <f t="shared" si="1235"/>
        <v>2.097733346446351E-2</v>
      </c>
      <c r="CR76" s="156">
        <v>4.2071197411003243E-2</v>
      </c>
      <c r="CS76" s="158">
        <f t="shared" si="1278"/>
        <v>3.0276545567808313E-2</v>
      </c>
      <c r="CT76" s="105">
        <v>42.555384442935491</v>
      </c>
      <c r="CU76" s="106">
        <f t="shared" ref="CU76:CU104" si="1304">AVERAGE(CT70:CT76)</f>
        <v>41.510491946381045</v>
      </c>
      <c r="CV76" s="105">
        <v>44.715761822571352</v>
      </c>
      <c r="CW76" s="81">
        <f t="shared" ref="CW76" si="1305">AVERAGE(CV73:CV76)</f>
        <v>44.711381734096705</v>
      </c>
      <c r="CX76" s="492">
        <v>44.651773981603178</v>
      </c>
      <c r="CY76" s="493">
        <f t="shared" si="1237"/>
        <v>44.611877299467871</v>
      </c>
      <c r="CZ76" s="105">
        <v>48.265765765765757</v>
      </c>
      <c r="DA76" s="106">
        <f t="shared" ref="DA76" si="1306">AVERAGE(CZ73:CZ76)</f>
        <v>49.243658975314091</v>
      </c>
      <c r="DB76" s="105">
        <v>43.16326530612249</v>
      </c>
      <c r="DC76" s="106">
        <f t="shared" si="1239"/>
        <v>42.684325431960403</v>
      </c>
      <c r="DD76" s="105">
        <v>46.627831715210363</v>
      </c>
      <c r="DE76" s="107">
        <f t="shared" si="1281"/>
        <v>47.480671076986383</v>
      </c>
    </row>
    <row r="77" spans="1:109" x14ac:dyDescent="0.25">
      <c r="A77" s="155">
        <f t="shared" si="1165"/>
        <v>45660</v>
      </c>
      <c r="B77" s="74">
        <v>38.788924481346641</v>
      </c>
      <c r="C77" s="81">
        <f t="shared" si="1282"/>
        <v>39.152988242509188</v>
      </c>
      <c r="D77" s="74">
        <v>39.41437416822567</v>
      </c>
      <c r="E77" s="81">
        <f t="shared" si="1202"/>
        <v>39.807299744971495</v>
      </c>
      <c r="F77" s="74">
        <v>39.385863267670935</v>
      </c>
      <c r="G77" s="81">
        <f t="shared" si="1202"/>
        <v>39.788525672004688</v>
      </c>
      <c r="H77" s="74">
        <v>41.439613526570042</v>
      </c>
      <c r="I77" s="81">
        <f t="shared" ref="I77" si="1307">AVERAGE(H74:H77)</f>
        <v>42.137440734360261</v>
      </c>
      <c r="J77" s="74">
        <v>38.737804878048806</v>
      </c>
      <c r="K77" s="81">
        <f t="shared" si="1204"/>
        <v>38.848760507021922</v>
      </c>
      <c r="L77" s="74">
        <v>40.914572864321599</v>
      </c>
      <c r="M77" s="99">
        <f t="shared" ref="M77" si="1308">AVERAGE(L74:L77)</f>
        <v>40.525746235350198</v>
      </c>
      <c r="N77" s="156">
        <v>6.4757845679092957E-2</v>
      </c>
      <c r="O77" s="157">
        <f t="shared" si="1282"/>
        <v>6.750219893744494E-2</v>
      </c>
      <c r="P77" s="156">
        <v>6.7172338817012262E-2</v>
      </c>
      <c r="Q77" s="157">
        <f t="shared" si="1206"/>
        <v>7.1645227417294927E-2</v>
      </c>
      <c r="R77" s="491">
        <v>6.7207415990730046E-2</v>
      </c>
      <c r="S77" s="483">
        <f t="shared" si="1207"/>
        <v>7.1875250405564167E-2</v>
      </c>
      <c r="T77" s="156">
        <v>7.7294685990338161E-2</v>
      </c>
      <c r="U77" s="157">
        <f t="shared" si="1208"/>
        <v>8.3723969503570181E-2</v>
      </c>
      <c r="V77" s="156">
        <v>6.4024390243902482E-2</v>
      </c>
      <c r="W77" s="157">
        <f t="shared" si="1209"/>
        <v>6.7101513956851877E-2</v>
      </c>
      <c r="X77" s="156">
        <v>6.5326633165829151E-2</v>
      </c>
      <c r="Y77" s="158">
        <f t="shared" si="1210"/>
        <v>6.606747369213542E-2</v>
      </c>
      <c r="Z77" s="156">
        <v>0.11448038499792274</v>
      </c>
      <c r="AA77" s="157">
        <f t="shared" si="1285"/>
        <v>0.11578503908904916</v>
      </c>
      <c r="AB77" s="156">
        <v>0.10797683389828515</v>
      </c>
      <c r="AC77" s="81">
        <f t="shared" ref="AC77" si="1309">AVERAGE(AB74:AB77)</f>
        <v>0.10716607706356553</v>
      </c>
      <c r="AD77" s="491">
        <v>0.10746051150622703</v>
      </c>
      <c r="AE77" s="483">
        <f t="shared" si="1212"/>
        <v>0.10636371167370216</v>
      </c>
      <c r="AF77" s="156">
        <v>0.10189301309485256</v>
      </c>
      <c r="AG77" s="483">
        <f t="shared" ref="AG77" si="1310">AVERAGE(AF74:AF77)</f>
        <v>0.12719977634262741</v>
      </c>
      <c r="AH77" s="156">
        <v>0.10878639119147906</v>
      </c>
      <c r="AI77" s="483">
        <f t="shared" si="1214"/>
        <v>9.9394154453035011E-2</v>
      </c>
      <c r="AJ77" s="156">
        <v>0.13200554295302161</v>
      </c>
      <c r="AK77" s="158">
        <f t="shared" si="1215"/>
        <v>0.1305432363043125</v>
      </c>
      <c r="AL77" s="74">
        <v>7623.9537886026155</v>
      </c>
      <c r="AM77" s="81">
        <f t="shared" si="1288"/>
        <v>7671.9172486592797</v>
      </c>
      <c r="AN77" s="74">
        <v>7423.4033151957437</v>
      </c>
      <c r="AO77" s="81">
        <f t="shared" ref="AO77" si="1311">AVERAGE(AN74:AN77)</f>
        <v>7368.4901367074635</v>
      </c>
      <c r="AP77" s="494">
        <v>7431.9200463499465</v>
      </c>
      <c r="AQ77" s="495">
        <f t="shared" si="1217"/>
        <v>7375.9720148695733</v>
      </c>
      <c r="AR77" s="74">
        <v>7982.115942028985</v>
      </c>
      <c r="AS77" s="81">
        <f t="shared" ref="AS77" si="1312">AVERAGE(AR74:AR77)</f>
        <v>7698.068635646564</v>
      </c>
      <c r="AT77" s="74">
        <v>7258.3064024390296</v>
      </c>
      <c r="AU77" s="81">
        <f t="shared" si="1219"/>
        <v>7254.2923036656239</v>
      </c>
      <c r="AV77" s="74">
        <v>6975.2663316582903</v>
      </c>
      <c r="AW77" s="99">
        <f t="shared" si="1264"/>
        <v>7093.8504359323406</v>
      </c>
      <c r="AX77" s="105">
        <v>4.0493250498010793</v>
      </c>
      <c r="AY77" s="106">
        <f t="shared" si="1291"/>
        <v>4.2087352565628056</v>
      </c>
      <c r="AZ77" s="105">
        <v>4.3409663169837014</v>
      </c>
      <c r="BA77" s="81">
        <f t="shared" ref="BA77" si="1313">AVERAGE(AZ74:AZ77)</f>
        <v>4.6355884605515865</v>
      </c>
      <c r="BB77" s="492">
        <v>4.3314020857473956</v>
      </c>
      <c r="BC77" s="493">
        <f t="shared" si="1221"/>
        <v>4.6276607811692907</v>
      </c>
      <c r="BD77" s="105">
        <v>5.7681159420289854</v>
      </c>
      <c r="BE77" s="106">
        <f t="shared" ref="BE77" si="1314">AVERAGE(BD74:BD77)</f>
        <v>6.3494513165819555</v>
      </c>
      <c r="BF77" s="105">
        <v>3.8780487804878079</v>
      </c>
      <c r="BG77" s="106">
        <f t="shared" si="1223"/>
        <v>3.942041033811408</v>
      </c>
      <c r="BH77" s="105">
        <v>4.8442211055276383</v>
      </c>
      <c r="BI77" s="107">
        <f t="shared" si="1267"/>
        <v>4.9690567190847563</v>
      </c>
      <c r="BJ77" s="487">
        <v>0.59676400032868993</v>
      </c>
      <c r="BK77" s="488">
        <f t="shared" si="1294"/>
        <v>0.51315497841505009</v>
      </c>
      <c r="BL77" s="487">
        <v>0.74596222454501959</v>
      </c>
      <c r="BM77" s="489">
        <f t="shared" ref="BM77" si="1315">AVERAGE(BL74:BL77)</f>
        <v>0.6949707648397262</v>
      </c>
      <c r="BN77" s="487"/>
      <c r="BO77" s="489" t="e">
        <f t="shared" ref="BO77" si="1316">AVERAGE(BN74:BN77)</f>
        <v>#DIV/0!</v>
      </c>
      <c r="BP77" s="487">
        <v>0</v>
      </c>
      <c r="BQ77" s="489">
        <f t="shared" ref="BQ77" si="1317">AVERAGE(BP74:BP77)</f>
        <v>0</v>
      </c>
      <c r="BR77" s="487"/>
      <c r="BS77" s="489" t="e">
        <f t="shared" ref="BS77" si="1318">AVERAGE(BR74:BR77)</f>
        <v>#DIV/0!</v>
      </c>
      <c r="BT77" s="487">
        <v>0</v>
      </c>
      <c r="BU77" s="490">
        <f t="shared" si="1272"/>
        <v>3.7670240520785237E-3</v>
      </c>
      <c r="BV77" s="74">
        <v>5792.4188063945585</v>
      </c>
      <c r="BW77" s="81">
        <f t="shared" si="1299"/>
        <v>5791.0808780388097</v>
      </c>
      <c r="BX77" s="74">
        <v>6488.0838170227298</v>
      </c>
      <c r="BY77" s="81">
        <f t="shared" ref="BY77" si="1319">AVERAGE(BX74:BX77)</f>
        <v>6705.4838322226969</v>
      </c>
      <c r="BZ77" s="494">
        <v>6451.38933951333</v>
      </c>
      <c r="CA77" s="495">
        <f t="shared" si="1229"/>
        <v>6673.0516011871923</v>
      </c>
      <c r="CB77" s="74">
        <v>8399.5120772946866</v>
      </c>
      <c r="CC77" s="81">
        <f t="shared" ref="CC77" si="1320">AVERAGE(CB74:CB77)</f>
        <v>8761.550991930193</v>
      </c>
      <c r="CD77" s="74">
        <v>5836.6615853658586</v>
      </c>
      <c r="CE77" s="81">
        <f t="shared" si="1231"/>
        <v>5843.9446389852201</v>
      </c>
      <c r="CF77" s="74">
        <v>8418.889447236179</v>
      </c>
      <c r="CG77" s="99">
        <f t="shared" si="1275"/>
        <v>7852.1100677964041</v>
      </c>
      <c r="CH77" s="156">
        <v>2.9488648155560477E-2</v>
      </c>
      <c r="CI77" s="157">
        <f t="shared" si="1299"/>
        <v>2.5753516817088672E-2</v>
      </c>
      <c r="CJ77" s="156">
        <v>3.5719864293314661E-2</v>
      </c>
      <c r="CK77" s="81">
        <f t="shared" ref="CK77" si="1321">AVERAGE(CJ74:CJ77)</f>
        <v>3.1328915497558368E-2</v>
      </c>
      <c r="CL77" s="491">
        <v>3.5921205098493648E-2</v>
      </c>
      <c r="CM77" s="483">
        <f t="shared" si="1233"/>
        <v>3.1463955092846212E-2</v>
      </c>
      <c r="CN77" s="156">
        <v>5.3140096618357488E-2</v>
      </c>
      <c r="CO77" s="483">
        <f t="shared" ref="CO77" si="1322">AVERAGE(CN74:CN77)</f>
        <v>5.5115718388721646E-2</v>
      </c>
      <c r="CP77" s="156">
        <v>3.0487804878048804E-2</v>
      </c>
      <c r="CQ77" s="483">
        <f t="shared" si="1235"/>
        <v>2.1953715063722543E-2</v>
      </c>
      <c r="CR77" s="156">
        <v>2.5125628140703515E-2</v>
      </c>
      <c r="CS77" s="158">
        <f t="shared" si="1278"/>
        <v>3.0206996422143622E-2</v>
      </c>
      <c r="CT77" s="105">
        <v>41.636317780248575</v>
      </c>
      <c r="CU77" s="106">
        <f t="shared" si="1304"/>
        <v>41.785074154901942</v>
      </c>
      <c r="CV77" s="105">
        <v>43.51109333897211</v>
      </c>
      <c r="CW77" s="81">
        <f t="shared" ref="CW77" si="1323">AVERAGE(CV74:CV77)</f>
        <v>44.540279839816463</v>
      </c>
      <c r="CX77" s="492">
        <v>43.420625724217878</v>
      </c>
      <c r="CY77" s="493">
        <f t="shared" si="1237"/>
        <v>44.461642894942813</v>
      </c>
      <c r="CZ77" s="105">
        <v>48.164251207729471</v>
      </c>
      <c r="DA77" s="106">
        <f t="shared" ref="DA77" si="1324">AVERAGE(CZ74:CZ77)</f>
        <v>48.964288340713942</v>
      </c>
      <c r="DB77" s="105">
        <v>41.923780487804912</v>
      </c>
      <c r="DC77" s="106">
        <f t="shared" si="1239"/>
        <v>42.697549034924286</v>
      </c>
      <c r="DD77" s="105">
        <v>48.271356783919579</v>
      </c>
      <c r="DE77" s="107">
        <f t="shared" si="1281"/>
        <v>47.624113391965679</v>
      </c>
    </row>
    <row r="78" spans="1:109" x14ac:dyDescent="0.25">
      <c r="A78" s="155">
        <f t="shared" si="1165"/>
        <v>45667</v>
      </c>
      <c r="B78" s="74">
        <v>38.246576897974002</v>
      </c>
      <c r="C78" s="81">
        <f t="shared" si="1282"/>
        <v>38.946593307863523</v>
      </c>
      <c r="D78" s="74">
        <v>39.014348671621732</v>
      </c>
      <c r="E78" s="81">
        <f t="shared" si="1202"/>
        <v>39.494205254347577</v>
      </c>
      <c r="F78" s="74">
        <v>38.981963927855723</v>
      </c>
      <c r="G78" s="81">
        <f t="shared" si="1202"/>
        <v>39.463386572667801</v>
      </c>
      <c r="H78" s="74">
        <v>40.559386973180075</v>
      </c>
      <c r="I78" s="81">
        <f t="shared" ref="I78" si="1325">AVERAGE(H75:H78)</f>
        <v>41.519063793444744</v>
      </c>
      <c r="J78" s="74">
        <v>38.423337856173696</v>
      </c>
      <c r="K78" s="81">
        <f t="shared" si="1204"/>
        <v>38.691359676947691</v>
      </c>
      <c r="L78" s="74">
        <v>42.054263565891468</v>
      </c>
      <c r="M78" s="99">
        <f t="shared" ref="M78" si="1326">AVERAGE(L75:L78)</f>
        <v>41.064702751823063</v>
      </c>
      <c r="N78" s="156">
        <v>5.4299692973338344E-2</v>
      </c>
      <c r="O78" s="157">
        <f t="shared" si="1282"/>
        <v>6.5060336997309468E-2</v>
      </c>
      <c r="P78" s="156">
        <v>5.1544089207861785E-2</v>
      </c>
      <c r="Q78" s="157">
        <f t="shared" si="1206"/>
        <v>6.4886556838204268E-2</v>
      </c>
      <c r="R78" s="491">
        <v>5.1102204408817645E-2</v>
      </c>
      <c r="S78" s="483">
        <f t="shared" si="1207"/>
        <v>6.483372833703685E-2</v>
      </c>
      <c r="T78" s="156">
        <v>6.5134099616858232E-2</v>
      </c>
      <c r="U78" s="157">
        <f t="shared" si="1208"/>
        <v>7.533644177620577E-2</v>
      </c>
      <c r="V78" s="156">
        <v>4.6132971506105853E-2</v>
      </c>
      <c r="W78" s="157">
        <f t="shared" si="1209"/>
        <v>6.0987698009848906E-2</v>
      </c>
      <c r="X78" s="156">
        <v>9.3023255813953487E-2</v>
      </c>
      <c r="Y78" s="158">
        <f t="shared" si="1210"/>
        <v>7.3698287645623778E-2</v>
      </c>
      <c r="Z78" s="156">
        <v>9.7661397671771344E-2</v>
      </c>
      <c r="AA78" s="157">
        <f t="shared" si="1285"/>
        <v>0.1111061345193467</v>
      </c>
      <c r="AB78" s="156">
        <v>8.4949495196141547E-2</v>
      </c>
      <c r="AC78" s="81">
        <f t="shared" ref="AC78" si="1327">AVERAGE(AB75:AB78)</f>
        <v>9.8109371664850092E-2</v>
      </c>
      <c r="AD78" s="491">
        <v>8.4029106914755236E-2</v>
      </c>
      <c r="AE78" s="483">
        <f t="shared" si="1212"/>
        <v>9.689648056956375E-2</v>
      </c>
      <c r="AF78" s="156">
        <v>0.10509463448821146</v>
      </c>
      <c r="AG78" s="483">
        <f t="shared" ref="AG78" si="1328">AVERAGE(AF75:AF78)</f>
        <v>0.11112981628986407</v>
      </c>
      <c r="AH78" s="156">
        <v>7.7942021008097453E-2</v>
      </c>
      <c r="AI78" s="483">
        <f t="shared" si="1214"/>
        <v>9.234436893624412E-2</v>
      </c>
      <c r="AJ78" s="156">
        <v>0.16965627635195563</v>
      </c>
      <c r="AK78" s="158">
        <f t="shared" si="1215"/>
        <v>0.14628843923174367</v>
      </c>
      <c r="AL78" s="74">
        <v>7726.0833156437657</v>
      </c>
      <c r="AM78" s="81">
        <f t="shared" si="1288"/>
        <v>7662.8049684446305</v>
      </c>
      <c r="AN78" s="74">
        <v>7478.7556640218418</v>
      </c>
      <c r="AO78" s="81">
        <f t="shared" ref="AO78" si="1329">AVERAGE(AN75:AN78)</f>
        <v>7413.6744333455053</v>
      </c>
      <c r="AP78" s="494">
        <v>7481.6212424849718</v>
      </c>
      <c r="AQ78" s="495">
        <f t="shared" si="1217"/>
        <v>7421.6123356534172</v>
      </c>
      <c r="AR78" s="74">
        <v>7714.8352490421457</v>
      </c>
      <c r="AS78" s="81">
        <f t="shared" ref="AS78" si="1330">AVERAGE(AR75:AR78)</f>
        <v>7727.1088623807827</v>
      </c>
      <c r="AT78" s="74">
        <v>7399.0312075983747</v>
      </c>
      <c r="AU78" s="81">
        <f t="shared" si="1219"/>
        <v>7312.7714290946278</v>
      </c>
      <c r="AV78" s="74">
        <v>7209.7674418604638</v>
      </c>
      <c r="AW78" s="99">
        <f t="shared" si="1264"/>
        <v>7093.9832129929709</v>
      </c>
      <c r="AX78" s="105">
        <v>4.0529038373502555</v>
      </c>
      <c r="AY78" s="106">
        <f t="shared" si="1291"/>
        <v>4.1755258658537047</v>
      </c>
      <c r="AZ78" s="105">
        <v>4.4678244384962946</v>
      </c>
      <c r="BA78" s="81">
        <f t="shared" ref="BA78" si="1331">AVERAGE(AZ75:AZ78)</f>
        <v>4.5497060218167977</v>
      </c>
      <c r="BB78" s="492">
        <v>4.4529058116232472</v>
      </c>
      <c r="BC78" s="493">
        <f t="shared" si="1221"/>
        <v>4.5401758519612798</v>
      </c>
      <c r="BD78" s="105">
        <v>5.7701149425287355</v>
      </c>
      <c r="BE78" s="106">
        <f t="shared" ref="BE78" si="1332">AVERAGE(BD75:BD78)</f>
        <v>6.1916511048457172</v>
      </c>
      <c r="BF78" s="105">
        <v>3.986431478968794</v>
      </c>
      <c r="BG78" s="106">
        <f t="shared" si="1223"/>
        <v>3.9165900800241937</v>
      </c>
      <c r="BH78" s="105">
        <v>5.8682170542635648</v>
      </c>
      <c r="BI78" s="107">
        <f t="shared" si="1267"/>
        <v>5.124756423548023</v>
      </c>
      <c r="BJ78" s="487">
        <v>0.55491472960576849</v>
      </c>
      <c r="BK78" s="488">
        <f t="shared" si="1294"/>
        <v>0.5274429311967882</v>
      </c>
      <c r="BL78" s="487">
        <v>0.73069275648340892</v>
      </c>
      <c r="BM78" s="489">
        <f t="shared" ref="BM78" si="1333">AVERAGE(BL75:BL78)</f>
        <v>0.71198388371099486</v>
      </c>
      <c r="BN78" s="487"/>
      <c r="BO78" s="489" t="e">
        <f t="shared" ref="BO78" si="1334">AVERAGE(BN75:BN78)</f>
        <v>#DIV/0!</v>
      </c>
      <c r="BP78" s="487">
        <v>0</v>
      </c>
      <c r="BQ78" s="489">
        <f t="shared" ref="BQ78" si="1335">AVERAGE(BP75:BP78)</f>
        <v>0</v>
      </c>
      <c r="BR78" s="487"/>
      <c r="BS78" s="489" t="e">
        <f t="shared" ref="BS78" si="1336">AVERAGE(BR75:BR78)</f>
        <v>#DIV/0!</v>
      </c>
      <c r="BT78" s="487">
        <v>0</v>
      </c>
      <c r="BU78" s="490">
        <f t="shared" si="1272"/>
        <v>3.7670240520785237E-3</v>
      </c>
      <c r="BV78" s="74">
        <v>5170.7502927165069</v>
      </c>
      <c r="BW78" s="81">
        <f t="shared" si="1299"/>
        <v>5704.4350256313173</v>
      </c>
      <c r="BX78" s="74">
        <v>5964.7037658390964</v>
      </c>
      <c r="BY78" s="81">
        <f t="shared" ref="BY78" si="1337">AVERAGE(BX75:BX78)</f>
        <v>6568.7356806923399</v>
      </c>
      <c r="BZ78" s="494">
        <v>5943.1513026052125</v>
      </c>
      <c r="CA78" s="495">
        <f t="shared" si="1229"/>
        <v>6538.8777906596324</v>
      </c>
      <c r="CB78" s="74">
        <v>7510.64367816092</v>
      </c>
      <c r="CC78" s="81">
        <f t="shared" ref="CC78" si="1338">AVERAGE(CB75:CB78)</f>
        <v>8469.0943127862101</v>
      </c>
      <c r="CD78" s="74">
        <v>5388.0420624151993</v>
      </c>
      <c r="CE78" s="81">
        <f t="shared" si="1231"/>
        <v>5816.94559576549</v>
      </c>
      <c r="CF78" s="74">
        <v>7987.8062015503874</v>
      </c>
      <c r="CG78" s="99">
        <f t="shared" si="1275"/>
        <v>7897.486767200071</v>
      </c>
      <c r="CH78" s="156">
        <v>1.5998493780893179E-2</v>
      </c>
      <c r="CI78" s="157">
        <f t="shared" si="1299"/>
        <v>2.3908150012516709E-2</v>
      </c>
      <c r="CJ78" s="156">
        <v>2.1065418829764801E-2</v>
      </c>
      <c r="CK78" s="81">
        <f t="shared" ref="CK78" si="1339">AVERAGE(CJ75:CJ78)</f>
        <v>2.9329571584222003E-2</v>
      </c>
      <c r="CL78" s="491">
        <v>2.104208416833668E-2</v>
      </c>
      <c r="CM78" s="483">
        <f t="shared" si="1233"/>
        <v>2.9356589956068591E-2</v>
      </c>
      <c r="CN78" s="156">
        <v>4.5977011494252873E-2</v>
      </c>
      <c r="CO78" s="483">
        <f t="shared" ref="CO78" si="1340">AVERAGE(CN75:CN78)</f>
        <v>5.2629708104390119E-2</v>
      </c>
      <c r="CP78" s="156">
        <v>1.2211668928086845E-2</v>
      </c>
      <c r="CQ78" s="483">
        <f t="shared" si="1235"/>
        <v>2.0594867589861898E-2</v>
      </c>
      <c r="CR78" s="156">
        <v>2.3255813953488372E-2</v>
      </c>
      <c r="CS78" s="158">
        <f t="shared" si="1278"/>
        <v>2.9527167512419239E-2</v>
      </c>
      <c r="CT78" s="105">
        <v>41.689900790047808</v>
      </c>
      <c r="CU78" s="106">
        <f t="shared" si="1304"/>
        <v>41.864151736703846</v>
      </c>
      <c r="CV78" s="105">
        <v>44.448867195786974</v>
      </c>
      <c r="CW78" s="81">
        <f t="shared" ref="CW78" si="1341">AVERAGE(CV75:CV78)</f>
        <v>44.223920812072762</v>
      </c>
      <c r="CX78" s="492">
        <v>44.407815631262537</v>
      </c>
      <c r="CY78" s="493">
        <f t="shared" si="1237"/>
        <v>44.147946396254376</v>
      </c>
      <c r="CZ78" s="105">
        <v>48.494252873563219</v>
      </c>
      <c r="DA78" s="106">
        <f t="shared" ref="DA78" si="1342">AVERAGE(CZ75:CZ78)</f>
        <v>48.709562085420529</v>
      </c>
      <c r="DB78" s="105">
        <v>42.960651289009526</v>
      </c>
      <c r="DC78" s="106">
        <f t="shared" si="1239"/>
        <v>42.452417739529594</v>
      </c>
      <c r="DD78" s="105">
        <v>48.302325581395351</v>
      </c>
      <c r="DE78" s="107">
        <f t="shared" si="1281"/>
        <v>47.68557316268528</v>
      </c>
    </row>
    <row r="79" spans="1:109" x14ac:dyDescent="0.25">
      <c r="A79" s="155">
        <f t="shared" si="1165"/>
        <v>45674</v>
      </c>
      <c r="B79" s="74">
        <v>38.21136848557822</v>
      </c>
      <c r="C79" s="81">
        <f t="shared" si="1282"/>
        <v>38.742634365375757</v>
      </c>
      <c r="D79" s="74">
        <v>38.998549129472764</v>
      </c>
      <c r="E79" s="81">
        <f t="shared" si="1202"/>
        <v>39.368032772573102</v>
      </c>
      <c r="F79" s="74">
        <v>38.9816513761468</v>
      </c>
      <c r="G79" s="81">
        <f t="shared" si="1202"/>
        <v>39.33999776381193</v>
      </c>
      <c r="H79" s="74">
        <v>40.74285714285714</v>
      </c>
      <c r="I79" s="81">
        <f t="shared" ref="I79" si="1343">AVERAGE(H76:H79)</f>
        <v>41.486140086327488</v>
      </c>
      <c r="J79" s="74">
        <v>38.395380434782624</v>
      </c>
      <c r="K79" s="81">
        <f t="shared" si="1204"/>
        <v>38.563064001898788</v>
      </c>
      <c r="L79" s="74">
        <v>41.233333333333327</v>
      </c>
      <c r="M79" s="99">
        <f t="shared" ref="M79" si="1344">AVERAGE(L76:L79)</f>
        <v>41.318341793637408</v>
      </c>
      <c r="N79" s="156">
        <v>5.7835688471875674E-2</v>
      </c>
      <c r="O79" s="157">
        <f t="shared" si="1282"/>
        <v>6.4535145936035335E-2</v>
      </c>
      <c r="P79" s="156">
        <v>6.9213750472535904E-2</v>
      </c>
      <c r="Q79" s="157">
        <f t="shared" si="1206"/>
        <v>6.2128872967119136E-2</v>
      </c>
      <c r="R79" s="491">
        <v>6.9317023445463824E-2</v>
      </c>
      <c r="S79" s="483">
        <f t="shared" si="1207"/>
        <v>6.2018356099229233E-2</v>
      </c>
      <c r="T79" s="156">
        <v>8.1632653061224469E-2</v>
      </c>
      <c r="U79" s="157">
        <f t="shared" si="1208"/>
        <v>7.0654999306744848E-2</v>
      </c>
      <c r="V79" s="156">
        <v>6.5217391304347852E-2</v>
      </c>
      <c r="W79" s="157">
        <f t="shared" si="1209"/>
        <v>5.9149810712568654E-2</v>
      </c>
      <c r="X79" s="156">
        <v>5.5555555555555552E-2</v>
      </c>
      <c r="Y79" s="158">
        <f t="shared" si="1210"/>
        <v>6.965759090729734E-2</v>
      </c>
      <c r="Z79" s="156">
        <v>0.10472044347083601</v>
      </c>
      <c r="AA79" s="157">
        <f t="shared" si="1285"/>
        <v>0.1098161187812486</v>
      </c>
      <c r="AB79" s="156">
        <v>0.11029254127268151</v>
      </c>
      <c r="AC79" s="81">
        <f t="shared" ref="AC79" si="1345">AVERAGE(AB76:AB79)</f>
        <v>9.7791875376804602E-2</v>
      </c>
      <c r="AD79" s="491">
        <v>0.11059874004415739</v>
      </c>
      <c r="AE79" s="483">
        <f t="shared" si="1212"/>
        <v>9.7020954589947569E-2</v>
      </c>
      <c r="AF79" s="156">
        <v>0.12959094504176741</v>
      </c>
      <c r="AG79" s="483">
        <f t="shared" ref="AG79" si="1346">AVERAGE(AF76:AF79)</f>
        <v>0.10563051722487063</v>
      </c>
      <c r="AH79" s="156">
        <v>0.1055578739577049</v>
      </c>
      <c r="AI79" s="483">
        <f t="shared" si="1214"/>
        <v>9.4574534666192436E-2</v>
      </c>
      <c r="AJ79" s="156">
        <v>7.4727240062996372E-2</v>
      </c>
      <c r="AK79" s="158">
        <f t="shared" si="1215"/>
        <v>0.12909307374798176</v>
      </c>
      <c r="AL79" s="74">
        <v>7602.1517639170133</v>
      </c>
      <c r="AM79" s="81">
        <f t="shared" si="1288"/>
        <v>7650.1814546426758</v>
      </c>
      <c r="AN79" s="74">
        <v>7262.2118159782131</v>
      </c>
      <c r="AO79" s="81">
        <f t="shared" ref="AO79" si="1347">AVERAGE(AN76:AN79)</f>
        <v>7369.8531206329681</v>
      </c>
      <c r="AP79" s="494">
        <v>7261.2986748216126</v>
      </c>
      <c r="AQ79" s="495">
        <f t="shared" si="1217"/>
        <v>7373.8367977472481</v>
      </c>
      <c r="AR79" s="74">
        <v>7469.7469387755109</v>
      </c>
      <c r="AS79" s="81">
        <f t="shared" ref="AS79" si="1348">AVERAGE(AR76:AR79)</f>
        <v>7678.1925504796782</v>
      </c>
      <c r="AT79" s="74">
        <v>7191.9103260869597</v>
      </c>
      <c r="AU79" s="81">
        <f t="shared" si="1219"/>
        <v>7269.2127261461201</v>
      </c>
      <c r="AV79" s="74">
        <v>7382.9777777777781</v>
      </c>
      <c r="AW79" s="99">
        <f t="shared" si="1264"/>
        <v>7159.2739514332743</v>
      </c>
      <c r="AX79" s="105">
        <v>4.1536468653670839</v>
      </c>
      <c r="AY79" s="106">
        <f t="shared" si="1291"/>
        <v>4.1680244563349982</v>
      </c>
      <c r="AZ79" s="105">
        <v>4.5670013118955053</v>
      </c>
      <c r="BA79" s="81">
        <f t="shared" ref="BA79" si="1349">AVERAGE(AZ76:AZ79)</f>
        <v>4.5601639498305779</v>
      </c>
      <c r="BB79" s="492">
        <v>4.557594291539246</v>
      </c>
      <c r="BC79" s="493">
        <f t="shared" si="1221"/>
        <v>4.5496674000527024</v>
      </c>
      <c r="BD79" s="105">
        <v>6.3142857142857132</v>
      </c>
      <c r="BE79" s="106">
        <f t="shared" ref="BE79" si="1350">AVERAGE(BD76:BD79)</f>
        <v>6.2074985190802279</v>
      </c>
      <c r="BF79" s="105">
        <v>3.9728260869565233</v>
      </c>
      <c r="BG79" s="106">
        <f t="shared" si="1223"/>
        <v>3.9551521895717423</v>
      </c>
      <c r="BH79" s="105">
        <v>5.8111111111111109</v>
      </c>
      <c r="BI79" s="107">
        <f t="shared" si="1267"/>
        <v>5.1939213648868767</v>
      </c>
      <c r="BJ79" s="487">
        <v>0.52821334847963319</v>
      </c>
      <c r="BK79" s="488">
        <f t="shared" si="1294"/>
        <v>0.52889316094425587</v>
      </c>
      <c r="BL79" s="487">
        <v>0.74462455251092696</v>
      </c>
      <c r="BM79" s="489">
        <f t="shared" ref="BM79" si="1351">AVERAGE(BL76:BL79)</f>
        <v>0.72665573645031856</v>
      </c>
      <c r="BN79" s="487"/>
      <c r="BO79" s="489" t="e">
        <f t="shared" ref="BO79" si="1352">AVERAGE(BN76:BN79)</f>
        <v>#DIV/0!</v>
      </c>
      <c r="BP79" s="487">
        <v>0</v>
      </c>
      <c r="BQ79" s="489">
        <f t="shared" ref="BQ79" si="1353">AVERAGE(BP76:BP79)</f>
        <v>0</v>
      </c>
      <c r="BR79" s="487"/>
      <c r="BS79" s="489" t="e">
        <f t="shared" ref="BS79" si="1354">AVERAGE(BR76:BR79)</f>
        <v>#DIV/0!</v>
      </c>
      <c r="BT79" s="487">
        <v>0</v>
      </c>
      <c r="BU79" s="490">
        <f t="shared" si="1272"/>
        <v>3.7670240520785237E-3</v>
      </c>
      <c r="BV79" s="74">
        <v>5133.215800104651</v>
      </c>
      <c r="BW79" s="81">
        <f t="shared" si="1299"/>
        <v>5638.0479282414499</v>
      </c>
      <c r="BX79" s="74">
        <v>6134.4771140407938</v>
      </c>
      <c r="BY79" s="81">
        <f t="shared" ref="BY79" si="1355">AVERAGE(BX76:BX79)</f>
        <v>6396.3528890478146</v>
      </c>
      <c r="BZ79" s="494">
        <v>6115.9337410805319</v>
      </c>
      <c r="CA79" s="495">
        <f t="shared" si="1229"/>
        <v>6364.8643251033172</v>
      </c>
      <c r="CB79" s="74">
        <v>8403.8897959183669</v>
      </c>
      <c r="CC79" s="81">
        <f t="shared" ref="CC79" si="1356">AVERAGE(CB76:CB79)</f>
        <v>8357.6026040597098</v>
      </c>
      <c r="CD79" s="74">
        <v>5354.3179347826108</v>
      </c>
      <c r="CE79" s="81">
        <f t="shared" si="1231"/>
        <v>5658.8291433218092</v>
      </c>
      <c r="CF79" s="74">
        <v>8586.9</v>
      </c>
      <c r="CG79" s="99">
        <f t="shared" si="1275"/>
        <v>7905.127636765289</v>
      </c>
      <c r="CH79" s="156">
        <v>1.7463287847352776E-2</v>
      </c>
      <c r="CI79" s="157">
        <f t="shared" si="1299"/>
        <v>2.2914880761577303E-2</v>
      </c>
      <c r="CJ79" s="156">
        <v>2.3603050719274481E-2</v>
      </c>
      <c r="CK79" s="81">
        <f t="shared" ref="CK79" si="1357">AVERAGE(CJ76:CJ79)</f>
        <v>2.8066720940740551E-2</v>
      </c>
      <c r="CL79" s="491">
        <v>2.3445463812436295E-2</v>
      </c>
      <c r="CM79" s="483">
        <f t="shared" si="1233"/>
        <v>2.7986550950499973E-2</v>
      </c>
      <c r="CN79" s="156">
        <v>4.0816326530612249E-2</v>
      </c>
      <c r="CO79" s="483">
        <f t="shared" ref="CO79" si="1358">AVERAGE(CN76:CN79)</f>
        <v>4.8496872174319167E-2</v>
      </c>
      <c r="CP79" s="156">
        <v>1.7663043478260879E-2</v>
      </c>
      <c r="CQ79" s="483">
        <f t="shared" si="1235"/>
        <v>2.065649202981899E-2</v>
      </c>
      <c r="CR79" s="156">
        <v>4.4444444444444446E-2</v>
      </c>
      <c r="CS79" s="158">
        <f t="shared" si="1278"/>
        <v>2.991364094237093E-2</v>
      </c>
      <c r="CT79" s="105">
        <v>40.716347152366303</v>
      </c>
      <c r="CU79" s="106">
        <f t="shared" si="1304"/>
        <v>41.816208414831962</v>
      </c>
      <c r="CV79" s="105">
        <v>43.466001823293276</v>
      </c>
      <c r="CW79" s="81">
        <f t="shared" ref="CW79" si="1359">AVERAGE(CV76:CV79)</f>
        <v>44.035431045155924</v>
      </c>
      <c r="CX79" s="492">
        <v>43.387359836901126</v>
      </c>
      <c r="CY79" s="493">
        <f t="shared" si="1237"/>
        <v>43.966893793496183</v>
      </c>
      <c r="CZ79" s="105">
        <v>46.885714285714279</v>
      </c>
      <c r="DA79" s="106">
        <f t="shared" ref="DA79" si="1360">AVERAGE(CZ76:CZ79)</f>
        <v>47.952496033193178</v>
      </c>
      <c r="DB79" s="105">
        <v>42.222826086956537</v>
      </c>
      <c r="DC79" s="106">
        <f t="shared" si="1239"/>
        <v>42.567630792473366</v>
      </c>
      <c r="DD79" s="105">
        <v>53.866666666666674</v>
      </c>
      <c r="DE79" s="107">
        <f t="shared" si="1281"/>
        <v>48.445655978420277</v>
      </c>
    </row>
    <row r="80" spans="1:109" x14ac:dyDescent="0.25">
      <c r="A80" s="155">
        <f t="shared" si="1165"/>
        <v>45681</v>
      </c>
      <c r="B80" s="74">
        <v>38.614928878075013</v>
      </c>
      <c r="C80" s="81">
        <f t="shared" si="1282"/>
        <v>38.672148097581534</v>
      </c>
      <c r="D80" s="74">
        <v>39.542946704500551</v>
      </c>
      <c r="E80" s="81">
        <f t="shared" si="1202"/>
        <v>39.242554668455185</v>
      </c>
      <c r="F80" s="74">
        <v>39.539170506912463</v>
      </c>
      <c r="G80" s="81">
        <f t="shared" si="1202"/>
        <v>39.222162269646482</v>
      </c>
      <c r="H80" s="74">
        <v>41.774358974358975</v>
      </c>
      <c r="I80" s="81">
        <f t="shared" ref="I80" si="1361">AVERAGE(H77:H80)</f>
        <v>41.129054154241558</v>
      </c>
      <c r="J80" s="74">
        <v>38.891530460624097</v>
      </c>
      <c r="K80" s="81">
        <f t="shared" si="1204"/>
        <v>38.612013407407304</v>
      </c>
      <c r="L80" s="74">
        <v>41.882352941176464</v>
      </c>
      <c r="M80" s="99">
        <f t="shared" ref="M80" si="1362">AVERAGE(L77:L80)</f>
        <v>41.521130676180711</v>
      </c>
      <c r="N80" s="156">
        <v>6.0627424653891919E-2</v>
      </c>
      <c r="O80" s="157">
        <f t="shared" si="1282"/>
        <v>6.3838084565796566E-2</v>
      </c>
      <c r="P80" s="156">
        <v>7.3613893611274198E-2</v>
      </c>
      <c r="Q80" s="157">
        <f t="shared" si="1206"/>
        <v>6.5386018027171033E-2</v>
      </c>
      <c r="R80" s="491">
        <v>7.3732718894009258E-2</v>
      </c>
      <c r="S80" s="483">
        <f t="shared" si="1207"/>
        <v>6.5339840684755193E-2</v>
      </c>
      <c r="T80" s="156">
        <v>0.1076923076923077</v>
      </c>
      <c r="U80" s="157">
        <f t="shared" si="1208"/>
        <v>8.2938436590182144E-2</v>
      </c>
      <c r="V80" s="156">
        <v>6.3893016344725162E-2</v>
      </c>
      <c r="W80" s="157">
        <f t="shared" si="1209"/>
        <v>5.9816942349770336E-2</v>
      </c>
      <c r="X80" s="156">
        <v>0</v>
      </c>
      <c r="Y80" s="158">
        <f t="shared" si="1210"/>
        <v>5.3476361133834548E-2</v>
      </c>
      <c r="Z80" s="156">
        <v>0.11516499310796428</v>
      </c>
      <c r="AA80" s="157">
        <f t="shared" si="1285"/>
        <v>0.10989990182323772</v>
      </c>
      <c r="AB80" s="156">
        <v>0.12041719566248578</v>
      </c>
      <c r="AC80" s="81">
        <f t="shared" ref="AC80" si="1363">AVERAGE(AB77:AB80)</f>
        <v>0.10590901650739849</v>
      </c>
      <c r="AD80" s="491">
        <v>0.1205909446734393</v>
      </c>
      <c r="AE80" s="483">
        <f t="shared" si="1212"/>
        <v>0.10566982578464473</v>
      </c>
      <c r="AF80" s="156">
        <v>0.17513723139462176</v>
      </c>
      <c r="AG80" s="483">
        <f t="shared" ref="AG80" si="1364">AVERAGE(AF77:AF80)</f>
        <v>0.12792895600486331</v>
      </c>
      <c r="AH80" s="156">
        <v>0.10727043106608142</v>
      </c>
      <c r="AI80" s="483">
        <f t="shared" si="1214"/>
        <v>9.9889179305840708E-2</v>
      </c>
      <c r="AJ80" s="156">
        <v>0</v>
      </c>
      <c r="AK80" s="158">
        <f t="shared" si="1215"/>
        <v>9.4097264841993405E-2</v>
      </c>
      <c r="AL80" s="74">
        <v>7794.7248291201277</v>
      </c>
      <c r="AM80" s="81">
        <f t="shared" si="1288"/>
        <v>7671.5745567563254</v>
      </c>
      <c r="AN80" s="74">
        <v>7417.2754643530343</v>
      </c>
      <c r="AO80" s="81">
        <f t="shared" ref="AO80" si="1365">AVERAGE(AN77:AN80)</f>
        <v>7395.4115648872084</v>
      </c>
      <c r="AP80" s="494">
        <v>7418.2338709677451</v>
      </c>
      <c r="AQ80" s="495">
        <f t="shared" si="1217"/>
        <v>7398.268458656069</v>
      </c>
      <c r="AR80" s="74">
        <v>7490.6512820512817</v>
      </c>
      <c r="AS80" s="81">
        <f t="shared" ref="AS80" si="1366">AVERAGE(AR77:AR80)</f>
        <v>7664.3373529744804</v>
      </c>
      <c r="AT80" s="74">
        <v>7397.2511144130804</v>
      </c>
      <c r="AU80" s="81">
        <f t="shared" si="1219"/>
        <v>7311.6247626343611</v>
      </c>
      <c r="AV80" s="74">
        <v>6823.5294117647054</v>
      </c>
      <c r="AW80" s="99">
        <f t="shared" si="1264"/>
        <v>7124.8669114107015</v>
      </c>
      <c r="AX80" s="105">
        <v>3.8556454019953725</v>
      </c>
      <c r="AY80" s="106">
        <f t="shared" si="1291"/>
        <v>4.1017772414582057</v>
      </c>
      <c r="AZ80" s="105">
        <v>4.2980452629371113</v>
      </c>
      <c r="BA80" s="81">
        <f t="shared" ref="BA80" si="1367">AVERAGE(AZ77:AZ80)</f>
        <v>4.4184593325781538</v>
      </c>
      <c r="BB80" s="492">
        <v>4.2937788018433203</v>
      </c>
      <c r="BC80" s="493">
        <f t="shared" si="1221"/>
        <v>4.408920247688302</v>
      </c>
      <c r="BD80" s="105">
        <v>5.7025641025641018</v>
      </c>
      <c r="BE80" s="106">
        <f t="shared" ref="BE80" si="1368">AVERAGE(BD77:BD80)</f>
        <v>5.8887701753518833</v>
      </c>
      <c r="BF80" s="105">
        <v>3.8855869242199135</v>
      </c>
      <c r="BG80" s="106">
        <f t="shared" si="1223"/>
        <v>3.9307233176582597</v>
      </c>
      <c r="BH80" s="105">
        <v>6.9411764705882346</v>
      </c>
      <c r="BI80" s="107">
        <f t="shared" si="1267"/>
        <v>5.4639865506373209</v>
      </c>
      <c r="BJ80" s="487">
        <v>0.53615389813749348</v>
      </c>
      <c r="BK80" s="488">
        <f t="shared" si="1294"/>
        <v>0.53282332023328249</v>
      </c>
      <c r="BL80" s="487">
        <v>0.77409610000605455</v>
      </c>
      <c r="BM80" s="489">
        <f t="shared" ref="BM80" si="1369">AVERAGE(BL77:BL80)</f>
        <v>0.74884390838635262</v>
      </c>
      <c r="BN80" s="487"/>
      <c r="BO80" s="489" t="e">
        <f t="shared" ref="BO80" si="1370">AVERAGE(BN77:BN80)</f>
        <v>#DIV/0!</v>
      </c>
      <c r="BP80" s="487">
        <v>0</v>
      </c>
      <c r="BQ80" s="489">
        <f t="shared" ref="BQ80" si="1371">AVERAGE(BP77:BP80)</f>
        <v>0</v>
      </c>
      <c r="BR80" s="487"/>
      <c r="BS80" s="489" t="e">
        <f t="shared" ref="BS80" si="1372">AVERAGE(BR77:BR80)</f>
        <v>#DIV/0!</v>
      </c>
      <c r="BT80" s="487">
        <v>0</v>
      </c>
      <c r="BU80" s="490">
        <f t="shared" si="1272"/>
        <v>3.7670240520785237E-3</v>
      </c>
      <c r="BV80" s="74">
        <v>5125.9602601722972</v>
      </c>
      <c r="BW80" s="81">
        <f t="shared" si="1299"/>
        <v>5493.4822682008335</v>
      </c>
      <c r="BX80" s="74">
        <v>6143.1963584872028</v>
      </c>
      <c r="BY80" s="81">
        <f t="shared" ref="BY80" si="1373">AVERAGE(BX77:BX80)</f>
        <v>6182.6152638474559</v>
      </c>
      <c r="BZ80" s="494">
        <v>6138.6394009216629</v>
      </c>
      <c r="CA80" s="495">
        <f t="shared" si="1229"/>
        <v>6162.2784460301846</v>
      </c>
      <c r="CB80" s="74">
        <v>7883.0000000000009</v>
      </c>
      <c r="CC80" s="81">
        <f t="shared" ref="CC80" si="1374">AVERAGE(CB77:CB80)</f>
        <v>8049.2613878434931</v>
      </c>
      <c r="CD80" s="74">
        <v>5633.2154531946553</v>
      </c>
      <c r="CE80" s="81">
        <f t="shared" si="1231"/>
        <v>5553.059258939581</v>
      </c>
      <c r="CF80" s="74">
        <v>8966.2941176470576</v>
      </c>
      <c r="CG80" s="99">
        <f t="shared" si="1275"/>
        <v>8116.0538658523774</v>
      </c>
      <c r="CH80" s="156">
        <v>1.5204481737581993E-2</v>
      </c>
      <c r="CI80" s="157">
        <f t="shared" si="1299"/>
        <v>2.0703158316322568E-2</v>
      </c>
      <c r="CJ80" s="156">
        <v>2.0798705689764645E-2</v>
      </c>
      <c r="CK80" s="81">
        <f t="shared" ref="CK80" si="1375">AVERAGE(CJ77:CJ80)</f>
        <v>2.5296759883029648E-2</v>
      </c>
      <c r="CL80" s="491">
        <v>2.07373271889401E-2</v>
      </c>
      <c r="CM80" s="483">
        <f t="shared" si="1233"/>
        <v>2.528652006705168E-2</v>
      </c>
      <c r="CN80" s="156">
        <v>3.5897435897435895E-2</v>
      </c>
      <c r="CO80" s="483">
        <f t="shared" ref="CO80" si="1376">AVERAGE(CN77:CN80)</f>
        <v>4.3957717635164623E-2</v>
      </c>
      <c r="CP80" s="156">
        <v>1.6344725111441319E-2</v>
      </c>
      <c r="CQ80" s="483">
        <f t="shared" si="1235"/>
        <v>1.9176810598959461E-2</v>
      </c>
      <c r="CR80" s="156">
        <v>5.8823529411764698E-2</v>
      </c>
      <c r="CS80" s="158">
        <f t="shared" si="1278"/>
        <v>3.3569242060670794E-2</v>
      </c>
      <c r="CT80" s="105">
        <v>41.403326057112452</v>
      </c>
      <c r="CU80" s="106">
        <f t="shared" si="1304"/>
        <v>41.755751376777447</v>
      </c>
      <c r="CV80" s="105">
        <v>44.493291453630476</v>
      </c>
      <c r="CW80" s="81">
        <f t="shared" ref="CW80" si="1377">AVERAGE(CV77:CV80)</f>
        <v>43.979813452920709</v>
      </c>
      <c r="CX80" s="492">
        <v>44.480414746543794</v>
      </c>
      <c r="CY80" s="493">
        <f t="shared" si="1237"/>
        <v>43.924053984731337</v>
      </c>
      <c r="CZ80" s="105">
        <v>52.143589743589743</v>
      </c>
      <c r="DA80" s="106">
        <f t="shared" ref="DA80" si="1378">AVERAGE(CZ77:CZ80)</f>
        <v>48.921952027649183</v>
      </c>
      <c r="DB80" s="105">
        <v>42.260029717682052</v>
      </c>
      <c r="DC80" s="106">
        <f t="shared" si="1239"/>
        <v>42.341821895363253</v>
      </c>
      <c r="DD80" s="105">
        <v>52.470588235294109</v>
      </c>
      <c r="DE80" s="107">
        <f t="shared" si="1281"/>
        <v>49.063623055410844</v>
      </c>
    </row>
    <row r="81" spans="1:109" x14ac:dyDescent="0.25">
      <c r="A81" s="155">
        <f t="shared" si="1165"/>
        <v>45688</v>
      </c>
      <c r="B81" s="74">
        <v>38.091721684574608</v>
      </c>
      <c r="C81" s="81">
        <f t="shared" si="1282"/>
        <v>38.503641979075489</v>
      </c>
      <c r="D81" s="74">
        <v>38.583051877357612</v>
      </c>
      <c r="E81" s="81">
        <f t="shared" si="1202"/>
        <v>39.034724095738163</v>
      </c>
      <c r="F81" s="74">
        <v>38.582488479262679</v>
      </c>
      <c r="G81" s="81">
        <f t="shared" si="1202"/>
        <v>39.021318572544416</v>
      </c>
      <c r="H81" s="74">
        <v>39.934693877551027</v>
      </c>
      <c r="I81" s="81">
        <f t="shared" ref="I81" si="1379">AVERAGE(H78:H81)</f>
        <v>40.752824241986801</v>
      </c>
      <c r="J81" s="74">
        <v>38.188095238095251</v>
      </c>
      <c r="K81" s="81">
        <f t="shared" si="1204"/>
        <v>38.47458599741892</v>
      </c>
      <c r="L81" s="74">
        <v>46</v>
      </c>
      <c r="M81" s="99">
        <f t="shared" ref="M81" si="1380">AVERAGE(L78:L81)</f>
        <v>42.792487460100318</v>
      </c>
      <c r="N81" s="156">
        <v>5.9427922877511315E-2</v>
      </c>
      <c r="O81" s="157">
        <f t="shared" si="1282"/>
        <v>6.2180230745593659E-2</v>
      </c>
      <c r="P81" s="156">
        <v>6.5432817682357106E-2</v>
      </c>
      <c r="Q81" s="157">
        <f t="shared" si="1206"/>
        <v>6.4951137743507248E-2</v>
      </c>
      <c r="R81" s="491">
        <v>6.5437788018433196E-2</v>
      </c>
      <c r="S81" s="483">
        <f t="shared" si="1207"/>
        <v>6.4897433691680981E-2</v>
      </c>
      <c r="T81" s="156">
        <v>4.4897959183673466E-2</v>
      </c>
      <c r="U81" s="157">
        <f t="shared" si="1208"/>
        <v>7.4839254888515963E-2</v>
      </c>
      <c r="V81" s="156">
        <v>7.1428571428571438E-2</v>
      </c>
      <c r="W81" s="157">
        <f t="shared" si="1209"/>
        <v>6.1667987645937575E-2</v>
      </c>
      <c r="X81" s="156">
        <v>0</v>
      </c>
      <c r="Y81" s="158">
        <f t="shared" si="1210"/>
        <v>3.714470284237726E-2</v>
      </c>
      <c r="Z81" s="156">
        <v>0.10706883667319392</v>
      </c>
      <c r="AA81" s="157">
        <f t="shared" si="1285"/>
        <v>0.10831697720035793</v>
      </c>
      <c r="AB81" s="156">
        <v>9.9819398911276822E-2</v>
      </c>
      <c r="AC81" s="81">
        <f t="shared" ref="AC81" si="1381">AVERAGE(AB78:AB81)</f>
        <v>0.10386965776064641</v>
      </c>
      <c r="AD81" s="491">
        <v>9.9830661035234303E-2</v>
      </c>
      <c r="AE81" s="483">
        <f t="shared" si="1212"/>
        <v>0.10376236316689655</v>
      </c>
      <c r="AF81" s="156">
        <v>7.2533448141681417E-2</v>
      </c>
      <c r="AG81" s="483">
        <f t="shared" ref="AG81" si="1382">AVERAGE(AF78:AF81)</f>
        <v>0.1205890647665705</v>
      </c>
      <c r="AH81" s="156">
        <v>0.10655443908219346</v>
      </c>
      <c r="AI81" s="483">
        <f t="shared" si="1214"/>
        <v>9.9331191278519318E-2</v>
      </c>
      <c r="AJ81" s="156">
        <v>0</v>
      </c>
      <c r="AK81" s="158">
        <f t="shared" si="1215"/>
        <v>6.1095879103737996E-2</v>
      </c>
      <c r="AL81" s="74">
        <v>7905.6421473655882</v>
      </c>
      <c r="AM81" s="81">
        <f t="shared" si="1288"/>
        <v>7710.801984485498</v>
      </c>
      <c r="AN81" s="74">
        <v>7593.2299769602687</v>
      </c>
      <c r="AO81" s="81">
        <f t="shared" ref="AO81" si="1383">AVERAGE(AN78:AN81)</f>
        <v>7437.8682303283395</v>
      </c>
      <c r="AP81" s="494">
        <v>7593.1990783410138</v>
      </c>
      <c r="AQ81" s="495">
        <f t="shared" si="1217"/>
        <v>7438.5882166538358</v>
      </c>
      <c r="AR81" s="74">
        <v>7669.8122448979584</v>
      </c>
      <c r="AS81" s="81">
        <f t="shared" ref="AS81" si="1384">AVERAGE(AR78:AR81)</f>
        <v>7586.2614286917242</v>
      </c>
      <c r="AT81" s="74">
        <v>7570.8535714285726</v>
      </c>
      <c r="AU81" s="81">
        <f t="shared" si="1219"/>
        <v>7389.7615548817466</v>
      </c>
      <c r="AV81" s="74">
        <v>8000</v>
      </c>
      <c r="AW81" s="99">
        <f t="shared" si="1264"/>
        <v>7228.6194225714153</v>
      </c>
      <c r="AX81" s="105">
        <v>3.924346648683295</v>
      </c>
      <c r="AY81" s="106">
        <f t="shared" si="1291"/>
        <v>4.0478356252697827</v>
      </c>
      <c r="AZ81" s="105">
        <v>4.3700888675087768</v>
      </c>
      <c r="BA81" s="81">
        <f t="shared" ref="BA81" si="1385">AVERAGE(AZ78:AZ81)</f>
        <v>4.4257399702094222</v>
      </c>
      <c r="BB81" s="492">
        <v>4.3695852534562212</v>
      </c>
      <c r="BC81" s="493">
        <f t="shared" si="1221"/>
        <v>4.4184660396155087</v>
      </c>
      <c r="BD81" s="105">
        <v>5.7632653061224479</v>
      </c>
      <c r="BE81" s="106">
        <f t="shared" ref="BE81" si="1386">AVERAGE(BD78:BD81)</f>
        <v>5.8875575163752494</v>
      </c>
      <c r="BF81" s="105">
        <v>3.9630952380952387</v>
      </c>
      <c r="BG81" s="106">
        <f t="shared" si="1223"/>
        <v>3.9519849320601175</v>
      </c>
      <c r="BH81" s="105">
        <v>11</v>
      </c>
      <c r="BI81" s="107">
        <f t="shared" si="1267"/>
        <v>6.3197343184944632</v>
      </c>
      <c r="BJ81" s="487">
        <v>0.55409857950959795</v>
      </c>
      <c r="BK81" s="488">
        <f t="shared" si="1294"/>
        <v>0.54137776918312175</v>
      </c>
      <c r="BL81" s="487">
        <v>0.77413474441098529</v>
      </c>
      <c r="BM81" s="489">
        <f t="shared" ref="BM81" si="1387">AVERAGE(BL78:BL81)</f>
        <v>0.75588703835284399</v>
      </c>
      <c r="BN81" s="487"/>
      <c r="BO81" s="489" t="e">
        <f t="shared" ref="BO81" si="1388">AVERAGE(BN78:BN81)</f>
        <v>#DIV/0!</v>
      </c>
      <c r="BP81" s="487">
        <v>0</v>
      </c>
      <c r="BQ81" s="489">
        <f t="shared" ref="BQ81" si="1389">AVERAGE(BP78:BP81)</f>
        <v>0</v>
      </c>
      <c r="BR81" s="487"/>
      <c r="BS81" s="489" t="e">
        <f t="shared" ref="BS81" si="1390">AVERAGE(BR78:BR81)</f>
        <v>#DIV/0!</v>
      </c>
      <c r="BT81" s="487">
        <v>0</v>
      </c>
      <c r="BU81" s="490">
        <f t="shared" si="1272"/>
        <v>3.7670240520785237E-3</v>
      </c>
      <c r="BV81" s="74">
        <v>5083.0444745536079</v>
      </c>
      <c r="BW81" s="81">
        <f t="shared" si="1299"/>
        <v>5428.2858215778751</v>
      </c>
      <c r="BX81" s="74">
        <v>6036.9024027137766</v>
      </c>
      <c r="BY81" s="81">
        <f t="shared" ref="BY81" si="1391">AVERAGE(BX78:BX81)</f>
        <v>6069.8199102702183</v>
      </c>
      <c r="BZ81" s="494">
        <v>6035.6940092165896</v>
      </c>
      <c r="CA81" s="495">
        <f t="shared" si="1229"/>
        <v>6058.3546134559992</v>
      </c>
      <c r="CB81" s="74">
        <v>8925.608163265304</v>
      </c>
      <c r="CC81" s="81">
        <f t="shared" ref="CC81" si="1392">AVERAGE(CB78:CB81)</f>
        <v>8180.7854093361475</v>
      </c>
      <c r="CD81" s="74">
        <v>5192.802380952382</v>
      </c>
      <c r="CE81" s="81">
        <f t="shared" si="1231"/>
        <v>5392.0944578362123</v>
      </c>
      <c r="CF81" s="74">
        <v>21945</v>
      </c>
      <c r="CG81" s="99">
        <f t="shared" si="1275"/>
        <v>10214.711789959518</v>
      </c>
      <c r="CH81" s="156">
        <v>1.2534163764475571E-2</v>
      </c>
      <c r="CI81" s="157">
        <f t="shared" si="1299"/>
        <v>1.9396943107280101E-2</v>
      </c>
      <c r="CJ81" s="156">
        <v>1.7510190647391337E-2</v>
      </c>
      <c r="CK81" s="81">
        <f t="shared" ref="CK81" si="1393">AVERAGE(CJ78:CJ81)</f>
        <v>2.0744341471548813E-2</v>
      </c>
      <c r="CL81" s="491">
        <v>1.7511520737327188E-2</v>
      </c>
      <c r="CM81" s="483">
        <f t="shared" si="1233"/>
        <v>2.0684098976760067E-2</v>
      </c>
      <c r="CN81" s="156">
        <v>3.6734693877551024E-2</v>
      </c>
      <c r="CO81" s="483">
        <f t="shared" ref="CO81" si="1394">AVERAGE(CN78:CN81)</f>
        <v>3.9856366949963008E-2</v>
      </c>
      <c r="CP81" s="156">
        <v>1.1904761904761906E-2</v>
      </c>
      <c r="CQ81" s="483">
        <f t="shared" si="1235"/>
        <v>1.4531049855637737E-2</v>
      </c>
      <c r="CR81" s="156">
        <v>0</v>
      </c>
      <c r="CS81" s="158">
        <f t="shared" si="1278"/>
        <v>3.0779063489242225E-2</v>
      </c>
      <c r="CT81" s="105">
        <v>39.879216425503479</v>
      </c>
      <c r="CU81" s="106">
        <f t="shared" si="1304"/>
        <v>41.360806121592752</v>
      </c>
      <c r="CV81" s="105">
        <v>42.974782894902702</v>
      </c>
      <c r="CW81" s="81">
        <f t="shared" ref="CW81" si="1395">AVERAGE(CV78:CV81)</f>
        <v>43.845735841903362</v>
      </c>
      <c r="CX81" s="492">
        <v>42.972350230414747</v>
      </c>
      <c r="CY81" s="493">
        <f t="shared" si="1237"/>
        <v>43.811985111280549</v>
      </c>
      <c r="CZ81" s="105">
        <v>48.089795918367344</v>
      </c>
      <c r="DA81" s="106">
        <f t="shared" ref="DA81" si="1396">AVERAGE(CZ78:CZ81)</f>
        <v>48.90333820530865</v>
      </c>
      <c r="DB81" s="105">
        <v>41.479761904761908</v>
      </c>
      <c r="DC81" s="106">
        <f t="shared" si="1239"/>
        <v>42.230817249602509</v>
      </c>
      <c r="DD81" s="105">
        <v>75</v>
      </c>
      <c r="DE81" s="107">
        <f t="shared" si="1281"/>
        <v>53.075062787553691</v>
      </c>
    </row>
    <row r="82" spans="1:109" x14ac:dyDescent="0.25">
      <c r="A82" s="155">
        <f t="shared" si="1165"/>
        <v>45695</v>
      </c>
      <c r="B82" s="74">
        <v>38.249144067650384</v>
      </c>
      <c r="C82" s="81">
        <f t="shared" si="1282"/>
        <v>38.448449638677687</v>
      </c>
      <c r="D82" s="74">
        <v>39.198616600790501</v>
      </c>
      <c r="E82" s="81">
        <f t="shared" si="1202"/>
        <v>39.080791078030359</v>
      </c>
      <c r="F82" s="74">
        <v>39.198616600790508</v>
      </c>
      <c r="G82" s="81">
        <f t="shared" si="1202"/>
        <v>39.075481740778109</v>
      </c>
      <c r="H82" s="74">
        <v>41.705627705627727</v>
      </c>
      <c r="I82" s="81">
        <f t="shared" ref="I82" si="1397">AVERAGE(H79:H82)</f>
        <v>41.039384425098717</v>
      </c>
      <c r="J82" s="74">
        <v>38.457106274007664</v>
      </c>
      <c r="K82" s="81">
        <f t="shared" si="1204"/>
        <v>38.483028101877409</v>
      </c>
      <c r="L82" s="74" t="e">
        <v>#DIV/0!</v>
      </c>
      <c r="M82" s="99" t="e">
        <f t="shared" ref="M82" si="1398">AVERAGE(L79:L82)</f>
        <v>#DIV/0!</v>
      </c>
      <c r="N82" s="156">
        <v>6.8621178939928668E-2</v>
      </c>
      <c r="O82" s="157">
        <f t="shared" si="1282"/>
        <v>6.1630377773413798E-2</v>
      </c>
      <c r="P82" s="156">
        <v>6.719367588932805E-2</v>
      </c>
      <c r="Q82" s="157">
        <f t="shared" si="1206"/>
        <v>6.8863534413873814E-2</v>
      </c>
      <c r="R82" s="491">
        <v>6.719367588932805E-2</v>
      </c>
      <c r="S82" s="483">
        <f t="shared" si="1207"/>
        <v>6.8920301561808589E-2</v>
      </c>
      <c r="T82" s="156">
        <v>6.0606060606060629E-2</v>
      </c>
      <c r="U82" s="157">
        <f t="shared" si="1208"/>
        <v>7.3707245135816557E-2</v>
      </c>
      <c r="V82" s="156">
        <v>6.9142125480153624E-2</v>
      </c>
      <c r="W82" s="157">
        <f t="shared" si="1209"/>
        <v>6.7420276139449523E-2</v>
      </c>
      <c r="X82" s="156" t="e">
        <v>#DIV/0!</v>
      </c>
      <c r="Y82" s="158" t="e">
        <f t="shared" si="1210"/>
        <v>#DIV/0!</v>
      </c>
      <c r="Z82" s="156">
        <v>0.12434700316280214</v>
      </c>
      <c r="AA82" s="157">
        <f t="shared" si="1285"/>
        <v>0.10974908909054967</v>
      </c>
      <c r="AB82" s="156">
        <v>9.9868980743983968E-2</v>
      </c>
      <c r="AC82" s="81">
        <f t="shared" ref="AC82" si="1399">AVERAGE(AB79:AB82)</f>
        <v>0.10759952914760702</v>
      </c>
      <c r="AD82" s="491">
        <v>9.9868980743983968E-2</v>
      </c>
      <c r="AE82" s="483">
        <f t="shared" si="1212"/>
        <v>0.10772233162420375</v>
      </c>
      <c r="AF82" s="156">
        <v>7.8791332422098764E-2</v>
      </c>
      <c r="AG82" s="483">
        <f t="shared" ref="AG82" si="1400">AVERAGE(AF79:AF82)</f>
        <v>0.11401323925004234</v>
      </c>
      <c r="AH82" s="156">
        <v>0.1044106007704564</v>
      </c>
      <c r="AI82" s="483">
        <f t="shared" si="1214"/>
        <v>0.10594833621910904</v>
      </c>
      <c r="AJ82" s="156" t="e">
        <v>#DIV/0!</v>
      </c>
      <c r="AK82" s="158" t="e">
        <f t="shared" si="1215"/>
        <v>#DIV/0!</v>
      </c>
      <c r="AL82" s="74">
        <v>7878.5025369575405</v>
      </c>
      <c r="AM82" s="81">
        <f t="shared" si="1288"/>
        <v>7735.9476801202391</v>
      </c>
      <c r="AN82" s="74">
        <v>7530.3250988142318</v>
      </c>
      <c r="AO82" s="81">
        <f t="shared" ref="AO82" si="1401">AVERAGE(AN79:AN82)</f>
        <v>7450.7605890264367</v>
      </c>
      <c r="AP82" s="494">
        <v>7530.3250988142318</v>
      </c>
      <c r="AQ82" s="495">
        <f t="shared" si="1217"/>
        <v>7450.7641807361506</v>
      </c>
      <c r="AR82" s="74">
        <v>7365.138528138531</v>
      </c>
      <c r="AS82" s="81">
        <f t="shared" ref="AS82" si="1402">AVERAGE(AR79:AR82)</f>
        <v>7498.8372484658203</v>
      </c>
      <c r="AT82" s="74">
        <v>7579.1830985915512</v>
      </c>
      <c r="AU82" s="81">
        <f t="shared" si="1219"/>
        <v>7434.7995276300408</v>
      </c>
      <c r="AV82" s="74" t="e">
        <v>#DIV/0!</v>
      </c>
      <c r="AW82" s="99" t="e">
        <f t="shared" si="1264"/>
        <v>#DIV/0!</v>
      </c>
      <c r="AX82" s="105">
        <v>4.1088441167423371</v>
      </c>
      <c r="AY82" s="106">
        <f t="shared" si="1291"/>
        <v>4.0648257678055213</v>
      </c>
      <c r="AZ82" s="105">
        <v>4.6245059288537531</v>
      </c>
      <c r="BA82" s="81">
        <f t="shared" ref="BA82" si="1403">AVERAGE(AZ79:AZ82)</f>
        <v>4.4649103427987864</v>
      </c>
      <c r="BB82" s="492">
        <v>4.6245059288537531</v>
      </c>
      <c r="BC82" s="493">
        <f t="shared" si="1221"/>
        <v>4.4613660689231356</v>
      </c>
      <c r="BD82" s="105">
        <v>6.2380952380952399</v>
      </c>
      <c r="BE82" s="106">
        <f t="shared" ref="BE82" si="1404">AVERAGE(BD79:BD82)</f>
        <v>6.0045525902668757</v>
      </c>
      <c r="BF82" s="105">
        <v>4.1472471190781022</v>
      </c>
      <c r="BG82" s="106">
        <f t="shared" si="1223"/>
        <v>3.9921888420874443</v>
      </c>
      <c r="BH82" s="105" t="e">
        <v>#DIV/0!</v>
      </c>
      <c r="BI82" s="107" t="e">
        <f t="shared" si="1267"/>
        <v>#DIV/0!</v>
      </c>
      <c r="BJ82" s="487">
        <v>0.54608836353315959</v>
      </c>
      <c r="BK82" s="488">
        <f t="shared" si="1294"/>
        <v>0.54854891720971799</v>
      </c>
      <c r="BL82" s="487">
        <v>0.77173913043478282</v>
      </c>
      <c r="BM82" s="489">
        <f t="shared" ref="BM82" si="1405">AVERAGE(BL79:BL82)</f>
        <v>0.76614863184068738</v>
      </c>
      <c r="BN82" s="487"/>
      <c r="BO82" s="489" t="e">
        <f t="shared" ref="BO82" si="1406">AVERAGE(BN79:BN82)</f>
        <v>#DIV/0!</v>
      </c>
      <c r="BP82" s="487">
        <v>0</v>
      </c>
      <c r="BQ82" s="489">
        <f t="shared" ref="BQ82" si="1407">AVERAGE(BP79:BP82)</f>
        <v>0</v>
      </c>
      <c r="BR82" s="487"/>
      <c r="BS82" s="489" t="e">
        <f t="shared" ref="BS82" si="1408">AVERAGE(BR79:BR82)</f>
        <v>#DIV/0!</v>
      </c>
      <c r="BT82" s="487" t="e">
        <v>#DIV/0!</v>
      </c>
      <c r="BU82" s="490" t="e">
        <f t="shared" si="1272"/>
        <v>#DIV/0!</v>
      </c>
      <c r="BV82" s="74">
        <v>4809.6835151321611</v>
      </c>
      <c r="BW82" s="81">
        <f t="shared" si="1299"/>
        <v>5305.5395465560287</v>
      </c>
      <c r="BX82" s="74">
        <v>5689.443675889328</v>
      </c>
      <c r="BY82" s="81">
        <f t="shared" ref="BY82" si="1409">AVERAGE(BX79:BX82)</f>
        <v>6001.0048877827758</v>
      </c>
      <c r="BZ82" s="494">
        <v>5689.4436758893271</v>
      </c>
      <c r="CA82" s="495">
        <f t="shared" si="1229"/>
        <v>5994.9277067770281</v>
      </c>
      <c r="CB82" s="74">
        <v>7400.190476190478</v>
      </c>
      <c r="CC82" s="81">
        <f t="shared" ref="CC82" si="1410">AVERAGE(CB79:CB82)</f>
        <v>8153.172108843537</v>
      </c>
      <c r="CD82" s="74">
        <v>5183.4481434058889</v>
      </c>
      <c r="CE82" s="81">
        <f t="shared" si="1231"/>
        <v>5340.9459780838843</v>
      </c>
      <c r="CF82" s="74" t="e">
        <v>#DIV/0!</v>
      </c>
      <c r="CG82" s="99" t="e">
        <f t="shared" si="1275"/>
        <v>#DIV/0!</v>
      </c>
      <c r="CH82" s="156">
        <v>9.0904994390377421E-3</v>
      </c>
      <c r="CI82" s="157">
        <f t="shared" si="1299"/>
        <v>1.7736018906883311E-2</v>
      </c>
      <c r="CJ82" s="156">
        <v>1.2845849802371538E-2</v>
      </c>
      <c r="CK82" s="81">
        <f t="shared" ref="CK82" si="1411">AVERAGE(CJ79:CJ82)</f>
        <v>1.8689449214700501E-2</v>
      </c>
      <c r="CL82" s="491">
        <v>1.2845849802371535E-2</v>
      </c>
      <c r="CM82" s="483">
        <f t="shared" si="1233"/>
        <v>1.8635040385268781E-2</v>
      </c>
      <c r="CN82" s="156">
        <v>3.4632034632034639E-2</v>
      </c>
      <c r="CO82" s="483">
        <f t="shared" ref="CO82" si="1412">AVERAGE(CN79:CN82)</f>
        <v>3.7020122734408453E-2</v>
      </c>
      <c r="CP82" s="156">
        <v>6.4020486555697786E-3</v>
      </c>
      <c r="CQ82" s="483">
        <f t="shared" si="1235"/>
        <v>1.307864478750847E-2</v>
      </c>
      <c r="CR82" s="156" t="e">
        <v>#DIV/0!</v>
      </c>
      <c r="CS82" s="158" t="e">
        <f t="shared" si="1278"/>
        <v>#DIV/0!</v>
      </c>
      <c r="CT82" s="105">
        <v>41.042186243715406</v>
      </c>
      <c r="CU82" s="106">
        <f t="shared" si="1304"/>
        <v>41.274668413132794</v>
      </c>
      <c r="CV82" s="105">
        <v>44.16996047430829</v>
      </c>
      <c r="CW82" s="81">
        <f t="shared" ref="CW82" si="1413">AVERAGE(CV79:CV82)</f>
        <v>43.776009161533686</v>
      </c>
      <c r="CX82" s="492">
        <v>44.169960474308276</v>
      </c>
      <c r="CY82" s="493">
        <f t="shared" si="1237"/>
        <v>43.752521322041986</v>
      </c>
      <c r="CZ82" s="105">
        <v>47.883116883116905</v>
      </c>
      <c r="DA82" s="106">
        <f t="shared" ref="DA82" si="1414">AVERAGE(CZ79:CZ82)</f>
        <v>48.750554207697071</v>
      </c>
      <c r="DB82" s="105">
        <v>43.071702944942352</v>
      </c>
      <c r="DC82" s="106">
        <f t="shared" si="1239"/>
        <v>42.258580163585712</v>
      </c>
      <c r="DD82" s="105" t="e">
        <v>#DIV/0!</v>
      </c>
      <c r="DE82" s="107" t="e">
        <f t="shared" si="1281"/>
        <v>#DIV/0!</v>
      </c>
    </row>
    <row r="83" spans="1:109" x14ac:dyDescent="0.25">
      <c r="A83" s="155">
        <f t="shared" si="1165"/>
        <v>45702</v>
      </c>
      <c r="B83" s="74">
        <v>38.532637600714239</v>
      </c>
      <c r="C83" s="81">
        <f t="shared" si="1282"/>
        <v>38.390757442273298</v>
      </c>
      <c r="D83" s="74">
        <v>39.507246376811615</v>
      </c>
      <c r="E83" s="81">
        <f t="shared" si="1202"/>
        <v>39.207965389865073</v>
      </c>
      <c r="F83" s="74">
        <v>39.507246376811622</v>
      </c>
      <c r="G83" s="81">
        <f t="shared" si="1202"/>
        <v>39.206880490944314</v>
      </c>
      <c r="H83" s="74">
        <v>40.956989247311824</v>
      </c>
      <c r="I83" s="81">
        <f t="shared" ref="I83" si="1415">AVERAGE(H80:H83)</f>
        <v>41.092917451212386</v>
      </c>
      <c r="J83" s="74">
        <v>39.087227414330258</v>
      </c>
      <c r="K83" s="81">
        <f t="shared" si="1204"/>
        <v>38.655989846764314</v>
      </c>
      <c r="L83" s="74" t="e">
        <v>#DIV/0!</v>
      </c>
      <c r="M83" s="99" t="e">
        <f t="shared" ref="M83" si="1416">AVERAGE(L80:L83)</f>
        <v>#DIV/0!</v>
      </c>
      <c r="N83" s="156">
        <v>6.1137061784236106E-2</v>
      </c>
      <c r="O83" s="157">
        <f t="shared" si="1282"/>
        <v>6.0958116482839289E-2</v>
      </c>
      <c r="P83" s="156">
        <v>7.0048309178744009E-2</v>
      </c>
      <c r="Q83" s="157">
        <f t="shared" si="1206"/>
        <v>6.9072174090425834E-2</v>
      </c>
      <c r="R83" s="491">
        <v>7.0048309178744009E-2</v>
      </c>
      <c r="S83" s="483">
        <f t="shared" si="1207"/>
        <v>6.9103122995128621E-2</v>
      </c>
      <c r="T83" s="156">
        <v>5.3763440860215048E-2</v>
      </c>
      <c r="U83" s="157">
        <f t="shared" si="1208"/>
        <v>6.6739942085564205E-2</v>
      </c>
      <c r="V83" s="156">
        <v>7.4766355140186994E-2</v>
      </c>
      <c r="W83" s="157">
        <f t="shared" si="1209"/>
        <v>6.9807517098409308E-2</v>
      </c>
      <c r="X83" s="156" t="e">
        <v>#DIV/0!</v>
      </c>
      <c r="Y83" s="158" t="e">
        <f t="shared" si="1210"/>
        <v>#DIV/0!</v>
      </c>
      <c r="Z83" s="156">
        <v>0.1045408590995745</v>
      </c>
      <c r="AA83" s="157">
        <f t="shared" si="1285"/>
        <v>0.10971198831200926</v>
      </c>
      <c r="AB83" s="156">
        <v>0.1098520862868267</v>
      </c>
      <c r="AC83" s="81">
        <f t="shared" ref="AC83" si="1417">AVERAGE(AB80:AB83)</f>
        <v>0.10748941540114332</v>
      </c>
      <c r="AD83" s="491">
        <v>0.1098520862868267</v>
      </c>
      <c r="AE83" s="483">
        <f t="shared" si="1212"/>
        <v>0.10753566818487106</v>
      </c>
      <c r="AF83" s="156">
        <v>8.9363404591913886E-2</v>
      </c>
      <c r="AG83" s="483">
        <f t="shared" ref="AG83" si="1418">AVERAGE(AF80:AF83)</f>
        <v>0.10395635413757896</v>
      </c>
      <c r="AH83" s="156">
        <v>0.11447526927256085</v>
      </c>
      <c r="AI83" s="483">
        <f t="shared" si="1214"/>
        <v>0.10817768504782303</v>
      </c>
      <c r="AJ83" s="156" t="e">
        <v>#DIV/0!</v>
      </c>
      <c r="AK83" s="158" t="e">
        <f t="shared" si="1215"/>
        <v>#DIV/0!</v>
      </c>
      <c r="AL83" s="74">
        <v>7645.2352017556914</v>
      </c>
      <c r="AM83" s="81">
        <f t="shared" si="1288"/>
        <v>7739.4705119089058</v>
      </c>
      <c r="AN83" s="74">
        <v>7380.2753623188464</v>
      </c>
      <c r="AO83" s="81">
        <f t="shared" ref="AO83" si="1419">AVERAGE(AN80:AN83)</f>
        <v>7480.2764756115957</v>
      </c>
      <c r="AP83" s="494">
        <v>7380.2753623188473</v>
      </c>
      <c r="AQ83" s="495">
        <f t="shared" si="1217"/>
        <v>7480.508352610459</v>
      </c>
      <c r="AR83" s="74">
        <v>7511.5806451612898</v>
      </c>
      <c r="AS83" s="81">
        <f t="shared" ref="AS83" si="1420">AVERAGE(AR80:AR83)</f>
        <v>7509.2956750622652</v>
      </c>
      <c r="AT83" s="74">
        <v>7342.2336448598217</v>
      </c>
      <c r="AU83" s="81">
        <f t="shared" si="1219"/>
        <v>7472.3803573232562</v>
      </c>
      <c r="AV83" s="74" t="e">
        <v>#DIV/0!</v>
      </c>
      <c r="AW83" s="99" t="e">
        <f t="shared" si="1264"/>
        <v>#DIV/0!</v>
      </c>
      <c r="AX83" s="105">
        <v>4.0116465157554773</v>
      </c>
      <c r="AY83" s="106">
        <f t="shared" si="1291"/>
        <v>4.0223369193849852</v>
      </c>
      <c r="AZ83" s="105">
        <v>4.6231884057971042</v>
      </c>
      <c r="BA83" s="81">
        <f t="shared" ref="BA83" si="1421">AVERAGE(AZ80:AZ83)</f>
        <v>4.478957116274187</v>
      </c>
      <c r="BB83" s="492">
        <v>4.6231884057971051</v>
      </c>
      <c r="BC83" s="493">
        <f t="shared" si="1221"/>
        <v>4.4777645974876004</v>
      </c>
      <c r="BD83" s="105">
        <v>5.6344086021505371</v>
      </c>
      <c r="BE83" s="106">
        <f t="shared" ref="BE83" si="1422">AVERAGE(BD80:BD83)</f>
        <v>5.8345833122330815</v>
      </c>
      <c r="BF83" s="105">
        <v>4.3302180685358307</v>
      </c>
      <c r="BG83" s="106">
        <f t="shared" si="1223"/>
        <v>4.0815368374822709</v>
      </c>
      <c r="BH83" s="105" t="e">
        <v>#DIV/0!</v>
      </c>
      <c r="BI83" s="107" t="e">
        <f t="shared" si="1267"/>
        <v>#DIV/0!</v>
      </c>
      <c r="BJ83" s="487">
        <v>0.5273410245606821</v>
      </c>
      <c r="BK83" s="488">
        <f t="shared" si="1294"/>
        <v>0.54908199202214647</v>
      </c>
      <c r="BL83" s="487">
        <v>0.77536231884057938</v>
      </c>
      <c r="BM83" s="489">
        <f t="shared" ref="BM83" si="1423">AVERAGE(BL80:BL83)</f>
        <v>0.77383307342310048</v>
      </c>
      <c r="BN83" s="487"/>
      <c r="BO83" s="489" t="e">
        <f t="shared" ref="BO83" si="1424">AVERAGE(BN80:BN83)</f>
        <v>#DIV/0!</v>
      </c>
      <c r="BP83" s="487">
        <v>0</v>
      </c>
      <c r="BQ83" s="489">
        <f t="shared" ref="BQ83" si="1425">AVERAGE(BP80:BP83)</f>
        <v>0</v>
      </c>
      <c r="BR83" s="487"/>
      <c r="BS83" s="489" t="e">
        <f t="shared" ref="BS83" si="1426">AVERAGE(BR80:BR83)</f>
        <v>#DIV/0!</v>
      </c>
      <c r="BT83" s="487" t="e">
        <v>#DIV/0!</v>
      </c>
      <c r="BU83" s="490" t="e">
        <f t="shared" si="1272"/>
        <v>#DIV/0!</v>
      </c>
      <c r="BV83" s="74">
        <v>5334.7371776566979</v>
      </c>
      <c r="BW83" s="81">
        <f t="shared" si="1299"/>
        <v>5207.1157609614975</v>
      </c>
      <c r="BX83" s="74">
        <v>6649.0893719806809</v>
      </c>
      <c r="BY83" s="81">
        <f t="shared" ref="BY83" si="1427">AVERAGE(BX80:BX83)</f>
        <v>6129.6579522677466</v>
      </c>
      <c r="BZ83" s="494">
        <v>6649.08937198068</v>
      </c>
      <c r="CA83" s="495">
        <f t="shared" si="1229"/>
        <v>6128.2166145020656</v>
      </c>
      <c r="CB83" s="74">
        <v>8929.0376344085998</v>
      </c>
      <c r="CC83" s="81">
        <f t="shared" ref="CC83" si="1428">AVERAGE(CB80:CB83)</f>
        <v>8284.4590684660943</v>
      </c>
      <c r="CD83" s="74">
        <v>5988.5436137071702</v>
      </c>
      <c r="CE83" s="81">
        <f t="shared" si="1231"/>
        <v>5499.5023978150239</v>
      </c>
      <c r="CF83" s="74" t="e">
        <v>#DIV/0!</v>
      </c>
      <c r="CG83" s="99" t="e">
        <f t="shared" si="1275"/>
        <v>#DIV/0!</v>
      </c>
      <c r="CH83" s="156">
        <v>2.0538283480390218E-2</v>
      </c>
      <c r="CI83" s="157">
        <f t="shared" si="1299"/>
        <v>1.7188265457898848E-2</v>
      </c>
      <c r="CJ83" s="156">
        <v>3.0193236714975865E-2</v>
      </c>
      <c r="CK83" s="81">
        <f t="shared" ref="CK83" si="1429">AVERAGE(CJ80:CJ83)</f>
        <v>2.0336995713625846E-2</v>
      </c>
      <c r="CL83" s="491">
        <v>3.0193236714975865E-2</v>
      </c>
      <c r="CM83" s="483">
        <f t="shared" si="1233"/>
        <v>2.0321983610903673E-2</v>
      </c>
      <c r="CN83" s="156">
        <v>4.301075268817204E-2</v>
      </c>
      <c r="CO83" s="483">
        <f t="shared" ref="CO83" si="1430">AVERAGE(CN80:CN83)</f>
        <v>3.7568729273798403E-2</v>
      </c>
      <c r="CP83" s="156">
        <v>2.6479750778816227E-2</v>
      </c>
      <c r="CQ83" s="483">
        <f t="shared" si="1235"/>
        <v>1.5282821612647306E-2</v>
      </c>
      <c r="CR83" s="156" t="e">
        <v>#DIV/0!</v>
      </c>
      <c r="CS83" s="158" t="e">
        <f t="shared" si="1278"/>
        <v>#DIV/0!</v>
      </c>
      <c r="CT83" s="105">
        <v>40.817459722397508</v>
      </c>
      <c r="CU83" s="106">
        <f t="shared" si="1304"/>
        <v>41.026393453055938</v>
      </c>
      <c r="CV83" s="105">
        <v>43.684782608695677</v>
      </c>
      <c r="CW83" s="81">
        <f t="shared" ref="CW83" si="1431">AVERAGE(CV80:CV83)</f>
        <v>43.830704357884287</v>
      </c>
      <c r="CX83" s="492">
        <v>43.684782608695684</v>
      </c>
      <c r="CY83" s="493">
        <f t="shared" si="1237"/>
        <v>43.826877014990629</v>
      </c>
      <c r="CZ83" s="105">
        <v>46.827956989247319</v>
      </c>
      <c r="DA83" s="106">
        <f t="shared" ref="DA83" si="1432">AVERAGE(CZ80:CZ83)</f>
        <v>48.736114883580328</v>
      </c>
      <c r="DB83" s="105">
        <v>42.774143302180725</v>
      </c>
      <c r="DC83" s="106">
        <f t="shared" si="1239"/>
        <v>42.396409467391763</v>
      </c>
      <c r="DD83" s="105" t="e">
        <v>#DIV/0!</v>
      </c>
      <c r="DE83" s="107" t="e">
        <f t="shared" si="1281"/>
        <v>#DIV/0!</v>
      </c>
    </row>
    <row r="84" spans="1:109" x14ac:dyDescent="0.25">
      <c r="A84" s="155">
        <f t="shared" si="1165"/>
        <v>45709</v>
      </c>
      <c r="B84" s="74">
        <v>38.728010607418518</v>
      </c>
      <c r="C84" s="81">
        <f t="shared" si="1282"/>
        <v>38.38205546028356</v>
      </c>
      <c r="D84" s="74">
        <v>39.638601036269463</v>
      </c>
      <c r="E84" s="81">
        <f t="shared" si="1202"/>
        <v>39.231878972807294</v>
      </c>
      <c r="F84" s="74">
        <v>39.638601036269471</v>
      </c>
      <c r="G84" s="81">
        <f t="shared" si="1202"/>
        <v>39.23173812328357</v>
      </c>
      <c r="H84" s="74">
        <v>41.173913043478265</v>
      </c>
      <c r="I84" s="81">
        <f t="shared" ref="I84" si="1433">AVERAGE(H81:H84)</f>
        <v>40.942805968492209</v>
      </c>
      <c r="J84" s="74">
        <v>39.158163265306172</v>
      </c>
      <c r="K84" s="81">
        <f t="shared" si="1204"/>
        <v>38.72264804793484</v>
      </c>
      <c r="L84" s="74" t="e">
        <v>#DIV/0!</v>
      </c>
      <c r="M84" s="99" t="e">
        <f t="shared" ref="M84" si="1434">AVERAGE(L81:L84)</f>
        <v>#DIV/0!</v>
      </c>
      <c r="N84" s="156">
        <v>5.9047944174031516E-2</v>
      </c>
      <c r="O84" s="157">
        <f t="shared" si="1282"/>
        <v>6.0142416267830505E-2</v>
      </c>
      <c r="P84" s="156">
        <v>6.7357512953367948E-2</v>
      </c>
      <c r="Q84" s="157">
        <f t="shared" si="1206"/>
        <v>6.7508078925949275E-2</v>
      </c>
      <c r="R84" s="491">
        <v>6.7357512953367935E-2</v>
      </c>
      <c r="S84" s="483">
        <f t="shared" si="1207"/>
        <v>6.7509321509968301E-2</v>
      </c>
      <c r="T84" s="156">
        <v>0.10326086956521736</v>
      </c>
      <c r="U84" s="157">
        <f t="shared" si="1208"/>
        <v>6.5632082553791618E-2</v>
      </c>
      <c r="V84" s="156">
        <v>5.6122448979591906E-2</v>
      </c>
      <c r="W84" s="157">
        <f t="shared" si="1209"/>
        <v>6.7864875257125992E-2</v>
      </c>
      <c r="X84" s="156" t="e">
        <v>#DIV/0!</v>
      </c>
      <c r="Y84" s="158" t="e">
        <f t="shared" si="1210"/>
        <v>#DIV/0!</v>
      </c>
      <c r="Z84" s="156">
        <v>0.10453267103636894</v>
      </c>
      <c r="AA84" s="157">
        <f t="shared" si="1285"/>
        <v>0.10829088631750158</v>
      </c>
      <c r="AB84" s="156">
        <v>0.10629542196746054</v>
      </c>
      <c r="AC84" s="81">
        <f t="shared" ref="AC84" si="1435">AVERAGE(AB81:AB84)</f>
        <v>0.10395897197738702</v>
      </c>
      <c r="AD84" s="491">
        <v>0.10629542196746054</v>
      </c>
      <c r="AE84" s="483">
        <f t="shared" si="1212"/>
        <v>0.10396178750837638</v>
      </c>
      <c r="AF84" s="156">
        <v>0.16671027936729493</v>
      </c>
      <c r="AG84" s="483">
        <f t="shared" ref="AG84" si="1436">AVERAGE(AF81:AF84)</f>
        <v>0.10184961613074725</v>
      </c>
      <c r="AH84" s="156">
        <v>9.1481806703486906E-2</v>
      </c>
      <c r="AI84" s="483">
        <f t="shared" si="1214"/>
        <v>0.10423052895717441</v>
      </c>
      <c r="AJ84" s="156" t="e">
        <v>#DIV/0!</v>
      </c>
      <c r="AK84" s="158" t="e">
        <f t="shared" si="1215"/>
        <v>#DIV/0!</v>
      </c>
      <c r="AL84" s="74">
        <v>7827.9635563896145</v>
      </c>
      <c r="AM84" s="81">
        <f t="shared" si="1288"/>
        <v>7768.614764449906</v>
      </c>
      <c r="AN84" s="74">
        <v>7534.2344559585572</v>
      </c>
      <c r="AO84" s="81">
        <f t="shared" ref="AO84" si="1437">AVERAGE(AN81:AN84)</f>
        <v>7509.5162235129765</v>
      </c>
      <c r="AP84" s="494">
        <v>7534.2344559585572</v>
      </c>
      <c r="AQ84" s="495">
        <f t="shared" si="1217"/>
        <v>7509.508498858163</v>
      </c>
      <c r="AR84" s="74">
        <v>7708.9565217391309</v>
      </c>
      <c r="AS84" s="81">
        <f t="shared" ref="AS84" si="1438">AVERAGE(AR81:AR84)</f>
        <v>7563.8719849842282</v>
      </c>
      <c r="AT84" s="74">
        <v>7479.5595238095339</v>
      </c>
      <c r="AU84" s="81">
        <f t="shared" si="1219"/>
        <v>7492.9574596723696</v>
      </c>
      <c r="AV84" s="74" t="e">
        <v>#DIV/0!</v>
      </c>
      <c r="AW84" s="99" t="e">
        <f t="shared" si="1264"/>
        <v>#DIV/0!</v>
      </c>
      <c r="AX84" s="105">
        <v>4.2207300489316069</v>
      </c>
      <c r="AY84" s="106">
        <f t="shared" si="1291"/>
        <v>4.0468233478322038</v>
      </c>
      <c r="AZ84" s="105">
        <v>4.8471502590673623</v>
      </c>
      <c r="BA84" s="81">
        <f t="shared" ref="BA84" si="1439">AVERAGE(AZ81:AZ84)</f>
        <v>4.6162333653067495</v>
      </c>
      <c r="BB84" s="492">
        <v>4.8471502590673623</v>
      </c>
      <c r="BC84" s="493">
        <f t="shared" si="1221"/>
        <v>4.6161074617936109</v>
      </c>
      <c r="BD84" s="105">
        <v>6.0108695652173898</v>
      </c>
      <c r="BE84" s="106">
        <f t="shared" ref="BE84" si="1440">AVERAGE(BD81:BD84)</f>
        <v>5.9116596778964041</v>
      </c>
      <c r="BF84" s="105">
        <v>4.4829931972789172</v>
      </c>
      <c r="BG84" s="106">
        <f t="shared" si="1223"/>
        <v>4.230888405747022</v>
      </c>
      <c r="BH84" s="105" t="e">
        <v>#DIV/0!</v>
      </c>
      <c r="BI84" s="107" t="e">
        <f t="shared" si="1267"/>
        <v>#DIV/0!</v>
      </c>
      <c r="BJ84" s="487">
        <v>0.51759103041266397</v>
      </c>
      <c r="BK84" s="488">
        <f t="shared" si="1294"/>
        <v>0.53777156774842838</v>
      </c>
      <c r="BL84" s="487">
        <v>0.76165803108808272</v>
      </c>
      <c r="BM84" s="489">
        <f t="shared" ref="BM84" si="1441">AVERAGE(BL81:BL84)</f>
        <v>0.77072355619360766</v>
      </c>
      <c r="BN84" s="487"/>
      <c r="BO84" s="489" t="e">
        <f t="shared" ref="BO84" si="1442">AVERAGE(BN81:BN84)</f>
        <v>#DIV/0!</v>
      </c>
      <c r="BP84" s="487">
        <v>0</v>
      </c>
      <c r="BQ84" s="489">
        <f t="shared" ref="BQ84" si="1443">AVERAGE(BP81:BP84)</f>
        <v>0</v>
      </c>
      <c r="BR84" s="487"/>
      <c r="BS84" s="489" t="e">
        <f t="shared" ref="BS84" si="1444">AVERAGE(BR81:BR84)</f>
        <v>#DIV/0!</v>
      </c>
      <c r="BT84" s="487" t="e">
        <v>#DIV/0!</v>
      </c>
      <c r="BU84" s="490" t="e">
        <f t="shared" si="1272"/>
        <v>#DIV/0!</v>
      </c>
      <c r="BV84" s="74">
        <v>4951.4185684853092</v>
      </c>
      <c r="BW84" s="81">
        <f t="shared" si="1299"/>
        <v>5086.9728698316039</v>
      </c>
      <c r="BX84" s="74">
        <v>6055.9015544041522</v>
      </c>
      <c r="BY84" s="81">
        <f t="shared" ref="BY84" si="1445">AVERAGE(BX81:BX84)</f>
        <v>6107.8342512469844</v>
      </c>
      <c r="BZ84" s="494">
        <v>6055.9015544041504</v>
      </c>
      <c r="CA84" s="495">
        <f t="shared" si="1229"/>
        <v>6107.5321528726872</v>
      </c>
      <c r="CB84" s="74">
        <v>8714.9782608695659</v>
      </c>
      <c r="CC84" s="81">
        <f t="shared" ref="CC84" si="1446">AVERAGE(CB81:CB84)</f>
        <v>8492.4536336834863</v>
      </c>
      <c r="CD84" s="74">
        <v>5223.8095238095293</v>
      </c>
      <c r="CE84" s="81">
        <f t="shared" si="1231"/>
        <v>5397.1509154687428</v>
      </c>
      <c r="CF84" s="74" t="e">
        <v>#DIV/0!</v>
      </c>
      <c r="CG84" s="99" t="e">
        <f t="shared" si="1275"/>
        <v>#DIV/0!</v>
      </c>
      <c r="CH84" s="156">
        <v>1.7608966044925369E-2</v>
      </c>
      <c r="CI84" s="157">
        <f t="shared" si="1299"/>
        <v>1.5491168013522407E-2</v>
      </c>
      <c r="CJ84" s="156">
        <v>2.4611398963730595E-2</v>
      </c>
      <c r="CK84" s="81">
        <f t="shared" ref="CK84" si="1447">AVERAGE(CJ81:CJ84)</f>
        <v>2.1290169032117334E-2</v>
      </c>
      <c r="CL84" s="491">
        <v>2.4611398963730595E-2</v>
      </c>
      <c r="CM84" s="483">
        <f t="shared" si="1233"/>
        <v>2.1290501554601299E-2</v>
      </c>
      <c r="CN84" s="156">
        <v>6.5217391304347824E-2</v>
      </c>
      <c r="CO84" s="483">
        <f t="shared" ref="CO84" si="1448">AVERAGE(CN81:CN84)</f>
        <v>4.4898718125526385E-2</v>
      </c>
      <c r="CP84" s="156">
        <v>1.1904761904761918E-2</v>
      </c>
      <c r="CQ84" s="483">
        <f t="shared" si="1235"/>
        <v>1.4172830810977456E-2</v>
      </c>
      <c r="CR84" s="156" t="e">
        <v>#DIV/0!</v>
      </c>
      <c r="CS84" s="158" t="e">
        <f t="shared" si="1278"/>
        <v>#DIV/0!</v>
      </c>
      <c r="CT84" s="105">
        <v>40.646510470846586</v>
      </c>
      <c r="CU84" s="106">
        <f t="shared" si="1304"/>
        <v>40.884992408855645</v>
      </c>
      <c r="CV84" s="105">
        <v>43.323834196891241</v>
      </c>
      <c r="CW84" s="81">
        <f t="shared" ref="CW84" si="1449">AVERAGE(CV81:CV84)</f>
        <v>43.538340043699478</v>
      </c>
      <c r="CX84" s="492">
        <v>43.323834196891234</v>
      </c>
      <c r="CY84" s="493">
        <f t="shared" si="1237"/>
        <v>43.537731877577485</v>
      </c>
      <c r="CZ84" s="105">
        <v>47.108695652173907</v>
      </c>
      <c r="DA84" s="106">
        <f t="shared" ref="DA84" si="1450">AVERAGE(CZ81:CZ84)</f>
        <v>47.477391360726372</v>
      </c>
      <c r="DB84" s="105">
        <v>42.139455782312979</v>
      </c>
      <c r="DC84" s="106">
        <f t="shared" si="1239"/>
        <v>42.366265983549489</v>
      </c>
      <c r="DD84" s="105" t="e">
        <v>#DIV/0!</v>
      </c>
      <c r="DE84" s="107" t="e">
        <f t="shared" si="1281"/>
        <v>#DIV/0!</v>
      </c>
    </row>
    <row r="85" spans="1:109" x14ac:dyDescent="0.25">
      <c r="A85" s="155">
        <f t="shared" si="1165"/>
        <v>45716</v>
      </c>
      <c r="B85" s="74">
        <v>38.686395323778825</v>
      </c>
      <c r="C85" s="81">
        <f t="shared" si="1282"/>
        <v>38.444886663969967</v>
      </c>
      <c r="D85" s="74">
        <v>39.429743589743559</v>
      </c>
      <c r="E85" s="81">
        <f t="shared" si="1202"/>
        <v>39.443551900903785</v>
      </c>
      <c r="F85" s="74">
        <v>39.429743589743559</v>
      </c>
      <c r="G85" s="81">
        <f t="shared" si="1202"/>
        <v>39.443551900903792</v>
      </c>
      <c r="H85" s="74">
        <v>42.054187192118235</v>
      </c>
      <c r="I85" s="81">
        <f t="shared" ref="I85" si="1451">AVERAGE(H82:H85)</f>
        <v>41.472679297134007</v>
      </c>
      <c r="J85" s="74">
        <v>38.739637305699453</v>
      </c>
      <c r="K85" s="81">
        <f t="shared" si="1204"/>
        <v>38.86053356483589</v>
      </c>
      <c r="L85" s="74" t="e">
        <v>#DIV/0!</v>
      </c>
      <c r="M85" s="99" t="e">
        <f t="shared" ref="M85" si="1452">AVERAGE(L82:L85)</f>
        <v>#DIV/0!</v>
      </c>
      <c r="N85" s="156">
        <v>4.3981137839145229E-2</v>
      </c>
      <c r="O85" s="157">
        <f t="shared" si="1282"/>
        <v>5.8668336962945773E-2</v>
      </c>
      <c r="P85" s="156">
        <v>4.8205128205128178E-2</v>
      </c>
      <c r="Q85" s="157">
        <f t="shared" si="1206"/>
        <v>6.3201156556642046E-2</v>
      </c>
      <c r="R85" s="491">
        <v>4.8205128205128171E-2</v>
      </c>
      <c r="S85" s="483">
        <f t="shared" si="1207"/>
        <v>6.3201156556642046E-2</v>
      </c>
      <c r="T85" s="156">
        <v>7.389162561576354E-2</v>
      </c>
      <c r="U85" s="157">
        <f t="shared" si="1208"/>
        <v>7.2880499161814133E-2</v>
      </c>
      <c r="V85" s="156">
        <v>4.1450777202072506E-2</v>
      </c>
      <c r="W85" s="157">
        <f t="shared" si="1209"/>
        <v>6.0370426700501259E-2</v>
      </c>
      <c r="X85" s="156" t="e">
        <v>#DIV/0!</v>
      </c>
      <c r="Y85" s="158" t="e">
        <f t="shared" si="1210"/>
        <v>#DIV/0!</v>
      </c>
      <c r="Z85" s="156">
        <v>7.841132672716182E-2</v>
      </c>
      <c r="AA85" s="157">
        <f t="shared" si="1285"/>
        <v>0.10554087618255736</v>
      </c>
      <c r="AB85" s="156">
        <v>8.1137283939131694E-2</v>
      </c>
      <c r="AC85" s="81">
        <f t="shared" ref="AC85" si="1453">AVERAGE(AB82:AB85)</f>
        <v>9.9288443234350737E-2</v>
      </c>
      <c r="AD85" s="491">
        <v>8.1137283939131707E-2</v>
      </c>
      <c r="AE85" s="483">
        <f t="shared" si="1212"/>
        <v>9.9288443234350737E-2</v>
      </c>
      <c r="AF85" s="156">
        <v>0.13978699431774111</v>
      </c>
      <c r="AG85" s="483">
        <f t="shared" ref="AG85" si="1454">AVERAGE(AF82:AF85)</f>
        <v>0.11866300267476218</v>
      </c>
      <c r="AH85" s="156">
        <v>6.7554983926312415E-2</v>
      </c>
      <c r="AI85" s="483">
        <f t="shared" si="1214"/>
        <v>9.4480665168204137E-2</v>
      </c>
      <c r="AJ85" s="156" t="e">
        <v>#DIV/0!</v>
      </c>
      <c r="AK85" s="158" t="e">
        <f t="shared" si="1215"/>
        <v>#DIV/0!</v>
      </c>
      <c r="AL85" s="74">
        <v>7936.0602748182819</v>
      </c>
      <c r="AM85" s="81">
        <f t="shared" si="1288"/>
        <v>7798.6114729034089</v>
      </c>
      <c r="AN85" s="74">
        <v>7664.6389743589662</v>
      </c>
      <c r="AO85" s="81">
        <f t="shared" ref="AO85" si="1455">AVERAGE(AN82:AN85)</f>
        <v>7527.3684728626504</v>
      </c>
      <c r="AP85" s="494">
        <v>7664.6389743589662</v>
      </c>
      <c r="AQ85" s="495">
        <f t="shared" si="1217"/>
        <v>7527.3684728626504</v>
      </c>
      <c r="AR85" s="74">
        <v>7787.3448275862074</v>
      </c>
      <c r="AS85" s="81">
        <f t="shared" ref="AS85" si="1456">AVERAGE(AR82:AR85)</f>
        <v>7593.25513065629</v>
      </c>
      <c r="AT85" s="74">
        <v>7632.3730569948084</v>
      </c>
      <c r="AU85" s="81">
        <f t="shared" si="1219"/>
        <v>7508.337331063929</v>
      </c>
      <c r="AV85" s="74" t="e">
        <v>#DIV/0!</v>
      </c>
      <c r="AW85" s="99" t="e">
        <f t="shared" si="1264"/>
        <v>#DIV/0!</v>
      </c>
      <c r="AX85" s="105">
        <v>4.1028071612362789</v>
      </c>
      <c r="AY85" s="106">
        <f t="shared" si="1291"/>
        <v>4.0539523941016355</v>
      </c>
      <c r="AZ85" s="105">
        <v>4.6594871794871766</v>
      </c>
      <c r="BA85" s="81">
        <f t="shared" ref="BA85" si="1457">AVERAGE(AZ82:AZ85)</f>
        <v>4.6885829433013493</v>
      </c>
      <c r="BB85" s="492">
        <v>4.6594871794871757</v>
      </c>
      <c r="BC85" s="493">
        <f t="shared" si="1221"/>
        <v>4.6885829433013493</v>
      </c>
      <c r="BD85" s="105">
        <v>6.6305418719211833</v>
      </c>
      <c r="BE85" s="106">
        <f t="shared" ref="BE85" si="1458">AVERAGE(BD82:BD85)</f>
        <v>6.1284788193460873</v>
      </c>
      <c r="BF85" s="105">
        <v>4.1411917098445565</v>
      </c>
      <c r="BG85" s="106">
        <f t="shared" si="1223"/>
        <v>4.2754125236843521</v>
      </c>
      <c r="BH85" s="105" t="e">
        <v>#DIV/0!</v>
      </c>
      <c r="BI85" s="107" t="e">
        <f t="shared" si="1267"/>
        <v>#DIV/0!</v>
      </c>
      <c r="BJ85" s="487">
        <v>0.55575960571218497</v>
      </c>
      <c r="BK85" s="488">
        <f t="shared" si="1294"/>
        <v>0.53789226433505932</v>
      </c>
      <c r="BL85" s="487">
        <v>0.79179487179487185</v>
      </c>
      <c r="BM85" s="489">
        <f t="shared" ref="BM85" si="1459">AVERAGE(BL82:BL85)</f>
        <v>0.77513858803957925</v>
      </c>
      <c r="BN85" s="487"/>
      <c r="BO85" s="489" t="e">
        <f t="shared" ref="BO85" si="1460">AVERAGE(BN82:BN85)</f>
        <v>#DIV/0!</v>
      </c>
      <c r="BP85" s="487">
        <v>0</v>
      </c>
      <c r="BQ85" s="489">
        <f t="shared" ref="BQ85" si="1461">AVERAGE(BP82:BP85)</f>
        <v>0</v>
      </c>
      <c r="BR85" s="487"/>
      <c r="BS85" s="489" t="e">
        <f t="shared" ref="BS85" si="1462">AVERAGE(BR82:BR85)</f>
        <v>#DIV/0!</v>
      </c>
      <c r="BT85" s="487" t="e">
        <v>#DIV/0!</v>
      </c>
      <c r="BU85" s="490" t="e">
        <f t="shared" si="1272"/>
        <v>#DIV/0!</v>
      </c>
      <c r="BV85" s="74">
        <v>4810.6980998579902</v>
      </c>
      <c r="BW85" s="81">
        <f t="shared" si="1299"/>
        <v>5035.5368422803876</v>
      </c>
      <c r="BX85" s="74">
        <v>5795.4717948717907</v>
      </c>
      <c r="BY85" s="81">
        <f t="shared" ref="BY85" si="1463">AVERAGE(BX82:BX85)</f>
        <v>6047.4765992864877</v>
      </c>
      <c r="BZ85" s="494">
        <v>5795.4717948717907</v>
      </c>
      <c r="CA85" s="495">
        <f t="shared" si="1229"/>
        <v>6047.4765992864877</v>
      </c>
      <c r="CB85" s="74">
        <v>8395.3743842364529</v>
      </c>
      <c r="CC85" s="81">
        <f t="shared" ref="CC85" si="1464">AVERAGE(CB82:CB85)</f>
        <v>8359.8951889262753</v>
      </c>
      <c r="CD85" s="74">
        <v>5111.8186528497372</v>
      </c>
      <c r="CE85" s="81">
        <f t="shared" si="1231"/>
        <v>5376.9049834430807</v>
      </c>
      <c r="CF85" s="74" t="e">
        <v>#DIV/0!</v>
      </c>
      <c r="CG85" s="99" t="e">
        <f t="shared" si="1275"/>
        <v>#DIV/0!</v>
      </c>
      <c r="CH85" s="156">
        <v>1.5118595962477156E-2</v>
      </c>
      <c r="CI85" s="157">
        <f t="shared" si="1299"/>
        <v>1.5365468325177259E-2</v>
      </c>
      <c r="CJ85" s="156">
        <v>2.1538461538461524E-2</v>
      </c>
      <c r="CK85" s="81">
        <f t="shared" ref="CK85" si="1465">AVERAGE(CJ82:CJ85)</f>
        <v>2.2297236754884878E-2</v>
      </c>
      <c r="CL85" s="491">
        <v>2.1538461538461524E-2</v>
      </c>
      <c r="CM85" s="483">
        <f t="shared" si="1233"/>
        <v>2.2297236754884878E-2</v>
      </c>
      <c r="CN85" s="156">
        <v>5.4187192118226597E-2</v>
      </c>
      <c r="CO85" s="483">
        <f t="shared" ref="CO85" si="1466">AVERAGE(CN82:CN85)</f>
        <v>4.9261842685695278E-2</v>
      </c>
      <c r="CP85" s="156">
        <v>1.2953367875647659E-2</v>
      </c>
      <c r="CQ85" s="483">
        <f t="shared" si="1235"/>
        <v>1.4434982303698895E-2</v>
      </c>
      <c r="CR85" s="156" t="e">
        <v>#DIV/0!</v>
      </c>
      <c r="CS85" s="158" t="e">
        <f t="shared" si="1278"/>
        <v>#DIV/0!</v>
      </c>
      <c r="CT85" s="105">
        <v>39.795615376097189</v>
      </c>
      <c r="CU85" s="106">
        <f t="shared" si="1304"/>
        <v>40.614380206862698</v>
      </c>
      <c r="CV85" s="105">
        <v>42.731282051282015</v>
      </c>
      <c r="CW85" s="81">
        <f t="shared" ref="CW85" si="1467">AVERAGE(CV82:CV85)</f>
        <v>43.477464832794304</v>
      </c>
      <c r="CX85" s="492">
        <v>42.731282051282022</v>
      </c>
      <c r="CY85" s="493">
        <f t="shared" si="1237"/>
        <v>43.477464832794304</v>
      </c>
      <c r="CZ85" s="105">
        <v>46.640394088669957</v>
      </c>
      <c r="DA85" s="106">
        <f t="shared" ref="DA85" si="1468">AVERAGE(CZ82:CZ85)</f>
        <v>47.115040903302017</v>
      </c>
      <c r="DB85" s="105">
        <v>41.703367875647636</v>
      </c>
      <c r="DC85" s="106">
        <f t="shared" si="1239"/>
        <v>42.422167476270921</v>
      </c>
      <c r="DD85" s="105" t="e">
        <v>#DIV/0!</v>
      </c>
      <c r="DE85" s="107" t="e">
        <f t="shared" si="1281"/>
        <v>#DIV/0!</v>
      </c>
    </row>
    <row r="86" spans="1:109" x14ac:dyDescent="0.25">
      <c r="A86" s="155">
        <f t="shared" si="1165"/>
        <v>45723</v>
      </c>
      <c r="B86" s="74">
        <v>38.578017035674691</v>
      </c>
      <c r="C86" s="81">
        <f t="shared" si="1282"/>
        <v>38.497265028269467</v>
      </c>
      <c r="D86" s="74">
        <v>39.644260599793142</v>
      </c>
      <c r="E86" s="81">
        <f t="shared" si="1202"/>
        <v>39.554962900654445</v>
      </c>
      <c r="F86" s="74">
        <v>39.644260599793142</v>
      </c>
      <c r="G86" s="81">
        <f t="shared" si="1202"/>
        <v>39.554962900654452</v>
      </c>
      <c r="H86" s="74">
        <v>42.497267759562838</v>
      </c>
      <c r="I86" s="81">
        <f t="shared" ref="I86" si="1469">AVERAGE(H83:H86)</f>
        <v>41.670589310617792</v>
      </c>
      <c r="J86" s="74">
        <v>38.978316326530582</v>
      </c>
      <c r="K86" s="81">
        <f t="shared" si="1204"/>
        <v>38.990836077966613</v>
      </c>
      <c r="L86" s="74" t="e">
        <v>#DIV/0!</v>
      </c>
      <c r="M86" s="99" t="e">
        <f t="shared" ref="M86" si="1470">AVERAGE(L83:L86)</f>
        <v>#DIV/0!</v>
      </c>
      <c r="N86" s="156">
        <v>4.9985649235678539E-2</v>
      </c>
      <c r="O86" s="157">
        <f t="shared" si="1282"/>
        <v>5.754690278634618E-2</v>
      </c>
      <c r="P86" s="156">
        <v>5.8945191313340195E-2</v>
      </c>
      <c r="Q86" s="157">
        <f t="shared" si="1206"/>
        <v>6.1139035412645079E-2</v>
      </c>
      <c r="R86" s="491">
        <v>5.8945191313340195E-2</v>
      </c>
      <c r="S86" s="483">
        <f t="shared" si="1207"/>
        <v>6.1139035412645079E-2</v>
      </c>
      <c r="T86" s="156">
        <v>7.650273224043716E-2</v>
      </c>
      <c r="U86" s="157">
        <f t="shared" si="1208"/>
        <v>7.6854667070408278E-2</v>
      </c>
      <c r="V86" s="156">
        <v>5.4846938775510168E-2</v>
      </c>
      <c r="W86" s="157">
        <f t="shared" si="1209"/>
        <v>5.6796630024340392E-2</v>
      </c>
      <c r="X86" s="156" t="e">
        <v>#DIV/0!</v>
      </c>
      <c r="Y86" s="158" t="e">
        <f t="shared" si="1210"/>
        <v>#DIV/0!</v>
      </c>
      <c r="Z86" s="156">
        <v>8.839892882991067E-2</v>
      </c>
      <c r="AA86" s="157">
        <f t="shared" si="1285"/>
        <v>0.10320923123385374</v>
      </c>
      <c r="AB86" s="156">
        <v>9.5626217869372879E-2</v>
      </c>
      <c r="AC86" s="81">
        <f t="shared" ref="AC86" si="1471">AVERAGE(AB83:AB86)</f>
        <v>9.8227752515697958E-2</v>
      </c>
      <c r="AD86" s="491">
        <v>9.5626217869372893E-2</v>
      </c>
      <c r="AE86" s="483">
        <f t="shared" si="1212"/>
        <v>9.8227752515697958E-2</v>
      </c>
      <c r="AF86" s="156">
        <v>0.16056078972976989</v>
      </c>
      <c r="AG86" s="483">
        <f t="shared" ref="AG86" si="1472">AVERAGE(AF83:AF86)</f>
        <v>0.13910536700167997</v>
      </c>
      <c r="AH86" s="156">
        <v>8.214128920416866E-2</v>
      </c>
      <c r="AI86" s="483">
        <f t="shared" si="1214"/>
        <v>8.8913337276632198E-2</v>
      </c>
      <c r="AJ86" s="156" t="e">
        <v>#DIV/0!</v>
      </c>
      <c r="AK86" s="158" t="e">
        <f t="shared" si="1215"/>
        <v>#DIV/0!</v>
      </c>
      <c r="AL86" s="74">
        <v>7856.0396636554988</v>
      </c>
      <c r="AM86" s="81">
        <f t="shared" si="1288"/>
        <v>7834.8811728660494</v>
      </c>
      <c r="AN86" s="74">
        <v>7479.988624612196</v>
      </c>
      <c r="AO86" s="81">
        <f t="shared" ref="AO86" si="1473">AVERAGE(AN83:AN86)</f>
        <v>7514.7843543121417</v>
      </c>
      <c r="AP86" s="494">
        <v>7479.9886246121941</v>
      </c>
      <c r="AQ86" s="495">
        <f t="shared" si="1217"/>
        <v>7514.7843543121407</v>
      </c>
      <c r="AR86" s="74">
        <v>7196.1748633879788</v>
      </c>
      <c r="AS86" s="81">
        <f t="shared" ref="AS86" si="1474">AVERAGE(AR83:AR86)</f>
        <v>7551.0142144686515</v>
      </c>
      <c r="AT86" s="74">
        <v>7546.2359693877452</v>
      </c>
      <c r="AU86" s="81">
        <f t="shared" si="1219"/>
        <v>7500.1005487629773</v>
      </c>
      <c r="AV86" s="74" t="e">
        <v>#DIV/0!</v>
      </c>
      <c r="AW86" s="99" t="e">
        <f t="shared" si="1264"/>
        <v>#DIV/0!</v>
      </c>
      <c r="AX86" s="105">
        <v>3.9822131333878792</v>
      </c>
      <c r="AY86" s="106">
        <f t="shared" si="1291"/>
        <v>4.0294618609617494</v>
      </c>
      <c r="AZ86" s="105">
        <v>4.5449844881075459</v>
      </c>
      <c r="BA86" s="81">
        <f t="shared" ref="BA86" si="1475">AVERAGE(AZ83:AZ86)</f>
        <v>4.668702583114797</v>
      </c>
      <c r="BB86" s="492">
        <v>4.544984488107545</v>
      </c>
      <c r="BC86" s="493">
        <f t="shared" si="1221"/>
        <v>4.668702583114797</v>
      </c>
      <c r="BD86" s="105">
        <v>6.5136612021857925</v>
      </c>
      <c r="BE86" s="106">
        <f t="shared" ref="BE86" si="1476">AVERAGE(BD83:BD86)</f>
        <v>6.1973703103687257</v>
      </c>
      <c r="BF86" s="105">
        <v>4.0854591836734659</v>
      </c>
      <c r="BG86" s="106">
        <f t="shared" si="1223"/>
        <v>4.2599655398331926</v>
      </c>
      <c r="BH86" s="105" t="e">
        <v>#DIV/0!</v>
      </c>
      <c r="BI86" s="107" t="e">
        <f t="shared" si="1267"/>
        <v>#DIV/0!</v>
      </c>
      <c r="BJ86" s="487">
        <v>0.5591735885866993</v>
      </c>
      <c r="BK86" s="488">
        <f t="shared" si="1294"/>
        <v>0.54231515577892586</v>
      </c>
      <c r="BL86" s="487">
        <v>0.8107549120992763</v>
      </c>
      <c r="BM86" s="489">
        <f t="shared" ref="BM86" si="1477">AVERAGE(BL83:BL86)</f>
        <v>0.78489253345570253</v>
      </c>
      <c r="BN86" s="487"/>
      <c r="BO86" s="489" t="e">
        <f t="shared" ref="BO86" si="1478">AVERAGE(BN83:BN86)</f>
        <v>#DIV/0!</v>
      </c>
      <c r="BP86" s="487">
        <v>0</v>
      </c>
      <c r="BQ86" s="489">
        <f t="shared" ref="BQ86" si="1479">AVERAGE(BP83:BP86)</f>
        <v>0</v>
      </c>
      <c r="BR86" s="487"/>
      <c r="BS86" s="489" t="e">
        <f t="shared" ref="BS86" si="1480">AVERAGE(BR83:BR86)</f>
        <v>#DIV/0!</v>
      </c>
      <c r="BT86" s="487" t="e">
        <v>#DIV/0!</v>
      </c>
      <c r="BU86" s="490" t="e">
        <f t="shared" si="1272"/>
        <v>#DIV/0!</v>
      </c>
      <c r="BV86" s="74">
        <v>4942.4931317063692</v>
      </c>
      <c r="BW86" s="81">
        <f t="shared" si="1299"/>
        <v>5008.290746794919</v>
      </c>
      <c r="BX86" s="74">
        <v>5914.1313340227434</v>
      </c>
      <c r="BY86" s="81">
        <f t="shared" ref="BY86" si="1481">AVERAGE(BX83:BX86)</f>
        <v>6103.6485138198414</v>
      </c>
      <c r="BZ86" s="494">
        <v>5914.1313340227416</v>
      </c>
      <c r="CA86" s="495">
        <f t="shared" si="1229"/>
        <v>6103.6485138198414</v>
      </c>
      <c r="CB86" s="74">
        <v>8538.4371584699456</v>
      </c>
      <c r="CC86" s="81">
        <f t="shared" ref="CC86" si="1482">AVERAGE(CB83:CB86)</f>
        <v>8644.4568594961402</v>
      </c>
      <c r="CD86" s="74">
        <v>5301.570153061215</v>
      </c>
      <c r="CE86" s="81">
        <f t="shared" si="1231"/>
        <v>5406.4354858569131</v>
      </c>
      <c r="CF86" s="74" t="e">
        <v>#DIV/0!</v>
      </c>
      <c r="CG86" s="99" t="e">
        <f t="shared" si="1275"/>
        <v>#DIV/0!</v>
      </c>
      <c r="CH86" s="156">
        <v>1.640604171536347E-2</v>
      </c>
      <c r="CI86" s="157">
        <f t="shared" si="1299"/>
        <v>1.5214433163464504E-2</v>
      </c>
      <c r="CJ86" s="156">
        <v>2.3784901758014464E-2</v>
      </c>
      <c r="CK86" s="81">
        <f t="shared" ref="CK86" si="1483">AVERAGE(CJ83:CJ86)</f>
        <v>2.5031999743795611E-2</v>
      </c>
      <c r="CL86" s="491">
        <v>2.3784901758014461E-2</v>
      </c>
      <c r="CM86" s="483">
        <f t="shared" si="1233"/>
        <v>2.5031999743795608E-2</v>
      </c>
      <c r="CN86" s="156">
        <v>6.0109289617486336E-2</v>
      </c>
      <c r="CO86" s="483">
        <f t="shared" ref="CO86" si="1484">AVERAGE(CN83:CN86)</f>
        <v>5.5631156432058196E-2</v>
      </c>
      <c r="CP86" s="156">
        <v>1.5306122448979579E-2</v>
      </c>
      <c r="CQ86" s="483">
        <f t="shared" si="1235"/>
        <v>1.6661000752051347E-2</v>
      </c>
      <c r="CR86" s="156" t="e">
        <v>#DIV/0!</v>
      </c>
      <c r="CS86" s="158" t="e">
        <f t="shared" si="1278"/>
        <v>#DIV/0!</v>
      </c>
      <c r="CT86" s="105">
        <v>40.051373822052412</v>
      </c>
      <c r="CU86" s="106">
        <f t="shared" si="1304"/>
        <v>40.51938401681786</v>
      </c>
      <c r="CV86" s="105">
        <v>42.813857290589425</v>
      </c>
      <c r="CW86" s="81">
        <f t="shared" ref="CW86" si="1485">AVERAGE(CV83:CV86)</f>
        <v>43.13843903686459</v>
      </c>
      <c r="CX86" s="492">
        <v>42.813857290589418</v>
      </c>
      <c r="CY86" s="493">
        <f t="shared" si="1237"/>
        <v>43.13843903686459</v>
      </c>
      <c r="CZ86" s="105">
        <v>48.021857923497265</v>
      </c>
      <c r="DA86" s="106">
        <f t="shared" ref="DA86" si="1486">AVERAGE(CZ83:CZ86)</f>
        <v>47.149726163397112</v>
      </c>
      <c r="DB86" s="105">
        <v>41.598214285714249</v>
      </c>
      <c r="DC86" s="106">
        <f t="shared" si="1239"/>
        <v>42.053795311463901</v>
      </c>
      <c r="DD86" s="105" t="e">
        <v>#DIV/0!</v>
      </c>
      <c r="DE86" s="107" t="e">
        <f t="shared" si="1281"/>
        <v>#DIV/0!</v>
      </c>
    </row>
    <row r="87" spans="1:109" x14ac:dyDescent="0.25">
      <c r="A87" s="155">
        <f t="shared" si="1165"/>
        <v>45730</v>
      </c>
      <c r="B87" s="74">
        <v>38.724065015015519</v>
      </c>
      <c r="C87" s="81">
        <f t="shared" si="1282"/>
        <v>38.512855904975254</v>
      </c>
      <c r="D87" s="74">
        <v>39.858201058201061</v>
      </c>
      <c r="E87" s="81">
        <f t="shared" si="1202"/>
        <v>39.642701571001808</v>
      </c>
      <c r="F87" s="74">
        <v>39.858201058201075</v>
      </c>
      <c r="G87" s="81">
        <f t="shared" si="1202"/>
        <v>39.642701571001808</v>
      </c>
      <c r="H87" s="74">
        <v>42.173469387755091</v>
      </c>
      <c r="I87" s="81">
        <f t="shared" ref="I87" si="1487">AVERAGE(H84:H87)</f>
        <v>41.974709345728606</v>
      </c>
      <c r="J87" s="74">
        <v>39.25233644859815</v>
      </c>
      <c r="K87" s="81">
        <f t="shared" si="1204"/>
        <v>39.032113336533591</v>
      </c>
      <c r="L87" s="74" t="e">
        <v>#DIV/0!</v>
      </c>
      <c r="M87" s="99" t="e">
        <f t="shared" ref="M87" si="1488">AVERAGE(L84:L87)</f>
        <v>#DIV/0!</v>
      </c>
      <c r="N87" s="156">
        <v>5.6364475257805059E-2</v>
      </c>
      <c r="O87" s="157">
        <f t="shared" si="1282"/>
        <v>5.6937910015476635E-2</v>
      </c>
      <c r="P87" s="156">
        <v>6.6666666666666693E-2</v>
      </c>
      <c r="Q87" s="157">
        <f t="shared" si="1206"/>
        <v>6.0293624784625757E-2</v>
      </c>
      <c r="R87" s="491">
        <v>6.6666666666666693E-2</v>
      </c>
      <c r="S87" s="483">
        <f t="shared" si="1207"/>
        <v>6.0293624784625743E-2</v>
      </c>
      <c r="T87" s="156">
        <v>7.6530612244897947E-2</v>
      </c>
      <c r="U87" s="157">
        <f t="shared" si="1208"/>
        <v>8.254645991657901E-2</v>
      </c>
      <c r="V87" s="156">
        <v>6.4085447263017389E-2</v>
      </c>
      <c r="W87" s="157">
        <f t="shared" si="1209"/>
        <v>5.4126403055047997E-2</v>
      </c>
      <c r="X87" s="156" t="e">
        <v>#DIV/0!</v>
      </c>
      <c r="Y87" s="158" t="e">
        <f t="shared" si="1210"/>
        <v>#DIV/0!</v>
      </c>
      <c r="Z87" s="156">
        <v>9.9506590617171375E-2</v>
      </c>
      <c r="AA87" s="157">
        <f t="shared" si="1285"/>
        <v>0.1009723165923119</v>
      </c>
      <c r="AB87" s="156">
        <v>0.10758525594469806</v>
      </c>
      <c r="AC87" s="81">
        <f t="shared" ref="AC87" si="1489">AVERAGE(AB84:AB87)</f>
        <v>9.766104493016578E-2</v>
      </c>
      <c r="AD87" s="491">
        <v>0.10758525594469807</v>
      </c>
      <c r="AE87" s="483">
        <f t="shared" si="1212"/>
        <v>9.7661044930165808E-2</v>
      </c>
      <c r="AF87" s="156">
        <v>0.14310637535830817</v>
      </c>
      <c r="AG87" s="483">
        <f t="shared" ref="AG87" si="1490">AVERAGE(AF84:AF87)</f>
        <v>0.15254110969327853</v>
      </c>
      <c r="AH87" s="156">
        <v>9.9539273416516347E-2</v>
      </c>
      <c r="AI87" s="483">
        <f t="shared" si="1214"/>
        <v>8.5179338312621075E-2</v>
      </c>
      <c r="AJ87" s="156" t="e">
        <v>#DIV/0!</v>
      </c>
      <c r="AK87" s="158" t="e">
        <f t="shared" si="1215"/>
        <v>#DIV/0!</v>
      </c>
      <c r="AL87" s="74">
        <v>7990.3237265965636</v>
      </c>
      <c r="AM87" s="81">
        <f t="shared" si="1288"/>
        <v>7862.8238725055407</v>
      </c>
      <c r="AN87" s="74">
        <v>7736.6550264550287</v>
      </c>
      <c r="AO87" s="81">
        <f t="shared" ref="AO87" si="1491">AVERAGE(AN84:AN87)</f>
        <v>7603.8792703461868</v>
      </c>
      <c r="AP87" s="494">
        <v>7736.6550264550287</v>
      </c>
      <c r="AQ87" s="495">
        <f t="shared" si="1217"/>
        <v>7603.8792703461859</v>
      </c>
      <c r="AR87" s="74">
        <v>7976.0357142857138</v>
      </c>
      <c r="AS87" s="81">
        <f t="shared" ref="AS87" si="1492">AVERAGE(AR84:AR87)</f>
        <v>7667.127981749758</v>
      </c>
      <c r="AT87" s="74">
        <v>7674.0133511348495</v>
      </c>
      <c r="AU87" s="81">
        <f t="shared" si="1219"/>
        <v>7583.0454753317345</v>
      </c>
      <c r="AV87" s="74" t="e">
        <v>#DIV/0!</v>
      </c>
      <c r="AW87" s="99" t="e">
        <f t="shared" si="1264"/>
        <v>#DIV/0!</v>
      </c>
      <c r="AX87" s="105">
        <v>4.1186050645778653</v>
      </c>
      <c r="AY87" s="106">
        <f t="shared" si="1291"/>
        <v>4.0670275270449627</v>
      </c>
      <c r="AZ87" s="105">
        <v>4.665608465608468</v>
      </c>
      <c r="BA87" s="81">
        <f t="shared" ref="BA87" si="1493">AVERAGE(AZ84:AZ87)</f>
        <v>4.6793075980676377</v>
      </c>
      <c r="BB87" s="492">
        <v>4.665608465608468</v>
      </c>
      <c r="BC87" s="493">
        <f t="shared" si="1221"/>
        <v>4.6793075980676377</v>
      </c>
      <c r="BD87" s="105">
        <v>6.4132653061224492</v>
      </c>
      <c r="BE87" s="106">
        <f t="shared" ref="BE87" si="1494">AVERAGE(BD84:BD87)</f>
        <v>6.3920844863617035</v>
      </c>
      <c r="BF87" s="105">
        <v>4.208277703604808</v>
      </c>
      <c r="BG87" s="106">
        <f t="shared" si="1223"/>
        <v>4.2294804486004374</v>
      </c>
      <c r="BH87" s="105" t="e">
        <v>#DIV/0!</v>
      </c>
      <c r="BI87" s="107" t="e">
        <f t="shared" si="1267"/>
        <v>#DIV/0!</v>
      </c>
      <c r="BJ87" s="487">
        <v>0.55481112191171744</v>
      </c>
      <c r="BK87" s="488">
        <f t="shared" si="1294"/>
        <v>0.5449804734609579</v>
      </c>
      <c r="BL87" s="487">
        <v>0.79259259259259252</v>
      </c>
      <c r="BM87" s="489">
        <f t="shared" ref="BM87" si="1495">AVERAGE(BL84:BL87)</f>
        <v>0.78920010189370582</v>
      </c>
      <c r="BN87" s="487"/>
      <c r="BO87" s="489" t="e">
        <f t="shared" ref="BO87" si="1496">AVERAGE(BN84:BN87)</f>
        <v>#DIV/0!</v>
      </c>
      <c r="BP87" s="487">
        <v>0</v>
      </c>
      <c r="BQ87" s="489">
        <f t="shared" ref="BQ87" si="1497">AVERAGE(BP84:BP87)</f>
        <v>0</v>
      </c>
      <c r="BR87" s="487"/>
      <c r="BS87" s="489" t="e">
        <f t="shared" ref="BS87" si="1498">AVERAGE(BR84:BR87)</f>
        <v>#DIV/0!</v>
      </c>
      <c r="BT87" s="487" t="e">
        <v>#DIV/0!</v>
      </c>
      <c r="BU87" s="490" t="e">
        <f t="shared" si="1272"/>
        <v>#DIV/0!</v>
      </c>
      <c r="BV87" s="74">
        <v>5125.6064498938013</v>
      </c>
      <c r="BW87" s="81">
        <f t="shared" si="1299"/>
        <v>5008.2402024694184</v>
      </c>
      <c r="BX87" s="74">
        <v>6214.6285714285741</v>
      </c>
      <c r="BY87" s="81">
        <f t="shared" ref="BY87" si="1499">AVERAGE(BX84:BX87)</f>
        <v>5995.0333136818144</v>
      </c>
      <c r="BZ87" s="494">
        <v>6214.6285714285732</v>
      </c>
      <c r="CA87" s="495">
        <f t="shared" si="1229"/>
        <v>5995.0333136818144</v>
      </c>
      <c r="CB87" s="74">
        <v>8561.3775510204086</v>
      </c>
      <c r="CC87" s="81">
        <f t="shared" ref="CC87" si="1500">AVERAGE(CB84:CB87)</f>
        <v>8552.5418386490928</v>
      </c>
      <c r="CD87" s="74">
        <v>5600.5260347129524</v>
      </c>
      <c r="CE87" s="81">
        <f t="shared" si="1231"/>
        <v>5309.4310911083585</v>
      </c>
      <c r="CF87" s="74" t="e">
        <v>#DIV/0!</v>
      </c>
      <c r="CG87" s="99" t="e">
        <f t="shared" si="1275"/>
        <v>#DIV/0!</v>
      </c>
      <c r="CH87" s="156">
        <v>1.9260190957580005E-2</v>
      </c>
      <c r="CI87" s="157">
        <f t="shared" si="1299"/>
        <v>1.5793820194892789E-2</v>
      </c>
      <c r="CJ87" s="156">
        <v>2.7513227513227524E-2</v>
      </c>
      <c r="CK87" s="81">
        <f t="shared" ref="CK87" si="1501">AVERAGE(CJ84:CJ87)</f>
        <v>2.4361997443358527E-2</v>
      </c>
      <c r="CL87" s="491">
        <v>2.7513227513227521E-2</v>
      </c>
      <c r="CM87" s="483">
        <f t="shared" si="1233"/>
        <v>2.4361997443358527E-2</v>
      </c>
      <c r="CN87" s="156">
        <v>5.612244897959183E-2</v>
      </c>
      <c r="CO87" s="483">
        <f t="shared" ref="CO87" si="1502">AVERAGE(CN84:CN87)</f>
        <v>5.8909080504913156E-2</v>
      </c>
      <c r="CP87" s="156">
        <v>2.0026702269692932E-2</v>
      </c>
      <c r="CQ87" s="483">
        <f t="shared" si="1235"/>
        <v>1.5047738624770522E-2</v>
      </c>
      <c r="CR87" s="156" t="e">
        <v>#DIV/0!</v>
      </c>
      <c r="CS87" s="158" t="e">
        <f t="shared" si="1278"/>
        <v>#DIV/0!</v>
      </c>
      <c r="CT87" s="105">
        <v>40.102010623832591</v>
      </c>
      <c r="CU87" s="106">
        <f t="shared" si="1304"/>
        <v>40.333481812063596</v>
      </c>
      <c r="CV87" s="105">
        <v>43.2804232804233</v>
      </c>
      <c r="CW87" s="81">
        <f t="shared" ref="CW87" si="1503">AVERAGE(CV84:CV87)</f>
        <v>43.037349204796492</v>
      </c>
      <c r="CX87" s="492">
        <v>43.2804232804233</v>
      </c>
      <c r="CY87" s="493">
        <f t="shared" si="1237"/>
        <v>43.037349204796492</v>
      </c>
      <c r="CZ87" s="105">
        <v>47.974489795918373</v>
      </c>
      <c r="DA87" s="106">
        <f t="shared" ref="DA87" si="1504">AVERAGE(CZ84:CZ87)</f>
        <v>47.436359365064874</v>
      </c>
      <c r="DB87" s="105">
        <v>42.052069425901216</v>
      </c>
      <c r="DC87" s="106">
        <f t="shared" si="1239"/>
        <v>41.87327684239402</v>
      </c>
      <c r="DD87" s="105" t="e">
        <v>#DIV/0!</v>
      </c>
      <c r="DE87" s="107" t="e">
        <f t="shared" si="1281"/>
        <v>#DIV/0!</v>
      </c>
    </row>
    <row r="88" spans="1:109" x14ac:dyDescent="0.25">
      <c r="A88" s="155">
        <f t="shared" si="1165"/>
        <v>45737</v>
      </c>
      <c r="B88" s="74">
        <v>38.672178848175243</v>
      </c>
      <c r="C88" s="81">
        <f t="shared" si="1282"/>
        <v>38.59577835691821</v>
      </c>
      <c r="D88" s="74">
        <v>39.739656912209895</v>
      </c>
      <c r="E88" s="81">
        <f t="shared" si="1202"/>
        <v>39.667965539986916</v>
      </c>
      <c r="F88" s="74">
        <v>39.739656912209902</v>
      </c>
      <c r="G88" s="81">
        <f t="shared" si="1202"/>
        <v>39.667965539986923</v>
      </c>
      <c r="H88" s="74">
        <v>41.876288659793815</v>
      </c>
      <c r="I88" s="81">
        <f t="shared" ref="I88" si="1505">AVERAGE(H85:H88)</f>
        <v>42.150303249807493</v>
      </c>
      <c r="J88" s="74">
        <v>39.219573400250951</v>
      </c>
      <c r="K88" s="81">
        <f t="shared" si="1204"/>
        <v>39.047465870269789</v>
      </c>
      <c r="L88" s="74" t="e">
        <v>#DIV/0!</v>
      </c>
      <c r="M88" s="99" t="e">
        <f t="shared" ref="M88" si="1506">AVERAGE(L85:L88)</f>
        <v>#DIV/0!</v>
      </c>
      <c r="N88" s="156">
        <v>4.5799576866692143E-2</v>
      </c>
      <c r="O88" s="157">
        <f t="shared" si="1282"/>
        <v>5.4991003442502469E-2</v>
      </c>
      <c r="P88" s="156">
        <v>4.9445005045408691E-2</v>
      </c>
      <c r="Q88" s="157">
        <f t="shared" si="1206"/>
        <v>5.5815497807635943E-2</v>
      </c>
      <c r="R88" s="491">
        <v>4.9445005045408684E-2</v>
      </c>
      <c r="S88" s="483">
        <f t="shared" si="1207"/>
        <v>5.5815497807635943E-2</v>
      </c>
      <c r="T88" s="156">
        <v>6.7010309278350513E-2</v>
      </c>
      <c r="U88" s="157">
        <f t="shared" si="1208"/>
        <v>7.3483819844862283E-2</v>
      </c>
      <c r="V88" s="156">
        <v>4.51693851944793E-2</v>
      </c>
      <c r="W88" s="157">
        <f t="shared" si="1209"/>
        <v>5.1388137108769841E-2</v>
      </c>
      <c r="X88" s="156" t="e">
        <v>#DIV/0!</v>
      </c>
      <c r="Y88" s="158" t="e">
        <f t="shared" si="1210"/>
        <v>#DIV/0!</v>
      </c>
      <c r="Z88" s="156">
        <v>6.561691483066126E-2</v>
      </c>
      <c r="AA88" s="157">
        <f t="shared" si="1285"/>
        <v>9.5050613471950096E-2</v>
      </c>
      <c r="AB88" s="156">
        <v>5.9662928877926034E-2</v>
      </c>
      <c r="AC88" s="81">
        <f t="shared" ref="AC88" si="1507">AVERAGE(AB85:AB88)</f>
        <v>8.6002921657782172E-2</v>
      </c>
      <c r="AD88" s="491">
        <v>5.9662928877926028E-2</v>
      </c>
      <c r="AE88" s="483">
        <f t="shared" si="1212"/>
        <v>8.6002921657782172E-2</v>
      </c>
      <c r="AF88" s="156">
        <v>7.0407073846993504E-2</v>
      </c>
      <c r="AG88" s="483">
        <f t="shared" ref="AG88" si="1508">AVERAGE(AF85:AF88)</f>
        <v>0.12846530831320316</v>
      </c>
      <c r="AH88" s="156">
        <v>5.7637126754624866E-2</v>
      </c>
      <c r="AI88" s="483">
        <f t="shared" si="1214"/>
        <v>7.6718168325405567E-2</v>
      </c>
      <c r="AJ88" s="156" t="e">
        <v>#DIV/0!</v>
      </c>
      <c r="AK88" s="158" t="e">
        <f t="shared" si="1215"/>
        <v>#DIV/0!</v>
      </c>
      <c r="AL88" s="74">
        <v>7760.8828121016868</v>
      </c>
      <c r="AM88" s="81">
        <f t="shared" si="1288"/>
        <v>7842.1439674678404</v>
      </c>
      <c r="AN88" s="74">
        <v>7477.1594349142288</v>
      </c>
      <c r="AO88" s="81">
        <f t="shared" ref="AO88" si="1509">AVERAGE(AN85:AN88)</f>
        <v>7589.6105150851045</v>
      </c>
      <c r="AP88" s="494">
        <v>7477.1594349142297</v>
      </c>
      <c r="AQ88" s="495">
        <f t="shared" si="1217"/>
        <v>7589.6105150851045</v>
      </c>
      <c r="AR88" s="74">
        <v>7848.4432989690731</v>
      </c>
      <c r="AS88" s="81">
        <f t="shared" ref="AS88" si="1510">AVERAGE(AR85:AR88)</f>
        <v>7701.9996760572431</v>
      </c>
      <c r="AT88" s="74">
        <v>7386.7841907151842</v>
      </c>
      <c r="AU88" s="81">
        <f t="shared" si="1219"/>
        <v>7559.8516420581473</v>
      </c>
      <c r="AV88" s="74" t="e">
        <v>#DIV/0!</v>
      </c>
      <c r="AW88" s="99" t="e">
        <f t="shared" si="1264"/>
        <v>#DIV/0!</v>
      </c>
      <c r="AX88" s="105">
        <v>4.1528063319173816</v>
      </c>
      <c r="AY88" s="106">
        <f t="shared" si="1291"/>
        <v>4.0996646246498329</v>
      </c>
      <c r="AZ88" s="105">
        <v>4.7305751765893049</v>
      </c>
      <c r="BA88" s="81">
        <f t="shared" ref="BA88" si="1511">AVERAGE(AZ85:AZ88)</f>
        <v>4.6501638274481234</v>
      </c>
      <c r="BB88" s="492">
        <v>4.7305751765893049</v>
      </c>
      <c r="BC88" s="493">
        <f t="shared" si="1221"/>
        <v>4.6501638274481234</v>
      </c>
      <c r="BD88" s="105">
        <v>6.3092783505154646</v>
      </c>
      <c r="BE88" s="106">
        <f t="shared" ref="BE88" si="1512">AVERAGE(BD85:BD88)</f>
        <v>6.4666866826862215</v>
      </c>
      <c r="BF88" s="105">
        <v>4.3462986198243421</v>
      </c>
      <c r="BG88" s="106">
        <f t="shared" si="1223"/>
        <v>4.1953068042367931</v>
      </c>
      <c r="BH88" s="105" t="e">
        <v>#DIV/0!</v>
      </c>
      <c r="BI88" s="107" t="e">
        <f t="shared" si="1267"/>
        <v>#DIV/0!</v>
      </c>
      <c r="BJ88" s="487">
        <v>0.58782314174427541</v>
      </c>
      <c r="BK88" s="488">
        <f t="shared" si="1294"/>
        <v>0.54979826806591181</v>
      </c>
      <c r="BL88" s="487">
        <v>0.80423814328960641</v>
      </c>
      <c r="BM88" s="489">
        <f t="shared" ref="BM88" si="1513">AVERAGE(BL85:BL88)</f>
        <v>0.79984512994408674</v>
      </c>
      <c r="BN88" s="487"/>
      <c r="BO88" s="489" t="e">
        <f t="shared" ref="BO88" si="1514">AVERAGE(BN85:BN88)</f>
        <v>#DIV/0!</v>
      </c>
      <c r="BP88" s="487">
        <v>0</v>
      </c>
      <c r="BQ88" s="489">
        <f t="shared" ref="BQ88" si="1515">AVERAGE(BP85:BP88)</f>
        <v>0</v>
      </c>
      <c r="BR88" s="487"/>
      <c r="BS88" s="489" t="e">
        <f t="shared" ref="BS88" si="1516">AVERAGE(BR85:BR88)</f>
        <v>#DIV/0!</v>
      </c>
      <c r="BT88" s="487" t="e">
        <v>#DIV/0!</v>
      </c>
      <c r="BU88" s="490" t="e">
        <f t="shared" si="1272"/>
        <v>#DIV/0!</v>
      </c>
      <c r="BV88" s="74">
        <v>5116.3825481460153</v>
      </c>
      <c r="BW88" s="81">
        <f t="shared" si="1299"/>
        <v>5013.0027844111919</v>
      </c>
      <c r="BX88" s="74">
        <v>5979.7759838546926</v>
      </c>
      <c r="BY88" s="81">
        <f t="shared" ref="BY88" si="1517">AVERAGE(BX85:BX88)</f>
        <v>5976.0019210444498</v>
      </c>
      <c r="BZ88" s="494">
        <v>5979.7759838546926</v>
      </c>
      <c r="CA88" s="495">
        <f t="shared" si="1229"/>
        <v>5976.0019210444498</v>
      </c>
      <c r="CB88" s="74">
        <v>8428.8453608247419</v>
      </c>
      <c r="CC88" s="81">
        <f t="shared" ref="CC88" si="1518">AVERAGE(CB85:CB88)</f>
        <v>8481.0086136378868</v>
      </c>
      <c r="CD88" s="74">
        <v>5383.641154328734</v>
      </c>
      <c r="CE88" s="81">
        <f t="shared" si="1231"/>
        <v>5349.388998738159</v>
      </c>
      <c r="CF88" s="74" t="e">
        <v>#DIV/0!</v>
      </c>
      <c r="CG88" s="99" t="e">
        <f t="shared" si="1275"/>
        <v>#DIV/0!</v>
      </c>
      <c r="CH88" s="156">
        <v>1.4015798029021222E-2</v>
      </c>
      <c r="CI88" s="157">
        <f t="shared" si="1299"/>
        <v>1.6005482232685025E-2</v>
      </c>
      <c r="CJ88" s="156">
        <v>1.9172552976791119E-2</v>
      </c>
      <c r="CK88" s="81">
        <f t="shared" ref="CK88" si="1519">AVERAGE(CJ85:CJ88)</f>
        <v>2.3002285946623655E-2</v>
      </c>
      <c r="CL88" s="491">
        <v>1.9172552976791123E-2</v>
      </c>
      <c r="CM88" s="483">
        <f t="shared" si="1233"/>
        <v>2.3002285946623659E-2</v>
      </c>
      <c r="CN88" s="156">
        <v>3.608247422680412E-2</v>
      </c>
      <c r="CO88" s="483">
        <f t="shared" ref="CO88" si="1520">AVERAGE(CN85:CN88)</f>
        <v>5.1625351235527223E-2</v>
      </c>
      <c r="CP88" s="156">
        <v>1.5056461731493102E-2</v>
      </c>
      <c r="CQ88" s="483">
        <f t="shared" si="1235"/>
        <v>1.5835663581453316E-2</v>
      </c>
      <c r="CR88" s="156" t="e">
        <v>#DIV/0!</v>
      </c>
      <c r="CS88" s="158" t="e">
        <f t="shared" si="1278"/>
        <v>#DIV/0!</v>
      </c>
      <c r="CT88" s="105">
        <v>40.984002979306261</v>
      </c>
      <c r="CU88" s="106">
        <f t="shared" si="1304"/>
        <v>40.491308462606852</v>
      </c>
      <c r="CV88" s="105">
        <v>43.847628657921298</v>
      </c>
      <c r="CW88" s="81">
        <f t="shared" ref="CW88" si="1521">AVERAGE(CV85:CV88)</f>
        <v>43.168297820054008</v>
      </c>
      <c r="CX88" s="492">
        <v>43.847628657921291</v>
      </c>
      <c r="CY88" s="493">
        <f t="shared" si="1237"/>
        <v>43.168297820054008</v>
      </c>
      <c r="CZ88" s="105">
        <v>47.175257731958766</v>
      </c>
      <c r="DA88" s="106">
        <f t="shared" ref="DA88" si="1522">AVERAGE(CZ85:CZ88)</f>
        <v>47.452999885011089</v>
      </c>
      <c r="DB88" s="105">
        <v>43.037641154328739</v>
      </c>
      <c r="DC88" s="106">
        <f t="shared" si="1239"/>
        <v>42.097823185397957</v>
      </c>
      <c r="DD88" s="105" t="e">
        <v>#DIV/0!</v>
      </c>
      <c r="DE88" s="107" t="e">
        <f t="shared" si="1281"/>
        <v>#DIV/0!</v>
      </c>
    </row>
    <row r="89" spans="1:109" x14ac:dyDescent="0.25">
      <c r="A89" s="155">
        <f t="shared" si="1165"/>
        <v>45744</v>
      </c>
      <c r="B89" s="74">
        <v>38.777330543082606</v>
      </c>
      <c r="C89" s="81">
        <f t="shared" si="1282"/>
        <v>38.67123356769423</v>
      </c>
      <c r="D89" s="74">
        <v>39.839562443026395</v>
      </c>
      <c r="E89" s="81">
        <f t="shared" si="1202"/>
        <v>39.77042025330762</v>
      </c>
      <c r="F89" s="74">
        <v>39.839562443026395</v>
      </c>
      <c r="G89" s="81">
        <f t="shared" si="1202"/>
        <v>39.770420253307634</v>
      </c>
      <c r="H89" s="74">
        <v>42.990476190476187</v>
      </c>
      <c r="I89" s="81">
        <f t="shared" ref="I89" si="1523">AVERAGE(H86:H89)</f>
        <v>42.384375499396981</v>
      </c>
      <c r="J89" s="74">
        <v>39.093573844419346</v>
      </c>
      <c r="K89" s="81">
        <f t="shared" si="1204"/>
        <v>39.135950004949756</v>
      </c>
      <c r="L89" s="74" t="e">
        <v>#DIV/0!</v>
      </c>
      <c r="M89" s="99" t="e">
        <f t="shared" ref="M89" si="1524">AVERAGE(L86:L89)</f>
        <v>#DIV/0!</v>
      </c>
      <c r="N89" s="156">
        <v>4.5746754546843169E-2</v>
      </c>
      <c r="O89" s="157">
        <f t="shared" si="1282"/>
        <v>5.1723228529204537E-2</v>
      </c>
      <c r="P89" s="156">
        <v>4.5578851412944356E-2</v>
      </c>
      <c r="Q89" s="157">
        <f t="shared" si="1206"/>
        <v>5.5158928609589986E-2</v>
      </c>
      <c r="R89" s="491">
        <v>4.5578851412944363E-2</v>
      </c>
      <c r="S89" s="483">
        <f t="shared" si="1207"/>
        <v>5.5158928609589986E-2</v>
      </c>
      <c r="T89" s="156">
        <v>3.8095238095238092E-2</v>
      </c>
      <c r="U89" s="157">
        <f t="shared" si="1208"/>
        <v>6.4534722964730923E-2</v>
      </c>
      <c r="V89" s="156">
        <v>4.7350620067643706E-2</v>
      </c>
      <c r="W89" s="157">
        <f t="shared" si="1209"/>
        <v>5.2863097825162637E-2</v>
      </c>
      <c r="X89" s="156" t="e">
        <v>#DIV/0!</v>
      </c>
      <c r="Y89" s="158" t="e">
        <f t="shared" si="1210"/>
        <v>#DIV/0!</v>
      </c>
      <c r="Z89" s="156">
        <v>7.9461652079102538E-2</v>
      </c>
      <c r="AA89" s="157">
        <f t="shared" si="1285"/>
        <v>8.8638420459993011E-2</v>
      </c>
      <c r="AB89" s="156">
        <v>6.3945008344681017E-2</v>
      </c>
      <c r="AC89" s="81">
        <f t="shared" ref="AC89" si="1525">AVERAGE(AB86:AB89)</f>
        <v>8.17048527591695E-2</v>
      </c>
      <c r="AD89" s="491">
        <v>6.3945008344681017E-2</v>
      </c>
      <c r="AE89" s="483">
        <f t="shared" si="1212"/>
        <v>8.17048527591695E-2</v>
      </c>
      <c r="AF89" s="156">
        <v>5.1440935013100673E-2</v>
      </c>
      <c r="AG89" s="483">
        <f t="shared" ref="AG89" si="1526">AVERAGE(AF86:AF89)</f>
        <v>0.10637879348704306</v>
      </c>
      <c r="AH89" s="156">
        <v>6.6268311270371194E-2</v>
      </c>
      <c r="AI89" s="483">
        <f t="shared" si="1214"/>
        <v>7.6396500161420272E-2</v>
      </c>
      <c r="AJ89" s="156" t="e">
        <v>#DIV/0!</v>
      </c>
      <c r="AK89" s="158" t="e">
        <f t="shared" si="1215"/>
        <v>#DIV/0!</v>
      </c>
      <c r="AL89" s="74">
        <v>7795.3572201221787</v>
      </c>
      <c r="AM89" s="81">
        <f t="shared" si="1288"/>
        <v>7830.2660650627877</v>
      </c>
      <c r="AN89" s="74">
        <v>7531.6581586143957</v>
      </c>
      <c r="AO89" s="81">
        <f t="shared" ref="AO89" si="1527">AVERAGE(AN86:AN89)</f>
        <v>7556.3653111489621</v>
      </c>
      <c r="AP89" s="494">
        <v>7531.6581586143966</v>
      </c>
      <c r="AQ89" s="495">
        <f t="shared" si="1217"/>
        <v>7556.3653111489621</v>
      </c>
      <c r="AR89" s="74">
        <v>7387.0190476190492</v>
      </c>
      <c r="AS89" s="81">
        <f t="shared" ref="AS89" si="1528">AVERAGE(AR86:AR89)</f>
        <v>7601.9182310654542</v>
      </c>
      <c r="AT89" s="74">
        <v>7565.9019165727086</v>
      </c>
      <c r="AU89" s="81">
        <f t="shared" si="1219"/>
        <v>7543.2338569526219</v>
      </c>
      <c r="AV89" s="74" t="e">
        <v>#DIV/0!</v>
      </c>
      <c r="AW89" s="99" t="e">
        <f t="shared" si="1264"/>
        <v>#DIV/0!</v>
      </c>
      <c r="AX89" s="105">
        <v>4.0140495022400495</v>
      </c>
      <c r="AY89" s="106">
        <f t="shared" si="1291"/>
        <v>4.0861225368637912</v>
      </c>
      <c r="AZ89" s="105">
        <v>4.5250683682771156</v>
      </c>
      <c r="BA89" s="81">
        <f t="shared" ref="BA89" si="1529">AVERAGE(AZ86:AZ89)</f>
        <v>4.6165591246456081</v>
      </c>
      <c r="BB89" s="492">
        <v>4.5250683682771156</v>
      </c>
      <c r="BC89" s="493">
        <f t="shared" si="1221"/>
        <v>4.6165591246456081</v>
      </c>
      <c r="BD89" s="105">
        <v>6.1809523809523812</v>
      </c>
      <c r="BE89" s="106">
        <f t="shared" ref="BE89" si="1530">AVERAGE(BD86:BD89)</f>
        <v>6.3542893099440212</v>
      </c>
      <c r="BF89" s="105">
        <v>4.1330326944757561</v>
      </c>
      <c r="BG89" s="106">
        <f t="shared" si="1223"/>
        <v>4.193267050394593</v>
      </c>
      <c r="BH89" s="105" t="e">
        <v>#DIV/0!</v>
      </c>
      <c r="BI89" s="107" t="e">
        <f t="shared" si="1267"/>
        <v>#DIV/0!</v>
      </c>
      <c r="BJ89" s="487">
        <v>0.60464328355391417</v>
      </c>
      <c r="BK89" s="488">
        <f t="shared" si="1294"/>
        <v>0.55816325664030531</v>
      </c>
      <c r="BL89" s="487">
        <v>0.80856882406563368</v>
      </c>
      <c r="BM89" s="489">
        <f t="shared" ref="BM89" si="1531">AVERAGE(BL86:BL89)</f>
        <v>0.80403861801177723</v>
      </c>
      <c r="BN89" s="487"/>
      <c r="BO89" s="489" t="e">
        <f t="shared" ref="BO89" si="1532">AVERAGE(BN86:BN89)</f>
        <v>#DIV/0!</v>
      </c>
      <c r="BP89" s="487">
        <v>0</v>
      </c>
      <c r="BQ89" s="489">
        <f t="shared" ref="BQ89" si="1533">AVERAGE(BP86:BP89)</f>
        <v>0</v>
      </c>
      <c r="BR89" s="487"/>
      <c r="BS89" s="489" t="e">
        <f t="shared" ref="BS89" si="1534">AVERAGE(BR86:BR89)</f>
        <v>#DIV/0!</v>
      </c>
      <c r="BT89" s="487" t="e">
        <v>#DIV/0!</v>
      </c>
      <c r="BU89" s="490" t="e">
        <f t="shared" si="1272"/>
        <v>#DIV/0!</v>
      </c>
      <c r="BV89" s="74">
        <v>5158.2298897641931</v>
      </c>
      <c r="BW89" s="81">
        <f t="shared" si="1299"/>
        <v>5062.7951236443396</v>
      </c>
      <c r="BX89" s="74">
        <v>6015.961713764812</v>
      </c>
      <c r="BY89" s="81">
        <f t="shared" ref="BY89" si="1535">AVERAGE(BX86:BX89)</f>
        <v>6031.124400767706</v>
      </c>
      <c r="BZ89" s="494">
        <v>6015.961713764812</v>
      </c>
      <c r="CA89" s="495">
        <f t="shared" si="1229"/>
        <v>6031.1244007677051</v>
      </c>
      <c r="CB89" s="74">
        <v>7781.7142857142853</v>
      </c>
      <c r="CC89" s="81">
        <f t="shared" ref="CC89" si="1536">AVERAGE(CB86:CB89)</f>
        <v>8327.5935890073451</v>
      </c>
      <c r="CD89" s="74">
        <v>5597.9143179255907</v>
      </c>
      <c r="CE89" s="81">
        <f t="shared" si="1231"/>
        <v>5470.912915007123</v>
      </c>
      <c r="CF89" s="74" t="e">
        <v>#DIV/0!</v>
      </c>
      <c r="CG89" s="99" t="e">
        <f t="shared" si="1275"/>
        <v>#DIV/0!</v>
      </c>
      <c r="CH89" s="156">
        <v>1.7041806188103536E-2</v>
      </c>
      <c r="CI89" s="157">
        <f t="shared" si="1299"/>
        <v>1.7141383196837286E-2</v>
      </c>
      <c r="CJ89" s="156">
        <v>2.2789425706472174E-2</v>
      </c>
      <c r="CK89" s="81">
        <f t="shared" ref="CK89" si="1537">AVERAGE(CJ86:CJ89)</f>
        <v>2.3315026988626319E-2</v>
      </c>
      <c r="CL89" s="491">
        <v>2.2789425706472178E-2</v>
      </c>
      <c r="CM89" s="483">
        <f t="shared" si="1233"/>
        <v>2.3315026988626319E-2</v>
      </c>
      <c r="CN89" s="156">
        <v>3.8095238095238092E-2</v>
      </c>
      <c r="CO89" s="483">
        <f t="shared" ref="CO89" si="1538">AVERAGE(CN86:CN89)</f>
        <v>4.76023627297801E-2</v>
      </c>
      <c r="CP89" s="156">
        <v>1.9165727170236738E-2</v>
      </c>
      <c r="CQ89" s="483">
        <f t="shared" si="1235"/>
        <v>1.7388753405100588E-2</v>
      </c>
      <c r="CR89" s="156" t="e">
        <v>#DIV/0!</v>
      </c>
      <c r="CS89" s="158" t="e">
        <f t="shared" si="1278"/>
        <v>#DIV/0!</v>
      </c>
      <c r="CT89" s="105">
        <v>40.412362277662666</v>
      </c>
      <c r="CU89" s="106">
        <f t="shared" si="1304"/>
        <v>40.4013336103136</v>
      </c>
      <c r="CV89" s="105">
        <v>43.48587055606194</v>
      </c>
      <c r="CW89" s="81">
        <f t="shared" ref="CW89" si="1539">AVERAGE(CV86:CV89)</f>
        <v>43.356944946248987</v>
      </c>
      <c r="CX89" s="492">
        <v>43.48587055606194</v>
      </c>
      <c r="CY89" s="493">
        <f t="shared" si="1237"/>
        <v>43.356944946248987</v>
      </c>
      <c r="CZ89" s="105">
        <v>48.280952380952385</v>
      </c>
      <c r="DA89" s="106">
        <f t="shared" ref="DA89" si="1540">AVERAGE(CZ86:CZ89)</f>
        <v>47.863139458081697</v>
      </c>
      <c r="DB89" s="105">
        <v>42.350620067643689</v>
      </c>
      <c r="DC89" s="106">
        <f t="shared" si="1239"/>
        <v>42.259636233396975</v>
      </c>
      <c r="DD89" s="105" t="e">
        <v>#DIV/0!</v>
      </c>
      <c r="DE89" s="107" t="e">
        <f t="shared" si="1281"/>
        <v>#DIV/0!</v>
      </c>
    </row>
    <row r="90" spans="1:109" x14ac:dyDescent="0.25">
      <c r="A90" s="155">
        <f t="shared" si="1165"/>
        <v>45751</v>
      </c>
      <c r="B90" s="74">
        <v>38.879707722156304</v>
      </c>
      <c r="C90" s="81">
        <f t="shared" si="1282"/>
        <v>38.720815013614526</v>
      </c>
      <c r="D90" s="74">
        <v>39.937903625239692</v>
      </c>
      <c r="E90" s="81">
        <f t="shared" si="1202"/>
        <v>39.843831009669259</v>
      </c>
      <c r="F90" s="74">
        <v>39.937903625239684</v>
      </c>
      <c r="G90" s="81">
        <f t="shared" si="1202"/>
        <v>39.843831009669266</v>
      </c>
      <c r="H90" s="74">
        <v>45.066079295154189</v>
      </c>
      <c r="I90" s="81">
        <f t="shared" ref="I90" si="1541">AVERAGE(H87:H90)</f>
        <v>43.026578383294819</v>
      </c>
      <c r="J90" s="74">
        <v>38.674178280540403</v>
      </c>
      <c r="K90" s="81">
        <f t="shared" si="1204"/>
        <v>39.059915493452209</v>
      </c>
      <c r="L90" s="74" t="e">
        <v>#DIV/0!</v>
      </c>
      <c r="M90" s="99" t="e">
        <f t="shared" ref="M90" si="1542">AVERAGE(L87:L90)</f>
        <v>#DIV/0!</v>
      </c>
      <c r="N90" s="156">
        <v>5.2671253099941161E-2</v>
      </c>
      <c r="O90" s="157">
        <f t="shared" si="1282"/>
        <v>5.0513827288590975E-2</v>
      </c>
      <c r="P90" s="156">
        <v>5.3128387221815052E-2</v>
      </c>
      <c r="Q90" s="157">
        <f t="shared" si="1206"/>
        <v>5.3704727586708703E-2</v>
      </c>
      <c r="R90" s="491">
        <v>5.3128387221815059E-2</v>
      </c>
      <c r="S90" s="483">
        <f t="shared" si="1207"/>
        <v>5.3704727586708703E-2</v>
      </c>
      <c r="T90" s="156">
        <v>6.1674008810572695E-2</v>
      </c>
      <c r="U90" s="157">
        <f t="shared" si="1208"/>
        <v>6.0827542107264813E-2</v>
      </c>
      <c r="V90" s="156">
        <v>5.1022508000227777E-2</v>
      </c>
      <c r="W90" s="157">
        <f t="shared" si="1209"/>
        <v>5.1906990131342048E-2</v>
      </c>
      <c r="X90" s="156" t="e">
        <v>#DIV/0!</v>
      </c>
      <c r="Y90" s="158" t="e">
        <f t="shared" si="1210"/>
        <v>#DIV/0!</v>
      </c>
      <c r="Z90" s="156">
        <v>9.3276359812215409E-2</v>
      </c>
      <c r="AA90" s="157">
        <f t="shared" si="1285"/>
        <v>8.702920627608457E-2</v>
      </c>
      <c r="AB90" s="156">
        <v>7.9140639340173027E-2</v>
      </c>
      <c r="AC90" s="81">
        <f t="shared" ref="AC90" si="1543">AVERAGE(AB87:AB90)</f>
        <v>7.7583458126869537E-2</v>
      </c>
      <c r="AD90" s="491">
        <v>7.9140639340173027E-2</v>
      </c>
      <c r="AE90" s="483">
        <f t="shared" si="1212"/>
        <v>7.7583458126869537E-2</v>
      </c>
      <c r="AF90" s="156">
        <v>9.369058700179686E-2</v>
      </c>
      <c r="AG90" s="483">
        <f t="shared" ref="AG90" si="1544">AVERAGE(AF87:AF90)</f>
        <v>8.9661242805049807E-2</v>
      </c>
      <c r="AH90" s="156">
        <v>7.6104476651418243E-2</v>
      </c>
      <c r="AI90" s="483">
        <f t="shared" si="1214"/>
        <v>7.4887297023232657E-2</v>
      </c>
      <c r="AJ90" s="156" t="e">
        <v>#DIV/0!</v>
      </c>
      <c r="AK90" s="158" t="e">
        <f t="shared" si="1215"/>
        <v>#DIV/0!</v>
      </c>
      <c r="AL90" s="74">
        <v>7637.4804422688803</v>
      </c>
      <c r="AM90" s="81">
        <f t="shared" si="1288"/>
        <v>7829.1582422789579</v>
      </c>
      <c r="AN90" s="74">
        <v>7419.0556622983595</v>
      </c>
      <c r="AO90" s="81">
        <f t="shared" ref="AO90" si="1545">AVERAGE(AN87:AN90)</f>
        <v>7541.1320705705029</v>
      </c>
      <c r="AP90" s="494">
        <v>7419.0556622983595</v>
      </c>
      <c r="AQ90" s="495">
        <f t="shared" si="1217"/>
        <v>7541.1320705705039</v>
      </c>
      <c r="AR90" s="74">
        <v>7515.8634361233499</v>
      </c>
      <c r="AS90" s="81">
        <f t="shared" ref="AS90" si="1546">AVERAGE(AR87:AR90)</f>
        <v>7681.8403742492956</v>
      </c>
      <c r="AT90" s="74">
        <v>7395.1995299774098</v>
      </c>
      <c r="AU90" s="81">
        <f t="shared" si="1219"/>
        <v>7505.4747471000383</v>
      </c>
      <c r="AV90" s="74" t="e">
        <v>#DIV/0!</v>
      </c>
      <c r="AW90" s="99" t="e">
        <f t="shared" si="1264"/>
        <v>#DIV/0!</v>
      </c>
      <c r="AX90" s="105">
        <v>4.0857484411499456</v>
      </c>
      <c r="AY90" s="106">
        <f t="shared" si="1291"/>
        <v>4.096708526205858</v>
      </c>
      <c r="AZ90" s="105">
        <v>4.524598558135164</v>
      </c>
      <c r="BA90" s="81">
        <f t="shared" ref="BA90" si="1547">AVERAGE(AZ87:AZ90)</f>
        <v>4.6114626421525129</v>
      </c>
      <c r="BB90" s="492">
        <v>4.524598558135164</v>
      </c>
      <c r="BC90" s="493">
        <f t="shared" si="1221"/>
        <v>4.6114626421525129</v>
      </c>
      <c r="BD90" s="105">
        <v>6.4229074889867839</v>
      </c>
      <c r="BE90" s="106">
        <f t="shared" ref="BE90" si="1548">AVERAGE(BD87:BD90)</f>
        <v>6.3316008816442695</v>
      </c>
      <c r="BF90" s="105">
        <v>4.0568023548849368</v>
      </c>
      <c r="BG90" s="106">
        <f t="shared" si="1223"/>
        <v>4.1861028431974603</v>
      </c>
      <c r="BH90" s="105" t="e">
        <v>#DIV/0!</v>
      </c>
      <c r="BI90" s="107" t="e">
        <f t="shared" si="1267"/>
        <v>#DIV/0!</v>
      </c>
      <c r="BJ90" s="487">
        <v>0.6054903561257482</v>
      </c>
      <c r="BK90" s="488">
        <f t="shared" si="1294"/>
        <v>0.56932744686388614</v>
      </c>
      <c r="BL90" s="487">
        <v>0.80229272296144227</v>
      </c>
      <c r="BM90" s="489">
        <f t="shared" ref="BM90" si="1549">AVERAGE(BL87:BL90)</f>
        <v>0.80192307072731872</v>
      </c>
      <c r="BN90" s="487"/>
      <c r="BO90" s="489" t="e">
        <f t="shared" ref="BO90" si="1550">AVERAGE(BN87:BN90)</f>
        <v>#DIV/0!</v>
      </c>
      <c r="BP90" s="487">
        <v>0</v>
      </c>
      <c r="BQ90" s="489">
        <f t="shared" ref="BQ90" si="1551">AVERAGE(BP87:BP90)</f>
        <v>0</v>
      </c>
      <c r="BR90" s="487"/>
      <c r="BS90" s="489" t="e">
        <f t="shared" ref="BS90" si="1552">AVERAGE(BR87:BR90)</f>
        <v>#DIV/0!</v>
      </c>
      <c r="BT90" s="487" t="e">
        <v>#DIV/0!</v>
      </c>
      <c r="BU90" s="490" t="e">
        <f t="shared" si="1272"/>
        <v>#DIV/0!</v>
      </c>
      <c r="BV90" s="74">
        <v>5410.4808582262749</v>
      </c>
      <c r="BW90" s="81">
        <f t="shared" si="1299"/>
        <v>5073.6156494399929</v>
      </c>
      <c r="BX90" s="74">
        <v>6370.0875981915206</v>
      </c>
      <c r="BY90" s="81">
        <f t="shared" ref="BY90" si="1553">AVERAGE(BX87:BX90)</f>
        <v>6145.1134668098994</v>
      </c>
      <c r="BZ90" s="494">
        <v>6370.0875981915206</v>
      </c>
      <c r="CA90" s="495">
        <f t="shared" si="1229"/>
        <v>6145.1134668098994</v>
      </c>
      <c r="CB90" s="74">
        <v>8488.1541850220274</v>
      </c>
      <c r="CC90" s="81">
        <f t="shared" ref="CC90" si="1554">AVERAGE(CB87:CB90)</f>
        <v>8315.022845645366</v>
      </c>
      <c r="CD90" s="74">
        <v>5848.136986545831</v>
      </c>
      <c r="CE90" s="81">
        <f t="shared" si="1231"/>
        <v>5607.554623378277</v>
      </c>
      <c r="CF90" s="74" t="e">
        <v>#DIV/0!</v>
      </c>
      <c r="CG90" s="99" t="e">
        <f t="shared" si="1275"/>
        <v>#DIV/0!</v>
      </c>
      <c r="CH90" s="156">
        <v>2.3769753201369453E-2</v>
      </c>
      <c r="CI90" s="157">
        <f t="shared" si="1299"/>
        <v>1.7603021728405745E-2</v>
      </c>
      <c r="CJ90" s="156">
        <v>3.1495629661337891E-2</v>
      </c>
      <c r="CK90" s="81">
        <f t="shared" ref="CK90" si="1555">AVERAGE(CJ87:CJ90)</f>
        <v>2.5242708964457176E-2</v>
      </c>
      <c r="CL90" s="491">
        <v>3.1495629661337898E-2</v>
      </c>
      <c r="CM90" s="483">
        <f t="shared" si="1233"/>
        <v>2.524270896445718E-2</v>
      </c>
      <c r="CN90" s="156">
        <v>5.7268722466960353E-2</v>
      </c>
      <c r="CO90" s="483">
        <f t="shared" ref="CO90" si="1556">AVERAGE(CN87:CN90)</f>
        <v>4.6892220942148601E-2</v>
      </c>
      <c r="CP90" s="156">
        <v>2.514442161266843E-2</v>
      </c>
      <c r="CQ90" s="483">
        <f t="shared" si="1235"/>
        <v>1.9848328196022801E-2</v>
      </c>
      <c r="CR90" s="156" t="e">
        <v>#DIV/0!</v>
      </c>
      <c r="CS90" s="158" t="e">
        <f t="shared" si="1278"/>
        <v>#DIV/0!</v>
      </c>
      <c r="CT90" s="105">
        <v>39.885868963362</v>
      </c>
      <c r="CU90" s="106">
        <f t="shared" si="1304"/>
        <v>40.268249216165671</v>
      </c>
      <c r="CV90" s="105">
        <v>41.993125659498546</v>
      </c>
      <c r="CW90" s="81">
        <f t="shared" ref="CW90" si="1557">AVERAGE(CV87:CV90)</f>
        <v>43.151762038476278</v>
      </c>
      <c r="CX90" s="492">
        <v>41.993125659498553</v>
      </c>
      <c r="CY90" s="493">
        <f t="shared" si="1237"/>
        <v>43.151762038476271</v>
      </c>
      <c r="CZ90" s="105">
        <v>48.766519823788556</v>
      </c>
      <c r="DA90" s="106">
        <f t="shared" ref="DA90" si="1558">AVERAGE(CZ87:CZ90)</f>
        <v>48.049304933154517</v>
      </c>
      <c r="DB90" s="105">
        <v>40.323972645636566</v>
      </c>
      <c r="DC90" s="106">
        <f t="shared" si="1239"/>
        <v>41.941075823377552</v>
      </c>
      <c r="DD90" s="105" t="e">
        <v>#DIV/0!</v>
      </c>
      <c r="DE90" s="107" t="e">
        <f t="shared" si="1281"/>
        <v>#DIV/0!</v>
      </c>
    </row>
    <row r="91" spans="1:109" x14ac:dyDescent="0.25">
      <c r="A91" s="155">
        <f t="shared" si="1165"/>
        <v>45758</v>
      </c>
      <c r="B91" s="74">
        <v>38.580058252610691</v>
      </c>
      <c r="C91" s="81">
        <f t="shared" si="1282"/>
        <v>38.699678962927692</v>
      </c>
      <c r="D91" s="74">
        <v>39.590180360721455</v>
      </c>
      <c r="E91" s="81">
        <f t="shared" si="1202"/>
        <v>39.776825835299363</v>
      </c>
      <c r="F91" s="74">
        <v>39.590180360721448</v>
      </c>
      <c r="G91" s="81">
        <f t="shared" si="1202"/>
        <v>39.776825835299356</v>
      </c>
      <c r="H91" s="74">
        <v>42.208791208791212</v>
      </c>
      <c r="I91" s="81">
        <f t="shared" ref="I91" si="1559">AVERAGE(H88:H91)</f>
        <v>43.035408838553849</v>
      </c>
      <c r="J91" s="74">
        <v>39.006127450980394</v>
      </c>
      <c r="K91" s="81">
        <f t="shared" si="1204"/>
        <v>38.998363244047773</v>
      </c>
      <c r="L91" s="74" t="e">
        <v>#DIV/0!</v>
      </c>
      <c r="M91" s="99" t="e">
        <f t="shared" ref="M91" si="1560">AVERAGE(L88:L91)</f>
        <v>#DIV/0!</v>
      </c>
      <c r="N91" s="156">
        <v>5.6869553041684888E-2</v>
      </c>
      <c r="O91" s="157">
        <f t="shared" si="1282"/>
        <v>5.0202628555398594E-2</v>
      </c>
      <c r="P91" s="156">
        <v>6.1122244488977955E-2</v>
      </c>
      <c r="Q91" s="157">
        <f t="shared" si="1206"/>
        <v>5.2318622042286517E-2</v>
      </c>
      <c r="R91" s="491">
        <v>6.1122244488977961E-2</v>
      </c>
      <c r="S91" s="483">
        <f t="shared" si="1207"/>
        <v>5.2318622042286517E-2</v>
      </c>
      <c r="T91" s="156">
        <v>9.8901098901098897E-2</v>
      </c>
      <c r="U91" s="157">
        <f t="shared" si="1208"/>
        <v>6.6420163771315044E-2</v>
      </c>
      <c r="V91" s="156">
        <v>5.2696078431372556E-2</v>
      </c>
      <c r="W91" s="157">
        <f t="shared" si="1209"/>
        <v>4.9059647923430837E-2</v>
      </c>
      <c r="X91" s="156" t="e">
        <v>#DIV/0!</v>
      </c>
      <c r="Y91" s="158" t="e">
        <f t="shared" si="1210"/>
        <v>#DIV/0!</v>
      </c>
      <c r="Z91" s="156">
        <v>0.10022324262852542</v>
      </c>
      <c r="AA91" s="157">
        <f t="shared" si="1285"/>
        <v>8.6413573646392655E-2</v>
      </c>
      <c r="AB91" s="156">
        <v>0.1031773095913535</v>
      </c>
      <c r="AC91" s="81">
        <f t="shared" ref="AC91" si="1561">AVERAGE(AB88:AB91)</f>
        <v>7.6481471538533394E-2</v>
      </c>
      <c r="AD91" s="491">
        <v>0.1031773095913535</v>
      </c>
      <c r="AE91" s="483">
        <f t="shared" si="1212"/>
        <v>7.6481471538533394E-2</v>
      </c>
      <c r="AF91" s="156">
        <v>0.1628590989730973</v>
      </c>
      <c r="AG91" s="483">
        <f t="shared" ref="AG91" si="1562">AVERAGE(AF88:AF91)</f>
        <v>9.4599423708747077E-2</v>
      </c>
      <c r="AH91" s="156">
        <v>9.0885445375272392E-2</v>
      </c>
      <c r="AI91" s="483">
        <f t="shared" si="1214"/>
        <v>7.2723840012921676E-2</v>
      </c>
      <c r="AJ91" s="156" t="e">
        <v>#DIV/0!</v>
      </c>
      <c r="AK91" s="158" t="e">
        <f t="shared" si="1215"/>
        <v>#DIV/0!</v>
      </c>
      <c r="AL91" s="74">
        <v>7473.3721650574116</v>
      </c>
      <c r="AM91" s="81">
        <f t="shared" si="1288"/>
        <v>7778.5023292315</v>
      </c>
      <c r="AN91" s="74">
        <v>7176.8907815631264</v>
      </c>
      <c r="AO91" s="81">
        <f t="shared" ref="AO91" si="1563">AVERAGE(AN88:AN91)</f>
        <v>7401.1910093475271</v>
      </c>
      <c r="AP91" s="494">
        <v>7176.8907815631273</v>
      </c>
      <c r="AQ91" s="495">
        <f t="shared" si="1217"/>
        <v>7401.191009347529</v>
      </c>
      <c r="AR91" s="74">
        <v>7236.2637362637361</v>
      </c>
      <c r="AS91" s="81">
        <f t="shared" ref="AS91" si="1564">AVERAGE(AR88:AR91)</f>
        <v>7496.897379743802</v>
      </c>
      <c r="AT91" s="74">
        <v>7163.6482843137273</v>
      </c>
      <c r="AU91" s="81">
        <f t="shared" si="1219"/>
        <v>7377.8834803947575</v>
      </c>
      <c r="AV91" s="74" t="e">
        <v>#DIV/0!</v>
      </c>
      <c r="AW91" s="99" t="e">
        <f t="shared" si="1264"/>
        <v>#DIV/0!</v>
      </c>
      <c r="AX91" s="105">
        <v>3.838272505264519</v>
      </c>
      <c r="AY91" s="106">
        <f t="shared" si="1291"/>
        <v>4.0420717342534171</v>
      </c>
      <c r="AZ91" s="105">
        <v>4.2575150300601203</v>
      </c>
      <c r="BA91" s="81">
        <f t="shared" ref="BA91" si="1565">AVERAGE(AZ88:AZ91)</f>
        <v>4.5094392832654258</v>
      </c>
      <c r="BB91" s="492">
        <v>4.2575150300601203</v>
      </c>
      <c r="BC91" s="493">
        <f t="shared" si="1221"/>
        <v>4.5094392832654258</v>
      </c>
      <c r="BD91" s="105">
        <v>4.6098901098901095</v>
      </c>
      <c r="BE91" s="106">
        <f t="shared" ref="BE91" si="1566">AVERAGE(BD88:BD91)</f>
        <v>5.880757082586185</v>
      </c>
      <c r="BF91" s="105">
        <v>4.1789215686274517</v>
      </c>
      <c r="BG91" s="106">
        <f t="shared" si="1223"/>
        <v>4.1787638094531214</v>
      </c>
      <c r="BH91" s="105" t="e">
        <v>#DIV/0!</v>
      </c>
      <c r="BI91" s="107" t="e">
        <f t="shared" si="1267"/>
        <v>#DIV/0!</v>
      </c>
      <c r="BJ91" s="487">
        <v>0.60976778817609167</v>
      </c>
      <c r="BK91" s="488">
        <f t="shared" si="1294"/>
        <v>0.58249555511580453</v>
      </c>
      <c r="BL91" s="487">
        <v>0.8176352705410822</v>
      </c>
      <c r="BM91" s="489">
        <f t="shared" ref="BM91" si="1567">AVERAGE(BL88:BL91)</f>
        <v>0.80818374021444117</v>
      </c>
      <c r="BN91" s="487"/>
      <c r="BO91" s="489" t="e">
        <f t="shared" ref="BO91" si="1568">AVERAGE(BN88:BN91)</f>
        <v>#DIV/0!</v>
      </c>
      <c r="BP91" s="487">
        <v>0</v>
      </c>
      <c r="BQ91" s="489">
        <f t="shared" ref="BQ91" si="1569">AVERAGE(BP88:BP91)</f>
        <v>0</v>
      </c>
      <c r="BR91" s="487"/>
      <c r="BS91" s="489" t="e">
        <f t="shared" ref="BS91" si="1570">AVERAGE(BR88:BR91)</f>
        <v>#DIV/0!</v>
      </c>
      <c r="BT91" s="487" t="e">
        <v>#DIV/0!</v>
      </c>
      <c r="BU91" s="490" t="e">
        <f t="shared" si="1272"/>
        <v>#DIV/0!</v>
      </c>
      <c r="BV91" s="74">
        <v>4909.1737117914845</v>
      </c>
      <c r="BW91" s="81">
        <f t="shared" si="1299"/>
        <v>5067.5806699123041</v>
      </c>
      <c r="BX91" s="74">
        <v>5711.258517034069</v>
      </c>
      <c r="BY91" s="81">
        <f t="shared" ref="BY91" si="1571">AVERAGE(BX88:BX91)</f>
        <v>6019.2709532112731</v>
      </c>
      <c r="BZ91" s="494">
        <v>5711.258517034069</v>
      </c>
      <c r="CA91" s="495">
        <f t="shared" si="1229"/>
        <v>6019.2709532112731</v>
      </c>
      <c r="CB91" s="74">
        <v>7843.3461538461534</v>
      </c>
      <c r="CC91" s="81">
        <f t="shared" ref="CC91" si="1572">AVERAGE(CB88:CB91)</f>
        <v>8135.5149963518015</v>
      </c>
      <c r="CD91" s="74">
        <v>5235.7193627450988</v>
      </c>
      <c r="CE91" s="81">
        <f t="shared" si="1231"/>
        <v>5516.3529553863136</v>
      </c>
      <c r="CF91" s="74" t="e">
        <v>#DIV/0!</v>
      </c>
      <c r="CG91" s="99" t="e">
        <f t="shared" si="1275"/>
        <v>#DIV/0!</v>
      </c>
      <c r="CH91" s="156">
        <v>1.7940762099556484E-2</v>
      </c>
      <c r="CI91" s="157">
        <f t="shared" si="1299"/>
        <v>1.7650421164781618E-2</v>
      </c>
      <c r="CJ91" s="156">
        <v>2.4048096192384776E-2</v>
      </c>
      <c r="CK91" s="81">
        <f t="shared" ref="CK91" si="1573">AVERAGE(CJ88:CJ91)</f>
        <v>2.4376426134246492E-2</v>
      </c>
      <c r="CL91" s="491">
        <v>2.4048096192384773E-2</v>
      </c>
      <c r="CM91" s="483">
        <f t="shared" si="1233"/>
        <v>2.4376426134246496E-2</v>
      </c>
      <c r="CN91" s="156">
        <v>3.8461538461538457E-2</v>
      </c>
      <c r="CO91" s="483">
        <f t="shared" ref="CO91" si="1574">AVERAGE(CN88:CN91)</f>
        <v>4.2476993312635256E-2</v>
      </c>
      <c r="CP91" s="156">
        <v>2.0833333333333336E-2</v>
      </c>
      <c r="CQ91" s="483">
        <f t="shared" si="1235"/>
        <v>2.0049985961932901E-2</v>
      </c>
      <c r="CR91" s="156" t="e">
        <v>#DIV/0!</v>
      </c>
      <c r="CS91" s="158" t="e">
        <f t="shared" si="1278"/>
        <v>#DIV/0!</v>
      </c>
      <c r="CT91" s="105">
        <v>39.785388148818321</v>
      </c>
      <c r="CU91" s="106">
        <f t="shared" si="1304"/>
        <v>40.145231741590202</v>
      </c>
      <c r="CV91" s="105">
        <v>42.27555110220441</v>
      </c>
      <c r="CW91" s="81">
        <f t="shared" ref="CW91" si="1575">AVERAGE(CV88:CV91)</f>
        <v>42.900543993921545</v>
      </c>
      <c r="CX91" s="492">
        <v>42.275551102204417</v>
      </c>
      <c r="CY91" s="493">
        <f t="shared" si="1237"/>
        <v>42.900543993921552</v>
      </c>
      <c r="CZ91" s="105">
        <v>46.890109890109883</v>
      </c>
      <c r="DA91" s="106">
        <f t="shared" ref="DA91" si="1576">AVERAGE(CZ88:CZ91)</f>
        <v>47.778209956702398</v>
      </c>
      <c r="DB91" s="105">
        <v>41.246323529411775</v>
      </c>
      <c r="DC91" s="106">
        <f t="shared" si="1239"/>
        <v>41.739639349255192</v>
      </c>
      <c r="DD91" s="105" t="e">
        <v>#DIV/0!</v>
      </c>
      <c r="DE91" s="107" t="e">
        <f t="shared" si="1281"/>
        <v>#DIV/0!</v>
      </c>
    </row>
    <row r="92" spans="1:109" x14ac:dyDescent="0.25">
      <c r="A92" s="155">
        <f t="shared" si="1165"/>
        <v>45765</v>
      </c>
      <c r="B92" s="74">
        <v>38.976615305522884</v>
      </c>
      <c r="C92" s="81">
        <f t="shared" si="1282"/>
        <v>38.741138960319702</v>
      </c>
      <c r="D92" s="74">
        <v>40.104696673189828</v>
      </c>
      <c r="E92" s="81">
        <f t="shared" si="1202"/>
        <v>39.868085775544344</v>
      </c>
      <c r="F92" s="74">
        <v>40.104696673189828</v>
      </c>
      <c r="G92" s="81">
        <f t="shared" si="1202"/>
        <v>39.868085775544337</v>
      </c>
      <c r="H92" s="74">
        <v>43.269999999999996</v>
      </c>
      <c r="I92" s="81">
        <f t="shared" ref="I92" si="1577">AVERAGE(H89:H92)</f>
        <v>43.383836673605401</v>
      </c>
      <c r="J92" s="74">
        <v>39.334549878345506</v>
      </c>
      <c r="K92" s="81">
        <f t="shared" si="1204"/>
        <v>39.02710736357141</v>
      </c>
      <c r="L92" s="74" t="e">
        <v>#DIV/0!</v>
      </c>
      <c r="M92" s="99" t="e">
        <f t="shared" ref="M92" si="1578">AVERAGE(L89:L92)</f>
        <v>#DIV/0!</v>
      </c>
      <c r="N92" s="156">
        <v>4.8639635408460419E-2</v>
      </c>
      <c r="O92" s="157">
        <f t="shared" si="1282"/>
        <v>5.0868128208157906E-2</v>
      </c>
      <c r="P92" s="156">
        <v>5.1859099804305274E-2</v>
      </c>
      <c r="Q92" s="157">
        <f t="shared" si="1206"/>
        <v>5.2922145732010664E-2</v>
      </c>
      <c r="R92" s="491">
        <v>5.1859099804305288E-2</v>
      </c>
      <c r="S92" s="483">
        <f t="shared" si="1207"/>
        <v>5.2922145732010664E-2</v>
      </c>
      <c r="T92" s="156">
        <v>4.9999999999999996E-2</v>
      </c>
      <c r="U92" s="157">
        <f t="shared" si="1208"/>
        <v>6.2167586451727416E-2</v>
      </c>
      <c r="V92" s="156">
        <v>5.2311435523114368E-2</v>
      </c>
      <c r="W92" s="157">
        <f t="shared" si="1209"/>
        <v>5.0845160505589605E-2</v>
      </c>
      <c r="X92" s="156" t="e">
        <v>#DIV/0!</v>
      </c>
      <c r="Y92" s="158" t="e">
        <f t="shared" si="1210"/>
        <v>#DIV/0!</v>
      </c>
      <c r="Z92" s="156">
        <v>8.8230790419198249E-2</v>
      </c>
      <c r="AA92" s="157">
        <f t="shared" si="1285"/>
        <v>8.7816354173826425E-2</v>
      </c>
      <c r="AB92" s="156">
        <v>8.4763914561324011E-2</v>
      </c>
      <c r="AC92" s="81">
        <f t="shared" ref="AC92" si="1579">AVERAGE(AB89:AB92)</f>
        <v>8.2756717959382886E-2</v>
      </c>
      <c r="AD92" s="491">
        <v>8.4763914561324025E-2</v>
      </c>
      <c r="AE92" s="483">
        <f t="shared" si="1212"/>
        <v>8.27567179593829E-2</v>
      </c>
      <c r="AF92" s="156">
        <v>8.2987000300805039E-2</v>
      </c>
      <c r="AG92" s="483">
        <f t="shared" ref="AG92" si="1580">AVERAGE(AF89:AF92)</f>
        <v>9.7744405322199968E-2</v>
      </c>
      <c r="AH92" s="156">
        <v>8.5067017495055464E-2</v>
      </c>
      <c r="AI92" s="483">
        <f t="shared" si="1214"/>
        <v>7.9581312698029316E-2</v>
      </c>
      <c r="AJ92" s="156" t="e">
        <v>#DIV/0!</v>
      </c>
      <c r="AK92" s="158" t="e">
        <f t="shared" si="1215"/>
        <v>#DIV/0!</v>
      </c>
      <c r="AL92" s="74">
        <v>7534.4408072426004</v>
      </c>
      <c r="AM92" s="81">
        <f t="shared" si="1288"/>
        <v>7721.1281195778329</v>
      </c>
      <c r="AN92" s="74">
        <v>7231.3757338551859</v>
      </c>
      <c r="AO92" s="81">
        <f t="shared" ref="AO92" si="1581">AVERAGE(AN89:AN92)</f>
        <v>7339.7450840827678</v>
      </c>
      <c r="AP92" s="494">
        <v>7231.3757338551868</v>
      </c>
      <c r="AQ92" s="495">
        <f t="shared" si="1217"/>
        <v>7339.7450840827678</v>
      </c>
      <c r="AR92" s="74">
        <v>7323.5</v>
      </c>
      <c r="AS92" s="81">
        <f t="shared" ref="AS92" si="1582">AVERAGE(AR89:AR92)</f>
        <v>7365.661555001534</v>
      </c>
      <c r="AT92" s="74">
        <v>7208.9610705596115</v>
      </c>
      <c r="AU92" s="81">
        <f t="shared" si="1219"/>
        <v>7333.4277003558636</v>
      </c>
      <c r="AV92" s="74" t="e">
        <v>#DIV/0!</v>
      </c>
      <c r="AW92" s="99" t="e">
        <f t="shared" si="1264"/>
        <v>#DIV/0!</v>
      </c>
      <c r="AX92" s="105">
        <v>3.9801459665091361</v>
      </c>
      <c r="AY92" s="106">
        <f t="shared" si="1291"/>
        <v>4.0245487064352536</v>
      </c>
      <c r="AZ92" s="105">
        <v>4.3767123287671224</v>
      </c>
      <c r="BA92" s="81">
        <f t="shared" ref="BA92" si="1583">AVERAGE(AZ89:AZ92)</f>
        <v>4.4209735713098803</v>
      </c>
      <c r="BB92" s="492">
        <v>4.3767123287671232</v>
      </c>
      <c r="BC92" s="493">
        <f t="shared" si="1221"/>
        <v>4.4209735713098803</v>
      </c>
      <c r="BD92" s="105">
        <v>6.1849999999999987</v>
      </c>
      <c r="BE92" s="106">
        <f t="shared" ref="BE92" si="1584">AVERAGE(BD89:BD92)</f>
        <v>5.8496874949573181</v>
      </c>
      <c r="BF92" s="105">
        <v>3.9367396593673973</v>
      </c>
      <c r="BG92" s="106">
        <f t="shared" si="1223"/>
        <v>4.0763740693388852</v>
      </c>
      <c r="BH92" s="105" t="e">
        <v>#DIV/0!</v>
      </c>
      <c r="BI92" s="107" t="e">
        <f t="shared" si="1267"/>
        <v>#DIV/0!</v>
      </c>
      <c r="BJ92" s="487">
        <v>0.60501958712309556</v>
      </c>
      <c r="BK92" s="488">
        <f t="shared" si="1294"/>
        <v>0.58953269531736308</v>
      </c>
      <c r="BL92" s="487">
        <v>0.80430528375733834</v>
      </c>
      <c r="BM92" s="489">
        <f t="shared" ref="BM92" si="1585">AVERAGE(BL89:BL92)</f>
        <v>0.8082005253313741</v>
      </c>
      <c r="BN92" s="487"/>
      <c r="BO92" s="489" t="e">
        <f t="shared" ref="BO92" si="1586">AVERAGE(BN89:BN92)</f>
        <v>#DIV/0!</v>
      </c>
      <c r="BP92" s="487">
        <v>0</v>
      </c>
      <c r="BQ92" s="489">
        <f t="shared" ref="BQ92" si="1587">AVERAGE(BP89:BP92)</f>
        <v>0</v>
      </c>
      <c r="BR92" s="487"/>
      <c r="BS92" s="489" t="e">
        <f t="shared" ref="BS92" si="1588">AVERAGE(BR89:BR92)</f>
        <v>#DIV/0!</v>
      </c>
      <c r="BT92" s="487" t="e">
        <v>#DIV/0!</v>
      </c>
      <c r="BU92" s="490" t="e">
        <f t="shared" si="1272"/>
        <v>#DIV/0!</v>
      </c>
      <c r="BV92" s="74">
        <v>4897.5665431754969</v>
      </c>
      <c r="BW92" s="81">
        <f t="shared" si="1299"/>
        <v>5079.9904475290905</v>
      </c>
      <c r="BX92" s="74">
        <v>5679.8884540117424</v>
      </c>
      <c r="BY92" s="81">
        <f t="shared" ref="BY92" si="1589">AVERAGE(BX89:BX92)</f>
        <v>5944.299070750536</v>
      </c>
      <c r="BZ92" s="494">
        <v>5679.8884540117415</v>
      </c>
      <c r="CA92" s="495">
        <f t="shared" si="1229"/>
        <v>5944.299070750536</v>
      </c>
      <c r="CB92" s="74">
        <v>7001.329999999999</v>
      </c>
      <c r="CC92" s="81">
        <f t="shared" ref="CC92" si="1590">AVERAGE(CB89:CB92)</f>
        <v>7778.636156145616</v>
      </c>
      <c r="CD92" s="74">
        <v>5358.3698296836992</v>
      </c>
      <c r="CE92" s="81">
        <f t="shared" si="1231"/>
        <v>5510.0351242250545</v>
      </c>
      <c r="CF92" s="74" t="e">
        <v>#DIV/0!</v>
      </c>
      <c r="CG92" s="99" t="e">
        <f t="shared" si="1275"/>
        <v>#DIV/0!</v>
      </c>
      <c r="CH92" s="156">
        <v>1.4739375368984085E-2</v>
      </c>
      <c r="CI92" s="157">
        <f t="shared" si="1299"/>
        <v>1.7596246794282611E-2</v>
      </c>
      <c r="CJ92" s="156">
        <v>1.9569471624266147E-2</v>
      </c>
      <c r="CK92" s="81">
        <f t="shared" ref="CK92" si="1591">AVERAGE(CJ89:CJ92)</f>
        <v>2.4475655796115246E-2</v>
      </c>
      <c r="CL92" s="491">
        <v>1.9569471624266147E-2</v>
      </c>
      <c r="CM92" s="483">
        <f t="shared" si="1233"/>
        <v>2.4475655796115249E-2</v>
      </c>
      <c r="CN92" s="156">
        <v>4.4999999999999998E-2</v>
      </c>
      <c r="CO92" s="483">
        <f t="shared" ref="CO92" si="1592">AVERAGE(CN89:CN92)</f>
        <v>4.4706374755934225E-2</v>
      </c>
      <c r="CP92" s="156">
        <v>1.3381995133819954E-2</v>
      </c>
      <c r="CQ92" s="483">
        <f t="shared" si="1235"/>
        <v>1.9631369312514611E-2</v>
      </c>
      <c r="CR92" s="156" t="e">
        <v>#DIV/0!</v>
      </c>
      <c r="CS92" s="158" t="e">
        <f t="shared" si="1278"/>
        <v>#DIV/0!</v>
      </c>
      <c r="CT92" s="105">
        <v>40.763257324332663</v>
      </c>
      <c r="CU92" s="106">
        <f t="shared" si="1304"/>
        <v>40.283466305623847</v>
      </c>
      <c r="CV92" s="105">
        <v>43.67612524461839</v>
      </c>
      <c r="CW92" s="81">
        <f t="shared" ref="CW92" si="1593">AVERAGE(CV89:CV92)</f>
        <v>42.85766814059582</v>
      </c>
      <c r="CX92" s="492">
        <v>43.676125244618405</v>
      </c>
      <c r="CY92" s="493">
        <f t="shared" si="1237"/>
        <v>42.857668140595834</v>
      </c>
      <c r="CZ92" s="105">
        <v>50.144999999999996</v>
      </c>
      <c r="DA92" s="106">
        <f t="shared" ref="DA92" si="1594">AVERAGE(CZ89:CZ92)</f>
        <v>48.520645523712702</v>
      </c>
      <c r="DB92" s="105">
        <v>42.102189781021906</v>
      </c>
      <c r="DC92" s="106">
        <f t="shared" si="1239"/>
        <v>41.50577650592848</v>
      </c>
      <c r="DD92" s="105" t="e">
        <v>#DIV/0!</v>
      </c>
      <c r="DE92" s="107" t="e">
        <f t="shared" si="1281"/>
        <v>#DIV/0!</v>
      </c>
    </row>
    <row r="93" spans="1:109" x14ac:dyDescent="0.25">
      <c r="A93" s="155">
        <f t="shared" si="1165"/>
        <v>45772</v>
      </c>
      <c r="B93" s="74">
        <v>39.579786484433924</v>
      </c>
      <c r="C93" s="81">
        <f t="shared" si="1282"/>
        <v>38.884248881571025</v>
      </c>
      <c r="D93" s="74">
        <v>40.58101135190919</v>
      </c>
      <c r="E93" s="81">
        <f t="shared" si="1202"/>
        <v>40.053448002765037</v>
      </c>
      <c r="F93" s="74">
        <v>40.581011351909204</v>
      </c>
      <c r="G93" s="81">
        <f t="shared" si="1202"/>
        <v>40.053448002765045</v>
      </c>
      <c r="H93" s="74">
        <v>44.818627450980401</v>
      </c>
      <c r="I93" s="81">
        <f t="shared" ref="I93" si="1595">AVERAGE(H90:H93)</f>
        <v>43.840874488731444</v>
      </c>
      <c r="J93" s="74">
        <v>39.450980392156886</v>
      </c>
      <c r="K93" s="81">
        <f t="shared" si="1204"/>
        <v>39.116459000505799</v>
      </c>
      <c r="L93" s="74" t="e">
        <v>#DIV/0!</v>
      </c>
      <c r="M93" s="99" t="e">
        <f t="shared" ref="M93" si="1596">AVERAGE(L90:L93)</f>
        <v>#DIV/0!</v>
      </c>
      <c r="N93" s="156">
        <v>4.0366407323971759E-2</v>
      </c>
      <c r="O93" s="157">
        <f t="shared" si="1282"/>
        <v>4.9493950792199808E-2</v>
      </c>
      <c r="P93" s="156">
        <v>4.1279669762641906E-2</v>
      </c>
      <c r="Q93" s="157">
        <f t="shared" si="1206"/>
        <v>5.1847350319435048E-2</v>
      </c>
      <c r="R93" s="491">
        <v>4.1279669762641913E-2</v>
      </c>
      <c r="S93" s="483">
        <f t="shared" si="1207"/>
        <v>5.1847350319435055E-2</v>
      </c>
      <c r="T93" s="156">
        <v>3.9215686274509803E-2</v>
      </c>
      <c r="U93" s="157">
        <f t="shared" si="1208"/>
        <v>6.2447698496545349E-2</v>
      </c>
      <c r="V93" s="156">
        <v>4.1830065359477142E-2</v>
      </c>
      <c r="W93" s="157">
        <f t="shared" si="1209"/>
        <v>4.9465021828547964E-2</v>
      </c>
      <c r="X93" s="156" t="e">
        <v>#DIV/0!</v>
      </c>
      <c r="Y93" s="158" t="e">
        <f t="shared" si="1210"/>
        <v>#DIV/0!</v>
      </c>
      <c r="Z93" s="156">
        <v>7.4764831561164105E-2</v>
      </c>
      <c r="AA93" s="157">
        <f t="shared" si="1285"/>
        <v>8.5868625992576914E-2</v>
      </c>
      <c r="AB93" s="156">
        <v>6.8196744594735945E-2</v>
      </c>
      <c r="AC93" s="81">
        <f t="shared" ref="AC93" si="1597">AVERAGE(AB90:AB93)</f>
        <v>8.3819652021896632E-2</v>
      </c>
      <c r="AD93" s="491">
        <v>6.8196744594735959E-2</v>
      </c>
      <c r="AE93" s="483">
        <f t="shared" si="1212"/>
        <v>8.3819652021896632E-2</v>
      </c>
      <c r="AF93" s="156">
        <v>7.5333336095918371E-2</v>
      </c>
      <c r="AG93" s="483">
        <f t="shared" ref="AG93" si="1598">AVERAGE(AF90:AF93)</f>
        <v>0.10371750559290438</v>
      </c>
      <c r="AH93" s="156">
        <v>6.666646113291351E-2</v>
      </c>
      <c r="AI93" s="483">
        <f t="shared" si="1214"/>
        <v>7.9680850163664912E-2</v>
      </c>
      <c r="AJ93" s="156" t="e">
        <v>#DIV/0!</v>
      </c>
      <c r="AK93" s="158" t="e">
        <f t="shared" si="1215"/>
        <v>#DIV/0!</v>
      </c>
      <c r="AL93" s="74">
        <v>7569.1225525236714</v>
      </c>
      <c r="AM93" s="81">
        <f t="shared" si="1288"/>
        <v>7680.1399608447127</v>
      </c>
      <c r="AN93" s="74">
        <v>7262.3601651186791</v>
      </c>
      <c r="AO93" s="81">
        <f t="shared" ref="AO93" si="1599">AVERAGE(AN90:AN93)</f>
        <v>7272.4205857088373</v>
      </c>
      <c r="AP93" s="494">
        <v>7262.3601651186818</v>
      </c>
      <c r="AQ93" s="495">
        <f t="shared" si="1217"/>
        <v>7272.4205857088382</v>
      </c>
      <c r="AR93" s="74">
        <v>7529.4117647058838</v>
      </c>
      <c r="AS93" s="81">
        <f t="shared" ref="AS93" si="1600">AVERAGE(AR90:AR93)</f>
        <v>7401.2597342732424</v>
      </c>
      <c r="AT93" s="74">
        <v>7191.1464052287611</v>
      </c>
      <c r="AU93" s="81">
        <f t="shared" si="1219"/>
        <v>7239.7388225198774</v>
      </c>
      <c r="AV93" s="74" t="e">
        <v>#DIV/0!</v>
      </c>
      <c r="AW93" s="99" t="e">
        <f t="shared" si="1264"/>
        <v>#DIV/0!</v>
      </c>
      <c r="AX93" s="105">
        <v>4.2016015259030119</v>
      </c>
      <c r="AY93" s="106">
        <f t="shared" si="1291"/>
        <v>4.0558899053659863</v>
      </c>
      <c r="AZ93" s="105">
        <v>4.6140350877192997</v>
      </c>
      <c r="BA93" s="81">
        <f t="shared" ref="BA93" si="1601">AVERAGE(AZ90:AZ93)</f>
        <v>4.443215251170427</v>
      </c>
      <c r="BB93" s="492">
        <v>4.6140350877192997</v>
      </c>
      <c r="BC93" s="493">
        <f t="shared" si="1221"/>
        <v>4.443215251170427</v>
      </c>
      <c r="BD93" s="105">
        <v>6.7990196078431371</v>
      </c>
      <c r="BE93" s="106">
        <f t="shared" ref="BE93" si="1602">AVERAGE(BD90:BD93)</f>
        <v>6.0042043016800069</v>
      </c>
      <c r="BF93" s="105">
        <v>4.0313725490196095</v>
      </c>
      <c r="BG93" s="106">
        <f t="shared" si="1223"/>
        <v>4.0509590329748484</v>
      </c>
      <c r="BH93" s="105" t="e">
        <v>#DIV/0!</v>
      </c>
      <c r="BI93" s="107" t="e">
        <f t="shared" si="1267"/>
        <v>#DIV/0!</v>
      </c>
      <c r="BJ93" s="487">
        <v>0.61657487832035895</v>
      </c>
      <c r="BK93" s="488">
        <f t="shared" si="1294"/>
        <v>0.59773287956502874</v>
      </c>
      <c r="BL93" s="487">
        <v>0.78947368421052622</v>
      </c>
      <c r="BM93" s="489">
        <f t="shared" ref="BM93" si="1603">AVERAGE(BL90:BL93)</f>
        <v>0.8034267403675972</v>
      </c>
      <c r="BN93" s="487"/>
      <c r="BO93" s="489" t="e">
        <f t="shared" ref="BO93" si="1604">AVERAGE(BN90:BN93)</f>
        <v>#DIV/0!</v>
      </c>
      <c r="BP93" s="487">
        <v>0</v>
      </c>
      <c r="BQ93" s="489">
        <f t="shared" ref="BQ93" si="1605">AVERAGE(BP90:BP93)</f>
        <v>0</v>
      </c>
      <c r="BR93" s="487"/>
      <c r="BS93" s="489" t="e">
        <f t="shared" ref="BS93" si="1606">AVERAGE(BR90:BR93)</f>
        <v>#DIV/0!</v>
      </c>
      <c r="BT93" s="487" t="e">
        <v>#DIV/0!</v>
      </c>
      <c r="BU93" s="490" t="e">
        <f t="shared" si="1272"/>
        <v>#DIV/0!</v>
      </c>
      <c r="BV93" s="74">
        <v>4936.1350174250811</v>
      </c>
      <c r="BW93" s="81">
        <f t="shared" si="1299"/>
        <v>5079.0821454889074</v>
      </c>
      <c r="BX93" s="74">
        <v>5648.4881320949444</v>
      </c>
      <c r="BY93" s="81">
        <f t="shared" ref="BY93" si="1607">AVERAGE(BX90:BX93)</f>
        <v>5852.4306753330693</v>
      </c>
      <c r="BZ93" s="494">
        <v>5648.4881320949444</v>
      </c>
      <c r="CA93" s="495">
        <f t="shared" si="1229"/>
        <v>5852.4306753330693</v>
      </c>
      <c r="CB93" s="74">
        <v>7511.8725490196084</v>
      </c>
      <c r="CC93" s="81">
        <f t="shared" ref="CC93" si="1608">AVERAGE(CB90:CB93)</f>
        <v>7711.1757219719466</v>
      </c>
      <c r="CD93" s="74">
        <v>5151.5856209150343</v>
      </c>
      <c r="CE93" s="81">
        <f t="shared" si="1231"/>
        <v>5398.4529499724158</v>
      </c>
      <c r="CF93" s="74" t="e">
        <v>#DIV/0!</v>
      </c>
      <c r="CG93" s="99" t="e">
        <f t="shared" si="1275"/>
        <v>#DIV/0!</v>
      </c>
      <c r="CH93" s="156">
        <v>1.7733825489354968E-2</v>
      </c>
      <c r="CI93" s="157">
        <f t="shared" si="1299"/>
        <v>1.7785930190567109E-2</v>
      </c>
      <c r="CJ93" s="156">
        <v>2.2703818369453045E-2</v>
      </c>
      <c r="CK93" s="81">
        <f t="shared" ref="CK93" si="1609">AVERAGE(CJ90:CJ93)</f>
        <v>2.4454253961860462E-2</v>
      </c>
      <c r="CL93" s="491">
        <v>2.2703818369453049E-2</v>
      </c>
      <c r="CM93" s="483">
        <f t="shared" si="1233"/>
        <v>2.4454253961860468E-2</v>
      </c>
      <c r="CN93" s="156">
        <v>4.4117647058823532E-2</v>
      </c>
      <c r="CO93" s="483">
        <f t="shared" ref="CO93" si="1610">AVERAGE(CN90:CN93)</f>
        <v>4.6211976996830592E-2</v>
      </c>
      <c r="CP93" s="156">
        <v>1.6993464052287587E-2</v>
      </c>
      <c r="CQ93" s="483">
        <f t="shared" si="1235"/>
        <v>1.9088303533027328E-2</v>
      </c>
      <c r="CR93" s="156" t="e">
        <v>#DIV/0!</v>
      </c>
      <c r="CS93" s="158" t="e">
        <f t="shared" si="1278"/>
        <v>#DIV/0!</v>
      </c>
      <c r="CT93" s="105">
        <v>41.673190745794308</v>
      </c>
      <c r="CU93" s="106">
        <f t="shared" si="1304"/>
        <v>40.515154437586979</v>
      </c>
      <c r="CV93" s="105">
        <v>43.736842105263165</v>
      </c>
      <c r="CW93" s="81">
        <f t="shared" ref="CW93" si="1611">AVERAGE(CV90:CV93)</f>
        <v>42.920411027896122</v>
      </c>
      <c r="CX93" s="492">
        <v>43.736842105263179</v>
      </c>
      <c r="CY93" s="493">
        <f t="shared" si="1237"/>
        <v>42.920411027896137</v>
      </c>
      <c r="CZ93" s="105">
        <v>50.245098039215691</v>
      </c>
      <c r="DA93" s="106">
        <f t="shared" ref="DA93" si="1612">AVERAGE(CZ90:CZ93)</f>
        <v>49.011681938278528</v>
      </c>
      <c r="DB93" s="105">
        <v>42.001307189542509</v>
      </c>
      <c r="DC93" s="106">
        <f t="shared" si="1239"/>
        <v>41.418448286403191</v>
      </c>
      <c r="DD93" s="105" t="e">
        <v>#DIV/0!</v>
      </c>
      <c r="DE93" s="107" t="e">
        <f t="shared" si="1281"/>
        <v>#DIV/0!</v>
      </c>
    </row>
    <row r="94" spans="1:109" x14ac:dyDescent="0.25">
      <c r="A94" s="155">
        <f t="shared" si="1165"/>
        <v>45779</v>
      </c>
      <c r="B94" s="74">
        <v>39.256534852728493</v>
      </c>
      <c r="C94" s="81">
        <f t="shared" si="1282"/>
        <v>38.960316001244301</v>
      </c>
      <c r="D94" s="74">
        <v>40.188477366255121</v>
      </c>
      <c r="E94" s="81">
        <f t="shared" si="1202"/>
        <v>40.116091438018898</v>
      </c>
      <c r="F94" s="74">
        <v>40.188477366255121</v>
      </c>
      <c r="G94" s="81">
        <f t="shared" si="1202"/>
        <v>40.116091438018898</v>
      </c>
      <c r="H94" s="74">
        <v>42.711462450592904</v>
      </c>
      <c r="I94" s="81">
        <f t="shared" ref="I94" si="1613">AVERAGE(H91:H94)</f>
        <v>43.252220277591128</v>
      </c>
      <c r="J94" s="74">
        <v>39.524948024947989</v>
      </c>
      <c r="K94" s="81">
        <f t="shared" si="1204"/>
        <v>39.329151436607688</v>
      </c>
      <c r="L94" s="74" t="e">
        <v>#DIV/0!</v>
      </c>
      <c r="M94" s="99" t="e">
        <f t="shared" ref="M94" si="1614">AVERAGE(L91:L94)</f>
        <v>#DIV/0!</v>
      </c>
      <c r="N94" s="156">
        <v>5.2547422863960122E-2</v>
      </c>
      <c r="O94" s="157">
        <f t="shared" si="1282"/>
        <v>4.8948657593079099E-2</v>
      </c>
      <c r="P94" s="156">
        <v>6.0082304526748925E-2</v>
      </c>
      <c r="Q94" s="157">
        <f t="shared" si="1206"/>
        <v>5.3585829645668513E-2</v>
      </c>
      <c r="R94" s="491">
        <v>6.0082304526748925E-2</v>
      </c>
      <c r="S94" s="483">
        <f t="shared" si="1207"/>
        <v>5.358582964566852E-2</v>
      </c>
      <c r="T94" s="156">
        <v>6.7193675889328092E-2</v>
      </c>
      <c r="U94" s="157">
        <f t="shared" si="1208"/>
        <v>6.3827615266234206E-2</v>
      </c>
      <c r="V94" s="156">
        <v>5.8212058212058153E-2</v>
      </c>
      <c r="W94" s="157">
        <f t="shared" si="1209"/>
        <v>5.1262409381505558E-2</v>
      </c>
      <c r="X94" s="156" t="e">
        <v>#DIV/0!</v>
      </c>
      <c r="Y94" s="158" t="e">
        <f t="shared" si="1210"/>
        <v>#DIV/0!</v>
      </c>
      <c r="Z94" s="156">
        <v>8.8325240339257649E-2</v>
      </c>
      <c r="AA94" s="157">
        <f t="shared" si="1285"/>
        <v>8.4271290238589244E-2</v>
      </c>
      <c r="AB94" s="156">
        <v>8.9099780012341992E-2</v>
      </c>
      <c r="AC94" s="81">
        <f t="shared" ref="AC94" si="1615">AVERAGE(AB91:AB94)</f>
        <v>8.6309437189938859E-2</v>
      </c>
      <c r="AD94" s="491">
        <v>8.9099780012341992E-2</v>
      </c>
      <c r="AE94" s="483">
        <f t="shared" si="1212"/>
        <v>8.6309437189938859E-2</v>
      </c>
      <c r="AF94" s="156">
        <v>0.10453831425183503</v>
      </c>
      <c r="AG94" s="483">
        <f t="shared" ref="AG94" si="1616">AVERAGE(AF91:AF94)</f>
        <v>0.10642943740541393</v>
      </c>
      <c r="AH94" s="156">
        <v>8.5863178185471858E-2</v>
      </c>
      <c r="AI94" s="483">
        <f t="shared" si="1214"/>
        <v>8.2120525547178302E-2</v>
      </c>
      <c r="AJ94" s="156" t="e">
        <v>#DIV/0!</v>
      </c>
      <c r="AK94" s="158" t="e">
        <f t="shared" si="1215"/>
        <v>#DIV/0!</v>
      </c>
      <c r="AL94" s="74">
        <v>7783.1980518806522</v>
      </c>
      <c r="AM94" s="81">
        <f t="shared" si="1288"/>
        <v>7650.5505787424399</v>
      </c>
      <c r="AN94" s="74">
        <v>7502.3185185185121</v>
      </c>
      <c r="AO94" s="81">
        <f t="shared" ref="AO94" si="1617">AVERAGE(AN91:AN94)</f>
        <v>7293.2362997638756</v>
      </c>
      <c r="AP94" s="494">
        <v>7502.3185185185121</v>
      </c>
      <c r="AQ94" s="495">
        <f t="shared" si="1217"/>
        <v>7293.2362997638775</v>
      </c>
      <c r="AR94" s="74">
        <v>7345.6442687747067</v>
      </c>
      <c r="AS94" s="81">
        <f t="shared" ref="AS94" si="1618">AVERAGE(AR91:AR94)</f>
        <v>7358.7049424360821</v>
      </c>
      <c r="AT94" s="74">
        <v>7543.5228690228605</v>
      </c>
      <c r="AU94" s="81">
        <f t="shared" si="1219"/>
        <v>7276.8196572812403</v>
      </c>
      <c r="AV94" s="74" t="e">
        <v>#DIV/0!</v>
      </c>
      <c r="AW94" s="99" t="e">
        <f t="shared" si="1264"/>
        <v>#DIV/0!</v>
      </c>
      <c r="AX94" s="105">
        <v>4.0167792279934762</v>
      </c>
      <c r="AY94" s="106">
        <f t="shared" si="1291"/>
        <v>4.0413433572825026</v>
      </c>
      <c r="AZ94" s="105">
        <v>4.3868312757201622</v>
      </c>
      <c r="BA94" s="81">
        <f t="shared" ref="BA94" si="1619">AVERAGE(AZ91:AZ94)</f>
        <v>4.4087734305666757</v>
      </c>
      <c r="BB94" s="492">
        <v>4.3868312757201622</v>
      </c>
      <c r="BC94" s="493">
        <f t="shared" si="1221"/>
        <v>4.4087734305666757</v>
      </c>
      <c r="BD94" s="105">
        <v>5.7865612648221365</v>
      </c>
      <c r="BE94" s="106">
        <f t="shared" ref="BE94" si="1620">AVERAGE(BD91:BD94)</f>
        <v>5.8451177456388459</v>
      </c>
      <c r="BF94" s="105">
        <v>4.0187110187110147</v>
      </c>
      <c r="BG94" s="106">
        <f t="shared" si="1223"/>
        <v>4.0414361989313683</v>
      </c>
      <c r="BH94" s="105" t="e">
        <v>#DIV/0!</v>
      </c>
      <c r="BI94" s="107" t="e">
        <f t="shared" si="1267"/>
        <v>#DIV/0!</v>
      </c>
      <c r="BJ94" s="487">
        <v>0.61583181495190109</v>
      </c>
      <c r="BK94" s="488">
        <f t="shared" si="1294"/>
        <v>0.6064501214279121</v>
      </c>
      <c r="BL94" s="487">
        <v>0.79176954732510318</v>
      </c>
      <c r="BM94" s="489">
        <f t="shared" ref="BM94" si="1621">AVERAGE(BL91:BL94)</f>
        <v>0.80079594645851238</v>
      </c>
      <c r="BN94" s="487"/>
      <c r="BO94" s="489" t="e">
        <f t="shared" ref="BO94" si="1622">AVERAGE(BN91:BN94)</f>
        <v>#DIV/0!</v>
      </c>
      <c r="BP94" s="487">
        <v>0</v>
      </c>
      <c r="BQ94" s="489">
        <f t="shared" ref="BQ94" si="1623">AVERAGE(BP91:BP94)</f>
        <v>0</v>
      </c>
      <c r="BR94" s="487"/>
      <c r="BS94" s="489" t="e">
        <f t="shared" ref="BS94" si="1624">AVERAGE(BR91:BR94)</f>
        <v>#DIV/0!</v>
      </c>
      <c r="BT94" s="487" t="e">
        <v>#DIV/0!</v>
      </c>
      <c r="BU94" s="490" t="e">
        <f t="shared" si="1272"/>
        <v>#DIV/0!</v>
      </c>
      <c r="BV94" s="74">
        <v>4969.5098732831057</v>
      </c>
      <c r="BW94" s="81">
        <f t="shared" si="1299"/>
        <v>5056.782634544521</v>
      </c>
      <c r="BX94" s="74">
        <v>5594.4041152263326</v>
      </c>
      <c r="BY94" s="81">
        <f t="shared" ref="BY94" si="1625">AVERAGE(BX91:BX94)</f>
        <v>5658.5098045917712</v>
      </c>
      <c r="BZ94" s="494">
        <v>5594.4041152263317</v>
      </c>
      <c r="CA94" s="495">
        <f t="shared" si="1229"/>
        <v>5658.5098045917712</v>
      </c>
      <c r="CB94" s="74">
        <v>7528.5059288537577</v>
      </c>
      <c r="CC94" s="81">
        <f t="shared" ref="CC94" si="1626">AVERAGE(CB91:CB94)</f>
        <v>7471.2636579298796</v>
      </c>
      <c r="CD94" s="74">
        <v>5085.7474012473931</v>
      </c>
      <c r="CE94" s="81">
        <f t="shared" si="1231"/>
        <v>5207.8555536478061</v>
      </c>
      <c r="CF94" s="74" t="e">
        <v>#DIV/0!</v>
      </c>
      <c r="CG94" s="99" t="e">
        <f t="shared" si="1275"/>
        <v>#DIV/0!</v>
      </c>
      <c r="CH94" s="156">
        <v>1.2808505540108123E-2</v>
      </c>
      <c r="CI94" s="157">
        <f t="shared" si="1299"/>
        <v>1.6864260845213981E-2</v>
      </c>
      <c r="CJ94" s="156">
        <v>1.6460905349794226E-2</v>
      </c>
      <c r="CK94" s="81">
        <f t="shared" ref="CK94" si="1627">AVERAGE(CJ91:CJ94)</f>
        <v>2.0695572883974549E-2</v>
      </c>
      <c r="CL94" s="491">
        <v>1.6460905349794226E-2</v>
      </c>
      <c r="CM94" s="483">
        <f t="shared" si="1233"/>
        <v>2.0695572883974549E-2</v>
      </c>
      <c r="CN94" s="156">
        <v>4.3478260869565237E-2</v>
      </c>
      <c r="CO94" s="483">
        <f t="shared" ref="CO94" si="1628">AVERAGE(CN91:CN94)</f>
        <v>4.2764361597481808E-2</v>
      </c>
      <c r="CP94" s="156">
        <v>9.3555093555093474E-3</v>
      </c>
      <c r="CQ94" s="483">
        <f t="shared" si="1235"/>
        <v>1.5141075468737558E-2</v>
      </c>
      <c r="CR94" s="156" t="e">
        <v>#DIV/0!</v>
      </c>
      <c r="CS94" s="158" t="e">
        <f t="shared" si="1278"/>
        <v>#DIV/0!</v>
      </c>
      <c r="CT94" s="105">
        <v>41.616232536480844</v>
      </c>
      <c r="CU94" s="106">
        <f t="shared" si="1304"/>
        <v>40.731471853679579</v>
      </c>
      <c r="CV94" s="105">
        <v>44.072427983539072</v>
      </c>
      <c r="CW94" s="81">
        <f t="shared" ref="CW94" si="1629">AVERAGE(CV91:CV94)</f>
        <v>43.440236608906261</v>
      </c>
      <c r="CX94" s="492">
        <v>44.072427983539072</v>
      </c>
      <c r="CY94" s="493">
        <f t="shared" si="1237"/>
        <v>43.440236608906261</v>
      </c>
      <c r="CZ94" s="105">
        <v>47.007905138339943</v>
      </c>
      <c r="DA94" s="106">
        <f t="shared" ref="DA94" si="1630">AVERAGE(CZ91:CZ94)</f>
        <v>48.572028266916377</v>
      </c>
      <c r="DB94" s="105">
        <v>43.300415800415763</v>
      </c>
      <c r="DC94" s="106">
        <f t="shared" si="1239"/>
        <v>42.162559075097988</v>
      </c>
      <c r="DD94" s="105" t="e">
        <v>#DIV/0!</v>
      </c>
      <c r="DE94" s="107" t="e">
        <f t="shared" si="1281"/>
        <v>#DIV/0!</v>
      </c>
    </row>
    <row r="95" spans="1:109" x14ac:dyDescent="0.25">
      <c r="A95" s="155">
        <f t="shared" si="1165"/>
        <v>45786</v>
      </c>
      <c r="B95" s="74">
        <v>39.704609894278775</v>
      </c>
      <c r="C95" s="81">
        <f t="shared" si="1282"/>
        <v>39.107806150687665</v>
      </c>
      <c r="D95" s="74">
        <v>40.566277836691427</v>
      </c>
      <c r="E95" s="81">
        <f t="shared" si="1202"/>
        <v>40.36011580701139</v>
      </c>
      <c r="F95" s="74">
        <v>40.566277836691413</v>
      </c>
      <c r="G95" s="81">
        <f t="shared" si="1202"/>
        <v>40.360115807011397</v>
      </c>
      <c r="H95" s="74">
        <v>42.945812807881772</v>
      </c>
      <c r="I95" s="81">
        <f t="shared" ref="I95" si="1631">AVERAGE(H92:H95)</f>
        <v>43.436475677363767</v>
      </c>
      <c r="J95" s="74">
        <v>39.913513513513522</v>
      </c>
      <c r="K95" s="81">
        <f t="shared" si="1204"/>
        <v>39.555997952240972</v>
      </c>
      <c r="L95" s="74" t="e">
        <v>#DIV/0!</v>
      </c>
      <c r="M95" s="99" t="e">
        <f t="shared" ref="M95" si="1632">AVERAGE(L92:L95)</f>
        <v>#DIV/0!</v>
      </c>
      <c r="N95" s="156">
        <v>5.8442716154031099E-2</v>
      </c>
      <c r="O95" s="157">
        <f t="shared" si="1282"/>
        <v>5.0754820348413228E-2</v>
      </c>
      <c r="P95" s="156">
        <v>5.7264050901378587E-2</v>
      </c>
      <c r="Q95" s="157">
        <f t="shared" si="1206"/>
        <v>5.2621281248768678E-2</v>
      </c>
      <c r="R95" s="491">
        <v>5.726405090137858E-2</v>
      </c>
      <c r="S95" s="483">
        <f t="shared" si="1207"/>
        <v>5.2621281248768678E-2</v>
      </c>
      <c r="T95" s="156">
        <v>6.4039408866995065E-2</v>
      </c>
      <c r="U95" s="157">
        <f t="shared" si="1208"/>
        <v>5.5112192757708234E-2</v>
      </c>
      <c r="V95" s="156">
        <v>5.5405405405405408E-2</v>
      </c>
      <c r="W95" s="157">
        <f t="shared" si="1209"/>
        <v>5.1939741125013775E-2</v>
      </c>
      <c r="X95" s="156" t="e">
        <v>#DIV/0!</v>
      </c>
      <c r="Y95" s="158" t="e">
        <f t="shared" si="1210"/>
        <v>#DIV/0!</v>
      </c>
      <c r="Z95" s="156">
        <v>9.4156036178697708E-2</v>
      </c>
      <c r="AA95" s="157">
        <f t="shared" si="1285"/>
        <v>8.8348307574023011E-2</v>
      </c>
      <c r="AB95" s="156">
        <v>8.7062789010911162E-2</v>
      </c>
      <c r="AC95" s="81">
        <f t="shared" ref="AC95" si="1633">AVERAGE(AB92:AB95)</f>
        <v>8.2280807044828264E-2</v>
      </c>
      <c r="AD95" s="491">
        <v>8.7062789010911135E-2</v>
      </c>
      <c r="AE95" s="483">
        <f t="shared" si="1212"/>
        <v>8.2280807044828277E-2</v>
      </c>
      <c r="AF95" s="156">
        <v>0.1018947770181375</v>
      </c>
      <c r="AG95" s="483">
        <f t="shared" ref="AG95" si="1634">AVERAGE(AF92:AF95)</f>
        <v>9.1188356916673985E-2</v>
      </c>
      <c r="AH95" s="156">
        <v>8.3676613413610809E-2</v>
      </c>
      <c r="AI95" s="483">
        <f t="shared" si="1214"/>
        <v>8.0318317556762914E-2</v>
      </c>
      <c r="AJ95" s="156" t="e">
        <v>#DIV/0!</v>
      </c>
      <c r="AK95" s="158" t="e">
        <f t="shared" si="1215"/>
        <v>#DIV/0!</v>
      </c>
      <c r="AL95" s="74">
        <v>7690.6409732574439</v>
      </c>
      <c r="AM95" s="81">
        <f t="shared" si="1288"/>
        <v>7640.5160303361199</v>
      </c>
      <c r="AN95" s="74">
        <v>7328.3987274655365</v>
      </c>
      <c r="AO95" s="81">
        <f t="shared" ref="AO95" si="1635">AVERAGE(AN92:AN95)</f>
        <v>7331.1132862394788</v>
      </c>
      <c r="AP95" s="494">
        <v>7328.3987274655374</v>
      </c>
      <c r="AQ95" s="495">
        <f t="shared" si="1217"/>
        <v>7331.1132862394788</v>
      </c>
      <c r="AR95" s="74">
        <v>7474.3596059113297</v>
      </c>
      <c r="AS95" s="81">
        <f t="shared" ref="AS95" si="1636">AVERAGE(AR92:AR95)</f>
        <v>7418.2289098479805</v>
      </c>
      <c r="AT95" s="74">
        <v>7288.3581081081102</v>
      </c>
      <c r="AU95" s="81">
        <f t="shared" si="1219"/>
        <v>7307.997113229836</v>
      </c>
      <c r="AV95" s="74" t="e">
        <v>#DIV/0!</v>
      </c>
      <c r="AW95" s="99" t="e">
        <f t="shared" si="1264"/>
        <v>#DIV/0!</v>
      </c>
      <c r="AX95" s="105">
        <v>4.0763182291037694</v>
      </c>
      <c r="AY95" s="106">
        <f t="shared" si="1291"/>
        <v>4.0304164854519868</v>
      </c>
      <c r="AZ95" s="105">
        <v>4.4718981972428447</v>
      </c>
      <c r="BA95" s="81">
        <f t="shared" ref="BA95" si="1637">AVERAGE(AZ92:AZ95)</f>
        <v>4.4623692223623568</v>
      </c>
      <c r="BB95" s="492">
        <v>4.4718981972428429</v>
      </c>
      <c r="BC95" s="493">
        <f t="shared" si="1221"/>
        <v>4.4623692223623568</v>
      </c>
      <c r="BD95" s="105">
        <v>5.6995073891625605</v>
      </c>
      <c r="BE95" s="106">
        <f t="shared" ref="BE95" si="1638">AVERAGE(BD92:BD95)</f>
        <v>6.1175220654569582</v>
      </c>
      <c r="BF95" s="105">
        <v>4.1351351351351369</v>
      </c>
      <c r="BG95" s="106">
        <f t="shared" si="1223"/>
        <v>4.0304895905582896</v>
      </c>
      <c r="BH95" s="105" t="e">
        <v>#DIV/0!</v>
      </c>
      <c r="BI95" s="107" t="e">
        <f t="shared" si="1267"/>
        <v>#DIV/0!</v>
      </c>
      <c r="BJ95" s="487">
        <v>0.59966973194269335</v>
      </c>
      <c r="BK95" s="488">
        <f t="shared" si="1294"/>
        <v>0.60814249145625765</v>
      </c>
      <c r="BL95" s="487">
        <v>0.78472958642629909</v>
      </c>
      <c r="BM95" s="489">
        <f t="shared" ref="BM95" si="1639">AVERAGE(BL92:BL95)</f>
        <v>0.79256952542981662</v>
      </c>
      <c r="BN95" s="487"/>
      <c r="BO95" s="489" t="e">
        <f t="shared" ref="BO95" si="1640">AVERAGE(BN92:BN95)</f>
        <v>#DIV/0!</v>
      </c>
      <c r="BP95" s="487">
        <v>0</v>
      </c>
      <c r="BQ95" s="489">
        <f t="shared" ref="BQ95" si="1641">AVERAGE(BP92:BP95)</f>
        <v>0</v>
      </c>
      <c r="BR95" s="487"/>
      <c r="BS95" s="489" t="e">
        <f t="shared" ref="BS95" si="1642">AVERAGE(BR92:BR95)</f>
        <v>#DIV/0!</v>
      </c>
      <c r="BT95" s="487" t="e">
        <v>#DIV/0!</v>
      </c>
      <c r="BU95" s="490" t="e">
        <f t="shared" si="1272"/>
        <v>#DIV/0!</v>
      </c>
      <c r="BV95" s="74">
        <v>5250.3187881266495</v>
      </c>
      <c r="BW95" s="81">
        <f t="shared" si="1299"/>
        <v>5075.9163831131837</v>
      </c>
      <c r="BX95" s="74">
        <v>5745.0689289501597</v>
      </c>
      <c r="BY95" s="81">
        <f t="shared" ref="BY95" si="1643">AVERAGE(BX92:BX95)</f>
        <v>5666.9624075707943</v>
      </c>
      <c r="BZ95" s="494">
        <v>5745.0689289501588</v>
      </c>
      <c r="CA95" s="495">
        <f t="shared" si="1229"/>
        <v>5666.9624075707943</v>
      </c>
      <c r="CB95" s="74">
        <v>8038.532019704433</v>
      </c>
      <c r="CC95" s="81">
        <f t="shared" ref="CC95" si="1644">AVERAGE(CB92:CB95)</f>
        <v>7520.0601243944493</v>
      </c>
      <c r="CD95" s="74">
        <v>5115.9162162162165</v>
      </c>
      <c r="CE95" s="81">
        <f t="shared" si="1231"/>
        <v>5177.904767015586</v>
      </c>
      <c r="CF95" s="74" t="e">
        <v>#DIV/0!</v>
      </c>
      <c r="CG95" s="99" t="e">
        <f t="shared" si="1275"/>
        <v>#DIV/0!</v>
      </c>
      <c r="CH95" s="156">
        <v>2.0270243946050478E-2</v>
      </c>
      <c r="CI95" s="157">
        <f t="shared" si="1299"/>
        <v>1.7757753119075306E-2</v>
      </c>
      <c r="CJ95" s="156">
        <v>2.4390243902439029E-2</v>
      </c>
      <c r="CK95" s="81">
        <f t="shared" ref="CK95" si="1645">AVERAGE(CJ92:CJ95)</f>
        <v>2.0781109811488112E-2</v>
      </c>
      <c r="CL95" s="491">
        <v>2.4390243902439025E-2</v>
      </c>
      <c r="CM95" s="483">
        <f t="shared" si="1233"/>
        <v>2.0781109811488112E-2</v>
      </c>
      <c r="CN95" s="156">
        <v>6.4039408866995065E-2</v>
      </c>
      <c r="CO95" s="483">
        <f t="shared" ref="CO95" si="1646">AVERAGE(CN92:CN95)</f>
        <v>4.9158829198845955E-2</v>
      </c>
      <c r="CP95" s="156">
        <v>1.3513513513513514E-2</v>
      </c>
      <c r="CQ95" s="483">
        <f t="shared" si="1235"/>
        <v>1.3311120513782601E-2</v>
      </c>
      <c r="CR95" s="156" t="e">
        <v>#DIV/0!</v>
      </c>
      <c r="CS95" s="158" t="e">
        <f t="shared" si="1278"/>
        <v>#DIV/0!</v>
      </c>
      <c r="CT95" s="105">
        <v>41.249754413984697</v>
      </c>
      <c r="CU95" s="106">
        <f t="shared" si="1304"/>
        <v>40.76943634434793</v>
      </c>
      <c r="CV95" s="105">
        <v>44.032873806998936</v>
      </c>
      <c r="CW95" s="81">
        <f t="shared" ref="CW95" si="1647">AVERAGE(CV92:CV95)</f>
        <v>43.879567285104891</v>
      </c>
      <c r="CX95" s="492">
        <v>44.03287380699895</v>
      </c>
      <c r="CY95" s="493">
        <f t="shared" si="1237"/>
        <v>43.879567285104898</v>
      </c>
      <c r="CZ95" s="105">
        <v>48.394088669950733</v>
      </c>
      <c r="DA95" s="106">
        <f t="shared" ref="DA95" si="1648">AVERAGE(CZ92:CZ95)</f>
        <v>48.948022961876589</v>
      </c>
      <c r="DB95" s="105">
        <v>42.8364864864865</v>
      </c>
      <c r="DC95" s="106">
        <f t="shared" si="1239"/>
        <v>42.560099814366666</v>
      </c>
      <c r="DD95" s="105" t="e">
        <v>#DIV/0!</v>
      </c>
      <c r="DE95" s="107" t="e">
        <f t="shared" si="1281"/>
        <v>#DIV/0!</v>
      </c>
    </row>
    <row r="96" spans="1:109" x14ac:dyDescent="0.25">
      <c r="A96" s="155">
        <f t="shared" si="1165"/>
        <v>45793</v>
      </c>
      <c r="B96" s="74">
        <v>38.603165040457824</v>
      </c>
      <c r="C96" s="81">
        <f t="shared" si="1282"/>
        <v>39.08292536459841</v>
      </c>
      <c r="D96" s="74">
        <v>39.532139093782938</v>
      </c>
      <c r="E96" s="81">
        <f t="shared" si="1202"/>
        <v>40.216976412159667</v>
      </c>
      <c r="F96" s="74">
        <v>39.532139093782945</v>
      </c>
      <c r="G96" s="81">
        <f t="shared" si="1202"/>
        <v>40.216976412159667</v>
      </c>
      <c r="H96" s="74">
        <v>42.678217821782184</v>
      </c>
      <c r="I96" s="81">
        <f t="shared" ref="I96" si="1649">AVERAGE(H93:H96)</f>
        <v>43.288530132809313</v>
      </c>
      <c r="J96" s="74">
        <v>38.681392235609124</v>
      </c>
      <c r="K96" s="81">
        <f t="shared" si="1204"/>
        <v>39.392708541556885</v>
      </c>
      <c r="L96" s="74" t="e">
        <v>#DIV/0!</v>
      </c>
      <c r="M96" s="99" t="e">
        <f t="shared" ref="M96" si="1650">AVERAGE(L93:L96)</f>
        <v>#DIV/0!</v>
      </c>
      <c r="N96" s="156">
        <v>5.8943472250975237E-2</v>
      </c>
      <c r="O96" s="157">
        <f t="shared" si="1282"/>
        <v>5.2640065734717807E-2</v>
      </c>
      <c r="P96" s="156">
        <v>6.7439409905163353E-2</v>
      </c>
      <c r="Q96" s="157">
        <f t="shared" si="1206"/>
        <v>5.65163587739832E-2</v>
      </c>
      <c r="R96" s="491">
        <v>6.7439409905163353E-2</v>
      </c>
      <c r="S96" s="483">
        <f t="shared" si="1207"/>
        <v>5.6516358773983186E-2</v>
      </c>
      <c r="T96" s="156">
        <v>7.4257425742574268E-2</v>
      </c>
      <c r="U96" s="157">
        <f t="shared" si="1208"/>
        <v>6.1176549193351804E-2</v>
      </c>
      <c r="V96" s="156">
        <v>6.5595716198125875E-2</v>
      </c>
      <c r="W96" s="157">
        <f t="shared" si="1209"/>
        <v>5.5260811293766643E-2</v>
      </c>
      <c r="X96" s="156" t="e">
        <v>#DIV/0!</v>
      </c>
      <c r="Y96" s="158" t="e">
        <f t="shared" si="1210"/>
        <v>#DIV/0!</v>
      </c>
      <c r="Z96" s="156">
        <v>9.6036473609649037E-2</v>
      </c>
      <c r="AA96" s="157">
        <f t="shared" si="1285"/>
        <v>9.0716139221243927E-2</v>
      </c>
      <c r="AB96" s="156">
        <v>9.7877330385148897E-2</v>
      </c>
      <c r="AC96" s="81">
        <f t="shared" ref="AC96" si="1651">AVERAGE(AB93:AB96)</f>
        <v>8.5559161000784506E-2</v>
      </c>
      <c r="AD96" s="491">
        <v>9.7877330385148884E-2</v>
      </c>
      <c r="AE96" s="483">
        <f t="shared" si="1212"/>
        <v>8.5559161000784492E-2</v>
      </c>
      <c r="AF96" s="156">
        <v>0.10920402965014298</v>
      </c>
      <c r="AG96" s="483">
        <f t="shared" ref="AG96" si="1652">AVERAGE(AF93:AF96)</f>
        <v>9.7742614254008472E-2</v>
      </c>
      <c r="AH96" s="156">
        <v>9.5183657253835569E-2</v>
      </c>
      <c r="AI96" s="483">
        <f t="shared" si="1214"/>
        <v>8.2847477496457933E-2</v>
      </c>
      <c r="AJ96" s="156" t="e">
        <v>#DIV/0!</v>
      </c>
      <c r="AK96" s="158" t="e">
        <f t="shared" si="1215"/>
        <v>#DIV/0!</v>
      </c>
      <c r="AL96" s="74">
        <v>7551.9146316483721</v>
      </c>
      <c r="AM96" s="81">
        <f t="shared" si="1288"/>
        <v>7605.7385176970056</v>
      </c>
      <c r="AN96" s="74">
        <v>7142.7755532139108</v>
      </c>
      <c r="AO96" s="81">
        <f t="shared" ref="AO96" si="1653">AVERAGE(AN93:AN96)</f>
        <v>7308.9632410791601</v>
      </c>
      <c r="AP96" s="494">
        <v>7142.7755532139117</v>
      </c>
      <c r="AQ96" s="495">
        <f t="shared" si="1217"/>
        <v>7308.963241079161</v>
      </c>
      <c r="AR96" s="74">
        <v>7320.757425742574</v>
      </c>
      <c r="AS96" s="81">
        <f t="shared" ref="AS96" si="1654">AVERAGE(AR93:AR96)</f>
        <v>7417.5432662836229</v>
      </c>
      <c r="AT96" s="74">
        <v>7094.646586345385</v>
      </c>
      <c r="AU96" s="81">
        <f t="shared" si="1219"/>
        <v>7279.418492176279</v>
      </c>
      <c r="AV96" s="74" t="e">
        <v>#DIV/0!</v>
      </c>
      <c r="AW96" s="99" t="e">
        <f t="shared" si="1264"/>
        <v>#DIV/0!</v>
      </c>
      <c r="AX96" s="105">
        <v>3.9291400857056615</v>
      </c>
      <c r="AY96" s="106">
        <f t="shared" si="1291"/>
        <v>4.0182865688042169</v>
      </c>
      <c r="AZ96" s="105">
        <v>4.4299262381454172</v>
      </c>
      <c r="BA96" s="81">
        <f t="shared" ref="BA96" si="1655">AVERAGE(AZ93:AZ96)</f>
        <v>4.4756726997069309</v>
      </c>
      <c r="BB96" s="492">
        <v>4.4299262381454181</v>
      </c>
      <c r="BC96" s="493">
        <f t="shared" si="1221"/>
        <v>4.47567269970693</v>
      </c>
      <c r="BD96" s="105">
        <v>5.5693069306930703</v>
      </c>
      <c r="BE96" s="106">
        <f t="shared" ref="BE96" si="1656">AVERAGE(BD93:BD96)</f>
        <v>5.9635987981302261</v>
      </c>
      <c r="BF96" s="105">
        <v>4.1218206157965218</v>
      </c>
      <c r="BG96" s="106">
        <f t="shared" si="1223"/>
        <v>4.0767598296655709</v>
      </c>
      <c r="BH96" s="105" t="e">
        <v>#DIV/0!</v>
      </c>
      <c r="BI96" s="107" t="e">
        <f t="shared" si="1267"/>
        <v>#DIV/0!</v>
      </c>
      <c r="BJ96" s="487">
        <v>0.56381323381118098</v>
      </c>
      <c r="BK96" s="488">
        <f t="shared" si="1294"/>
        <v>0.60230962720729564</v>
      </c>
      <c r="BL96" s="487">
        <v>0.78714436248682806</v>
      </c>
      <c r="BM96" s="489">
        <f t="shared" ref="BM96" si="1657">AVERAGE(BL93:BL96)</f>
        <v>0.78827929511218919</v>
      </c>
      <c r="BN96" s="487"/>
      <c r="BO96" s="489" t="e">
        <f t="shared" ref="BO96" si="1658">AVERAGE(BN93:BN96)</f>
        <v>#DIV/0!</v>
      </c>
      <c r="BP96" s="487">
        <v>0</v>
      </c>
      <c r="BQ96" s="489">
        <f t="shared" ref="BQ96" si="1659">AVERAGE(BP93:BP96)</f>
        <v>0</v>
      </c>
      <c r="BR96" s="487"/>
      <c r="BS96" s="489" t="e">
        <f t="shared" ref="BS96" si="1660">AVERAGE(BR93:BR96)</f>
        <v>#DIV/0!</v>
      </c>
      <c r="BT96" s="487" t="e">
        <v>#DIV/0!</v>
      </c>
      <c r="BU96" s="490" t="e">
        <f t="shared" si="1272"/>
        <v>#DIV/0!</v>
      </c>
      <c r="BV96" s="74">
        <v>4704.0874277099492</v>
      </c>
      <c r="BW96" s="81">
        <f t="shared" si="1299"/>
        <v>5011.0388885340062</v>
      </c>
      <c r="BX96" s="74">
        <v>5618.7671232876728</v>
      </c>
      <c r="BY96" s="81">
        <f t="shared" ref="BY96" si="1661">AVERAGE(BX93:BX96)</f>
        <v>5651.6820748897771</v>
      </c>
      <c r="BZ96" s="494">
        <v>5618.7671232876746</v>
      </c>
      <c r="CA96" s="495">
        <f t="shared" si="1229"/>
        <v>5651.6820748897771</v>
      </c>
      <c r="CB96" s="74">
        <v>8069.3267326732675</v>
      </c>
      <c r="CC96" s="81">
        <f t="shared" ref="CC96" si="1662">AVERAGE(CB93:CB96)</f>
        <v>7787.0593075627667</v>
      </c>
      <c r="CD96" s="74">
        <v>4956.0990629183434</v>
      </c>
      <c r="CE96" s="81">
        <f t="shared" si="1231"/>
        <v>5077.3370753242471</v>
      </c>
      <c r="CF96" s="74" t="e">
        <v>#DIV/0!</v>
      </c>
      <c r="CG96" s="99" t="e">
        <f t="shared" si="1275"/>
        <v>#DIV/0!</v>
      </c>
      <c r="CH96" s="156">
        <v>1.0568854365189466E-2</v>
      </c>
      <c r="CI96" s="157">
        <f t="shared" si="1299"/>
        <v>1.6833045715801867E-2</v>
      </c>
      <c r="CJ96" s="156">
        <v>1.4752370916754484E-2</v>
      </c>
      <c r="CK96" s="81">
        <f t="shared" ref="CK96" si="1663">AVERAGE(CJ93:CJ96)</f>
        <v>1.9576834634610196E-2</v>
      </c>
      <c r="CL96" s="491">
        <v>1.4752370916754486E-2</v>
      </c>
      <c r="CM96" s="483">
        <f t="shared" si="1233"/>
        <v>1.9576834634610199E-2</v>
      </c>
      <c r="CN96" s="156">
        <v>3.4653465346534656E-2</v>
      </c>
      <c r="CO96" s="483">
        <f t="shared" ref="CO96" si="1664">AVERAGE(CN93:CN96)</f>
        <v>4.6572195535479623E-2</v>
      </c>
      <c r="CP96" s="156">
        <v>9.3708165997322661E-3</v>
      </c>
      <c r="CQ96" s="483">
        <f t="shared" si="1235"/>
        <v>1.2308325880260679E-2</v>
      </c>
      <c r="CR96" s="156" t="e">
        <v>#DIV/0!</v>
      </c>
      <c r="CS96" s="158" t="e">
        <f t="shared" si="1278"/>
        <v>#DIV/0!</v>
      </c>
      <c r="CT96" s="105">
        <v>41.201614668853139</v>
      </c>
      <c r="CU96" s="106">
        <f t="shared" si="1304"/>
        <v>40.882186685946571</v>
      </c>
      <c r="CV96" s="105">
        <v>44.350895679662813</v>
      </c>
      <c r="CW96" s="81">
        <f t="shared" ref="CW96" si="1665">AVERAGE(CV93:CV96)</f>
        <v>44.048259893865996</v>
      </c>
      <c r="CX96" s="492">
        <v>44.350895679662827</v>
      </c>
      <c r="CY96" s="493">
        <f t="shared" si="1237"/>
        <v>44.048259893866003</v>
      </c>
      <c r="CZ96" s="105">
        <v>49.049504950495056</v>
      </c>
      <c r="DA96" s="106">
        <f t="shared" ref="DA96" si="1666">AVERAGE(CZ93:CZ96)</f>
        <v>48.674149199500356</v>
      </c>
      <c r="DB96" s="105">
        <v>43.080321285140592</v>
      </c>
      <c r="DC96" s="106">
        <f t="shared" si="1239"/>
        <v>42.804632690396346</v>
      </c>
      <c r="DD96" s="105" t="e">
        <v>#DIV/0!</v>
      </c>
      <c r="DE96" s="107" t="e">
        <f t="shared" si="1281"/>
        <v>#DIV/0!</v>
      </c>
    </row>
    <row r="97" spans="1:109" x14ac:dyDescent="0.25">
      <c r="A97" s="155">
        <f t="shared" si="1165"/>
        <v>45800</v>
      </c>
      <c r="B97" s="74">
        <v>38.339382388083969</v>
      </c>
      <c r="C97" s="81">
        <f t="shared" si="1282"/>
        <v>39.005736031159508</v>
      </c>
      <c r="D97" s="74">
        <v>39.244644870349518</v>
      </c>
      <c r="E97" s="81">
        <f t="shared" si="1202"/>
        <v>39.882884791769754</v>
      </c>
      <c r="F97" s="74">
        <v>39.244644870349518</v>
      </c>
      <c r="G97" s="81">
        <f t="shared" si="1202"/>
        <v>39.882884791769754</v>
      </c>
      <c r="H97" s="74">
        <v>42.182741116751259</v>
      </c>
      <c r="I97" s="81">
        <f t="shared" ref="I97" si="1667">AVERAGE(H94:H97)</f>
        <v>42.629558549252032</v>
      </c>
      <c r="J97" s="74">
        <v>38.405797101449309</v>
      </c>
      <c r="K97" s="81">
        <f t="shared" si="1204"/>
        <v>39.131412718879986</v>
      </c>
      <c r="L97" s="74" t="e">
        <v>#DIV/0!</v>
      </c>
      <c r="M97" s="99" t="e">
        <f t="shared" ref="M97" si="1668">AVERAGE(L94:L97)</f>
        <v>#DIV/0!</v>
      </c>
      <c r="N97" s="156">
        <v>7.3219112431722827E-2</v>
      </c>
      <c r="O97" s="157">
        <f t="shared" si="1282"/>
        <v>5.5575474210686614E-2</v>
      </c>
      <c r="P97" s="156">
        <v>7.3280721533258208E-2</v>
      </c>
      <c r="Q97" s="157">
        <f t="shared" si="1206"/>
        <v>6.4516621716637274E-2</v>
      </c>
      <c r="R97" s="491">
        <v>7.3280721533258208E-2</v>
      </c>
      <c r="S97" s="483">
        <f t="shared" si="1207"/>
        <v>6.4516621716637274E-2</v>
      </c>
      <c r="T97" s="156">
        <v>7.614213197969541E-2</v>
      </c>
      <c r="U97" s="157">
        <f t="shared" si="1208"/>
        <v>7.0408160619648219E-2</v>
      </c>
      <c r="V97" s="156">
        <v>7.2463768115942073E-2</v>
      </c>
      <c r="W97" s="157">
        <f t="shared" si="1209"/>
        <v>6.2919236982882876E-2</v>
      </c>
      <c r="X97" s="156" t="e">
        <v>#DIV/0!</v>
      </c>
      <c r="Y97" s="158" t="e">
        <f t="shared" si="1210"/>
        <v>#DIV/0!</v>
      </c>
      <c r="Z97" s="156">
        <v>0.13124472730650097</v>
      </c>
      <c r="AA97" s="157">
        <f t="shared" si="1285"/>
        <v>9.6140191720427579E-2</v>
      </c>
      <c r="AB97" s="156">
        <v>0.11089681504087213</v>
      </c>
      <c r="AC97" s="81">
        <f t="shared" ref="AC97" si="1669">AVERAGE(AB94:AB97)</f>
        <v>9.6234178612318547E-2</v>
      </c>
      <c r="AD97" s="491">
        <v>0.11089681504087213</v>
      </c>
      <c r="AE97" s="483">
        <f t="shared" si="1212"/>
        <v>9.6234178612318533E-2</v>
      </c>
      <c r="AF97" s="156">
        <v>0.11732303276647468</v>
      </c>
      <c r="AG97" s="483">
        <f t="shared" ref="AG97" si="1670">AVERAGE(AF94:AF97)</f>
        <v>0.10824003842164756</v>
      </c>
      <c r="AH97" s="156">
        <v>0.1095993547342333</v>
      </c>
      <c r="AI97" s="483">
        <f t="shared" si="1214"/>
        <v>9.3580700896787883E-2</v>
      </c>
      <c r="AJ97" s="156" t="e">
        <v>#DIV/0!</v>
      </c>
      <c r="AK97" s="158" t="e">
        <f t="shared" si="1215"/>
        <v>#DIV/0!</v>
      </c>
      <c r="AL97" s="74">
        <v>7653.0942342735334</v>
      </c>
      <c r="AM97" s="81">
        <f t="shared" si="1288"/>
        <v>7607.9690594119556</v>
      </c>
      <c r="AN97" s="74">
        <v>7229.457722660658</v>
      </c>
      <c r="AO97" s="81">
        <f t="shared" ref="AO97" si="1671">AVERAGE(AN94:AN97)</f>
        <v>7300.7376304646532</v>
      </c>
      <c r="AP97" s="494">
        <v>7229.4577226606571</v>
      </c>
      <c r="AQ97" s="495">
        <f t="shared" si="1217"/>
        <v>7300.7376304646541</v>
      </c>
      <c r="AR97" s="74">
        <v>7306.1421319796946</v>
      </c>
      <c r="AS97" s="81">
        <f t="shared" ref="AS97" si="1672">AVERAGE(AR94:AR97)</f>
        <v>7361.725858102076</v>
      </c>
      <c r="AT97" s="74">
        <v>7207.5637681159469</v>
      </c>
      <c r="AU97" s="81">
        <f t="shared" si="1219"/>
        <v>7283.5228328980756</v>
      </c>
      <c r="AV97" s="74" t="e">
        <v>#DIV/0!</v>
      </c>
      <c r="AW97" s="99" t="e">
        <f t="shared" si="1264"/>
        <v>#DIV/0!</v>
      </c>
      <c r="AX97" s="105">
        <v>3.9614019987904552</v>
      </c>
      <c r="AY97" s="106">
        <f t="shared" si="1291"/>
        <v>4.0005227913242907</v>
      </c>
      <c r="AZ97" s="105">
        <v>4.4532130777903074</v>
      </c>
      <c r="BA97" s="81">
        <f t="shared" ref="BA97" si="1673">AVERAGE(AZ94:AZ97)</f>
        <v>4.435467197224682</v>
      </c>
      <c r="BB97" s="492">
        <v>4.4532130777903065</v>
      </c>
      <c r="BC97" s="493">
        <f t="shared" si="1221"/>
        <v>4.4354671972246829</v>
      </c>
      <c r="BD97" s="105">
        <v>6.0406091370558368</v>
      </c>
      <c r="BE97" s="106">
        <f t="shared" ref="BE97" si="1674">AVERAGE(BD94:BD97)</f>
        <v>5.7739961804334019</v>
      </c>
      <c r="BF97" s="105">
        <v>4.0000000000000027</v>
      </c>
      <c r="BG97" s="106">
        <f t="shared" si="1223"/>
        <v>4.068916692410669</v>
      </c>
      <c r="BH97" s="105" t="e">
        <v>#DIV/0!</v>
      </c>
      <c r="BI97" s="107" t="e">
        <f t="shared" si="1267"/>
        <v>#DIV/0!</v>
      </c>
      <c r="BJ97" s="487">
        <v>0.56051385644507978</v>
      </c>
      <c r="BK97" s="488">
        <f t="shared" si="1294"/>
        <v>0.59588441296720007</v>
      </c>
      <c r="BL97" s="487">
        <v>0.77790304396843279</v>
      </c>
      <c r="BM97" s="489">
        <f t="shared" ref="BM97" si="1675">AVERAGE(BL94:BL97)</f>
        <v>0.78538663505166573</v>
      </c>
      <c r="BN97" s="487"/>
      <c r="BO97" s="489" t="e">
        <f t="shared" ref="BO97" si="1676">AVERAGE(BN94:BN97)</f>
        <v>#DIV/0!</v>
      </c>
      <c r="BP97" s="487">
        <v>0</v>
      </c>
      <c r="BQ97" s="489">
        <f t="shared" ref="BQ97" si="1677">AVERAGE(BP94:BP97)</f>
        <v>0</v>
      </c>
      <c r="BR97" s="487"/>
      <c r="BS97" s="489" t="e">
        <f t="shared" ref="BS97" si="1678">AVERAGE(BR94:BR97)</f>
        <v>#DIV/0!</v>
      </c>
      <c r="BT97" s="487" t="e">
        <v>#DIV/0!</v>
      </c>
      <c r="BU97" s="490" t="e">
        <f t="shared" si="1272"/>
        <v>#DIV/0!</v>
      </c>
      <c r="BV97" s="74">
        <v>5108.0707255142415</v>
      </c>
      <c r="BW97" s="81">
        <f t="shared" si="1299"/>
        <v>4967.8374410037159</v>
      </c>
      <c r="BX97" s="74">
        <v>6097.9864712514127</v>
      </c>
      <c r="BY97" s="81">
        <f t="shared" ref="BY97" si="1679">AVERAGE(BX94:BX97)</f>
        <v>5764.0566596788949</v>
      </c>
      <c r="BZ97" s="494">
        <v>6097.9864712514109</v>
      </c>
      <c r="CA97" s="495">
        <f t="shared" si="1229"/>
        <v>5764.056659678894</v>
      </c>
      <c r="CB97" s="74">
        <v>7929.1878172588804</v>
      </c>
      <c r="CC97" s="81">
        <f t="shared" ref="CC97" si="1680">AVERAGE(CB94:CB97)</f>
        <v>7891.3881246225847</v>
      </c>
      <c r="CD97" s="74">
        <v>5575.165217391308</v>
      </c>
      <c r="CE97" s="81">
        <f t="shared" si="1231"/>
        <v>5183.2319744433153</v>
      </c>
      <c r="CF97" s="74" t="e">
        <v>#DIV/0!</v>
      </c>
      <c r="CG97" s="99" t="e">
        <f t="shared" si="1275"/>
        <v>#DIV/0!</v>
      </c>
      <c r="CH97" s="156">
        <v>2.4370865077812203E-2</v>
      </c>
      <c r="CI97" s="157">
        <f t="shared" si="1299"/>
        <v>1.6918918841007973E-2</v>
      </c>
      <c r="CJ97" s="156">
        <v>3.38218714768884E-2</v>
      </c>
      <c r="CK97" s="81">
        <f t="shared" ref="CK97" si="1681">AVERAGE(CJ94:CJ97)</f>
        <v>2.2356347911469034E-2</v>
      </c>
      <c r="CL97" s="491">
        <v>3.38218714768884E-2</v>
      </c>
      <c r="CM97" s="483">
        <f t="shared" si="1233"/>
        <v>2.2356347911469034E-2</v>
      </c>
      <c r="CN97" s="156">
        <v>5.076142131979694E-2</v>
      </c>
      <c r="CO97" s="483">
        <f t="shared" ref="CO97" si="1682">AVERAGE(CN94:CN97)</f>
        <v>4.8233139100722973E-2</v>
      </c>
      <c r="CP97" s="156">
        <v>2.8985507246376829E-2</v>
      </c>
      <c r="CQ97" s="483">
        <f t="shared" si="1235"/>
        <v>1.530633667878299E-2</v>
      </c>
      <c r="CR97" s="156" t="e">
        <v>#DIV/0!</v>
      </c>
      <c r="CS97" s="158" t="e">
        <f t="shared" si="1278"/>
        <v>#DIV/0!</v>
      </c>
      <c r="CT97" s="105">
        <v>41.597504615059158</v>
      </c>
      <c r="CU97" s="106">
        <f t="shared" si="1304"/>
        <v>41.126706064760455</v>
      </c>
      <c r="CV97" s="105">
        <v>45.269447576099232</v>
      </c>
      <c r="CW97" s="81">
        <f t="shared" ref="CW97" si="1683">AVERAGE(CV94:CV97)</f>
        <v>44.431411261575015</v>
      </c>
      <c r="CX97" s="492">
        <v>45.269447576099232</v>
      </c>
      <c r="CY97" s="493">
        <f t="shared" si="1237"/>
        <v>44.431411261575015</v>
      </c>
      <c r="CZ97" s="105">
        <v>48.639593908629429</v>
      </c>
      <c r="DA97" s="106">
        <f t="shared" ref="DA97" si="1684">AVERAGE(CZ94:CZ97)</f>
        <v>48.272773166853788</v>
      </c>
      <c r="DB97" s="105">
        <v>44.307246376811626</v>
      </c>
      <c r="DC97" s="106">
        <f t="shared" si="1239"/>
        <v>43.381117487213622</v>
      </c>
      <c r="DD97" s="105" t="e">
        <v>#DIV/0!</v>
      </c>
      <c r="DE97" s="107" t="e">
        <f t="shared" si="1281"/>
        <v>#DIV/0!</v>
      </c>
    </row>
    <row r="98" spans="1:109" x14ac:dyDescent="0.25">
      <c r="A98" s="155">
        <f t="shared" si="1165"/>
        <v>45807</v>
      </c>
      <c r="B98" s="74">
        <v>38.837721777322095</v>
      </c>
      <c r="C98" s="81">
        <f t="shared" si="1282"/>
        <v>39.042545106118283</v>
      </c>
      <c r="D98" s="74">
        <v>39.886639676113369</v>
      </c>
      <c r="E98" s="81">
        <f t="shared" si="1202"/>
        <v>39.807425369234316</v>
      </c>
      <c r="F98" s="74">
        <v>39.886639676113361</v>
      </c>
      <c r="G98" s="81">
        <f t="shared" si="1202"/>
        <v>39.807425369234309</v>
      </c>
      <c r="H98" s="74">
        <v>43.078431372549019</v>
      </c>
      <c r="I98" s="81">
        <f t="shared" ref="I98" si="1685">AVERAGE(H95:H98)</f>
        <v>42.721300779741057</v>
      </c>
      <c r="J98" s="74">
        <v>39.056122448979593</v>
      </c>
      <c r="K98" s="81">
        <f t="shared" si="1204"/>
        <v>39.014206324887887</v>
      </c>
      <c r="L98" s="74" t="e">
        <v>#DIV/0!</v>
      </c>
      <c r="M98" s="99" t="e">
        <f t="shared" ref="M98" si="1686">AVERAGE(L95:L98)</f>
        <v>#DIV/0!</v>
      </c>
      <c r="N98" s="156">
        <v>5.0673299841594292E-2</v>
      </c>
      <c r="O98" s="157">
        <f t="shared" si="1282"/>
        <v>5.4690295182102257E-2</v>
      </c>
      <c r="P98" s="156">
        <v>5.0607287449392725E-2</v>
      </c>
      <c r="Q98" s="157">
        <f t="shared" si="1206"/>
        <v>6.2147867447298215E-2</v>
      </c>
      <c r="R98" s="491">
        <v>5.0607287449392718E-2</v>
      </c>
      <c r="S98" s="483">
        <f t="shared" si="1207"/>
        <v>6.2147867447298215E-2</v>
      </c>
      <c r="T98" s="156">
        <v>4.9019607843137268E-2</v>
      </c>
      <c r="U98" s="157">
        <f t="shared" si="1208"/>
        <v>6.5864643608100501E-2</v>
      </c>
      <c r="V98" s="156">
        <v>5.1020408163265314E-2</v>
      </c>
      <c r="W98" s="157">
        <f t="shared" si="1209"/>
        <v>6.1121324470684663E-2</v>
      </c>
      <c r="X98" s="156" t="e">
        <v>#DIV/0!</v>
      </c>
      <c r="Y98" s="158" t="e">
        <f t="shared" si="1210"/>
        <v>#DIV/0!</v>
      </c>
      <c r="Z98" s="156">
        <v>8.7813871056242943E-2</v>
      </c>
      <c r="AA98" s="157">
        <f t="shared" si="1285"/>
        <v>9.4367424352958668E-2</v>
      </c>
      <c r="AB98" s="156">
        <v>8.1272990975521486E-2</v>
      </c>
      <c r="AC98" s="81">
        <f t="shared" ref="AC98" si="1687">AVERAGE(AB95:AB98)</f>
        <v>9.4277481353113424E-2</v>
      </c>
      <c r="AD98" s="491">
        <v>8.1272990975521486E-2</v>
      </c>
      <c r="AE98" s="483">
        <f t="shared" si="1212"/>
        <v>9.427748135311341E-2</v>
      </c>
      <c r="AF98" s="156">
        <v>8.6434012850571812E-2</v>
      </c>
      <c r="AG98" s="483">
        <f t="shared" ref="AG98" si="1688">AVERAGE(AF95:AF98)</f>
        <v>0.10371396307133174</v>
      </c>
      <c r="AH98" s="156">
        <v>8.0217010857635107E-2</v>
      </c>
      <c r="AI98" s="483">
        <f t="shared" si="1214"/>
        <v>9.2169159064828698E-2</v>
      </c>
      <c r="AJ98" s="156" t="e">
        <v>#DIV/0!</v>
      </c>
      <c r="AK98" s="158" t="e">
        <f t="shared" si="1215"/>
        <v>#DIV/0!</v>
      </c>
      <c r="AL98" s="74">
        <v>7647.0009686571138</v>
      </c>
      <c r="AM98" s="81">
        <f t="shared" si="1288"/>
        <v>7632.7731742119131</v>
      </c>
      <c r="AN98" s="74">
        <v>7235.4827935222729</v>
      </c>
      <c r="AO98" s="81">
        <f t="shared" ref="AO98" si="1689">AVERAGE(AN95:AN98)</f>
        <v>7234.0286992155943</v>
      </c>
      <c r="AP98" s="494">
        <v>7235.4827935222729</v>
      </c>
      <c r="AQ98" s="495">
        <f t="shared" si="1217"/>
        <v>7234.0286992155943</v>
      </c>
      <c r="AR98" s="74">
        <v>7219.1568627450988</v>
      </c>
      <c r="AS98" s="81">
        <f t="shared" ref="AS98" si="1690">AVERAGE(AR95:AR98)</f>
        <v>7330.1040065946736</v>
      </c>
      <c r="AT98" s="74">
        <v>7239.7308673469452</v>
      </c>
      <c r="AU98" s="81">
        <f t="shared" si="1219"/>
        <v>7207.5748324790966</v>
      </c>
      <c r="AV98" s="74" t="e">
        <v>#DIV/0!</v>
      </c>
      <c r="AW98" s="99" t="e">
        <f t="shared" si="1264"/>
        <v>#DIV/0!</v>
      </c>
      <c r="AX98" s="105">
        <v>3.8036658677445061</v>
      </c>
      <c r="AY98" s="106">
        <f t="shared" si="1291"/>
        <v>3.9955789859642885</v>
      </c>
      <c r="AZ98" s="105">
        <v>4.1771255060728745</v>
      </c>
      <c r="BA98" s="81">
        <f t="shared" ref="BA98" si="1691">AVERAGE(AZ95:AZ98)</f>
        <v>4.3830407548128605</v>
      </c>
      <c r="BB98" s="492">
        <v>4.1771255060728754</v>
      </c>
      <c r="BC98" s="493">
        <f t="shared" si="1221"/>
        <v>4.3830407548128605</v>
      </c>
      <c r="BD98" s="105">
        <v>5.2696078431372557</v>
      </c>
      <c r="BE98" s="106">
        <f t="shared" ref="BE98" si="1692">AVERAGE(BD95:BD98)</f>
        <v>5.6447578250121806</v>
      </c>
      <c r="BF98" s="105">
        <v>3.8928571428571432</v>
      </c>
      <c r="BG98" s="106">
        <f t="shared" si="1223"/>
        <v>4.0374532234472014</v>
      </c>
      <c r="BH98" s="105" t="e">
        <v>#DIV/0!</v>
      </c>
      <c r="BI98" s="107" t="e">
        <f t="shared" si="1267"/>
        <v>#DIV/0!</v>
      </c>
      <c r="BJ98" s="487">
        <v>0.58315351269010551</v>
      </c>
      <c r="BK98" s="488">
        <f t="shared" si="1294"/>
        <v>0.59208237361205929</v>
      </c>
      <c r="BL98" s="487">
        <v>0.79352226720647767</v>
      </c>
      <c r="BM98" s="489">
        <f t="shared" ref="BM98" si="1693">AVERAGE(BL95:BL98)</f>
        <v>0.7858248150220094</v>
      </c>
      <c r="BN98" s="487"/>
      <c r="BO98" s="489" t="e">
        <f t="shared" ref="BO98" si="1694">AVERAGE(BN95:BN98)</f>
        <v>#DIV/0!</v>
      </c>
      <c r="BP98" s="487">
        <v>0</v>
      </c>
      <c r="BQ98" s="489">
        <f t="shared" ref="BQ98" si="1695">AVERAGE(BP95:BP98)</f>
        <v>0</v>
      </c>
      <c r="BR98" s="487"/>
      <c r="BS98" s="489" t="e">
        <f t="shared" ref="BS98" si="1696">AVERAGE(BR95:BR98)</f>
        <v>#DIV/0!</v>
      </c>
      <c r="BT98" s="487" t="e">
        <v>#DIV/0!</v>
      </c>
      <c r="BU98" s="490" t="e">
        <f t="shared" si="1272"/>
        <v>#DIV/0!</v>
      </c>
      <c r="BV98" s="74">
        <v>5049.8639985533382</v>
      </c>
      <c r="BW98" s="81">
        <f t="shared" si="1299"/>
        <v>4987.9360533982663</v>
      </c>
      <c r="BX98" s="74">
        <v>5888.027327935225</v>
      </c>
      <c r="BY98" s="81">
        <f t="shared" ref="BY98" si="1697">AVERAGE(BX95:BX98)</f>
        <v>5837.4624628561178</v>
      </c>
      <c r="BZ98" s="494">
        <v>5888.027327935225</v>
      </c>
      <c r="CA98" s="495">
        <f t="shared" si="1229"/>
        <v>5837.4624628561178</v>
      </c>
      <c r="CB98" s="74">
        <v>8397.75980392157</v>
      </c>
      <c r="CC98" s="81">
        <f t="shared" ref="CC98" si="1698">AVERAGE(CB95:CB98)</f>
        <v>8108.7015933895373</v>
      </c>
      <c r="CD98" s="74">
        <v>5234.9846938775527</v>
      </c>
      <c r="CE98" s="81">
        <f t="shared" si="1231"/>
        <v>5220.5412976008556</v>
      </c>
      <c r="CF98" s="74" t="e">
        <v>#DIV/0!</v>
      </c>
      <c r="CG98" s="99" t="e">
        <f t="shared" si="1275"/>
        <v>#DIV/0!</v>
      </c>
      <c r="CH98" s="156">
        <v>2.1572772880212764E-2</v>
      </c>
      <c r="CI98" s="157">
        <f t="shared" si="1299"/>
        <v>1.7437777523958871E-2</v>
      </c>
      <c r="CJ98" s="156">
        <v>2.9352226720647776E-2</v>
      </c>
      <c r="CK98" s="81">
        <f t="shared" ref="CK98" si="1699">AVERAGE(CJ95:CJ98)</f>
        <v>2.5579178254182419E-2</v>
      </c>
      <c r="CL98" s="491">
        <v>2.935222672064778E-2</v>
      </c>
      <c r="CM98" s="483">
        <f t="shared" si="1233"/>
        <v>2.5579178254182419E-2</v>
      </c>
      <c r="CN98" s="156">
        <v>6.3725490196078441E-2</v>
      </c>
      <c r="CO98" s="483">
        <f t="shared" ref="CO98" si="1700">AVERAGE(CN95:CN98)</f>
        <v>5.3294946432351276E-2</v>
      </c>
      <c r="CP98" s="156">
        <v>2.0408163265306128E-2</v>
      </c>
      <c r="CQ98" s="483">
        <f t="shared" si="1235"/>
        <v>1.8069500156232186E-2</v>
      </c>
      <c r="CR98" s="156" t="e">
        <v>#DIV/0!</v>
      </c>
      <c r="CS98" s="158" t="e">
        <f t="shared" si="1278"/>
        <v>#DIV/0!</v>
      </c>
      <c r="CT98" s="105">
        <v>39.393111864976845</v>
      </c>
      <c r="CU98" s="106">
        <f t="shared" si="1304"/>
        <v>41.07066659564024</v>
      </c>
      <c r="CV98" s="105">
        <v>42.028340080971667</v>
      </c>
      <c r="CW98" s="81">
        <f t="shared" ref="CW98" si="1701">AVERAGE(CV95:CV98)</f>
        <v>43.920389285933162</v>
      </c>
      <c r="CX98" s="492">
        <v>42.028340080971667</v>
      </c>
      <c r="CY98" s="493">
        <f t="shared" si="1237"/>
        <v>43.920389285933169</v>
      </c>
      <c r="CZ98" s="105">
        <v>45.916666666666664</v>
      </c>
      <c r="DA98" s="106">
        <f t="shared" ref="DA98" si="1702">AVERAGE(CZ95:CZ98)</f>
        <v>47.999963548935469</v>
      </c>
      <c r="DB98" s="105">
        <v>41.016581632653072</v>
      </c>
      <c r="DC98" s="106">
        <f t="shared" si="1239"/>
        <v>42.810158945272946</v>
      </c>
      <c r="DD98" s="105" t="e">
        <v>#DIV/0!</v>
      </c>
      <c r="DE98" s="107" t="e">
        <f t="shared" si="1281"/>
        <v>#DIV/0!</v>
      </c>
    </row>
    <row r="99" spans="1:109" x14ac:dyDescent="0.25">
      <c r="A99" s="155">
        <f t="shared" si="1165"/>
        <v>45814</v>
      </c>
      <c r="B99" s="74">
        <v>38.604050254117496</v>
      </c>
      <c r="C99" s="81">
        <f t="shared" si="1282"/>
        <v>38.989321527346078</v>
      </c>
      <c r="D99" s="74">
        <v>39.853807106598985</v>
      </c>
      <c r="E99" s="81">
        <f t="shared" si="1202"/>
        <v>39.629307686711201</v>
      </c>
      <c r="F99" s="74">
        <v>39.853807106598993</v>
      </c>
      <c r="G99" s="81">
        <f t="shared" si="1202"/>
        <v>39.629307686711201</v>
      </c>
      <c r="H99" s="74">
        <v>42.88725490196078</v>
      </c>
      <c r="I99" s="81">
        <f t="shared" ref="I99" si="1703">AVERAGE(H96:H99)</f>
        <v>42.706661303260809</v>
      </c>
      <c r="J99" s="74">
        <v>39.06145966709348</v>
      </c>
      <c r="K99" s="81">
        <f t="shared" si="1204"/>
        <v>38.801192863282878</v>
      </c>
      <c r="L99" s="74" t="e">
        <v>#DIV/0!</v>
      </c>
      <c r="M99" s="99" t="e">
        <f t="shared" ref="M99" si="1704">AVERAGE(L96:L99)</f>
        <v>#DIV/0!</v>
      </c>
      <c r="N99" s="156">
        <v>5.3898767102605258E-2</v>
      </c>
      <c r="O99" s="157">
        <f t="shared" si="1282"/>
        <v>5.5441599709837239E-2</v>
      </c>
      <c r="P99" s="156">
        <v>6.192893401015228E-2</v>
      </c>
      <c r="Q99" s="157">
        <f t="shared" si="1206"/>
        <v>6.3314088224491638E-2</v>
      </c>
      <c r="R99" s="491">
        <v>6.1928934010152301E-2</v>
      </c>
      <c r="S99" s="483">
        <f t="shared" si="1207"/>
        <v>6.3314088224491638E-2</v>
      </c>
      <c r="T99" s="156">
        <v>6.8627450980392163E-2</v>
      </c>
      <c r="U99" s="157">
        <f t="shared" si="1208"/>
        <v>6.7011654136449772E-2</v>
      </c>
      <c r="V99" s="156">
        <v>6.0179257362355978E-2</v>
      </c>
      <c r="W99" s="157">
        <f t="shared" si="1209"/>
        <v>6.2314787459922305E-2</v>
      </c>
      <c r="X99" s="156" t="e">
        <v>#DIV/0!</v>
      </c>
      <c r="Y99" s="158" t="e">
        <f t="shared" si="1210"/>
        <v>#DIV/0!</v>
      </c>
      <c r="Z99" s="156">
        <v>8.7318751894677249E-2</v>
      </c>
      <c r="AA99" s="157">
        <f t="shared" si="1285"/>
        <v>9.4237133135169932E-2</v>
      </c>
      <c r="AB99" s="156">
        <v>9.1624053700472149E-2</v>
      </c>
      <c r="AC99" s="81">
        <f t="shared" ref="AC99" si="1705">AVERAGE(AB96:AB99)</f>
        <v>9.5417797525503667E-2</v>
      </c>
      <c r="AD99" s="491">
        <v>9.1624053700472149E-2</v>
      </c>
      <c r="AE99" s="483">
        <f t="shared" si="1212"/>
        <v>9.5417797525503667E-2</v>
      </c>
      <c r="AF99" s="156">
        <v>0.1149318137684235</v>
      </c>
      <c r="AG99" s="483">
        <f t="shared" ref="AG99" si="1706">AVERAGE(AF96:AF99)</f>
        <v>0.10697322225890324</v>
      </c>
      <c r="AH99" s="156">
        <v>8.6697666073809826E-2</v>
      </c>
      <c r="AI99" s="483">
        <f t="shared" si="1214"/>
        <v>9.2924422229878456E-2</v>
      </c>
      <c r="AJ99" s="156" t="e">
        <v>#DIV/0!</v>
      </c>
      <c r="AK99" s="158" t="e">
        <f t="shared" si="1215"/>
        <v>#DIV/0!</v>
      </c>
      <c r="AL99" s="74">
        <v>7780.5636557675089</v>
      </c>
      <c r="AM99" s="81">
        <f t="shared" si="1288"/>
        <v>7667.9335811440424</v>
      </c>
      <c r="AN99" s="74">
        <v>7424.7736040609152</v>
      </c>
      <c r="AO99" s="81">
        <f t="shared" ref="AO99" si="1707">AVERAGE(AN96:AN99)</f>
        <v>7258.122418364439</v>
      </c>
      <c r="AP99" s="494">
        <v>7424.7736040609179</v>
      </c>
      <c r="AQ99" s="495">
        <f t="shared" si="1217"/>
        <v>7258.122418364439</v>
      </c>
      <c r="AR99" s="74">
        <v>7455.3872549019616</v>
      </c>
      <c r="AS99" s="81">
        <f t="shared" ref="AS99" si="1708">AVERAGE(AR96:AR99)</f>
        <v>7325.3609188423325</v>
      </c>
      <c r="AT99" s="74">
        <v>7416.7772087067906</v>
      </c>
      <c r="AU99" s="81">
        <f t="shared" si="1219"/>
        <v>7239.6796076287665</v>
      </c>
      <c r="AV99" s="74" t="e">
        <v>#DIV/0!</v>
      </c>
      <c r="AW99" s="99" t="e">
        <f t="shared" si="1264"/>
        <v>#DIV/0!</v>
      </c>
      <c r="AX99" s="105">
        <v>3.8662915094153414</v>
      </c>
      <c r="AY99" s="106">
        <f t="shared" si="1291"/>
        <v>3.9793140635223176</v>
      </c>
      <c r="AZ99" s="105">
        <v>4.3197969543147208</v>
      </c>
      <c r="BA99" s="81">
        <f t="shared" ref="BA99" si="1709">AVERAGE(AZ96:AZ99)</f>
        <v>4.34501544408083</v>
      </c>
      <c r="BB99" s="492">
        <v>4.3197969543147217</v>
      </c>
      <c r="BC99" s="493">
        <f t="shared" si="1221"/>
        <v>4.3450154440808308</v>
      </c>
      <c r="BD99" s="105">
        <v>5.7843137254901968</v>
      </c>
      <c r="BE99" s="106">
        <f t="shared" ref="BE99" si="1710">AVERAGE(BD96:BD99)</f>
        <v>5.6659594090940901</v>
      </c>
      <c r="BF99" s="105">
        <v>3.9372599231754171</v>
      </c>
      <c r="BG99" s="106">
        <f t="shared" si="1223"/>
        <v>3.9879844204572716</v>
      </c>
      <c r="BH99" s="105" t="e">
        <v>#DIV/0!</v>
      </c>
      <c r="BI99" s="107" t="e">
        <f t="shared" si="1267"/>
        <v>#DIV/0!</v>
      </c>
      <c r="BJ99" s="487">
        <v>0.56051086648962956</v>
      </c>
      <c r="BK99" s="488">
        <f t="shared" si="1294"/>
        <v>0.58572398495013556</v>
      </c>
      <c r="BL99" s="487">
        <v>0.79289340101522821</v>
      </c>
      <c r="BM99" s="489">
        <f t="shared" ref="BM99" si="1711">AVERAGE(BL96:BL99)</f>
        <v>0.78786576866924163</v>
      </c>
      <c r="BN99" s="487"/>
      <c r="BO99" s="489" t="e">
        <f t="shared" ref="BO99" si="1712">AVERAGE(BN96:BN99)</f>
        <v>#DIV/0!</v>
      </c>
      <c r="BP99" s="487">
        <v>0</v>
      </c>
      <c r="BQ99" s="489">
        <f t="shared" ref="BQ99" si="1713">AVERAGE(BP96:BP99)</f>
        <v>0</v>
      </c>
      <c r="BR99" s="487"/>
      <c r="BS99" s="489" t="e">
        <f t="shared" ref="BS99" si="1714">AVERAGE(BR96:BR99)</f>
        <v>#DIV/0!</v>
      </c>
      <c r="BT99" s="487" t="e">
        <v>#DIV/0!</v>
      </c>
      <c r="BU99" s="490" t="e">
        <f t="shared" si="1272"/>
        <v>#DIV/0!</v>
      </c>
      <c r="BV99" s="74">
        <v>4709.3182757057011</v>
      </c>
      <c r="BW99" s="81">
        <f t="shared" si="1299"/>
        <v>4961.0434437597232</v>
      </c>
      <c r="BX99" s="74">
        <v>5604.1228426395937</v>
      </c>
      <c r="BY99" s="81">
        <f t="shared" ref="BY99" si="1715">AVERAGE(BX96:BX99)</f>
        <v>5802.2259412784761</v>
      </c>
      <c r="BZ99" s="494">
        <v>5604.1228426395946</v>
      </c>
      <c r="CA99" s="495">
        <f t="shared" si="1229"/>
        <v>5802.2259412784761</v>
      </c>
      <c r="CB99" s="74">
        <v>7502.1764705882342</v>
      </c>
      <c r="CC99" s="81">
        <f t="shared" ref="CC99" si="1716">AVERAGE(CB96:CB99)</f>
        <v>7974.612706110488</v>
      </c>
      <c r="CD99" s="74">
        <v>5108.3444302176713</v>
      </c>
      <c r="CE99" s="81">
        <f t="shared" si="1231"/>
        <v>5218.6483511012193</v>
      </c>
      <c r="CF99" s="74" t="e">
        <v>#DIV/0!</v>
      </c>
      <c r="CG99" s="99" t="e">
        <f t="shared" si="1275"/>
        <v>#DIV/0!</v>
      </c>
      <c r="CH99" s="156">
        <v>1.7942992872819547E-2</v>
      </c>
      <c r="CI99" s="157">
        <f t="shared" si="1299"/>
        <v>1.7895437167363939E-2</v>
      </c>
      <c r="CJ99" s="156">
        <v>2.5380710659898473E-2</v>
      </c>
      <c r="CK99" s="81">
        <f t="shared" ref="CK99" si="1717">AVERAGE(CJ96:CJ99)</f>
        <v>2.5826794943547282E-2</v>
      </c>
      <c r="CL99" s="491">
        <v>2.5380710659898491E-2</v>
      </c>
      <c r="CM99" s="483">
        <f t="shared" si="1233"/>
        <v>2.5826794943547289E-2</v>
      </c>
      <c r="CN99" s="156">
        <v>4.9019607843137261E-2</v>
      </c>
      <c r="CO99" s="483">
        <f t="shared" ref="CO99" si="1718">AVERAGE(CN96:CN99)</f>
        <v>4.9539996176386825E-2</v>
      </c>
      <c r="CP99" s="156">
        <v>1.9206145966709356E-2</v>
      </c>
      <c r="CQ99" s="483">
        <f t="shared" si="1235"/>
        <v>1.9492658269531147E-2</v>
      </c>
      <c r="CR99" s="156" t="e">
        <v>#DIV/0!</v>
      </c>
      <c r="CS99" s="158" t="e">
        <f t="shared" si="1278"/>
        <v>#DIV/0!</v>
      </c>
      <c r="CT99" s="105">
        <v>39.433188083813249</v>
      </c>
      <c r="CU99" s="106">
        <f t="shared" si="1304"/>
        <v>40.880656704137472</v>
      </c>
      <c r="CV99" s="105">
        <v>42.36954314720812</v>
      </c>
      <c r="CW99" s="81">
        <f t="shared" ref="CW99" si="1719">AVERAGE(CV96:CV99)</f>
        <v>43.504556620985454</v>
      </c>
      <c r="CX99" s="492">
        <v>42.369543147208134</v>
      </c>
      <c r="CY99" s="493">
        <f t="shared" si="1237"/>
        <v>43.504556620985468</v>
      </c>
      <c r="CZ99" s="105">
        <v>47.044117647058812</v>
      </c>
      <c r="DA99" s="106">
        <f t="shared" ref="DA99" si="1720">AVERAGE(CZ96:CZ99)</f>
        <v>47.662470793212492</v>
      </c>
      <c r="DB99" s="105">
        <v>41.14852752880924</v>
      </c>
      <c r="DC99" s="106">
        <f t="shared" si="1239"/>
        <v>42.388169205853636</v>
      </c>
      <c r="DD99" s="105" t="e">
        <v>#DIV/0!</v>
      </c>
      <c r="DE99" s="107" t="e">
        <f t="shared" si="1281"/>
        <v>#DIV/0!</v>
      </c>
    </row>
    <row r="100" spans="1:109" x14ac:dyDescent="0.25">
      <c r="A100" s="155">
        <f t="shared" si="1165"/>
        <v>45821</v>
      </c>
      <c r="B100" s="74">
        <v>38.271821371379865</v>
      </c>
      <c r="C100" s="81">
        <f t="shared" si="1282"/>
        <v>38.802469368338357</v>
      </c>
      <c r="D100" s="74">
        <v>39.492571428571438</v>
      </c>
      <c r="E100" s="81">
        <f t="shared" si="1202"/>
        <v>39.619415770408331</v>
      </c>
      <c r="F100" s="74">
        <v>39.492571428571452</v>
      </c>
      <c r="G100" s="81">
        <f t="shared" si="1202"/>
        <v>39.619415770408331</v>
      </c>
      <c r="H100" s="74">
        <v>41.691860465116278</v>
      </c>
      <c r="I100" s="81">
        <f t="shared" ref="I100" si="1721">AVERAGE(H97:H100)</f>
        <v>42.46007196409434</v>
      </c>
      <c r="J100" s="74">
        <v>38.954480796586083</v>
      </c>
      <c r="K100" s="81">
        <f t="shared" si="1204"/>
        <v>38.869465003527111</v>
      </c>
      <c r="L100" s="74" t="e">
        <v>#DIV/0!</v>
      </c>
      <c r="M100" s="99" t="e">
        <f t="shared" ref="M100" si="1722">AVERAGE(L97:L100)</f>
        <v>#DIV/0!</v>
      </c>
      <c r="N100" s="156">
        <v>7.4463434854008151E-2</v>
      </c>
      <c r="O100" s="157">
        <f t="shared" si="1282"/>
        <v>6.0312603642699567E-2</v>
      </c>
      <c r="P100" s="156">
        <v>8.1142857142857155E-2</v>
      </c>
      <c r="Q100" s="157">
        <f t="shared" si="1206"/>
        <v>6.6739950033915085E-2</v>
      </c>
      <c r="R100" s="491">
        <v>8.1142857142857183E-2</v>
      </c>
      <c r="S100" s="483">
        <f t="shared" si="1207"/>
        <v>6.6739950033915099E-2</v>
      </c>
      <c r="T100" s="156">
        <v>0.11046511627906974</v>
      </c>
      <c r="U100" s="157">
        <f t="shared" si="1208"/>
        <v>7.6063576770573654E-2</v>
      </c>
      <c r="V100" s="156">
        <v>7.3968705547652974E-2</v>
      </c>
      <c r="W100" s="157">
        <f t="shared" si="1209"/>
        <v>6.4408034797304087E-2</v>
      </c>
      <c r="X100" s="156" t="e">
        <v>#DIV/0!</v>
      </c>
      <c r="Y100" s="158" t="e">
        <f t="shared" si="1210"/>
        <v>#DIV/0!</v>
      </c>
      <c r="Z100" s="156">
        <v>0.13226875985334602</v>
      </c>
      <c r="AA100" s="157">
        <f t="shared" si="1285"/>
        <v>0.10245198003405309</v>
      </c>
      <c r="AB100" s="156">
        <v>0.12764043781176604</v>
      </c>
      <c r="AC100" s="81">
        <f t="shared" ref="AC100" si="1723">AVERAGE(AB97:AB100)</f>
        <v>0.10285857438215795</v>
      </c>
      <c r="AD100" s="491">
        <v>0.12764043781176607</v>
      </c>
      <c r="AE100" s="483">
        <f t="shared" si="1212"/>
        <v>0.10285857438215795</v>
      </c>
      <c r="AF100" s="156">
        <v>0.20807346708246041</v>
      </c>
      <c r="AG100" s="483">
        <f t="shared" ref="AG100" si="1724">AVERAGE(AF97:AF100)</f>
        <v>0.1316905816169826</v>
      </c>
      <c r="AH100" s="156">
        <v>0.11144667005225529</v>
      </c>
      <c r="AI100" s="483">
        <f t="shared" si="1214"/>
        <v>9.6990175429483377E-2</v>
      </c>
      <c r="AJ100" s="156" t="e">
        <v>#DIV/0!</v>
      </c>
      <c r="AK100" s="158" t="e">
        <f t="shared" si="1215"/>
        <v>#DIV/0!</v>
      </c>
      <c r="AL100" s="74">
        <v>7590.1731188851518</v>
      </c>
      <c r="AM100" s="81">
        <f t="shared" si="1288"/>
        <v>7670.9408049099666</v>
      </c>
      <c r="AN100" s="74">
        <v>7183.0651428571437</v>
      </c>
      <c r="AO100" s="81">
        <f t="shared" ref="AO100" si="1725">AVERAGE(AN97:AN100)</f>
        <v>7268.1948157752477</v>
      </c>
      <c r="AP100" s="494">
        <v>7183.0651428571455</v>
      </c>
      <c r="AQ100" s="495">
        <f t="shared" si="1217"/>
        <v>7268.1948157752486</v>
      </c>
      <c r="AR100" s="74">
        <v>7659.6395348837214</v>
      </c>
      <c r="AS100" s="81">
        <f t="shared" ref="AS100" si="1726">AVERAGE(AR97:AR100)</f>
        <v>7410.0814461276195</v>
      </c>
      <c r="AT100" s="74">
        <v>7066.4637268847837</v>
      </c>
      <c r="AU100" s="81">
        <f t="shared" si="1219"/>
        <v>7232.6338927636161</v>
      </c>
      <c r="AV100" s="74" t="e">
        <v>#DIV/0!</v>
      </c>
      <c r="AW100" s="99" t="e">
        <f t="shared" si="1264"/>
        <v>#DIV/0!</v>
      </c>
      <c r="AX100" s="105">
        <v>3.707329438190833</v>
      </c>
      <c r="AY100" s="106">
        <f t="shared" si="1291"/>
        <v>3.9087037652777203</v>
      </c>
      <c r="AZ100" s="105">
        <v>4.1702857142857148</v>
      </c>
      <c r="BA100" s="81">
        <f t="shared" ref="BA100" si="1727">AVERAGE(AZ97:AZ100)</f>
        <v>4.2801053131159046</v>
      </c>
      <c r="BB100" s="492">
        <v>4.1702857142857157</v>
      </c>
      <c r="BC100" s="493">
        <f t="shared" si="1221"/>
        <v>4.2801053131159046</v>
      </c>
      <c r="BD100" s="105">
        <v>5.395348837209303</v>
      </c>
      <c r="BE100" s="106">
        <f t="shared" ref="BE100" si="1728">AVERAGE(BD97:BD100)</f>
        <v>5.6224698857231488</v>
      </c>
      <c r="BF100" s="105">
        <v>3.8705547652916095</v>
      </c>
      <c r="BG100" s="106">
        <f t="shared" si="1223"/>
        <v>3.9251679578310434</v>
      </c>
      <c r="BH100" s="105" t="e">
        <v>#DIV/0!</v>
      </c>
      <c r="BI100" s="107" t="e">
        <f t="shared" si="1267"/>
        <v>#DIV/0!</v>
      </c>
      <c r="BJ100" s="487">
        <v>0.567739323185665</v>
      </c>
      <c r="BK100" s="488">
        <f t="shared" si="1294"/>
        <v>0.57874747707375085</v>
      </c>
      <c r="BL100" s="487">
        <v>0.80342857142857105</v>
      </c>
      <c r="BM100" s="489">
        <f t="shared" ref="BM100" si="1729">AVERAGE(BL97:BL100)</f>
        <v>0.79193682090467743</v>
      </c>
      <c r="BN100" s="487"/>
      <c r="BO100" s="489" t="e">
        <f t="shared" ref="BO100" si="1730">AVERAGE(BN97:BN100)</f>
        <v>#DIV/0!</v>
      </c>
      <c r="BP100" s="487">
        <v>0</v>
      </c>
      <c r="BQ100" s="489">
        <f t="shared" ref="BQ100" si="1731">AVERAGE(BP97:BP100)</f>
        <v>0</v>
      </c>
      <c r="BR100" s="487"/>
      <c r="BS100" s="489" t="e">
        <f t="shared" ref="BS100" si="1732">AVERAGE(BR97:BR100)</f>
        <v>#DIV/0!</v>
      </c>
      <c r="BT100" s="487" t="e">
        <v>#DIV/0!</v>
      </c>
      <c r="BU100" s="490" t="e">
        <f t="shared" si="1272"/>
        <v>#DIV/0!</v>
      </c>
      <c r="BV100" s="74">
        <v>4773.4321637111943</v>
      </c>
      <c r="BW100" s="81">
        <f t="shared" si="1299"/>
        <v>4937.8001789434547</v>
      </c>
      <c r="BX100" s="74">
        <v>5741.7862857142864</v>
      </c>
      <c r="BY100" s="81">
        <f t="shared" ref="BY100" si="1733">AVERAGE(BX97:BX100)</f>
        <v>5832.9807318851299</v>
      </c>
      <c r="BZ100" s="494">
        <v>5741.7862857142882</v>
      </c>
      <c r="CA100" s="495">
        <f t="shared" si="1229"/>
        <v>5832.980731885129</v>
      </c>
      <c r="CB100" s="74">
        <v>6942.2267441860467</v>
      </c>
      <c r="CC100" s="81">
        <f t="shared" ref="CC100" si="1734">AVERAGE(CB97:CB100)</f>
        <v>7692.8377089886826</v>
      </c>
      <c r="CD100" s="74">
        <v>5448.0796586059778</v>
      </c>
      <c r="CE100" s="81">
        <f t="shared" si="1231"/>
        <v>5341.6435000231277</v>
      </c>
      <c r="CF100" s="74" t="e">
        <v>#DIV/0!</v>
      </c>
      <c r="CG100" s="99" t="e">
        <f t="shared" si="1275"/>
        <v>#DIV/0!</v>
      </c>
      <c r="CH100" s="156">
        <v>2.0194313693372747E-2</v>
      </c>
      <c r="CI100" s="157">
        <f t="shared" si="1299"/>
        <v>1.8246935482223618E-2</v>
      </c>
      <c r="CJ100" s="156">
        <v>2.8571428571428574E-2</v>
      </c>
      <c r="CK100" s="81">
        <f t="shared" ref="CK100" si="1735">AVERAGE(CJ97:CJ100)</f>
        <v>2.9281559357215804E-2</v>
      </c>
      <c r="CL100" s="491">
        <v>2.8571428571428584E-2</v>
      </c>
      <c r="CM100" s="483">
        <f t="shared" si="1233"/>
        <v>2.9281559357215811E-2</v>
      </c>
      <c r="CN100" s="156">
        <v>4.0697674418604654E-2</v>
      </c>
      <c r="CO100" s="483">
        <f t="shared" ref="CO100" si="1736">AVERAGE(CN97:CN100)</f>
        <v>5.1051048444404321E-2</v>
      </c>
      <c r="CP100" s="156">
        <v>2.560455192034141E-2</v>
      </c>
      <c r="CQ100" s="483">
        <f t="shared" si="1235"/>
        <v>2.3551092099683431E-2</v>
      </c>
      <c r="CR100" s="156" t="e">
        <v>#DIV/0!</v>
      </c>
      <c r="CS100" s="158" t="e">
        <f t="shared" si="1278"/>
        <v>#DIV/0!</v>
      </c>
      <c r="CT100" s="105">
        <v>39.779592601847625</v>
      </c>
      <c r="CU100" s="106">
        <f t="shared" si="1304"/>
        <v>40.610142683573656</v>
      </c>
      <c r="CV100" s="105">
        <v>43.164571428571435</v>
      </c>
      <c r="CW100" s="81">
        <f t="shared" ref="CW100" si="1737">AVERAGE(CV97:CV100)</f>
        <v>43.20797555821261</v>
      </c>
      <c r="CX100" s="492">
        <v>43.164571428571442</v>
      </c>
      <c r="CY100" s="493">
        <f t="shared" si="1237"/>
        <v>43.207975558212617</v>
      </c>
      <c r="CZ100" s="105">
        <v>46.749999999999993</v>
      </c>
      <c r="DA100" s="106">
        <f t="shared" ref="DA100" si="1738">AVERAGE(CZ97:CZ100)</f>
        <v>47.087594555588723</v>
      </c>
      <c r="DB100" s="105">
        <v>42.287339971550523</v>
      </c>
      <c r="DC100" s="106">
        <f t="shared" si="1239"/>
        <v>42.189923877456117</v>
      </c>
      <c r="DD100" s="105" t="e">
        <v>#DIV/0!</v>
      </c>
      <c r="DE100" s="107" t="e">
        <f t="shared" si="1281"/>
        <v>#DIV/0!</v>
      </c>
    </row>
    <row r="101" spans="1:109" x14ac:dyDescent="0.25">
      <c r="A101" s="155">
        <f t="shared" si="1165"/>
        <v>45828</v>
      </c>
      <c r="B101" s="74">
        <v>38.459536913518306</v>
      </c>
      <c r="C101" s="81">
        <f t="shared" si="1282"/>
        <v>38.688612519879761</v>
      </c>
      <c r="D101" s="74">
        <v>39.477188655980306</v>
      </c>
      <c r="E101" s="81">
        <f t="shared" si="1202"/>
        <v>39.677551716816026</v>
      </c>
      <c r="F101" s="74">
        <v>39.477188655980299</v>
      </c>
      <c r="G101" s="81">
        <f t="shared" si="1202"/>
        <v>39.677551716816026</v>
      </c>
      <c r="H101" s="74">
        <v>43.037837837837834</v>
      </c>
      <c r="I101" s="81">
        <f t="shared" ref="I101" si="1739">AVERAGE(H98:H101)</f>
        <v>42.673846144365982</v>
      </c>
      <c r="J101" s="74">
        <v>38.424920127795559</v>
      </c>
      <c r="K101" s="81">
        <f t="shared" si="1204"/>
        <v>38.874245760113681</v>
      </c>
      <c r="L101" s="74" t="e">
        <v>#DIV/0!</v>
      </c>
      <c r="M101" s="99" t="e">
        <f t="shared" ref="M101" si="1740">AVERAGE(L98:L101)</f>
        <v>#DIV/0!</v>
      </c>
      <c r="N101" s="156">
        <v>5.8443247297262954E-2</v>
      </c>
      <c r="O101" s="157">
        <f t="shared" si="1282"/>
        <v>6.115486427602855E-2</v>
      </c>
      <c r="P101" s="156">
        <v>6.2885326757090063E-2</v>
      </c>
      <c r="Q101" s="157">
        <f t="shared" si="1206"/>
        <v>6.4141101339873052E-2</v>
      </c>
      <c r="R101" s="491">
        <v>6.2885326757090049E-2</v>
      </c>
      <c r="S101" s="483">
        <f t="shared" si="1207"/>
        <v>6.4141101339873052E-2</v>
      </c>
      <c r="T101" s="156">
        <v>9.7297297297297275E-2</v>
      </c>
      <c r="U101" s="157">
        <f t="shared" si="1208"/>
        <v>8.1352368099974121E-2</v>
      </c>
      <c r="V101" s="156">
        <v>5.2715654952076724E-2</v>
      </c>
      <c r="W101" s="157">
        <f t="shared" si="1209"/>
        <v>5.9471006506337749E-2</v>
      </c>
      <c r="X101" s="156" t="e">
        <v>#DIV/0!</v>
      </c>
      <c r="Y101" s="158" t="e">
        <f t="shared" si="1210"/>
        <v>#DIV/0!</v>
      </c>
      <c r="Z101" s="156">
        <v>8.9016927518313041E-2</v>
      </c>
      <c r="AA101" s="157">
        <f t="shared" si="1285"/>
        <v>0.10255079248820385</v>
      </c>
      <c r="AB101" s="156">
        <v>8.4010067403880617E-2</v>
      </c>
      <c r="AC101" s="81">
        <f t="shared" ref="AC101" si="1741">AVERAGE(AB98:AB101)</f>
        <v>9.6136887472910076E-2</v>
      </c>
      <c r="AD101" s="491">
        <v>8.4010067403880617E-2</v>
      </c>
      <c r="AE101" s="483">
        <f t="shared" si="1212"/>
        <v>9.6136887472910076E-2</v>
      </c>
      <c r="AF101" s="156">
        <v>0.13265574204466893</v>
      </c>
      <c r="AG101" s="483">
        <f t="shared" ref="AG101" si="1742">AVERAGE(AF98:AF101)</f>
        <v>0.13552375893653115</v>
      </c>
      <c r="AH101" s="156">
        <v>7.2752782315404246E-2</v>
      </c>
      <c r="AI101" s="483">
        <f t="shared" si="1214"/>
        <v>8.7778532324776115E-2</v>
      </c>
      <c r="AJ101" s="156" t="e">
        <v>#DIV/0!</v>
      </c>
      <c r="AK101" s="158" t="e">
        <f t="shared" si="1215"/>
        <v>#DIV/0!</v>
      </c>
      <c r="AL101" s="74">
        <v>7575.8404748144249</v>
      </c>
      <c r="AM101" s="81">
        <f t="shared" si="1288"/>
        <v>7641.3182939005073</v>
      </c>
      <c r="AN101" s="74">
        <v>7193.6991368680683</v>
      </c>
      <c r="AO101" s="81">
        <f t="shared" ref="AO101" si="1743">AVERAGE(AN98:AN101)</f>
        <v>7259.2551693270998</v>
      </c>
      <c r="AP101" s="494">
        <v>7193.6991368680692</v>
      </c>
      <c r="AQ101" s="495">
        <f t="shared" si="1217"/>
        <v>7259.2551693271016</v>
      </c>
      <c r="AR101" s="74">
        <v>7027.0270270270266</v>
      </c>
      <c r="AS101" s="81">
        <f t="shared" ref="AS101" si="1744">AVERAGE(AR98:AR101)</f>
        <v>7340.3026698894519</v>
      </c>
      <c r="AT101" s="74">
        <v>7242.9552715655018</v>
      </c>
      <c r="AU101" s="81">
        <f t="shared" si="1219"/>
        <v>7241.4817686260049</v>
      </c>
      <c r="AV101" s="74" t="e">
        <v>#DIV/0!</v>
      </c>
      <c r="AW101" s="99" t="e">
        <f t="shared" si="1264"/>
        <v>#DIV/0!</v>
      </c>
      <c r="AX101" s="105">
        <v>3.9009767236176667</v>
      </c>
      <c r="AY101" s="106">
        <f t="shared" si="1291"/>
        <v>3.8921605503668908</v>
      </c>
      <c r="AZ101" s="105">
        <v>4.2971639950678204</v>
      </c>
      <c r="BA101" s="81">
        <f t="shared" ref="BA101" si="1745">AVERAGE(AZ98:AZ101)</f>
        <v>4.2410930424352822</v>
      </c>
      <c r="BB101" s="492">
        <v>4.2971639950678195</v>
      </c>
      <c r="BC101" s="493">
        <f t="shared" si="1221"/>
        <v>4.2410930424352831</v>
      </c>
      <c r="BD101" s="105">
        <v>5.6594594594594589</v>
      </c>
      <c r="BE101" s="106">
        <f t="shared" ref="BE101" si="1746">AVERAGE(BD98:BD101)</f>
        <v>5.5271824663240539</v>
      </c>
      <c r="BF101" s="105">
        <v>3.8945686900958489</v>
      </c>
      <c r="BG101" s="106">
        <f t="shared" si="1223"/>
        <v>3.8988101303550047</v>
      </c>
      <c r="BH101" s="105" t="e">
        <v>#DIV/0!</v>
      </c>
      <c r="BI101" s="107" t="e">
        <f t="shared" si="1267"/>
        <v>#DIV/0!</v>
      </c>
      <c r="BJ101" s="487">
        <v>0.56185209939810365</v>
      </c>
      <c r="BK101" s="488">
        <f t="shared" si="1294"/>
        <v>0.57103608913749393</v>
      </c>
      <c r="BL101" s="487">
        <v>0.77188655980271259</v>
      </c>
      <c r="BM101" s="489">
        <f t="shared" ref="BM101" si="1747">AVERAGE(BL98:BL101)</f>
        <v>0.79043269986324738</v>
      </c>
      <c r="BN101" s="487"/>
      <c r="BO101" s="489" t="e">
        <f t="shared" ref="BO101" si="1748">AVERAGE(BN98:BN101)</f>
        <v>#DIV/0!</v>
      </c>
      <c r="BP101" s="487">
        <v>0</v>
      </c>
      <c r="BQ101" s="489">
        <f t="shared" ref="BQ101" si="1749">AVERAGE(BP98:BP101)</f>
        <v>0</v>
      </c>
      <c r="BR101" s="487"/>
      <c r="BS101" s="489" t="e">
        <f t="shared" ref="BS101" si="1750">AVERAGE(BR98:BR101)</f>
        <v>#DIV/0!</v>
      </c>
      <c r="BT101" s="487" t="e">
        <v>#DIV/0!</v>
      </c>
      <c r="BU101" s="490" t="e">
        <f t="shared" si="1272"/>
        <v>#DIV/0!</v>
      </c>
      <c r="BV101" s="74">
        <v>5201.1890898835481</v>
      </c>
      <c r="BW101" s="81">
        <f t="shared" si="1299"/>
        <v>4970.8972098863742</v>
      </c>
      <c r="BX101" s="74">
        <v>6158.9013563501894</v>
      </c>
      <c r="BY101" s="81">
        <f t="shared" ref="BY101" si="1751">AVERAGE(BX98:BX101)</f>
        <v>5848.2094531598241</v>
      </c>
      <c r="BZ101" s="494">
        <v>6158.9013563501894</v>
      </c>
      <c r="CA101" s="495">
        <f t="shared" si="1229"/>
        <v>5848.2094531598241</v>
      </c>
      <c r="CB101" s="74">
        <v>8079.9297297297289</v>
      </c>
      <c r="CC101" s="81">
        <f t="shared" ref="CC101" si="1752">AVERAGE(CB98:CB101)</f>
        <v>7730.5231871063952</v>
      </c>
      <c r="CD101" s="74">
        <v>5591.1853035143813</v>
      </c>
      <c r="CE101" s="81">
        <f t="shared" si="1231"/>
        <v>5345.648521553896</v>
      </c>
      <c r="CF101" s="74" t="e">
        <v>#DIV/0!</v>
      </c>
      <c r="CG101" s="99" t="e">
        <f t="shared" si="1275"/>
        <v>#DIV/0!</v>
      </c>
      <c r="CH101" s="156">
        <v>2.1540655567978434E-2</v>
      </c>
      <c r="CI101" s="157">
        <f t="shared" si="1299"/>
        <v>1.949438548620509E-2</v>
      </c>
      <c r="CJ101" s="156">
        <v>2.9593094944512965E-2</v>
      </c>
      <c r="CK101" s="81">
        <f t="shared" ref="CK101" si="1753">AVERAGE(CJ98:CJ101)</f>
        <v>2.8224365224121948E-2</v>
      </c>
      <c r="CL101" s="491">
        <v>2.9593094944512965E-2</v>
      </c>
      <c r="CM101" s="483">
        <f t="shared" si="1233"/>
        <v>2.8224365224121955E-2</v>
      </c>
      <c r="CN101" s="156">
        <v>4.8648648648648637E-2</v>
      </c>
      <c r="CO101" s="483">
        <f t="shared" ref="CO101" si="1754">AVERAGE(CN98:CN101)</f>
        <v>5.0522855276617248E-2</v>
      </c>
      <c r="CP101" s="156">
        <v>2.3961661341853051E-2</v>
      </c>
      <c r="CQ101" s="483">
        <f t="shared" si="1235"/>
        <v>2.2295130623552487E-2</v>
      </c>
      <c r="CR101" s="156" t="e">
        <v>#DIV/0!</v>
      </c>
      <c r="CS101" s="158" t="e">
        <f t="shared" si="1278"/>
        <v>#DIV/0!</v>
      </c>
      <c r="CT101" s="105">
        <v>40.225410245584925</v>
      </c>
      <c r="CU101" s="106">
        <f t="shared" si="1304"/>
        <v>40.411453784874233</v>
      </c>
      <c r="CV101" s="105">
        <v>43.68310727496921</v>
      </c>
      <c r="CW101" s="81">
        <f t="shared" ref="CW101" si="1755">AVERAGE(CV98:CV101)</f>
        <v>42.811390482930108</v>
      </c>
      <c r="CX101" s="492">
        <v>43.68310727496921</v>
      </c>
      <c r="CY101" s="493">
        <f t="shared" si="1237"/>
        <v>42.811390482930115</v>
      </c>
      <c r="CZ101" s="105">
        <v>50.205405405405408</v>
      </c>
      <c r="DA101" s="106">
        <f t="shared" ref="DA101" si="1756">AVERAGE(CZ98:CZ101)</f>
        <v>47.479047429782717</v>
      </c>
      <c r="DB101" s="105">
        <v>41.755591054313136</v>
      </c>
      <c r="DC101" s="106">
        <f t="shared" si="1239"/>
        <v>41.552010046831491</v>
      </c>
      <c r="DD101" s="105" t="e">
        <v>#DIV/0!</v>
      </c>
      <c r="DE101" s="107" t="e">
        <f t="shared" si="1281"/>
        <v>#DIV/0!</v>
      </c>
    </row>
    <row r="102" spans="1:109" x14ac:dyDescent="0.25">
      <c r="A102" s="155">
        <f t="shared" si="1165"/>
        <v>45835</v>
      </c>
      <c r="B102" s="74">
        <v>38.009356547929123</v>
      </c>
      <c r="C102" s="81">
        <f t="shared" si="1282"/>
        <v>38.446433470401246</v>
      </c>
      <c r="D102" s="74">
        <v>38.776207302709089</v>
      </c>
      <c r="E102" s="81">
        <f t="shared" si="1202"/>
        <v>39.399943623464956</v>
      </c>
      <c r="F102" s="74">
        <v>38.776207302709096</v>
      </c>
      <c r="G102" s="81">
        <f t="shared" si="1202"/>
        <v>39.399943623464964</v>
      </c>
      <c r="H102" s="74">
        <v>41.639534883720934</v>
      </c>
      <c r="I102" s="81">
        <f t="shared" ref="I102" si="1757">AVERAGE(H99:H102)</f>
        <v>42.314122022158955</v>
      </c>
      <c r="J102" s="74">
        <v>38.04874446085676</v>
      </c>
      <c r="K102" s="81">
        <f t="shared" si="1204"/>
        <v>38.622401263082971</v>
      </c>
      <c r="L102" s="74" t="e">
        <v>#DIV/0!</v>
      </c>
      <c r="M102" s="99" t="e">
        <f t="shared" ref="M102" si="1758">AVERAGE(L99:L102)</f>
        <v>#DIV/0!</v>
      </c>
      <c r="N102" s="156">
        <v>6.9505515189840703E-2</v>
      </c>
      <c r="O102" s="157">
        <f t="shared" si="1282"/>
        <v>6.2735264138287061E-2</v>
      </c>
      <c r="P102" s="156">
        <v>7.8916372202591317E-2</v>
      </c>
      <c r="Q102" s="157">
        <f t="shared" si="1206"/>
        <v>7.1218372528172702E-2</v>
      </c>
      <c r="R102" s="491">
        <v>7.8916372202591331E-2</v>
      </c>
      <c r="S102" s="483">
        <f t="shared" si="1207"/>
        <v>7.1218372528172716E-2</v>
      </c>
      <c r="T102" s="156">
        <v>6.9767441860465115E-2</v>
      </c>
      <c r="U102" s="157">
        <f t="shared" si="1208"/>
        <v>8.6539326604306077E-2</v>
      </c>
      <c r="V102" s="156">
        <v>8.1240768094534788E-2</v>
      </c>
      <c r="W102" s="157">
        <f t="shared" si="1209"/>
        <v>6.7026096489155113E-2</v>
      </c>
      <c r="X102" s="156" t="e">
        <v>#DIV/0!</v>
      </c>
      <c r="Y102" s="158" t="e">
        <f t="shared" si="1210"/>
        <v>#DIV/0!</v>
      </c>
      <c r="Z102" s="156">
        <v>0.11610149627222653</v>
      </c>
      <c r="AA102" s="157">
        <f t="shared" si="1285"/>
        <v>0.10568585821585083</v>
      </c>
      <c r="AB102" s="156">
        <v>0.12245763973412842</v>
      </c>
      <c r="AC102" s="81">
        <f t="shared" ref="AC102" si="1759">AVERAGE(AB99:AB102)</f>
        <v>0.10643304966256181</v>
      </c>
      <c r="AD102" s="491">
        <v>0.12245763973412843</v>
      </c>
      <c r="AE102" s="483">
        <f t="shared" si="1212"/>
        <v>0.10643304966256181</v>
      </c>
      <c r="AF102" s="156">
        <v>0.12166403727541775</v>
      </c>
      <c r="AG102" s="483">
        <f t="shared" ref="AG102" si="1760">AVERAGE(AF99:AF102)</f>
        <v>0.14433126504274266</v>
      </c>
      <c r="AH102" s="156">
        <v>0.1226342297292326</v>
      </c>
      <c r="AI102" s="483">
        <f t="shared" si="1214"/>
        <v>9.8382837042675489E-2</v>
      </c>
      <c r="AJ102" s="156" t="e">
        <v>#DIV/0!</v>
      </c>
      <c r="AK102" s="158" t="e">
        <f t="shared" si="1215"/>
        <v>#DIV/0!</v>
      </c>
      <c r="AL102" s="74">
        <v>7348.1089643977575</v>
      </c>
      <c r="AM102" s="81">
        <f t="shared" si="1288"/>
        <v>7592.3851497776941</v>
      </c>
      <c r="AN102" s="74">
        <v>6916.2709069493549</v>
      </c>
      <c r="AO102" s="81">
        <f t="shared" ref="AO102" si="1761">AVERAGE(AN99:AN102)</f>
        <v>7179.4521976838705</v>
      </c>
      <c r="AP102" s="494">
        <v>6916.2709069493558</v>
      </c>
      <c r="AQ102" s="495">
        <f t="shared" si="1217"/>
        <v>7179.4521976838714</v>
      </c>
      <c r="AR102" s="74">
        <v>7311.1860465116288</v>
      </c>
      <c r="AS102" s="81">
        <f t="shared" ref="AS102" si="1762">AVERAGE(AR99:AR102)</f>
        <v>7363.3099658310848</v>
      </c>
      <c r="AT102" s="74">
        <v>6815.9379615952776</v>
      </c>
      <c r="AU102" s="81">
        <f t="shared" si="1219"/>
        <v>7135.5335421880882</v>
      </c>
      <c r="AV102" s="74" t="e">
        <v>#DIV/0!</v>
      </c>
      <c r="AW102" s="99" t="e">
        <f t="shared" si="1264"/>
        <v>#DIV/0!</v>
      </c>
      <c r="AX102" s="105">
        <v>3.431385720508584</v>
      </c>
      <c r="AY102" s="106">
        <f t="shared" si="1291"/>
        <v>3.8000273348532927</v>
      </c>
      <c r="AZ102" s="105">
        <v>3.7455830388692601</v>
      </c>
      <c r="BA102" s="81">
        <f t="shared" ref="BA102" si="1763">AVERAGE(AZ99:AZ102)</f>
        <v>4.1332074256343789</v>
      </c>
      <c r="BB102" s="492">
        <v>3.7455830388692606</v>
      </c>
      <c r="BC102" s="493">
        <f t="shared" si="1221"/>
        <v>4.1332074256343789</v>
      </c>
      <c r="BD102" s="105">
        <v>5.0290697674418601</v>
      </c>
      <c r="BE102" s="106">
        <f t="shared" ref="BE102" si="1764">AVERAGE(BD99:BD102)</f>
        <v>5.4670479474002054</v>
      </c>
      <c r="BF102" s="105">
        <v>3.4194977843426915</v>
      </c>
      <c r="BG102" s="106">
        <f t="shared" si="1223"/>
        <v>3.7804702907263916</v>
      </c>
      <c r="BH102" s="105" t="e">
        <v>#DIV/0!</v>
      </c>
      <c r="BI102" s="107" t="e">
        <f t="shared" si="1267"/>
        <v>#DIV/0!</v>
      </c>
      <c r="BJ102" s="487">
        <v>0.5870539125295845</v>
      </c>
      <c r="BK102" s="488">
        <f t="shared" si="1294"/>
        <v>0.56923382922133547</v>
      </c>
      <c r="BL102" s="487">
        <v>0.79740871613663111</v>
      </c>
      <c r="BM102" s="489">
        <f t="shared" ref="BM102" si="1765">AVERAGE(BL99:BL102)</f>
        <v>0.79140431209578577</v>
      </c>
      <c r="BN102" s="487"/>
      <c r="BO102" s="489" t="e">
        <f t="shared" ref="BO102" si="1766">AVERAGE(BN99:BN102)</f>
        <v>#DIV/0!</v>
      </c>
      <c r="BP102" s="487">
        <v>0</v>
      </c>
      <c r="BQ102" s="489">
        <f t="shared" ref="BQ102" si="1767">AVERAGE(BP99:BP102)</f>
        <v>0</v>
      </c>
      <c r="BR102" s="487"/>
      <c r="BS102" s="489" t="e">
        <f t="shared" ref="BS102" si="1768">AVERAGE(BR99:BR102)</f>
        <v>#DIV/0!</v>
      </c>
      <c r="BT102" s="487" t="e">
        <v>#DIV/0!</v>
      </c>
      <c r="BU102" s="490" t="e">
        <f t="shared" si="1272"/>
        <v>#DIV/0!</v>
      </c>
      <c r="BV102" s="74">
        <v>5295.1431219691085</v>
      </c>
      <c r="BW102" s="81">
        <f t="shared" si="1299"/>
        <v>4977.3006861495824</v>
      </c>
      <c r="BX102" s="74">
        <v>6334.1484098939964</v>
      </c>
      <c r="BY102" s="81">
        <f t="shared" ref="BY102" si="1769">AVERAGE(BX99:BX102)</f>
        <v>5959.7397236495162</v>
      </c>
      <c r="BZ102" s="494">
        <v>6334.1484098939973</v>
      </c>
      <c r="CA102" s="495">
        <f t="shared" si="1229"/>
        <v>5959.7397236495181</v>
      </c>
      <c r="CB102" s="74">
        <v>8908.7383720930247</v>
      </c>
      <c r="CC102" s="81">
        <f t="shared" ref="CC102" si="1770">AVERAGE(CB99:CB102)</f>
        <v>7858.2678291492575</v>
      </c>
      <c r="CD102" s="74">
        <v>5680.0428360413634</v>
      </c>
      <c r="CE102" s="81">
        <f t="shared" si="1231"/>
        <v>5456.9130570948482</v>
      </c>
      <c r="CF102" s="74" t="e">
        <v>#DIV/0!</v>
      </c>
      <c r="CG102" s="99" t="e">
        <f t="shared" si="1275"/>
        <v>#DIV/0!</v>
      </c>
      <c r="CH102" s="156">
        <v>1.9944224502482205E-2</v>
      </c>
      <c r="CI102" s="157">
        <f t="shared" si="1299"/>
        <v>1.9447811279981051E-2</v>
      </c>
      <c r="CJ102" s="156">
        <v>2.7090694935217915E-2</v>
      </c>
      <c r="CK102" s="81">
        <f t="shared" ref="CK102" si="1771">AVERAGE(CJ99:CJ102)</f>
        <v>2.7658982277764484E-2</v>
      </c>
      <c r="CL102" s="491">
        <v>2.7090694935217922E-2</v>
      </c>
      <c r="CM102" s="483">
        <f t="shared" si="1233"/>
        <v>2.7658982277764491E-2</v>
      </c>
      <c r="CN102" s="156">
        <v>5.8139534883720929E-2</v>
      </c>
      <c r="CO102" s="483">
        <f t="shared" ref="CO102" si="1772">AVERAGE(CN99:CN102)</f>
        <v>4.9126366448527872E-2</v>
      </c>
      <c r="CP102" s="156">
        <v>1.9202363367799131E-2</v>
      </c>
      <c r="CQ102" s="483">
        <f t="shared" si="1235"/>
        <v>2.1993680649175736E-2</v>
      </c>
      <c r="CR102" s="156" t="e">
        <v>#DIV/0!</v>
      </c>
      <c r="CS102" s="158" t="e">
        <f t="shared" si="1278"/>
        <v>#DIV/0!</v>
      </c>
      <c r="CT102" s="105">
        <v>39.352699299024444</v>
      </c>
      <c r="CU102" s="106">
        <f t="shared" si="1304"/>
        <v>40.140445911308483</v>
      </c>
      <c r="CV102" s="105">
        <v>41.820965842167276</v>
      </c>
      <c r="CW102" s="81">
        <f t="shared" ref="CW102" si="1773">AVERAGE(CV99:CV102)</f>
        <v>42.75954692322901</v>
      </c>
      <c r="CX102" s="492">
        <v>41.820965842167276</v>
      </c>
      <c r="CY102" s="493">
        <f t="shared" si="1237"/>
        <v>42.759546923229017</v>
      </c>
      <c r="CZ102" s="105">
        <v>46.3139534883721</v>
      </c>
      <c r="DA102" s="106">
        <f t="shared" ref="DA102" si="1774">AVERAGE(CZ99:CZ102)</f>
        <v>47.57836913520908</v>
      </c>
      <c r="DB102" s="105">
        <v>40.679468242245228</v>
      </c>
      <c r="DC102" s="106">
        <f t="shared" si="1239"/>
        <v>41.467731699229532</v>
      </c>
      <c r="DD102" s="105" t="e">
        <v>#DIV/0!</v>
      </c>
      <c r="DE102" s="107" t="e">
        <f t="shared" si="1281"/>
        <v>#DIV/0!</v>
      </c>
    </row>
    <row r="103" spans="1:109" x14ac:dyDescent="0.25">
      <c r="A103" s="155">
        <f t="shared" si="1165"/>
        <v>45842</v>
      </c>
      <c r="B103" s="74">
        <v>38.128794232886733</v>
      </c>
      <c r="C103" s="81">
        <f t="shared" si="1282"/>
        <v>38.378666212176803</v>
      </c>
      <c r="D103" s="74">
        <v>38.771023302938168</v>
      </c>
      <c r="E103" s="81">
        <f t="shared" si="1202"/>
        <v>39.129247672549752</v>
      </c>
      <c r="F103" s="74">
        <v>38.771023302938161</v>
      </c>
      <c r="G103" s="81">
        <f t="shared" si="1202"/>
        <v>39.129247672549752</v>
      </c>
      <c r="H103" s="74">
        <v>40.828431372549012</v>
      </c>
      <c r="I103" s="81">
        <f t="shared" ref="I103" si="1775">AVERAGE(H100:H103)</f>
        <v>41.799416139806013</v>
      </c>
      <c r="J103" s="74">
        <v>38.234993614303924</v>
      </c>
      <c r="K103" s="81">
        <f t="shared" si="1204"/>
        <v>38.415784749885582</v>
      </c>
      <c r="L103" s="74" t="e">
        <v>#DIV/0!</v>
      </c>
      <c r="M103" s="99" t="e">
        <f t="shared" ref="M103" si="1776">AVERAGE(L100:L103)</f>
        <v>#DIV/0!</v>
      </c>
      <c r="N103" s="156">
        <v>5.9998809233713972E-2</v>
      </c>
      <c r="O103" s="157">
        <f t="shared" si="1282"/>
        <v>6.28860265643926E-2</v>
      </c>
      <c r="P103" s="156">
        <v>6.4842958459979685E-2</v>
      </c>
      <c r="Q103" s="157">
        <f t="shared" si="1206"/>
        <v>7.1946878640629555E-2</v>
      </c>
      <c r="R103" s="491">
        <v>6.4842958459979685E-2</v>
      </c>
      <c r="S103" s="483">
        <f t="shared" si="1207"/>
        <v>7.1946878640629555E-2</v>
      </c>
      <c r="T103" s="156">
        <v>0.1225490196078431</v>
      </c>
      <c r="U103" s="157">
        <f t="shared" si="1208"/>
        <v>0.1000197187611688</v>
      </c>
      <c r="V103" s="156">
        <v>4.9808429118773909E-2</v>
      </c>
      <c r="W103" s="157">
        <f t="shared" si="1209"/>
        <v>6.4433389428259602E-2</v>
      </c>
      <c r="X103" s="156" t="e">
        <v>#DIV/0!</v>
      </c>
      <c r="Y103" s="158" t="e">
        <f t="shared" si="1210"/>
        <v>#DIV/0!</v>
      </c>
      <c r="Z103" s="156">
        <v>0.10257109542519631</v>
      </c>
      <c r="AA103" s="157">
        <f t="shared" si="1285"/>
        <v>0.10661937561807187</v>
      </c>
      <c r="AB103" s="156">
        <v>9.8464642612267547E-2</v>
      </c>
      <c r="AC103" s="81">
        <f t="shared" ref="AC103" si="1777">AVERAGE(AB100:AB103)</f>
        <v>0.10814319689051066</v>
      </c>
      <c r="AD103" s="491">
        <v>9.8464642612267547E-2</v>
      </c>
      <c r="AE103" s="483">
        <f t="shared" si="1212"/>
        <v>0.10814319689051068</v>
      </c>
      <c r="AF103" s="156">
        <v>0.20917474373209896</v>
      </c>
      <c r="AG103" s="483">
        <f t="shared" ref="AG103" si="1778">AVERAGE(AF100:AF103)</f>
        <v>0.16789199753366152</v>
      </c>
      <c r="AH103" s="156">
        <v>7.3508886924980102E-2</v>
      </c>
      <c r="AI103" s="483">
        <f t="shared" si="1214"/>
        <v>9.5085642255468061E-2</v>
      </c>
      <c r="AJ103" s="156" t="e">
        <v>#DIV/0!</v>
      </c>
      <c r="AK103" s="158" t="e">
        <f t="shared" si="1215"/>
        <v>#DIV/0!</v>
      </c>
      <c r="AL103" s="74">
        <v>7322.9480924214031</v>
      </c>
      <c r="AM103" s="81">
        <f t="shared" si="1288"/>
        <v>7559.6756441738416</v>
      </c>
      <c r="AN103" s="74">
        <v>6886.8551165146837</v>
      </c>
      <c r="AO103" s="81">
        <f t="shared" ref="AO103" si="1779">AVERAGE(AN100:AN103)</f>
        <v>7044.9725757973119</v>
      </c>
      <c r="AP103" s="494">
        <v>6886.8551165146846</v>
      </c>
      <c r="AQ103" s="495">
        <f t="shared" si="1217"/>
        <v>7044.9725757973138</v>
      </c>
      <c r="AR103" s="74">
        <v>7176.3039215686276</v>
      </c>
      <c r="AS103" s="81">
        <f t="shared" ref="AS103" si="1780">AVERAGE(AR100:AR103)</f>
        <v>7293.5391324977518</v>
      </c>
      <c r="AT103" s="74">
        <v>6811.4431673052286</v>
      </c>
      <c r="AU103" s="81">
        <f t="shared" si="1219"/>
        <v>6984.2000318376977</v>
      </c>
      <c r="AV103" s="74" t="e">
        <v>#DIV/0!</v>
      </c>
      <c r="AW103" s="99" t="e">
        <f t="shared" si="1264"/>
        <v>#DIV/0!</v>
      </c>
      <c r="AX103" s="105">
        <v>3.2853603017185331</v>
      </c>
      <c r="AY103" s="106">
        <f t="shared" si="1291"/>
        <v>3.7080587942837027</v>
      </c>
      <c r="AZ103" s="105">
        <v>3.5612968591691971</v>
      </c>
      <c r="BA103" s="81">
        <f t="shared" ref="BA103" si="1781">AVERAGE(AZ100:AZ103)</f>
        <v>3.9435824018479977</v>
      </c>
      <c r="BB103" s="492">
        <v>3.5612968591691976</v>
      </c>
      <c r="BC103" s="493">
        <f t="shared" si="1221"/>
        <v>3.9435824018479977</v>
      </c>
      <c r="BD103" s="105">
        <v>4.4999999999999991</v>
      </c>
      <c r="BE103" s="106">
        <f t="shared" ref="BE103" si="1782">AVERAGE(BD100:BD103)</f>
        <v>5.1459695160276553</v>
      </c>
      <c r="BF103" s="105">
        <v>3.3167305236270739</v>
      </c>
      <c r="BG103" s="106">
        <f t="shared" si="1223"/>
        <v>3.6253379408393061</v>
      </c>
      <c r="BH103" s="105" t="e">
        <v>#DIV/0!</v>
      </c>
      <c r="BI103" s="107" t="e">
        <f t="shared" si="1267"/>
        <v>#DIV/0!</v>
      </c>
      <c r="BJ103" s="487">
        <v>0.57890490783118409</v>
      </c>
      <c r="BK103" s="488">
        <f t="shared" si="1294"/>
        <v>0.57138978265276452</v>
      </c>
      <c r="BL103" s="487">
        <v>0.79331306990881456</v>
      </c>
      <c r="BM103" s="489">
        <f t="shared" ref="BM103" si="1783">AVERAGE(BL100:BL103)</f>
        <v>0.79150922931918233</v>
      </c>
      <c r="BN103" s="487"/>
      <c r="BO103" s="489" t="e">
        <f t="shared" ref="BO103" si="1784">AVERAGE(BN100:BN103)</f>
        <v>#DIV/0!</v>
      </c>
      <c r="BP103" s="487">
        <v>0</v>
      </c>
      <c r="BQ103" s="489">
        <f t="shared" ref="BQ103" si="1785">AVERAGE(BP100:BP103)</f>
        <v>0</v>
      </c>
      <c r="BR103" s="487"/>
      <c r="BS103" s="489" t="e">
        <f t="shared" ref="BS103" si="1786">AVERAGE(BR100:BR103)</f>
        <v>#DIV/0!</v>
      </c>
      <c r="BT103" s="487" t="e">
        <v>#DIV/0!</v>
      </c>
      <c r="BU103" s="490" t="e">
        <f t="shared" si="1272"/>
        <v>#DIV/0!</v>
      </c>
      <c r="BV103" s="74">
        <v>5090.2615780966098</v>
      </c>
      <c r="BW103" s="81">
        <f t="shared" si="1299"/>
        <v>5032.4684219191058</v>
      </c>
      <c r="BX103" s="74">
        <v>6083.0445795339356</v>
      </c>
      <c r="BY103" s="81">
        <f t="shared" ref="BY103" si="1787">AVERAGE(BX100:BX103)</f>
        <v>6079.4701578731028</v>
      </c>
      <c r="BZ103" s="494">
        <v>6083.0445795339365</v>
      </c>
      <c r="CA103" s="495">
        <f t="shared" si="1229"/>
        <v>6079.4701578731028</v>
      </c>
      <c r="CB103" s="74">
        <v>8998.5294117647045</v>
      </c>
      <c r="CC103" s="81">
        <f t="shared" ref="CC103" si="1788">AVERAGE(CB100:CB103)</f>
        <v>8232.3560644433765</v>
      </c>
      <c r="CD103" s="74">
        <v>5323.4546615581057</v>
      </c>
      <c r="CE103" s="81">
        <f t="shared" si="1231"/>
        <v>5510.6906149299575</v>
      </c>
      <c r="CF103" s="74" t="e">
        <v>#DIV/0!</v>
      </c>
      <c r="CG103" s="99" t="e">
        <f t="shared" si="1275"/>
        <v>#DIV/0!</v>
      </c>
      <c r="CH103" s="156">
        <v>2.4398333450457131E-2</v>
      </c>
      <c r="CI103" s="157">
        <f t="shared" si="1299"/>
        <v>2.1423451149305005E-2</v>
      </c>
      <c r="CJ103" s="156">
        <v>3.3434650455927015E-2</v>
      </c>
      <c r="CK103" s="81">
        <f t="shared" ref="CK103" si="1789">AVERAGE(CJ100:CJ103)</f>
        <v>2.9672467226771616E-2</v>
      </c>
      <c r="CL103" s="491">
        <v>3.3434650455927029E-2</v>
      </c>
      <c r="CM103" s="483">
        <f t="shared" si="1233"/>
        <v>2.9672467226771623E-2</v>
      </c>
      <c r="CN103" s="156">
        <v>8.3333333333333315E-2</v>
      </c>
      <c r="CO103" s="483">
        <f t="shared" ref="CO103" si="1790">AVERAGE(CN100:CN103)</f>
        <v>5.7704797821076882E-2</v>
      </c>
      <c r="CP103" s="156">
        <v>2.0434227330779039E-2</v>
      </c>
      <c r="CQ103" s="483">
        <f t="shared" si="1235"/>
        <v>2.2300700990193156E-2</v>
      </c>
      <c r="CR103" s="156" t="e">
        <v>#DIV/0!</v>
      </c>
      <c r="CS103" s="158" t="e">
        <f t="shared" si="1278"/>
        <v>#DIV/0!</v>
      </c>
      <c r="CT103" s="105">
        <v>39.56602549307572</v>
      </c>
      <c r="CU103" s="106">
        <f t="shared" si="1304"/>
        <v>39.906790314768848</v>
      </c>
      <c r="CV103" s="105">
        <v>42.234042553191458</v>
      </c>
      <c r="CW103" s="81">
        <f t="shared" ref="CW103" si="1791">AVERAGE(CV100:CV103)</f>
        <v>42.725671774724844</v>
      </c>
      <c r="CX103" s="492">
        <v>42.234042553191458</v>
      </c>
      <c r="CY103" s="493">
        <f t="shared" si="1237"/>
        <v>42.725671774724844</v>
      </c>
      <c r="CZ103" s="105">
        <v>46.318627450980387</v>
      </c>
      <c r="DA103" s="106">
        <f t="shared" ref="DA103" si="1792">AVERAGE(CZ100:CZ103)</f>
        <v>47.396996586189474</v>
      </c>
      <c r="DB103" s="105">
        <v>41.169859514687069</v>
      </c>
      <c r="DC103" s="106">
        <f t="shared" si="1239"/>
        <v>41.473064695698987</v>
      </c>
      <c r="DD103" s="105" t="e">
        <v>#DIV/0!</v>
      </c>
      <c r="DE103" s="107" t="e">
        <f t="shared" si="1281"/>
        <v>#DIV/0!</v>
      </c>
    </row>
    <row r="104" spans="1:109" x14ac:dyDescent="0.25">
      <c r="A104" s="155">
        <f t="shared" si="1165"/>
        <v>45849</v>
      </c>
      <c r="B104" s="74">
        <v>37.500007057099943</v>
      </c>
      <c r="C104" s="81">
        <f t="shared" si="1282"/>
        <v>38.258755450607659</v>
      </c>
      <c r="D104" s="74">
        <v>38.292431192660572</v>
      </c>
      <c r="E104" s="81">
        <f t="shared" si="1202"/>
        <v>38.829212613572039</v>
      </c>
      <c r="F104" s="74">
        <v>38.292431192660572</v>
      </c>
      <c r="G104" s="81">
        <f t="shared" si="1202"/>
        <v>38.829212613572032</v>
      </c>
      <c r="H104" s="74">
        <v>41.780104712041883</v>
      </c>
      <c r="I104" s="81">
        <f t="shared" ref="I104" si="1793">AVERAGE(H101:H104)</f>
        <v>41.821477201537419</v>
      </c>
      <c r="J104" s="74">
        <v>37.3142437591777</v>
      </c>
      <c r="K104" s="81">
        <f t="shared" si="1204"/>
        <v>38.005725490533493</v>
      </c>
      <c r="L104" s="74" t="e">
        <v>#DIV/0!</v>
      </c>
      <c r="M104" s="99" t="e">
        <f t="shared" ref="M104" si="1794">AVERAGE(L101:L104)</f>
        <v>#DIV/0!</v>
      </c>
      <c r="N104" s="156">
        <v>7.4281499100349577E-2</v>
      </c>
      <c r="O104" s="157">
        <f t="shared" si="1282"/>
        <v>6.3037796088482131E-2</v>
      </c>
      <c r="P104" s="156">
        <v>7.7981651376146807E-2</v>
      </c>
      <c r="Q104" s="157">
        <f t="shared" si="1206"/>
        <v>7.1156577198951965E-2</v>
      </c>
      <c r="R104" s="491">
        <v>7.7981651376146821E-2</v>
      </c>
      <c r="S104" s="483">
        <f t="shared" si="1207"/>
        <v>7.1156577198951965E-2</v>
      </c>
      <c r="T104" s="156">
        <v>8.3769633507853408E-2</v>
      </c>
      <c r="U104" s="157">
        <f t="shared" si="1208"/>
        <v>9.3345848068364712E-2</v>
      </c>
      <c r="V104" s="156">
        <v>7.6358296622613842E-2</v>
      </c>
      <c r="W104" s="157">
        <f t="shared" si="1209"/>
        <v>6.5030787196999812E-2</v>
      </c>
      <c r="X104" s="156" t="e">
        <v>#DIV/0!</v>
      </c>
      <c r="Y104" s="158" t="e">
        <f t="shared" si="1210"/>
        <v>#DIV/0!</v>
      </c>
      <c r="Z104" s="156">
        <v>0.1079721019603464</v>
      </c>
      <c r="AA104" s="157">
        <f t="shared" si="1285"/>
        <v>0.1032947148543355</v>
      </c>
      <c r="AB104" s="156">
        <v>9.6074742271719193E-2</v>
      </c>
      <c r="AC104" s="81">
        <f t="shared" ref="AC104" si="1795">AVERAGE(AB101:AB104)</f>
        <v>0.10025177300549895</v>
      </c>
      <c r="AD104" s="491">
        <v>9.6074742271719221E-2</v>
      </c>
      <c r="AE104" s="483">
        <f t="shared" si="1212"/>
        <v>0.10025177300549895</v>
      </c>
      <c r="AF104" s="156">
        <v>9.5789603662724834E-2</v>
      </c>
      <c r="AG104" s="483">
        <f t="shared" ref="AG104" si="1796">AVERAGE(AF101:AF104)</f>
        <v>0.13982103167872761</v>
      </c>
      <c r="AH104" s="156">
        <v>9.6138616130398424E-2</v>
      </c>
      <c r="AI104" s="483">
        <f t="shared" si="1214"/>
        <v>9.1258628775003847E-2</v>
      </c>
      <c r="AJ104" s="156" t="e">
        <v>#DIV/0!</v>
      </c>
      <c r="AK104" s="158" t="e">
        <f t="shared" si="1215"/>
        <v>#DIV/0!</v>
      </c>
      <c r="AL104" s="74">
        <v>7137.79569666714</v>
      </c>
      <c r="AM104" s="81">
        <f t="shared" si="1288"/>
        <v>7486.061567372928</v>
      </c>
      <c r="AN104" s="74">
        <v>6724.6089449541314</v>
      </c>
      <c r="AO104" s="81">
        <f t="shared" ref="AO104" si="1797">AVERAGE(AN101:AN104)</f>
        <v>6930.3585263215591</v>
      </c>
      <c r="AP104" s="494">
        <v>6724.6089449541305</v>
      </c>
      <c r="AQ104" s="495">
        <f t="shared" si="1217"/>
        <v>6930.3585263215609</v>
      </c>
      <c r="AR104" s="74">
        <v>6850.1413612565448</v>
      </c>
      <c r="AS104" s="81">
        <f t="shared" ref="AS104" si="1798">AVERAGE(AR101:AR104)</f>
        <v>7091.1645890909567</v>
      </c>
      <c r="AT104" s="74">
        <v>6689.4008810572714</v>
      </c>
      <c r="AU104" s="81">
        <f t="shared" si="1219"/>
        <v>6889.9343203808194</v>
      </c>
      <c r="AV104" s="74" t="e">
        <v>#DIV/0!</v>
      </c>
      <c r="AW104" s="99" t="e">
        <f t="shared" si="1264"/>
        <v>#DIV/0!</v>
      </c>
      <c r="AX104" s="105">
        <v>3.4456984358515466</v>
      </c>
      <c r="AY104" s="106">
        <f t="shared" si="1291"/>
        <v>3.6343868567210018</v>
      </c>
      <c r="AZ104" s="105">
        <v>3.9472477064220195</v>
      </c>
      <c r="BA104" s="81">
        <f t="shared" ref="BA104" si="1799">AVERAGE(AZ101:AZ104)</f>
        <v>3.8878228998820745</v>
      </c>
      <c r="BB104" s="492">
        <v>3.9472477064220195</v>
      </c>
      <c r="BC104" s="493">
        <f t="shared" si="1221"/>
        <v>3.8878228998820736</v>
      </c>
      <c r="BD104" s="105">
        <v>5.1989528795811522</v>
      </c>
      <c r="BE104" s="106">
        <f t="shared" ref="BE104" si="1800">AVERAGE(BD101:BD104)</f>
        <v>5.0968705266206182</v>
      </c>
      <c r="BF104" s="105">
        <v>3.5961820851688713</v>
      </c>
      <c r="BG104" s="106">
        <f t="shared" si="1223"/>
        <v>3.5567447708086215</v>
      </c>
      <c r="BH104" s="105" t="e">
        <v>#DIV/0!</v>
      </c>
      <c r="BI104" s="107" t="e">
        <f t="shared" si="1267"/>
        <v>#DIV/0!</v>
      </c>
      <c r="BJ104" s="487">
        <v>0.56735414573844234</v>
      </c>
      <c r="BK104" s="488">
        <f t="shared" si="1294"/>
        <v>0.57236696683753063</v>
      </c>
      <c r="BL104" s="487">
        <v>0.78096330275229353</v>
      </c>
      <c r="BM104" s="489">
        <f t="shared" ref="BM104" si="1801">AVERAGE(BL101:BL104)</f>
        <v>0.78589291215011303</v>
      </c>
      <c r="BN104" s="487"/>
      <c r="BO104" s="489" t="e">
        <f t="shared" ref="BO104" si="1802">AVERAGE(BN101:BN104)</f>
        <v>#DIV/0!</v>
      </c>
      <c r="BP104" s="487">
        <v>0</v>
      </c>
      <c r="BQ104" s="489">
        <f t="shared" ref="BQ104" si="1803">AVERAGE(BP101:BP104)</f>
        <v>0</v>
      </c>
      <c r="BR104" s="487"/>
      <c r="BS104" s="489" t="e">
        <f t="shared" ref="BS104" si="1804">AVERAGE(BR101:BR104)</f>
        <v>#DIV/0!</v>
      </c>
      <c r="BT104" s="487" t="e">
        <v>#DIV/0!</v>
      </c>
      <c r="BU104" s="490" t="e">
        <f t="shared" si="1272"/>
        <v>#DIV/0!</v>
      </c>
      <c r="BV104" s="74">
        <v>5123.1605102504627</v>
      </c>
      <c r="BW104" s="81">
        <f t="shared" si="1299"/>
        <v>5034.6241054528518</v>
      </c>
      <c r="BX104" s="74">
        <v>6078.5825688073401</v>
      </c>
      <c r="BY104" s="81">
        <f t="shared" ref="BY104" si="1805">AVERAGE(BX101:BX104)</f>
        <v>6163.6692286463658</v>
      </c>
      <c r="BZ104" s="494">
        <v>6078.582568807341</v>
      </c>
      <c r="CA104" s="495">
        <f t="shared" si="1229"/>
        <v>6163.6692286463667</v>
      </c>
      <c r="CB104" s="74">
        <v>8004.4869109947658</v>
      </c>
      <c r="CC104" s="81">
        <f t="shared" ref="CC104" si="1806">AVERAGE(CB101:CB104)</f>
        <v>8497.9211061455571</v>
      </c>
      <c r="CD104" s="74">
        <v>5538.4243759177698</v>
      </c>
      <c r="CE104" s="81">
        <f t="shared" si="1231"/>
        <v>5533.2767942579048</v>
      </c>
      <c r="CF104" s="74" t="e">
        <v>#DIV/0!</v>
      </c>
      <c r="CG104" s="99" t="e">
        <f t="shared" si="1275"/>
        <v>#DIV/0!</v>
      </c>
      <c r="CH104" s="156">
        <v>2.4995863491003221E-2</v>
      </c>
      <c r="CI104" s="157">
        <f t="shared" si="1299"/>
        <v>2.1512736636903722E-2</v>
      </c>
      <c r="CJ104" s="156">
        <v>3.3256880733944963E-2</v>
      </c>
      <c r="CK104" s="81">
        <f t="shared" ref="CK104" si="1807">AVERAGE(CJ101:CJ104)</f>
        <v>3.0843830267400715E-2</v>
      </c>
      <c r="CL104" s="491">
        <v>3.3256880733944963E-2</v>
      </c>
      <c r="CM104" s="483">
        <f t="shared" si="1233"/>
        <v>3.0843830267400719E-2</v>
      </c>
      <c r="CN104" s="156">
        <v>6.2827225130890063E-2</v>
      </c>
      <c r="CO104" s="483">
        <f t="shared" ref="CO104" si="1808">AVERAGE(CN101:CN104)</f>
        <v>6.3237185499148238E-2</v>
      </c>
      <c r="CP104" s="156">
        <v>2.4963289280469907E-2</v>
      </c>
      <c r="CQ104" s="483">
        <f t="shared" si="1235"/>
        <v>2.2140385330225283E-2</v>
      </c>
      <c r="CR104" s="156" t="e">
        <v>#DIV/0!</v>
      </c>
      <c r="CS104" s="158" t="e">
        <f t="shared" si="1278"/>
        <v>#DIV/0!</v>
      </c>
      <c r="CT104" s="105">
        <v>39.675269874493353</v>
      </c>
      <c r="CU104" s="106">
        <f t="shared" si="1304"/>
        <v>39.632185351830877</v>
      </c>
      <c r="CV104" s="105">
        <v>42.003440366972484</v>
      </c>
      <c r="CW104" s="81">
        <f t="shared" ref="CW104" si="1809">AVERAGE(CV101:CV104)</f>
        <v>42.435389009325107</v>
      </c>
      <c r="CX104" s="492">
        <v>42.003440366972498</v>
      </c>
      <c r="CY104" s="493">
        <f t="shared" si="1237"/>
        <v>42.435389009325107</v>
      </c>
      <c r="CZ104" s="105">
        <v>43.774869109947652</v>
      </c>
      <c r="DA104" s="106">
        <f t="shared" ref="DA104" si="1810">AVERAGE(CZ101:CZ104)</f>
        <v>46.653213863676385</v>
      </c>
      <c r="DB104" s="105">
        <v>41.50660792951544</v>
      </c>
      <c r="DC104" s="106">
        <f t="shared" si="1239"/>
        <v>41.277881685190216</v>
      </c>
      <c r="DD104" s="105" t="e">
        <v>#DIV/0!</v>
      </c>
      <c r="DE104" s="107" t="e">
        <f t="shared" si="1281"/>
        <v>#DIV/0!</v>
      </c>
    </row>
    <row r="105" spans="1:109" x14ac:dyDescent="0.25">
      <c r="A105" s="155">
        <f t="shared" si="1165"/>
        <v>45856</v>
      </c>
      <c r="B105" s="74">
        <v>38.487609750047774</v>
      </c>
      <c r="C105" s="81">
        <f>AVERAGE(B99:B105)</f>
        <v>38.20873944671132</v>
      </c>
      <c r="D105" s="74">
        <v>39.448043184885314</v>
      </c>
      <c r="E105" s="81">
        <f t="shared" si="1202"/>
        <v>38.821926245798288</v>
      </c>
      <c r="F105" s="74">
        <v>39.448043184885321</v>
      </c>
      <c r="G105" s="81">
        <f t="shared" si="1202"/>
        <v>38.821926245798288</v>
      </c>
      <c r="H105" s="74">
        <v>41.545454545454547</v>
      </c>
      <c r="I105" s="81">
        <f t="shared" ref="I105" si="1811">AVERAGE(H102:H105)</f>
        <v>41.448381378441596</v>
      </c>
      <c r="J105" s="74">
        <v>38.897785349233423</v>
      </c>
      <c r="K105" s="81">
        <f t="shared" si="1204"/>
        <v>38.123941795892954</v>
      </c>
      <c r="L105" s="74" t="e">
        <v>#DIV/0!</v>
      </c>
      <c r="M105" s="99" t="e">
        <f t="shared" ref="M105" si="1812">AVERAGE(L102:L105)</f>
        <v>#DIV/0!</v>
      </c>
      <c r="N105" s="156">
        <v>6.3770927788313225E-2</v>
      </c>
      <c r="O105" s="157">
        <f>AVERAGE(N99:N105)</f>
        <v>6.4908885795156274E-2</v>
      </c>
      <c r="P105" s="156">
        <v>6.8825910931174142E-2</v>
      </c>
      <c r="Q105" s="157">
        <f t="shared" si="1206"/>
        <v>7.2641723242472991E-2</v>
      </c>
      <c r="R105" s="491">
        <v>6.8825910931174128E-2</v>
      </c>
      <c r="S105" s="483">
        <f t="shared" si="1207"/>
        <v>7.2641723242472991E-2</v>
      </c>
      <c r="T105" s="156">
        <v>8.4415584415584402E-2</v>
      </c>
      <c r="U105" s="157">
        <f t="shared" si="1208"/>
        <v>9.0125419847936511E-2</v>
      </c>
      <c r="V105" s="156">
        <v>6.4735945485519655E-2</v>
      </c>
      <c r="W105" s="157">
        <f t="shared" si="1209"/>
        <v>6.8035859830360548E-2</v>
      </c>
      <c r="X105" s="156" t="e">
        <v>#DIV/0!</v>
      </c>
      <c r="Y105" s="158" t="e">
        <f t="shared" si="1210"/>
        <v>#DIV/0!</v>
      </c>
      <c r="Z105" s="156">
        <v>0.1029736229262683</v>
      </c>
      <c r="AA105" s="157">
        <f>AVERAGE(Z99:Z105)</f>
        <v>0.10546039369291053</v>
      </c>
      <c r="AB105" s="156">
        <v>9.9542246333478177E-2</v>
      </c>
      <c r="AC105" s="81">
        <f t="shared" ref="AC105" si="1813">AVERAGE(AB102:AB105)</f>
        <v>0.10413481773789834</v>
      </c>
      <c r="AD105" s="491">
        <v>9.9542246333478177E-2</v>
      </c>
      <c r="AE105" s="483">
        <f t="shared" si="1212"/>
        <v>0.10413481773789834</v>
      </c>
      <c r="AF105" s="156">
        <v>0.14158051344358377</v>
      </c>
      <c r="AG105" s="483">
        <f t="shared" ref="AG105" si="1814">AVERAGE(AF102:AF105)</f>
        <v>0.14205222452845634</v>
      </c>
      <c r="AH105" s="156">
        <v>8.9951605093539791E-2</v>
      </c>
      <c r="AI105" s="483">
        <f t="shared" si="1214"/>
        <v>9.5558334469537723E-2</v>
      </c>
      <c r="AJ105" s="156" t="e">
        <v>#DIV/0!</v>
      </c>
      <c r="AK105" s="158" t="e">
        <f t="shared" si="1215"/>
        <v>#DIV/0!</v>
      </c>
      <c r="AL105" s="74">
        <v>7291.432260380986</v>
      </c>
      <c r="AM105" s="81">
        <f>AVERAGE(AL99:AL105)</f>
        <v>7435.2660376191952</v>
      </c>
      <c r="AN105" s="74">
        <v>6856.7273954116108</v>
      </c>
      <c r="AO105" s="81">
        <f t="shared" ref="AO105" si="1815">AVERAGE(AN102:AN105)</f>
        <v>6846.1155909574454</v>
      </c>
      <c r="AP105" s="494">
        <v>6856.7273954116126</v>
      </c>
      <c r="AQ105" s="495">
        <f t="shared" si="1217"/>
        <v>6846.1155909574454</v>
      </c>
      <c r="AR105" s="74">
        <v>7045.454545454546</v>
      </c>
      <c r="AS105" s="81">
        <f t="shared" ref="AS105" si="1816">AVERAGE(AR102:AR105)</f>
        <v>7095.7714686978361</v>
      </c>
      <c r="AT105" s="74">
        <v>6807.2146507666166</v>
      </c>
      <c r="AU105" s="81">
        <f t="shared" si="1219"/>
        <v>6780.9991651810979</v>
      </c>
      <c r="AV105" s="74" t="e">
        <v>#DIV/0!</v>
      </c>
      <c r="AW105" s="99" t="e">
        <f t="shared" si="1264"/>
        <v>#DIV/0!</v>
      </c>
      <c r="AX105" s="105">
        <v>3.4779098775831132</v>
      </c>
      <c r="AY105" s="106">
        <f>AVERAGE(AX99:AX105)</f>
        <v>3.5878502866979458</v>
      </c>
      <c r="AZ105" s="105">
        <v>3.8286099865047269</v>
      </c>
      <c r="BA105" s="81">
        <f t="shared" ref="BA105" si="1817">AVERAGE(AZ102:AZ105)</f>
        <v>3.7706843977413009</v>
      </c>
      <c r="BB105" s="492">
        <v>3.8286099865047265</v>
      </c>
      <c r="BC105" s="493">
        <f t="shared" si="1221"/>
        <v>3.7706843977413014</v>
      </c>
      <c r="BD105" s="105">
        <v>4.8311688311688323</v>
      </c>
      <c r="BE105" s="106">
        <f t="shared" ref="BE105" si="1818">AVERAGE(BD102:BD105)</f>
        <v>4.8897978695479605</v>
      </c>
      <c r="BF105" s="105">
        <v>3.5655877342419111</v>
      </c>
      <c r="BG105" s="106">
        <f t="shared" si="1223"/>
        <v>3.474499531845137</v>
      </c>
      <c r="BH105" s="105" t="e">
        <v>#DIV/0!</v>
      </c>
      <c r="BI105" s="107" t="e">
        <f t="shared" si="1267"/>
        <v>#DIV/0!</v>
      </c>
      <c r="BJ105" s="487">
        <v>0.5659747444209593</v>
      </c>
      <c r="BK105" s="488">
        <f>AVERAGE(BJ99:BJ105)</f>
        <v>0.56991285708479544</v>
      </c>
      <c r="BL105" s="487">
        <v>0.79217273954116052</v>
      </c>
      <c r="BM105" s="489">
        <f t="shared" ref="BM105" si="1819">AVERAGE(BL102:BL105)</f>
        <v>0.79096445708472496</v>
      </c>
      <c r="BN105" s="487"/>
      <c r="BO105" s="489" t="e">
        <f t="shared" ref="BO105" si="1820">AVERAGE(BN102:BN105)</f>
        <v>#DIV/0!</v>
      </c>
      <c r="BP105" s="487">
        <v>0</v>
      </c>
      <c r="BQ105" s="489">
        <f t="shared" ref="BQ105" si="1821">AVERAGE(BP102:BP105)</f>
        <v>0</v>
      </c>
      <c r="BR105" s="487"/>
      <c r="BS105" s="489" t="e">
        <f t="shared" ref="BS105" si="1822">AVERAGE(BR102:BR105)</f>
        <v>#DIV/0!</v>
      </c>
      <c r="BT105" s="487" t="e">
        <v>#DIV/0!</v>
      </c>
      <c r="BU105" s="490" t="e">
        <f t="shared" si="1272"/>
        <v>#DIV/0!</v>
      </c>
      <c r="BV105" s="74">
        <v>5258.6303588941219</v>
      </c>
      <c r="BW105" s="81">
        <f>AVERAGE(BV99:BV105)</f>
        <v>5064.4478712158216</v>
      </c>
      <c r="BX105" s="74">
        <v>6287.0715249662662</v>
      </c>
      <c r="BY105" s="81">
        <f t="shared" ref="BY105" si="1823">AVERAGE(BX102:BX105)</f>
        <v>6195.7117708003843</v>
      </c>
      <c r="BZ105" s="494">
        <v>6287.0715249662662</v>
      </c>
      <c r="CA105" s="495">
        <f t="shared" si="1229"/>
        <v>6195.7117708003861</v>
      </c>
      <c r="CB105" s="74">
        <v>9556.136363636364</v>
      </c>
      <c r="CC105" s="81">
        <f t="shared" ref="CC105" si="1824">AVERAGE(CB102:CB105)</f>
        <v>8866.9727646222145</v>
      </c>
      <c r="CD105" s="74">
        <v>5429.4293015332241</v>
      </c>
      <c r="CE105" s="81">
        <f t="shared" si="1231"/>
        <v>5492.8377937626155</v>
      </c>
      <c r="CF105" s="74" t="e">
        <v>#DIV/0!</v>
      </c>
      <c r="CG105" s="99" t="e">
        <f t="shared" si="1275"/>
        <v>#DIV/0!</v>
      </c>
      <c r="CH105" s="156">
        <v>3.1825947517647966E-2</v>
      </c>
      <c r="CI105" s="157">
        <f>AVERAGE(CH99:CH105)</f>
        <v>2.2977475870823039E-2</v>
      </c>
      <c r="CJ105" s="156">
        <v>4.3184885290148481E-2</v>
      </c>
      <c r="CK105" s="81">
        <f t="shared" ref="CK105" si="1825">AVERAGE(CJ102:CJ105)</f>
        <v>3.4241777853809593E-2</v>
      </c>
      <c r="CL105" s="491">
        <v>4.3184885290148481E-2</v>
      </c>
      <c r="CM105" s="483">
        <f t="shared" si="1233"/>
        <v>3.4241777853809593E-2</v>
      </c>
      <c r="CN105" s="156">
        <v>0.11688311688311687</v>
      </c>
      <c r="CO105" s="483">
        <f t="shared" ref="CO105" si="1826">AVERAGE(CN102:CN105)</f>
        <v>8.0295802557765292E-2</v>
      </c>
      <c r="CP105" s="156">
        <v>2.3850085178875661E-2</v>
      </c>
      <c r="CQ105" s="483">
        <f t="shared" si="1235"/>
        <v>2.2112491289480934E-2</v>
      </c>
      <c r="CR105" s="156" t="e">
        <v>#DIV/0!</v>
      </c>
      <c r="CS105" s="158" t="e">
        <f t="shared" si="1278"/>
        <v>#DIV/0!</v>
      </c>
      <c r="CT105" s="105">
        <v>41.354219120637801</v>
      </c>
      <c r="CU105" s="106">
        <f>AVERAGE(CT99:CT105)</f>
        <v>39.912343531211022</v>
      </c>
      <c r="CV105" s="105">
        <v>44.290148448043219</v>
      </c>
      <c r="CW105" s="81">
        <f t="shared" ref="CW105" si="1827">AVERAGE(CV102:CV105)</f>
        <v>42.587149302593609</v>
      </c>
      <c r="CX105" s="492">
        <v>44.290148448043219</v>
      </c>
      <c r="CY105" s="493">
        <f t="shared" si="1237"/>
        <v>42.587149302593609</v>
      </c>
      <c r="CZ105" s="105">
        <v>48.694805194805191</v>
      </c>
      <c r="DA105" s="106">
        <f t="shared" ref="DA105" si="1828">AVERAGE(CZ102:CZ105)</f>
        <v>46.275563811026331</v>
      </c>
      <c r="DB105" s="105">
        <v>43.134582623509409</v>
      </c>
      <c r="DC105" s="106">
        <f t="shared" si="1239"/>
        <v>41.622629577489285</v>
      </c>
      <c r="DD105" s="105" t="e">
        <v>#DIV/0!</v>
      </c>
      <c r="DE105" s="107" t="e">
        <f t="shared" si="1281"/>
        <v>#DIV/0!</v>
      </c>
    </row>
    <row r="106" spans="1:109" x14ac:dyDescent="0.25">
      <c r="A106" s="155">
        <f t="shared" si="1165"/>
        <v>45863</v>
      </c>
      <c r="B106" s="74">
        <v>38.041584398326769</v>
      </c>
      <c r="C106" s="81">
        <f>AVERAGE(B100:B106)</f>
        <v>38.128387181598349</v>
      </c>
      <c r="D106" s="74">
        <v>38.861454046639267</v>
      </c>
      <c r="E106" s="81">
        <f t="shared" si="1202"/>
        <v>38.843237931780827</v>
      </c>
      <c r="F106" s="74">
        <v>38.861454046639267</v>
      </c>
      <c r="G106" s="81">
        <f t="shared" si="1202"/>
        <v>38.843237931780834</v>
      </c>
      <c r="H106" s="74">
        <v>41.050000000000004</v>
      </c>
      <c r="I106" s="81">
        <f t="shared" ref="I106" si="1829">AVERAGE(H103:H106)</f>
        <v>41.30099765751136</v>
      </c>
      <c r="J106" s="74">
        <v>38.246045694200397</v>
      </c>
      <c r="K106" s="81">
        <f t="shared" si="1204"/>
        <v>38.173267104228863</v>
      </c>
      <c r="L106" s="74" t="e">
        <v>#DIV/0!</v>
      </c>
      <c r="M106" s="99" t="e">
        <f t="shared" ref="M106" si="1830">AVERAGE(L103:L106)</f>
        <v>#DIV/0!</v>
      </c>
      <c r="N106" s="156">
        <v>6.36228105466069E-2</v>
      </c>
      <c r="O106" s="157">
        <f>AVERAGE(N100:N106)</f>
        <v>6.629803485858507E-2</v>
      </c>
      <c r="P106" s="156">
        <v>6.9958847736625571E-2</v>
      </c>
      <c r="Q106" s="157">
        <f t="shared" si="1206"/>
        <v>7.0402342125981551E-2</v>
      </c>
      <c r="R106" s="491">
        <v>6.9958847736625571E-2</v>
      </c>
      <c r="S106" s="483">
        <f t="shared" si="1207"/>
        <v>7.0402342125981551E-2</v>
      </c>
      <c r="T106" s="156">
        <v>6.8750000000000019E-2</v>
      </c>
      <c r="U106" s="157">
        <f t="shared" si="1208"/>
        <v>8.9871059382820237E-2</v>
      </c>
      <c r="V106" s="156">
        <v>7.029876977152906E-2</v>
      </c>
      <c r="W106" s="157">
        <f t="shared" si="1209"/>
        <v>6.5300360249609113E-2</v>
      </c>
      <c r="X106" s="156" t="e">
        <v>#DIV/0!</v>
      </c>
      <c r="Y106" s="158" t="e">
        <f t="shared" si="1210"/>
        <v>#DIV/0!</v>
      </c>
      <c r="Z106" s="156">
        <v>0.11137847650580213</v>
      </c>
      <c r="AA106" s="157">
        <f>AVERAGE(Z100:Z106)</f>
        <v>0.10889749720878553</v>
      </c>
      <c r="AB106" s="156">
        <v>0.10996071758685953</v>
      </c>
      <c r="AC106" s="81">
        <f t="shared" ref="AC106" si="1831">AVERAGE(AB103:AB106)</f>
        <v>0.10101058720108112</v>
      </c>
      <c r="AD106" s="491">
        <v>0.1099607175868595</v>
      </c>
      <c r="AE106" s="483">
        <f t="shared" si="1212"/>
        <v>0.10101058720108111</v>
      </c>
      <c r="AF106" s="156">
        <v>9.6149818046968538E-2</v>
      </c>
      <c r="AG106" s="483">
        <f t="shared" ref="AG106" si="1832">AVERAGE(AF103:AF106)</f>
        <v>0.13567366972134404</v>
      </c>
      <c r="AH106" s="156">
        <v>0.11343738848531089</v>
      </c>
      <c r="AI106" s="483">
        <f t="shared" si="1214"/>
        <v>9.3259124158557291E-2</v>
      </c>
      <c r="AJ106" s="156" t="e">
        <v>#DIV/0!</v>
      </c>
      <c r="AK106" s="158" t="e">
        <f t="shared" si="1215"/>
        <v>#DIV/0!</v>
      </c>
      <c r="AL106" s="74">
        <v>7225.2355093098804</v>
      </c>
      <c r="AM106" s="81">
        <f>AVERAGE(AL100:AL106)</f>
        <v>7355.933445268106</v>
      </c>
      <c r="AN106" s="74">
        <v>6752.5144032921871</v>
      </c>
      <c r="AO106" s="81">
        <f t="shared" ref="AO106" si="1833">AVERAGE(AN103:AN106)</f>
        <v>6805.1764650431523</v>
      </c>
      <c r="AP106" s="494">
        <v>6752.5144032921862</v>
      </c>
      <c r="AQ106" s="495">
        <f t="shared" si="1217"/>
        <v>6805.1764650431533</v>
      </c>
      <c r="AR106" s="74">
        <v>6789.6625000000004</v>
      </c>
      <c r="AS106" s="81">
        <f t="shared" ref="AS106" si="1834">AVERAGE(AR103:AR106)</f>
        <v>6965.3905820699292</v>
      </c>
      <c r="AT106" s="74">
        <v>6742.068541300534</v>
      </c>
      <c r="AU106" s="81">
        <f t="shared" si="1219"/>
        <v>6762.5318101074126</v>
      </c>
      <c r="AV106" s="74" t="e">
        <v>#DIV/0!</v>
      </c>
      <c r="AW106" s="99" t="e">
        <f t="shared" si="1264"/>
        <v>#DIV/0!</v>
      </c>
      <c r="AX106" s="105">
        <v>3.4041056950158639</v>
      </c>
      <c r="AY106" s="106">
        <f>AVERAGE(AX100:AX106)</f>
        <v>3.5218237417837344</v>
      </c>
      <c r="AZ106" s="105">
        <v>3.6666666666666701</v>
      </c>
      <c r="BA106" s="81">
        <f t="shared" ref="BA106" si="1835">AVERAGE(AZ103:AZ106)</f>
        <v>3.7509553046906534</v>
      </c>
      <c r="BB106" s="492">
        <v>3.6666666666666692</v>
      </c>
      <c r="BC106" s="493">
        <f t="shared" si="1221"/>
        <v>3.7509553046906534</v>
      </c>
      <c r="BD106" s="105">
        <v>4.3875000000000002</v>
      </c>
      <c r="BE106" s="106">
        <f t="shared" ref="BE106" si="1836">AVERAGE(BD103:BD106)</f>
        <v>4.7294054276874959</v>
      </c>
      <c r="BF106" s="105">
        <v>3.4639718804920951</v>
      </c>
      <c r="BG106" s="106">
        <f t="shared" si="1223"/>
        <v>3.4856180558824876</v>
      </c>
      <c r="BH106" s="105" t="e">
        <v>#DIV/0!</v>
      </c>
      <c r="BI106" s="107" t="e">
        <f t="shared" si="1267"/>
        <v>#DIV/0!</v>
      </c>
      <c r="BJ106" s="487">
        <v>0.57357924501663893</v>
      </c>
      <c r="BK106" s="488">
        <f>AVERAGE(BJ100:BJ106)</f>
        <v>0.57177976830293964</v>
      </c>
      <c r="BL106" s="487">
        <v>0.78052126200274341</v>
      </c>
      <c r="BM106" s="489">
        <f t="shared" ref="BM106" si="1837">AVERAGE(BL103:BL106)</f>
        <v>0.78674259355125298</v>
      </c>
      <c r="BN106" s="487"/>
      <c r="BO106" s="489" t="e">
        <f t="shared" ref="BO106" si="1838">AVERAGE(BN103:BN106)</f>
        <v>#DIV/0!</v>
      </c>
      <c r="BP106" s="487">
        <v>0</v>
      </c>
      <c r="BQ106" s="489">
        <f t="shared" ref="BQ106" si="1839">AVERAGE(BP103:BP106)</f>
        <v>0</v>
      </c>
      <c r="BR106" s="487"/>
      <c r="BS106" s="489" t="e">
        <f t="shared" ref="BS106" si="1840">AVERAGE(BR103:BR106)</f>
        <v>#DIV/0!</v>
      </c>
      <c r="BT106" s="487" t="e">
        <v>#DIV/0!</v>
      </c>
      <c r="BU106" s="490" t="e">
        <f t="shared" si="1272"/>
        <v>#DIV/0!</v>
      </c>
      <c r="BV106" s="74">
        <v>5251.6199843569375</v>
      </c>
      <c r="BW106" s="81">
        <f>AVERAGE(BV100:BV106)</f>
        <v>5141.9195438802835</v>
      </c>
      <c r="BX106" s="74">
        <v>6198.7777777777837</v>
      </c>
      <c r="BY106" s="81">
        <f t="shared" ref="BY106" si="1841">AVERAGE(BX103:BX106)</f>
        <v>6161.8691127713309</v>
      </c>
      <c r="BZ106" s="494">
        <v>6198.7777777777828</v>
      </c>
      <c r="CA106" s="495">
        <f t="shared" si="1229"/>
        <v>6161.8691127713319</v>
      </c>
      <c r="CB106" s="74">
        <v>8284.6312500000004</v>
      </c>
      <c r="CC106" s="81">
        <f t="shared" ref="CC106" si="1842">AVERAGE(CB103:CB106)</f>
        <v>8710.9459840989584</v>
      </c>
      <c r="CD106" s="74">
        <v>5612.2460456942063</v>
      </c>
      <c r="CE106" s="81">
        <f t="shared" si="1231"/>
        <v>5475.888596175826</v>
      </c>
      <c r="CF106" s="74" t="e">
        <v>#DIV/0!</v>
      </c>
      <c r="CG106" s="99" t="e">
        <f t="shared" si="1275"/>
        <v>#DIV/0!</v>
      </c>
      <c r="CH106" s="156">
        <v>3.0250494590917658E-2</v>
      </c>
      <c r="CI106" s="157">
        <f>AVERAGE(CH100:CH106)</f>
        <v>2.4735690401979909E-2</v>
      </c>
      <c r="CJ106" s="156">
        <v>3.8408779149519928E-2</v>
      </c>
      <c r="CK106" s="81">
        <f t="shared" ref="CK106" si="1843">AVERAGE(CJ103:CJ106)</f>
        <v>3.70712989073851E-2</v>
      </c>
      <c r="CL106" s="491">
        <v>3.8408779149519921E-2</v>
      </c>
      <c r="CM106" s="483">
        <f t="shared" si="1233"/>
        <v>3.70712989073851E-2</v>
      </c>
      <c r="CN106" s="156">
        <v>6.8750000000000006E-2</v>
      </c>
      <c r="CO106" s="483">
        <f t="shared" ref="CO106" si="1844">AVERAGE(CN103:CN106)</f>
        <v>8.2948418836835069E-2</v>
      </c>
      <c r="CP106" s="156">
        <v>2.9876977152899855E-2</v>
      </c>
      <c r="CQ106" s="483">
        <f t="shared" si="1235"/>
        <v>2.4781144735756117E-2</v>
      </c>
      <c r="CR106" s="156" t="e">
        <v>#DIV/0!</v>
      </c>
      <c r="CS106" s="158" t="e">
        <f t="shared" si="1278"/>
        <v>#DIV/0!</v>
      </c>
      <c r="CT106" s="105">
        <v>39.473459700925851</v>
      </c>
      <c r="CU106" s="106">
        <f>AVERAGE(CT100:CT106)</f>
        <v>39.918096619369962</v>
      </c>
      <c r="CV106" s="105">
        <v>42.267489711934196</v>
      </c>
      <c r="CW106" s="81">
        <f t="shared" ref="CW106" si="1845">AVERAGE(CV103:CV106)</f>
        <v>42.698780270035336</v>
      </c>
      <c r="CX106" s="492">
        <v>42.267489711934189</v>
      </c>
      <c r="CY106" s="493">
        <f t="shared" si="1237"/>
        <v>42.698780270035343</v>
      </c>
      <c r="CZ106" s="105">
        <v>47.537500000000001</v>
      </c>
      <c r="DA106" s="106">
        <f t="shared" ref="DA106" si="1846">AVERAGE(CZ103:CZ106)</f>
        <v>46.581450438933302</v>
      </c>
      <c r="DB106" s="105">
        <v>40.78558875219688</v>
      </c>
      <c r="DC106" s="106">
        <f t="shared" si="1239"/>
        <v>41.649159704977194</v>
      </c>
      <c r="DD106" s="105" t="e">
        <v>#DIV/0!</v>
      </c>
      <c r="DE106" s="107" t="e">
        <f t="shared" si="1281"/>
        <v>#DIV/0!</v>
      </c>
    </row>
    <row r="107" spans="1:109" x14ac:dyDescent="0.25">
      <c r="A107" s="155">
        <f t="shared" si="1165"/>
        <v>45870</v>
      </c>
      <c r="B107" s="74">
        <v>38.007231857575199</v>
      </c>
      <c r="C107" s="81">
        <f t="shared" ref="C107:O109" si="1847">AVERAGE(B101:B107)</f>
        <v>38.090588679626265</v>
      </c>
      <c r="D107" s="74">
        <v>38.374401913875623</v>
      </c>
      <c r="E107" s="81">
        <f t="shared" si="1202"/>
        <v>38.744082584515198</v>
      </c>
      <c r="F107" s="74">
        <v>38.374401913875623</v>
      </c>
      <c r="G107" s="81">
        <f t="shared" si="1202"/>
        <v>38.744082584515198</v>
      </c>
      <c r="H107" s="74">
        <v>40.799999999999997</v>
      </c>
      <c r="I107" s="81">
        <f t="shared" ref="I107" si="1848">AVERAGE(H104:H107)</f>
        <v>41.293889814374111</v>
      </c>
      <c r="J107" s="74">
        <v>37.800295857988196</v>
      </c>
      <c r="K107" s="81">
        <f t="shared" si="1204"/>
        <v>38.064592665149931</v>
      </c>
      <c r="L107" s="74" t="e">
        <v>#DIV/0!</v>
      </c>
      <c r="M107" s="99" t="e">
        <f t="shared" ref="M107" si="1849">AVERAGE(L104:L107)</f>
        <v>#DIV/0!</v>
      </c>
      <c r="N107" s="156">
        <v>7.5918539903956805E-2</v>
      </c>
      <c r="O107" s="157">
        <f t="shared" si="1847"/>
        <v>6.6505907008577739E-2</v>
      </c>
      <c r="P107" s="156">
        <v>9.3301435406698635E-2</v>
      </c>
      <c r="Q107" s="157">
        <f t="shared" si="1206"/>
        <v>7.7516961362661285E-2</v>
      </c>
      <c r="R107" s="491">
        <v>9.3301435406698607E-2</v>
      </c>
      <c r="S107" s="483">
        <f t="shared" si="1207"/>
        <v>7.7516961362661285E-2</v>
      </c>
      <c r="T107" s="156">
        <v>7.4999999999999997E-2</v>
      </c>
      <c r="U107" s="157">
        <f t="shared" si="1208"/>
        <v>7.7983804480859467E-2</v>
      </c>
      <c r="V107" s="156">
        <v>9.7633136094674625E-2</v>
      </c>
      <c r="W107" s="157">
        <f t="shared" si="1209"/>
        <v>7.7256536993584285E-2</v>
      </c>
      <c r="X107" s="156" t="e">
        <v>#DIV/0!</v>
      </c>
      <c r="Y107" s="158" t="e">
        <f t="shared" si="1210"/>
        <v>#DIV/0!</v>
      </c>
      <c r="Z107" s="156">
        <v>0.11874219443446361</v>
      </c>
      <c r="AA107" s="157">
        <f t="shared" ref="AA107:AA109" si="1850">AVERAGE(Z101:Z107)</f>
        <v>0.10696513072037377</v>
      </c>
      <c r="AB107" s="156">
        <v>0.13635903018930215</v>
      </c>
      <c r="AC107" s="81">
        <f t="shared" ref="AC107" si="1851">AVERAGE(AB104:AB107)</f>
        <v>0.11048418409533978</v>
      </c>
      <c r="AD107" s="491">
        <v>0.13635903018930212</v>
      </c>
      <c r="AE107" s="483">
        <f t="shared" si="1212"/>
        <v>0.11048418409533975</v>
      </c>
      <c r="AF107" s="156">
        <v>0.13141989409695767</v>
      </c>
      <c r="AG107" s="483">
        <f t="shared" ref="AG107" si="1852">AVERAGE(AF104:AF107)</f>
        <v>0.1162349573125587</v>
      </c>
      <c r="AH107" s="156">
        <v>0.13720825336880055</v>
      </c>
      <c r="AI107" s="483">
        <f t="shared" si="1214"/>
        <v>0.10918396576951241</v>
      </c>
      <c r="AJ107" s="156" t="e">
        <v>#DIV/0!</v>
      </c>
      <c r="AK107" s="158" t="e">
        <f t="shared" si="1215"/>
        <v>#DIV/0!</v>
      </c>
      <c r="AL107" s="74">
        <v>7236.5940584700302</v>
      </c>
      <c r="AM107" s="81">
        <f t="shared" ref="AM107:AM109" si="1853">AVERAGE(AL101:AL107)</f>
        <v>7305.4221509230892</v>
      </c>
      <c r="AN107" s="74">
        <v>6748.1267942583781</v>
      </c>
      <c r="AO107" s="81">
        <f t="shared" ref="AO107" si="1854">AVERAGE(AN104:AN107)</f>
        <v>6770.4943844790778</v>
      </c>
      <c r="AP107" s="494">
        <v>6748.1267942583772</v>
      </c>
      <c r="AQ107" s="495">
        <f t="shared" si="1217"/>
        <v>6770.494384479076</v>
      </c>
      <c r="AR107" s="74">
        <v>6944.3749999999991</v>
      </c>
      <c r="AS107" s="81">
        <f t="shared" ref="AS107" si="1855">AVERAGE(AR104:AR107)</f>
        <v>6907.4083516777728</v>
      </c>
      <c r="AT107" s="74">
        <v>6701.6775147929047</v>
      </c>
      <c r="AU107" s="81">
        <f t="shared" si="1219"/>
        <v>6735.0903969793317</v>
      </c>
      <c r="AV107" s="74" t="e">
        <v>#DIV/0!</v>
      </c>
      <c r="AW107" s="99" t="e">
        <f t="shared" si="1264"/>
        <v>#DIV/0!</v>
      </c>
      <c r="AX107" s="105">
        <v>3.3694814792286061</v>
      </c>
      <c r="AY107" s="106">
        <f t="shared" ref="AY107:AY109" si="1856">AVERAGE(AX101:AX107)</f>
        <v>3.4735597476462736</v>
      </c>
      <c r="AZ107" s="105">
        <v>3.5406698564593326</v>
      </c>
      <c r="BA107" s="81">
        <f t="shared" ref="BA107" si="1857">AVERAGE(AZ104:AZ107)</f>
        <v>3.7457985540131875</v>
      </c>
      <c r="BB107" s="492">
        <v>3.5406698564593326</v>
      </c>
      <c r="BC107" s="493">
        <f t="shared" si="1221"/>
        <v>3.7457985540131871</v>
      </c>
      <c r="BD107" s="105">
        <v>4.8687499999999995</v>
      </c>
      <c r="BE107" s="106">
        <f t="shared" ref="BE107" si="1858">AVERAGE(BD104:BD107)</f>
        <v>4.8215929276874956</v>
      </c>
      <c r="BF107" s="105">
        <v>3.2263313609467485</v>
      </c>
      <c r="BG107" s="106">
        <f t="shared" si="1223"/>
        <v>3.4630182652124066</v>
      </c>
      <c r="BH107" s="105" t="e">
        <v>#DIV/0!</v>
      </c>
      <c r="BI107" s="107" t="e">
        <f t="shared" si="1267"/>
        <v>#DIV/0!</v>
      </c>
      <c r="BJ107" s="487">
        <v>0.58924647454826018</v>
      </c>
      <c r="BK107" s="488">
        <f t="shared" ref="BK107:BK109" si="1859">AVERAGE(BJ101:BJ107)</f>
        <v>0.57485221849759616</v>
      </c>
      <c r="BL107" s="487">
        <v>0.80861244019138745</v>
      </c>
      <c r="BM107" s="489">
        <f t="shared" ref="BM107" si="1860">AVERAGE(BL104:BL107)</f>
        <v>0.79056743612189617</v>
      </c>
      <c r="BN107" s="487"/>
      <c r="BO107" s="489" t="e">
        <f t="shared" ref="BO107" si="1861">AVERAGE(BN104:BN107)</f>
        <v>#DIV/0!</v>
      </c>
      <c r="BP107" s="487">
        <v>0</v>
      </c>
      <c r="BQ107" s="489">
        <f t="shared" ref="BQ107" si="1862">AVERAGE(BP104:BP107)</f>
        <v>0</v>
      </c>
      <c r="BR107" s="487"/>
      <c r="BS107" s="489" t="e">
        <f t="shared" ref="BS107" si="1863">AVERAGE(BR104:BR107)</f>
        <v>#DIV/0!</v>
      </c>
      <c r="BT107" s="487" t="e">
        <v>#DIV/0!</v>
      </c>
      <c r="BU107" s="490" t="e">
        <f t="shared" si="1272"/>
        <v>#DIV/0!</v>
      </c>
      <c r="BV107" s="74">
        <v>4689.6440932686046</v>
      </c>
      <c r="BW107" s="81">
        <f t="shared" ref="BW107:CI109" si="1864">AVERAGE(BV101:BV107)</f>
        <v>5129.9498195313417</v>
      </c>
      <c r="BX107" s="74">
        <v>5473.8289473684235</v>
      </c>
      <c r="BY107" s="81">
        <f t="shared" ref="BY107" si="1865">AVERAGE(BX104:BX107)</f>
        <v>6009.5652047299536</v>
      </c>
      <c r="BZ107" s="494">
        <v>5473.8289473684226</v>
      </c>
      <c r="CA107" s="495">
        <f t="shared" si="1229"/>
        <v>6009.5652047299527</v>
      </c>
      <c r="CB107" s="74">
        <v>6824.7874999999985</v>
      </c>
      <c r="CC107" s="81">
        <f t="shared" ref="CC107" si="1866">AVERAGE(CB104:CB107)</f>
        <v>8167.5105061577815</v>
      </c>
      <c r="CD107" s="74">
        <v>5154.0754437869837</v>
      </c>
      <c r="CE107" s="81">
        <f t="shared" si="1231"/>
        <v>5433.5437917330455</v>
      </c>
      <c r="CF107" s="74" t="e">
        <v>#DIV/0!</v>
      </c>
      <c r="CG107" s="99" t="e">
        <f t="shared" si="1275"/>
        <v>#DIV/0!</v>
      </c>
      <c r="CH107" s="156">
        <v>2.0931966618515149E-2</v>
      </c>
      <c r="CI107" s="157">
        <f t="shared" si="1864"/>
        <v>2.4841069391285969E-2</v>
      </c>
      <c r="CJ107" s="156">
        <v>2.8708133971291887E-2</v>
      </c>
      <c r="CK107" s="81">
        <f t="shared" ref="CK107" si="1867">AVERAGE(CJ104:CJ107)</f>
        <v>3.5889669786226312E-2</v>
      </c>
      <c r="CL107" s="491">
        <v>2.8708133971291887E-2</v>
      </c>
      <c r="CM107" s="483">
        <f t="shared" si="1233"/>
        <v>3.5889669786226312E-2</v>
      </c>
      <c r="CN107" s="156">
        <v>3.1249999999999993E-2</v>
      </c>
      <c r="CO107" s="483">
        <f t="shared" ref="CO107" si="1868">AVERAGE(CN104:CN107)</f>
        <v>6.9927585503501727E-2</v>
      </c>
      <c r="CP107" s="156">
        <v>2.8106508875739671E-2</v>
      </c>
      <c r="CQ107" s="483">
        <f t="shared" si="1235"/>
        <v>2.6699215121996273E-2</v>
      </c>
      <c r="CR107" s="156" t="e">
        <v>#DIV/0!</v>
      </c>
      <c r="CS107" s="158" t="e">
        <f t="shared" si="1278"/>
        <v>#DIV/0!</v>
      </c>
      <c r="CT107" s="105">
        <v>38.962374514657377</v>
      </c>
      <c r="CU107" s="106">
        <f t="shared" ref="CU107:CU109" si="1869">AVERAGE(CT101:CT107)</f>
        <v>39.801351178342777</v>
      </c>
      <c r="CV107" s="105">
        <v>41.113636363636388</v>
      </c>
      <c r="CW107" s="81">
        <f t="shared" ref="CW107" si="1870">AVERAGE(CV104:CV107)</f>
        <v>42.418678722646575</v>
      </c>
      <c r="CX107" s="492">
        <v>41.113636363636395</v>
      </c>
      <c r="CY107" s="493">
        <f t="shared" si="1237"/>
        <v>42.418678722646575</v>
      </c>
      <c r="CZ107" s="105">
        <v>43.018749999999997</v>
      </c>
      <c r="DA107" s="106">
        <f t="shared" ref="DA107" si="1871">AVERAGE(CZ104:CZ107)</f>
        <v>45.756481076188209</v>
      </c>
      <c r="DB107" s="105">
        <v>40.66272189349116</v>
      </c>
      <c r="DC107" s="106">
        <f t="shared" si="1239"/>
        <v>41.522375299678217</v>
      </c>
      <c r="DD107" s="105" t="e">
        <v>#DIV/0!</v>
      </c>
      <c r="DE107" s="107" t="e">
        <f t="shared" si="1281"/>
        <v>#DIV/0!</v>
      </c>
    </row>
    <row r="108" spans="1:109" x14ac:dyDescent="0.25">
      <c r="A108" s="155">
        <f t="shared" si="1165"/>
        <v>45877</v>
      </c>
      <c r="B108" s="74">
        <v>37.215172730934711</v>
      </c>
      <c r="C108" s="81">
        <f t="shared" si="1847"/>
        <v>37.912822367828603</v>
      </c>
      <c r="D108" s="74">
        <v>37.580906148867356</v>
      </c>
      <c r="E108" s="81">
        <f t="shared" si="1202"/>
        <v>38.566201323566887</v>
      </c>
      <c r="F108" s="74">
        <v>37.580906148867356</v>
      </c>
      <c r="G108" s="81">
        <f t="shared" si="1202"/>
        <v>38.566201323566887</v>
      </c>
      <c r="H108" s="74">
        <v>40.015037593984964</v>
      </c>
      <c r="I108" s="81">
        <f t="shared" ref="I108" si="1872">AVERAGE(H105:H108)</f>
        <v>40.852623034859874</v>
      </c>
      <c r="J108" s="74">
        <v>36.91340206185572</v>
      </c>
      <c r="K108" s="81">
        <f t="shared" si="1204"/>
        <v>37.964382240819432</v>
      </c>
      <c r="L108" s="74" t="e">
        <v>#DIV/0!</v>
      </c>
      <c r="M108" s="99" t="e">
        <f t="shared" ref="M108" si="1873">AVERAGE(L105:L108)</f>
        <v>#DIV/0!</v>
      </c>
      <c r="N108" s="156">
        <v>8.1408336896056241E-2</v>
      </c>
      <c r="O108" s="157">
        <f t="shared" si="1847"/>
        <v>6.9786634094119629E-2</v>
      </c>
      <c r="P108" s="156">
        <v>9.7087378640776822E-2</v>
      </c>
      <c r="Q108" s="157">
        <f t="shared" si="1206"/>
        <v>8.2293393178818786E-2</v>
      </c>
      <c r="R108" s="491">
        <v>9.7087378640776809E-2</v>
      </c>
      <c r="S108" s="483">
        <f t="shared" si="1207"/>
        <v>8.2293393178818786E-2</v>
      </c>
      <c r="T108" s="156">
        <v>0.14285714285714288</v>
      </c>
      <c r="U108" s="157">
        <f t="shared" si="1208"/>
        <v>9.2755681818181834E-2</v>
      </c>
      <c r="V108" s="156">
        <v>8.453608247422692E-2</v>
      </c>
      <c r="W108" s="157">
        <f t="shared" si="1209"/>
        <v>7.9300983456487562E-2</v>
      </c>
      <c r="X108" s="156" t="e">
        <v>#DIV/0!</v>
      </c>
      <c r="Y108" s="158" t="e">
        <f t="shared" si="1210"/>
        <v>#DIV/0!</v>
      </c>
      <c r="Z108" s="156">
        <v>0.13594275733482497</v>
      </c>
      <c r="AA108" s="157">
        <f t="shared" si="1850"/>
        <v>0.11366882069416119</v>
      </c>
      <c r="AB108" s="156">
        <v>0.13944009298935828</v>
      </c>
      <c r="AC108" s="81">
        <f t="shared" ref="AC108" si="1874">AVERAGE(AB105:AB108)</f>
        <v>0.12132552177474953</v>
      </c>
      <c r="AD108" s="491">
        <v>0.13944009298935831</v>
      </c>
      <c r="AE108" s="483">
        <f t="shared" si="1212"/>
        <v>0.12132552177474953</v>
      </c>
      <c r="AF108" s="156">
        <v>0.23399375414333978</v>
      </c>
      <c r="AG108" s="483">
        <f t="shared" ref="AG108" si="1875">AVERAGE(AF105:AF108)</f>
        <v>0.15078599493271244</v>
      </c>
      <c r="AH108" s="156">
        <v>0.11948322261831663</v>
      </c>
      <c r="AI108" s="483">
        <f t="shared" si="1214"/>
        <v>0.11502011739149197</v>
      </c>
      <c r="AJ108" s="156" t="e">
        <v>#DIV/0!</v>
      </c>
      <c r="AK108" s="158" t="e">
        <f t="shared" si="1215"/>
        <v>#DIV/0!</v>
      </c>
      <c r="AL108" s="74">
        <v>7339.0127229938444</v>
      </c>
      <c r="AM108" s="81">
        <f t="shared" si="1853"/>
        <v>7271.5896149487207</v>
      </c>
      <c r="AN108" s="74">
        <v>6782.1585760517864</v>
      </c>
      <c r="AO108" s="81">
        <f t="shared" ref="AO108" si="1876">AVERAGE(AN105:AN108)</f>
        <v>6784.8817922534909</v>
      </c>
      <c r="AP108" s="494">
        <v>6782.1585760517883</v>
      </c>
      <c r="AQ108" s="495">
        <f t="shared" si="1217"/>
        <v>6784.8817922534909</v>
      </c>
      <c r="AR108" s="74">
        <v>7001.4661654135343</v>
      </c>
      <c r="AS108" s="81">
        <f t="shared" ref="AS108" si="1877">AVERAGE(AR105:AR108)</f>
        <v>6945.2395527170202</v>
      </c>
      <c r="AT108" s="74">
        <v>6722.0185567010403</v>
      </c>
      <c r="AU108" s="81">
        <f t="shared" si="1219"/>
        <v>6743.2448158902744</v>
      </c>
      <c r="AV108" s="74" t="e">
        <v>#DIV/0!</v>
      </c>
      <c r="AW108" s="99" t="e">
        <f t="shared" si="1264"/>
        <v>#DIV/0!</v>
      </c>
      <c r="AX108" s="105">
        <v>3.3401277677474068</v>
      </c>
      <c r="AY108" s="106">
        <f t="shared" si="1856"/>
        <v>3.3934384682362366</v>
      </c>
      <c r="AZ108" s="105">
        <v>3.4951456310679654</v>
      </c>
      <c r="BA108" s="81">
        <f t="shared" ref="BA108" si="1878">AVERAGE(AZ105:AZ108)</f>
        <v>3.6327730351746736</v>
      </c>
      <c r="BB108" s="492">
        <v>3.4951456310679654</v>
      </c>
      <c r="BC108" s="493">
        <f t="shared" si="1221"/>
        <v>3.6327730351746732</v>
      </c>
      <c r="BD108" s="105">
        <v>4.7669172932330834</v>
      </c>
      <c r="BE108" s="106">
        <f t="shared" ref="BE108" si="1879">AVERAGE(BD105:BD108)</f>
        <v>4.7135840311004795</v>
      </c>
      <c r="BF108" s="105">
        <v>3.146391752577324</v>
      </c>
      <c r="BG108" s="106">
        <f t="shared" si="1223"/>
        <v>3.3505706820645198</v>
      </c>
      <c r="BH108" s="105" t="e">
        <v>#DIV/0!</v>
      </c>
      <c r="BI108" s="107" t="e">
        <f t="shared" si="1267"/>
        <v>#DIV/0!</v>
      </c>
      <c r="BJ108" s="487">
        <v>0.54743433439555622</v>
      </c>
      <c r="BK108" s="488">
        <f t="shared" si="1859"/>
        <v>0.57279253778294659</v>
      </c>
      <c r="BL108" s="487">
        <v>0.78478964401294482</v>
      </c>
      <c r="BM108" s="489">
        <f t="shared" ref="BM108" si="1880">AVERAGE(BL105:BL108)</f>
        <v>0.79152402143705902</v>
      </c>
      <c r="BN108" s="487"/>
      <c r="BO108" s="489" t="e">
        <f t="shared" ref="BO108" si="1881">AVERAGE(BN105:BN108)</f>
        <v>#DIV/0!</v>
      </c>
      <c r="BP108" s="487">
        <v>0</v>
      </c>
      <c r="BQ108" s="489">
        <f t="shared" ref="BQ108" si="1882">AVERAGE(BP105:BP108)</f>
        <v>0</v>
      </c>
      <c r="BR108" s="487"/>
      <c r="BS108" s="489" t="e">
        <f t="shared" ref="BS108" si="1883">AVERAGE(BR105:BR108)</f>
        <v>#DIV/0!</v>
      </c>
      <c r="BT108" s="487" t="e">
        <v>#DIV/0!</v>
      </c>
      <c r="BU108" s="490" t="e">
        <f t="shared" si="1272"/>
        <v>#DIV/0!</v>
      </c>
      <c r="BV108" s="74">
        <v>5047.0351338746868</v>
      </c>
      <c r="BW108" s="81">
        <f t="shared" si="1864"/>
        <v>5107.927825815791</v>
      </c>
      <c r="BX108" s="74">
        <v>6057.6682847896518</v>
      </c>
      <c r="BY108" s="81">
        <f t="shared" ref="BY108" si="1884">AVERAGE(BX105:BX108)</f>
        <v>6004.3366337255311</v>
      </c>
      <c r="BZ108" s="494">
        <v>6057.6682847896518</v>
      </c>
      <c r="CA108" s="495">
        <f t="shared" si="1229"/>
        <v>6004.3366337255311</v>
      </c>
      <c r="CB108" s="74">
        <v>7566.1654135338349</v>
      </c>
      <c r="CC108" s="81">
        <f t="shared" ref="CC108" si="1885">AVERAGE(CB105:CB108)</f>
        <v>8057.9301317925501</v>
      </c>
      <c r="CD108" s="74">
        <v>5643.9979381443381</v>
      </c>
      <c r="CE108" s="81">
        <f t="shared" si="1231"/>
        <v>5459.9371822896883</v>
      </c>
      <c r="CF108" s="74" t="e">
        <v>#DIV/0!</v>
      </c>
      <c r="CG108" s="99" t="e">
        <f t="shared" si="1275"/>
        <v>#DIV/0!</v>
      </c>
      <c r="CH108" s="156">
        <v>2.7092634981355456E-2</v>
      </c>
      <c r="CI108" s="157">
        <f t="shared" si="1864"/>
        <v>2.5634209307482687E-2</v>
      </c>
      <c r="CJ108" s="156">
        <v>3.7216828478964445E-2</v>
      </c>
      <c r="CK108" s="81">
        <f t="shared" ref="CK108" si="1886">AVERAGE(CJ105:CJ108)</f>
        <v>3.6879656722481183E-2</v>
      </c>
      <c r="CL108" s="491">
        <v>3.7216828478964445E-2</v>
      </c>
      <c r="CM108" s="483">
        <f t="shared" si="1233"/>
        <v>3.6879656722481183E-2</v>
      </c>
      <c r="CN108" s="156">
        <v>3.7593984962406013E-2</v>
      </c>
      <c r="CO108" s="483">
        <f t="shared" ref="CO108" si="1887">AVERAGE(CN105:CN108)</f>
        <v>6.3619275461380714E-2</v>
      </c>
      <c r="CP108" s="156">
        <v>3.7113402061855726E-2</v>
      </c>
      <c r="CQ108" s="483">
        <f t="shared" si="1235"/>
        <v>2.9736743317342731E-2</v>
      </c>
      <c r="CR108" s="156" t="e">
        <v>#DIV/0!</v>
      </c>
      <c r="CS108" s="158" t="e">
        <f t="shared" si="1278"/>
        <v>#DIV/0!</v>
      </c>
      <c r="CT108" s="105">
        <v>40.252729509903276</v>
      </c>
      <c r="CU108" s="106">
        <f t="shared" si="1869"/>
        <v>39.805253930388254</v>
      </c>
      <c r="CV108" s="105">
        <v>43.59870550161817</v>
      </c>
      <c r="CW108" s="81">
        <f t="shared" ref="CW108" si="1888">AVERAGE(CV105:CV108)</f>
        <v>42.817495006307993</v>
      </c>
      <c r="CX108" s="492">
        <v>43.59870550161817</v>
      </c>
      <c r="CY108" s="493">
        <f t="shared" si="1237"/>
        <v>42.817495006307993</v>
      </c>
      <c r="CZ108" s="105">
        <v>47.541353383458656</v>
      </c>
      <c r="DA108" s="106">
        <f t="shared" ref="DA108" si="1889">AVERAGE(CZ105:CZ108)</f>
        <v>46.698102144565965</v>
      </c>
      <c r="DB108" s="105">
        <v>42.517525773195928</v>
      </c>
      <c r="DC108" s="106">
        <f t="shared" si="1239"/>
        <v>41.775104760598346</v>
      </c>
      <c r="DD108" s="105" t="e">
        <v>#DIV/0!</v>
      </c>
      <c r="DE108" s="107" t="e">
        <f t="shared" si="1281"/>
        <v>#DIV/0!</v>
      </c>
    </row>
    <row r="109" spans="1:109" x14ac:dyDescent="0.25">
      <c r="A109" s="155">
        <f t="shared" si="1165"/>
        <v>45884</v>
      </c>
      <c r="B109" s="74">
        <v>37.83428738805241</v>
      </c>
      <c r="C109" s="81">
        <f t="shared" si="1847"/>
        <v>37.887812487846212</v>
      </c>
      <c r="D109" s="74">
        <v>38.142664872139989</v>
      </c>
      <c r="E109" s="81">
        <f t="shared" si="1202"/>
        <v>38.239856745380564</v>
      </c>
      <c r="F109" s="74">
        <v>38.142664872139996</v>
      </c>
      <c r="G109" s="81">
        <f t="shared" si="1202"/>
        <v>38.239856745380564</v>
      </c>
      <c r="H109" s="74">
        <v>40.487804878048777</v>
      </c>
      <c r="I109" s="81">
        <f t="shared" ref="I109" si="1890">AVERAGE(H106:H109)</f>
        <v>40.588210618008432</v>
      </c>
      <c r="J109" s="74">
        <v>37.478411053540626</v>
      </c>
      <c r="K109" s="81">
        <f t="shared" si="1204"/>
        <v>37.609538666896235</v>
      </c>
      <c r="L109" s="74" t="e">
        <v>#DIV/0!</v>
      </c>
      <c r="M109" s="99" t="e">
        <f t="shared" ref="M109" si="1891">AVERAGE(L106:L109)</f>
        <v>#DIV/0!</v>
      </c>
      <c r="N109" s="156">
        <v>7.0003402320841623E-2</v>
      </c>
      <c r="O109" s="157">
        <f t="shared" si="1847"/>
        <v>6.9857760827119766E-2</v>
      </c>
      <c r="P109" s="156">
        <v>8.0753701211305567E-2</v>
      </c>
      <c r="Q109" s="157">
        <f t="shared" si="1206"/>
        <v>8.5275340748851652E-2</v>
      </c>
      <c r="R109" s="491">
        <v>8.0753701211305581E-2</v>
      </c>
      <c r="S109" s="483">
        <f t="shared" si="1207"/>
        <v>8.5275340748851652E-2</v>
      </c>
      <c r="T109" s="156">
        <v>0.1097560975609756</v>
      </c>
      <c r="U109" s="157">
        <f t="shared" si="1208"/>
        <v>9.9090810104529622E-2</v>
      </c>
      <c r="V109" s="156">
        <v>7.253886010362702E-2</v>
      </c>
      <c r="W109" s="157">
        <f t="shared" si="1209"/>
        <v>8.125171211101441E-2</v>
      </c>
      <c r="X109" s="156" t="e">
        <v>#DIV/0!</v>
      </c>
      <c r="Y109" s="158" t="e">
        <f t="shared" si="1210"/>
        <v>#DIV/0!</v>
      </c>
      <c r="Z109" s="156">
        <v>0.11226118386618379</v>
      </c>
      <c r="AA109" s="157">
        <f t="shared" si="1850"/>
        <v>0.11312020463615509</v>
      </c>
      <c r="AB109" s="156">
        <v>0.11664202111756633</v>
      </c>
      <c r="AC109" s="81">
        <f t="shared" ref="AC109" si="1892">AVERAGE(AB106:AB109)</f>
        <v>0.12560046547077158</v>
      </c>
      <c r="AD109" s="491">
        <v>0.11664202111756637</v>
      </c>
      <c r="AE109" s="483">
        <f t="shared" si="1212"/>
        <v>0.12560046547077158</v>
      </c>
      <c r="AF109" s="156">
        <v>0.17873841968749579</v>
      </c>
      <c r="AG109" s="483">
        <f t="shared" ref="AG109" si="1893">AVERAGE(AF106:AF109)</f>
        <v>0.16007547149369045</v>
      </c>
      <c r="AH109" s="156">
        <v>0.1034645102671904</v>
      </c>
      <c r="AI109" s="483">
        <f t="shared" si="1214"/>
        <v>0.11839834368490461</v>
      </c>
      <c r="AJ109" s="156" t="e">
        <v>#DIV/0!</v>
      </c>
      <c r="AK109" s="158" t="e">
        <f t="shared" si="1215"/>
        <v>#DIV/0!</v>
      </c>
      <c r="AL109" s="74">
        <v>7376.3554857520758</v>
      </c>
      <c r="AM109" s="81">
        <f t="shared" si="1853"/>
        <v>7275.6248322850524</v>
      </c>
      <c r="AN109" s="74">
        <v>6988.3310901749701</v>
      </c>
      <c r="AO109" s="81">
        <f t="shared" ref="AO109" si="1894">AVERAGE(AN106:AN109)</f>
        <v>6817.7827159443314</v>
      </c>
      <c r="AP109" s="494">
        <v>6988.3310901749728</v>
      </c>
      <c r="AQ109" s="495">
        <f t="shared" si="1217"/>
        <v>6817.7827159443314</v>
      </c>
      <c r="AR109" s="74">
        <v>7112.2865853658523</v>
      </c>
      <c r="AS109" s="81">
        <f t="shared" ref="AS109" si="1895">AVERAGE(AR106:AR109)</f>
        <v>6961.9475626948461</v>
      </c>
      <c r="AT109" s="74">
        <v>6953.2210708117527</v>
      </c>
      <c r="AU109" s="81">
        <f t="shared" si="1219"/>
        <v>6779.7464209015579</v>
      </c>
      <c r="AV109" s="74" t="e">
        <v>#DIV/0!</v>
      </c>
      <c r="AW109" s="99" t="e">
        <f t="shared" si="1264"/>
        <v>#DIV/0!</v>
      </c>
      <c r="AX109" s="105">
        <v>3.404343938936107</v>
      </c>
      <c r="AY109" s="106">
        <f t="shared" si="1856"/>
        <v>3.389575356583026</v>
      </c>
      <c r="AZ109" s="105">
        <v>3.5679676985195172</v>
      </c>
      <c r="BA109" s="81">
        <f t="shared" ref="BA109" si="1896">AVERAGE(AZ106:AZ109)</f>
        <v>3.5676124631783712</v>
      </c>
      <c r="BB109" s="492">
        <v>3.5679676985195181</v>
      </c>
      <c r="BC109" s="493">
        <f t="shared" si="1221"/>
        <v>3.5676124631783717</v>
      </c>
      <c r="BD109" s="105">
        <v>4.1768292682926829</v>
      </c>
      <c r="BE109" s="106">
        <f t="shared" ref="BE109" si="1897">AVERAGE(BD106:BD109)</f>
        <v>4.5499991403814413</v>
      </c>
      <c r="BF109" s="105">
        <v>3.3955094991364461</v>
      </c>
      <c r="BG109" s="106">
        <f t="shared" si="1223"/>
        <v>3.3080511232881538</v>
      </c>
      <c r="BH109" s="105" t="e">
        <v>#DIV/0!</v>
      </c>
      <c r="BI109" s="107" t="e">
        <f t="shared" si="1267"/>
        <v>#DIV/0!</v>
      </c>
      <c r="BJ109" s="487">
        <v>0.58665148390873434</v>
      </c>
      <c r="BK109" s="488">
        <f t="shared" si="1859"/>
        <v>0.57273504797996799</v>
      </c>
      <c r="BL109" s="487">
        <v>0.77927321668909788</v>
      </c>
      <c r="BM109" s="489">
        <f t="shared" ref="BM109" si="1898">AVERAGE(BL106:BL109)</f>
        <v>0.78829914072404339</v>
      </c>
      <c r="BN109" s="487"/>
      <c r="BO109" s="489" t="e">
        <f t="shared" ref="BO109" si="1899">AVERAGE(BN106:BN109)</f>
        <v>#DIV/0!</v>
      </c>
      <c r="BP109" s="487">
        <v>0</v>
      </c>
      <c r="BQ109" s="489">
        <f t="shared" ref="BQ109" si="1900">AVERAGE(BP106:BP109)</f>
        <v>0</v>
      </c>
      <c r="BR109" s="487"/>
      <c r="BS109" s="489" t="e">
        <f t="shared" ref="BS109" si="1901">AVERAGE(BR106:BR109)</f>
        <v>#DIV/0!</v>
      </c>
      <c r="BT109" s="487" t="e">
        <v>#DIV/0!</v>
      </c>
      <c r="BU109" s="490" t="e">
        <f t="shared" si="1272"/>
        <v>#DIV/0!</v>
      </c>
      <c r="BV109" s="74">
        <v>4934.9155909888586</v>
      </c>
      <c r="BW109" s="81">
        <f t="shared" si="1864"/>
        <v>5056.4667499614688</v>
      </c>
      <c r="BX109" s="74">
        <v>5622.694481830421</v>
      </c>
      <c r="BY109" s="81">
        <f t="shared" ref="BY109" si="1902">AVERAGE(BX106:BX109)</f>
        <v>5838.2423729415705</v>
      </c>
      <c r="BZ109" s="494">
        <v>5622.6944818304219</v>
      </c>
      <c r="CA109" s="495">
        <f t="shared" si="1229"/>
        <v>5838.2423729415696</v>
      </c>
      <c r="CB109" s="74">
        <v>6915.2317073170743</v>
      </c>
      <c r="CC109" s="81">
        <f t="shared" ref="CC109" si="1903">AVERAGE(CB106:CB109)</f>
        <v>7397.7039677127268</v>
      </c>
      <c r="CD109" s="74">
        <v>5256.5872193437017</v>
      </c>
      <c r="CE109" s="81">
        <f t="shared" si="1231"/>
        <v>5416.7266617423074</v>
      </c>
      <c r="CF109" s="74" t="e">
        <v>#DIV/0!</v>
      </c>
      <c r="CG109" s="99" t="e">
        <f t="shared" si="1275"/>
        <v>#DIV/0!</v>
      </c>
      <c r="CH109" s="156">
        <v>2.3317862745150245E-2</v>
      </c>
      <c r="CI109" s="157">
        <f t="shared" si="1864"/>
        <v>2.6116157627863835E-2</v>
      </c>
      <c r="CJ109" s="156">
        <v>3.0955585464333798E-2</v>
      </c>
      <c r="CK109" s="81">
        <f t="shared" ref="CK109" si="1904">AVERAGE(CJ106:CJ109)</f>
        <v>3.3822331766027516E-2</v>
      </c>
      <c r="CL109" s="491">
        <v>3.0955585464333805E-2</v>
      </c>
      <c r="CM109" s="483">
        <f t="shared" si="1233"/>
        <v>3.3822331766027516E-2</v>
      </c>
      <c r="CN109" s="156">
        <v>4.2682926829268289E-2</v>
      </c>
      <c r="CO109" s="483">
        <f t="shared" ref="CO109" si="1905">AVERAGE(CN106:CN109)</f>
        <v>4.506922794791858E-2</v>
      </c>
      <c r="CP109" s="156">
        <v>2.7633851468048386E-2</v>
      </c>
      <c r="CQ109" s="483">
        <f t="shared" si="1235"/>
        <v>3.0682684889635908E-2</v>
      </c>
      <c r="CR109" s="156" t="e">
        <v>#DIV/0!</v>
      </c>
      <c r="CS109" s="158" t="e">
        <f t="shared" si="1278"/>
        <v>#DIV/0!</v>
      </c>
      <c r="CT109" s="105">
        <v>40.463048474761862</v>
      </c>
      <c r="CU109" s="106">
        <f t="shared" si="1869"/>
        <v>39.963875241207894</v>
      </c>
      <c r="CV109" s="105">
        <v>43.745625841184413</v>
      </c>
      <c r="CW109" s="81">
        <f t="shared" ref="CW109" si="1906">AVERAGE(CV106:CV109)</f>
        <v>42.681364354593292</v>
      </c>
      <c r="CX109" s="492">
        <v>43.745625841184427</v>
      </c>
      <c r="CY109" s="493">
        <f t="shared" si="1237"/>
        <v>42.681364354593299</v>
      </c>
      <c r="CZ109" s="105">
        <v>49.865853658536572</v>
      </c>
      <c r="DA109" s="106">
        <f t="shared" ref="DA109" si="1907">AVERAGE(CZ106:CZ109)</f>
        <v>46.990864260498803</v>
      </c>
      <c r="DB109" s="105">
        <v>42.012089810017322</v>
      </c>
      <c r="DC109" s="106">
        <f t="shared" si="1239"/>
        <v>41.494481557225321</v>
      </c>
      <c r="DD109" s="105" t="e">
        <v>#DIV/0!</v>
      </c>
      <c r="DE109" s="107" t="e">
        <f t="shared" si="1281"/>
        <v>#DIV/0!</v>
      </c>
    </row>
  </sheetData>
  <phoneticPr fontId="13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CB7A6-7356-4326-888B-C461F413D87C}">
  <sheetPr codeName="Sheet37"/>
  <dimension ref="A1:AP135"/>
  <sheetViews>
    <sheetView topLeftCell="A73" zoomScale="70" zoomScaleNormal="70" workbookViewId="0">
      <selection activeCell="G95" sqref="G95"/>
    </sheetView>
  </sheetViews>
  <sheetFormatPr defaultRowHeight="15" x14ac:dyDescent="0.25"/>
  <cols>
    <col min="1" max="1" width="15" customWidth="1"/>
    <col min="2" max="2" width="20.28515625" customWidth="1"/>
    <col min="3" max="3" width="24.28515625" bestFit="1" customWidth="1"/>
    <col min="4" max="4" width="21.85546875" bestFit="1" customWidth="1"/>
    <col min="5" max="5" width="20.85546875" bestFit="1" customWidth="1"/>
    <col min="6" max="6" width="21.85546875" bestFit="1" customWidth="1"/>
    <col min="7" max="7" width="32.85546875" bestFit="1" customWidth="1"/>
    <col min="8" max="8" width="30.42578125" bestFit="1" customWidth="1"/>
    <col min="9" max="9" width="29.42578125" bestFit="1" customWidth="1"/>
    <col min="10" max="10" width="30.42578125" bestFit="1" customWidth="1"/>
    <col min="11" max="11" width="42.42578125" bestFit="1" customWidth="1"/>
    <col min="12" max="12" width="40" bestFit="1" customWidth="1"/>
    <col min="13" max="13" width="39.140625" bestFit="1" customWidth="1"/>
    <col min="14" max="14" width="40" bestFit="1" customWidth="1"/>
    <col min="15" max="15" width="33.7109375" bestFit="1" customWidth="1"/>
    <col min="16" max="16" width="31.28515625" bestFit="1" customWidth="1"/>
    <col min="17" max="17" width="30.42578125" bestFit="1" customWidth="1"/>
    <col min="18" max="18" width="31.28515625" bestFit="1" customWidth="1"/>
  </cols>
  <sheetData>
    <row r="1" spans="2:42" x14ac:dyDescent="0.25">
      <c r="C1" t="str">
        <f t="shared" ref="C1:R1" si="0">C4&amp;"_"&amp;C5</f>
        <v>PC Annual Direct_W VYRs</v>
      </c>
      <c r="D1" t="str">
        <f t="shared" si="0"/>
        <v>PC Annual Direct_NWP</v>
      </c>
      <c r="E1" t="str">
        <f t="shared" si="0"/>
        <v>PC Annual Direct_NLR</v>
      </c>
      <c r="F1" t="str">
        <f t="shared" si="0"/>
        <v>PC Annual Direct_GWP</v>
      </c>
      <c r="G1" t="str">
        <f t="shared" si="0"/>
        <v>PC Annual Direct - Annual_W VYRs</v>
      </c>
      <c r="H1" t="str">
        <f t="shared" si="0"/>
        <v>PC Annual Direct - Annual_NWP</v>
      </c>
      <c r="I1" t="str">
        <f t="shared" si="0"/>
        <v>PC Annual Direct - Annual_NLR</v>
      </c>
      <c r="J1" t="str">
        <f t="shared" si="0"/>
        <v>PC Annual Direct - Annual_GWP</v>
      </c>
      <c r="K1" t="str">
        <f t="shared" si="0"/>
        <v>PC Annual Direct - Premium Finance_W VYRs</v>
      </c>
      <c r="L1" t="str">
        <f t="shared" si="0"/>
        <v>PC Annual Direct - Premium Finance_NWP</v>
      </c>
      <c r="M1" t="str">
        <f t="shared" si="0"/>
        <v>PC Annual Direct - Premium Finance_NLR</v>
      </c>
      <c r="N1" t="str">
        <f t="shared" si="0"/>
        <v>PC Annual Direct - Premium Finance_GWP</v>
      </c>
      <c r="O1" t="str">
        <f t="shared" si="0"/>
        <v>PC Annual Direct - Subscription_W VYRs</v>
      </c>
      <c r="P1" t="str">
        <f t="shared" si="0"/>
        <v>PC Annual Direct - Subscription_NWP</v>
      </c>
      <c r="Q1" t="str">
        <f t="shared" si="0"/>
        <v>PC Annual Direct - Subscription_NLR</v>
      </c>
      <c r="R1" t="str">
        <f t="shared" si="0"/>
        <v>PC Annual Direct - Subscription_GWP</v>
      </c>
    </row>
    <row r="2" spans="2:42" x14ac:dyDescent="0.25">
      <c r="B2" t="s">
        <v>283</v>
      </c>
      <c r="G2" t="s">
        <v>298</v>
      </c>
      <c r="H2" t="s">
        <v>297</v>
      </c>
      <c r="I2" t="s">
        <v>284</v>
      </c>
      <c r="J2" t="s">
        <v>297</v>
      </c>
      <c r="K2" t="s">
        <v>481</v>
      </c>
      <c r="L2" t="s">
        <v>480</v>
      </c>
      <c r="M2" t="s">
        <v>284</v>
      </c>
      <c r="N2" t="s">
        <v>297</v>
      </c>
      <c r="O2" t="s">
        <v>296</v>
      </c>
      <c r="P2" t="s">
        <v>295</v>
      </c>
      <c r="Q2" t="s">
        <v>284</v>
      </c>
      <c r="R2" t="s">
        <v>295</v>
      </c>
    </row>
    <row r="3" spans="2:42" x14ac:dyDescent="0.25">
      <c r="C3" s="101" t="s">
        <v>285</v>
      </c>
      <c r="D3" s="101" t="s">
        <v>285</v>
      </c>
      <c r="E3" s="101" t="s">
        <v>285</v>
      </c>
      <c r="F3" s="101" t="s">
        <v>285</v>
      </c>
      <c r="G3" s="101" t="s">
        <v>285</v>
      </c>
      <c r="H3" s="101" t="s">
        <v>285</v>
      </c>
      <c r="I3" s="101" t="s">
        <v>285</v>
      </c>
      <c r="J3" s="101" t="s">
        <v>285</v>
      </c>
      <c r="K3" s="101" t="s">
        <v>285</v>
      </c>
      <c r="L3" s="101" t="s">
        <v>285</v>
      </c>
      <c r="M3" s="101" t="s">
        <v>285</v>
      </c>
      <c r="N3" s="101" t="s">
        <v>285</v>
      </c>
      <c r="O3" s="101" t="s">
        <v>285</v>
      </c>
      <c r="P3" s="101" t="s">
        <v>285</v>
      </c>
      <c r="Q3" s="101" t="s">
        <v>285</v>
      </c>
      <c r="R3" s="101" t="s">
        <v>285</v>
      </c>
      <c r="S3" s="101"/>
      <c r="T3" s="101"/>
      <c r="U3" s="101"/>
      <c r="V3" s="101"/>
      <c r="W3" s="101"/>
      <c r="X3" s="101"/>
      <c r="Y3" s="101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</row>
    <row r="4" spans="2:42" s="146" customFormat="1" x14ac:dyDescent="0.25">
      <c r="C4" s="171" t="s">
        <v>1</v>
      </c>
      <c r="D4" s="171" t="s">
        <v>1</v>
      </c>
      <c r="E4" s="171" t="s">
        <v>1</v>
      </c>
      <c r="F4" s="171" t="s">
        <v>1</v>
      </c>
      <c r="G4" s="58" t="s">
        <v>183</v>
      </c>
      <c r="H4" s="58" t="s">
        <v>183</v>
      </c>
      <c r="I4" s="58" t="s">
        <v>183</v>
      </c>
      <c r="J4" s="172" t="s">
        <v>183</v>
      </c>
      <c r="K4" s="58" t="s">
        <v>294</v>
      </c>
      <c r="L4" s="58" t="s">
        <v>294</v>
      </c>
      <c r="M4" s="58" t="s">
        <v>294</v>
      </c>
      <c r="N4" s="172" t="s">
        <v>294</v>
      </c>
      <c r="O4" s="58" t="s">
        <v>204</v>
      </c>
      <c r="P4" s="58" t="s">
        <v>204</v>
      </c>
      <c r="Q4" s="58" t="s">
        <v>204</v>
      </c>
      <c r="R4" s="172" t="s">
        <v>204</v>
      </c>
      <c r="S4" s="159"/>
      <c r="T4" s="159"/>
      <c r="U4" s="159"/>
      <c r="V4" s="160"/>
      <c r="W4" s="159"/>
      <c r="X4" s="159"/>
      <c r="Y4" s="159"/>
      <c r="Z4" s="160"/>
      <c r="AA4" s="161"/>
      <c r="AB4" s="161"/>
      <c r="AC4" s="161"/>
      <c r="AD4" s="161"/>
      <c r="AE4" s="162"/>
      <c r="AF4" s="162"/>
      <c r="AG4" s="162"/>
      <c r="AH4" s="163"/>
      <c r="AI4" s="162"/>
      <c r="AJ4" s="162"/>
      <c r="AK4" s="162"/>
      <c r="AL4" s="163"/>
      <c r="AM4" s="164"/>
      <c r="AN4" s="164"/>
      <c r="AO4" s="164"/>
      <c r="AP4" s="165"/>
    </row>
    <row r="5" spans="2:42" s="146" customFormat="1" ht="37.5" customHeight="1" x14ac:dyDescent="0.25">
      <c r="B5" s="166" t="s">
        <v>340</v>
      </c>
      <c r="C5" s="166" t="s">
        <v>286</v>
      </c>
      <c r="D5" s="166" t="s">
        <v>287</v>
      </c>
      <c r="E5" s="166" t="s">
        <v>288</v>
      </c>
      <c r="F5" s="166" t="s">
        <v>289</v>
      </c>
      <c r="G5" s="166" t="s">
        <v>286</v>
      </c>
      <c r="H5" s="166" t="s">
        <v>287</v>
      </c>
      <c r="I5" s="166" t="s">
        <v>288</v>
      </c>
      <c r="J5" s="166" t="s">
        <v>289</v>
      </c>
      <c r="K5" s="166" t="s">
        <v>286</v>
      </c>
      <c r="L5" s="166" t="s">
        <v>287</v>
      </c>
      <c r="M5" s="166" t="s">
        <v>288</v>
      </c>
      <c r="N5" s="166" t="s">
        <v>289</v>
      </c>
      <c r="O5" s="166" t="s">
        <v>286</v>
      </c>
      <c r="P5" s="166" t="s">
        <v>287</v>
      </c>
      <c r="Q5" s="166" t="s">
        <v>288</v>
      </c>
      <c r="R5" s="166" t="s">
        <v>289</v>
      </c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</row>
    <row r="6" spans="2:42" ht="15" customHeight="1" x14ac:dyDescent="0.25">
      <c r="B6" s="167">
        <f t="shared" ref="B6:B33" si="1">EDATE(B7,-1)</f>
        <v>44896</v>
      </c>
      <c r="C6" s="168" t="s">
        <v>491</v>
      </c>
      <c r="D6" s="129" t="s">
        <v>491</v>
      </c>
      <c r="E6" s="56" t="s">
        <v>491</v>
      </c>
      <c r="F6" s="101" t="s">
        <v>491</v>
      </c>
      <c r="G6" s="168" t="s">
        <v>491</v>
      </c>
      <c r="H6" s="129" t="s">
        <v>491</v>
      </c>
      <c r="I6" s="56" t="s">
        <v>491</v>
      </c>
      <c r="J6" s="101" t="s">
        <v>491</v>
      </c>
      <c r="K6" s="168" t="s">
        <v>491</v>
      </c>
      <c r="L6" s="129" t="s">
        <v>491</v>
      </c>
      <c r="M6" s="56" t="s">
        <v>491</v>
      </c>
      <c r="N6" s="101" t="s">
        <v>491</v>
      </c>
      <c r="O6" s="168" t="s">
        <v>491</v>
      </c>
      <c r="P6" s="129" t="s">
        <v>491</v>
      </c>
      <c r="Q6" s="56" t="s">
        <v>491</v>
      </c>
      <c r="R6" s="101" t="s">
        <v>491</v>
      </c>
      <c r="S6" s="168"/>
      <c r="T6" s="129"/>
      <c r="U6" s="56"/>
      <c r="V6" s="101"/>
      <c r="W6" s="168"/>
      <c r="X6" s="129"/>
      <c r="Y6" s="56"/>
      <c r="Z6" s="101"/>
      <c r="AA6" s="168"/>
      <c r="AB6" s="129"/>
      <c r="AC6" s="56"/>
      <c r="AD6" s="101"/>
      <c r="AE6" s="168"/>
      <c r="AF6" s="129"/>
      <c r="AG6" s="56"/>
      <c r="AH6" s="101"/>
      <c r="AI6" s="168"/>
      <c r="AJ6" s="129"/>
      <c r="AK6" s="56"/>
      <c r="AL6" s="101"/>
      <c r="AM6" s="168"/>
      <c r="AN6" s="129"/>
      <c r="AO6" s="56"/>
      <c r="AP6" s="101"/>
    </row>
    <row r="7" spans="2:42" ht="15" customHeight="1" x14ac:dyDescent="0.25">
      <c r="B7" s="167">
        <f t="shared" si="1"/>
        <v>44927</v>
      </c>
      <c r="C7" s="168" t="s">
        <v>491</v>
      </c>
      <c r="D7" s="129" t="s">
        <v>491</v>
      </c>
      <c r="E7" s="56" t="s">
        <v>491</v>
      </c>
      <c r="F7" s="101" t="s">
        <v>491</v>
      </c>
      <c r="G7" s="168" t="s">
        <v>491</v>
      </c>
      <c r="H7" s="129" t="s">
        <v>491</v>
      </c>
      <c r="I7" s="56" t="s">
        <v>491</v>
      </c>
      <c r="J7" s="101" t="s">
        <v>491</v>
      </c>
      <c r="K7" s="168" t="s">
        <v>491</v>
      </c>
      <c r="L7" s="129" t="s">
        <v>491</v>
      </c>
      <c r="M7" s="56" t="s">
        <v>491</v>
      </c>
      <c r="N7" s="101" t="s">
        <v>491</v>
      </c>
      <c r="O7" s="168" t="s">
        <v>491</v>
      </c>
      <c r="P7" s="129" t="s">
        <v>491</v>
      </c>
      <c r="Q7" s="56" t="s">
        <v>491</v>
      </c>
      <c r="R7" s="101" t="s">
        <v>491</v>
      </c>
      <c r="S7" s="168"/>
      <c r="T7" s="129"/>
      <c r="U7" s="56"/>
      <c r="V7" s="101"/>
      <c r="W7" s="168"/>
      <c r="X7" s="129"/>
      <c r="Y7" s="56"/>
      <c r="Z7" s="101"/>
      <c r="AA7" s="168"/>
      <c r="AB7" s="129"/>
      <c r="AC7" s="56"/>
      <c r="AD7" s="101"/>
      <c r="AE7" s="168"/>
      <c r="AF7" s="129"/>
      <c r="AG7" s="56"/>
      <c r="AH7" s="101"/>
      <c r="AI7" s="168"/>
      <c r="AJ7" s="129"/>
      <c r="AK7" s="56"/>
      <c r="AL7" s="101"/>
      <c r="AM7" s="168"/>
      <c r="AN7" s="129"/>
      <c r="AO7" s="56"/>
      <c r="AP7" s="101"/>
    </row>
    <row r="8" spans="2:42" ht="15" customHeight="1" x14ac:dyDescent="0.25">
      <c r="B8" s="167">
        <f t="shared" si="1"/>
        <v>44958</v>
      </c>
      <c r="C8" s="168" t="s">
        <v>491</v>
      </c>
      <c r="D8" s="129" t="s">
        <v>491</v>
      </c>
      <c r="E8" s="56" t="s">
        <v>491</v>
      </c>
      <c r="F8" s="101" t="s">
        <v>491</v>
      </c>
      <c r="G8" s="168" t="s">
        <v>491</v>
      </c>
      <c r="H8" s="129" t="s">
        <v>491</v>
      </c>
      <c r="I8" s="56" t="s">
        <v>491</v>
      </c>
      <c r="J8" s="101" t="s">
        <v>491</v>
      </c>
      <c r="K8" s="168" t="s">
        <v>491</v>
      </c>
      <c r="L8" s="129" t="s">
        <v>491</v>
      </c>
      <c r="M8" s="56" t="s">
        <v>491</v>
      </c>
      <c r="N8" s="101" t="s">
        <v>491</v>
      </c>
      <c r="O8" s="168" t="s">
        <v>491</v>
      </c>
      <c r="P8" s="129" t="s">
        <v>491</v>
      </c>
      <c r="Q8" s="56" t="s">
        <v>491</v>
      </c>
      <c r="R8" s="101" t="s">
        <v>491</v>
      </c>
      <c r="S8" s="168"/>
      <c r="T8" s="129"/>
      <c r="U8" s="56"/>
      <c r="V8" s="101"/>
      <c r="W8" s="168"/>
      <c r="X8" s="129"/>
      <c r="Y8" s="56"/>
      <c r="Z8" s="101"/>
      <c r="AA8" s="168"/>
      <c r="AB8" s="129"/>
      <c r="AC8" s="56"/>
      <c r="AD8" s="101"/>
      <c r="AE8" s="168"/>
      <c r="AF8" s="129"/>
      <c r="AG8" s="56"/>
      <c r="AH8" s="101"/>
      <c r="AI8" s="168"/>
      <c r="AJ8" s="129"/>
      <c r="AK8" s="56"/>
      <c r="AL8" s="101"/>
      <c r="AM8" s="168"/>
      <c r="AN8" s="129"/>
      <c r="AO8" s="56"/>
      <c r="AP8" s="101"/>
    </row>
    <row r="9" spans="2:42" ht="15" customHeight="1" x14ac:dyDescent="0.25">
      <c r="B9" s="167">
        <f t="shared" si="1"/>
        <v>44986</v>
      </c>
      <c r="C9" s="168" t="s">
        <v>491</v>
      </c>
      <c r="D9" s="129" t="s">
        <v>491</v>
      </c>
      <c r="E9" s="56" t="s">
        <v>491</v>
      </c>
      <c r="F9" s="101" t="s">
        <v>491</v>
      </c>
      <c r="G9" s="168" t="s">
        <v>491</v>
      </c>
      <c r="H9" s="129" t="s">
        <v>491</v>
      </c>
      <c r="I9" s="56" t="s">
        <v>491</v>
      </c>
      <c r="J9" s="101" t="s">
        <v>491</v>
      </c>
      <c r="K9" s="168" t="s">
        <v>491</v>
      </c>
      <c r="L9" s="129" t="s">
        <v>491</v>
      </c>
      <c r="M9" s="56" t="s">
        <v>491</v>
      </c>
      <c r="N9" s="101" t="s">
        <v>491</v>
      </c>
      <c r="O9" s="168" t="s">
        <v>491</v>
      </c>
      <c r="P9" s="129" t="s">
        <v>491</v>
      </c>
      <c r="Q9" s="56" t="s">
        <v>491</v>
      </c>
      <c r="R9" s="101" t="s">
        <v>491</v>
      </c>
      <c r="S9" s="168"/>
      <c r="T9" s="129"/>
      <c r="U9" s="56"/>
      <c r="V9" s="101"/>
      <c r="W9" s="168"/>
      <c r="X9" s="129"/>
      <c r="Y9" s="56"/>
      <c r="Z9" s="101"/>
      <c r="AA9" s="168"/>
      <c r="AB9" s="129"/>
      <c r="AC9" s="56"/>
      <c r="AD9" s="101"/>
      <c r="AE9" s="168"/>
      <c r="AF9" s="129"/>
      <c r="AG9" s="56"/>
      <c r="AH9" s="101"/>
      <c r="AI9" s="168"/>
      <c r="AJ9" s="129"/>
      <c r="AK9" s="56"/>
      <c r="AL9" s="101"/>
      <c r="AM9" s="168"/>
      <c r="AN9" s="129"/>
      <c r="AO9" s="56"/>
      <c r="AP9" s="101"/>
    </row>
    <row r="10" spans="2:42" ht="15" customHeight="1" x14ac:dyDescent="0.25">
      <c r="B10" s="167">
        <f t="shared" si="1"/>
        <v>45017</v>
      </c>
      <c r="C10" s="168" t="s">
        <v>491</v>
      </c>
      <c r="D10" s="129" t="s">
        <v>491</v>
      </c>
      <c r="E10" s="56" t="s">
        <v>491</v>
      </c>
      <c r="F10" s="101" t="s">
        <v>491</v>
      </c>
      <c r="G10" s="168" t="s">
        <v>491</v>
      </c>
      <c r="H10" s="129" t="s">
        <v>491</v>
      </c>
      <c r="I10" s="56" t="s">
        <v>491</v>
      </c>
      <c r="J10" s="101" t="s">
        <v>491</v>
      </c>
      <c r="K10" s="168" t="s">
        <v>491</v>
      </c>
      <c r="L10" s="129" t="s">
        <v>491</v>
      </c>
      <c r="M10" s="56" t="s">
        <v>491</v>
      </c>
      <c r="N10" s="101" t="s">
        <v>491</v>
      </c>
      <c r="O10" s="168" t="s">
        <v>491</v>
      </c>
      <c r="P10" s="129" t="s">
        <v>491</v>
      </c>
      <c r="Q10" s="56" t="s">
        <v>491</v>
      </c>
      <c r="R10" s="101" t="s">
        <v>491</v>
      </c>
      <c r="S10" s="168"/>
      <c r="T10" s="129"/>
      <c r="U10" s="56"/>
      <c r="V10" s="101"/>
      <c r="W10" s="168"/>
      <c r="X10" s="129"/>
      <c r="Y10" s="56"/>
      <c r="Z10" s="101"/>
      <c r="AA10" s="168"/>
      <c r="AB10" s="129"/>
      <c r="AC10" s="56"/>
      <c r="AD10" s="101"/>
      <c r="AE10" s="168"/>
      <c r="AF10" s="129"/>
      <c r="AG10" s="56"/>
      <c r="AH10" s="101"/>
      <c r="AI10" s="168"/>
      <c r="AJ10" s="129"/>
      <c r="AK10" s="56"/>
      <c r="AL10" s="101"/>
      <c r="AM10" s="168"/>
      <c r="AN10" s="129"/>
      <c r="AO10" s="56"/>
      <c r="AP10" s="101"/>
    </row>
    <row r="11" spans="2:42" ht="15" customHeight="1" x14ac:dyDescent="0.25">
      <c r="B11" s="167">
        <f t="shared" si="1"/>
        <v>45047</v>
      </c>
      <c r="C11" s="168" t="s">
        <v>491</v>
      </c>
      <c r="D11" s="129" t="s">
        <v>491</v>
      </c>
      <c r="E11" s="56" t="s">
        <v>491</v>
      </c>
      <c r="F11" s="101" t="s">
        <v>491</v>
      </c>
      <c r="G11" s="168" t="s">
        <v>491</v>
      </c>
      <c r="H11" s="129" t="s">
        <v>491</v>
      </c>
      <c r="I11" s="56" t="s">
        <v>491</v>
      </c>
      <c r="J11" s="101" t="s">
        <v>491</v>
      </c>
      <c r="K11" s="168" t="s">
        <v>491</v>
      </c>
      <c r="L11" s="129" t="s">
        <v>491</v>
      </c>
      <c r="M11" s="56" t="s">
        <v>491</v>
      </c>
      <c r="N11" s="101" t="s">
        <v>491</v>
      </c>
      <c r="O11" s="168" t="s">
        <v>491</v>
      </c>
      <c r="P11" s="129" t="s">
        <v>491</v>
      </c>
      <c r="Q11" s="56" t="s">
        <v>491</v>
      </c>
      <c r="R11" s="101" t="s">
        <v>491</v>
      </c>
      <c r="S11" s="168"/>
      <c r="T11" s="129"/>
      <c r="U11" s="56"/>
      <c r="V11" s="101"/>
      <c r="W11" s="168"/>
      <c r="X11" s="129"/>
      <c r="Y11" s="56"/>
      <c r="Z11" s="101"/>
      <c r="AA11" s="168"/>
      <c r="AB11" s="129"/>
      <c r="AC11" s="56"/>
      <c r="AD11" s="101"/>
      <c r="AE11" s="168"/>
      <c r="AF11" s="129"/>
      <c r="AG11" s="56"/>
      <c r="AH11" s="101"/>
      <c r="AI11" s="168"/>
      <c r="AJ11" s="129"/>
      <c r="AK11" s="56"/>
      <c r="AL11" s="101"/>
      <c r="AM11" s="168"/>
      <c r="AN11" s="129"/>
      <c r="AO11" s="56"/>
      <c r="AP11" s="101"/>
    </row>
    <row r="12" spans="2:42" ht="15" customHeight="1" x14ac:dyDescent="0.25">
      <c r="B12" s="167">
        <f t="shared" si="1"/>
        <v>45078</v>
      </c>
      <c r="C12" s="168" t="s">
        <v>491</v>
      </c>
      <c r="D12" s="129" t="s">
        <v>491</v>
      </c>
      <c r="E12" s="56" t="s">
        <v>491</v>
      </c>
      <c r="F12" s="101" t="s">
        <v>491</v>
      </c>
      <c r="G12" s="168" t="s">
        <v>491</v>
      </c>
      <c r="H12" s="129" t="s">
        <v>491</v>
      </c>
      <c r="I12" s="56" t="s">
        <v>491</v>
      </c>
      <c r="J12" s="101" t="s">
        <v>491</v>
      </c>
      <c r="K12" s="168" t="s">
        <v>491</v>
      </c>
      <c r="L12" s="129" t="s">
        <v>491</v>
      </c>
      <c r="M12" s="56" t="s">
        <v>491</v>
      </c>
      <c r="N12" s="101" t="s">
        <v>491</v>
      </c>
      <c r="O12" s="168" t="s">
        <v>491</v>
      </c>
      <c r="P12" s="129" t="s">
        <v>491</v>
      </c>
      <c r="Q12" s="56" t="s">
        <v>491</v>
      </c>
      <c r="R12" s="101" t="s">
        <v>491</v>
      </c>
      <c r="S12" s="168"/>
      <c r="T12" s="129"/>
      <c r="U12" s="56"/>
      <c r="V12" s="101"/>
      <c r="W12" s="168"/>
      <c r="X12" s="129"/>
      <c r="Y12" s="56"/>
      <c r="Z12" s="101"/>
      <c r="AA12" s="168"/>
      <c r="AB12" s="129"/>
      <c r="AC12" s="56"/>
      <c r="AD12" s="101"/>
      <c r="AE12" s="168"/>
      <c r="AF12" s="129"/>
      <c r="AG12" s="56"/>
      <c r="AH12" s="101"/>
      <c r="AI12" s="168"/>
      <c r="AJ12" s="129"/>
      <c r="AK12" s="56"/>
      <c r="AL12" s="101"/>
      <c r="AM12" s="168"/>
      <c r="AN12" s="129"/>
      <c r="AO12" s="56"/>
      <c r="AP12" s="101"/>
    </row>
    <row r="13" spans="2:42" ht="15" customHeight="1" x14ac:dyDescent="0.25">
      <c r="B13" s="167">
        <f t="shared" si="1"/>
        <v>45108</v>
      </c>
      <c r="C13" s="168" t="s">
        <v>491</v>
      </c>
      <c r="D13" s="129" t="s">
        <v>491</v>
      </c>
      <c r="E13" s="56" t="s">
        <v>491</v>
      </c>
      <c r="F13" s="101" t="s">
        <v>491</v>
      </c>
      <c r="G13" s="168" t="s">
        <v>491</v>
      </c>
      <c r="H13" s="129" t="s">
        <v>491</v>
      </c>
      <c r="I13" s="56" t="s">
        <v>491</v>
      </c>
      <c r="J13" s="101" t="s">
        <v>491</v>
      </c>
      <c r="K13" s="168" t="s">
        <v>491</v>
      </c>
      <c r="L13" s="129" t="s">
        <v>491</v>
      </c>
      <c r="M13" s="56" t="s">
        <v>491</v>
      </c>
      <c r="N13" s="101" t="s">
        <v>491</v>
      </c>
      <c r="O13" s="168" t="s">
        <v>491</v>
      </c>
      <c r="P13" s="129" t="s">
        <v>491</v>
      </c>
      <c r="Q13" s="56" t="s">
        <v>491</v>
      </c>
      <c r="R13" s="101" t="s">
        <v>491</v>
      </c>
      <c r="S13" s="168"/>
      <c r="T13" s="129"/>
      <c r="U13" s="56"/>
      <c r="V13" s="101"/>
      <c r="W13" s="168"/>
      <c r="X13" s="129"/>
      <c r="Y13" s="56"/>
      <c r="Z13" s="101"/>
      <c r="AA13" s="168"/>
      <c r="AB13" s="129"/>
      <c r="AC13" s="56"/>
      <c r="AD13" s="101"/>
      <c r="AE13" s="168"/>
      <c r="AF13" s="129"/>
      <c r="AG13" s="56"/>
      <c r="AH13" s="101"/>
      <c r="AI13" s="168"/>
      <c r="AJ13" s="129"/>
      <c r="AK13" s="56"/>
      <c r="AL13" s="101"/>
      <c r="AM13" s="168"/>
      <c r="AN13" s="129"/>
      <c r="AO13" s="56"/>
      <c r="AP13" s="101"/>
    </row>
    <row r="14" spans="2:42" ht="15" customHeight="1" x14ac:dyDescent="0.25">
      <c r="B14" s="167">
        <f t="shared" si="1"/>
        <v>45139</v>
      </c>
      <c r="C14" s="168" t="s">
        <v>491</v>
      </c>
      <c r="D14" s="129" t="s">
        <v>491</v>
      </c>
      <c r="E14" s="56" t="s">
        <v>491</v>
      </c>
      <c r="F14" s="101" t="s">
        <v>491</v>
      </c>
      <c r="G14" s="168" t="s">
        <v>491</v>
      </c>
      <c r="H14" s="129" t="s">
        <v>491</v>
      </c>
      <c r="I14" s="56" t="s">
        <v>491</v>
      </c>
      <c r="J14" s="101" t="s">
        <v>491</v>
      </c>
      <c r="K14" s="168" t="s">
        <v>491</v>
      </c>
      <c r="L14" s="129" t="s">
        <v>491</v>
      </c>
      <c r="M14" s="56" t="s">
        <v>491</v>
      </c>
      <c r="N14" s="101" t="s">
        <v>491</v>
      </c>
      <c r="O14" s="168" t="s">
        <v>491</v>
      </c>
      <c r="P14" s="129" t="s">
        <v>491</v>
      </c>
      <c r="Q14" s="56" t="s">
        <v>491</v>
      </c>
      <c r="R14" s="101" t="s">
        <v>491</v>
      </c>
      <c r="S14" s="168"/>
      <c r="T14" s="129"/>
      <c r="U14" s="56"/>
      <c r="V14" s="101"/>
      <c r="W14" s="168"/>
      <c r="X14" s="129"/>
      <c r="Y14" s="56"/>
      <c r="Z14" s="101"/>
      <c r="AA14" s="168"/>
      <c r="AB14" s="129"/>
      <c r="AC14" s="56"/>
      <c r="AD14" s="101"/>
      <c r="AE14" s="168"/>
      <c r="AF14" s="129"/>
      <c r="AG14" s="56"/>
      <c r="AH14" s="101"/>
      <c r="AI14" s="168"/>
      <c r="AJ14" s="129"/>
      <c r="AK14" s="56"/>
      <c r="AL14" s="101"/>
      <c r="AM14" s="168"/>
      <c r="AN14" s="129"/>
      <c r="AO14" s="56"/>
      <c r="AP14" s="101"/>
    </row>
    <row r="15" spans="2:42" ht="15" customHeight="1" x14ac:dyDescent="0.25">
      <c r="B15" s="167">
        <f t="shared" si="1"/>
        <v>45170</v>
      </c>
      <c r="C15" s="168" t="s">
        <v>491</v>
      </c>
      <c r="D15" s="129" t="s">
        <v>491</v>
      </c>
      <c r="E15" s="56" t="s">
        <v>491</v>
      </c>
      <c r="F15" s="101" t="s">
        <v>491</v>
      </c>
      <c r="G15" s="168" t="s">
        <v>491</v>
      </c>
      <c r="H15" s="129" t="s">
        <v>491</v>
      </c>
      <c r="I15" s="56" t="s">
        <v>491</v>
      </c>
      <c r="J15" s="101" t="s">
        <v>491</v>
      </c>
      <c r="K15" s="168" t="s">
        <v>491</v>
      </c>
      <c r="L15" s="129" t="s">
        <v>491</v>
      </c>
      <c r="M15" s="56" t="s">
        <v>491</v>
      </c>
      <c r="N15" s="101" t="s">
        <v>491</v>
      </c>
      <c r="O15" s="168" t="s">
        <v>491</v>
      </c>
      <c r="P15" s="129" t="s">
        <v>491</v>
      </c>
      <c r="Q15" s="56" t="s">
        <v>491</v>
      </c>
      <c r="R15" s="101" t="s">
        <v>491</v>
      </c>
      <c r="S15" s="168"/>
      <c r="T15" s="129"/>
      <c r="U15" s="56"/>
      <c r="V15" s="101"/>
      <c r="W15" s="168"/>
      <c r="X15" s="129"/>
      <c r="Y15" s="56"/>
      <c r="Z15" s="101"/>
      <c r="AA15" s="168"/>
      <c r="AB15" s="129"/>
      <c r="AC15" s="56"/>
      <c r="AD15" s="101"/>
      <c r="AE15" s="168"/>
      <c r="AF15" s="129"/>
      <c r="AG15" s="56"/>
      <c r="AH15" s="101"/>
      <c r="AI15" s="168"/>
      <c r="AJ15" s="129"/>
      <c r="AK15" s="56"/>
      <c r="AL15" s="101"/>
      <c r="AM15" s="168"/>
      <c r="AN15" s="129"/>
      <c r="AO15" s="56"/>
      <c r="AP15" s="101"/>
    </row>
    <row r="16" spans="2:42" ht="15" customHeight="1" x14ac:dyDescent="0.25">
      <c r="B16" s="167">
        <f t="shared" si="1"/>
        <v>45200</v>
      </c>
      <c r="C16" s="168" t="s">
        <v>491</v>
      </c>
      <c r="D16" s="129" t="s">
        <v>491</v>
      </c>
      <c r="E16" s="56" t="s">
        <v>491</v>
      </c>
      <c r="F16" s="101" t="s">
        <v>491</v>
      </c>
      <c r="G16" s="168" t="s">
        <v>491</v>
      </c>
      <c r="H16" s="129" t="s">
        <v>491</v>
      </c>
      <c r="I16" s="56" t="s">
        <v>491</v>
      </c>
      <c r="J16" s="101" t="s">
        <v>491</v>
      </c>
      <c r="K16" s="168" t="s">
        <v>491</v>
      </c>
      <c r="L16" s="129" t="s">
        <v>491</v>
      </c>
      <c r="M16" s="56" t="s">
        <v>491</v>
      </c>
      <c r="N16" s="101" t="s">
        <v>491</v>
      </c>
      <c r="O16" s="168" t="s">
        <v>491</v>
      </c>
      <c r="P16" s="129" t="s">
        <v>491</v>
      </c>
      <c r="Q16" s="56" t="s">
        <v>491</v>
      </c>
      <c r="R16" s="101" t="s">
        <v>491</v>
      </c>
      <c r="S16" s="168"/>
      <c r="T16" s="129"/>
      <c r="U16" s="56"/>
      <c r="V16" s="101"/>
      <c r="W16" s="168"/>
      <c r="X16" s="129"/>
      <c r="Y16" s="56"/>
      <c r="Z16" s="101"/>
      <c r="AA16" s="168"/>
      <c r="AB16" s="129"/>
      <c r="AC16" s="56"/>
      <c r="AD16" s="101"/>
      <c r="AE16" s="168"/>
      <c r="AF16" s="129"/>
      <c r="AG16" s="56"/>
      <c r="AH16" s="101"/>
      <c r="AI16" s="168"/>
      <c r="AJ16" s="129"/>
      <c r="AK16" s="56"/>
      <c r="AL16" s="101"/>
      <c r="AM16" s="168"/>
      <c r="AN16" s="129"/>
      <c r="AO16" s="56"/>
      <c r="AP16" s="101"/>
    </row>
    <row r="17" spans="1:42" ht="15" customHeight="1" x14ac:dyDescent="0.25">
      <c r="B17" s="167">
        <f t="shared" si="1"/>
        <v>45231</v>
      </c>
      <c r="C17" s="168">
        <v>1729.3531485183221</v>
      </c>
      <c r="D17" s="129">
        <v>3013169.0914932396</v>
      </c>
      <c r="E17" s="56">
        <v>0.72049153720342474</v>
      </c>
      <c r="F17" s="101">
        <v>2730383.5064988472</v>
      </c>
      <c r="G17" s="168">
        <v>1113.4200697273855</v>
      </c>
      <c r="H17" s="129">
        <v>1201948.8602582696</v>
      </c>
      <c r="I17" s="56">
        <v>0.74074074074074081</v>
      </c>
      <c r="J17" s="101">
        <v>1555906.1291218409</v>
      </c>
      <c r="K17" s="168">
        <v>0</v>
      </c>
      <c r="L17" s="129">
        <v>0</v>
      </c>
      <c r="M17" s="56">
        <v>0</v>
      </c>
      <c r="N17" s="101">
        <v>0</v>
      </c>
      <c r="O17" s="168">
        <v>615.93307879093663</v>
      </c>
      <c r="P17" s="129">
        <v>1811220.2312349698</v>
      </c>
      <c r="Q17" s="56">
        <v>0.70705390731552342</v>
      </c>
      <c r="R17" s="101">
        <v>1174477.377377006</v>
      </c>
      <c r="S17" s="168"/>
      <c r="T17" s="129"/>
      <c r="U17" s="56"/>
      <c r="V17" s="101"/>
      <c r="W17" s="168"/>
      <c r="X17" s="129"/>
      <c r="Y17" s="56"/>
      <c r="Z17" s="101"/>
      <c r="AA17" s="168"/>
      <c r="AB17" s="129"/>
      <c r="AC17" s="56"/>
      <c r="AD17" s="101"/>
      <c r="AE17" s="168"/>
      <c r="AF17" s="129"/>
      <c r="AG17" s="56"/>
      <c r="AH17" s="101"/>
      <c r="AI17" s="168"/>
      <c r="AJ17" s="129"/>
      <c r="AK17" s="56"/>
      <c r="AL17" s="101"/>
      <c r="AM17" s="168"/>
      <c r="AN17" s="129"/>
      <c r="AO17" s="56"/>
      <c r="AP17" s="101"/>
    </row>
    <row r="18" spans="1:42" ht="15" customHeight="1" x14ac:dyDescent="0.25">
      <c r="B18" s="167">
        <f t="shared" si="1"/>
        <v>45261</v>
      </c>
      <c r="C18" s="168">
        <v>1753.4023172900183</v>
      </c>
      <c r="D18" s="129">
        <v>3046278.3015965438</v>
      </c>
      <c r="E18" s="56">
        <v>0.71951349148232313</v>
      </c>
      <c r="F18" s="101">
        <v>2820707.4327293462</v>
      </c>
      <c r="G18" s="168">
        <v>989.67431218271486</v>
      </c>
      <c r="H18" s="129">
        <v>1130181.9540233866</v>
      </c>
      <c r="I18" s="56">
        <v>0.73159579332418845</v>
      </c>
      <c r="J18" s="101">
        <v>1385748.3359300527</v>
      </c>
      <c r="K18" s="168">
        <v>0</v>
      </c>
      <c r="L18" s="129">
        <v>0</v>
      </c>
      <c r="M18" s="56">
        <v>0</v>
      </c>
      <c r="N18" s="101">
        <v>0</v>
      </c>
      <c r="O18" s="168">
        <v>763.72800510730349</v>
      </c>
      <c r="P18" s="129">
        <v>1916096.3475731572</v>
      </c>
      <c r="Q18" s="56">
        <v>0.71238691899966333</v>
      </c>
      <c r="R18" s="101">
        <v>1434959.0967992935</v>
      </c>
      <c r="S18" s="168"/>
      <c r="T18" s="129"/>
      <c r="U18" s="56"/>
      <c r="V18" s="101"/>
      <c r="W18" s="168"/>
      <c r="X18" s="129"/>
      <c r="Y18" s="56"/>
      <c r="Z18" s="101"/>
      <c r="AA18" s="168"/>
      <c r="AB18" s="129"/>
      <c r="AC18" s="56"/>
      <c r="AD18" s="101"/>
      <c r="AE18" s="168"/>
      <c r="AF18" s="129"/>
      <c r="AG18" s="56"/>
      <c r="AH18" s="101"/>
      <c r="AI18" s="168"/>
      <c r="AJ18" s="129"/>
      <c r="AK18" s="56"/>
      <c r="AL18" s="101"/>
      <c r="AM18" s="168"/>
      <c r="AN18" s="129"/>
      <c r="AO18" s="56"/>
      <c r="AP18" s="101"/>
    </row>
    <row r="19" spans="1:42" ht="15" customHeight="1" x14ac:dyDescent="0.25">
      <c r="B19" s="167">
        <f t="shared" si="1"/>
        <v>45292</v>
      </c>
      <c r="C19" s="168">
        <v>4273.8740763903043</v>
      </c>
      <c r="D19" s="129">
        <v>3262205.5406420417</v>
      </c>
      <c r="E19" s="56">
        <v>0.70994369756448561</v>
      </c>
      <c r="F19" s="101">
        <v>7198457.7531405166</v>
      </c>
      <c r="G19" s="168">
        <v>1210.5482166933789</v>
      </c>
      <c r="H19" s="129">
        <v>1235960.0527141613</v>
      </c>
      <c r="I19" s="56">
        <v>0.70345749358095044</v>
      </c>
      <c r="J19" s="101">
        <v>1698407.4321303696</v>
      </c>
      <c r="K19" s="168">
        <v>2230.0485070641912</v>
      </c>
      <c r="L19" s="129">
        <v>0</v>
      </c>
      <c r="M19" s="56">
        <v>0.70345749358095033</v>
      </c>
      <c r="N19" s="101">
        <v>3942384.0492118802</v>
      </c>
      <c r="O19" s="168">
        <v>833.27735263273371</v>
      </c>
      <c r="P19" s="129">
        <v>2026245.4879278806</v>
      </c>
      <c r="Q19" s="56">
        <v>0.71390012291628391</v>
      </c>
      <c r="R19" s="101">
        <v>1557666.2717982668</v>
      </c>
      <c r="S19" s="168"/>
      <c r="T19" s="129"/>
      <c r="U19" s="56"/>
      <c r="V19" s="101"/>
      <c r="W19" s="168"/>
      <c r="X19" s="129"/>
      <c r="Y19" s="56"/>
      <c r="Z19" s="101"/>
      <c r="AA19" s="168"/>
      <c r="AB19" s="129"/>
      <c r="AC19" s="56"/>
      <c r="AD19" s="101"/>
      <c r="AE19" s="168"/>
      <c r="AF19" s="129"/>
      <c r="AG19" s="56"/>
      <c r="AH19" s="101"/>
      <c r="AI19" s="168"/>
      <c r="AJ19" s="129"/>
      <c r="AK19" s="56"/>
      <c r="AL19" s="101"/>
      <c r="AM19" s="168"/>
      <c r="AN19" s="129"/>
      <c r="AO19" s="56"/>
      <c r="AP19" s="101"/>
    </row>
    <row r="20" spans="1:42" ht="15" customHeight="1" x14ac:dyDescent="0.25">
      <c r="B20" s="167">
        <f t="shared" si="1"/>
        <v>45323</v>
      </c>
      <c r="C20" s="168">
        <v>4267.0066178598499</v>
      </c>
      <c r="D20" s="129">
        <v>5283002.670942123</v>
      </c>
      <c r="E20" s="56">
        <v>0.7075557045873957</v>
      </c>
      <c r="F20" s="101">
        <v>7198457.7531405166</v>
      </c>
      <c r="G20" s="168">
        <v>1208.1319527878034</v>
      </c>
      <c r="H20" s="129">
        <v>1333459.558352059</v>
      </c>
      <c r="I20" s="56">
        <v>0.70345749358095044</v>
      </c>
      <c r="J20" s="101">
        <v>1698407.4321303696</v>
      </c>
      <c r="K20" s="168">
        <v>2225.5973124393126</v>
      </c>
      <c r="L20" s="129">
        <v>1876228.145843385</v>
      </c>
      <c r="M20" s="56">
        <v>0.70345749358095033</v>
      </c>
      <c r="N20" s="101">
        <v>3942384.0492118802</v>
      </c>
      <c r="O20" s="168">
        <v>833.27735263273371</v>
      </c>
      <c r="P20" s="129">
        <v>2073314.966746679</v>
      </c>
      <c r="Q20" s="56">
        <v>0.71390012291628391</v>
      </c>
      <c r="R20" s="101">
        <v>1557666.2717982668</v>
      </c>
      <c r="S20" s="168"/>
      <c r="T20" s="129"/>
      <c r="U20" s="56"/>
      <c r="V20" s="101"/>
      <c r="W20" s="168"/>
      <c r="X20" s="129"/>
      <c r="Y20" s="56"/>
      <c r="Z20" s="101"/>
      <c r="AA20" s="168"/>
      <c r="AB20" s="129"/>
      <c r="AC20" s="56"/>
      <c r="AD20" s="101"/>
      <c r="AE20" s="168"/>
      <c r="AF20" s="129"/>
      <c r="AG20" s="56"/>
      <c r="AH20" s="101"/>
      <c r="AI20" s="168"/>
      <c r="AJ20" s="129"/>
      <c r="AK20" s="56"/>
      <c r="AL20" s="101"/>
      <c r="AM20" s="168"/>
      <c r="AN20" s="129"/>
      <c r="AO20" s="56"/>
      <c r="AP20" s="101"/>
    </row>
    <row r="21" spans="1:42" ht="15" customHeight="1" x14ac:dyDescent="0.25">
      <c r="B21" s="167">
        <f t="shared" si="1"/>
        <v>45352</v>
      </c>
      <c r="C21" s="168">
        <v>4260.1528668314522</v>
      </c>
      <c r="D21" s="129">
        <v>7028722.699423207</v>
      </c>
      <c r="E21" s="56">
        <v>0.70636339373259571</v>
      </c>
      <c r="F21" s="101">
        <v>7198457.7531405166</v>
      </c>
      <c r="G21" s="168">
        <v>1205.7205117642748</v>
      </c>
      <c r="H21" s="129">
        <v>1387558.0023525297</v>
      </c>
      <c r="I21" s="56">
        <v>0.70345749358095044</v>
      </c>
      <c r="J21" s="101">
        <v>1698407.4321303696</v>
      </c>
      <c r="K21" s="168">
        <v>2221.1550024344438</v>
      </c>
      <c r="L21" s="129">
        <v>3685262.0501178172</v>
      </c>
      <c r="M21" s="56">
        <v>0.70345749358095033</v>
      </c>
      <c r="N21" s="101">
        <v>3942384.0492118802</v>
      </c>
      <c r="O21" s="168">
        <v>833.27735263273371</v>
      </c>
      <c r="P21" s="129">
        <v>1955902.6469528598</v>
      </c>
      <c r="Q21" s="56">
        <v>0.71390012291628391</v>
      </c>
      <c r="R21" s="101">
        <v>1557666.2717982668</v>
      </c>
      <c r="S21" s="168"/>
      <c r="T21" s="129"/>
      <c r="U21" s="56"/>
      <c r="V21" s="101"/>
      <c r="W21" s="168"/>
      <c r="X21" s="129"/>
      <c r="Y21" s="56"/>
      <c r="Z21" s="101"/>
      <c r="AA21" s="168"/>
      <c r="AB21" s="129"/>
      <c r="AC21" s="56"/>
      <c r="AD21" s="101"/>
      <c r="AE21" s="168"/>
      <c r="AF21" s="129"/>
      <c r="AG21" s="56"/>
      <c r="AH21" s="101"/>
      <c r="AI21" s="168"/>
      <c r="AJ21" s="129"/>
      <c r="AK21" s="56"/>
      <c r="AL21" s="101"/>
      <c r="AM21" s="168"/>
      <c r="AN21" s="129"/>
      <c r="AO21" s="56"/>
      <c r="AP21" s="101"/>
    </row>
    <row r="22" spans="1:42" ht="15" customHeight="1" x14ac:dyDescent="0.25">
      <c r="B22" s="167">
        <f t="shared" si="1"/>
        <v>45383</v>
      </c>
      <c r="C22" s="168">
        <v>4253.3127959448284</v>
      </c>
      <c r="D22" s="129">
        <v>7008322.6050258419</v>
      </c>
      <c r="E22" s="56">
        <v>0.68586579680985005</v>
      </c>
      <c r="F22" s="101">
        <v>7198457.7531405166</v>
      </c>
      <c r="G22" s="168">
        <v>1203.3138839962821</v>
      </c>
      <c r="H22" s="129">
        <v>1433144.0223048357</v>
      </c>
      <c r="I22" s="56">
        <v>0.67640143613552928</v>
      </c>
      <c r="J22" s="101">
        <v>1698407.4321303696</v>
      </c>
      <c r="K22" s="168">
        <v>2216.7215593158126</v>
      </c>
      <c r="L22" s="129">
        <v>3806335.4964611963</v>
      </c>
      <c r="M22" s="56">
        <v>0.67640143613552928</v>
      </c>
      <c r="N22" s="101">
        <v>3942384.0492118802</v>
      </c>
      <c r="O22" s="168">
        <v>833.27735263273371</v>
      </c>
      <c r="P22" s="129">
        <v>1768843.0862598093</v>
      </c>
      <c r="Q22" s="56">
        <v>0.71390012291628391</v>
      </c>
      <c r="R22" s="101">
        <v>1557666.2717982668</v>
      </c>
      <c r="S22" s="168"/>
      <c r="T22" s="129"/>
      <c r="U22" s="56"/>
      <c r="V22" s="101"/>
      <c r="W22" s="168"/>
      <c r="X22" s="129"/>
      <c r="Y22" s="56"/>
      <c r="Z22" s="101"/>
      <c r="AA22" s="168"/>
      <c r="AB22" s="129"/>
      <c r="AC22" s="56"/>
      <c r="AD22" s="101"/>
      <c r="AE22" s="168"/>
      <c r="AF22" s="129"/>
      <c r="AG22" s="56"/>
      <c r="AH22" s="101"/>
      <c r="AI22" s="168"/>
      <c r="AJ22" s="129"/>
      <c r="AK22" s="56"/>
      <c r="AL22" s="101"/>
      <c r="AM22" s="168"/>
      <c r="AN22" s="129"/>
      <c r="AO22" s="56"/>
      <c r="AP22" s="101"/>
    </row>
    <row r="23" spans="1:42" ht="15" customHeight="1" x14ac:dyDescent="0.25">
      <c r="B23" s="167">
        <f t="shared" si="1"/>
        <v>45413</v>
      </c>
      <c r="C23" s="168">
        <v>4246.8636837603826</v>
      </c>
      <c r="D23" s="129">
        <v>6910081.5132966693</v>
      </c>
      <c r="E23" s="56">
        <v>0.6851679989010131</v>
      </c>
      <c r="F23" s="101">
        <v>7199202.3378039943</v>
      </c>
      <c r="G23" s="168">
        <v>1201.0207575202833</v>
      </c>
      <c r="H23" s="129">
        <v>1450615.9831731343</v>
      </c>
      <c r="I23" s="56">
        <v>0.67640143613552928</v>
      </c>
      <c r="J23" s="101">
        <v>1698561.1593616756</v>
      </c>
      <c r="K23" s="168">
        <v>2212.8780736073654</v>
      </c>
      <c r="L23" s="129">
        <v>3852739.866022632</v>
      </c>
      <c r="M23" s="56">
        <v>0.67640143613552928</v>
      </c>
      <c r="N23" s="101">
        <v>3943419.6026761741</v>
      </c>
      <c r="O23" s="168">
        <v>832.96485263273371</v>
      </c>
      <c r="P23" s="129">
        <v>1606725.6641009036</v>
      </c>
      <c r="Q23" s="56">
        <v>0.71410399149666648</v>
      </c>
      <c r="R23" s="101">
        <v>1557221.5757661441</v>
      </c>
      <c r="S23" s="168"/>
      <c r="T23" s="129"/>
      <c r="U23" s="56"/>
      <c r="V23" s="101"/>
      <c r="W23" s="168"/>
      <c r="X23" s="129"/>
      <c r="Y23" s="56"/>
      <c r="Z23" s="101"/>
      <c r="AA23" s="168"/>
      <c r="AB23" s="129"/>
      <c r="AC23" s="56"/>
      <c r="AD23" s="101"/>
      <c r="AE23" s="168"/>
      <c r="AF23" s="129"/>
      <c r="AG23" s="56"/>
      <c r="AH23" s="101"/>
      <c r="AI23" s="168"/>
      <c r="AJ23" s="129"/>
      <c r="AK23" s="56"/>
      <c r="AL23" s="101"/>
      <c r="AM23" s="168"/>
      <c r="AN23" s="129"/>
      <c r="AO23" s="56"/>
      <c r="AP23" s="101"/>
    </row>
    <row r="24" spans="1:42" ht="15" customHeight="1" x14ac:dyDescent="0.25">
      <c r="B24" s="167">
        <f t="shared" si="1"/>
        <v>45444</v>
      </c>
      <c r="C24" s="168">
        <v>4318.1657423106572</v>
      </c>
      <c r="D24" s="129">
        <v>6846559.6197968433</v>
      </c>
      <c r="E24" s="56">
        <v>0.66315071437614481</v>
      </c>
      <c r="F24" s="101">
        <v>7318060.3548614709</v>
      </c>
      <c r="G24" s="168">
        <v>1228.875833502128</v>
      </c>
      <c r="H24" s="129">
        <v>1477938.9090293914</v>
      </c>
      <c r="I24" s="56">
        <v>0.65038599628416272</v>
      </c>
      <c r="J24" s="101">
        <v>1741431.5188890712</v>
      </c>
      <c r="K24" s="168">
        <v>2283.918806175795</v>
      </c>
      <c r="L24" s="129">
        <v>3925307.745408956</v>
      </c>
      <c r="M24" s="56">
        <v>0.65038599628416272</v>
      </c>
      <c r="N24" s="101">
        <v>4078156.4963791179</v>
      </c>
      <c r="O24" s="168">
        <v>805.37110263273371</v>
      </c>
      <c r="P24" s="129">
        <v>1443312.9653584959</v>
      </c>
      <c r="Q24" s="56">
        <v>0.71093724576659767</v>
      </c>
      <c r="R24" s="101">
        <v>1498472.3395932817</v>
      </c>
      <c r="S24" s="168"/>
      <c r="T24" s="129"/>
      <c r="U24" s="56"/>
      <c r="V24" s="101"/>
      <c r="W24" s="168"/>
      <c r="X24" s="129"/>
      <c r="Y24" s="56"/>
      <c r="Z24" s="101"/>
      <c r="AA24" s="168"/>
      <c r="AB24" s="129"/>
      <c r="AC24" s="56"/>
      <c r="AD24" s="101"/>
      <c r="AE24" s="168"/>
      <c r="AF24" s="129"/>
      <c r="AG24" s="56"/>
      <c r="AH24" s="101"/>
      <c r="AI24" s="168"/>
      <c r="AJ24" s="129"/>
      <c r="AK24" s="56"/>
      <c r="AL24" s="101"/>
      <c r="AM24" s="168"/>
      <c r="AN24" s="129"/>
      <c r="AO24" s="56"/>
      <c r="AP24" s="101"/>
    </row>
    <row r="25" spans="1:42" ht="15" customHeight="1" x14ac:dyDescent="0.25">
      <c r="B25" s="167">
        <f t="shared" si="1"/>
        <v>45474</v>
      </c>
      <c r="C25" s="168">
        <v>4195.7154005708353</v>
      </c>
      <c r="D25" s="129">
        <v>4986954.5511762854</v>
      </c>
      <c r="E25" s="56">
        <v>0.66403234929052124</v>
      </c>
      <c r="F25" s="101">
        <v>5702770.0132108573</v>
      </c>
      <c r="G25" s="168">
        <v>1163.6668411466933</v>
      </c>
      <c r="H25" s="129">
        <v>1091240.230856986</v>
      </c>
      <c r="I25" s="56">
        <v>0.65038599628416272</v>
      </c>
      <c r="J25" s="101">
        <v>1221909.9231089675</v>
      </c>
      <c r="K25" s="168">
        <v>2077.7077704846906</v>
      </c>
      <c r="L25" s="129">
        <v>2546227.2053329675</v>
      </c>
      <c r="M25" s="56">
        <v>0.65038599628416272</v>
      </c>
      <c r="N25" s="101">
        <v>2851123.1539209238</v>
      </c>
      <c r="O25" s="168">
        <v>954.34078893945116</v>
      </c>
      <c r="P25" s="129">
        <v>1349487.1149863317</v>
      </c>
      <c r="Q25" s="56">
        <v>0.70081533456851342</v>
      </c>
      <c r="R25" s="101">
        <v>1629736.9361809657</v>
      </c>
      <c r="S25" s="168"/>
      <c r="T25" s="129"/>
      <c r="U25" s="56"/>
      <c r="V25" s="101"/>
      <c r="W25" s="168"/>
      <c r="X25" s="129"/>
      <c r="Y25" s="56"/>
      <c r="Z25" s="101"/>
      <c r="AA25" s="168"/>
      <c r="AB25" s="129"/>
      <c r="AC25" s="56"/>
      <c r="AD25" s="101"/>
      <c r="AE25" s="168"/>
      <c r="AF25" s="129"/>
      <c r="AG25" s="56"/>
      <c r="AH25" s="101"/>
      <c r="AI25" s="168"/>
      <c r="AJ25" s="129"/>
      <c r="AK25" s="56"/>
      <c r="AL25" s="101"/>
      <c r="AM25" s="168"/>
      <c r="AN25" s="129"/>
      <c r="AO25" s="56"/>
      <c r="AP25" s="101"/>
    </row>
    <row r="26" spans="1:42" ht="15" customHeight="1" x14ac:dyDescent="0.25">
      <c r="B26" s="167">
        <f t="shared" si="1"/>
        <v>45505</v>
      </c>
      <c r="C26" s="168">
        <v>4057.7980519065386</v>
      </c>
      <c r="D26" s="129">
        <v>4772961.4367652033</v>
      </c>
      <c r="E26" s="56">
        <v>0.6649568100354486</v>
      </c>
      <c r="F26" s="101">
        <v>5426956.6830632938</v>
      </c>
      <c r="G26" s="168">
        <v>1142.8043600541273</v>
      </c>
      <c r="H26" s="129">
        <v>1077448.4163922931</v>
      </c>
      <c r="I26" s="56">
        <v>0.65038599628416272</v>
      </c>
      <c r="J26" s="101">
        <v>1208546.2351436308</v>
      </c>
      <c r="K26" s="168">
        <v>2067.3639188477987</v>
      </c>
      <c r="L26" s="129">
        <v>2514046.3049153509</v>
      </c>
      <c r="M26" s="56">
        <v>0.65038599628416272</v>
      </c>
      <c r="N26" s="101">
        <v>2791273.2854709253</v>
      </c>
      <c r="O26" s="168">
        <v>847.6297730046125</v>
      </c>
      <c r="P26" s="129">
        <v>1181466.7154575591</v>
      </c>
      <c r="Q26" s="56">
        <v>0.70925006010185732</v>
      </c>
      <c r="R26" s="101">
        <v>1427137.162448738</v>
      </c>
      <c r="S26" s="168"/>
      <c r="T26" s="129"/>
      <c r="U26" s="56"/>
      <c r="V26" s="101"/>
      <c r="W26" s="168"/>
      <c r="X26" s="129"/>
      <c r="Y26" s="56"/>
      <c r="Z26" s="101"/>
      <c r="AA26" s="168"/>
      <c r="AB26" s="129"/>
      <c r="AC26" s="56"/>
      <c r="AD26" s="101"/>
      <c r="AE26" s="168"/>
      <c r="AF26" s="129"/>
      <c r="AG26" s="56"/>
      <c r="AH26" s="101"/>
      <c r="AI26" s="168"/>
      <c r="AJ26" s="129"/>
      <c r="AK26" s="56"/>
      <c r="AL26" s="101"/>
      <c r="AM26" s="168"/>
      <c r="AN26" s="129"/>
      <c r="AO26" s="56"/>
      <c r="AP26" s="101"/>
    </row>
    <row r="27" spans="1:42" ht="15" customHeight="1" x14ac:dyDescent="0.25">
      <c r="B27" s="167">
        <f t="shared" si="1"/>
        <v>45536</v>
      </c>
      <c r="C27" s="168">
        <v>5129.8964943047231</v>
      </c>
      <c r="D27" s="129">
        <v>5928873.8683875808</v>
      </c>
      <c r="E27" s="56">
        <v>0.66463791612658152</v>
      </c>
      <c r="F27" s="101">
        <v>6638651.4077064805</v>
      </c>
      <c r="G27" s="168">
        <v>1583.4171745261115</v>
      </c>
      <c r="H27" s="129">
        <v>1476073.2552601595</v>
      </c>
      <c r="I27" s="56">
        <v>0.65038599628416272</v>
      </c>
      <c r="J27" s="101">
        <v>1665869.0647759126</v>
      </c>
      <c r="K27" s="168">
        <v>2807.4200576464323</v>
      </c>
      <c r="L27" s="129">
        <v>3444170.9289403721</v>
      </c>
      <c r="M27" s="56">
        <v>0.6503859962841626</v>
      </c>
      <c r="N27" s="101">
        <v>3753985.7129511843</v>
      </c>
      <c r="O27" s="168">
        <v>739.0592621321797</v>
      </c>
      <c r="P27" s="129">
        <v>1008629.6841870487</v>
      </c>
      <c r="Q27" s="56">
        <v>0.73416088061762963</v>
      </c>
      <c r="R27" s="101">
        <v>1218796.6299793832</v>
      </c>
      <c r="S27" s="168"/>
      <c r="T27" s="129"/>
      <c r="U27" s="56"/>
      <c r="V27" s="101"/>
      <c r="W27" s="168"/>
      <c r="X27" s="129"/>
      <c r="Y27" s="56"/>
      <c r="Z27" s="101"/>
      <c r="AA27" s="168"/>
      <c r="AB27" s="129"/>
      <c r="AC27" s="56"/>
      <c r="AD27" s="101"/>
      <c r="AE27" s="168"/>
      <c r="AF27" s="129"/>
      <c r="AG27" s="56"/>
      <c r="AH27" s="101"/>
      <c r="AI27" s="168"/>
      <c r="AJ27" s="129"/>
      <c r="AK27" s="56"/>
      <c r="AL27" s="101"/>
      <c r="AM27" s="168"/>
      <c r="AN27" s="129"/>
      <c r="AO27" s="56"/>
      <c r="AP27" s="101"/>
    </row>
    <row r="28" spans="1:42" ht="15" customHeight="1" x14ac:dyDescent="0.25">
      <c r="B28" s="167">
        <f t="shared" si="1"/>
        <v>45566</v>
      </c>
      <c r="C28" s="168">
        <v>5273.6010221942579</v>
      </c>
      <c r="D28" s="129">
        <v>6128497.9239271581</v>
      </c>
      <c r="E28" s="56">
        <v>0.66158554904645417</v>
      </c>
      <c r="F28" s="101">
        <v>6810173.3330016024</v>
      </c>
      <c r="G28" s="168">
        <v>1633.4199796082153</v>
      </c>
      <c r="H28" s="129">
        <v>1607394.6364770622</v>
      </c>
      <c r="I28" s="56">
        <v>0.65038599628416272</v>
      </c>
      <c r="J28" s="101">
        <v>1810402.7446035463</v>
      </c>
      <c r="K28" s="168">
        <v>3066.2569276537565</v>
      </c>
      <c r="L28" s="129">
        <v>3750587.4851131449</v>
      </c>
      <c r="M28" s="56">
        <v>0.65038599628416272</v>
      </c>
      <c r="N28" s="101">
        <v>4068497.6541367443</v>
      </c>
      <c r="O28" s="168">
        <v>573.92411493228599</v>
      </c>
      <c r="P28" s="129">
        <v>770515.80233695055</v>
      </c>
      <c r="Q28" s="56">
        <v>0.7394645533292542</v>
      </c>
      <c r="R28" s="101">
        <v>931272.93426131178</v>
      </c>
      <c r="S28" s="168"/>
      <c r="T28" s="129"/>
      <c r="U28" s="56"/>
      <c r="V28" s="101"/>
      <c r="W28" s="168"/>
      <c r="X28" s="129"/>
      <c r="Y28" s="56"/>
      <c r="Z28" s="101"/>
      <c r="AA28" s="168"/>
      <c r="AB28" s="129"/>
      <c r="AC28" s="56"/>
      <c r="AD28" s="101"/>
      <c r="AE28" s="168"/>
      <c r="AF28" s="129"/>
      <c r="AG28" s="56"/>
      <c r="AH28" s="101"/>
      <c r="AI28" s="168"/>
      <c r="AJ28" s="129"/>
      <c r="AK28" s="56"/>
      <c r="AL28" s="101"/>
      <c r="AM28" s="168"/>
      <c r="AN28" s="129"/>
      <c r="AO28" s="56"/>
      <c r="AP28" s="101"/>
    </row>
    <row r="29" spans="1:42" ht="15" customHeight="1" x14ac:dyDescent="0.25">
      <c r="A29" s="75"/>
      <c r="B29" s="167">
        <f t="shared" si="1"/>
        <v>45597</v>
      </c>
      <c r="C29" s="168">
        <v>4282.0488949348064</v>
      </c>
      <c r="D29" s="129">
        <v>5090049.9398270845</v>
      </c>
      <c r="E29" s="56">
        <v>0.6584435163297806</v>
      </c>
      <c r="F29" s="168">
        <v>5567465.9289929308</v>
      </c>
      <c r="G29" s="168">
        <v>1421.9431064527189</v>
      </c>
      <c r="H29" s="129">
        <v>1381402.3361292861</v>
      </c>
      <c r="I29" s="56">
        <v>0.65038599628416272</v>
      </c>
      <c r="J29" s="168">
        <v>1568490.0502514979</v>
      </c>
      <c r="K29" s="168">
        <v>2495.584797005969</v>
      </c>
      <c r="L29" s="129">
        <v>3223272.1176350005</v>
      </c>
      <c r="M29" s="56">
        <v>0.65038599628416272</v>
      </c>
      <c r="N29" s="168">
        <v>3412580.7448960324</v>
      </c>
      <c r="O29" s="168">
        <v>364.52099147611852</v>
      </c>
      <c r="P29" s="129">
        <v>485375.48606279783</v>
      </c>
      <c r="Q29" s="56">
        <v>0.73488383476389041</v>
      </c>
      <c r="R29" s="101">
        <v>586395.13384540053</v>
      </c>
      <c r="S29" s="168"/>
      <c r="T29" s="129"/>
      <c r="U29" s="56"/>
      <c r="V29" s="101"/>
      <c r="W29" s="168"/>
      <c r="X29" s="129"/>
      <c r="Y29" s="56"/>
      <c r="Z29" s="101"/>
      <c r="AA29" s="168"/>
      <c r="AB29" s="129"/>
      <c r="AC29" s="56"/>
      <c r="AD29" s="101"/>
      <c r="AE29" s="168"/>
      <c r="AF29" s="129"/>
      <c r="AG29" s="56"/>
      <c r="AH29" s="101"/>
      <c r="AI29" s="168"/>
      <c r="AJ29" s="129"/>
      <c r="AK29" s="56"/>
      <c r="AL29" s="101"/>
      <c r="AM29" s="168"/>
      <c r="AN29" s="129"/>
      <c r="AO29" s="56"/>
      <c r="AP29" s="101"/>
    </row>
    <row r="30" spans="1:42" ht="15" customHeight="1" x14ac:dyDescent="0.25">
      <c r="A30" s="75"/>
      <c r="B30" s="167">
        <f t="shared" si="1"/>
        <v>45627</v>
      </c>
      <c r="C30" s="168">
        <v>3736.9957476015165</v>
      </c>
      <c r="D30" s="129">
        <v>4415738.4758491814</v>
      </c>
      <c r="E30" s="56">
        <v>0.65469041122813676</v>
      </c>
      <c r="F30" s="168">
        <v>4824288.6394563289</v>
      </c>
      <c r="G30" s="168">
        <v>1292.0881451523526</v>
      </c>
      <c r="H30" s="129">
        <v>1254506.4774169179</v>
      </c>
      <c r="I30" s="56">
        <v>0.65038599628416272</v>
      </c>
      <c r="J30" s="168">
        <v>1440504.9680850073</v>
      </c>
      <c r="K30" s="168">
        <v>2263.8167890105588</v>
      </c>
      <c r="L30" s="129">
        <v>2927181.7806394747</v>
      </c>
      <c r="M30" s="56">
        <v>0.65038599628416272</v>
      </c>
      <c r="N30" s="168">
        <v>3100985.1574339569</v>
      </c>
      <c r="O30" s="168">
        <v>181.09081343860487</v>
      </c>
      <c r="P30" s="129">
        <v>234050.2177927887</v>
      </c>
      <c r="Q30" s="56">
        <v>0.73159579332418845</v>
      </c>
      <c r="R30" s="101">
        <v>282798.51393736451</v>
      </c>
      <c r="S30" s="168"/>
      <c r="T30" s="129"/>
      <c r="U30" s="56"/>
      <c r="V30" s="101"/>
      <c r="W30" s="168"/>
      <c r="X30" s="129"/>
      <c r="Y30" s="56"/>
      <c r="Z30" s="101"/>
      <c r="AA30" s="168"/>
      <c r="AB30" s="129"/>
      <c r="AC30" s="56"/>
      <c r="AD30" s="101"/>
      <c r="AE30" s="168"/>
      <c r="AF30" s="129"/>
      <c r="AG30" s="56"/>
      <c r="AH30" s="101"/>
      <c r="AI30" s="168"/>
      <c r="AJ30" s="129"/>
      <c r="AK30" s="56"/>
      <c r="AL30" s="101"/>
      <c r="AM30" s="168"/>
      <c r="AN30" s="129"/>
      <c r="AO30" s="56"/>
      <c r="AP30" s="101"/>
    </row>
    <row r="31" spans="1:42" ht="15" customHeight="1" x14ac:dyDescent="0.25">
      <c r="A31" s="75"/>
      <c r="B31" s="167">
        <f t="shared" si="1"/>
        <v>45658</v>
      </c>
      <c r="C31" s="168">
        <v>6775.1779456942486</v>
      </c>
      <c r="D31" s="129">
        <v>7989666.8431018656</v>
      </c>
      <c r="E31" s="56">
        <v>0.71</v>
      </c>
      <c r="F31" s="168">
        <v>8746275.6988538671</v>
      </c>
      <c r="G31" s="168">
        <v>2450.6881730655136</v>
      </c>
      <c r="H31" s="129">
        <v>2387179.487179487</v>
      </c>
      <c r="I31" s="56">
        <v>0.71</v>
      </c>
      <c r="J31" s="168">
        <v>2797645.1535083419</v>
      </c>
      <c r="K31" s="168">
        <v>4295.8175603651862</v>
      </c>
      <c r="L31" s="129">
        <v>5570085.47008547</v>
      </c>
      <c r="M31" s="56">
        <v>0.71</v>
      </c>
      <c r="N31" s="168">
        <v>5909747.8349827416</v>
      </c>
      <c r="O31" s="168">
        <v>28.672212263548566</v>
      </c>
      <c r="P31" s="129">
        <v>32401.885836908965</v>
      </c>
      <c r="Q31" s="56">
        <v>0.71</v>
      </c>
      <c r="R31" s="101">
        <v>38882.71036278252</v>
      </c>
      <c r="S31" s="168"/>
      <c r="T31" s="129"/>
      <c r="U31" s="56"/>
      <c r="V31" s="101"/>
      <c r="W31" s="168"/>
      <c r="X31" s="129"/>
      <c r="Y31" s="56"/>
      <c r="Z31" s="101"/>
      <c r="AA31" s="168"/>
      <c r="AB31" s="129"/>
      <c r="AC31" s="56"/>
      <c r="AD31" s="101"/>
      <c r="AE31" s="168"/>
      <c r="AF31" s="129"/>
      <c r="AG31" s="56"/>
      <c r="AH31" s="101"/>
      <c r="AI31" s="168"/>
      <c r="AJ31" s="129"/>
      <c r="AK31" s="56"/>
      <c r="AL31" s="101"/>
      <c r="AM31" s="168"/>
      <c r="AN31" s="129"/>
      <c r="AO31" s="56"/>
      <c r="AP31" s="101"/>
    </row>
    <row r="32" spans="1:42" ht="15" customHeight="1" x14ac:dyDescent="0.25">
      <c r="A32" s="75"/>
      <c r="B32" s="167">
        <f t="shared" si="1"/>
        <v>45689</v>
      </c>
      <c r="C32" s="168">
        <v>6748.3832163336683</v>
      </c>
      <c r="D32" s="129">
        <v>7957264.957264957</v>
      </c>
      <c r="E32" s="56">
        <v>0.71</v>
      </c>
      <c r="F32" s="168">
        <v>8713120.4096492007</v>
      </c>
      <c r="G32" s="168">
        <v>2449.3608683026732</v>
      </c>
      <c r="H32" s="129">
        <v>2387179.487179487</v>
      </c>
      <c r="I32" s="56">
        <v>0.71</v>
      </c>
      <c r="J32" s="168">
        <v>2805766.3939781915</v>
      </c>
      <c r="K32" s="168">
        <v>4299.0223480309951</v>
      </c>
      <c r="L32" s="129">
        <v>5570085.47008547</v>
      </c>
      <c r="M32" s="56">
        <v>0.71</v>
      </c>
      <c r="N32" s="168">
        <v>5907354.0156710101</v>
      </c>
      <c r="O32" s="168">
        <v>0</v>
      </c>
      <c r="P32" s="129">
        <v>0</v>
      </c>
      <c r="Q32" s="56">
        <v>0.71</v>
      </c>
      <c r="R32" s="101">
        <v>0</v>
      </c>
      <c r="S32" s="168"/>
      <c r="T32" s="129"/>
      <c r="U32" s="56"/>
      <c r="V32" s="101"/>
      <c r="W32" s="168"/>
      <c r="X32" s="129"/>
      <c r="Y32" s="56"/>
      <c r="Z32" s="101"/>
      <c r="AA32" s="168"/>
      <c r="AB32" s="129"/>
      <c r="AC32" s="56"/>
      <c r="AD32" s="101"/>
      <c r="AE32" s="168"/>
      <c r="AF32" s="129"/>
      <c r="AG32" s="56"/>
      <c r="AH32" s="101"/>
      <c r="AI32" s="168"/>
      <c r="AJ32" s="129"/>
      <c r="AK32" s="56"/>
      <c r="AL32" s="101"/>
      <c r="AM32" s="168"/>
      <c r="AN32" s="129"/>
      <c r="AO32" s="56"/>
      <c r="AP32" s="101"/>
    </row>
    <row r="33" spans="1:42" ht="15" customHeight="1" x14ac:dyDescent="0.25">
      <c r="A33" s="75"/>
      <c r="B33" s="167">
        <f t="shared" si="1"/>
        <v>45717</v>
      </c>
      <c r="C33" s="168">
        <v>6758.4251029088618</v>
      </c>
      <c r="D33" s="129">
        <v>7957264.957264957</v>
      </c>
      <c r="E33" s="56">
        <v>0.71</v>
      </c>
      <c r="F33" s="168">
        <v>8707246.1690430138</v>
      </c>
      <c r="G33" s="168">
        <v>2450.4371252134888</v>
      </c>
      <c r="H33" s="129">
        <v>2387179.487179487</v>
      </c>
      <c r="I33" s="56">
        <v>0.71</v>
      </c>
      <c r="J33" s="168">
        <v>2806589.0393034494</v>
      </c>
      <c r="K33" s="168">
        <v>4307.987977695373</v>
      </c>
      <c r="L33" s="129">
        <v>5570085.47008547</v>
      </c>
      <c r="M33" s="56">
        <v>0.71</v>
      </c>
      <c r="N33" s="168">
        <v>5900657.1297395648</v>
      </c>
      <c r="O33" s="168">
        <v>0</v>
      </c>
      <c r="P33" s="129">
        <v>0</v>
      </c>
      <c r="Q33" s="56">
        <v>0.71</v>
      </c>
      <c r="R33" s="101">
        <v>0</v>
      </c>
      <c r="S33" s="168"/>
      <c r="T33" s="129"/>
      <c r="U33" s="56"/>
      <c r="V33" s="101"/>
      <c r="W33" s="168"/>
      <c r="X33" s="129"/>
      <c r="Y33" s="56"/>
      <c r="Z33" s="101"/>
      <c r="AA33" s="168"/>
      <c r="AB33" s="129"/>
      <c r="AC33" s="56"/>
      <c r="AD33" s="101"/>
      <c r="AE33" s="168"/>
      <c r="AF33" s="129"/>
      <c r="AG33" s="56"/>
      <c r="AH33" s="101"/>
      <c r="AI33" s="168"/>
      <c r="AJ33" s="129"/>
      <c r="AK33" s="56"/>
      <c r="AL33" s="101"/>
      <c r="AM33" s="168"/>
      <c r="AN33" s="129"/>
      <c r="AO33" s="56"/>
      <c r="AP33" s="101"/>
    </row>
    <row r="34" spans="1:42" ht="15" customHeight="1" x14ac:dyDescent="0.25">
      <c r="A34" s="75"/>
      <c r="B34" s="167">
        <f t="shared" ref="B34:B41" si="2">EDATE(B35,-1)</f>
        <v>45748</v>
      </c>
      <c r="C34" s="168">
        <v>5951.7548544035253</v>
      </c>
      <c r="D34" s="129">
        <v>3339362.9985602223</v>
      </c>
      <c r="E34" s="56">
        <v>0.69</v>
      </c>
      <c r="F34" s="168">
        <v>3461456.9690285251</v>
      </c>
      <c r="G34" s="168">
        <v>2155.7630632110886</v>
      </c>
      <c r="H34" s="129">
        <v>667872.59971204447</v>
      </c>
      <c r="I34" s="56">
        <v>0.69</v>
      </c>
      <c r="J34" s="168">
        <v>692291.39380570501</v>
      </c>
      <c r="K34" s="168">
        <v>3795.9917911924363</v>
      </c>
      <c r="L34" s="129">
        <v>2671490.3988481779</v>
      </c>
      <c r="M34" s="56">
        <v>0.69</v>
      </c>
      <c r="N34" s="168">
        <v>2769165.57522282</v>
      </c>
      <c r="O34" s="168">
        <v>0</v>
      </c>
      <c r="P34" s="129">
        <v>0</v>
      </c>
      <c r="Q34" s="56">
        <v>0.69</v>
      </c>
      <c r="R34" s="101">
        <v>0</v>
      </c>
      <c r="S34" s="168"/>
      <c r="T34" s="129"/>
      <c r="U34" s="56"/>
      <c r="V34" s="101"/>
      <c r="W34" s="168"/>
      <c r="X34" s="129"/>
      <c r="Y34" s="56"/>
      <c r="Z34" s="101"/>
      <c r="AA34" s="168"/>
      <c r="AB34" s="129"/>
      <c r="AC34" s="56"/>
      <c r="AD34" s="101"/>
      <c r="AE34" s="168"/>
      <c r="AF34" s="129"/>
      <c r="AG34" s="56"/>
      <c r="AH34" s="101"/>
      <c r="AI34" s="168"/>
      <c r="AJ34" s="129"/>
      <c r="AK34" s="56"/>
      <c r="AL34" s="101"/>
      <c r="AM34" s="168"/>
      <c r="AN34" s="129"/>
      <c r="AO34" s="56"/>
      <c r="AP34" s="101"/>
    </row>
    <row r="35" spans="1:42" ht="15" customHeight="1" x14ac:dyDescent="0.25">
      <c r="A35" s="75"/>
      <c r="B35" s="167">
        <f t="shared" si="2"/>
        <v>45778</v>
      </c>
      <c r="C35" s="168">
        <v>5939.0362226045963</v>
      </c>
      <c r="D35" s="129">
        <v>3470770.0467384197</v>
      </c>
      <c r="E35" s="56">
        <v>0.69000000000000006</v>
      </c>
      <c r="F35" s="168">
        <v>3596777.7757284427</v>
      </c>
      <c r="G35" s="168">
        <v>2153.0539230247118</v>
      </c>
      <c r="H35" s="129">
        <v>694154.00934768398</v>
      </c>
      <c r="I35" s="56">
        <v>0.69</v>
      </c>
      <c r="J35" s="168">
        <v>719355.55514568859</v>
      </c>
      <c r="K35" s="168">
        <v>3785.9822995798841</v>
      </c>
      <c r="L35" s="129">
        <v>2776616.0373907359</v>
      </c>
      <c r="M35" s="56">
        <v>0.69</v>
      </c>
      <c r="N35" s="168">
        <v>2877422.2205827544</v>
      </c>
      <c r="O35" s="168">
        <v>0</v>
      </c>
      <c r="P35" s="129">
        <v>0</v>
      </c>
      <c r="Q35" s="56">
        <v>0.69</v>
      </c>
      <c r="R35" s="101">
        <v>0</v>
      </c>
      <c r="S35" s="168"/>
      <c r="T35" s="129"/>
      <c r="U35" s="56"/>
      <c r="V35" s="101"/>
      <c r="W35" s="168"/>
      <c r="X35" s="129"/>
      <c r="Y35" s="56"/>
      <c r="Z35" s="101"/>
      <c r="AA35" s="168"/>
      <c r="AB35" s="129"/>
      <c r="AC35" s="56"/>
      <c r="AD35" s="101"/>
      <c r="AE35" s="168"/>
      <c r="AF35" s="129"/>
      <c r="AG35" s="56"/>
      <c r="AH35" s="101"/>
      <c r="AI35" s="168"/>
      <c r="AJ35" s="129"/>
      <c r="AK35" s="56"/>
      <c r="AL35" s="101"/>
      <c r="AM35" s="168"/>
      <c r="AN35" s="129"/>
      <c r="AO35" s="56"/>
      <c r="AP35" s="101"/>
    </row>
    <row r="36" spans="1:42" ht="15" customHeight="1" x14ac:dyDescent="0.25">
      <c r="A36" s="75"/>
      <c r="B36" s="167">
        <f t="shared" si="2"/>
        <v>45809</v>
      </c>
      <c r="C36" s="168">
        <v>5911.7749409688395</v>
      </c>
      <c r="D36" s="129">
        <v>3427349.0459658089</v>
      </c>
      <c r="E36" s="56">
        <v>0.69</v>
      </c>
      <c r="F36" s="168">
        <v>3549271.7753517777</v>
      </c>
      <c r="G36" s="168">
        <v>2147.6435684725848</v>
      </c>
      <c r="H36" s="129">
        <v>685469.80919316178</v>
      </c>
      <c r="I36" s="56">
        <v>0.69</v>
      </c>
      <c r="J36" s="168">
        <v>709854.35507035558</v>
      </c>
      <c r="K36" s="168">
        <v>3764.1313724962547</v>
      </c>
      <c r="L36" s="129">
        <v>2741879.2367726471</v>
      </c>
      <c r="M36" s="56">
        <v>0.69</v>
      </c>
      <c r="N36" s="168">
        <v>2839417.4202814223</v>
      </c>
      <c r="O36" s="168">
        <v>0</v>
      </c>
      <c r="P36" s="129">
        <v>0</v>
      </c>
      <c r="Q36" s="56">
        <v>0.69</v>
      </c>
      <c r="R36" s="101">
        <v>0</v>
      </c>
      <c r="S36" s="168"/>
      <c r="T36" s="129"/>
      <c r="U36" s="56"/>
      <c r="V36" s="101"/>
      <c r="W36" s="168"/>
      <c r="X36" s="129"/>
      <c r="Y36" s="56"/>
      <c r="Z36" s="101"/>
      <c r="AA36" s="168"/>
      <c r="AB36" s="129"/>
      <c r="AC36" s="56"/>
      <c r="AD36" s="101"/>
      <c r="AE36" s="168"/>
      <c r="AF36" s="129"/>
      <c r="AG36" s="56"/>
      <c r="AH36" s="101"/>
      <c r="AI36" s="168"/>
      <c r="AJ36" s="129"/>
      <c r="AK36" s="56"/>
      <c r="AL36" s="101"/>
      <c r="AM36" s="168"/>
      <c r="AN36" s="129"/>
      <c r="AO36" s="56"/>
      <c r="AP36" s="101"/>
    </row>
    <row r="37" spans="1:42" ht="15" customHeight="1" x14ac:dyDescent="0.25">
      <c r="A37" s="75"/>
      <c r="B37" s="167">
        <f t="shared" si="2"/>
        <v>45839</v>
      </c>
      <c r="C37" s="168">
        <v>5924.6680990402583</v>
      </c>
      <c r="D37" s="129">
        <v>3640086.821854189</v>
      </c>
      <c r="E37" s="56">
        <v>0.67000000000000015</v>
      </c>
      <c r="F37" s="168">
        <v>3765806.3357742094</v>
      </c>
      <c r="G37" s="168">
        <v>2165.2331604904689</v>
      </c>
      <c r="H37" s="129">
        <v>728017.36437083781</v>
      </c>
      <c r="I37" s="56">
        <v>0.67</v>
      </c>
      <c r="J37" s="168">
        <v>753161.26715484192</v>
      </c>
      <c r="K37" s="168">
        <v>3759.4349385497894</v>
      </c>
      <c r="L37" s="129">
        <v>2912069.4574833512</v>
      </c>
      <c r="M37" s="56">
        <v>0.67</v>
      </c>
      <c r="N37" s="168">
        <v>3012645.0686193677</v>
      </c>
      <c r="O37" s="168">
        <v>0</v>
      </c>
      <c r="P37" s="129">
        <v>0</v>
      </c>
      <c r="Q37" s="56">
        <v>0.67</v>
      </c>
      <c r="R37" s="101">
        <v>0</v>
      </c>
      <c r="S37" s="168"/>
      <c r="T37" s="129"/>
      <c r="U37" s="56"/>
      <c r="V37" s="101"/>
      <c r="W37" s="168"/>
      <c r="X37" s="129"/>
      <c r="Y37" s="56"/>
      <c r="Z37" s="101"/>
      <c r="AA37" s="168"/>
      <c r="AB37" s="129"/>
      <c r="AC37" s="56"/>
      <c r="AD37" s="101"/>
      <c r="AE37" s="168"/>
      <c r="AF37" s="129"/>
      <c r="AG37" s="56"/>
      <c r="AH37" s="101"/>
      <c r="AI37" s="168"/>
      <c r="AJ37" s="129"/>
      <c r="AK37" s="56"/>
      <c r="AL37" s="101"/>
      <c r="AM37" s="168"/>
      <c r="AN37" s="129"/>
      <c r="AO37" s="56"/>
      <c r="AP37" s="101"/>
    </row>
    <row r="38" spans="1:42" ht="15" customHeight="1" x14ac:dyDescent="0.25">
      <c r="A38" s="75"/>
      <c r="B38" s="167">
        <f t="shared" si="2"/>
        <v>45870</v>
      </c>
      <c r="C38" s="168">
        <v>5927.6268783829582</v>
      </c>
      <c r="D38" s="129">
        <v>3757964.1500469251</v>
      </c>
      <c r="E38" s="56">
        <v>0.67</v>
      </c>
      <c r="F38" s="168">
        <v>3886079.873678002</v>
      </c>
      <c r="G38" s="168">
        <v>2166.0602980809113</v>
      </c>
      <c r="H38" s="129">
        <v>751592.83000938501</v>
      </c>
      <c r="I38" s="56">
        <v>0.67</v>
      </c>
      <c r="J38" s="168">
        <v>777215.97473560041</v>
      </c>
      <c r="K38" s="168">
        <v>3761.5665803020474</v>
      </c>
      <c r="L38" s="129">
        <v>3006371.32003754</v>
      </c>
      <c r="M38" s="56">
        <v>0.67</v>
      </c>
      <c r="N38" s="168">
        <v>3108863.8989424016</v>
      </c>
      <c r="O38" s="168">
        <v>0</v>
      </c>
      <c r="P38" s="129">
        <v>0</v>
      </c>
      <c r="Q38" s="56">
        <v>0.67</v>
      </c>
      <c r="R38" s="101">
        <v>0</v>
      </c>
      <c r="S38" s="168"/>
      <c r="T38" s="129"/>
      <c r="U38" s="56"/>
      <c r="V38" s="101"/>
      <c r="W38" s="168"/>
      <c r="X38" s="129"/>
      <c r="Y38" s="56"/>
      <c r="Z38" s="101"/>
      <c r="AA38" s="168"/>
      <c r="AB38" s="129"/>
      <c r="AC38" s="56"/>
      <c r="AD38" s="101"/>
      <c r="AE38" s="168"/>
      <c r="AF38" s="129"/>
      <c r="AG38" s="56"/>
      <c r="AH38" s="101"/>
      <c r="AI38" s="168"/>
      <c r="AJ38" s="129"/>
      <c r="AK38" s="56"/>
      <c r="AL38" s="101"/>
      <c r="AM38" s="168"/>
      <c r="AN38" s="129"/>
      <c r="AO38" s="56"/>
      <c r="AP38" s="101"/>
    </row>
    <row r="39" spans="1:42" ht="15" customHeight="1" x14ac:dyDescent="0.25">
      <c r="A39" s="75"/>
      <c r="B39" s="167">
        <f t="shared" si="2"/>
        <v>45901</v>
      </c>
      <c r="C39" s="168">
        <v>5932.4171858639183</v>
      </c>
      <c r="D39" s="129">
        <v>3764534.768566445</v>
      </c>
      <c r="E39" s="56">
        <v>0.67</v>
      </c>
      <c r="F39" s="168">
        <v>3891375.6504445011</v>
      </c>
      <c r="G39" s="168">
        <v>2168.1545962418945</v>
      </c>
      <c r="H39" s="129">
        <v>752906.953713289</v>
      </c>
      <c r="I39" s="56">
        <v>0.67</v>
      </c>
      <c r="J39" s="168">
        <v>778275.13008890022</v>
      </c>
      <c r="K39" s="168">
        <v>3764.2625896220243</v>
      </c>
      <c r="L39" s="129">
        <v>3011627.814853156</v>
      </c>
      <c r="M39" s="56">
        <v>0.67</v>
      </c>
      <c r="N39" s="168">
        <v>3113100.5203556009</v>
      </c>
      <c r="O39" s="168">
        <v>0</v>
      </c>
      <c r="P39" s="129">
        <v>0</v>
      </c>
      <c r="Q39" s="56">
        <v>0.67</v>
      </c>
      <c r="R39" s="101">
        <v>0</v>
      </c>
      <c r="S39" s="168"/>
      <c r="T39" s="129"/>
      <c r="U39" s="56"/>
      <c r="V39" s="101"/>
      <c r="W39" s="168"/>
      <c r="X39" s="129"/>
      <c r="Y39" s="56"/>
      <c r="Z39" s="101"/>
      <c r="AA39" s="168"/>
      <c r="AB39" s="129"/>
      <c r="AC39" s="56"/>
      <c r="AD39" s="101"/>
      <c r="AE39" s="168"/>
      <c r="AF39" s="129"/>
      <c r="AG39" s="56"/>
      <c r="AH39" s="101"/>
      <c r="AI39" s="168"/>
      <c r="AJ39" s="129"/>
      <c r="AK39" s="56"/>
      <c r="AL39" s="101"/>
      <c r="AM39" s="168"/>
      <c r="AN39" s="129"/>
      <c r="AO39" s="56"/>
      <c r="AP39" s="101"/>
    </row>
    <row r="40" spans="1:42" ht="15" customHeight="1" x14ac:dyDescent="0.25">
      <c r="A40" s="75"/>
      <c r="B40" s="167">
        <f t="shared" si="2"/>
        <v>45931</v>
      </c>
      <c r="C40" s="168">
        <v>5945.5411663710056</v>
      </c>
      <c r="D40" s="129">
        <v>3690107.1454575313</v>
      </c>
      <c r="E40" s="56">
        <v>0.67</v>
      </c>
      <c r="F40" s="168">
        <v>3814660.7209785725</v>
      </c>
      <c r="G40" s="168">
        <v>2172.3219907342391</v>
      </c>
      <c r="H40" s="129">
        <v>738021.42909150629</v>
      </c>
      <c r="I40" s="56">
        <v>0.67</v>
      </c>
      <c r="J40" s="168">
        <v>762932.1441957145</v>
      </c>
      <c r="K40" s="168">
        <v>3773.219175636767</v>
      </c>
      <c r="L40" s="129">
        <v>2952085.7163660252</v>
      </c>
      <c r="M40" s="56">
        <v>0.67</v>
      </c>
      <c r="N40" s="168">
        <v>3051728.576782858</v>
      </c>
      <c r="O40" s="168">
        <v>0</v>
      </c>
      <c r="P40" s="129">
        <v>0</v>
      </c>
      <c r="Q40" s="56">
        <v>0.67</v>
      </c>
      <c r="R40" s="101">
        <v>0</v>
      </c>
      <c r="S40" s="168"/>
      <c r="T40" s="129"/>
      <c r="U40" s="56"/>
      <c r="V40" s="101"/>
      <c r="W40" s="168"/>
      <c r="X40" s="129"/>
      <c r="Y40" s="56"/>
      <c r="Z40" s="101"/>
      <c r="AA40" s="168"/>
      <c r="AB40" s="129"/>
      <c r="AC40" s="56"/>
      <c r="AD40" s="101"/>
      <c r="AE40" s="168"/>
      <c r="AF40" s="129"/>
      <c r="AG40" s="56"/>
      <c r="AH40" s="101"/>
      <c r="AI40" s="168"/>
      <c r="AJ40" s="129"/>
      <c r="AK40" s="56"/>
      <c r="AL40" s="101"/>
      <c r="AM40" s="168"/>
      <c r="AN40" s="129"/>
      <c r="AO40" s="56"/>
      <c r="AP40" s="101"/>
    </row>
    <row r="41" spans="1:42" ht="15" customHeight="1" x14ac:dyDescent="0.25">
      <c r="A41" s="75"/>
      <c r="B41" s="167">
        <f t="shared" si="2"/>
        <v>45962</v>
      </c>
      <c r="C41" s="168">
        <v>5527.6922998960972</v>
      </c>
      <c r="D41" s="129">
        <v>3973666.7817406254</v>
      </c>
      <c r="E41" s="56">
        <v>0.66999999999999993</v>
      </c>
      <c r="F41" s="168">
        <v>4111387.6617786167</v>
      </c>
      <c r="G41" s="168">
        <v>2019.1662365528146</v>
      </c>
      <c r="H41" s="129">
        <v>794733.35634812503</v>
      </c>
      <c r="I41" s="56">
        <v>0.67</v>
      </c>
      <c r="J41" s="168">
        <v>822277.53235572332</v>
      </c>
      <c r="K41" s="168">
        <v>3508.5260633432827</v>
      </c>
      <c r="L41" s="129">
        <v>3178933.4253925001</v>
      </c>
      <c r="M41" s="56">
        <v>0.67</v>
      </c>
      <c r="N41" s="168">
        <v>3289110.1294228933</v>
      </c>
      <c r="O41" s="168">
        <v>0</v>
      </c>
      <c r="P41" s="129">
        <v>0</v>
      </c>
      <c r="Q41" s="56">
        <v>0.67</v>
      </c>
      <c r="R41" s="101">
        <v>0</v>
      </c>
      <c r="S41" s="168"/>
      <c r="T41" s="129"/>
      <c r="U41" s="56"/>
      <c r="V41" s="101"/>
      <c r="W41" s="168"/>
      <c r="X41" s="129"/>
      <c r="Y41" s="56"/>
      <c r="Z41" s="101"/>
      <c r="AA41" s="168"/>
      <c r="AB41" s="129"/>
      <c r="AC41" s="56"/>
      <c r="AD41" s="101"/>
      <c r="AE41" s="168"/>
      <c r="AF41" s="129"/>
      <c r="AG41" s="56"/>
      <c r="AH41" s="101"/>
      <c r="AI41" s="168"/>
      <c r="AJ41" s="129"/>
      <c r="AK41" s="56"/>
      <c r="AL41" s="101"/>
      <c r="AM41" s="168"/>
      <c r="AN41" s="129"/>
      <c r="AO41" s="56"/>
      <c r="AP41" s="101"/>
    </row>
    <row r="42" spans="1:42" ht="15" customHeight="1" x14ac:dyDescent="0.25">
      <c r="A42" s="75"/>
      <c r="B42" s="195">
        <v>45992</v>
      </c>
      <c r="C42" s="196">
        <v>4678.0836263737219</v>
      </c>
      <c r="D42" s="197">
        <v>3824985.8662046581</v>
      </c>
      <c r="E42" s="41">
        <v>0.67</v>
      </c>
      <c r="F42" s="196">
        <v>3960979.7192393383</v>
      </c>
      <c r="G42" s="196">
        <v>1708.9432926032034</v>
      </c>
      <c r="H42" s="197">
        <v>764997.17324093159</v>
      </c>
      <c r="I42" s="41">
        <v>0.67</v>
      </c>
      <c r="J42" s="196">
        <v>792195.94384786766</v>
      </c>
      <c r="K42" s="196">
        <v>2969.1403337705187</v>
      </c>
      <c r="L42" s="197">
        <v>3059988.6929637264</v>
      </c>
      <c r="M42" s="41">
        <v>0.67</v>
      </c>
      <c r="N42" s="196">
        <v>3168783.7753914706</v>
      </c>
      <c r="O42" s="168">
        <v>0</v>
      </c>
      <c r="P42" s="129">
        <v>0</v>
      </c>
      <c r="Q42" s="56">
        <v>0.67</v>
      </c>
      <c r="R42" s="101">
        <v>0</v>
      </c>
      <c r="S42" s="168"/>
      <c r="T42" s="129"/>
      <c r="U42" s="56"/>
      <c r="V42" s="101"/>
      <c r="W42" s="168"/>
      <c r="X42" s="129"/>
      <c r="Y42" s="56"/>
      <c r="Z42" s="101"/>
      <c r="AA42" s="168"/>
      <c r="AB42" s="129"/>
      <c r="AC42" s="56"/>
      <c r="AD42" s="101"/>
      <c r="AE42" s="168"/>
      <c r="AF42" s="129"/>
      <c r="AG42" s="56"/>
      <c r="AH42" s="101"/>
      <c r="AI42" s="168"/>
      <c r="AJ42" s="129"/>
      <c r="AK42" s="56"/>
      <c r="AL42" s="101"/>
      <c r="AM42" s="168"/>
      <c r="AN42" s="129"/>
      <c r="AO42" s="56"/>
      <c r="AP42" s="101"/>
    </row>
    <row r="43" spans="1:42" x14ac:dyDescent="0.25">
      <c r="D43" s="169"/>
    </row>
    <row r="44" spans="1:42" x14ac:dyDescent="0.25">
      <c r="A44" s="170" t="s">
        <v>290</v>
      </c>
      <c r="B44" t="s">
        <v>295</v>
      </c>
      <c r="C44" t="s">
        <v>336</v>
      </c>
      <c r="D44">
        <v>2</v>
      </c>
      <c r="F44" s="328"/>
      <c r="G44" s="329"/>
    </row>
    <row r="45" spans="1:42" x14ac:dyDescent="0.25">
      <c r="B45" t="s">
        <v>296</v>
      </c>
      <c r="C45" t="s">
        <v>337</v>
      </c>
      <c r="D45">
        <v>3</v>
      </c>
      <c r="F45" s="328"/>
    </row>
    <row r="46" spans="1:42" ht="15.75" x14ac:dyDescent="0.25">
      <c r="B46" t="s">
        <v>297</v>
      </c>
      <c r="C46" t="s">
        <v>338</v>
      </c>
      <c r="D46">
        <v>4</v>
      </c>
      <c r="K46" s="289"/>
      <c r="L46" s="289"/>
      <c r="M46" s="289"/>
      <c r="N46" s="289"/>
    </row>
    <row r="47" spans="1:42" x14ac:dyDescent="0.25">
      <c r="B47" t="s">
        <v>298</v>
      </c>
      <c r="C47" t="s">
        <v>339</v>
      </c>
      <c r="D47">
        <v>5</v>
      </c>
    </row>
    <row r="48" spans="1:42" x14ac:dyDescent="0.25">
      <c r="B48" s="328" t="s">
        <v>480</v>
      </c>
      <c r="C48" s="329" t="s">
        <v>482</v>
      </c>
      <c r="D48">
        <v>6</v>
      </c>
    </row>
    <row r="49" spans="2:42" x14ac:dyDescent="0.25">
      <c r="B49" s="328" t="s">
        <v>481</v>
      </c>
      <c r="C49" t="s">
        <v>483</v>
      </c>
      <c r="D49">
        <v>7</v>
      </c>
    </row>
    <row r="51" spans="2:42" x14ac:dyDescent="0.25">
      <c r="C51" t="s">
        <v>291</v>
      </c>
      <c r="D51" t="s">
        <v>291</v>
      </c>
      <c r="E51" t="s">
        <v>291</v>
      </c>
      <c r="F51" t="s">
        <v>291</v>
      </c>
      <c r="G51" t="s">
        <v>291</v>
      </c>
      <c r="H51" t="s">
        <v>291</v>
      </c>
      <c r="I51" t="s">
        <v>291</v>
      </c>
      <c r="J51" t="s">
        <v>291</v>
      </c>
      <c r="K51" t="s">
        <v>291</v>
      </c>
      <c r="L51" t="s">
        <v>291</v>
      </c>
      <c r="M51" t="s">
        <v>291</v>
      </c>
      <c r="N51" t="s">
        <v>291</v>
      </c>
      <c r="O51" t="s">
        <v>291</v>
      </c>
      <c r="P51" t="s">
        <v>291</v>
      </c>
      <c r="Q51" t="s">
        <v>291</v>
      </c>
      <c r="R51" t="s">
        <v>291</v>
      </c>
    </row>
    <row r="52" spans="2:42" x14ac:dyDescent="0.25">
      <c r="C52" s="171" t="s">
        <v>1</v>
      </c>
      <c r="D52" s="171" t="s">
        <v>1</v>
      </c>
      <c r="E52" s="171" t="s">
        <v>1</v>
      </c>
      <c r="F52" s="171" t="s">
        <v>1</v>
      </c>
      <c r="G52" s="58" t="s">
        <v>183</v>
      </c>
      <c r="H52" s="58" t="s">
        <v>183</v>
      </c>
      <c r="I52" s="58" t="s">
        <v>183</v>
      </c>
      <c r="J52" s="172" t="s">
        <v>183</v>
      </c>
      <c r="K52" s="58" t="s">
        <v>294</v>
      </c>
      <c r="L52" s="58" t="s">
        <v>294</v>
      </c>
      <c r="M52" s="58" t="s">
        <v>294</v>
      </c>
      <c r="N52" s="172" t="s">
        <v>294</v>
      </c>
      <c r="O52" s="58" t="s">
        <v>204</v>
      </c>
      <c r="P52" s="58" t="s">
        <v>204</v>
      </c>
      <c r="Q52" s="58" t="s">
        <v>204</v>
      </c>
      <c r="R52" s="172" t="s">
        <v>204</v>
      </c>
      <c r="S52" s="159"/>
      <c r="T52" s="159"/>
      <c r="U52" s="159"/>
      <c r="V52" s="160"/>
      <c r="W52" s="159"/>
      <c r="X52" s="159"/>
      <c r="Y52" s="159"/>
      <c r="Z52" s="160"/>
      <c r="AA52" s="161"/>
      <c r="AB52" s="161"/>
      <c r="AC52" s="161"/>
      <c r="AD52" s="161"/>
      <c r="AE52" s="162"/>
      <c r="AF52" s="162"/>
      <c r="AG52" s="162"/>
      <c r="AH52" s="163"/>
      <c r="AI52" s="162"/>
      <c r="AJ52" s="162"/>
      <c r="AK52" s="162"/>
      <c r="AL52" s="163"/>
      <c r="AM52" s="164"/>
      <c r="AN52" s="164"/>
      <c r="AO52" s="164"/>
      <c r="AP52" s="165"/>
    </row>
    <row r="53" spans="2:42" x14ac:dyDescent="0.25">
      <c r="C53" s="166" t="s">
        <v>286</v>
      </c>
      <c r="D53" s="166" t="s">
        <v>287</v>
      </c>
      <c r="E53" s="166" t="s">
        <v>288</v>
      </c>
      <c r="F53" s="166" t="s">
        <v>289</v>
      </c>
      <c r="G53" s="166" t="s">
        <v>286</v>
      </c>
      <c r="H53" s="166" t="s">
        <v>287</v>
      </c>
      <c r="I53" s="166" t="s">
        <v>288</v>
      </c>
      <c r="J53" s="166" t="s">
        <v>289</v>
      </c>
      <c r="K53" s="166" t="s">
        <v>286</v>
      </c>
      <c r="L53" s="166" t="s">
        <v>287</v>
      </c>
      <c r="M53" s="166" t="s">
        <v>288</v>
      </c>
      <c r="N53" s="166" t="s">
        <v>289</v>
      </c>
      <c r="O53" s="166" t="s">
        <v>286</v>
      </c>
      <c r="P53" s="166" t="s">
        <v>287</v>
      </c>
      <c r="Q53" s="166" t="s">
        <v>288</v>
      </c>
      <c r="R53" s="166" t="s">
        <v>289</v>
      </c>
      <c r="S53" s="166"/>
      <c r="T53" s="166"/>
      <c r="U53" s="166"/>
      <c r="V53" s="166"/>
      <c r="W53" s="166"/>
      <c r="X53" s="166"/>
      <c r="Y53" s="166"/>
      <c r="Z53" s="166"/>
      <c r="AA53" s="166"/>
      <c r="AB53" s="166"/>
      <c r="AC53" s="166"/>
      <c r="AD53" s="166"/>
      <c r="AE53" s="166"/>
      <c r="AF53" s="166"/>
      <c r="AG53" s="166"/>
      <c r="AH53" s="166"/>
      <c r="AI53" s="166"/>
      <c r="AJ53" s="166"/>
      <c r="AK53" s="166"/>
      <c r="AL53" s="166"/>
      <c r="AM53" s="166"/>
      <c r="AN53" s="166"/>
      <c r="AO53" s="166"/>
      <c r="AP53" s="166"/>
    </row>
    <row r="54" spans="2:42" ht="15" customHeight="1" x14ac:dyDescent="0.25">
      <c r="B54" s="73">
        <f t="shared" ref="B54:B90" si="3">B6</f>
        <v>44896</v>
      </c>
      <c r="C54" s="168" t="str">
        <f>IFERROR(G54+K54+O54,"-")</f>
        <v>-</v>
      </c>
      <c r="D54" s="129" t="str">
        <f t="shared" ref="D54:D90" si="4">IFERROR(H54+L54+P54,"-")</f>
        <v>-</v>
      </c>
      <c r="E54" s="56"/>
      <c r="F54" s="129" t="str">
        <f t="shared" ref="F54:F90" si="5">IFERROR(J54+N54+R54,"-")</f>
        <v>-</v>
      </c>
      <c r="G54" s="168" t="str">
        <f>IFERROR(G6*IF(G$2=$B$44,'Dev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54" s="129" t="str">
        <f>IFERROR(H6*IF(H$2=$B$44,'Dev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54" s="56" t="str">
        <f>IFERROR(I6*IF(I$2=$B$44,'Dev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54" s="168" t="str">
        <f>IFERROR(J6*IF(J$2=$B$44,'Dev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54" s="168" t="str">
        <f>IFERROR(K6*IF(K$2=$B$44,'Dev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54" s="129" t="str">
        <f>IFERROR(L6*IF(L$2=$B$44,'Dev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54" s="56" t="str">
        <f>IFERROR(M6*IF(M$2=$B$44,'Dev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54" s="168" t="str">
        <f>IFERROR(N6*IF(N$2=$B$44,'Dev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54" s="168" t="str">
        <f>IFERROR(O6*IF(O$2=$B$44,'Dev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54" s="129" t="str">
        <f>IFERROR(P6*IF(P$2=$B$44,'Dev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54" s="56" t="str">
        <f>IFERROR(Q6*IF(Q$2=$B$44,'Dev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54" s="101" t="str">
        <f>IFERROR(R6*IF(R$2=$B$44,'Dev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54" s="168"/>
      <c r="T54" s="129"/>
      <c r="U54" s="56"/>
      <c r="V54" s="101"/>
      <c r="W54" s="168"/>
      <c r="X54" s="129"/>
      <c r="Y54" s="56"/>
      <c r="Z54" s="101"/>
      <c r="AA54" s="168"/>
      <c r="AB54" s="129"/>
      <c r="AC54" s="56"/>
      <c r="AD54" s="101"/>
      <c r="AE54" s="168"/>
      <c r="AF54" s="129"/>
      <c r="AG54" s="56"/>
      <c r="AH54" s="101"/>
      <c r="AI54" s="168"/>
      <c r="AJ54" s="129"/>
      <c r="AK54" s="56"/>
      <c r="AL54" s="101"/>
      <c r="AM54" s="168"/>
      <c r="AN54" s="129"/>
      <c r="AO54" s="56"/>
      <c r="AP54" s="101"/>
    </row>
    <row r="55" spans="2:42" ht="15" customHeight="1" x14ac:dyDescent="0.25">
      <c r="B55" s="73">
        <f t="shared" si="3"/>
        <v>44927</v>
      </c>
      <c r="C55" s="168" t="str">
        <f t="shared" ref="C55:C90" si="6">IFERROR(G55+K55+O55,"-")</f>
        <v>-</v>
      </c>
      <c r="D55" s="129" t="str">
        <f t="shared" si="4"/>
        <v>-</v>
      </c>
      <c r="E55" s="56"/>
      <c r="F55" s="129" t="str">
        <f t="shared" si="5"/>
        <v>-</v>
      </c>
      <c r="G55" s="168" t="str">
        <f>IFERROR(G7*IF(G$2=$B$44,'Dev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55" s="129" t="str">
        <f>IFERROR(H7*IF(H$2=$B$44,'Dev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55" s="56" t="str">
        <f>IFERROR(I7*IF(I$2=$B$44,'Dev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55" s="168" t="str">
        <f>IFERROR(J7*IF(J$2=$B$44,'Dev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55" s="168" t="str">
        <f>IFERROR(K7*IF(K$2=$B$44,'Dev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55" s="129" t="str">
        <f>IFERROR(L7*IF(L$2=$B$44,'Dev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55" s="56" t="str">
        <f>IFERROR(M7*IF(M$2=$B$44,'Dev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55" s="168" t="str">
        <f>IFERROR(N7*IF(N$2=$B$44,'Dev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55" s="168" t="str">
        <f>IFERROR(O7*IF(O$2=$B$44,'Dev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55" s="129" t="str">
        <f>IFERROR(P7*IF(P$2=$B$44,'Dev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55" s="56" t="str">
        <f>IFERROR(Q7*IF(Q$2=$B$44,'Dev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55" s="101" t="str">
        <f>IFERROR(R7*IF(R$2=$B$44,'Dev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55" s="168"/>
      <c r="T55" s="129"/>
      <c r="U55" s="56"/>
      <c r="V55" s="101"/>
      <c r="W55" s="168"/>
      <c r="X55" s="129"/>
      <c r="Y55" s="56"/>
      <c r="Z55" s="101"/>
      <c r="AA55" s="168"/>
      <c r="AB55" s="129"/>
      <c r="AC55" s="56"/>
      <c r="AD55" s="101"/>
      <c r="AE55" s="168"/>
      <c r="AF55" s="129"/>
      <c r="AG55" s="56"/>
      <c r="AH55" s="101"/>
      <c r="AI55" s="168"/>
      <c r="AJ55" s="129"/>
      <c r="AK55" s="56"/>
      <c r="AL55" s="101"/>
      <c r="AM55" s="168"/>
      <c r="AN55" s="129"/>
      <c r="AO55" s="56"/>
      <c r="AP55" s="101"/>
    </row>
    <row r="56" spans="2:42" ht="15" customHeight="1" x14ac:dyDescent="0.25">
      <c r="B56" s="73">
        <f t="shared" si="3"/>
        <v>44958</v>
      </c>
      <c r="C56" s="168" t="str">
        <f t="shared" si="6"/>
        <v>-</v>
      </c>
      <c r="D56" s="129" t="str">
        <f t="shared" si="4"/>
        <v>-</v>
      </c>
      <c r="E56" s="56"/>
      <c r="F56" s="129" t="str">
        <f t="shared" si="5"/>
        <v>-</v>
      </c>
      <c r="G56" s="168" t="str">
        <f>IFERROR(G8*IF(G$2=$B$44,'Dev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56" s="129" t="str">
        <f>IFERROR(H8*IF(H$2=$B$44,'Dev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56" s="56" t="str">
        <f>IFERROR(I8*IF(I$2=$B$44,'Dev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56" s="168" t="str">
        <f>IFERROR(J8*IF(J$2=$B$44,'Dev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56" s="168" t="str">
        <f>IFERROR(K8*IF(K$2=$B$44,'Dev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56" s="129" t="str">
        <f>IFERROR(L8*IF(L$2=$B$44,'Dev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56" s="56" t="str">
        <f>IFERROR(M8*IF(M$2=$B$44,'Dev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56" s="168" t="str">
        <f>IFERROR(N8*IF(N$2=$B$44,'Dev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56" s="168" t="str">
        <f>IFERROR(O8*IF(O$2=$B$44,'Dev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56" s="129" t="str">
        <f>IFERROR(P8*IF(P$2=$B$44,'Dev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56" s="56" t="str">
        <f>IFERROR(Q8*IF(Q$2=$B$44,'Dev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56" s="101" t="str">
        <f>IFERROR(R8*IF(R$2=$B$44,'Dev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56" s="168"/>
      <c r="T56" s="129"/>
      <c r="U56" s="56"/>
      <c r="V56" s="101"/>
      <c r="W56" s="168"/>
      <c r="X56" s="129"/>
      <c r="Y56" s="56"/>
      <c r="Z56" s="101"/>
      <c r="AA56" s="168"/>
      <c r="AB56" s="129"/>
      <c r="AC56" s="56"/>
      <c r="AD56" s="101"/>
      <c r="AE56" s="168"/>
      <c r="AF56" s="129"/>
      <c r="AG56" s="56"/>
      <c r="AH56" s="101"/>
      <c r="AI56" s="168"/>
      <c r="AJ56" s="129"/>
      <c r="AK56" s="56"/>
      <c r="AL56" s="101"/>
      <c r="AM56" s="168"/>
      <c r="AN56" s="129"/>
      <c r="AO56" s="56"/>
      <c r="AP56" s="101"/>
    </row>
    <row r="57" spans="2:42" ht="15" customHeight="1" x14ac:dyDescent="0.25">
      <c r="B57" s="73">
        <f t="shared" si="3"/>
        <v>44986</v>
      </c>
      <c r="C57" s="168" t="str">
        <f t="shared" si="6"/>
        <v>-</v>
      </c>
      <c r="D57" s="129" t="str">
        <f t="shared" si="4"/>
        <v>-</v>
      </c>
      <c r="E57" s="56"/>
      <c r="F57" s="129" t="str">
        <f t="shared" si="5"/>
        <v>-</v>
      </c>
      <c r="G57" s="168" t="str">
        <f>IFERROR(G9*IF(G$2=$B$44,'Dev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57" s="129" t="str">
        <f>IFERROR(H9*IF(H$2=$B$44,'Dev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57" s="56" t="str">
        <f>IFERROR(I9*IF(I$2=$B$44,'Dev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57" s="168" t="str">
        <f>IFERROR(J9*IF(J$2=$B$44,'Dev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57" s="168" t="str">
        <f>IFERROR(K9*IF(K$2=$B$44,'Dev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57" s="129" t="str">
        <f>IFERROR(L9*IF(L$2=$B$44,'Dev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57" s="56" t="str">
        <f>IFERROR(M9*IF(M$2=$B$44,'Dev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57" s="168" t="str">
        <f>IFERROR(N9*IF(N$2=$B$44,'Dev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57" s="168" t="str">
        <f>IFERROR(O9*IF(O$2=$B$44,'Dev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57" s="129" t="str">
        <f>IFERROR(P9*IF(P$2=$B$44,'Dev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57" s="56" t="str">
        <f>IFERROR(Q9*IF(Q$2=$B$44,'Dev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57" s="101" t="str">
        <f>IFERROR(R9*IF(R$2=$B$44,'Dev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57" s="168"/>
      <c r="T57" s="129"/>
      <c r="U57" s="56"/>
      <c r="V57" s="101"/>
      <c r="W57" s="168"/>
      <c r="X57" s="129"/>
      <c r="Y57" s="56"/>
      <c r="Z57" s="101"/>
      <c r="AA57" s="168"/>
      <c r="AB57" s="129"/>
      <c r="AC57" s="56"/>
      <c r="AD57" s="101"/>
      <c r="AE57" s="168"/>
      <c r="AF57" s="129"/>
      <c r="AG57" s="56"/>
      <c r="AH57" s="101"/>
      <c r="AI57" s="168"/>
      <c r="AJ57" s="129"/>
      <c r="AK57" s="56"/>
      <c r="AL57" s="101"/>
      <c r="AM57" s="168"/>
      <c r="AN57" s="129"/>
      <c r="AO57" s="56"/>
      <c r="AP57" s="101"/>
    </row>
    <row r="58" spans="2:42" ht="15" customHeight="1" x14ac:dyDescent="0.25">
      <c r="B58" s="73">
        <f t="shared" si="3"/>
        <v>45017</v>
      </c>
      <c r="C58" s="168" t="str">
        <f t="shared" si="6"/>
        <v>-</v>
      </c>
      <c r="D58" s="129" t="str">
        <f t="shared" si="4"/>
        <v>-</v>
      </c>
      <c r="E58" s="56"/>
      <c r="F58" s="129" t="str">
        <f t="shared" si="5"/>
        <v>-</v>
      </c>
      <c r="G58" s="168" t="str">
        <f>IFERROR(G10*IF(G$2=$B$44,'Dev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58" s="129" t="str">
        <f>IFERROR(H10*IF(H$2=$B$44,'Dev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58" s="56" t="str">
        <f>IFERROR(I10*IF(I$2=$B$44,'Dev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58" s="168" t="str">
        <f>IFERROR(J10*IF(J$2=$B$44,'Dev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58" s="168" t="str">
        <f>IFERROR(K10*IF(K$2=$B$44,'Dev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58" s="129" t="str">
        <f>IFERROR(L10*IF(L$2=$B$44,'Dev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58" s="56" t="str">
        <f>IFERROR(M10*IF(M$2=$B$44,'Dev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58" s="168" t="str">
        <f>IFERROR(N10*IF(N$2=$B$44,'Dev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58" s="168" t="str">
        <f>IFERROR(O10*IF(O$2=$B$44,'Dev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58" s="129" t="str">
        <f>IFERROR(P10*IF(P$2=$B$44,'Dev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58" s="56" t="str">
        <f>IFERROR(Q10*IF(Q$2=$B$44,'Dev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58" s="101" t="str">
        <f>IFERROR(R10*IF(R$2=$B$44,'Dev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58" s="168"/>
      <c r="T58" s="129"/>
      <c r="U58" s="56"/>
      <c r="V58" s="101"/>
      <c r="W58" s="168"/>
      <c r="X58" s="129"/>
      <c r="Y58" s="56"/>
      <c r="Z58" s="101"/>
      <c r="AA58" s="168"/>
      <c r="AB58" s="129"/>
      <c r="AC58" s="56"/>
      <c r="AD58" s="101"/>
      <c r="AE58" s="168"/>
      <c r="AF58" s="129"/>
      <c r="AG58" s="56"/>
      <c r="AH58" s="101"/>
      <c r="AI58" s="168"/>
      <c r="AJ58" s="129"/>
      <c r="AK58" s="56"/>
      <c r="AL58" s="101"/>
      <c r="AM58" s="168"/>
      <c r="AN58" s="129"/>
      <c r="AO58" s="56"/>
      <c r="AP58" s="101"/>
    </row>
    <row r="59" spans="2:42" ht="15" customHeight="1" x14ac:dyDescent="0.25">
      <c r="B59" s="73">
        <f t="shared" si="3"/>
        <v>45047</v>
      </c>
      <c r="C59" s="168" t="str">
        <f t="shared" si="6"/>
        <v>-</v>
      </c>
      <c r="D59" s="129" t="str">
        <f t="shared" si="4"/>
        <v>-</v>
      </c>
      <c r="E59" s="56"/>
      <c r="F59" s="129" t="str">
        <f t="shared" si="5"/>
        <v>-</v>
      </c>
      <c r="G59" s="168" t="str">
        <f>IFERROR(G11*IF(G$2=$B$44,'Dev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59" s="129" t="str">
        <f>IFERROR(H11*IF(H$2=$B$44,'Dev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59" s="56" t="str">
        <f>IFERROR(I11*IF(I$2=$B$44,'Dev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59" s="168" t="str">
        <f>IFERROR(J11*IF(J$2=$B$44,'Dev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59" s="168" t="str">
        <f>IFERROR(K11*IF(K$2=$B$44,'Dev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59" s="129" t="str">
        <f>IFERROR(L11*IF(L$2=$B$44,'Dev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59" s="56" t="str">
        <f>IFERROR(M11*IF(M$2=$B$44,'Dev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59" s="168" t="str">
        <f>IFERROR(N11*IF(N$2=$B$44,'Dev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59" s="168" t="str">
        <f>IFERROR(O11*IF(O$2=$B$44,'Dev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59" s="129" t="str">
        <f>IFERROR(P11*IF(P$2=$B$44,'Dev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59" s="56" t="str">
        <f>IFERROR(Q11*IF(Q$2=$B$44,'Dev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59" s="101" t="str">
        <f>IFERROR(R11*IF(R$2=$B$44,'Dev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59" s="168"/>
      <c r="T59" s="129"/>
      <c r="U59" s="56"/>
      <c r="V59" s="101"/>
      <c r="W59" s="168"/>
      <c r="X59" s="129"/>
      <c r="Y59" s="56"/>
      <c r="Z59" s="101"/>
      <c r="AA59" s="168"/>
      <c r="AB59" s="129"/>
      <c r="AC59" s="56"/>
      <c r="AD59" s="101"/>
      <c r="AE59" s="168"/>
      <c r="AF59" s="129"/>
      <c r="AG59" s="56"/>
      <c r="AH59" s="101"/>
      <c r="AI59" s="168"/>
      <c r="AJ59" s="129"/>
      <c r="AK59" s="56"/>
      <c r="AL59" s="101"/>
      <c r="AM59" s="168"/>
      <c r="AN59" s="129"/>
      <c r="AO59" s="56"/>
      <c r="AP59" s="101"/>
    </row>
    <row r="60" spans="2:42" ht="15" customHeight="1" x14ac:dyDescent="0.25">
      <c r="B60" s="73">
        <f t="shared" si="3"/>
        <v>45078</v>
      </c>
      <c r="C60" s="168" t="str">
        <f t="shared" si="6"/>
        <v>-</v>
      </c>
      <c r="D60" s="129" t="str">
        <f t="shared" si="4"/>
        <v>-</v>
      </c>
      <c r="E60" s="56"/>
      <c r="F60" s="129" t="str">
        <f t="shared" si="5"/>
        <v>-</v>
      </c>
      <c r="G60" s="168" t="str">
        <f>IFERROR(G12*IF(G$2=$B$44,'Dev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60" s="129" t="str">
        <f>IFERROR(H12*IF(H$2=$B$44,'Dev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60" s="56" t="str">
        <f>IFERROR(I12*IF(I$2=$B$44,'Dev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60" s="168" t="str">
        <f>IFERROR(J12*IF(J$2=$B$44,'Dev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60" s="168" t="str">
        <f>IFERROR(K12*IF(K$2=$B$44,'Dev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60" s="129" t="str">
        <f>IFERROR(L12*IF(L$2=$B$44,'Dev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60" s="56" t="str">
        <f>IFERROR(M12*IF(M$2=$B$44,'Dev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60" s="168" t="str">
        <f>IFERROR(N12*IF(N$2=$B$44,'Dev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60" s="168" t="str">
        <f>IFERROR(O12*IF(O$2=$B$44,'Dev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60" s="129" t="str">
        <f>IFERROR(P12*IF(P$2=$B$44,'Dev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60" s="56" t="str">
        <f>IFERROR(Q12*IF(Q$2=$B$44,'Dev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60" s="101" t="str">
        <f>IFERROR(R12*IF(R$2=$B$44,'Dev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60" s="168"/>
      <c r="T60" s="129"/>
      <c r="U60" s="56"/>
      <c r="V60" s="101"/>
      <c r="W60" s="168"/>
      <c r="X60" s="129"/>
      <c r="Y60" s="56"/>
      <c r="Z60" s="101"/>
      <c r="AA60" s="168"/>
      <c r="AB60" s="129"/>
      <c r="AC60" s="56"/>
      <c r="AD60" s="101"/>
      <c r="AE60" s="168"/>
      <c r="AF60" s="129"/>
      <c r="AG60" s="56"/>
      <c r="AH60" s="101"/>
      <c r="AI60" s="168"/>
      <c r="AJ60" s="129"/>
      <c r="AK60" s="56"/>
      <c r="AL60" s="101"/>
      <c r="AM60" s="168"/>
      <c r="AN60" s="129"/>
      <c r="AO60" s="56"/>
      <c r="AP60" s="101"/>
    </row>
    <row r="61" spans="2:42" ht="15" customHeight="1" x14ac:dyDescent="0.25">
      <c r="B61" s="73">
        <f t="shared" si="3"/>
        <v>45108</v>
      </c>
      <c r="C61" s="168" t="str">
        <f t="shared" si="6"/>
        <v>-</v>
      </c>
      <c r="D61" s="129" t="str">
        <f t="shared" si="4"/>
        <v>-</v>
      </c>
      <c r="E61" s="56"/>
      <c r="F61" s="129" t="str">
        <f t="shared" si="5"/>
        <v>-</v>
      </c>
      <c r="G61" s="168" t="str">
        <f>IFERROR(G13*IF(G$2=$B$44,'Dev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61" s="129" t="str">
        <f>IFERROR(H13*IF(H$2=$B$44,'Dev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61" s="56" t="str">
        <f>IFERROR(I13*IF(I$2=$B$44,'Dev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61" s="168" t="str">
        <f>IFERROR(J13*IF(J$2=$B$44,'Dev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61" s="168" t="str">
        <f>IFERROR(K13*IF(K$2=$B$44,'Dev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61" s="129" t="str">
        <f>IFERROR(L13*IF(L$2=$B$44,'Dev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61" s="56" t="str">
        <f>IFERROR(M13*IF(M$2=$B$44,'Dev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61" s="168" t="str">
        <f>IFERROR(N13*IF(N$2=$B$44,'Dev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61" s="168" t="str">
        <f>IFERROR(O13*IF(O$2=$B$44,'Dev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61" s="129" t="str">
        <f>IFERROR(P13*IF(P$2=$B$44,'Dev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61" s="56" t="str">
        <f>IFERROR(Q13*IF(Q$2=$B$44,'Dev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61" s="101" t="str">
        <f>IFERROR(R13*IF(R$2=$B$44,'Dev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61" s="168"/>
      <c r="T61" s="129"/>
      <c r="U61" s="56"/>
      <c r="V61" s="101"/>
      <c r="W61" s="168"/>
      <c r="X61" s="129"/>
      <c r="Y61" s="56"/>
      <c r="Z61" s="101"/>
      <c r="AA61" s="168"/>
      <c r="AB61" s="129"/>
      <c r="AC61" s="56"/>
      <c r="AD61" s="101"/>
      <c r="AE61" s="168"/>
      <c r="AF61" s="129"/>
      <c r="AG61" s="56"/>
      <c r="AH61" s="101"/>
      <c r="AI61" s="168"/>
      <c r="AJ61" s="129"/>
      <c r="AK61" s="56"/>
      <c r="AL61" s="101"/>
      <c r="AM61" s="168"/>
      <c r="AN61" s="129"/>
      <c r="AO61" s="56"/>
      <c r="AP61" s="101"/>
    </row>
    <row r="62" spans="2:42" ht="15" customHeight="1" x14ac:dyDescent="0.25">
      <c r="B62" s="73">
        <f t="shared" si="3"/>
        <v>45139</v>
      </c>
      <c r="C62" s="168" t="str">
        <f t="shared" si="6"/>
        <v>-</v>
      </c>
      <c r="D62" s="129" t="str">
        <f t="shared" si="4"/>
        <v>-</v>
      </c>
      <c r="E62" s="56"/>
      <c r="F62" s="129" t="str">
        <f t="shared" si="5"/>
        <v>-</v>
      </c>
      <c r="G62" s="168" t="str">
        <f>IFERROR(G14*IF(G$2=$B$44,'Dev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62" s="129" t="str">
        <f>IFERROR(H14*IF(H$2=$B$44,'Dev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62" s="56" t="str">
        <f>IFERROR(I14*IF(I$2=$B$44,'Dev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62" s="168" t="str">
        <f>IFERROR(J14*IF(J$2=$B$44,'Dev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62" s="168" t="str">
        <f>IFERROR(K14*IF(K$2=$B$44,'Dev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62" s="129" t="str">
        <f>IFERROR(L14*IF(L$2=$B$44,'Dev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62" s="56" t="str">
        <f>IFERROR(M14*IF(M$2=$B$44,'Dev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62" s="168" t="str">
        <f>IFERROR(N14*IF(N$2=$B$44,'Dev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62" s="168" t="str">
        <f>IFERROR(O14*IF(O$2=$B$44,'Dev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62" s="129" t="str">
        <f>IFERROR(P14*IF(P$2=$B$44,'Dev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62" s="56" t="str">
        <f>IFERROR(Q14*IF(Q$2=$B$44,'Dev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62" s="101" t="str">
        <f>IFERROR(R14*IF(R$2=$B$44,'Dev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62" s="168"/>
      <c r="T62" s="129"/>
      <c r="U62" s="56"/>
      <c r="V62" s="101"/>
      <c r="W62" s="168"/>
      <c r="X62" s="129"/>
      <c r="Y62" s="56"/>
      <c r="Z62" s="101"/>
      <c r="AA62" s="168"/>
      <c r="AB62" s="129"/>
      <c r="AC62" s="56"/>
      <c r="AD62" s="101"/>
      <c r="AE62" s="168"/>
      <c r="AF62" s="129"/>
      <c r="AG62" s="56"/>
      <c r="AH62" s="101"/>
      <c r="AI62" s="168"/>
      <c r="AJ62" s="129"/>
      <c r="AK62" s="56"/>
      <c r="AL62" s="101"/>
      <c r="AM62" s="168"/>
      <c r="AN62" s="129"/>
      <c r="AO62" s="56"/>
      <c r="AP62" s="101"/>
    </row>
    <row r="63" spans="2:42" ht="15" customHeight="1" x14ac:dyDescent="0.25">
      <c r="B63" s="73">
        <f t="shared" si="3"/>
        <v>45170</v>
      </c>
      <c r="C63" s="168" t="str">
        <f t="shared" si="6"/>
        <v>-</v>
      </c>
      <c r="D63" s="129" t="str">
        <f t="shared" si="4"/>
        <v>-</v>
      </c>
      <c r="E63" s="56"/>
      <c r="F63" s="129" t="str">
        <f t="shared" si="5"/>
        <v>-</v>
      </c>
      <c r="G63" s="168" t="str">
        <f>IFERROR(G15*IF(G$2=$B$44,'Dev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63" s="129" t="str">
        <f>IFERROR(H15*IF(H$2=$B$44,'Dev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63" s="56" t="str">
        <f>IFERROR(I15*IF(I$2=$B$44,'Dev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63" s="168" t="str">
        <f>IFERROR(J15*IF(J$2=$B$44,'Dev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63" s="168" t="str">
        <f>IFERROR(K15*IF(K$2=$B$44,'Dev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63" s="129" t="str">
        <f>IFERROR(L15*IF(L$2=$B$44,'Dev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63" s="56" t="str">
        <f>IFERROR(M15*IF(M$2=$B$44,'Dev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63" s="168" t="str">
        <f>IFERROR(N15*IF(N$2=$B$44,'Dev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63" s="168" t="str">
        <f>IFERROR(O15*IF(O$2=$B$44,'Dev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63" s="129" t="str">
        <f>IFERROR(P15*IF(P$2=$B$44,'Dev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63" s="56" t="str">
        <f>IFERROR(Q15*IF(Q$2=$B$44,'Dev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63" s="101" t="str">
        <f>IFERROR(R15*IF(R$2=$B$44,'Dev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63" s="168"/>
      <c r="T63" s="129"/>
      <c r="U63" s="56"/>
      <c r="V63" s="101"/>
      <c r="W63" s="168"/>
      <c r="X63" s="129"/>
      <c r="Y63" s="56"/>
      <c r="Z63" s="101"/>
      <c r="AA63" s="168"/>
      <c r="AB63" s="129"/>
      <c r="AC63" s="56"/>
      <c r="AD63" s="101"/>
      <c r="AE63" s="168"/>
      <c r="AF63" s="129"/>
      <c r="AG63" s="56"/>
      <c r="AH63" s="101"/>
      <c r="AI63" s="168"/>
      <c r="AJ63" s="129"/>
      <c r="AK63" s="56"/>
      <c r="AL63" s="101"/>
      <c r="AM63" s="168"/>
      <c r="AN63" s="129"/>
      <c r="AO63" s="56"/>
      <c r="AP63" s="101"/>
    </row>
    <row r="64" spans="2:42" ht="15" customHeight="1" x14ac:dyDescent="0.25">
      <c r="B64" s="73">
        <f t="shared" si="3"/>
        <v>45200</v>
      </c>
      <c r="C64" s="168" t="str">
        <f t="shared" si="6"/>
        <v>-</v>
      </c>
      <c r="D64" s="129" t="str">
        <f t="shared" si="4"/>
        <v>-</v>
      </c>
      <c r="E64" s="56"/>
      <c r="F64" s="129" t="str">
        <f t="shared" si="5"/>
        <v>-</v>
      </c>
      <c r="G64" s="168" t="str">
        <f>IFERROR(G16*IF(G$2=$B$44,'Dev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-</v>
      </c>
      <c r="H64" s="129" t="str">
        <f>IFERROR(H16*IF(H$2=$B$44,'Dev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-</v>
      </c>
      <c r="I64" s="56" t="str">
        <f>IFERROR(I16*IF(I$2=$B$44,'Dev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-</v>
      </c>
      <c r="J64" s="168" t="str">
        <f>IFERROR(J16*IF(J$2=$B$44,'Dev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-</v>
      </c>
      <c r="K64" s="168" t="str">
        <f>IFERROR(K16*IF(K$2=$B$44,'Dev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-</v>
      </c>
      <c r="L64" s="129" t="str">
        <f>IFERROR(L16*IF(L$2=$B$44,'Dev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-</v>
      </c>
      <c r="M64" s="56" t="str">
        <f>IFERROR(M16*IF(M$2=$B$44,'Dev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-</v>
      </c>
      <c r="N64" s="168" t="str">
        <f>IFERROR(N16*IF(N$2=$B$44,'Dev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-</v>
      </c>
      <c r="O64" s="168" t="str">
        <f>IFERROR(O16*IF(O$2=$B$44,'Dev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-</v>
      </c>
      <c r="P64" s="129" t="str">
        <f>IFERROR(P16*IF(P$2=$B$44,'Dev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-</v>
      </c>
      <c r="Q64" s="56" t="str">
        <f>IFERROR(Q16*IF(Q$2=$B$44,'Dev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-</v>
      </c>
      <c r="R64" s="101" t="str">
        <f>IFERROR(R16*IF(R$2=$B$44,'Dev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-</v>
      </c>
      <c r="S64" s="168"/>
      <c r="T64" s="129"/>
      <c r="U64" s="56"/>
      <c r="V64" s="101"/>
      <c r="W64" s="168"/>
      <c r="X64" s="129"/>
      <c r="Y64" s="56"/>
      <c r="Z64" s="101"/>
      <c r="AA64" s="168"/>
      <c r="AB64" s="129"/>
      <c r="AC64" s="56"/>
      <c r="AD64" s="101"/>
      <c r="AE64" s="168"/>
      <c r="AF64" s="129"/>
      <c r="AG64" s="56"/>
      <c r="AH64" s="101"/>
      <c r="AI64" s="168"/>
      <c r="AJ64" s="129"/>
      <c r="AK64" s="56"/>
      <c r="AL64" s="101"/>
      <c r="AM64" s="168"/>
      <c r="AN64" s="129"/>
      <c r="AO64" s="56"/>
      <c r="AP64" s="101"/>
    </row>
    <row r="65" spans="2:42" ht="15" customHeight="1" x14ac:dyDescent="0.25">
      <c r="B65" s="73">
        <f t="shared" si="3"/>
        <v>45231</v>
      </c>
      <c r="C65" s="168">
        <f t="shared" si="6"/>
        <v>1805.3047307239087</v>
      </c>
      <c r="D65" s="129">
        <f t="shared" si="4"/>
        <v>3242495.1725031096</v>
      </c>
      <c r="E65" s="56"/>
      <c r="F65" s="129">
        <f t="shared" si="5"/>
        <v>2954887.0314119942</v>
      </c>
      <c r="G65" s="168">
        <f>IFERROR(G17*IF(G$2=$B$44,'Dev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1186.3283000654797</v>
      </c>
      <c r="H65" s="129">
        <f>IFERROR(H17*IF(H$2=$B$44,'Dev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1319275.9606993492</v>
      </c>
      <c r="I65" s="56">
        <f>IFERROR(I17*IF(I$2=$B$44,'Dev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0.74074074074074081</v>
      </c>
      <c r="J65" s="168">
        <f>IFERROR(J17*IF(J$2=$B$44,'Dev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1707784.4333694475</v>
      </c>
      <c r="K65" s="168">
        <f>IFERROR(K17*IF(K$2=$B$44,'Dev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0</v>
      </c>
      <c r="L65" s="129">
        <f>IFERROR(L17*IF(L$2=$B$44,'Dev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0</v>
      </c>
      <c r="M65" s="56">
        <f>IFERROR(M17*IF(M$2=$B$44,'Dev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</v>
      </c>
      <c r="N65" s="168">
        <f>IFERROR(N17*IF(N$2=$B$44,'Dev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0</v>
      </c>
      <c r="O65" s="168">
        <f>IFERROR(O17*IF(O$2=$B$44,'Dev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618.97643065842908</v>
      </c>
      <c r="P65" s="129">
        <f>IFERROR(P17*IF(P$2=$B$44,'Dev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1923219.2118037604</v>
      </c>
      <c r="Q65" s="56">
        <f>IFERROR(Q17*IF(Q$2=$B$44,'Dev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0.70705390731552342</v>
      </c>
      <c r="R65" s="101">
        <f>IFERROR(R17*IF(R$2=$B$44,'Dev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1247102.5980425468</v>
      </c>
      <c r="S65" s="168"/>
      <c r="T65" s="129"/>
      <c r="U65" s="56"/>
      <c r="V65" s="101"/>
      <c r="W65" s="168"/>
      <c r="X65" s="129"/>
      <c r="Y65" s="56"/>
      <c r="Z65" s="101"/>
      <c r="AA65" s="168"/>
      <c r="AB65" s="129"/>
      <c r="AC65" s="56"/>
      <c r="AD65" s="101"/>
      <c r="AE65" s="168"/>
      <c r="AF65" s="129"/>
      <c r="AG65" s="56"/>
      <c r="AH65" s="101"/>
      <c r="AI65" s="168"/>
      <c r="AJ65" s="129"/>
      <c r="AK65" s="56"/>
      <c r="AL65" s="101"/>
      <c r="AM65" s="168"/>
      <c r="AN65" s="129"/>
      <c r="AO65" s="56"/>
      <c r="AP65" s="101"/>
    </row>
    <row r="66" spans="2:42" ht="15" customHeight="1" x14ac:dyDescent="0.25">
      <c r="B66" s="73">
        <f t="shared" si="3"/>
        <v>45261</v>
      </c>
      <c r="C66" s="168">
        <f t="shared" si="6"/>
        <v>1821.9811234360554</v>
      </c>
      <c r="D66" s="129">
        <f t="shared" si="4"/>
        <v>3275084.0647190744</v>
      </c>
      <c r="E66" s="56"/>
      <c r="F66" s="129">
        <f t="shared" si="5"/>
        <v>3044708.365990527</v>
      </c>
      <c r="G66" s="168">
        <f>IFERROR(G18*IF(G$2=$B$44,'Dev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1054.479505365535</v>
      </c>
      <c r="H66" s="129">
        <f>IFERROR(H18*IF(H$2=$B$44,'Dev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1240503.5958342575</v>
      </c>
      <c r="I66" s="56">
        <f>IFERROR(I18*IF(I$2=$B$44,'Dev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0.73159579332418845</v>
      </c>
      <c r="J66" s="168">
        <f>IFERROR(J18*IF(J$2=$B$44,'Dev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1521016.8482366314</v>
      </c>
      <c r="K66" s="168">
        <f>IFERROR(K18*IF(K$2=$B$44,'Dev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0</v>
      </c>
      <c r="L66" s="129">
        <f>IFERROR(L18*IF(L$2=$B$44,'Dev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0</v>
      </c>
      <c r="M66" s="56">
        <f>IFERROR(M18*IF(M$2=$B$44,'Dev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</v>
      </c>
      <c r="N66" s="168">
        <f>IFERROR(N18*IF(N$2=$B$44,'Dev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0</v>
      </c>
      <c r="O66" s="168">
        <f>IFERROR(O18*IF(O$2=$B$44,'Dev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767.50161807052041</v>
      </c>
      <c r="P66" s="129">
        <f>IFERROR(P18*IF(P$2=$B$44,'Dev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2034580.4688848169</v>
      </c>
      <c r="Q66" s="56">
        <f>IFERROR(Q18*IF(Q$2=$B$44,'Dev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0.71238691899966333</v>
      </c>
      <c r="R66" s="101">
        <f>IFERROR(R18*IF(R$2=$B$44,'Dev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1523691.5177538958</v>
      </c>
      <c r="S66" s="168"/>
      <c r="T66" s="129"/>
      <c r="U66" s="56"/>
      <c r="V66" s="101"/>
      <c r="W66" s="168"/>
      <c r="X66" s="129"/>
      <c r="Y66" s="56"/>
      <c r="Z66" s="101"/>
      <c r="AA66" s="168"/>
      <c r="AB66" s="129"/>
      <c r="AC66" s="56"/>
      <c r="AD66" s="101"/>
      <c r="AE66" s="168"/>
      <c r="AF66" s="129"/>
      <c r="AG66" s="56"/>
      <c r="AH66" s="101"/>
      <c r="AI66" s="168"/>
      <c r="AJ66" s="129"/>
      <c r="AK66" s="56"/>
      <c r="AL66" s="101"/>
      <c r="AM66" s="168"/>
      <c r="AN66" s="129"/>
      <c r="AO66" s="56"/>
      <c r="AP66" s="101"/>
    </row>
    <row r="67" spans="2:42" ht="15" customHeight="1" x14ac:dyDescent="0.25">
      <c r="B67" s="73">
        <f t="shared" si="3"/>
        <v>45292</v>
      </c>
      <c r="C67" s="168">
        <f t="shared" si="6"/>
        <v>4503.2861954105474</v>
      </c>
      <c r="D67" s="129">
        <f t="shared" si="4"/>
        <v>3508147.9372798749</v>
      </c>
      <c r="E67" s="56"/>
      <c r="F67" s="129">
        <f t="shared" si="5"/>
        <v>7845398.4416597756</v>
      </c>
      <c r="G67" s="168">
        <f>IFERROR(G19*IF(G$2=$B$44,'Dev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1289.8165275651775</v>
      </c>
      <c r="H67" s="129">
        <f>IFERROR(H19*IF(H$2=$B$44,'Dev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1356607.1235178201</v>
      </c>
      <c r="I67" s="56">
        <f>IFERROR(I19*IF(I$2=$B$44,'Dev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0.70345749358095044</v>
      </c>
      <c r="J67" s="168">
        <f>IFERROR(J19*IF(J$2=$B$44,'Dev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1864195.8662045263</v>
      </c>
      <c r="K67" s="168">
        <f>IFERROR(K19*IF(K$2=$B$44,'Dev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2376.0750559281505</v>
      </c>
      <c r="L67" s="129">
        <f>IFERROR(L19*IF(L$2=$B$44,'Dev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0</v>
      </c>
      <c r="M67" s="56">
        <f>IFERROR(M19*IF(M$2=$B$44,'Dev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0.70345749358095033</v>
      </c>
      <c r="N67" s="168">
        <f>IFERROR(N19*IF(N$2=$B$44,'Dev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4327216.1370095275</v>
      </c>
      <c r="O67" s="168">
        <f>IFERROR(O19*IF(O$2=$B$44,'Dev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837.39461191721966</v>
      </c>
      <c r="P67" s="129">
        <f>IFERROR(P19*IF(P$2=$B$44,'Dev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2151540.8137620548</v>
      </c>
      <c r="Q67" s="56">
        <f>IFERROR(Q19*IF(Q$2=$B$44,'Dev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0.71390012291628391</v>
      </c>
      <c r="R67" s="101">
        <f>IFERROR(R19*IF(R$2=$B$44,'Dev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1653986.438445722</v>
      </c>
      <c r="S67" s="168"/>
      <c r="T67" s="129"/>
      <c r="U67" s="56"/>
      <c r="V67" s="101"/>
      <c r="W67" s="168"/>
      <c r="X67" s="129"/>
      <c r="Y67" s="56"/>
      <c r="Z67" s="101"/>
      <c r="AA67" s="168"/>
      <c r="AB67" s="129"/>
      <c r="AC67" s="56"/>
      <c r="AD67" s="101"/>
      <c r="AE67" s="168"/>
      <c r="AF67" s="129"/>
      <c r="AG67" s="56"/>
      <c r="AH67" s="101"/>
      <c r="AI67" s="168"/>
      <c r="AJ67" s="129"/>
      <c r="AK67" s="56"/>
      <c r="AL67" s="101"/>
      <c r="AM67" s="168"/>
      <c r="AN67" s="129"/>
      <c r="AO67" s="56"/>
      <c r="AP67" s="101"/>
    </row>
    <row r="68" spans="2:42" ht="15" customHeight="1" x14ac:dyDescent="0.25">
      <c r="B68" s="73">
        <f t="shared" si="3"/>
        <v>45323</v>
      </c>
      <c r="C68" s="168">
        <f t="shared" si="6"/>
        <v>4495.9690465412996</v>
      </c>
      <c r="D68" s="129">
        <f t="shared" si="4"/>
        <v>6166782.3693075832</v>
      </c>
      <c r="E68" s="56"/>
      <c r="F68" s="129">
        <f t="shared" si="5"/>
        <v>7845398.4416597756</v>
      </c>
      <c r="G68" s="168">
        <f>IFERROR(G20*IF(G$2=$B$44,'Dev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1287.2420434782211</v>
      </c>
      <c r="H68" s="129">
        <f>IFERROR(H20*IF(H$2=$B$44,'Dev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1463623.9511227065</v>
      </c>
      <c r="I68" s="56">
        <f>IFERROR(I20*IF(I$2=$B$44,'Dev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0.70345749358095044</v>
      </c>
      <c r="J68" s="168">
        <f>IFERROR(J20*IF(J$2=$B$44,'Dev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1864195.8662045263</v>
      </c>
      <c r="K68" s="168">
        <f>IFERROR(K20*IF(K$2=$B$44,'Dev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2371.3323911458588</v>
      </c>
      <c r="L68" s="129">
        <f>IFERROR(L20*IF(L$2=$B$44,'Dev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2501637.5277911797</v>
      </c>
      <c r="M68" s="56">
        <f>IFERROR(M20*IF(M$2=$B$44,'Dev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0.70345749358095033</v>
      </c>
      <c r="N68" s="168">
        <f>IFERROR(N20*IF(N$2=$B$44,'Dev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4327216.1370095275</v>
      </c>
      <c r="O68" s="168">
        <f>IFERROR(O20*IF(O$2=$B$44,'Dev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837.39461191721966</v>
      </c>
      <c r="P68" s="129">
        <f>IFERROR(P20*IF(P$2=$B$44,'Dev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2201520.8903936967</v>
      </c>
      <c r="Q68" s="56">
        <f>IFERROR(Q20*IF(Q$2=$B$44,'Dev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0.71390012291628391</v>
      </c>
      <c r="R68" s="101">
        <f>IFERROR(R20*IF(R$2=$B$44,'Dev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1653986.438445722</v>
      </c>
      <c r="S68" s="168"/>
      <c r="T68" s="129"/>
      <c r="U68" s="56"/>
      <c r="V68" s="101"/>
      <c r="W68" s="168"/>
      <c r="X68" s="129"/>
      <c r="Y68" s="56"/>
      <c r="Z68" s="101"/>
      <c r="AA68" s="168"/>
      <c r="AB68" s="129"/>
      <c r="AC68" s="56"/>
      <c r="AD68" s="101"/>
      <c r="AE68" s="168"/>
      <c r="AF68" s="129"/>
      <c r="AG68" s="56"/>
      <c r="AH68" s="101"/>
      <c r="AI68" s="168"/>
      <c r="AJ68" s="129"/>
      <c r="AK68" s="56"/>
      <c r="AL68" s="101"/>
      <c r="AM68" s="168"/>
      <c r="AN68" s="129"/>
      <c r="AO68" s="56"/>
      <c r="AP68" s="101"/>
    </row>
    <row r="69" spans="2:42" ht="15" customHeight="1" x14ac:dyDescent="0.25">
      <c r="B69" s="73">
        <f t="shared" si="3"/>
        <v>45352</v>
      </c>
      <c r="C69" s="168">
        <f t="shared" si="6"/>
        <v>4488.6665027596146</v>
      </c>
      <c r="D69" s="129">
        <f t="shared" si="4"/>
        <v>8513534.1356691141</v>
      </c>
      <c r="E69" s="56"/>
      <c r="F69" s="129">
        <f t="shared" si="5"/>
        <v>7845398.4416597756</v>
      </c>
      <c r="G69" s="168">
        <f>IFERROR(G21*IF(G$2=$B$44,'Dev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1284.672698082057</v>
      </c>
      <c r="H69" s="129">
        <f>IFERROR(H21*IF(H$2=$B$44,'Dev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1523003.1635342271</v>
      </c>
      <c r="I69" s="56">
        <f>IFERROR(I21*IF(I$2=$B$44,'Dev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0.70345749358095044</v>
      </c>
      <c r="J69" s="168">
        <f>IFERROR(J21*IF(J$2=$B$44,'Dev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1864195.8662045263</v>
      </c>
      <c r="K69" s="168">
        <f>IFERROR(K21*IF(K$2=$B$44,'Dev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2366.5991927603382</v>
      </c>
      <c r="L69" s="129">
        <f>IFERROR(L21*IF(L$2=$B$44,'Dev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4913682.7334904224</v>
      </c>
      <c r="M69" s="56">
        <f>IFERROR(M21*IF(M$2=$B$44,'Dev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0.70345749358095033</v>
      </c>
      <c r="N69" s="168">
        <f>IFERROR(N21*IF(N$2=$B$44,'Dev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4327216.1370095275</v>
      </c>
      <c r="O69" s="168">
        <f>IFERROR(O21*IF(O$2=$B$44,'Dev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837.39461191721966</v>
      </c>
      <c r="P69" s="129">
        <f>IFERROR(P21*IF(P$2=$B$44,'Dev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2076848.2386444649</v>
      </c>
      <c r="Q69" s="56">
        <f>IFERROR(Q21*IF(Q$2=$B$44,'Dev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0.71390012291628391</v>
      </c>
      <c r="R69" s="101">
        <f>IFERROR(R21*IF(R$2=$B$44,'Dev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1653986.438445722</v>
      </c>
      <c r="S69" s="168"/>
      <c r="T69" s="129"/>
      <c r="U69" s="56"/>
      <c r="V69" s="101"/>
      <c r="W69" s="168"/>
      <c r="X69" s="129"/>
      <c r="Y69" s="56"/>
      <c r="Z69" s="101"/>
      <c r="AA69" s="168"/>
      <c r="AB69" s="129"/>
      <c r="AC69" s="56"/>
      <c r="AD69" s="101"/>
      <c r="AE69" s="168"/>
      <c r="AF69" s="129"/>
      <c r="AG69" s="56"/>
      <c r="AH69" s="101"/>
      <c r="AI69" s="168"/>
      <c r="AJ69" s="129"/>
      <c r="AK69" s="56"/>
      <c r="AL69" s="101"/>
      <c r="AM69" s="168"/>
      <c r="AN69" s="129"/>
      <c r="AO69" s="56"/>
      <c r="AP69" s="101"/>
    </row>
    <row r="70" spans="2:42" ht="15" customHeight="1" x14ac:dyDescent="0.25">
      <c r="B70" s="73">
        <f t="shared" si="3"/>
        <v>45383</v>
      </c>
      <c r="C70" s="168">
        <f t="shared" si="6"/>
        <v>4481.3785349136224</v>
      </c>
      <c r="D70" s="129">
        <f t="shared" si="4"/>
        <v>8526374.6400824934</v>
      </c>
      <c r="E70" s="56"/>
      <c r="F70" s="129">
        <f t="shared" si="5"/>
        <v>7845398.4416597756</v>
      </c>
      <c r="G70" s="168">
        <f>IFERROR(G22*IF(G$2=$B$44,'Dev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1282.1084811198173</v>
      </c>
      <c r="H70" s="129">
        <f>IFERROR(H22*IF(H$2=$B$44,'Dev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1573039.0196804823</v>
      </c>
      <c r="I70" s="56">
        <f>IFERROR(I22*IF(I$2=$B$44,'Dev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0.67640143613552928</v>
      </c>
      <c r="J70" s="168">
        <f>IFERROR(J22*IF(J$2=$B$44,'Dev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1864195.8662045263</v>
      </c>
      <c r="K70" s="168">
        <f>IFERROR(K22*IF(K$2=$B$44,'Dev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2361.8754418765857</v>
      </c>
      <c r="L70" s="129">
        <f>IFERROR(L22*IF(L$2=$B$44,'Dev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5075113.9952815948</v>
      </c>
      <c r="M70" s="56">
        <f>IFERROR(M22*IF(M$2=$B$44,'Dev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0.67640143613552928</v>
      </c>
      <c r="N70" s="168">
        <f>IFERROR(N22*IF(N$2=$B$44,'Dev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4327216.1370095275</v>
      </c>
      <c r="O70" s="168">
        <f>IFERROR(O22*IF(O$2=$B$44,'Dev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837.39461191721966</v>
      </c>
      <c r="P70" s="129">
        <f>IFERROR(P22*IF(P$2=$B$44,'Dev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1878221.6251204163</v>
      </c>
      <c r="Q70" s="56">
        <f>IFERROR(Q22*IF(Q$2=$B$44,'Dev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0.71390012291628391</v>
      </c>
      <c r="R70" s="101">
        <f>IFERROR(R22*IF(R$2=$B$44,'Dev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1653986.438445722</v>
      </c>
      <c r="S70" s="168"/>
      <c r="T70" s="129"/>
      <c r="U70" s="56"/>
      <c r="V70" s="101"/>
      <c r="W70" s="168"/>
      <c r="X70" s="129"/>
      <c r="Y70" s="56"/>
      <c r="Z70" s="101"/>
      <c r="AA70" s="168"/>
      <c r="AB70" s="129"/>
      <c r="AC70" s="56"/>
      <c r="AD70" s="101"/>
      <c r="AE70" s="168"/>
      <c r="AF70" s="129"/>
      <c r="AG70" s="56"/>
      <c r="AH70" s="101"/>
      <c r="AI70" s="168"/>
      <c r="AJ70" s="129"/>
      <c r="AK70" s="56"/>
      <c r="AL70" s="101"/>
      <c r="AM70" s="168"/>
      <c r="AN70" s="129"/>
      <c r="AO70" s="56"/>
      <c r="AP70" s="101"/>
    </row>
    <row r="71" spans="2:42" ht="15" customHeight="1" x14ac:dyDescent="0.25">
      <c r="B71" s="73">
        <f t="shared" si="3"/>
        <v>45413</v>
      </c>
      <c r="C71" s="168">
        <f t="shared" si="6"/>
        <v>4474.5260451073691</v>
      </c>
      <c r="D71" s="129">
        <f t="shared" si="4"/>
        <v>8435282.4547571167</v>
      </c>
      <c r="E71" s="56"/>
      <c r="F71" s="129">
        <f t="shared" si="5"/>
        <v>7846231.6185190007</v>
      </c>
      <c r="G71" s="168">
        <f>IFERROR(G23*IF(G$2=$B$44,'Dev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1279.6651976654666</v>
      </c>
      <c r="H71" s="129">
        <f>IFERROR(H23*IF(H$2=$B$44,'Dev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1592216.48947306</v>
      </c>
      <c r="I71" s="56">
        <f>IFERROR(I23*IF(I$2=$B$44,'Dev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0.67640143613552928</v>
      </c>
      <c r="J71" s="168">
        <f>IFERROR(J23*IF(J$2=$B$44,'Dev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1864364.5993740251</v>
      </c>
      <c r="K71" s="168">
        <f>IFERROR(K23*IF(K$2=$B$44,'Dev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2357.7802796006404</v>
      </c>
      <c r="L71" s="129">
        <f>IFERROR(L23*IF(L$2=$B$44,'Dev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5136986.4880301757</v>
      </c>
      <c r="M71" s="56">
        <f>IFERROR(M23*IF(M$2=$B$44,'Dev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0.67640143613552928</v>
      </c>
      <c r="N71" s="168">
        <f>IFERROR(N23*IF(N$2=$B$44,'Dev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4328352.7750451658</v>
      </c>
      <c r="O71" s="168">
        <f>IFERROR(O23*IF(O$2=$B$44,'Dev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837.08056784126177</v>
      </c>
      <c r="P71" s="129">
        <f>IFERROR(P23*IF(P$2=$B$44,'Dev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1706079.4772538822</v>
      </c>
      <c r="Q71" s="56">
        <f>IFERROR(Q23*IF(Q$2=$B$44,'Dev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0.71410399149666648</v>
      </c>
      <c r="R71" s="101">
        <f>IFERROR(R23*IF(R$2=$B$44,'Dev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1653514.2440998096</v>
      </c>
      <c r="S71" s="168"/>
      <c r="T71" s="129"/>
      <c r="U71" s="56"/>
      <c r="V71" s="101"/>
      <c r="W71" s="168"/>
      <c r="X71" s="129"/>
      <c r="Y71" s="56"/>
      <c r="Z71" s="101"/>
      <c r="AA71" s="168"/>
      <c r="AB71" s="129"/>
      <c r="AC71" s="56"/>
      <c r="AD71" s="101"/>
      <c r="AE71" s="168"/>
      <c r="AF71" s="129"/>
      <c r="AG71" s="56"/>
      <c r="AH71" s="101"/>
      <c r="AI71" s="168"/>
      <c r="AJ71" s="129"/>
      <c r="AK71" s="56"/>
      <c r="AL71" s="101"/>
      <c r="AM71" s="168"/>
      <c r="AN71" s="129"/>
      <c r="AO71" s="56"/>
      <c r="AP71" s="101"/>
    </row>
    <row r="72" spans="2:42" ht="15" customHeight="1" x14ac:dyDescent="0.25">
      <c r="B72" s="73">
        <f t="shared" si="3"/>
        <v>45444</v>
      </c>
      <c r="C72" s="168">
        <f t="shared" si="6"/>
        <v>4552.1675911210768</v>
      </c>
      <c r="D72" s="129">
        <f t="shared" si="4"/>
        <v>8388512.1352420198</v>
      </c>
      <c r="E72" s="56"/>
      <c r="F72" s="129">
        <f t="shared" si="5"/>
        <v>7978793.7698578034</v>
      </c>
      <c r="G72" s="168">
        <f>IFERROR(G24*IF(G$2=$B$44,'Dev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1309.3442611530033</v>
      </c>
      <c r="H72" s="129">
        <f>IFERROR(H24*IF(H$2=$B$44,'Dev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1622206.5168777078</v>
      </c>
      <c r="I72" s="56">
        <f>IFERROR(I24*IF(I$2=$B$44,'Dev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0.65038599628416272</v>
      </c>
      <c r="J72" s="168">
        <f>IFERROR(J24*IF(J$2=$B$44,'Dev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1911419.7084731578</v>
      </c>
      <c r="K72" s="168">
        <f>IFERROR(K24*IF(K$2=$B$44,'Dev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2433.4728540338874</v>
      </c>
      <c r="L72" s="129">
        <f>IFERROR(L24*IF(L$2=$B$44,'Dev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5233743.6605452746</v>
      </c>
      <c r="M72" s="56">
        <f>IFERROR(M24*IF(M$2=$B$44,'Dev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0.65038599628416272</v>
      </c>
      <c r="N72" s="168">
        <f>IFERROR(N24*IF(N$2=$B$44,'Dev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4476241.8831087165</v>
      </c>
      <c r="O72" s="168">
        <f>IFERROR(O24*IF(O$2=$B$44,'Dev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809.35047593418562</v>
      </c>
      <c r="P72" s="129">
        <f>IFERROR(P24*IF(P$2=$B$44,'Dev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1532561.9578190371</v>
      </c>
      <c r="Q72" s="56">
        <f>IFERROR(Q24*IF(Q$2=$B$44,'Dev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0.71093724576659767</v>
      </c>
      <c r="R72" s="101">
        <f>IFERROR(R24*IF(R$2=$B$44,'Dev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1591132.1782759284</v>
      </c>
      <c r="S72" s="168"/>
      <c r="T72" s="129"/>
      <c r="U72" s="56"/>
      <c r="V72" s="101"/>
      <c r="W72" s="168"/>
      <c r="X72" s="129"/>
      <c r="Y72" s="56"/>
      <c r="Z72" s="101"/>
      <c r="AA72" s="168"/>
      <c r="AB72" s="129"/>
      <c r="AC72" s="56"/>
      <c r="AD72" s="101"/>
      <c r="AE72" s="168"/>
      <c r="AF72" s="129"/>
      <c r="AG72" s="56"/>
      <c r="AH72" s="101"/>
      <c r="AI72" s="168"/>
      <c r="AJ72" s="129"/>
      <c r="AK72" s="56"/>
      <c r="AL72" s="101"/>
      <c r="AM72" s="168"/>
      <c r="AN72" s="129"/>
      <c r="AO72" s="56"/>
      <c r="AP72" s="101"/>
    </row>
    <row r="73" spans="2:42" ht="15" customHeight="1" x14ac:dyDescent="0.25">
      <c r="B73" s="73">
        <f t="shared" si="3"/>
        <v>45474</v>
      </c>
      <c r="C73" s="168">
        <f t="shared" si="6"/>
        <v>4412.6803697813466</v>
      </c>
      <c r="D73" s="129">
        <f t="shared" si="4"/>
        <v>6025664.4935123501</v>
      </c>
      <c r="E73" s="56"/>
      <c r="F73" s="129">
        <f t="shared" si="5"/>
        <v>6201132.0250373501</v>
      </c>
      <c r="G73" s="168">
        <f>IFERROR(G25*IF(G$2=$B$44,'Dev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1239.8652970555206</v>
      </c>
      <c r="H73" s="129">
        <f>IFERROR(H25*IF(H$2=$B$44,'Dev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1197760.6132163431</v>
      </c>
      <c r="I73" s="56">
        <f>IFERROR(I25*IF(I$2=$B$44,'Dev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0.65038599628416272</v>
      </c>
      <c r="J73" s="168">
        <f>IFERROR(J25*IF(J$2=$B$44,'Dev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1341185.5038085924</v>
      </c>
      <c r="K73" s="168">
        <f>IFERROR(K25*IF(K$2=$B$44,'Dev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2213.7588448494948</v>
      </c>
      <c r="L73" s="129">
        <f>IFERROR(L25*IF(L$2=$B$44,'Dev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3394969.6071106233</v>
      </c>
      <c r="M73" s="56">
        <f>IFERROR(M25*IF(M$2=$B$44,'Dev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0.65038599628416272</v>
      </c>
      <c r="N73" s="168">
        <f>IFERROR(N25*IF(N$2=$B$44,'Dev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3129432.8422200489</v>
      </c>
      <c r="O73" s="168">
        <f>IFERROR(O25*IF(O$2=$B$44,'Dev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959.05622787633104</v>
      </c>
      <c r="P73" s="129">
        <f>IFERROR(P25*IF(P$2=$B$44,'Dev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1432934.2731853833</v>
      </c>
      <c r="Q73" s="56">
        <f>IFERROR(Q25*IF(Q$2=$B$44,'Dev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0.70081533456851342</v>
      </c>
      <c r="R73" s="101">
        <f>IFERROR(R25*IF(R$2=$B$44,'Dev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1730513.679008709</v>
      </c>
      <c r="S73" s="168"/>
      <c r="T73" s="129"/>
      <c r="U73" s="56"/>
      <c r="V73" s="101"/>
      <c r="W73" s="168"/>
      <c r="X73" s="129"/>
      <c r="Y73" s="56"/>
      <c r="Z73" s="101"/>
      <c r="AA73" s="168"/>
      <c r="AB73" s="129"/>
      <c r="AC73" s="56"/>
      <c r="AD73" s="101"/>
      <c r="AE73" s="168"/>
      <c r="AF73" s="129"/>
      <c r="AG73" s="56"/>
      <c r="AH73" s="101"/>
      <c r="AI73" s="168"/>
      <c r="AJ73" s="129"/>
      <c r="AK73" s="56"/>
      <c r="AL73" s="101"/>
      <c r="AM73" s="168"/>
      <c r="AN73" s="129"/>
      <c r="AO73" s="56"/>
      <c r="AP73" s="101"/>
    </row>
    <row r="74" spans="2:42" ht="15" customHeight="1" x14ac:dyDescent="0.25">
      <c r="B74" s="73">
        <f t="shared" si="3"/>
        <v>45505</v>
      </c>
      <c r="C74" s="168">
        <f t="shared" si="6"/>
        <v>4272.1923251271</v>
      </c>
      <c r="D74" s="129">
        <f t="shared" si="4"/>
        <v>5789208.3939690767</v>
      </c>
      <c r="E74" s="56"/>
      <c r="F74" s="129">
        <f t="shared" si="5"/>
        <v>5905644.0222835969</v>
      </c>
      <c r="G74" s="168">
        <f>IFERROR(G26*IF(G$2=$B$44,'Dev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1217.6367128916372</v>
      </c>
      <c r="H74" s="129">
        <f>IFERROR(H26*IF(H$2=$B$44,'Dev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1182622.523835581</v>
      </c>
      <c r="I74" s="56">
        <f>IFERROR(I26*IF(I$2=$B$44,'Dev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0.65038599628416272</v>
      </c>
      <c r="J74" s="168">
        <f>IFERROR(J26*IF(J$2=$B$44,'Dev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1326517.3320902321</v>
      </c>
      <c r="K74" s="168">
        <f>IFERROR(K26*IF(K$2=$B$44,'Dev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2202.7376640192192</v>
      </c>
      <c r="L74" s="129">
        <f>IFERROR(L26*IF(L$2=$B$44,'Dev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3352061.7398871342</v>
      </c>
      <c r="M74" s="56">
        <f>IFERROR(M26*IF(M$2=$B$44,'Dev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0.65038599628416272</v>
      </c>
      <c r="N74" s="168">
        <f>IFERROR(N26*IF(N$2=$B$44,'Dev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3063740.7855046447</v>
      </c>
      <c r="O74" s="168">
        <f>IFERROR(O26*IF(O$2=$B$44,'Dev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851.81794821624351</v>
      </c>
      <c r="P74" s="129">
        <f>IFERROR(P26*IF(P$2=$B$44,'Dev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1254524.1302463615</v>
      </c>
      <c r="Q74" s="56">
        <f>IFERROR(Q26*IF(Q$2=$B$44,'Dev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0.70925006010185732</v>
      </c>
      <c r="R74" s="101">
        <f>IFERROR(R26*IF(R$2=$B$44,'Dev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1515385.9046887199</v>
      </c>
      <c r="S74" s="168"/>
      <c r="T74" s="129"/>
      <c r="U74" s="56"/>
      <c r="V74" s="101"/>
      <c r="W74" s="168"/>
      <c r="X74" s="129"/>
      <c r="Y74" s="56"/>
      <c r="Z74" s="101"/>
      <c r="AA74" s="168"/>
      <c r="AB74" s="129"/>
      <c r="AC74" s="56"/>
      <c r="AD74" s="101"/>
      <c r="AE74" s="168"/>
      <c r="AF74" s="129"/>
      <c r="AG74" s="56"/>
      <c r="AH74" s="101"/>
      <c r="AI74" s="168"/>
      <c r="AJ74" s="129"/>
      <c r="AK74" s="56"/>
      <c r="AL74" s="101"/>
      <c r="AM74" s="168"/>
      <c r="AN74" s="129"/>
      <c r="AO74" s="56"/>
      <c r="AP74" s="101"/>
    </row>
    <row r="75" spans="2:42" ht="15" customHeight="1" x14ac:dyDescent="0.25">
      <c r="B75" s="73">
        <f t="shared" si="3"/>
        <v>45536</v>
      </c>
      <c r="C75" s="168">
        <f t="shared" si="6"/>
        <v>5421.0660928297339</v>
      </c>
      <c r="D75" s="129">
        <f t="shared" si="4"/>
        <v>7283386.1676862948</v>
      </c>
      <c r="E75" s="56"/>
      <c r="F75" s="129">
        <f t="shared" si="5"/>
        <v>7243071.157288434</v>
      </c>
      <c r="G75" s="168">
        <f>IFERROR(G27*IF(G$2=$B$44,'Dev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1687.1014417855563</v>
      </c>
      <c r="H75" s="129">
        <f>IFERROR(H27*IF(H$2=$B$44,'Dev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1620158.7490814915</v>
      </c>
      <c r="I75" s="56">
        <f>IFERROR(I27*IF(I$2=$B$44,'Dev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0.65038599628416272</v>
      </c>
      <c r="J75" s="168">
        <f>IFERROR(J27*IF(J$2=$B$44,'Dev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1828481.2969158497</v>
      </c>
      <c r="K75" s="168">
        <f>IFERROR(K27*IF(K$2=$B$44,'Dev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2991.2536652701815</v>
      </c>
      <c r="L75" s="129">
        <f>IFERROR(L27*IF(L$2=$B$44,'Dev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4592227.9052538294</v>
      </c>
      <c r="M75" s="56">
        <f>IFERROR(M27*IF(M$2=$B$44,'Dev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0.6503859962841626</v>
      </c>
      <c r="N75" s="168">
        <f>IFERROR(N27*IF(N$2=$B$44,'Dev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4120427.4754594164</v>
      </c>
      <c r="O75" s="168">
        <f>IFERROR(O27*IF(O$2=$B$44,'Dev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742.71098577399596</v>
      </c>
      <c r="P75" s="129">
        <f>IFERROR(P27*IF(P$2=$B$44,'Dev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1070999.5133509741</v>
      </c>
      <c r="Q75" s="56">
        <f>IFERROR(Q27*IF(Q$2=$B$44,'Dev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0.73416088061762963</v>
      </c>
      <c r="R75" s="101">
        <f>IFERROR(R27*IF(R$2=$B$44,'Dev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1294162.3849131684</v>
      </c>
      <c r="S75" s="168"/>
      <c r="T75" s="129"/>
      <c r="U75" s="56"/>
      <c r="V75" s="101"/>
      <c r="W75" s="168"/>
      <c r="X75" s="129"/>
      <c r="Y75" s="56"/>
      <c r="Z75" s="101"/>
      <c r="AA75" s="168"/>
      <c r="AB75" s="129"/>
      <c r="AC75" s="56"/>
      <c r="AD75" s="101"/>
      <c r="AE75" s="168"/>
      <c r="AF75" s="129"/>
      <c r="AG75" s="56"/>
      <c r="AH75" s="101"/>
      <c r="AI75" s="168"/>
      <c r="AJ75" s="129"/>
      <c r="AK75" s="56"/>
      <c r="AL75" s="101"/>
      <c r="AM75" s="168"/>
      <c r="AN75" s="129"/>
      <c r="AO75" s="56"/>
      <c r="AP75" s="101"/>
    </row>
    <row r="76" spans="2:42" ht="15" customHeight="1" x14ac:dyDescent="0.25">
      <c r="B76" s="73">
        <f t="shared" si="3"/>
        <v>45566</v>
      </c>
      <c r="C76" s="168">
        <f t="shared" si="6"/>
        <v>5584.1779144489374</v>
      </c>
      <c r="D76" s="129">
        <f t="shared" si="4"/>
        <v>7583243.8294645967</v>
      </c>
      <c r="E76" s="56"/>
      <c r="F76" s="129">
        <f t="shared" si="5"/>
        <v>7441623.0130220624</v>
      </c>
      <c r="G76" s="168">
        <f>IFERROR(G28*IF(G$2=$B$44,'Dev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1740.3784971974296</v>
      </c>
      <c r="H76" s="129">
        <f>IFERROR(H28*IF(H$2=$B$44,'Dev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1764298.9426401989</v>
      </c>
      <c r="I76" s="56">
        <f>IFERROR(I28*IF(I$2=$B$44,'Dev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0.65038599628416272</v>
      </c>
      <c r="J76" s="168">
        <f>IFERROR(J28*IF(J$2=$B$44,'Dev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1987123.4951097406</v>
      </c>
      <c r="K76" s="168">
        <f>IFERROR(K28*IF(K$2=$B$44,'Dev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3267.0395185512725</v>
      </c>
      <c r="L76" s="129">
        <f>IFERROR(L28*IF(L$2=$B$44,'Dev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5000783.3134841928</v>
      </c>
      <c r="M76" s="56">
        <f>IFERROR(M28*IF(M$2=$B$44,'Dev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0.65038599628416272</v>
      </c>
      <c r="N76" s="168">
        <f>IFERROR(N28*IF(N$2=$B$44,'Dev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4465640.2021222124</v>
      </c>
      <c r="O76" s="168">
        <f>IFERROR(O28*IF(O$2=$B$44,'Dev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576.75989870023488</v>
      </c>
      <c r="P76" s="129">
        <f>IFERROR(P28*IF(P$2=$B$44,'Dev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818161.57334020454</v>
      </c>
      <c r="Q76" s="56">
        <f>IFERROR(Q28*IF(Q$2=$B$44,'Dev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0.7394645533292542</v>
      </c>
      <c r="R76" s="101">
        <f>IFERROR(R28*IF(R$2=$B$44,'Dev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988859.31579010899</v>
      </c>
      <c r="S76" s="168"/>
      <c r="T76" s="129"/>
      <c r="U76" s="56"/>
      <c r="V76" s="101"/>
      <c r="W76" s="168"/>
      <c r="X76" s="129"/>
      <c r="Y76" s="56"/>
      <c r="Z76" s="101"/>
      <c r="AA76" s="168"/>
      <c r="AB76" s="129"/>
      <c r="AC76" s="56"/>
      <c r="AD76" s="101"/>
      <c r="AE76" s="168"/>
      <c r="AF76" s="129"/>
      <c r="AG76" s="56"/>
      <c r="AH76" s="101"/>
      <c r="AI76" s="168"/>
      <c r="AJ76" s="129"/>
      <c r="AK76" s="56"/>
      <c r="AL76" s="101"/>
      <c r="AM76" s="168"/>
      <c r="AN76" s="129"/>
      <c r="AO76" s="56"/>
      <c r="AP76" s="101"/>
    </row>
    <row r="77" spans="2:42" ht="15" customHeight="1" x14ac:dyDescent="0.25">
      <c r="B77" s="73">
        <f t="shared" si="3"/>
        <v>45597</v>
      </c>
      <c r="C77" s="168">
        <f t="shared" si="6"/>
        <v>4540.374957976539</v>
      </c>
      <c r="D77" s="129">
        <f t="shared" si="4"/>
        <v>6329332.0374195743</v>
      </c>
      <c r="E77" s="56"/>
      <c r="F77" s="129">
        <f t="shared" si="5"/>
        <v>6089948.8885620777</v>
      </c>
      <c r="G77" s="168">
        <f>IFERROR(G29*IF(G$2=$B$44,'Dev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1515.053836492194</v>
      </c>
      <c r="H77" s="129">
        <f>IFERROR(H29*IF(H$2=$B$44,'Dev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1516246.6177784707</v>
      </c>
      <c r="I77" s="56">
        <f>IFERROR(I29*IF(I$2=$B$44,'Dev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0.65038599628416272</v>
      </c>
      <c r="J77" s="168">
        <f>IFERROR(J29*IF(J$2=$B$44,'Dev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1721596.7220504533</v>
      </c>
      <c r="K77" s="168">
        <f>IFERROR(K29*IF(K$2=$B$44,'Dev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2658.9990160912298</v>
      </c>
      <c r="L77" s="129">
        <f>IFERROR(L29*IF(L$2=$B$44,'Dev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4297696.1568466667</v>
      </c>
      <c r="M77" s="56">
        <f>IFERROR(M29*IF(M$2=$B$44,'Dev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0.65038599628416272</v>
      </c>
      <c r="N77" s="168">
        <f>IFERROR(N29*IF(N$2=$B$44,'Dev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3745696.5845613549</v>
      </c>
      <c r="O77" s="168">
        <f>IFERROR(O29*IF(O$2=$B$44,'Dev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366.32210539311529</v>
      </c>
      <c r="P77" s="129">
        <f>IFERROR(P29*IF(P$2=$B$44,'Dev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515389.26279443718</v>
      </c>
      <c r="Q77" s="56">
        <f>IFERROR(Q29*IF(Q$2=$B$44,'Dev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0.73488383476389041</v>
      </c>
      <c r="R77" s="101">
        <f>IFERROR(R29*IF(R$2=$B$44,'Dev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622655.58195026941</v>
      </c>
      <c r="S77" s="168"/>
      <c r="T77" s="129"/>
      <c r="U77" s="56"/>
      <c r="V77" s="101"/>
      <c r="W77" s="168"/>
      <c r="X77" s="129"/>
      <c r="Y77" s="56"/>
      <c r="Z77" s="101"/>
      <c r="AA77" s="168"/>
      <c r="AB77" s="129"/>
      <c r="AC77" s="56"/>
      <c r="AD77" s="101"/>
      <c r="AE77" s="168"/>
      <c r="AF77" s="129"/>
      <c r="AG77" s="56"/>
      <c r="AH77" s="101"/>
      <c r="AI77" s="168"/>
      <c r="AJ77" s="129"/>
      <c r="AK77" s="56"/>
      <c r="AL77" s="101"/>
      <c r="AM77" s="168"/>
      <c r="AN77" s="129"/>
      <c r="AO77" s="56"/>
      <c r="AP77" s="101"/>
    </row>
    <row r="78" spans="2:42" ht="15" customHeight="1" x14ac:dyDescent="0.25">
      <c r="B78" s="73">
        <f t="shared" si="3"/>
        <v>45627</v>
      </c>
      <c r="C78" s="168">
        <f t="shared" si="6"/>
        <v>3970.7359201666245</v>
      </c>
      <c r="D78" s="129">
        <f t="shared" si="4"/>
        <v>5528395.9751686584</v>
      </c>
      <c r="E78" s="56"/>
      <c r="F78" s="129">
        <f t="shared" si="5"/>
        <v>5285089.0859930776</v>
      </c>
      <c r="G78" s="168">
        <f>IFERROR(G30*IF(G$2=$B$44,'Dev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1376.6957992311532</v>
      </c>
      <c r="H78" s="129">
        <f>IFERROR(H30*IF(H$2=$B$44,'Dev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1376963.9399151581</v>
      </c>
      <c r="I78" s="56">
        <f>IFERROR(I30*IF(I$2=$B$44,'Dev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0.65038599628416272</v>
      </c>
      <c r="J78" s="168">
        <f>IFERROR(J30*IF(J$2=$B$44,'Dev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1581118.4972164109</v>
      </c>
      <c r="K78" s="168">
        <f>IFERROR(K30*IF(K$2=$B$44,'Dev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2412.0545299889823</v>
      </c>
      <c r="L78" s="129">
        <f>IFERROR(L30*IF(L$2=$B$44,'Dev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3902909.0408526328</v>
      </c>
      <c r="M78" s="56">
        <f>IFERROR(M30*IF(M$2=$B$44,'Dev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0.65038599628416272</v>
      </c>
      <c r="N78" s="168">
        <f>IFERROR(N30*IF(N$2=$B$44,'Dev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3403684.888730655</v>
      </c>
      <c r="O78" s="168">
        <f>IFERROR(O30*IF(O$2=$B$44,'Dev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181.98559094648922</v>
      </c>
      <c r="P78" s="129">
        <f>IFERROR(P30*IF(P$2=$B$44,'Dev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248522.99440086706</v>
      </c>
      <c r="Q78" s="56">
        <f>IFERROR(Q30*IF(Q$2=$B$44,'Dev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0.73159579332418845</v>
      </c>
      <c r="R78" s="101">
        <f>IFERROR(R30*IF(R$2=$B$44,'Dev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300285.70004601212</v>
      </c>
      <c r="S78" s="168"/>
      <c r="T78" s="129"/>
      <c r="U78" s="56"/>
      <c r="V78" s="101"/>
      <c r="W78" s="168"/>
      <c r="X78" s="129"/>
      <c r="Y78" s="56"/>
      <c r="Z78" s="101"/>
      <c r="AA78" s="168"/>
      <c r="AB78" s="129"/>
      <c r="AC78" s="56"/>
      <c r="AD78" s="101"/>
      <c r="AE78" s="168"/>
      <c r="AF78" s="129"/>
      <c r="AG78" s="56"/>
      <c r="AH78" s="101"/>
      <c r="AI78" s="168"/>
      <c r="AJ78" s="129"/>
      <c r="AK78" s="56"/>
      <c r="AL78" s="101"/>
      <c r="AM78" s="168"/>
      <c r="AN78" s="129"/>
      <c r="AO78" s="56"/>
      <c r="AP78" s="101"/>
    </row>
    <row r="79" spans="2:42" ht="15" customHeight="1" x14ac:dyDescent="0.25">
      <c r="B79" s="73">
        <f t="shared" si="3"/>
        <v>45658</v>
      </c>
      <c r="C79" s="168">
        <f t="shared" si="6"/>
        <v>7217.0898047463661</v>
      </c>
      <c r="D79" s="129">
        <f t="shared" si="4"/>
        <v>10081387.875720963</v>
      </c>
      <c r="E79" s="56"/>
      <c r="F79" s="129">
        <f t="shared" si="5"/>
        <v>9598643.9836839736</v>
      </c>
      <c r="G79" s="168">
        <f>IFERROR(G31*IF(G$2=$B$44,'Dev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2611.1625013686235</v>
      </c>
      <c r="H79" s="129">
        <f>IFERROR(H31*IF(H$2=$B$44,'Dev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2620201.7535369839</v>
      </c>
      <c r="I79" s="56">
        <f>IFERROR(I31*IF(I$2=$B$44,'Dev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0.71</v>
      </c>
      <c r="J79" s="168">
        <f>IFERROR(J31*IF(J$2=$B$44,'Dev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3070734.6374100461</v>
      </c>
      <c r="K79" s="168">
        <f>IFERROR(K31*IF(K$2=$B$44,'Dev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4577.1134204786295</v>
      </c>
      <c r="L79" s="129">
        <f>IFERROR(L31*IF(L$2=$B$44,'Dev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7426780.6267806264</v>
      </c>
      <c r="M79" s="56">
        <f>IFERROR(M31*IF(M$2=$B$44,'Dev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0.71</v>
      </c>
      <c r="N79" s="168">
        <f>IFERROR(N31*IF(N$2=$B$44,'Dev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6486622.2767684618</v>
      </c>
      <c r="O79" s="168">
        <f>IFERROR(O31*IF(O$2=$B$44,'Dev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28.813882899112901</v>
      </c>
      <c r="P79" s="129">
        <f>IFERROR(P31*IF(P$2=$B$44,'Dev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34405.495403353423</v>
      </c>
      <c r="Q79" s="56">
        <f>IFERROR(Q31*IF(Q$2=$B$44,'Dev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0.71</v>
      </c>
      <c r="R79" s="101">
        <f>IFERROR(R31*IF(R$2=$B$44,'Dev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41287.069505466054</v>
      </c>
      <c r="S79" s="168"/>
      <c r="T79" s="129"/>
      <c r="U79" s="56"/>
      <c r="V79" s="101"/>
      <c r="W79" s="168"/>
      <c r="X79" s="129"/>
      <c r="Y79" s="56"/>
      <c r="Z79" s="101"/>
      <c r="AA79" s="168"/>
      <c r="AB79" s="129"/>
      <c r="AC79" s="56"/>
      <c r="AD79" s="101"/>
      <c r="AE79" s="168"/>
      <c r="AF79" s="129"/>
      <c r="AG79" s="56"/>
      <c r="AH79" s="101"/>
      <c r="AI79" s="168"/>
      <c r="AJ79" s="129"/>
      <c r="AK79" s="56"/>
      <c r="AL79" s="101"/>
      <c r="AM79" s="168"/>
      <c r="AN79" s="129"/>
      <c r="AO79" s="56"/>
      <c r="AP79" s="101"/>
    </row>
    <row r="80" spans="2:42" ht="15" customHeight="1" x14ac:dyDescent="0.25">
      <c r="B80" s="73">
        <f t="shared" si="3"/>
        <v>45689</v>
      </c>
      <c r="C80" s="168">
        <f t="shared" si="6"/>
        <v>7190.2763448333644</v>
      </c>
      <c r="D80" s="129">
        <f t="shared" si="4"/>
        <v>10046982.38031761</v>
      </c>
      <c r="E80" s="56"/>
      <c r="F80" s="129">
        <f t="shared" si="5"/>
        <v>9563643.4121324085</v>
      </c>
      <c r="G80" s="168">
        <f>IFERROR(G32*IF(G$2=$B$44,'Dev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2609.7482829206347</v>
      </c>
      <c r="H80" s="129">
        <f>IFERROR(H32*IF(H$2=$B$44,'Dev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2620201.7535369839</v>
      </c>
      <c r="I80" s="56">
        <f>IFERROR(I32*IF(I$2=$B$44,'Dev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0.71</v>
      </c>
      <c r="J80" s="168">
        <f>IFERROR(J32*IF(J$2=$B$44,'Dev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3079648.6250822246</v>
      </c>
      <c r="K80" s="168">
        <f>IFERROR(K32*IF(K$2=$B$44,'Dev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4580.5280619127298</v>
      </c>
      <c r="L80" s="129">
        <f>IFERROR(L32*IF(L$2=$B$44,'Dev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7426780.6267806264</v>
      </c>
      <c r="M80" s="56">
        <f>IFERROR(M32*IF(M$2=$B$44,'Dev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0.71</v>
      </c>
      <c r="N80" s="168">
        <f>IFERROR(N32*IF(N$2=$B$44,'Dev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6483994.7870501839</v>
      </c>
      <c r="O80" s="168">
        <f>IFERROR(O32*IF(O$2=$B$44,'Dev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80" s="129">
        <f>IFERROR(P32*IF(P$2=$B$44,'Dev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80" s="56">
        <f>IFERROR(Q32*IF(Q$2=$B$44,'Dev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0.71</v>
      </c>
      <c r="R80" s="101">
        <f>IFERROR(R32*IF(R$2=$B$44,'Dev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80" s="168"/>
      <c r="T80" s="129"/>
      <c r="U80" s="56"/>
      <c r="V80" s="101"/>
      <c r="W80" s="168"/>
      <c r="X80" s="129"/>
      <c r="Y80" s="56"/>
      <c r="Z80" s="101"/>
      <c r="AA80" s="168"/>
      <c r="AB80" s="129"/>
      <c r="AC80" s="56"/>
      <c r="AD80" s="101"/>
      <c r="AE80" s="168"/>
      <c r="AF80" s="129"/>
      <c r="AG80" s="56"/>
      <c r="AH80" s="101"/>
      <c r="AI80" s="168"/>
      <c r="AJ80" s="129"/>
      <c r="AK80" s="56"/>
      <c r="AL80" s="101"/>
      <c r="AM80" s="168"/>
      <c r="AN80" s="129"/>
      <c r="AO80" s="56"/>
      <c r="AP80" s="101"/>
    </row>
    <row r="81" spans="1:42" ht="15" customHeight="1" x14ac:dyDescent="0.25">
      <c r="B81" s="73">
        <f t="shared" si="3"/>
        <v>45717</v>
      </c>
      <c r="C81" s="168">
        <f t="shared" si="6"/>
        <v>7200.9757875271871</v>
      </c>
      <c r="D81" s="129">
        <f t="shared" si="4"/>
        <v>10046982.38031761</v>
      </c>
      <c r="E81" s="56"/>
      <c r="F81" s="129">
        <f t="shared" si="5"/>
        <v>9557195.7630889695</v>
      </c>
      <c r="G81" s="168">
        <f>IFERROR(G33*IF(G$2=$B$44,'Dev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2610.8950145686049</v>
      </c>
      <c r="H81" s="129">
        <f>IFERROR(H33*IF(H$2=$B$44,'Dev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2620201.7535369839</v>
      </c>
      <c r="I81" s="56">
        <f>IFERROR(I33*IF(I$2=$B$44,'Dev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0.71</v>
      </c>
      <c r="J81" s="168">
        <f>IFERROR(J33*IF(J$2=$B$44,'Dev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3080551.5721523366</v>
      </c>
      <c r="K81" s="168">
        <f>IFERROR(K33*IF(K$2=$B$44,'Dev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4590.0807729585822</v>
      </c>
      <c r="L81" s="129">
        <f>IFERROR(L33*IF(L$2=$B$44,'Dev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7426780.6267806264</v>
      </c>
      <c r="M81" s="56">
        <f>IFERROR(M33*IF(M$2=$B$44,'Dev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0.71</v>
      </c>
      <c r="N81" s="168">
        <f>IFERROR(N33*IF(N$2=$B$44,'Dev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6476644.1909366325</v>
      </c>
      <c r="O81" s="168">
        <f>IFERROR(O33*IF(O$2=$B$44,'Dev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81" s="129">
        <f>IFERROR(P33*IF(P$2=$B$44,'Dev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81" s="56">
        <f>IFERROR(Q33*IF(Q$2=$B$44,'Dev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0.71</v>
      </c>
      <c r="R81" s="101">
        <f>IFERROR(R33*IF(R$2=$B$44,'Dev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81" s="168"/>
      <c r="T81" s="129"/>
      <c r="U81" s="56"/>
      <c r="V81" s="101"/>
      <c r="W81" s="168"/>
      <c r="X81" s="129"/>
      <c r="Y81" s="56"/>
      <c r="Z81" s="101"/>
      <c r="AA81" s="168"/>
      <c r="AB81" s="129"/>
      <c r="AC81" s="56"/>
      <c r="AD81" s="101"/>
      <c r="AE81" s="168"/>
      <c r="AF81" s="129"/>
      <c r="AG81" s="56"/>
      <c r="AH81" s="101"/>
      <c r="AI81" s="168"/>
      <c r="AJ81" s="129"/>
      <c r="AK81" s="56"/>
      <c r="AL81" s="101"/>
      <c r="AM81" s="168"/>
      <c r="AN81" s="129"/>
      <c r="AO81" s="56"/>
      <c r="AP81" s="101"/>
    </row>
    <row r="82" spans="1:42" ht="15" customHeight="1" x14ac:dyDescent="0.25">
      <c r="B82" s="73">
        <f t="shared" si="3"/>
        <v>45748</v>
      </c>
      <c r="C82" s="168">
        <f t="shared" si="6"/>
        <v>6341.4836958703108</v>
      </c>
      <c r="D82" s="129">
        <f t="shared" si="4"/>
        <v>4295053.5499066357</v>
      </c>
      <c r="E82" s="56"/>
      <c r="F82" s="129">
        <f t="shared" si="5"/>
        <v>3799343.8150549177</v>
      </c>
      <c r="G82" s="168">
        <f>IFERROR(G34*IF(G$2=$B$44,'Dev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2296.9253021901582</v>
      </c>
      <c r="H82" s="129">
        <f>IFERROR(H34*IF(H$2=$B$44,'Dev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733066.35144239874</v>
      </c>
      <c r="I82" s="56">
        <f>IFERROR(I34*IF(I$2=$B$44,'Dev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0.69</v>
      </c>
      <c r="J82" s="168">
        <f>IFERROR(J34*IF(J$2=$B$44,'Dev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759868.76301098359</v>
      </c>
      <c r="K82" s="168">
        <f>IFERROR(K34*IF(K$2=$B$44,'Dev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4044.5583936801531</v>
      </c>
      <c r="L82" s="129">
        <f>IFERROR(L34*IF(L$2=$B$44,'Dev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3561987.1984642372</v>
      </c>
      <c r="M82" s="56">
        <f>IFERROR(M34*IF(M$2=$B$44,'Dev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0.69</v>
      </c>
      <c r="N82" s="168">
        <f>IFERROR(N34*IF(N$2=$B$44,'Dev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3039475.0520439344</v>
      </c>
      <c r="O82" s="168">
        <f>IFERROR(O34*IF(O$2=$B$44,'Dev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82" s="129">
        <f>IFERROR(P34*IF(P$2=$B$44,'Dev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82" s="56">
        <f>IFERROR(Q34*IF(Q$2=$B$44,'Dev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0.69</v>
      </c>
      <c r="R82" s="101">
        <f>IFERROR(R34*IF(R$2=$B$44,'Dev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82" s="168"/>
      <c r="T82" s="129"/>
      <c r="U82" s="56"/>
      <c r="V82" s="101"/>
      <c r="W82" s="168"/>
      <c r="X82" s="129"/>
      <c r="Y82" s="56"/>
      <c r="Z82" s="101"/>
      <c r="AA82" s="168"/>
      <c r="AB82" s="129"/>
      <c r="AC82" s="56"/>
      <c r="AD82" s="101"/>
      <c r="AE82" s="168"/>
      <c r="AF82" s="129"/>
      <c r="AG82" s="56"/>
      <c r="AH82" s="101"/>
      <c r="AI82" s="168"/>
      <c r="AJ82" s="129"/>
      <c r="AK82" s="56"/>
      <c r="AL82" s="101"/>
      <c r="AM82" s="168"/>
      <c r="AN82" s="129"/>
      <c r="AO82" s="56"/>
      <c r="AP82" s="101"/>
    </row>
    <row r="83" spans="1:42" ht="15" customHeight="1" x14ac:dyDescent="0.25">
      <c r="B83" s="73">
        <f t="shared" si="3"/>
        <v>45778</v>
      </c>
      <c r="C83" s="168">
        <f t="shared" si="6"/>
        <v>6327.932231107442</v>
      </c>
      <c r="D83" s="129">
        <f t="shared" si="4"/>
        <v>4464067.9125272501</v>
      </c>
      <c r="E83" s="56"/>
      <c r="F83" s="129">
        <f t="shared" si="5"/>
        <v>3947873.8342300132</v>
      </c>
      <c r="G83" s="168">
        <f>IFERROR(G35*IF(G$2=$B$44,'Dev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2294.0387638931343</v>
      </c>
      <c r="H83" s="129">
        <f>IFERROR(H35*IF(H$2=$B$44,'Dev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761913.19600626908</v>
      </c>
      <c r="I83" s="56">
        <f>IFERROR(I35*IF(I$2=$B$44,'Dev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0.69</v>
      </c>
      <c r="J83" s="168">
        <f>IFERROR(J35*IF(J$2=$B$44,'Dev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789574.76684600266</v>
      </c>
      <c r="K83" s="168">
        <f>IFERROR(K35*IF(K$2=$B$44,'Dev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4033.8934672143077</v>
      </c>
      <c r="L83" s="129">
        <f>IFERROR(L35*IF(L$2=$B$44,'Dev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3702154.7165209809</v>
      </c>
      <c r="M83" s="56">
        <f>IFERROR(M35*IF(M$2=$B$44,'Dev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0.69</v>
      </c>
      <c r="N83" s="168">
        <f>IFERROR(N35*IF(N$2=$B$44,'Dev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3158299.0673840106</v>
      </c>
      <c r="O83" s="168">
        <f>IFERROR(O35*IF(O$2=$B$44,'Dev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83" s="129">
        <f>IFERROR(P35*IF(P$2=$B$44,'Dev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83" s="56">
        <f>IFERROR(Q35*IF(Q$2=$B$44,'Dev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0.69</v>
      </c>
      <c r="R83" s="101">
        <f>IFERROR(R35*IF(R$2=$B$44,'Dev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83" s="168"/>
      <c r="T83" s="129"/>
      <c r="U83" s="56"/>
      <c r="V83" s="101"/>
      <c r="W83" s="168"/>
      <c r="X83" s="129"/>
      <c r="Y83" s="56"/>
      <c r="Z83" s="101"/>
      <c r="AA83" s="168"/>
      <c r="AB83" s="129"/>
      <c r="AC83" s="56"/>
      <c r="AD83" s="101"/>
      <c r="AE83" s="168"/>
      <c r="AF83" s="129"/>
      <c r="AG83" s="56"/>
      <c r="AH83" s="101"/>
      <c r="AI83" s="168"/>
      <c r="AJ83" s="129"/>
      <c r="AK83" s="56"/>
      <c r="AL83" s="101"/>
      <c r="AM83" s="168"/>
      <c r="AN83" s="129"/>
      <c r="AO83" s="56"/>
      <c r="AP83" s="101"/>
    </row>
    <row r="84" spans="1:42" ht="15" customHeight="1" x14ac:dyDescent="0.25">
      <c r="B84" s="73">
        <f t="shared" si="3"/>
        <v>45809</v>
      </c>
      <c r="C84" s="168">
        <f t="shared" si="6"/>
        <v>6298.8858444112948</v>
      </c>
      <c r="D84" s="129">
        <f t="shared" si="4"/>
        <v>4408220.2782361265</v>
      </c>
      <c r="E84" s="56"/>
      <c r="F84" s="129">
        <f t="shared" si="5"/>
        <v>3895730.5805873908</v>
      </c>
      <c r="G84" s="168">
        <f>IFERROR(G36*IF(G$2=$B$44,'Dev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2288.274132113012</v>
      </c>
      <c r="H84" s="129">
        <f>IFERROR(H36*IF(H$2=$B$44,'Dev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752381.29587259714</v>
      </c>
      <c r="I84" s="56">
        <f>IFERROR(I36*IF(I$2=$B$44,'Dev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0.69</v>
      </c>
      <c r="J84" s="168">
        <f>IFERROR(J36*IF(J$2=$B$44,'Dev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779146.11611747812</v>
      </c>
      <c r="K84" s="168">
        <f>IFERROR(K36*IF(K$2=$B$44,'Dev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4010.6117122982828</v>
      </c>
      <c r="L84" s="129">
        <f>IFERROR(L36*IF(L$2=$B$44,'Dev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3655838.9823635295</v>
      </c>
      <c r="M84" s="56">
        <f>IFERROR(M36*IF(M$2=$B$44,'Dev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0.69</v>
      </c>
      <c r="N84" s="168">
        <f>IFERROR(N36*IF(N$2=$B$44,'Dev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3116584.4644699125</v>
      </c>
      <c r="O84" s="168">
        <f>IFERROR(O36*IF(O$2=$B$44,'Dev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84" s="129">
        <f>IFERROR(P36*IF(P$2=$B$44,'Dev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84" s="56">
        <f>IFERROR(Q36*IF(Q$2=$B$44,'Dev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0.69</v>
      </c>
      <c r="R84" s="101">
        <f>IFERROR(R36*IF(R$2=$B$44,'Dev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84" s="168"/>
      <c r="T84" s="129"/>
      <c r="U84" s="56"/>
      <c r="V84" s="101"/>
      <c r="W84" s="168"/>
      <c r="X84" s="129"/>
      <c r="Y84" s="56"/>
      <c r="Z84" s="101"/>
      <c r="AA84" s="168"/>
      <c r="AB84" s="129"/>
      <c r="AC84" s="56"/>
      <c r="AD84" s="101"/>
      <c r="AE84" s="168"/>
      <c r="AF84" s="129"/>
      <c r="AG84" s="56"/>
      <c r="AH84" s="101"/>
      <c r="AI84" s="168"/>
      <c r="AJ84" s="129"/>
      <c r="AK84" s="56"/>
      <c r="AL84" s="101"/>
      <c r="AM84" s="168"/>
      <c r="AN84" s="129"/>
      <c r="AO84" s="56"/>
      <c r="AP84" s="101"/>
    </row>
    <row r="85" spans="1:42" ht="15" customHeight="1" x14ac:dyDescent="0.25">
      <c r="B85" s="73">
        <f t="shared" si="3"/>
        <v>45839</v>
      </c>
      <c r="C85" s="168">
        <f t="shared" si="6"/>
        <v>6312.6232636596178</v>
      </c>
      <c r="D85" s="129">
        <f t="shared" si="4"/>
        <v>4681841.3670253903</v>
      </c>
      <c r="E85" s="56"/>
      <c r="F85" s="129">
        <f t="shared" si="5"/>
        <v>4133401.9571919926</v>
      </c>
      <c r="G85" s="168">
        <f>IFERROR(G37*IF(G$2=$B$44,'Dev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2307.0155140628908</v>
      </c>
      <c r="H85" s="129">
        <f>IFERROR(H37*IF(H$2=$B$44,'Dev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799082.09038092231</v>
      </c>
      <c r="I85" s="56">
        <f>IFERROR(I37*IF(I$2=$B$44,'Dev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0.67</v>
      </c>
      <c r="J85" s="168">
        <f>IFERROR(J37*IF(J$2=$B$44,'Dev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826680.39143839851</v>
      </c>
      <c r="K85" s="168">
        <f>IFERROR(K37*IF(K$2=$B$44,'Dev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4005.6077495967265</v>
      </c>
      <c r="L85" s="129">
        <f>IFERROR(L37*IF(L$2=$B$44,'Dev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3882759.2766444683</v>
      </c>
      <c r="M85" s="56">
        <f>IFERROR(M37*IF(M$2=$B$44,'Dev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0.67</v>
      </c>
      <c r="N85" s="168">
        <f>IFERROR(N37*IF(N$2=$B$44,'Dev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3306721.565753594</v>
      </c>
      <c r="O85" s="168">
        <f>IFERROR(O37*IF(O$2=$B$44,'Dev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85" s="129">
        <f>IFERROR(P37*IF(P$2=$B$44,'Dev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85" s="56">
        <f>IFERROR(Q37*IF(Q$2=$B$44,'Dev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0.67</v>
      </c>
      <c r="R85" s="101">
        <f>IFERROR(R37*IF(R$2=$B$44,'Dev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85" s="168"/>
      <c r="T85" s="129"/>
      <c r="U85" s="56"/>
      <c r="V85" s="101"/>
      <c r="W85" s="168"/>
      <c r="X85" s="129"/>
      <c r="Y85" s="56"/>
      <c r="Z85" s="101"/>
      <c r="AA85" s="168"/>
      <c r="AB85" s="129"/>
      <c r="AC85" s="56"/>
      <c r="AD85" s="101"/>
      <c r="AE85" s="168"/>
      <c r="AF85" s="129"/>
      <c r="AG85" s="56"/>
      <c r="AH85" s="101"/>
      <c r="AI85" s="168"/>
      <c r="AJ85" s="129"/>
      <c r="AK85" s="56"/>
      <c r="AL85" s="101"/>
      <c r="AM85" s="168"/>
      <c r="AN85" s="129"/>
      <c r="AO85" s="56"/>
      <c r="AP85" s="101"/>
    </row>
    <row r="86" spans="1:42" ht="15" customHeight="1" x14ac:dyDescent="0.25">
      <c r="B86" s="73">
        <f t="shared" si="3"/>
        <v>45870</v>
      </c>
      <c r="C86" s="168">
        <f t="shared" si="6"/>
        <v>6315.7757878176863</v>
      </c>
      <c r="D86" s="129">
        <f t="shared" si="4"/>
        <v>4833453.9461687803</v>
      </c>
      <c r="E86" s="56"/>
      <c r="F86" s="129">
        <f t="shared" si="5"/>
        <v>4265415.8826685222</v>
      </c>
      <c r="G86" s="168">
        <f>IFERROR(G38*IF(G$2=$B$44,'Dev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2307.8968137253173</v>
      </c>
      <c r="H86" s="129">
        <f>IFERROR(H38*IF(H$2=$B$44,'Dev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824958.85278539406</v>
      </c>
      <c r="I86" s="56">
        <f>IFERROR(I38*IF(I$2=$B$44,'Dev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0.67</v>
      </c>
      <c r="J86" s="168">
        <f>IFERROR(J38*IF(J$2=$B$44,'Dev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853083.17653370451</v>
      </c>
      <c r="K86" s="168">
        <f>IFERROR(K38*IF(K$2=$B$44,'Dev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4007.8789740923689</v>
      </c>
      <c r="L86" s="129">
        <f>IFERROR(L38*IF(L$2=$B$44,'Dev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4008495.0933833867</v>
      </c>
      <c r="M86" s="56">
        <f>IFERROR(M38*IF(M$2=$B$44,'Dev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0.67</v>
      </c>
      <c r="N86" s="168">
        <f>IFERROR(N38*IF(N$2=$B$44,'Dev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3412332.706134818</v>
      </c>
      <c r="O86" s="168">
        <f>IFERROR(O38*IF(O$2=$B$44,'Dev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86" s="129">
        <f>IFERROR(P38*IF(P$2=$B$44,'Dev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86" s="56">
        <f>IFERROR(Q38*IF(Q$2=$B$44,'Dev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0.67</v>
      </c>
      <c r="R86" s="101">
        <f>IFERROR(R38*IF(R$2=$B$44,'Dev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86" s="168"/>
      <c r="T86" s="129"/>
      <c r="U86" s="56"/>
      <c r="V86" s="101"/>
      <c r="W86" s="168"/>
      <c r="X86" s="129"/>
      <c r="Y86" s="56"/>
      <c r="Z86" s="101"/>
      <c r="AA86" s="168"/>
      <c r="AB86" s="129"/>
      <c r="AC86" s="56"/>
      <c r="AD86" s="101"/>
      <c r="AE86" s="168"/>
      <c r="AF86" s="129"/>
      <c r="AG86" s="56"/>
      <c r="AH86" s="101"/>
      <c r="AI86" s="168"/>
      <c r="AJ86" s="129"/>
      <c r="AK86" s="56"/>
      <c r="AL86" s="101"/>
      <c r="AM86" s="168"/>
      <c r="AN86" s="129"/>
      <c r="AO86" s="56"/>
      <c r="AP86" s="101"/>
    </row>
    <row r="87" spans="1:42" ht="15" customHeight="1" x14ac:dyDescent="0.25">
      <c r="B87" s="73">
        <f t="shared" si="3"/>
        <v>45901</v>
      </c>
      <c r="C87" s="168">
        <f t="shared" si="6"/>
        <v>6320.8797710179078</v>
      </c>
      <c r="D87" s="129">
        <f t="shared" si="4"/>
        <v>4841905.0065684775</v>
      </c>
      <c r="E87" s="56"/>
      <c r="F87" s="129">
        <f t="shared" si="5"/>
        <v>4271228.6016720338</v>
      </c>
      <c r="G87" s="168">
        <f>IFERROR(G39*IF(G$2=$B$44,'Dev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2310.1282493215499</v>
      </c>
      <c r="H87" s="129">
        <f>IFERROR(H39*IF(H$2=$B$44,'Dev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826401.2534309366</v>
      </c>
      <c r="I87" s="56">
        <f>IFERROR(I39*IF(I$2=$B$44,'Dev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0.67</v>
      </c>
      <c r="J87" s="168">
        <f>IFERROR(J39*IF(J$2=$B$44,'Dev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854245.72033440683</v>
      </c>
      <c r="K87" s="168">
        <f>IFERROR(K39*IF(K$2=$B$44,'Dev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4010.7515216963579</v>
      </c>
      <c r="L87" s="129">
        <f>IFERROR(L39*IF(L$2=$B$44,'Dev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4015503.753137541</v>
      </c>
      <c r="M87" s="56">
        <f>IFERROR(M39*IF(M$2=$B$44,'Dev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0.67</v>
      </c>
      <c r="N87" s="168">
        <f>IFERROR(N39*IF(N$2=$B$44,'Dev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3416982.8813376273</v>
      </c>
      <c r="O87" s="168">
        <f>IFERROR(O39*IF(O$2=$B$44,'Dev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87" s="129">
        <f>IFERROR(P39*IF(P$2=$B$44,'Dev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87" s="56">
        <f>IFERROR(Q39*IF(Q$2=$B$44,'Dev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0.67</v>
      </c>
      <c r="R87" s="101">
        <f>IFERROR(R39*IF(R$2=$B$44,'Dev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87" s="168"/>
      <c r="T87" s="129"/>
      <c r="U87" s="56"/>
      <c r="V87" s="101"/>
      <c r="W87" s="168"/>
      <c r="X87" s="129"/>
      <c r="Y87" s="56"/>
      <c r="Z87" s="101"/>
      <c r="AA87" s="168"/>
      <c r="AB87" s="129"/>
      <c r="AC87" s="56"/>
      <c r="AD87" s="101"/>
      <c r="AE87" s="168"/>
      <c r="AF87" s="129"/>
      <c r="AG87" s="56"/>
      <c r="AH87" s="101"/>
      <c r="AI87" s="168"/>
      <c r="AJ87" s="129"/>
      <c r="AK87" s="56"/>
      <c r="AL87" s="101"/>
      <c r="AM87" s="168"/>
      <c r="AN87" s="129"/>
      <c r="AO87" s="56"/>
      <c r="AP87" s="101"/>
    </row>
    <row r="88" spans="1:42" ht="15" customHeight="1" x14ac:dyDescent="0.25">
      <c r="B88" s="73">
        <f t="shared" si="3"/>
        <v>45931</v>
      </c>
      <c r="C88" s="168">
        <f t="shared" si="6"/>
        <v>6334.8631272626699</v>
      </c>
      <c r="D88" s="129">
        <f t="shared" si="4"/>
        <v>4746176.9808992464</v>
      </c>
      <c r="E88" s="56"/>
      <c r="F88" s="129">
        <f t="shared" si="5"/>
        <v>4187025.2169711255</v>
      </c>
      <c r="G88" s="168">
        <f>IFERROR(G40*IF(G$2=$B$44,'Dev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2314.5685303603282</v>
      </c>
      <c r="H88" s="129">
        <f>IFERROR(H40*IF(H$2=$B$44,'Dev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810062.69241121365</v>
      </c>
      <c r="I88" s="56">
        <f>IFERROR(I40*IF(I$2=$B$44,'Dev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0.67</v>
      </c>
      <c r="J88" s="168">
        <f>IFERROR(J40*IF(J$2=$B$44,'Dev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837405.04339422507</v>
      </c>
      <c r="K88" s="168">
        <f>IFERROR(K40*IF(K$2=$B$44,'Dev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4020.2945969023417</v>
      </c>
      <c r="L88" s="129">
        <f>IFERROR(L40*IF(L$2=$B$44,'Dev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3936114.2884880332</v>
      </c>
      <c r="M88" s="56">
        <f>IFERROR(M40*IF(M$2=$B$44,'Dev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0.67</v>
      </c>
      <c r="N88" s="168">
        <f>IFERROR(N40*IF(N$2=$B$44,'Dev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3349620.1735769003</v>
      </c>
      <c r="O88" s="168">
        <f>IFERROR(O40*IF(O$2=$B$44,'Dev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88" s="129">
        <f>IFERROR(P40*IF(P$2=$B$44,'Dev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88" s="56">
        <f>IFERROR(Q40*IF(Q$2=$B$44,'Dev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0.67</v>
      </c>
      <c r="R88" s="101">
        <f>IFERROR(R40*IF(R$2=$B$44,'Dev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88" s="168"/>
      <c r="T88" s="129"/>
      <c r="U88" s="56"/>
      <c r="V88" s="101"/>
      <c r="W88" s="168"/>
      <c r="X88" s="129"/>
      <c r="Y88" s="56"/>
      <c r="Z88" s="101"/>
      <c r="AA88" s="168"/>
      <c r="AB88" s="129"/>
      <c r="AC88" s="56"/>
      <c r="AD88" s="101"/>
      <c r="AE88" s="168"/>
      <c r="AF88" s="129"/>
      <c r="AG88" s="56"/>
      <c r="AH88" s="101"/>
      <c r="AI88" s="168"/>
      <c r="AJ88" s="129"/>
      <c r="AK88" s="56"/>
      <c r="AL88" s="101"/>
      <c r="AM88" s="168"/>
      <c r="AN88" s="129"/>
      <c r="AO88" s="56"/>
      <c r="AP88" s="101"/>
    </row>
    <row r="89" spans="1:42" ht="15" customHeight="1" x14ac:dyDescent="0.25">
      <c r="B89" s="73">
        <f t="shared" si="3"/>
        <v>45962</v>
      </c>
      <c r="C89" s="168">
        <f t="shared" si="6"/>
        <v>5889.6529600246777</v>
      </c>
      <c r="D89" s="129">
        <f t="shared" si="4"/>
        <v>5110888.4012968009</v>
      </c>
      <c r="E89" s="56"/>
      <c r="F89" s="129">
        <f t="shared" si="5"/>
        <v>4512716.8772679204</v>
      </c>
      <c r="G89" s="168">
        <f>IFERROR(G41*IF(G$2=$B$44,'Dev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2151.3839332407679</v>
      </c>
      <c r="H89" s="129">
        <f>IFERROR(H41*IF(H$2=$B$44,'Dev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872310.5007734684</v>
      </c>
      <c r="I89" s="56">
        <f>IFERROR(I41*IF(I$2=$B$44,'Dev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0.67</v>
      </c>
      <c r="J89" s="168">
        <f>IFERROR(J41*IF(J$2=$B$44,'Dev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902543.37545358413</v>
      </c>
      <c r="K89" s="168">
        <f>IFERROR(K41*IF(K$2=$B$44,'Dev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3738.2690267839093</v>
      </c>
      <c r="L89" s="129">
        <f>IFERROR(L41*IF(L$2=$B$44,'Dev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4238577.9005233329</v>
      </c>
      <c r="M89" s="56">
        <f>IFERROR(M41*IF(M$2=$B$44,'Dev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0.67</v>
      </c>
      <c r="N89" s="168">
        <f>IFERROR(N41*IF(N$2=$B$44,'Dev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3610173.5018143365</v>
      </c>
      <c r="O89" s="168">
        <f>IFERROR(O41*IF(O$2=$B$44,'Dev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89" s="129">
        <f>IFERROR(P41*IF(P$2=$B$44,'Dev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89" s="56">
        <f>IFERROR(Q41*IF(Q$2=$B$44,'Dev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0.67</v>
      </c>
      <c r="R89" s="101">
        <f>IFERROR(R41*IF(R$2=$B$44,'Dev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89" s="168"/>
      <c r="T89" s="129"/>
      <c r="U89" s="56"/>
      <c r="V89" s="101"/>
      <c r="W89" s="168"/>
      <c r="X89" s="129"/>
      <c r="Y89" s="56"/>
      <c r="Z89" s="101"/>
      <c r="AA89" s="168"/>
      <c r="AB89" s="129"/>
      <c r="AC89" s="56"/>
      <c r="AD89" s="101"/>
      <c r="AE89" s="168"/>
      <c r="AF89" s="129"/>
      <c r="AG89" s="56"/>
      <c r="AH89" s="101"/>
      <c r="AI89" s="168"/>
      <c r="AJ89" s="129"/>
      <c r="AK89" s="56"/>
      <c r="AL89" s="101"/>
      <c r="AM89" s="168"/>
      <c r="AN89" s="129"/>
      <c r="AO89" s="56"/>
      <c r="AP89" s="101"/>
    </row>
    <row r="90" spans="1:42" ht="15" customHeight="1" x14ac:dyDescent="0.25">
      <c r="B90" s="73">
        <f t="shared" si="3"/>
        <v>45992</v>
      </c>
      <c r="C90" s="168">
        <f t="shared" si="6"/>
        <v>4984.4107780443683</v>
      </c>
      <c r="D90" s="129">
        <f t="shared" si="4"/>
        <v>4919656.5722469334</v>
      </c>
      <c r="E90" s="56"/>
      <c r="F90" s="129">
        <f t="shared" si="5"/>
        <v>4347627.0057673305</v>
      </c>
      <c r="G90" s="168">
        <f>IFERROR(G42*IF(G$2=$B$44,'Dev Patterns'!$C$6,IF('Plan Figures'!G$2='Plan Figures'!$B$45,'Dev Patterns'!$D$6,IF('Plan Figures'!G$2='Plan Figures'!$B$46,'Dev Patterns'!$E$6,IF('Plan Figures'!G$2='Plan Figures'!$B$47,'Dev Patterns'!$F$6,IF('Plan Figures'!G$2='Plan Figures'!$B$48,'Dev Patterns'!$G$6,IF('Plan Figures'!G$2='Plan Figures'!$B$49,'Dev Patterns'!$H$6,1)))))),"-")</f>
        <v>1820.8471773987794</v>
      </c>
      <c r="H90" s="129">
        <f>IFERROR(H42*IF(H$2=$B$44,'Dev Patterns'!$C$6,IF('Plan Figures'!H$2='Plan Figures'!$B$45,'Dev Patterns'!$D$6,IF('Plan Figures'!H$2='Plan Figures'!$B$46,'Dev Patterns'!$E$6,IF('Plan Figures'!H$2='Plan Figures'!$B$47,'Dev Patterns'!$F$6,IF('Plan Figures'!H$2='Plan Figures'!$B$48,'Dev Patterns'!$G$6,IF('Plan Figures'!H$2='Plan Figures'!$B$49,'Dev Patterns'!$H$6,1)))))),"-")</f>
        <v>839671.64829529834</v>
      </c>
      <c r="I90" s="56">
        <f>IFERROR(I42*IF(I$2=$B$44,'Dev Patterns'!$C$6,IF('Plan Figures'!I$2='Plan Figures'!$B$45,'Dev Patterns'!$D$6,IF('Plan Figures'!I$2='Plan Figures'!$B$46,'Dev Patterns'!$E$6,IF('Plan Figures'!I$2='Plan Figures'!$B$47,'Dev Patterns'!$F$6,IF('Plan Figures'!I$2='Plan Figures'!$B$48,'Dev Patterns'!$G$6,IF('Plan Figures'!I$2='Plan Figures'!$B$49,'Dev Patterns'!$H$6,1)))))),"-")</f>
        <v>0.67</v>
      </c>
      <c r="J90" s="168">
        <f>IFERROR(J42*IF(J$2=$B$44,'Dev Patterns'!$C$6,IF('Plan Figures'!J$2='Plan Figures'!$B$45,'Dev Patterns'!$D$6,IF('Plan Figures'!J$2='Plan Figures'!$B$46,'Dev Patterns'!$E$6,IF('Plan Figures'!J$2='Plan Figures'!$B$47,'Dev Patterns'!$F$6,IF('Plan Figures'!J$2='Plan Figures'!$B$48,'Dev Patterns'!$G$6,IF('Plan Figures'!J$2='Plan Figures'!$B$49,'Dev Patterns'!$H$6,1)))))),"-")</f>
        <v>869525.40115346608</v>
      </c>
      <c r="K90" s="168">
        <f>IFERROR(K42*IF(K$2=$B$44,'Dev Patterns'!$C$6,IF('Plan Figures'!K$2='Plan Figures'!$B$45,'Dev Patterns'!$D$6,IF('Plan Figures'!K$2='Plan Figures'!$B$46,'Dev Patterns'!$E$6,IF('Plan Figures'!K$2='Plan Figures'!$B$47,'Dev Patterns'!$F$6,IF('Plan Figures'!K$2='Plan Figures'!$B$48,'Dev Patterns'!$G$6,IF('Plan Figures'!K$2='Plan Figures'!$B$49,'Dev Patterns'!$H$6,1)))))),"-")</f>
        <v>3163.5636006455893</v>
      </c>
      <c r="L90" s="129">
        <f>IFERROR(L42*IF(L$2=$B$44,'Dev Patterns'!$C$6,IF('Plan Figures'!L$2='Plan Figures'!$B$45,'Dev Patterns'!$D$6,IF('Plan Figures'!L$2='Plan Figures'!$B$46,'Dev Patterns'!$E$6,IF('Plan Figures'!L$2='Plan Figures'!$B$47,'Dev Patterns'!$F$6,IF('Plan Figures'!L$2='Plan Figures'!$B$48,'Dev Patterns'!$G$6,IF('Plan Figures'!L$2='Plan Figures'!$B$49,'Dev Patterns'!$H$6,1)))))),"-")</f>
        <v>4079984.9239516351</v>
      </c>
      <c r="M90" s="56">
        <f>IFERROR(M42*IF(M$2=$B$44,'Dev Patterns'!$C$6,IF('Plan Figures'!M$2='Plan Figures'!$B$45,'Dev Patterns'!$D$6,IF('Plan Figures'!M$2='Plan Figures'!$B$46,'Dev Patterns'!$E$6,IF('Plan Figures'!M$2='Plan Figures'!$B$47,'Dev Patterns'!$F$6,IF('Plan Figures'!M$2='Plan Figures'!$B$48,'Dev Patterns'!$G$6,IF('Plan Figures'!M$2='Plan Figures'!$B$49,'Dev Patterns'!$H$6,1)))))),"-")</f>
        <v>0.67</v>
      </c>
      <c r="N90" s="168">
        <f>IFERROR(N42*IF(N$2=$B$44,'Dev Patterns'!$C$6,IF('Plan Figures'!N$2='Plan Figures'!$B$45,'Dev Patterns'!$D$6,IF('Plan Figures'!N$2='Plan Figures'!$B$46,'Dev Patterns'!$E$6,IF('Plan Figures'!N$2='Plan Figures'!$B$47,'Dev Patterns'!$F$6,IF('Plan Figures'!N$2='Plan Figures'!$B$48,'Dev Patterns'!$G$6,IF('Plan Figures'!N$2='Plan Figures'!$B$49,'Dev Patterns'!$H$6,1)))))),"-")</f>
        <v>3478101.6046138643</v>
      </c>
      <c r="O90" s="168">
        <f>IFERROR(O42*IF(O$2=$B$44,'Dev Patterns'!$C$6,IF('Plan Figures'!O$2='Plan Figures'!$B$45,'Dev Patterns'!$D$6,IF('Plan Figures'!O$2='Plan Figures'!$B$46,'Dev Patterns'!$E$6,IF('Plan Figures'!O$2='Plan Figures'!$B$47,'Dev Patterns'!$F$6,IF('Plan Figures'!O$2='Plan Figures'!$B$48,'Dev Patterns'!$G$6,IF('Plan Figures'!O$2='Plan Figures'!$B$49,'Dev Patterns'!$H$6,1)))))),"-")</f>
        <v>0</v>
      </c>
      <c r="P90" s="129">
        <f>IFERROR(P42*IF(P$2=$B$44,'Dev Patterns'!$C$6,IF('Plan Figures'!P$2='Plan Figures'!$B$45,'Dev Patterns'!$D$6,IF('Plan Figures'!P$2='Plan Figures'!$B$46,'Dev Patterns'!$E$6,IF('Plan Figures'!P$2='Plan Figures'!$B$47,'Dev Patterns'!$F$6,IF('Plan Figures'!P$2='Plan Figures'!$B$48,'Dev Patterns'!$G$6,IF('Plan Figures'!P$2='Plan Figures'!$B$49,'Dev Patterns'!$H$6,1)))))),"-")</f>
        <v>0</v>
      </c>
      <c r="Q90" s="56">
        <f>IFERROR(Q42*IF(Q$2=$B$44,'Dev Patterns'!$C$6,IF('Plan Figures'!Q$2='Plan Figures'!$B$45,'Dev Patterns'!$D$6,IF('Plan Figures'!Q$2='Plan Figures'!$B$46,'Dev Patterns'!$E$6,IF('Plan Figures'!Q$2='Plan Figures'!$B$47,'Dev Patterns'!$F$6,IF('Plan Figures'!Q$2='Plan Figures'!$B$48,'Dev Patterns'!$G$6,IF('Plan Figures'!Q$2='Plan Figures'!$B$49,'Dev Patterns'!$H$6,1)))))),"-")</f>
        <v>0.67</v>
      </c>
      <c r="R90" s="101">
        <f>IFERROR(R42*IF(R$2=$B$44,'Dev Patterns'!$C$6,IF('Plan Figures'!R$2='Plan Figures'!$B$45,'Dev Patterns'!$D$6,IF('Plan Figures'!R$2='Plan Figures'!$B$46,'Dev Patterns'!$E$6,IF('Plan Figures'!R$2='Plan Figures'!$B$47,'Dev Patterns'!$F$6,IF('Plan Figures'!R$2='Plan Figures'!$B$48,'Dev Patterns'!$G$6,IF('Plan Figures'!R$2='Plan Figures'!$B$49,'Dev Patterns'!$H$6,1)))))),"-")</f>
        <v>0</v>
      </c>
      <c r="S90" s="168"/>
      <c r="T90" s="129"/>
      <c r="U90" s="56"/>
      <c r="V90" s="101"/>
      <c r="W90" s="168"/>
      <c r="X90" s="129"/>
      <c r="Y90" s="56"/>
      <c r="Z90" s="101"/>
      <c r="AA90" s="168"/>
      <c r="AB90" s="129"/>
      <c r="AC90" s="56"/>
      <c r="AD90" s="101"/>
      <c r="AE90" s="168"/>
      <c r="AF90" s="129"/>
      <c r="AG90" s="56"/>
      <c r="AH90" s="101"/>
      <c r="AI90" s="168"/>
      <c r="AJ90" s="129"/>
      <c r="AK90" s="56"/>
      <c r="AL90" s="101"/>
      <c r="AM90" s="168"/>
      <c r="AN90" s="129"/>
      <c r="AO90" s="56"/>
      <c r="AP90" s="101"/>
    </row>
    <row r="91" spans="1:42" x14ac:dyDescent="0.25">
      <c r="C91" s="168"/>
      <c r="D91" s="129"/>
      <c r="E91" s="56"/>
      <c r="F91" s="129"/>
      <c r="G91" s="168"/>
      <c r="H91" s="129"/>
      <c r="I91" s="56"/>
      <c r="J91" s="101"/>
    </row>
    <row r="92" spans="1:42" x14ac:dyDescent="0.25">
      <c r="C92" s="101" t="s">
        <v>292</v>
      </c>
      <c r="D92" t="s">
        <v>292</v>
      </c>
      <c r="E92" t="s">
        <v>292</v>
      </c>
      <c r="F92" t="s">
        <v>292</v>
      </c>
    </row>
    <row r="93" spans="1:42" x14ac:dyDescent="0.25">
      <c r="C93" s="171" t="s">
        <v>1</v>
      </c>
      <c r="D93" s="171" t="s">
        <v>1</v>
      </c>
      <c r="E93" s="171" t="s">
        <v>1</v>
      </c>
      <c r="F93" s="171" t="s">
        <v>1</v>
      </c>
      <c r="G93" s="58" t="s">
        <v>183</v>
      </c>
      <c r="H93" s="58" t="s">
        <v>183</v>
      </c>
      <c r="I93" s="58" t="s">
        <v>183</v>
      </c>
      <c r="J93" s="172" t="s">
        <v>183</v>
      </c>
      <c r="K93" s="58" t="s">
        <v>294</v>
      </c>
      <c r="L93" s="58" t="s">
        <v>294</v>
      </c>
      <c r="M93" s="58" t="s">
        <v>294</v>
      </c>
      <c r="N93" s="172" t="s">
        <v>294</v>
      </c>
      <c r="O93" s="58" t="s">
        <v>204</v>
      </c>
      <c r="P93" s="58" t="s">
        <v>204</v>
      </c>
      <c r="Q93" s="58" t="s">
        <v>204</v>
      </c>
      <c r="R93" s="172" t="s">
        <v>204</v>
      </c>
      <c r="S93" s="159"/>
      <c r="T93" s="159"/>
      <c r="U93" s="159"/>
      <c r="V93" s="160"/>
      <c r="W93" s="159"/>
      <c r="X93" s="159"/>
      <c r="Y93" s="159"/>
      <c r="Z93" s="160"/>
      <c r="AA93" s="161"/>
      <c r="AB93" s="161"/>
      <c r="AC93" s="161"/>
      <c r="AD93" s="161"/>
      <c r="AE93" s="162"/>
      <c r="AF93" s="162"/>
      <c r="AG93" s="162"/>
      <c r="AH93" s="163"/>
      <c r="AI93" s="162"/>
      <c r="AJ93" s="162"/>
      <c r="AK93" s="162"/>
      <c r="AL93" s="163"/>
      <c r="AM93" s="164"/>
      <c r="AN93" s="164"/>
      <c r="AO93" s="164"/>
      <c r="AP93" s="165"/>
    </row>
    <row r="94" spans="1:42" ht="33" customHeight="1" x14ac:dyDescent="0.25">
      <c r="A94" s="166" t="s">
        <v>293</v>
      </c>
      <c r="C94" s="166" t="s">
        <v>286</v>
      </c>
      <c r="D94" s="166" t="s">
        <v>287</v>
      </c>
      <c r="E94" s="166" t="s">
        <v>288</v>
      </c>
      <c r="F94" s="166" t="s">
        <v>289</v>
      </c>
      <c r="G94" s="166" t="s">
        <v>286</v>
      </c>
      <c r="H94" s="166" t="s">
        <v>287</v>
      </c>
      <c r="I94" s="166" t="s">
        <v>288</v>
      </c>
      <c r="J94" s="166" t="s">
        <v>289</v>
      </c>
      <c r="K94" s="166" t="s">
        <v>286</v>
      </c>
      <c r="L94" s="166" t="s">
        <v>287</v>
      </c>
      <c r="M94" s="166" t="s">
        <v>288</v>
      </c>
      <c r="N94" s="166" t="s">
        <v>289</v>
      </c>
      <c r="O94" s="166" t="s">
        <v>286</v>
      </c>
      <c r="P94" s="166" t="s">
        <v>287</v>
      </c>
      <c r="Q94" s="166" t="s">
        <v>288</v>
      </c>
      <c r="R94" s="166" t="s">
        <v>289</v>
      </c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</row>
    <row r="95" spans="1:42" ht="15" customHeight="1" x14ac:dyDescent="0.25">
      <c r="A95" s="101">
        <f ca="1">IF(EOMONTH(B95,0)=EOMONTH(TODAY(),0),1,IF(EOMONTH(B95,0)&lt;EOMONTH(TODAY(),0),$A96+1,#N/A))</f>
        <v>33</v>
      </c>
      <c r="B95" s="73">
        <f t="shared" ref="B95:B120" si="7">B54</f>
        <v>44896</v>
      </c>
      <c r="C95" s="168" t="str">
        <f ca="1">IF(SUM(G95,K95, O95)=0,"-",SUM(G95,K95, O95))</f>
        <v>-</v>
      </c>
      <c r="D95" s="129" t="str">
        <f t="shared" ref="D95:D131" ca="1" si="8">IF(SUM(H95,L95, P95)=0,"-",SUM(H95,L95, P95))</f>
        <v>-</v>
      </c>
      <c r="E95" s="56" t="str">
        <f t="shared" ref="E95:E131" ca="1" si="9">IF(SUM(I95,M95, Q95)=0,"-",SUM(I95,M95, Q95))</f>
        <v>-</v>
      </c>
      <c r="F95" s="129" t="str">
        <f t="shared" ref="F95:F131" ca="1" si="10">IF(SUM(J95,N95, R95)=0,"-",SUM(J95,N95, R95))</f>
        <v>-</v>
      </c>
      <c r="G95" s="168" t="str">
        <f ca="1">IFERROR(G6*IFERROR(VLOOKUP($A95,'Dev Patterns'!$B$6:$H$34,VLOOKUP('Plan Figures'!G$2,'Plan Figures'!$B$44:$D$49,3,0),0),1),"-")</f>
        <v>-</v>
      </c>
      <c r="H95" s="129" t="str">
        <f ca="1">IFERROR(H6*IFERROR(VLOOKUP($A95,'Dev Patterns'!$B$6:$H$34,VLOOKUP('Plan Figures'!H$2,'Plan Figures'!$B$44:$D$49,3,0),0),1),"-")</f>
        <v>-</v>
      </c>
      <c r="I95" s="56" t="str">
        <f ca="1">IFERROR(I6*IFERROR(VLOOKUP($A95,'Dev Patterns'!$B$6:$H$34,VLOOKUP('Plan Figures'!I$2,'Plan Figures'!$B$44:$D$49,3,0),0),1),"-")</f>
        <v>-</v>
      </c>
      <c r="J95" s="101" t="str">
        <f ca="1">IFERROR(J6*IFERROR(VLOOKUP($A95,'Dev Patterns'!$B$6:$H$34,VLOOKUP('Plan Figures'!J$2,'Plan Figures'!$B$44:$D$49,3,0),0),1),"-")</f>
        <v>-</v>
      </c>
      <c r="K95" s="168" t="str">
        <f ca="1">IFERROR(K6*IFERROR(VLOOKUP($A95,'Dev Patterns'!$B$6:$H$34,VLOOKUP('Plan Figures'!K$2,'Plan Figures'!$B$44:$D$49,3,0),0),1),"-")</f>
        <v>-</v>
      </c>
      <c r="L95" s="129" t="str">
        <f ca="1">IFERROR(L6*IFERROR(VLOOKUP($A95,'Dev Patterns'!$B$6:$H$34,VLOOKUP('Plan Figures'!L$2,'Plan Figures'!$B$44:$D$49,3,0),0),1),"-")</f>
        <v>-</v>
      </c>
      <c r="M95" s="56" t="str">
        <f ca="1">IFERROR(M6*IFERROR(VLOOKUP($A95,'Dev Patterns'!$B$6:$H$34,VLOOKUP('Plan Figures'!M$2,'Plan Figures'!$B$44:$D$49,3,0),0),1),"-")</f>
        <v>-</v>
      </c>
      <c r="N95" s="101" t="str">
        <f ca="1">IFERROR(N6*IFERROR(VLOOKUP($A95,'Dev Patterns'!$B$6:$H$34,VLOOKUP('Plan Figures'!N$2,'Plan Figures'!$B$44:$D$49,3,0),0),1),"-")</f>
        <v>-</v>
      </c>
      <c r="O95" s="168" t="str">
        <f ca="1">IFERROR(O6*IFERROR(VLOOKUP($A95,'Dev Patterns'!$B$6:$H$34,VLOOKUP('Plan Figures'!O$2,'Plan Figures'!$B$44:$D$49,3,0),0),1),"-")</f>
        <v>-</v>
      </c>
      <c r="P95" s="129" t="str">
        <f ca="1">IFERROR(P6*IFERROR(VLOOKUP($A95,'Dev Patterns'!$B$6:$H$34,VLOOKUP('Plan Figures'!P$2,'Plan Figures'!$B$44:$D$49,3,0),0),1),"-")</f>
        <v>-</v>
      </c>
      <c r="Q95" s="56" t="str">
        <f ca="1">IFERROR(Q6*IFERROR(VLOOKUP($A95,'Dev Patterns'!$B$6:$H$34,VLOOKUP('Plan Figures'!Q$2,'Plan Figures'!$B$44:$D$49,3,0),0),1),"-")</f>
        <v>-</v>
      </c>
      <c r="R95" s="101" t="str">
        <f ca="1">IFERROR(R6*IFERROR(VLOOKUP($A95,'Dev Patterns'!$B$6:$H$34,VLOOKUP('Plan Figures'!R$2,'Plan Figures'!$B$44:$D$49,3,0),0),1),"-")</f>
        <v>-</v>
      </c>
      <c r="S95" s="168"/>
      <c r="T95" s="129"/>
      <c r="U95" s="56"/>
      <c r="V95" s="101"/>
      <c r="W95" s="168"/>
      <c r="X95" s="129"/>
      <c r="Y95" s="56"/>
      <c r="Z95" s="101"/>
      <c r="AA95" s="168"/>
      <c r="AB95" s="129"/>
      <c r="AC95" s="56"/>
      <c r="AD95" s="101"/>
      <c r="AE95" s="168"/>
      <c r="AF95" s="129"/>
      <c r="AG95" s="56"/>
      <c r="AH95" s="101"/>
      <c r="AI95" s="168"/>
      <c r="AJ95" s="129"/>
      <c r="AK95" s="56"/>
      <c r="AL95" s="101"/>
      <c r="AM95" s="168"/>
      <c r="AN95" s="129"/>
      <c r="AO95" s="56"/>
      <c r="AP95" s="101"/>
    </row>
    <row r="96" spans="1:42" ht="15" customHeight="1" x14ac:dyDescent="0.25">
      <c r="A96" s="101">
        <f t="shared" ref="A96:A131" ca="1" si="11">IF(EOMONTH(B96,0)=EOMONTH(TODAY(),0),1,IF(EOMONTH(B96,0)&lt;EOMONTH(TODAY(),0),$A97+1,#N/A))</f>
        <v>32</v>
      </c>
      <c r="B96" s="73">
        <f t="shared" si="7"/>
        <v>44927</v>
      </c>
      <c r="C96" s="168" t="str">
        <f t="shared" ref="C96:C131" ca="1" si="12">IF(SUM(G96,K96, O96)=0,"-",SUM(G96,K96, O96))</f>
        <v>-</v>
      </c>
      <c r="D96" s="129" t="str">
        <f t="shared" ca="1" si="8"/>
        <v>-</v>
      </c>
      <c r="E96" s="56" t="str">
        <f t="shared" ca="1" si="9"/>
        <v>-</v>
      </c>
      <c r="F96" s="129" t="str">
        <f t="shared" ca="1" si="10"/>
        <v>-</v>
      </c>
      <c r="G96" s="168" t="str">
        <f ca="1">IFERROR(G7*IFERROR(VLOOKUP($A96,'Dev Patterns'!$B$6:$H$34,VLOOKUP('Plan Figures'!G$2,'Plan Figures'!$B$44:$D$49,3,0),0),1),"-")</f>
        <v>-</v>
      </c>
      <c r="H96" s="129" t="str">
        <f ca="1">IFERROR(H7*IFERROR(VLOOKUP($A96,'Dev Patterns'!$B$6:$H$34,VLOOKUP('Plan Figures'!H$2,'Plan Figures'!$B$44:$D$49,3,0),0),1),"-")</f>
        <v>-</v>
      </c>
      <c r="I96" s="56" t="str">
        <f ca="1">IFERROR(I7*IFERROR(VLOOKUP($A96,'Dev Patterns'!$B$6:$H$34,VLOOKUP('Plan Figures'!I$2,'Plan Figures'!$B$44:$D$49,3,0),0),1),"-")</f>
        <v>-</v>
      </c>
      <c r="J96" s="101" t="str">
        <f ca="1">IFERROR(J7*IFERROR(VLOOKUP($A96,'Dev Patterns'!$B$6:$H$34,VLOOKUP('Plan Figures'!J$2,'Plan Figures'!$B$44:$D$49,3,0),0),1),"-")</f>
        <v>-</v>
      </c>
      <c r="K96" s="168" t="str">
        <f ca="1">IFERROR(K7*IFERROR(VLOOKUP($A96,'Dev Patterns'!$B$6:$H$34,VLOOKUP('Plan Figures'!K$2,'Plan Figures'!$B$44:$D$49,3,0),0),1),"-")</f>
        <v>-</v>
      </c>
      <c r="L96" s="129" t="str">
        <f ca="1">IFERROR(L7*IFERROR(VLOOKUP($A96,'Dev Patterns'!$B$6:$H$34,VLOOKUP('Plan Figures'!L$2,'Plan Figures'!$B$44:$D$49,3,0),0),1),"-")</f>
        <v>-</v>
      </c>
      <c r="M96" s="56" t="str">
        <f ca="1">IFERROR(M7*IFERROR(VLOOKUP($A96,'Dev Patterns'!$B$6:$H$34,VLOOKUP('Plan Figures'!M$2,'Plan Figures'!$B$44:$D$49,3,0),0),1),"-")</f>
        <v>-</v>
      </c>
      <c r="N96" s="101" t="str">
        <f ca="1">IFERROR(N7*IFERROR(VLOOKUP($A96,'Dev Patterns'!$B$6:$H$34,VLOOKUP('Plan Figures'!N$2,'Plan Figures'!$B$44:$D$49,3,0),0),1),"-")</f>
        <v>-</v>
      </c>
      <c r="O96" s="168" t="str">
        <f ca="1">IFERROR(O7*IFERROR(VLOOKUP($A96,'Dev Patterns'!$B$6:$H$34,VLOOKUP('Plan Figures'!O$2,'Plan Figures'!$B$44:$D$49,3,0),0),1),"-")</f>
        <v>-</v>
      </c>
      <c r="P96" s="129" t="str">
        <f ca="1">IFERROR(P7*IFERROR(VLOOKUP($A96,'Dev Patterns'!$B$6:$H$34,VLOOKUP('Plan Figures'!P$2,'Plan Figures'!$B$44:$D$49,3,0),0),1),"-")</f>
        <v>-</v>
      </c>
      <c r="Q96" s="56" t="str">
        <f ca="1">IFERROR(Q7*IFERROR(VLOOKUP($A96,'Dev Patterns'!$B$6:$H$34,VLOOKUP('Plan Figures'!Q$2,'Plan Figures'!$B$44:$D$49,3,0),0),1),"-")</f>
        <v>-</v>
      </c>
      <c r="R96" s="101" t="str">
        <f ca="1">IFERROR(R7*IFERROR(VLOOKUP($A96,'Dev Patterns'!$B$6:$H$34,VLOOKUP('Plan Figures'!R$2,'Plan Figures'!$B$44:$D$49,3,0),0),1),"-")</f>
        <v>-</v>
      </c>
      <c r="S96" s="168"/>
      <c r="T96" s="129"/>
      <c r="U96" s="56"/>
      <c r="V96" s="101"/>
      <c r="W96" s="168"/>
      <c r="X96" s="129"/>
      <c r="Y96" s="56"/>
      <c r="Z96" s="101"/>
      <c r="AA96" s="168"/>
      <c r="AB96" s="129"/>
      <c r="AC96" s="56"/>
      <c r="AD96" s="101"/>
      <c r="AE96" s="168"/>
      <c r="AF96" s="129"/>
      <c r="AG96" s="56"/>
      <c r="AH96" s="101"/>
      <c r="AI96" s="168"/>
      <c r="AJ96" s="129"/>
      <c r="AK96" s="56"/>
      <c r="AL96" s="101"/>
      <c r="AM96" s="168"/>
      <c r="AN96" s="129"/>
      <c r="AO96" s="56"/>
      <c r="AP96" s="101"/>
    </row>
    <row r="97" spans="1:42" ht="15" customHeight="1" x14ac:dyDescent="0.25">
      <c r="A97" s="101">
        <f t="shared" ca="1" si="11"/>
        <v>31</v>
      </c>
      <c r="B97" s="73">
        <f t="shared" si="7"/>
        <v>44958</v>
      </c>
      <c r="C97" s="168" t="str">
        <f t="shared" ca="1" si="12"/>
        <v>-</v>
      </c>
      <c r="D97" s="129" t="str">
        <f t="shared" ca="1" si="8"/>
        <v>-</v>
      </c>
      <c r="E97" s="56" t="str">
        <f t="shared" ca="1" si="9"/>
        <v>-</v>
      </c>
      <c r="F97" s="129" t="str">
        <f t="shared" ca="1" si="10"/>
        <v>-</v>
      </c>
      <c r="G97" s="168" t="str">
        <f ca="1">IFERROR(G8*IFERROR(VLOOKUP($A97,'Dev Patterns'!$B$6:$H$34,VLOOKUP('Plan Figures'!G$2,'Plan Figures'!$B$44:$D$49,3,0),0),1),"-")</f>
        <v>-</v>
      </c>
      <c r="H97" s="129" t="str">
        <f ca="1">IFERROR(H8*IFERROR(VLOOKUP($A97,'Dev Patterns'!$B$6:$H$34,VLOOKUP('Plan Figures'!H$2,'Plan Figures'!$B$44:$D$49,3,0),0),1),"-")</f>
        <v>-</v>
      </c>
      <c r="I97" s="56" t="str">
        <f ca="1">IFERROR(I8*IFERROR(VLOOKUP($A97,'Dev Patterns'!$B$6:$H$34,VLOOKUP('Plan Figures'!I$2,'Plan Figures'!$B$44:$D$49,3,0),0),1),"-")</f>
        <v>-</v>
      </c>
      <c r="J97" s="101" t="str">
        <f ca="1">IFERROR(J8*IFERROR(VLOOKUP($A97,'Dev Patterns'!$B$6:$H$34,VLOOKUP('Plan Figures'!J$2,'Plan Figures'!$B$44:$D$49,3,0),0),1),"-")</f>
        <v>-</v>
      </c>
      <c r="K97" s="168" t="str">
        <f ca="1">IFERROR(K8*IFERROR(VLOOKUP($A97,'Dev Patterns'!$B$6:$H$34,VLOOKUP('Plan Figures'!K$2,'Plan Figures'!$B$44:$D$49,3,0),0),1),"-")</f>
        <v>-</v>
      </c>
      <c r="L97" s="129" t="str">
        <f ca="1">IFERROR(L8*IFERROR(VLOOKUP($A97,'Dev Patterns'!$B$6:$H$34,VLOOKUP('Plan Figures'!L$2,'Plan Figures'!$B$44:$D$49,3,0),0),1),"-")</f>
        <v>-</v>
      </c>
      <c r="M97" s="56" t="str">
        <f ca="1">IFERROR(M8*IFERROR(VLOOKUP($A97,'Dev Patterns'!$B$6:$H$34,VLOOKUP('Plan Figures'!M$2,'Plan Figures'!$B$44:$D$49,3,0),0),1),"-")</f>
        <v>-</v>
      </c>
      <c r="N97" s="101" t="str">
        <f ca="1">IFERROR(N8*IFERROR(VLOOKUP($A97,'Dev Patterns'!$B$6:$H$34,VLOOKUP('Plan Figures'!N$2,'Plan Figures'!$B$44:$D$49,3,0),0),1),"-")</f>
        <v>-</v>
      </c>
      <c r="O97" s="168" t="str">
        <f ca="1">IFERROR(O8*IFERROR(VLOOKUP($A97,'Dev Patterns'!$B$6:$H$34,VLOOKUP('Plan Figures'!O$2,'Plan Figures'!$B$44:$D$49,3,0),0),1),"-")</f>
        <v>-</v>
      </c>
      <c r="P97" s="129" t="str">
        <f ca="1">IFERROR(P8*IFERROR(VLOOKUP($A97,'Dev Patterns'!$B$6:$H$34,VLOOKUP('Plan Figures'!P$2,'Plan Figures'!$B$44:$D$49,3,0),0),1),"-")</f>
        <v>-</v>
      </c>
      <c r="Q97" s="56" t="str">
        <f ca="1">IFERROR(Q8*IFERROR(VLOOKUP($A97,'Dev Patterns'!$B$6:$H$34,VLOOKUP('Plan Figures'!Q$2,'Plan Figures'!$B$44:$D$49,3,0),0),1),"-")</f>
        <v>-</v>
      </c>
      <c r="R97" s="101" t="str">
        <f ca="1">IFERROR(R8*IFERROR(VLOOKUP($A97,'Dev Patterns'!$B$6:$H$34,VLOOKUP('Plan Figures'!R$2,'Plan Figures'!$B$44:$D$49,3,0),0),1),"-")</f>
        <v>-</v>
      </c>
      <c r="S97" s="168"/>
      <c r="T97" s="129"/>
      <c r="U97" s="56"/>
      <c r="V97" s="101"/>
      <c r="W97" s="168"/>
      <c r="X97" s="129"/>
      <c r="Y97" s="56"/>
      <c r="Z97" s="101"/>
      <c r="AA97" s="168"/>
      <c r="AB97" s="129"/>
      <c r="AC97" s="56"/>
      <c r="AD97" s="101"/>
      <c r="AE97" s="168"/>
      <c r="AF97" s="129"/>
      <c r="AG97" s="56"/>
      <c r="AH97" s="101"/>
      <c r="AI97" s="168"/>
      <c r="AJ97" s="129"/>
      <c r="AK97" s="56"/>
      <c r="AL97" s="101"/>
      <c r="AM97" s="168"/>
      <c r="AN97" s="129"/>
      <c r="AO97" s="56"/>
      <c r="AP97" s="101"/>
    </row>
    <row r="98" spans="1:42" ht="15" customHeight="1" x14ac:dyDescent="0.25">
      <c r="A98" s="101">
        <f t="shared" ca="1" si="11"/>
        <v>30</v>
      </c>
      <c r="B98" s="73">
        <f t="shared" si="7"/>
        <v>44986</v>
      </c>
      <c r="C98" s="168" t="str">
        <f t="shared" ca="1" si="12"/>
        <v>-</v>
      </c>
      <c r="D98" s="129" t="str">
        <f t="shared" ca="1" si="8"/>
        <v>-</v>
      </c>
      <c r="E98" s="56" t="str">
        <f t="shared" ca="1" si="9"/>
        <v>-</v>
      </c>
      <c r="F98" s="129" t="str">
        <f t="shared" ca="1" si="10"/>
        <v>-</v>
      </c>
      <c r="G98" s="168" t="str">
        <f ca="1">IFERROR(G9*IFERROR(VLOOKUP($A98,'Dev Patterns'!$B$6:$H$34,VLOOKUP('Plan Figures'!G$2,'Plan Figures'!$B$44:$D$49,3,0),0),1),"-")</f>
        <v>-</v>
      </c>
      <c r="H98" s="129" t="str">
        <f ca="1">IFERROR(H9*IFERROR(VLOOKUP($A98,'Dev Patterns'!$B$6:$H$34,VLOOKUP('Plan Figures'!H$2,'Plan Figures'!$B$44:$D$49,3,0),0),1),"-")</f>
        <v>-</v>
      </c>
      <c r="I98" s="56" t="str">
        <f ca="1">IFERROR(I9*IFERROR(VLOOKUP($A98,'Dev Patterns'!$B$6:$H$34,VLOOKUP('Plan Figures'!I$2,'Plan Figures'!$B$44:$D$49,3,0),0),1),"-")</f>
        <v>-</v>
      </c>
      <c r="J98" s="101" t="str">
        <f ca="1">IFERROR(J9*IFERROR(VLOOKUP($A98,'Dev Patterns'!$B$6:$H$34,VLOOKUP('Plan Figures'!J$2,'Plan Figures'!$B$44:$D$49,3,0),0),1),"-")</f>
        <v>-</v>
      </c>
      <c r="K98" s="168" t="str">
        <f ca="1">IFERROR(K9*IFERROR(VLOOKUP($A98,'Dev Patterns'!$B$6:$H$34,VLOOKUP('Plan Figures'!K$2,'Plan Figures'!$B$44:$D$49,3,0),0),1),"-")</f>
        <v>-</v>
      </c>
      <c r="L98" s="129" t="str">
        <f ca="1">IFERROR(L9*IFERROR(VLOOKUP($A98,'Dev Patterns'!$B$6:$H$34,VLOOKUP('Plan Figures'!L$2,'Plan Figures'!$B$44:$D$49,3,0),0),1),"-")</f>
        <v>-</v>
      </c>
      <c r="M98" s="56" t="str">
        <f ca="1">IFERROR(M9*IFERROR(VLOOKUP($A98,'Dev Patterns'!$B$6:$H$34,VLOOKUP('Plan Figures'!M$2,'Plan Figures'!$B$44:$D$49,3,0),0),1),"-")</f>
        <v>-</v>
      </c>
      <c r="N98" s="101" t="str">
        <f ca="1">IFERROR(N9*IFERROR(VLOOKUP($A98,'Dev Patterns'!$B$6:$H$34,VLOOKUP('Plan Figures'!N$2,'Plan Figures'!$B$44:$D$49,3,0),0),1),"-")</f>
        <v>-</v>
      </c>
      <c r="O98" s="168" t="str">
        <f ca="1">IFERROR(O9*IFERROR(VLOOKUP($A98,'Dev Patterns'!$B$6:$H$34,VLOOKUP('Plan Figures'!O$2,'Plan Figures'!$B$44:$D$49,3,0),0),1),"-")</f>
        <v>-</v>
      </c>
      <c r="P98" s="129" t="str">
        <f ca="1">IFERROR(P9*IFERROR(VLOOKUP($A98,'Dev Patterns'!$B$6:$H$34,VLOOKUP('Plan Figures'!P$2,'Plan Figures'!$B$44:$D$49,3,0),0),1),"-")</f>
        <v>-</v>
      </c>
      <c r="Q98" s="56" t="str">
        <f ca="1">IFERROR(Q9*IFERROR(VLOOKUP($A98,'Dev Patterns'!$B$6:$H$34,VLOOKUP('Plan Figures'!Q$2,'Plan Figures'!$B$44:$D$49,3,0),0),1),"-")</f>
        <v>-</v>
      </c>
      <c r="R98" s="101" t="str">
        <f ca="1">IFERROR(R9*IFERROR(VLOOKUP($A98,'Dev Patterns'!$B$6:$H$34,VLOOKUP('Plan Figures'!R$2,'Plan Figures'!$B$44:$D$49,3,0),0),1),"-")</f>
        <v>-</v>
      </c>
      <c r="S98" s="168"/>
      <c r="T98" s="129"/>
      <c r="U98" s="56"/>
      <c r="V98" s="101"/>
      <c r="W98" s="168"/>
      <c r="X98" s="129"/>
      <c r="Y98" s="56"/>
      <c r="Z98" s="101"/>
      <c r="AA98" s="168"/>
      <c r="AB98" s="129"/>
      <c r="AC98" s="56"/>
      <c r="AD98" s="101"/>
      <c r="AE98" s="168"/>
      <c r="AF98" s="129"/>
      <c r="AG98" s="56"/>
      <c r="AH98" s="101"/>
      <c r="AI98" s="168"/>
      <c r="AJ98" s="129"/>
      <c r="AK98" s="56"/>
      <c r="AL98" s="101"/>
      <c r="AM98" s="168"/>
      <c r="AN98" s="129"/>
      <c r="AO98" s="56"/>
      <c r="AP98" s="101"/>
    </row>
    <row r="99" spans="1:42" ht="15" customHeight="1" x14ac:dyDescent="0.25">
      <c r="A99" s="101">
        <f t="shared" ca="1" si="11"/>
        <v>29</v>
      </c>
      <c r="B99" s="73">
        <f t="shared" si="7"/>
        <v>45017</v>
      </c>
      <c r="C99" s="168" t="str">
        <f t="shared" ca="1" si="12"/>
        <v>-</v>
      </c>
      <c r="D99" s="129" t="str">
        <f t="shared" ca="1" si="8"/>
        <v>-</v>
      </c>
      <c r="E99" s="56" t="str">
        <f t="shared" ca="1" si="9"/>
        <v>-</v>
      </c>
      <c r="F99" s="129" t="str">
        <f t="shared" ca="1" si="10"/>
        <v>-</v>
      </c>
      <c r="G99" s="168" t="str">
        <f ca="1">IFERROR(G10*IFERROR(VLOOKUP($A99,'Dev Patterns'!$B$6:$H$34,VLOOKUP('Plan Figures'!G$2,'Plan Figures'!$B$44:$D$49,3,0),0),1),"-")</f>
        <v>-</v>
      </c>
      <c r="H99" s="129" t="str">
        <f ca="1">IFERROR(H10*IFERROR(VLOOKUP($A99,'Dev Patterns'!$B$6:$H$34,VLOOKUP('Plan Figures'!H$2,'Plan Figures'!$B$44:$D$49,3,0),0),1),"-")</f>
        <v>-</v>
      </c>
      <c r="I99" s="56" t="str">
        <f ca="1">IFERROR(I10*IFERROR(VLOOKUP($A99,'Dev Patterns'!$B$6:$H$34,VLOOKUP('Plan Figures'!I$2,'Plan Figures'!$B$44:$D$49,3,0),0),1),"-")</f>
        <v>-</v>
      </c>
      <c r="J99" s="101" t="str">
        <f ca="1">IFERROR(J10*IFERROR(VLOOKUP($A99,'Dev Patterns'!$B$6:$H$34,VLOOKUP('Plan Figures'!J$2,'Plan Figures'!$B$44:$D$49,3,0),0),1),"-")</f>
        <v>-</v>
      </c>
      <c r="K99" s="168" t="str">
        <f ca="1">IFERROR(K10*IFERROR(VLOOKUP($A99,'Dev Patterns'!$B$6:$H$34,VLOOKUP('Plan Figures'!K$2,'Plan Figures'!$B$44:$D$49,3,0),0),1),"-")</f>
        <v>-</v>
      </c>
      <c r="L99" s="129" t="str">
        <f ca="1">IFERROR(L10*IFERROR(VLOOKUP($A99,'Dev Patterns'!$B$6:$H$34,VLOOKUP('Plan Figures'!L$2,'Plan Figures'!$B$44:$D$49,3,0),0),1),"-")</f>
        <v>-</v>
      </c>
      <c r="M99" s="56" t="str">
        <f ca="1">IFERROR(M10*IFERROR(VLOOKUP($A99,'Dev Patterns'!$B$6:$H$34,VLOOKUP('Plan Figures'!M$2,'Plan Figures'!$B$44:$D$49,3,0),0),1),"-")</f>
        <v>-</v>
      </c>
      <c r="N99" s="101" t="str">
        <f ca="1">IFERROR(N10*IFERROR(VLOOKUP($A99,'Dev Patterns'!$B$6:$H$34,VLOOKUP('Plan Figures'!N$2,'Plan Figures'!$B$44:$D$49,3,0),0),1),"-")</f>
        <v>-</v>
      </c>
      <c r="O99" s="168" t="str">
        <f ca="1">IFERROR(O10*IFERROR(VLOOKUP($A99,'Dev Patterns'!$B$6:$H$34,VLOOKUP('Plan Figures'!O$2,'Plan Figures'!$B$44:$D$49,3,0),0),1),"-")</f>
        <v>-</v>
      </c>
      <c r="P99" s="129" t="str">
        <f ca="1">IFERROR(P10*IFERROR(VLOOKUP($A99,'Dev Patterns'!$B$6:$H$34,VLOOKUP('Plan Figures'!P$2,'Plan Figures'!$B$44:$D$49,3,0),0),1),"-")</f>
        <v>-</v>
      </c>
      <c r="Q99" s="56" t="str">
        <f ca="1">IFERROR(Q10*IFERROR(VLOOKUP($A99,'Dev Patterns'!$B$6:$H$34,VLOOKUP('Plan Figures'!Q$2,'Plan Figures'!$B$44:$D$49,3,0),0),1),"-")</f>
        <v>-</v>
      </c>
      <c r="R99" s="101" t="str">
        <f ca="1">IFERROR(R10*IFERROR(VLOOKUP($A99,'Dev Patterns'!$B$6:$H$34,VLOOKUP('Plan Figures'!R$2,'Plan Figures'!$B$44:$D$49,3,0),0),1),"-")</f>
        <v>-</v>
      </c>
      <c r="S99" s="168"/>
      <c r="T99" s="129"/>
      <c r="U99" s="56"/>
      <c r="V99" s="101"/>
      <c r="W99" s="168"/>
      <c r="X99" s="129"/>
      <c r="Y99" s="56"/>
      <c r="Z99" s="101"/>
      <c r="AA99" s="168"/>
      <c r="AB99" s="129"/>
      <c r="AC99" s="56"/>
      <c r="AD99" s="101"/>
      <c r="AE99" s="168"/>
      <c r="AF99" s="129"/>
      <c r="AG99" s="56"/>
      <c r="AH99" s="101"/>
      <c r="AI99" s="168"/>
      <c r="AJ99" s="129"/>
      <c r="AK99" s="56"/>
      <c r="AL99" s="101"/>
      <c r="AM99" s="168"/>
      <c r="AN99" s="129"/>
      <c r="AO99" s="56"/>
      <c r="AP99" s="101"/>
    </row>
    <row r="100" spans="1:42" ht="15" customHeight="1" x14ac:dyDescent="0.25">
      <c r="A100" s="101">
        <f t="shared" ca="1" si="11"/>
        <v>28</v>
      </c>
      <c r="B100" s="73">
        <f t="shared" si="7"/>
        <v>45047</v>
      </c>
      <c r="C100" s="168" t="str">
        <f t="shared" ca="1" si="12"/>
        <v>-</v>
      </c>
      <c r="D100" s="129" t="str">
        <f t="shared" ca="1" si="8"/>
        <v>-</v>
      </c>
      <c r="E100" s="56" t="str">
        <f t="shared" ca="1" si="9"/>
        <v>-</v>
      </c>
      <c r="F100" s="129" t="str">
        <f t="shared" ca="1" si="10"/>
        <v>-</v>
      </c>
      <c r="G100" s="168" t="str">
        <f ca="1">IFERROR(G11*IFERROR(VLOOKUP($A100,'Dev Patterns'!$B$6:$H$34,VLOOKUP('Plan Figures'!G$2,'Plan Figures'!$B$44:$D$49,3,0),0),1),"-")</f>
        <v>-</v>
      </c>
      <c r="H100" s="129" t="str">
        <f ca="1">IFERROR(H11*IFERROR(VLOOKUP($A100,'Dev Patterns'!$B$6:$H$34,VLOOKUP('Plan Figures'!H$2,'Plan Figures'!$B$44:$D$49,3,0),0),1),"-")</f>
        <v>-</v>
      </c>
      <c r="I100" s="56" t="str">
        <f ca="1">IFERROR(I11*IFERROR(VLOOKUP($A100,'Dev Patterns'!$B$6:$H$34,VLOOKUP('Plan Figures'!I$2,'Plan Figures'!$B$44:$D$49,3,0),0),1),"-")</f>
        <v>-</v>
      </c>
      <c r="J100" s="101" t="str">
        <f ca="1">IFERROR(J11*IFERROR(VLOOKUP($A100,'Dev Patterns'!$B$6:$H$34,VLOOKUP('Plan Figures'!J$2,'Plan Figures'!$B$44:$D$49,3,0),0),1),"-")</f>
        <v>-</v>
      </c>
      <c r="K100" s="168" t="str">
        <f ca="1">IFERROR(K11*IFERROR(VLOOKUP($A100,'Dev Patterns'!$B$6:$H$34,VLOOKUP('Plan Figures'!K$2,'Plan Figures'!$B$44:$D$49,3,0),0),1),"-")</f>
        <v>-</v>
      </c>
      <c r="L100" s="129" t="str">
        <f ca="1">IFERROR(L11*IFERROR(VLOOKUP($A100,'Dev Patterns'!$B$6:$H$34,VLOOKUP('Plan Figures'!L$2,'Plan Figures'!$B$44:$D$49,3,0),0),1),"-")</f>
        <v>-</v>
      </c>
      <c r="M100" s="56" t="str">
        <f ca="1">IFERROR(M11*IFERROR(VLOOKUP($A100,'Dev Patterns'!$B$6:$H$34,VLOOKUP('Plan Figures'!M$2,'Plan Figures'!$B$44:$D$49,3,0),0),1),"-")</f>
        <v>-</v>
      </c>
      <c r="N100" s="101" t="str">
        <f ca="1">IFERROR(N11*IFERROR(VLOOKUP($A100,'Dev Patterns'!$B$6:$H$34,VLOOKUP('Plan Figures'!N$2,'Plan Figures'!$B$44:$D$49,3,0),0),1),"-")</f>
        <v>-</v>
      </c>
      <c r="O100" s="168" t="str">
        <f ca="1">IFERROR(O11*IFERROR(VLOOKUP($A100,'Dev Patterns'!$B$6:$H$34,VLOOKUP('Plan Figures'!O$2,'Plan Figures'!$B$44:$D$49,3,0),0),1),"-")</f>
        <v>-</v>
      </c>
      <c r="P100" s="129" t="str">
        <f ca="1">IFERROR(P11*IFERROR(VLOOKUP($A100,'Dev Patterns'!$B$6:$H$34,VLOOKUP('Plan Figures'!P$2,'Plan Figures'!$B$44:$D$49,3,0),0),1),"-")</f>
        <v>-</v>
      </c>
      <c r="Q100" s="56" t="str">
        <f ca="1">IFERROR(Q11*IFERROR(VLOOKUP($A100,'Dev Patterns'!$B$6:$H$34,VLOOKUP('Plan Figures'!Q$2,'Plan Figures'!$B$44:$D$49,3,0),0),1),"-")</f>
        <v>-</v>
      </c>
      <c r="R100" s="101" t="str">
        <f ca="1">IFERROR(R11*IFERROR(VLOOKUP($A100,'Dev Patterns'!$B$6:$H$34,VLOOKUP('Plan Figures'!R$2,'Plan Figures'!$B$44:$D$49,3,0),0),1),"-")</f>
        <v>-</v>
      </c>
      <c r="S100" s="168"/>
      <c r="T100" s="129"/>
      <c r="U100" s="56"/>
      <c r="V100" s="101"/>
      <c r="W100" s="168"/>
      <c r="X100" s="129"/>
      <c r="Y100" s="56"/>
      <c r="Z100" s="101"/>
      <c r="AA100" s="168"/>
      <c r="AB100" s="129"/>
      <c r="AC100" s="56"/>
      <c r="AD100" s="101"/>
      <c r="AE100" s="168"/>
      <c r="AF100" s="129"/>
      <c r="AG100" s="56"/>
      <c r="AH100" s="101"/>
      <c r="AI100" s="168"/>
      <c r="AJ100" s="129"/>
      <c r="AK100" s="56"/>
      <c r="AL100" s="101"/>
      <c r="AM100" s="168"/>
      <c r="AN100" s="129"/>
      <c r="AO100" s="56"/>
      <c r="AP100" s="101"/>
    </row>
    <row r="101" spans="1:42" ht="15" customHeight="1" x14ac:dyDescent="0.25">
      <c r="A101" s="101">
        <f t="shared" ca="1" si="11"/>
        <v>27</v>
      </c>
      <c r="B101" s="73">
        <f t="shared" si="7"/>
        <v>45078</v>
      </c>
      <c r="C101" s="168" t="str">
        <f t="shared" ca="1" si="12"/>
        <v>-</v>
      </c>
      <c r="D101" s="129" t="str">
        <f t="shared" ca="1" si="8"/>
        <v>-</v>
      </c>
      <c r="E101" s="56" t="str">
        <f t="shared" ca="1" si="9"/>
        <v>-</v>
      </c>
      <c r="F101" s="129" t="str">
        <f t="shared" ca="1" si="10"/>
        <v>-</v>
      </c>
      <c r="G101" s="168" t="str">
        <f ca="1">IFERROR(G12*IFERROR(VLOOKUP($A101,'Dev Patterns'!$B$6:$H$34,VLOOKUP('Plan Figures'!G$2,'Plan Figures'!$B$44:$D$49,3,0),0),1),"-")</f>
        <v>-</v>
      </c>
      <c r="H101" s="129" t="str">
        <f ca="1">IFERROR(H12*IFERROR(VLOOKUP($A101,'Dev Patterns'!$B$6:$H$34,VLOOKUP('Plan Figures'!H$2,'Plan Figures'!$B$44:$D$49,3,0),0),1),"-")</f>
        <v>-</v>
      </c>
      <c r="I101" s="56" t="str">
        <f ca="1">IFERROR(I12*IFERROR(VLOOKUP($A101,'Dev Patterns'!$B$6:$H$34,VLOOKUP('Plan Figures'!I$2,'Plan Figures'!$B$44:$D$49,3,0),0),1),"-")</f>
        <v>-</v>
      </c>
      <c r="J101" s="101" t="str">
        <f ca="1">IFERROR(J12*IFERROR(VLOOKUP($A101,'Dev Patterns'!$B$6:$H$34,VLOOKUP('Plan Figures'!J$2,'Plan Figures'!$B$44:$D$49,3,0),0),1),"-")</f>
        <v>-</v>
      </c>
      <c r="K101" s="168" t="str">
        <f ca="1">IFERROR(K12*IFERROR(VLOOKUP($A101,'Dev Patterns'!$B$6:$H$34,VLOOKUP('Plan Figures'!K$2,'Plan Figures'!$B$44:$D$49,3,0),0),1),"-")</f>
        <v>-</v>
      </c>
      <c r="L101" s="129" t="str">
        <f ca="1">IFERROR(L12*IFERROR(VLOOKUP($A101,'Dev Patterns'!$B$6:$H$34,VLOOKUP('Plan Figures'!L$2,'Plan Figures'!$B$44:$D$49,3,0),0),1),"-")</f>
        <v>-</v>
      </c>
      <c r="M101" s="56" t="str">
        <f ca="1">IFERROR(M12*IFERROR(VLOOKUP($A101,'Dev Patterns'!$B$6:$H$34,VLOOKUP('Plan Figures'!M$2,'Plan Figures'!$B$44:$D$49,3,0),0),1),"-")</f>
        <v>-</v>
      </c>
      <c r="N101" s="101" t="str">
        <f ca="1">IFERROR(N12*IFERROR(VLOOKUP($A101,'Dev Patterns'!$B$6:$H$34,VLOOKUP('Plan Figures'!N$2,'Plan Figures'!$B$44:$D$49,3,0),0),1),"-")</f>
        <v>-</v>
      </c>
      <c r="O101" s="168" t="str">
        <f ca="1">IFERROR(O12*IFERROR(VLOOKUP($A101,'Dev Patterns'!$B$6:$H$34,VLOOKUP('Plan Figures'!O$2,'Plan Figures'!$B$44:$D$49,3,0),0),1),"-")</f>
        <v>-</v>
      </c>
      <c r="P101" s="129" t="str">
        <f ca="1">IFERROR(P12*IFERROR(VLOOKUP($A101,'Dev Patterns'!$B$6:$H$34,VLOOKUP('Plan Figures'!P$2,'Plan Figures'!$B$44:$D$49,3,0),0),1),"-")</f>
        <v>-</v>
      </c>
      <c r="Q101" s="56" t="str">
        <f ca="1">IFERROR(Q12*IFERROR(VLOOKUP($A101,'Dev Patterns'!$B$6:$H$34,VLOOKUP('Plan Figures'!Q$2,'Plan Figures'!$B$44:$D$49,3,0),0),1),"-")</f>
        <v>-</v>
      </c>
      <c r="R101" s="101" t="str">
        <f ca="1">IFERROR(R12*IFERROR(VLOOKUP($A101,'Dev Patterns'!$B$6:$H$34,VLOOKUP('Plan Figures'!R$2,'Plan Figures'!$B$44:$D$49,3,0),0),1),"-")</f>
        <v>-</v>
      </c>
      <c r="S101" s="168"/>
      <c r="T101" s="129"/>
      <c r="U101" s="56"/>
      <c r="V101" s="101"/>
      <c r="W101" s="168"/>
      <c r="X101" s="129"/>
      <c r="Y101" s="56"/>
      <c r="Z101" s="101"/>
      <c r="AA101" s="168"/>
      <c r="AB101" s="129"/>
      <c r="AC101" s="56"/>
      <c r="AD101" s="101"/>
      <c r="AE101" s="168"/>
      <c r="AF101" s="129"/>
      <c r="AG101" s="56"/>
      <c r="AH101" s="101"/>
      <c r="AI101" s="168"/>
      <c r="AJ101" s="129"/>
      <c r="AK101" s="56"/>
      <c r="AL101" s="101"/>
      <c r="AM101" s="168"/>
      <c r="AN101" s="129"/>
      <c r="AO101" s="56"/>
      <c r="AP101" s="101"/>
    </row>
    <row r="102" spans="1:42" ht="15" customHeight="1" x14ac:dyDescent="0.25">
      <c r="A102" s="101">
        <f t="shared" ca="1" si="11"/>
        <v>26</v>
      </c>
      <c r="B102" s="73">
        <f t="shared" si="7"/>
        <v>45108</v>
      </c>
      <c r="C102" s="168" t="str">
        <f t="shared" ca="1" si="12"/>
        <v>-</v>
      </c>
      <c r="D102" s="129" t="str">
        <f t="shared" ca="1" si="8"/>
        <v>-</v>
      </c>
      <c r="E102" s="56" t="str">
        <f t="shared" ca="1" si="9"/>
        <v>-</v>
      </c>
      <c r="F102" s="129" t="str">
        <f t="shared" ca="1" si="10"/>
        <v>-</v>
      </c>
      <c r="G102" s="168" t="str">
        <f ca="1">IFERROR(G13*IFERROR(VLOOKUP($A102,'Dev Patterns'!$B$6:$H$34,VLOOKUP('Plan Figures'!G$2,'Plan Figures'!$B$44:$D$49,3,0),0),1),"-")</f>
        <v>-</v>
      </c>
      <c r="H102" s="129" t="str">
        <f ca="1">IFERROR(H13*IFERROR(VLOOKUP($A102,'Dev Patterns'!$B$6:$H$34,VLOOKUP('Plan Figures'!H$2,'Plan Figures'!$B$44:$D$49,3,0),0),1),"-")</f>
        <v>-</v>
      </c>
      <c r="I102" s="56" t="str">
        <f ca="1">IFERROR(I13*IFERROR(VLOOKUP($A102,'Dev Patterns'!$B$6:$H$34,VLOOKUP('Plan Figures'!I$2,'Plan Figures'!$B$44:$D$49,3,0),0),1),"-")</f>
        <v>-</v>
      </c>
      <c r="J102" s="101" t="str">
        <f ca="1">IFERROR(J13*IFERROR(VLOOKUP($A102,'Dev Patterns'!$B$6:$H$34,VLOOKUP('Plan Figures'!J$2,'Plan Figures'!$B$44:$D$49,3,0),0),1),"-")</f>
        <v>-</v>
      </c>
      <c r="K102" s="168" t="str">
        <f ca="1">IFERROR(K13*IFERROR(VLOOKUP($A102,'Dev Patterns'!$B$6:$H$34,VLOOKUP('Plan Figures'!K$2,'Plan Figures'!$B$44:$D$49,3,0),0),1),"-")</f>
        <v>-</v>
      </c>
      <c r="L102" s="129" t="str">
        <f ca="1">IFERROR(L13*IFERROR(VLOOKUP($A102,'Dev Patterns'!$B$6:$H$34,VLOOKUP('Plan Figures'!L$2,'Plan Figures'!$B$44:$D$49,3,0),0),1),"-")</f>
        <v>-</v>
      </c>
      <c r="M102" s="56" t="str">
        <f ca="1">IFERROR(M13*IFERROR(VLOOKUP($A102,'Dev Patterns'!$B$6:$H$34,VLOOKUP('Plan Figures'!M$2,'Plan Figures'!$B$44:$D$49,3,0),0),1),"-")</f>
        <v>-</v>
      </c>
      <c r="N102" s="101" t="str">
        <f ca="1">IFERROR(N13*IFERROR(VLOOKUP($A102,'Dev Patterns'!$B$6:$H$34,VLOOKUP('Plan Figures'!N$2,'Plan Figures'!$B$44:$D$49,3,0),0),1),"-")</f>
        <v>-</v>
      </c>
      <c r="O102" s="168" t="str">
        <f ca="1">IFERROR(O13*IFERROR(VLOOKUP($A102,'Dev Patterns'!$B$6:$H$34,VLOOKUP('Plan Figures'!O$2,'Plan Figures'!$B$44:$D$49,3,0),0),1),"-")</f>
        <v>-</v>
      </c>
      <c r="P102" s="129" t="str">
        <f ca="1">IFERROR(P13*IFERROR(VLOOKUP($A102,'Dev Patterns'!$B$6:$H$34,VLOOKUP('Plan Figures'!P$2,'Plan Figures'!$B$44:$D$49,3,0),0),1),"-")</f>
        <v>-</v>
      </c>
      <c r="Q102" s="56" t="str">
        <f ca="1">IFERROR(Q13*IFERROR(VLOOKUP($A102,'Dev Patterns'!$B$6:$H$34,VLOOKUP('Plan Figures'!Q$2,'Plan Figures'!$B$44:$D$49,3,0),0),1),"-")</f>
        <v>-</v>
      </c>
      <c r="R102" s="101" t="str">
        <f ca="1">IFERROR(R13*IFERROR(VLOOKUP($A102,'Dev Patterns'!$B$6:$H$34,VLOOKUP('Plan Figures'!R$2,'Plan Figures'!$B$44:$D$49,3,0),0),1),"-")</f>
        <v>-</v>
      </c>
      <c r="S102" s="168"/>
      <c r="T102" s="129"/>
      <c r="U102" s="56"/>
      <c r="V102" s="101"/>
      <c r="W102" s="168"/>
      <c r="X102" s="129"/>
      <c r="Y102" s="56"/>
      <c r="Z102" s="101"/>
      <c r="AA102" s="168"/>
      <c r="AB102" s="129"/>
      <c r="AC102" s="56"/>
      <c r="AD102" s="101"/>
      <c r="AE102" s="168"/>
      <c r="AF102" s="129"/>
      <c r="AG102" s="56"/>
      <c r="AH102" s="101"/>
      <c r="AI102" s="168"/>
      <c r="AJ102" s="129"/>
      <c r="AK102" s="56"/>
      <c r="AL102" s="101"/>
      <c r="AM102" s="168"/>
      <c r="AN102" s="129"/>
      <c r="AO102" s="56"/>
      <c r="AP102" s="101"/>
    </row>
    <row r="103" spans="1:42" ht="15" customHeight="1" x14ac:dyDescent="0.25">
      <c r="A103" s="101">
        <f t="shared" ca="1" si="11"/>
        <v>25</v>
      </c>
      <c r="B103" s="73">
        <f t="shared" si="7"/>
        <v>45139</v>
      </c>
      <c r="C103" s="168" t="str">
        <f t="shared" ca="1" si="12"/>
        <v>-</v>
      </c>
      <c r="D103" s="129" t="str">
        <f t="shared" ca="1" si="8"/>
        <v>-</v>
      </c>
      <c r="E103" s="56" t="str">
        <f t="shared" ca="1" si="9"/>
        <v>-</v>
      </c>
      <c r="F103" s="129" t="str">
        <f t="shared" ca="1" si="10"/>
        <v>-</v>
      </c>
      <c r="G103" s="168" t="str">
        <f ca="1">IFERROR(G14*IFERROR(VLOOKUP($A103,'Dev Patterns'!$B$6:$H$34,VLOOKUP('Plan Figures'!G$2,'Plan Figures'!$B$44:$D$49,3,0),0),1),"-")</f>
        <v>-</v>
      </c>
      <c r="H103" s="129" t="str">
        <f ca="1">IFERROR(H14*IFERROR(VLOOKUP($A103,'Dev Patterns'!$B$6:$H$34,VLOOKUP('Plan Figures'!H$2,'Plan Figures'!$B$44:$D$49,3,0),0),1),"-")</f>
        <v>-</v>
      </c>
      <c r="I103" s="56" t="str">
        <f ca="1">IFERROR(I14*IFERROR(VLOOKUP($A103,'Dev Patterns'!$B$6:$H$34,VLOOKUP('Plan Figures'!I$2,'Plan Figures'!$B$44:$D$49,3,0),0),1),"-")</f>
        <v>-</v>
      </c>
      <c r="J103" s="101" t="str">
        <f ca="1">IFERROR(J14*IFERROR(VLOOKUP($A103,'Dev Patterns'!$B$6:$H$34,VLOOKUP('Plan Figures'!J$2,'Plan Figures'!$B$44:$D$49,3,0),0),1),"-")</f>
        <v>-</v>
      </c>
      <c r="K103" s="168" t="str">
        <f ca="1">IFERROR(K14*IFERROR(VLOOKUP($A103,'Dev Patterns'!$B$6:$H$34,VLOOKUP('Plan Figures'!K$2,'Plan Figures'!$B$44:$D$49,3,0),0),1),"-")</f>
        <v>-</v>
      </c>
      <c r="L103" s="129" t="str">
        <f ca="1">IFERROR(L14*IFERROR(VLOOKUP($A103,'Dev Patterns'!$B$6:$H$34,VLOOKUP('Plan Figures'!L$2,'Plan Figures'!$B$44:$D$49,3,0),0),1),"-")</f>
        <v>-</v>
      </c>
      <c r="M103" s="56" t="str">
        <f ca="1">IFERROR(M14*IFERROR(VLOOKUP($A103,'Dev Patterns'!$B$6:$H$34,VLOOKUP('Plan Figures'!M$2,'Plan Figures'!$B$44:$D$49,3,0),0),1),"-")</f>
        <v>-</v>
      </c>
      <c r="N103" s="101" t="str">
        <f ca="1">IFERROR(N14*IFERROR(VLOOKUP($A103,'Dev Patterns'!$B$6:$H$34,VLOOKUP('Plan Figures'!N$2,'Plan Figures'!$B$44:$D$49,3,0),0),1),"-")</f>
        <v>-</v>
      </c>
      <c r="O103" s="168" t="str">
        <f ca="1">IFERROR(O14*IFERROR(VLOOKUP($A103,'Dev Patterns'!$B$6:$H$34,VLOOKUP('Plan Figures'!O$2,'Plan Figures'!$B$44:$D$49,3,0),0),1),"-")</f>
        <v>-</v>
      </c>
      <c r="P103" s="129" t="str">
        <f ca="1">IFERROR(P14*IFERROR(VLOOKUP($A103,'Dev Patterns'!$B$6:$H$34,VLOOKUP('Plan Figures'!P$2,'Plan Figures'!$B$44:$D$49,3,0),0),1),"-")</f>
        <v>-</v>
      </c>
      <c r="Q103" s="56" t="str">
        <f ca="1">IFERROR(Q14*IFERROR(VLOOKUP($A103,'Dev Patterns'!$B$6:$H$34,VLOOKUP('Plan Figures'!Q$2,'Plan Figures'!$B$44:$D$49,3,0),0),1),"-")</f>
        <v>-</v>
      </c>
      <c r="R103" s="101" t="str">
        <f ca="1">IFERROR(R14*IFERROR(VLOOKUP($A103,'Dev Patterns'!$B$6:$H$34,VLOOKUP('Plan Figures'!R$2,'Plan Figures'!$B$44:$D$49,3,0),0),1),"-")</f>
        <v>-</v>
      </c>
      <c r="S103" s="168"/>
      <c r="T103" s="129"/>
      <c r="U103" s="56"/>
      <c r="V103" s="101"/>
      <c r="W103" s="168"/>
      <c r="X103" s="129"/>
      <c r="Y103" s="56"/>
      <c r="Z103" s="101"/>
      <c r="AA103" s="168"/>
      <c r="AB103" s="129"/>
      <c r="AC103" s="56"/>
      <c r="AD103" s="101"/>
      <c r="AE103" s="168"/>
      <c r="AF103" s="129"/>
      <c r="AG103" s="56"/>
      <c r="AH103" s="101"/>
      <c r="AI103" s="168"/>
      <c r="AJ103" s="129"/>
      <c r="AK103" s="56"/>
      <c r="AL103" s="101"/>
      <c r="AM103" s="168"/>
      <c r="AN103" s="129"/>
      <c r="AO103" s="56"/>
      <c r="AP103" s="101"/>
    </row>
    <row r="104" spans="1:42" ht="15" customHeight="1" x14ac:dyDescent="0.25">
      <c r="A104" s="101">
        <f t="shared" ca="1" si="11"/>
        <v>24</v>
      </c>
      <c r="B104" s="73">
        <f t="shared" si="7"/>
        <v>45170</v>
      </c>
      <c r="C104" s="168" t="str">
        <f t="shared" ca="1" si="12"/>
        <v>-</v>
      </c>
      <c r="D104" s="129" t="str">
        <f t="shared" ca="1" si="8"/>
        <v>-</v>
      </c>
      <c r="E104" s="56" t="str">
        <f t="shared" ca="1" si="9"/>
        <v>-</v>
      </c>
      <c r="F104" s="129" t="str">
        <f t="shared" ca="1" si="10"/>
        <v>-</v>
      </c>
      <c r="G104" s="168" t="str">
        <f ca="1">IFERROR(G15*IFERROR(VLOOKUP($A104,'Dev Patterns'!$B$6:$H$34,VLOOKUP('Plan Figures'!G$2,'Plan Figures'!$B$44:$D$49,3,0),0),1),"-")</f>
        <v>-</v>
      </c>
      <c r="H104" s="129" t="str">
        <f ca="1">IFERROR(H15*IFERROR(VLOOKUP($A104,'Dev Patterns'!$B$6:$H$34,VLOOKUP('Plan Figures'!H$2,'Plan Figures'!$B$44:$D$49,3,0),0),1),"-")</f>
        <v>-</v>
      </c>
      <c r="I104" s="56" t="str">
        <f ca="1">IFERROR(I15*IFERROR(VLOOKUP($A104,'Dev Patterns'!$B$6:$H$34,VLOOKUP('Plan Figures'!I$2,'Plan Figures'!$B$44:$D$49,3,0),0),1),"-")</f>
        <v>-</v>
      </c>
      <c r="J104" s="101" t="str">
        <f ca="1">IFERROR(J15*IFERROR(VLOOKUP($A104,'Dev Patterns'!$B$6:$H$34,VLOOKUP('Plan Figures'!J$2,'Plan Figures'!$B$44:$D$49,3,0),0),1),"-")</f>
        <v>-</v>
      </c>
      <c r="K104" s="168" t="str">
        <f ca="1">IFERROR(K15*IFERROR(VLOOKUP($A104,'Dev Patterns'!$B$6:$H$34,VLOOKUP('Plan Figures'!K$2,'Plan Figures'!$B$44:$D$49,3,0),0),1),"-")</f>
        <v>-</v>
      </c>
      <c r="L104" s="129" t="str">
        <f ca="1">IFERROR(L15*IFERROR(VLOOKUP($A104,'Dev Patterns'!$B$6:$H$34,VLOOKUP('Plan Figures'!L$2,'Plan Figures'!$B$44:$D$49,3,0),0),1),"-")</f>
        <v>-</v>
      </c>
      <c r="M104" s="56" t="str">
        <f ca="1">IFERROR(M15*IFERROR(VLOOKUP($A104,'Dev Patterns'!$B$6:$H$34,VLOOKUP('Plan Figures'!M$2,'Plan Figures'!$B$44:$D$49,3,0),0),1),"-")</f>
        <v>-</v>
      </c>
      <c r="N104" s="101" t="str">
        <f ca="1">IFERROR(N15*IFERROR(VLOOKUP($A104,'Dev Patterns'!$B$6:$H$34,VLOOKUP('Plan Figures'!N$2,'Plan Figures'!$B$44:$D$49,3,0),0),1),"-")</f>
        <v>-</v>
      </c>
      <c r="O104" s="168" t="str">
        <f ca="1">IFERROR(O15*IFERROR(VLOOKUP($A104,'Dev Patterns'!$B$6:$H$34,VLOOKUP('Plan Figures'!O$2,'Plan Figures'!$B$44:$D$49,3,0),0),1),"-")</f>
        <v>-</v>
      </c>
      <c r="P104" s="129" t="str">
        <f ca="1">IFERROR(P15*IFERROR(VLOOKUP($A104,'Dev Patterns'!$B$6:$H$34,VLOOKUP('Plan Figures'!P$2,'Plan Figures'!$B$44:$D$49,3,0),0),1),"-")</f>
        <v>-</v>
      </c>
      <c r="Q104" s="56" t="str">
        <f ca="1">IFERROR(Q15*IFERROR(VLOOKUP($A104,'Dev Patterns'!$B$6:$H$34,VLOOKUP('Plan Figures'!Q$2,'Plan Figures'!$B$44:$D$49,3,0),0),1),"-")</f>
        <v>-</v>
      </c>
      <c r="R104" s="101" t="str">
        <f ca="1">IFERROR(R15*IFERROR(VLOOKUP($A104,'Dev Patterns'!$B$6:$H$34,VLOOKUP('Plan Figures'!R$2,'Plan Figures'!$B$44:$D$49,3,0),0),1),"-")</f>
        <v>-</v>
      </c>
      <c r="S104" s="168"/>
      <c r="T104" s="129"/>
      <c r="U104" s="56"/>
      <c r="V104" s="101"/>
      <c r="W104" s="168"/>
      <c r="X104" s="129"/>
      <c r="Y104" s="56"/>
      <c r="Z104" s="101"/>
      <c r="AA104" s="168"/>
      <c r="AB104" s="129"/>
      <c r="AC104" s="56"/>
      <c r="AD104" s="101"/>
      <c r="AE104" s="168"/>
      <c r="AF104" s="129"/>
      <c r="AG104" s="56"/>
      <c r="AH104" s="101"/>
      <c r="AI104" s="168"/>
      <c r="AJ104" s="129"/>
      <c r="AK104" s="56"/>
      <c r="AL104" s="101"/>
      <c r="AM104" s="168"/>
      <c r="AN104" s="129"/>
      <c r="AO104" s="56"/>
      <c r="AP104" s="101"/>
    </row>
    <row r="105" spans="1:42" ht="15" customHeight="1" x14ac:dyDescent="0.25">
      <c r="A105" s="101">
        <f t="shared" ca="1" si="11"/>
        <v>23</v>
      </c>
      <c r="B105" s="73">
        <f t="shared" si="7"/>
        <v>45200</v>
      </c>
      <c r="C105" s="168" t="str">
        <f t="shared" ca="1" si="12"/>
        <v>-</v>
      </c>
      <c r="D105" s="129" t="str">
        <f t="shared" ca="1" si="8"/>
        <v>-</v>
      </c>
      <c r="E105" s="56" t="str">
        <f t="shared" ca="1" si="9"/>
        <v>-</v>
      </c>
      <c r="F105" s="129" t="str">
        <f t="shared" ca="1" si="10"/>
        <v>-</v>
      </c>
      <c r="G105" s="168" t="str">
        <f ca="1">IFERROR(G16*IFERROR(VLOOKUP($A105,'Dev Patterns'!$B$6:$H$34,VLOOKUP('Plan Figures'!G$2,'Plan Figures'!$B$44:$D$49,3,0),0),1),"-")</f>
        <v>-</v>
      </c>
      <c r="H105" s="129" t="str">
        <f ca="1">IFERROR(H16*IFERROR(VLOOKUP($A105,'Dev Patterns'!$B$6:$H$34,VLOOKUP('Plan Figures'!H$2,'Plan Figures'!$B$44:$D$49,3,0),0),1),"-")</f>
        <v>-</v>
      </c>
      <c r="I105" s="56" t="str">
        <f ca="1">IFERROR(I16*IFERROR(VLOOKUP($A105,'Dev Patterns'!$B$6:$H$34,VLOOKUP('Plan Figures'!I$2,'Plan Figures'!$B$44:$D$49,3,0),0),1),"-")</f>
        <v>-</v>
      </c>
      <c r="J105" s="101" t="str">
        <f ca="1">IFERROR(J16*IFERROR(VLOOKUP($A105,'Dev Patterns'!$B$6:$H$34,VLOOKUP('Plan Figures'!J$2,'Plan Figures'!$B$44:$D$49,3,0),0),1),"-")</f>
        <v>-</v>
      </c>
      <c r="K105" s="168" t="str">
        <f ca="1">IFERROR(K16*IFERROR(VLOOKUP($A105,'Dev Patterns'!$B$6:$H$34,VLOOKUP('Plan Figures'!K$2,'Plan Figures'!$B$44:$D$49,3,0),0),1),"-")</f>
        <v>-</v>
      </c>
      <c r="L105" s="129" t="str">
        <f ca="1">IFERROR(L16*IFERROR(VLOOKUP($A105,'Dev Patterns'!$B$6:$H$34,VLOOKUP('Plan Figures'!L$2,'Plan Figures'!$B$44:$D$49,3,0),0),1),"-")</f>
        <v>-</v>
      </c>
      <c r="M105" s="56" t="str">
        <f ca="1">IFERROR(M16*IFERROR(VLOOKUP($A105,'Dev Patterns'!$B$6:$H$34,VLOOKUP('Plan Figures'!M$2,'Plan Figures'!$B$44:$D$49,3,0),0),1),"-")</f>
        <v>-</v>
      </c>
      <c r="N105" s="101" t="str">
        <f ca="1">IFERROR(N16*IFERROR(VLOOKUP($A105,'Dev Patterns'!$B$6:$H$34,VLOOKUP('Plan Figures'!N$2,'Plan Figures'!$B$44:$D$49,3,0),0),1),"-")</f>
        <v>-</v>
      </c>
      <c r="O105" s="168" t="str">
        <f ca="1">IFERROR(O16*IFERROR(VLOOKUP($A105,'Dev Patterns'!$B$6:$H$34,VLOOKUP('Plan Figures'!O$2,'Plan Figures'!$B$44:$D$49,3,0),0),1),"-")</f>
        <v>-</v>
      </c>
      <c r="P105" s="129" t="str">
        <f ca="1">IFERROR(P16*IFERROR(VLOOKUP($A105,'Dev Patterns'!$B$6:$H$34,VLOOKUP('Plan Figures'!P$2,'Plan Figures'!$B$44:$D$49,3,0),0),1),"-")</f>
        <v>-</v>
      </c>
      <c r="Q105" s="56" t="str">
        <f ca="1">IFERROR(Q16*IFERROR(VLOOKUP($A105,'Dev Patterns'!$B$6:$H$34,VLOOKUP('Plan Figures'!Q$2,'Plan Figures'!$B$44:$D$49,3,0),0),1),"-")</f>
        <v>-</v>
      </c>
      <c r="R105" s="101" t="str">
        <f ca="1">IFERROR(R16*IFERROR(VLOOKUP($A105,'Dev Patterns'!$B$6:$H$34,VLOOKUP('Plan Figures'!R$2,'Plan Figures'!$B$44:$D$49,3,0),0),1),"-")</f>
        <v>-</v>
      </c>
      <c r="S105" s="168"/>
      <c r="T105" s="129"/>
      <c r="U105" s="56"/>
      <c r="V105" s="101"/>
      <c r="W105" s="168"/>
      <c r="X105" s="129"/>
      <c r="Y105" s="56"/>
      <c r="Z105" s="101"/>
      <c r="AA105" s="168"/>
      <c r="AB105" s="129"/>
      <c r="AC105" s="56"/>
      <c r="AD105" s="101"/>
      <c r="AE105" s="168"/>
      <c r="AF105" s="129"/>
      <c r="AG105" s="56"/>
      <c r="AH105" s="101"/>
      <c r="AI105" s="168"/>
      <c r="AJ105" s="129"/>
      <c r="AK105" s="56"/>
      <c r="AL105" s="101"/>
      <c r="AM105" s="168"/>
      <c r="AN105" s="129"/>
      <c r="AO105" s="56"/>
      <c r="AP105" s="101"/>
    </row>
    <row r="106" spans="1:42" ht="15" customHeight="1" x14ac:dyDescent="0.25">
      <c r="A106" s="101">
        <f t="shared" ca="1" si="11"/>
        <v>22</v>
      </c>
      <c r="B106" s="73">
        <f t="shared" si="7"/>
        <v>45231</v>
      </c>
      <c r="C106" s="168">
        <f t="shared" ca="1" si="12"/>
        <v>1729.3531485183221</v>
      </c>
      <c r="D106" s="129">
        <f t="shared" ca="1" si="8"/>
        <v>3013169.0914932396</v>
      </c>
      <c r="E106" s="56">
        <f t="shared" ca="1" si="9"/>
        <v>1.4477946480562642</v>
      </c>
      <c r="F106" s="129">
        <f t="shared" ca="1" si="10"/>
        <v>2730383.5064988472</v>
      </c>
      <c r="G106" s="168">
        <f ca="1">IFERROR(G17*IFERROR(VLOOKUP($A106,'Dev Patterns'!$B$6:$H$34,VLOOKUP('Plan Figures'!G$2,'Plan Figures'!$B$44:$D$49,3,0),0),1),"-")</f>
        <v>1113.4200697273855</v>
      </c>
      <c r="H106" s="129">
        <f ca="1">IFERROR(H17*IFERROR(VLOOKUP($A106,'Dev Patterns'!$B$6:$H$34,VLOOKUP('Plan Figures'!H$2,'Plan Figures'!$B$44:$D$49,3,0),0),1),"-")</f>
        <v>1201948.8602582696</v>
      </c>
      <c r="I106" s="56">
        <f ca="1">IFERROR(I17*IFERROR(VLOOKUP($A106,'Dev Patterns'!$B$6:$H$34,VLOOKUP('Plan Figures'!I$2,'Plan Figures'!$B$44:$D$49,3,0),0),1),"-")</f>
        <v>0.74074074074074081</v>
      </c>
      <c r="J106" s="101">
        <f ca="1">IFERROR(J17*IFERROR(VLOOKUP($A106,'Dev Patterns'!$B$6:$H$34,VLOOKUP('Plan Figures'!J$2,'Plan Figures'!$B$44:$D$49,3,0),0),1),"-")</f>
        <v>1555906.1291218409</v>
      </c>
      <c r="K106" s="168">
        <f ca="1">IFERROR(K17*IFERROR(VLOOKUP($A106,'Dev Patterns'!$B$6:$H$34,VLOOKUP('Plan Figures'!K$2,'Plan Figures'!$B$44:$D$49,3,0),0),1),"-")</f>
        <v>0</v>
      </c>
      <c r="L106" s="129">
        <f ca="1">IFERROR(L17*IFERROR(VLOOKUP($A106,'Dev Patterns'!$B$6:$H$34,VLOOKUP('Plan Figures'!L$2,'Plan Figures'!$B$44:$D$49,3,0),0),1),"-")</f>
        <v>0</v>
      </c>
      <c r="M106" s="56">
        <f ca="1">IFERROR(M17*IFERROR(VLOOKUP($A106,'Dev Patterns'!$B$6:$H$34,VLOOKUP('Plan Figures'!M$2,'Plan Figures'!$B$44:$D$49,3,0),0),1),"-")</f>
        <v>0</v>
      </c>
      <c r="N106" s="101">
        <f ca="1">IFERROR(N17*IFERROR(VLOOKUP($A106,'Dev Patterns'!$B$6:$H$34,VLOOKUP('Plan Figures'!N$2,'Plan Figures'!$B$44:$D$49,3,0),0),1),"-")</f>
        <v>0</v>
      </c>
      <c r="O106" s="168">
        <f ca="1">IFERROR(O17*IFERROR(VLOOKUP($A106,'Dev Patterns'!$B$6:$H$34,VLOOKUP('Plan Figures'!O$2,'Plan Figures'!$B$44:$D$49,3,0),0),1),"-")</f>
        <v>615.93307879093663</v>
      </c>
      <c r="P106" s="129">
        <f ca="1">IFERROR(P17*IFERROR(VLOOKUP($A106,'Dev Patterns'!$B$6:$H$34,VLOOKUP('Plan Figures'!P$2,'Plan Figures'!$B$44:$D$49,3,0),0),1),"-")</f>
        <v>1811220.2312349698</v>
      </c>
      <c r="Q106" s="56">
        <f ca="1">IFERROR(Q17*IFERROR(VLOOKUP($A106,'Dev Patterns'!$B$6:$H$34,VLOOKUP('Plan Figures'!Q$2,'Plan Figures'!$B$44:$D$49,3,0),0),1),"-")</f>
        <v>0.70705390731552342</v>
      </c>
      <c r="R106" s="101">
        <f ca="1">IFERROR(R17*IFERROR(VLOOKUP($A106,'Dev Patterns'!$B$6:$H$34,VLOOKUP('Plan Figures'!R$2,'Plan Figures'!$B$44:$D$49,3,0),0),1),"-")</f>
        <v>1174477.377377006</v>
      </c>
      <c r="S106" s="168"/>
      <c r="T106" s="129"/>
      <c r="U106" s="56"/>
      <c r="V106" s="101"/>
      <c r="W106" s="168"/>
      <c r="X106" s="129"/>
      <c r="Y106" s="56"/>
      <c r="Z106" s="101"/>
      <c r="AA106" s="168"/>
      <c r="AB106" s="129"/>
      <c r="AC106" s="56"/>
      <c r="AD106" s="101"/>
      <c r="AE106" s="168"/>
      <c r="AF106" s="129"/>
      <c r="AG106" s="56"/>
      <c r="AH106" s="101"/>
      <c r="AI106" s="168"/>
      <c r="AJ106" s="129"/>
      <c r="AK106" s="56"/>
      <c r="AL106" s="101"/>
      <c r="AM106" s="168"/>
      <c r="AN106" s="129"/>
      <c r="AO106" s="56"/>
      <c r="AP106" s="101"/>
    </row>
    <row r="107" spans="1:42" ht="15" customHeight="1" x14ac:dyDescent="0.25">
      <c r="A107" s="101">
        <f t="shared" ca="1" si="11"/>
        <v>21</v>
      </c>
      <c r="B107" s="73">
        <f t="shared" si="7"/>
        <v>45261</v>
      </c>
      <c r="C107" s="168">
        <f t="shared" ca="1" si="12"/>
        <v>1753.4023172900183</v>
      </c>
      <c r="D107" s="129">
        <f t="shared" ca="1" si="8"/>
        <v>3046278.3015965438</v>
      </c>
      <c r="E107" s="56">
        <f t="shared" ca="1" si="9"/>
        <v>1.4439827123238518</v>
      </c>
      <c r="F107" s="129">
        <f t="shared" ca="1" si="10"/>
        <v>2820707.4327293462</v>
      </c>
      <c r="G107" s="168">
        <f ca="1">IFERROR(G18*IFERROR(VLOOKUP($A107,'Dev Patterns'!$B$6:$H$34,VLOOKUP('Plan Figures'!G$2,'Plan Figures'!$B$44:$D$49,3,0),0),1),"-")</f>
        <v>989.67431218271486</v>
      </c>
      <c r="H107" s="129">
        <f ca="1">IFERROR(H18*IFERROR(VLOOKUP($A107,'Dev Patterns'!$B$6:$H$34,VLOOKUP('Plan Figures'!H$2,'Plan Figures'!$B$44:$D$49,3,0),0),1),"-")</f>
        <v>1130181.9540233866</v>
      </c>
      <c r="I107" s="56">
        <f ca="1">IFERROR(I18*IFERROR(VLOOKUP($A107,'Dev Patterns'!$B$6:$H$34,VLOOKUP('Plan Figures'!I$2,'Plan Figures'!$B$44:$D$49,3,0),0),1),"-")</f>
        <v>0.73159579332418845</v>
      </c>
      <c r="J107" s="101">
        <f ca="1">IFERROR(J18*IFERROR(VLOOKUP($A107,'Dev Patterns'!$B$6:$H$34,VLOOKUP('Plan Figures'!J$2,'Plan Figures'!$B$44:$D$49,3,0),0),1),"-")</f>
        <v>1385748.3359300527</v>
      </c>
      <c r="K107" s="168">
        <f ca="1">IFERROR(K18*IFERROR(VLOOKUP($A107,'Dev Patterns'!$B$6:$H$34,VLOOKUP('Plan Figures'!K$2,'Plan Figures'!$B$44:$D$49,3,0),0),1),"-")</f>
        <v>0</v>
      </c>
      <c r="L107" s="129">
        <f ca="1">IFERROR(L18*IFERROR(VLOOKUP($A107,'Dev Patterns'!$B$6:$H$34,VLOOKUP('Plan Figures'!L$2,'Plan Figures'!$B$44:$D$49,3,0),0),1),"-")</f>
        <v>0</v>
      </c>
      <c r="M107" s="56">
        <f ca="1">IFERROR(M18*IFERROR(VLOOKUP($A107,'Dev Patterns'!$B$6:$H$34,VLOOKUP('Plan Figures'!M$2,'Plan Figures'!$B$44:$D$49,3,0),0),1),"-")</f>
        <v>0</v>
      </c>
      <c r="N107" s="101">
        <f ca="1">IFERROR(N18*IFERROR(VLOOKUP($A107,'Dev Patterns'!$B$6:$H$34,VLOOKUP('Plan Figures'!N$2,'Plan Figures'!$B$44:$D$49,3,0),0),1),"-")</f>
        <v>0</v>
      </c>
      <c r="O107" s="168">
        <f ca="1">IFERROR(O18*IFERROR(VLOOKUP($A107,'Dev Patterns'!$B$6:$H$34,VLOOKUP('Plan Figures'!O$2,'Plan Figures'!$B$44:$D$49,3,0),0),1),"-")</f>
        <v>763.72800510730349</v>
      </c>
      <c r="P107" s="129">
        <f ca="1">IFERROR(P18*IFERROR(VLOOKUP($A107,'Dev Patterns'!$B$6:$H$34,VLOOKUP('Plan Figures'!P$2,'Plan Figures'!$B$44:$D$49,3,0),0),1),"-")</f>
        <v>1916096.3475731572</v>
      </c>
      <c r="Q107" s="56">
        <f ca="1">IFERROR(Q18*IFERROR(VLOOKUP($A107,'Dev Patterns'!$B$6:$H$34,VLOOKUP('Plan Figures'!Q$2,'Plan Figures'!$B$44:$D$49,3,0),0),1),"-")</f>
        <v>0.71238691899966333</v>
      </c>
      <c r="R107" s="101">
        <f ca="1">IFERROR(R18*IFERROR(VLOOKUP($A107,'Dev Patterns'!$B$6:$H$34,VLOOKUP('Plan Figures'!R$2,'Plan Figures'!$B$44:$D$49,3,0),0),1),"-")</f>
        <v>1434959.0967992935</v>
      </c>
      <c r="S107" s="168"/>
      <c r="T107" s="129"/>
      <c r="U107" s="56"/>
      <c r="V107" s="101"/>
      <c r="W107" s="168"/>
      <c r="X107" s="129"/>
      <c r="Y107" s="56"/>
      <c r="Z107" s="101"/>
      <c r="AA107" s="168"/>
      <c r="AB107" s="129"/>
      <c r="AC107" s="56"/>
      <c r="AD107" s="101"/>
      <c r="AE107" s="168"/>
      <c r="AF107" s="129"/>
      <c r="AG107" s="56"/>
      <c r="AH107" s="101"/>
      <c r="AI107" s="168"/>
      <c r="AJ107" s="129"/>
      <c r="AK107" s="56"/>
      <c r="AL107" s="101"/>
      <c r="AM107" s="168"/>
      <c r="AN107" s="129"/>
      <c r="AO107" s="56"/>
      <c r="AP107" s="101"/>
    </row>
    <row r="108" spans="1:42" ht="15" customHeight="1" x14ac:dyDescent="0.25">
      <c r="A108" s="101">
        <f t="shared" ca="1" si="11"/>
        <v>20</v>
      </c>
      <c r="B108" s="73">
        <f t="shared" si="7"/>
        <v>45292</v>
      </c>
      <c r="C108" s="168">
        <f t="shared" ca="1" si="12"/>
        <v>4273.8740763903043</v>
      </c>
      <c r="D108" s="129">
        <f t="shared" ca="1" si="8"/>
        <v>3262205.5406420417</v>
      </c>
      <c r="E108" s="56">
        <f t="shared" ca="1" si="9"/>
        <v>2.1208151100781847</v>
      </c>
      <c r="F108" s="129">
        <f t="shared" ca="1" si="10"/>
        <v>7198457.7531405166</v>
      </c>
      <c r="G108" s="168">
        <f ca="1">IFERROR(G19*IFERROR(VLOOKUP($A108,'Dev Patterns'!$B$6:$H$34,VLOOKUP('Plan Figures'!G$2,'Plan Figures'!$B$44:$D$49,3,0),0),1),"-")</f>
        <v>1210.5482166933789</v>
      </c>
      <c r="H108" s="129">
        <f ca="1">IFERROR(H19*IFERROR(VLOOKUP($A108,'Dev Patterns'!$B$6:$H$34,VLOOKUP('Plan Figures'!H$2,'Plan Figures'!$B$44:$D$49,3,0),0),1),"-")</f>
        <v>1235960.0527141613</v>
      </c>
      <c r="I108" s="56">
        <f ca="1">IFERROR(I19*IFERROR(VLOOKUP($A108,'Dev Patterns'!$B$6:$H$34,VLOOKUP('Plan Figures'!I$2,'Plan Figures'!$B$44:$D$49,3,0),0),1),"-")</f>
        <v>0.70345749358095044</v>
      </c>
      <c r="J108" s="101">
        <f ca="1">IFERROR(J19*IFERROR(VLOOKUP($A108,'Dev Patterns'!$B$6:$H$34,VLOOKUP('Plan Figures'!J$2,'Plan Figures'!$B$44:$D$49,3,0),0),1),"-")</f>
        <v>1698407.4321303696</v>
      </c>
      <c r="K108" s="168">
        <f ca="1">IFERROR(K19*IFERROR(VLOOKUP($A108,'Dev Patterns'!$B$6:$H$34,VLOOKUP('Plan Figures'!K$2,'Plan Figures'!$B$44:$D$49,3,0),0),1),"-")</f>
        <v>2230.0485070641912</v>
      </c>
      <c r="L108" s="129">
        <f ca="1">IFERROR(L19*IFERROR(VLOOKUP($A108,'Dev Patterns'!$B$6:$H$34,VLOOKUP('Plan Figures'!L$2,'Plan Figures'!$B$44:$D$49,3,0),0),1),"-")</f>
        <v>0</v>
      </c>
      <c r="M108" s="56">
        <f ca="1">IFERROR(M19*IFERROR(VLOOKUP($A108,'Dev Patterns'!$B$6:$H$34,VLOOKUP('Plan Figures'!M$2,'Plan Figures'!$B$44:$D$49,3,0),0),1),"-")</f>
        <v>0.70345749358095033</v>
      </c>
      <c r="N108" s="101">
        <f ca="1">IFERROR(N19*IFERROR(VLOOKUP($A108,'Dev Patterns'!$B$6:$H$34,VLOOKUP('Plan Figures'!N$2,'Plan Figures'!$B$44:$D$49,3,0),0),1),"-")</f>
        <v>3942384.0492118802</v>
      </c>
      <c r="O108" s="168">
        <f ca="1">IFERROR(O19*IFERROR(VLOOKUP($A108,'Dev Patterns'!$B$6:$H$34,VLOOKUP('Plan Figures'!O$2,'Plan Figures'!$B$44:$D$49,3,0),0),1),"-")</f>
        <v>833.27735263273371</v>
      </c>
      <c r="P108" s="129">
        <f ca="1">IFERROR(P19*IFERROR(VLOOKUP($A108,'Dev Patterns'!$B$6:$H$34,VLOOKUP('Plan Figures'!P$2,'Plan Figures'!$B$44:$D$49,3,0),0),1),"-")</f>
        <v>2026245.4879278806</v>
      </c>
      <c r="Q108" s="56">
        <f ca="1">IFERROR(Q19*IFERROR(VLOOKUP($A108,'Dev Patterns'!$B$6:$H$34,VLOOKUP('Plan Figures'!Q$2,'Plan Figures'!$B$44:$D$49,3,0),0),1),"-")</f>
        <v>0.71390012291628391</v>
      </c>
      <c r="R108" s="101">
        <f ca="1">IFERROR(R19*IFERROR(VLOOKUP($A108,'Dev Patterns'!$B$6:$H$34,VLOOKUP('Plan Figures'!R$2,'Plan Figures'!$B$44:$D$49,3,0),0),1),"-")</f>
        <v>1557666.2717982668</v>
      </c>
      <c r="S108" s="168"/>
      <c r="T108" s="129"/>
      <c r="U108" s="56"/>
      <c r="V108" s="101"/>
      <c r="W108" s="168"/>
      <c r="X108" s="129"/>
      <c r="Y108" s="56"/>
      <c r="Z108" s="101"/>
      <c r="AA108" s="168"/>
      <c r="AB108" s="129"/>
      <c r="AC108" s="56"/>
      <c r="AD108" s="101"/>
      <c r="AE108" s="168"/>
      <c r="AF108" s="129"/>
      <c r="AG108" s="56"/>
      <c r="AH108" s="101"/>
      <c r="AI108" s="168"/>
      <c r="AJ108" s="129"/>
      <c r="AK108" s="56"/>
      <c r="AL108" s="101"/>
      <c r="AM108" s="168"/>
      <c r="AN108" s="129"/>
      <c r="AO108" s="56"/>
      <c r="AP108" s="101"/>
    </row>
    <row r="109" spans="1:42" ht="15" customHeight="1" x14ac:dyDescent="0.25">
      <c r="A109" s="101">
        <f t="shared" ca="1" si="11"/>
        <v>19</v>
      </c>
      <c r="B109" s="73">
        <f t="shared" si="7"/>
        <v>45323</v>
      </c>
      <c r="C109" s="168">
        <f t="shared" ca="1" si="12"/>
        <v>4267.0066178598499</v>
      </c>
      <c r="D109" s="129">
        <f t="shared" ca="1" si="8"/>
        <v>5283002.670942123</v>
      </c>
      <c r="E109" s="56">
        <f t="shared" ca="1" si="9"/>
        <v>2.1208151100781847</v>
      </c>
      <c r="F109" s="129">
        <f t="shared" ca="1" si="10"/>
        <v>7198457.7531405166</v>
      </c>
      <c r="G109" s="168">
        <f ca="1">IFERROR(G20*IFERROR(VLOOKUP($A109,'Dev Patterns'!$B$6:$H$34,VLOOKUP('Plan Figures'!G$2,'Plan Figures'!$B$44:$D$49,3,0),0),1),"-")</f>
        <v>1208.1319527878034</v>
      </c>
      <c r="H109" s="129">
        <f ca="1">IFERROR(H20*IFERROR(VLOOKUP($A109,'Dev Patterns'!$B$6:$H$34,VLOOKUP('Plan Figures'!H$2,'Plan Figures'!$B$44:$D$49,3,0),0),1),"-")</f>
        <v>1333459.558352059</v>
      </c>
      <c r="I109" s="56">
        <f ca="1">IFERROR(I20*IFERROR(VLOOKUP($A109,'Dev Patterns'!$B$6:$H$34,VLOOKUP('Plan Figures'!I$2,'Plan Figures'!$B$44:$D$49,3,0),0),1),"-")</f>
        <v>0.70345749358095044</v>
      </c>
      <c r="J109" s="101">
        <f ca="1">IFERROR(J20*IFERROR(VLOOKUP($A109,'Dev Patterns'!$B$6:$H$34,VLOOKUP('Plan Figures'!J$2,'Plan Figures'!$B$44:$D$49,3,0),0),1),"-")</f>
        <v>1698407.4321303696</v>
      </c>
      <c r="K109" s="168">
        <f ca="1">IFERROR(K20*IFERROR(VLOOKUP($A109,'Dev Patterns'!$B$6:$H$34,VLOOKUP('Plan Figures'!K$2,'Plan Figures'!$B$44:$D$49,3,0),0),1),"-")</f>
        <v>2225.5973124393126</v>
      </c>
      <c r="L109" s="129">
        <f ca="1">IFERROR(L20*IFERROR(VLOOKUP($A109,'Dev Patterns'!$B$6:$H$34,VLOOKUP('Plan Figures'!L$2,'Plan Figures'!$B$44:$D$49,3,0),0),1),"-")</f>
        <v>1876228.145843385</v>
      </c>
      <c r="M109" s="56">
        <f ca="1">IFERROR(M20*IFERROR(VLOOKUP($A109,'Dev Patterns'!$B$6:$H$34,VLOOKUP('Plan Figures'!M$2,'Plan Figures'!$B$44:$D$49,3,0),0),1),"-")</f>
        <v>0.70345749358095033</v>
      </c>
      <c r="N109" s="101">
        <f ca="1">IFERROR(N20*IFERROR(VLOOKUP($A109,'Dev Patterns'!$B$6:$H$34,VLOOKUP('Plan Figures'!N$2,'Plan Figures'!$B$44:$D$49,3,0),0),1),"-")</f>
        <v>3942384.0492118802</v>
      </c>
      <c r="O109" s="168">
        <f ca="1">IFERROR(O20*IFERROR(VLOOKUP($A109,'Dev Patterns'!$B$6:$H$34,VLOOKUP('Plan Figures'!O$2,'Plan Figures'!$B$44:$D$49,3,0),0),1),"-")</f>
        <v>833.27735263273371</v>
      </c>
      <c r="P109" s="129">
        <f ca="1">IFERROR(P20*IFERROR(VLOOKUP($A109,'Dev Patterns'!$B$6:$H$34,VLOOKUP('Plan Figures'!P$2,'Plan Figures'!$B$44:$D$49,3,0),0),1),"-")</f>
        <v>2073314.966746679</v>
      </c>
      <c r="Q109" s="56">
        <f ca="1">IFERROR(Q20*IFERROR(VLOOKUP($A109,'Dev Patterns'!$B$6:$H$34,VLOOKUP('Plan Figures'!Q$2,'Plan Figures'!$B$44:$D$49,3,0),0),1),"-")</f>
        <v>0.71390012291628391</v>
      </c>
      <c r="R109" s="101">
        <f ca="1">IFERROR(R20*IFERROR(VLOOKUP($A109,'Dev Patterns'!$B$6:$H$34,VLOOKUP('Plan Figures'!R$2,'Plan Figures'!$B$44:$D$49,3,0),0),1),"-")</f>
        <v>1557666.2717982668</v>
      </c>
      <c r="S109" s="168"/>
      <c r="T109" s="129"/>
      <c r="U109" s="56"/>
      <c r="V109" s="101"/>
      <c r="W109" s="168"/>
      <c r="X109" s="129"/>
      <c r="Y109" s="56"/>
      <c r="Z109" s="101"/>
      <c r="AA109" s="168"/>
      <c r="AB109" s="129"/>
      <c r="AC109" s="56"/>
      <c r="AD109" s="101"/>
      <c r="AE109" s="168"/>
      <c r="AF109" s="129"/>
      <c r="AG109" s="56"/>
      <c r="AH109" s="101"/>
      <c r="AI109" s="168"/>
      <c r="AJ109" s="129"/>
      <c r="AK109" s="56"/>
      <c r="AL109" s="101"/>
      <c r="AM109" s="168"/>
      <c r="AN109" s="129"/>
      <c r="AO109" s="56"/>
      <c r="AP109" s="101"/>
    </row>
    <row r="110" spans="1:42" ht="15" customHeight="1" x14ac:dyDescent="0.25">
      <c r="A110" s="101">
        <f t="shared" ca="1" si="11"/>
        <v>18</v>
      </c>
      <c r="B110" s="73">
        <f t="shared" si="7"/>
        <v>45352</v>
      </c>
      <c r="C110" s="168">
        <f t="shared" ca="1" si="12"/>
        <v>4260.1528668314522</v>
      </c>
      <c r="D110" s="129">
        <f t="shared" ca="1" si="8"/>
        <v>7028722.699423207</v>
      </c>
      <c r="E110" s="56">
        <f t="shared" ca="1" si="9"/>
        <v>2.1208151100781847</v>
      </c>
      <c r="F110" s="129">
        <f t="shared" ca="1" si="10"/>
        <v>7198457.7531405166</v>
      </c>
      <c r="G110" s="168">
        <f ca="1">IFERROR(G21*IFERROR(VLOOKUP($A110,'Dev Patterns'!$B$6:$H$34,VLOOKUP('Plan Figures'!G$2,'Plan Figures'!$B$44:$D$49,3,0),0),1),"-")</f>
        <v>1205.7205117642748</v>
      </c>
      <c r="H110" s="129">
        <f ca="1">IFERROR(H21*IFERROR(VLOOKUP($A110,'Dev Patterns'!$B$6:$H$34,VLOOKUP('Plan Figures'!H$2,'Plan Figures'!$B$44:$D$49,3,0),0),1),"-")</f>
        <v>1387558.0023525297</v>
      </c>
      <c r="I110" s="56">
        <f ca="1">IFERROR(I21*IFERROR(VLOOKUP($A110,'Dev Patterns'!$B$6:$H$34,VLOOKUP('Plan Figures'!I$2,'Plan Figures'!$B$44:$D$49,3,0),0),1),"-")</f>
        <v>0.70345749358095044</v>
      </c>
      <c r="J110" s="101">
        <f ca="1">IFERROR(J21*IFERROR(VLOOKUP($A110,'Dev Patterns'!$B$6:$H$34,VLOOKUP('Plan Figures'!J$2,'Plan Figures'!$B$44:$D$49,3,0),0),1),"-")</f>
        <v>1698407.4321303696</v>
      </c>
      <c r="K110" s="168">
        <f ca="1">IFERROR(K21*IFERROR(VLOOKUP($A110,'Dev Patterns'!$B$6:$H$34,VLOOKUP('Plan Figures'!K$2,'Plan Figures'!$B$44:$D$49,3,0),0),1),"-")</f>
        <v>2221.1550024344438</v>
      </c>
      <c r="L110" s="129">
        <f ca="1">IFERROR(L21*IFERROR(VLOOKUP($A110,'Dev Patterns'!$B$6:$H$34,VLOOKUP('Plan Figures'!L$2,'Plan Figures'!$B$44:$D$49,3,0),0),1),"-")</f>
        <v>3685262.0501178172</v>
      </c>
      <c r="M110" s="56">
        <f ca="1">IFERROR(M21*IFERROR(VLOOKUP($A110,'Dev Patterns'!$B$6:$H$34,VLOOKUP('Plan Figures'!M$2,'Plan Figures'!$B$44:$D$49,3,0),0),1),"-")</f>
        <v>0.70345749358095033</v>
      </c>
      <c r="N110" s="101">
        <f ca="1">IFERROR(N21*IFERROR(VLOOKUP($A110,'Dev Patterns'!$B$6:$H$34,VLOOKUP('Plan Figures'!N$2,'Plan Figures'!$B$44:$D$49,3,0),0),1),"-")</f>
        <v>3942384.0492118802</v>
      </c>
      <c r="O110" s="168">
        <f ca="1">IFERROR(O21*IFERROR(VLOOKUP($A110,'Dev Patterns'!$B$6:$H$34,VLOOKUP('Plan Figures'!O$2,'Plan Figures'!$B$44:$D$49,3,0),0),1),"-")</f>
        <v>833.27735263273371</v>
      </c>
      <c r="P110" s="129">
        <f ca="1">IFERROR(P21*IFERROR(VLOOKUP($A110,'Dev Patterns'!$B$6:$H$34,VLOOKUP('Plan Figures'!P$2,'Plan Figures'!$B$44:$D$49,3,0),0),1),"-")</f>
        <v>1955902.6469528598</v>
      </c>
      <c r="Q110" s="56">
        <f ca="1">IFERROR(Q21*IFERROR(VLOOKUP($A110,'Dev Patterns'!$B$6:$H$34,VLOOKUP('Plan Figures'!Q$2,'Plan Figures'!$B$44:$D$49,3,0),0),1),"-")</f>
        <v>0.71390012291628391</v>
      </c>
      <c r="R110" s="101">
        <f ca="1">IFERROR(R21*IFERROR(VLOOKUP($A110,'Dev Patterns'!$B$6:$H$34,VLOOKUP('Plan Figures'!R$2,'Plan Figures'!$B$44:$D$49,3,0),0),1),"-")</f>
        <v>1557666.2717982668</v>
      </c>
      <c r="S110" s="168"/>
      <c r="T110" s="129"/>
      <c r="U110" s="56"/>
      <c r="V110" s="101"/>
      <c r="W110" s="168"/>
      <c r="X110" s="129"/>
      <c r="Y110" s="56"/>
      <c r="Z110" s="101"/>
      <c r="AA110" s="168"/>
      <c r="AB110" s="129"/>
      <c r="AC110" s="56"/>
      <c r="AD110" s="101"/>
      <c r="AE110" s="168"/>
      <c r="AF110" s="129"/>
      <c r="AG110" s="56"/>
      <c r="AH110" s="101"/>
      <c r="AI110" s="168"/>
      <c r="AJ110" s="129"/>
      <c r="AK110" s="56"/>
      <c r="AL110" s="101"/>
      <c r="AM110" s="168"/>
      <c r="AN110" s="129"/>
      <c r="AO110" s="56"/>
      <c r="AP110" s="101"/>
    </row>
    <row r="111" spans="1:42" ht="15" customHeight="1" x14ac:dyDescent="0.25">
      <c r="A111" s="101">
        <f t="shared" ca="1" si="11"/>
        <v>17</v>
      </c>
      <c r="B111" s="73">
        <f t="shared" si="7"/>
        <v>45383</v>
      </c>
      <c r="C111" s="168">
        <f t="shared" ca="1" si="12"/>
        <v>4253.3127959448284</v>
      </c>
      <c r="D111" s="129">
        <f t="shared" ca="1" si="8"/>
        <v>7008322.6050258419</v>
      </c>
      <c r="E111" s="56">
        <f t="shared" ca="1" si="9"/>
        <v>2.0667029951873426</v>
      </c>
      <c r="F111" s="129">
        <f t="shared" ca="1" si="10"/>
        <v>7198457.7531405166</v>
      </c>
      <c r="G111" s="168">
        <f ca="1">IFERROR(G22*IFERROR(VLOOKUP($A111,'Dev Patterns'!$B$6:$H$34,VLOOKUP('Plan Figures'!G$2,'Plan Figures'!$B$44:$D$49,3,0),0),1),"-")</f>
        <v>1203.3138839962821</v>
      </c>
      <c r="H111" s="129">
        <f ca="1">IFERROR(H22*IFERROR(VLOOKUP($A111,'Dev Patterns'!$B$6:$H$34,VLOOKUP('Plan Figures'!H$2,'Plan Figures'!$B$44:$D$49,3,0),0),1),"-")</f>
        <v>1433144.0223048357</v>
      </c>
      <c r="I111" s="56">
        <f ca="1">IFERROR(I22*IFERROR(VLOOKUP($A111,'Dev Patterns'!$B$6:$H$34,VLOOKUP('Plan Figures'!I$2,'Plan Figures'!$B$44:$D$49,3,0),0),1),"-")</f>
        <v>0.67640143613552928</v>
      </c>
      <c r="J111" s="101">
        <f ca="1">IFERROR(J22*IFERROR(VLOOKUP($A111,'Dev Patterns'!$B$6:$H$34,VLOOKUP('Plan Figures'!J$2,'Plan Figures'!$B$44:$D$49,3,0),0),1),"-")</f>
        <v>1698407.4321303696</v>
      </c>
      <c r="K111" s="168">
        <f ca="1">IFERROR(K22*IFERROR(VLOOKUP($A111,'Dev Patterns'!$B$6:$H$34,VLOOKUP('Plan Figures'!K$2,'Plan Figures'!$B$44:$D$49,3,0),0),1),"-")</f>
        <v>2216.7215593158126</v>
      </c>
      <c r="L111" s="129">
        <f ca="1">IFERROR(L22*IFERROR(VLOOKUP($A111,'Dev Patterns'!$B$6:$H$34,VLOOKUP('Plan Figures'!L$2,'Plan Figures'!$B$44:$D$49,3,0),0),1),"-")</f>
        <v>3806335.4964611963</v>
      </c>
      <c r="M111" s="56">
        <f ca="1">IFERROR(M22*IFERROR(VLOOKUP($A111,'Dev Patterns'!$B$6:$H$34,VLOOKUP('Plan Figures'!M$2,'Plan Figures'!$B$44:$D$49,3,0),0),1),"-")</f>
        <v>0.67640143613552928</v>
      </c>
      <c r="N111" s="101">
        <f ca="1">IFERROR(N22*IFERROR(VLOOKUP($A111,'Dev Patterns'!$B$6:$H$34,VLOOKUP('Plan Figures'!N$2,'Plan Figures'!$B$44:$D$49,3,0),0),1),"-")</f>
        <v>3942384.0492118802</v>
      </c>
      <c r="O111" s="168">
        <f ca="1">IFERROR(O22*IFERROR(VLOOKUP($A111,'Dev Patterns'!$B$6:$H$34,VLOOKUP('Plan Figures'!O$2,'Plan Figures'!$B$44:$D$49,3,0),0),1),"-")</f>
        <v>833.27735263273371</v>
      </c>
      <c r="P111" s="129">
        <f ca="1">IFERROR(P22*IFERROR(VLOOKUP($A111,'Dev Patterns'!$B$6:$H$34,VLOOKUP('Plan Figures'!P$2,'Plan Figures'!$B$44:$D$49,3,0),0),1),"-")</f>
        <v>1768843.0862598093</v>
      </c>
      <c r="Q111" s="56">
        <f ca="1">IFERROR(Q22*IFERROR(VLOOKUP($A111,'Dev Patterns'!$B$6:$H$34,VLOOKUP('Plan Figures'!Q$2,'Plan Figures'!$B$44:$D$49,3,0),0),1),"-")</f>
        <v>0.71390012291628391</v>
      </c>
      <c r="R111" s="101">
        <f ca="1">IFERROR(R22*IFERROR(VLOOKUP($A111,'Dev Patterns'!$B$6:$H$34,VLOOKUP('Plan Figures'!R$2,'Plan Figures'!$B$44:$D$49,3,0),0),1),"-")</f>
        <v>1557666.2717982668</v>
      </c>
      <c r="S111" s="168"/>
      <c r="T111" s="129"/>
      <c r="U111" s="56"/>
      <c r="V111" s="101"/>
      <c r="W111" s="168"/>
      <c r="X111" s="129"/>
      <c r="Y111" s="56"/>
      <c r="Z111" s="101"/>
      <c r="AA111" s="168"/>
      <c r="AB111" s="129"/>
      <c r="AC111" s="56"/>
      <c r="AD111" s="101"/>
      <c r="AE111" s="168"/>
      <c r="AF111" s="129"/>
      <c r="AG111" s="56"/>
      <c r="AH111" s="101"/>
      <c r="AI111" s="168"/>
      <c r="AJ111" s="129"/>
      <c r="AK111" s="56"/>
      <c r="AL111" s="101"/>
      <c r="AM111" s="168"/>
      <c r="AN111" s="129"/>
      <c r="AO111" s="56"/>
      <c r="AP111" s="101"/>
    </row>
    <row r="112" spans="1:42" ht="15" customHeight="1" x14ac:dyDescent="0.25">
      <c r="A112" s="101">
        <f t="shared" ca="1" si="11"/>
        <v>16</v>
      </c>
      <c r="B112" s="73">
        <f t="shared" si="7"/>
        <v>45413</v>
      </c>
      <c r="C112" s="168">
        <f t="shared" ca="1" si="12"/>
        <v>4246.8636837603826</v>
      </c>
      <c r="D112" s="129">
        <f t="shared" ca="1" si="8"/>
        <v>6910081.5132966693</v>
      </c>
      <c r="E112" s="56">
        <f t="shared" ca="1" si="9"/>
        <v>2.0669068637677253</v>
      </c>
      <c r="F112" s="129">
        <f t="shared" ca="1" si="10"/>
        <v>7199202.3378039896</v>
      </c>
      <c r="G112" s="168">
        <f ca="1">IFERROR(G23*IFERROR(VLOOKUP($A112,'Dev Patterns'!$B$6:$H$34,VLOOKUP('Plan Figures'!G$2,'Plan Figures'!$B$44:$D$49,3,0),0),1),"-")</f>
        <v>1201.0207575202833</v>
      </c>
      <c r="H112" s="129">
        <f ca="1">IFERROR(H23*IFERROR(VLOOKUP($A112,'Dev Patterns'!$B$6:$H$34,VLOOKUP('Plan Figures'!H$2,'Plan Figures'!$B$44:$D$49,3,0),0),1),"-")</f>
        <v>1450615.9831731333</v>
      </c>
      <c r="I112" s="56">
        <f ca="1">IFERROR(I23*IFERROR(VLOOKUP($A112,'Dev Patterns'!$B$6:$H$34,VLOOKUP('Plan Figures'!I$2,'Plan Figures'!$B$44:$D$49,3,0),0),1),"-")</f>
        <v>0.67640143613552928</v>
      </c>
      <c r="J112" s="101">
        <f ca="1">IFERROR(J23*IFERROR(VLOOKUP($A112,'Dev Patterns'!$B$6:$H$34,VLOOKUP('Plan Figures'!J$2,'Plan Figures'!$B$44:$D$49,3,0),0),1),"-")</f>
        <v>1698561.1593616745</v>
      </c>
      <c r="K112" s="168">
        <f ca="1">IFERROR(K23*IFERROR(VLOOKUP($A112,'Dev Patterns'!$B$6:$H$34,VLOOKUP('Plan Figures'!K$2,'Plan Figures'!$B$44:$D$49,3,0),0),1),"-")</f>
        <v>2212.8780736073654</v>
      </c>
      <c r="L112" s="129">
        <f ca="1">IFERROR(L23*IFERROR(VLOOKUP($A112,'Dev Patterns'!$B$6:$H$34,VLOOKUP('Plan Figures'!L$2,'Plan Figures'!$B$44:$D$49,3,0),0),1),"-")</f>
        <v>3852739.866022632</v>
      </c>
      <c r="M112" s="56">
        <f ca="1">IFERROR(M23*IFERROR(VLOOKUP($A112,'Dev Patterns'!$B$6:$H$34,VLOOKUP('Plan Figures'!M$2,'Plan Figures'!$B$44:$D$49,3,0),0),1),"-")</f>
        <v>0.67640143613552928</v>
      </c>
      <c r="N112" s="101">
        <f ca="1">IFERROR(N23*IFERROR(VLOOKUP($A112,'Dev Patterns'!$B$6:$H$34,VLOOKUP('Plan Figures'!N$2,'Plan Figures'!$B$44:$D$49,3,0),0),1),"-")</f>
        <v>3943419.6026761713</v>
      </c>
      <c r="O112" s="168">
        <f ca="1">IFERROR(O23*IFERROR(VLOOKUP($A112,'Dev Patterns'!$B$6:$H$34,VLOOKUP('Plan Figures'!O$2,'Plan Figures'!$B$44:$D$49,3,0),0),1),"-")</f>
        <v>832.96485263273371</v>
      </c>
      <c r="P112" s="129">
        <f ca="1">IFERROR(P23*IFERROR(VLOOKUP($A112,'Dev Patterns'!$B$6:$H$34,VLOOKUP('Plan Figures'!P$2,'Plan Figures'!$B$44:$D$49,3,0),0),1),"-")</f>
        <v>1606725.6641009036</v>
      </c>
      <c r="Q112" s="56">
        <f ca="1">IFERROR(Q23*IFERROR(VLOOKUP($A112,'Dev Patterns'!$B$6:$H$34,VLOOKUP('Plan Figures'!Q$2,'Plan Figures'!$B$44:$D$49,3,0),0),1),"-")</f>
        <v>0.71410399149666648</v>
      </c>
      <c r="R112" s="101">
        <f ca="1">IFERROR(R23*IFERROR(VLOOKUP($A112,'Dev Patterns'!$B$6:$H$34,VLOOKUP('Plan Figures'!R$2,'Plan Figures'!$B$44:$D$49,3,0),0),1),"-")</f>
        <v>1557221.5757661441</v>
      </c>
      <c r="S112" s="168"/>
      <c r="T112" s="129"/>
      <c r="U112" s="56"/>
      <c r="V112" s="101"/>
      <c r="W112" s="168"/>
      <c r="X112" s="129"/>
      <c r="Y112" s="56"/>
      <c r="Z112" s="101"/>
      <c r="AA112" s="168"/>
      <c r="AB112" s="129"/>
      <c r="AC112" s="56"/>
      <c r="AD112" s="101"/>
      <c r="AE112" s="168"/>
      <c r="AF112" s="129"/>
      <c r="AG112" s="56"/>
      <c r="AH112" s="101"/>
      <c r="AI112" s="168"/>
      <c r="AJ112" s="129"/>
      <c r="AK112" s="56"/>
      <c r="AL112" s="101"/>
      <c r="AM112" s="168"/>
      <c r="AN112" s="129"/>
      <c r="AO112" s="56"/>
      <c r="AP112" s="101"/>
    </row>
    <row r="113" spans="1:42" ht="15" customHeight="1" x14ac:dyDescent="0.25">
      <c r="A113" s="101">
        <f t="shared" ca="1" si="11"/>
        <v>15</v>
      </c>
      <c r="B113" s="73">
        <f t="shared" si="7"/>
        <v>45444</v>
      </c>
      <c r="C113" s="168">
        <f t="shared" ca="1" si="12"/>
        <v>4318.1657423106635</v>
      </c>
      <c r="D113" s="129">
        <f t="shared" ca="1" si="8"/>
        <v>6846559.6197968423</v>
      </c>
      <c r="E113" s="56">
        <f t="shared" ca="1" si="9"/>
        <v>2.0117092383349231</v>
      </c>
      <c r="F113" s="129">
        <f t="shared" ca="1" si="10"/>
        <v>7318060.3548614681</v>
      </c>
      <c r="G113" s="168">
        <f ca="1">IFERROR(G24*IFERROR(VLOOKUP($A113,'Dev Patterns'!$B$6:$H$34,VLOOKUP('Plan Figures'!G$2,'Plan Figures'!$B$44:$D$49,3,0),0),1),"-")</f>
        <v>1228.8758335021305</v>
      </c>
      <c r="H113" s="129">
        <f ca="1">IFERROR(H24*IFERROR(VLOOKUP($A113,'Dev Patterns'!$B$6:$H$34,VLOOKUP('Plan Figures'!H$2,'Plan Figures'!$B$44:$D$49,3,0),0),1),"-")</f>
        <v>1477938.9090293907</v>
      </c>
      <c r="I113" s="56">
        <f ca="1">IFERROR(I24*IFERROR(VLOOKUP($A113,'Dev Patterns'!$B$6:$H$34,VLOOKUP('Plan Figures'!I$2,'Plan Figures'!$B$44:$D$49,3,0),0),1),"-")</f>
        <v>0.65038599628416272</v>
      </c>
      <c r="J113" s="101">
        <f ca="1">IFERROR(J24*IFERROR(VLOOKUP($A113,'Dev Patterns'!$B$6:$H$34,VLOOKUP('Plan Figures'!J$2,'Plan Figures'!$B$44:$D$49,3,0),0),1),"-")</f>
        <v>1741431.5188890705</v>
      </c>
      <c r="K113" s="168">
        <f ca="1">IFERROR(K24*IFERROR(VLOOKUP($A113,'Dev Patterns'!$B$6:$H$34,VLOOKUP('Plan Figures'!K$2,'Plan Figures'!$B$44:$D$49,3,0),0),1),"-")</f>
        <v>2283.9188061757995</v>
      </c>
      <c r="L113" s="129">
        <f ca="1">IFERROR(L24*IFERROR(VLOOKUP($A113,'Dev Patterns'!$B$6:$H$34,VLOOKUP('Plan Figures'!L$2,'Plan Figures'!$B$44:$D$49,3,0),0),1),"-")</f>
        <v>3925307.745408956</v>
      </c>
      <c r="M113" s="56">
        <f ca="1">IFERROR(M24*IFERROR(VLOOKUP($A113,'Dev Patterns'!$B$6:$H$34,VLOOKUP('Plan Figures'!M$2,'Plan Figures'!$B$44:$D$49,3,0),0),1),"-")</f>
        <v>0.65038599628416272</v>
      </c>
      <c r="N113" s="101">
        <f ca="1">IFERROR(N24*IFERROR(VLOOKUP($A113,'Dev Patterns'!$B$6:$H$34,VLOOKUP('Plan Figures'!N$2,'Plan Figures'!$B$44:$D$49,3,0),0),1),"-")</f>
        <v>4078156.4963791161</v>
      </c>
      <c r="O113" s="168">
        <f ca="1">IFERROR(O24*IFERROR(VLOOKUP($A113,'Dev Patterns'!$B$6:$H$34,VLOOKUP('Plan Figures'!O$2,'Plan Figures'!$B$44:$D$49,3,0),0),1),"-")</f>
        <v>805.37110263273371</v>
      </c>
      <c r="P113" s="129">
        <f ca="1">IFERROR(P24*IFERROR(VLOOKUP($A113,'Dev Patterns'!$B$6:$H$34,VLOOKUP('Plan Figures'!P$2,'Plan Figures'!$B$44:$D$49,3,0),0),1),"-")</f>
        <v>1443312.9653584959</v>
      </c>
      <c r="Q113" s="56">
        <f ca="1">IFERROR(Q24*IFERROR(VLOOKUP($A113,'Dev Patterns'!$B$6:$H$34,VLOOKUP('Plan Figures'!Q$2,'Plan Figures'!$B$44:$D$49,3,0),0),1),"-")</f>
        <v>0.71093724576659767</v>
      </c>
      <c r="R113" s="101">
        <f ca="1">IFERROR(R24*IFERROR(VLOOKUP($A113,'Dev Patterns'!$B$6:$H$34,VLOOKUP('Plan Figures'!R$2,'Plan Figures'!$B$44:$D$49,3,0),0),1),"-")</f>
        <v>1498472.3395932817</v>
      </c>
      <c r="S113" s="168"/>
      <c r="T113" s="129"/>
      <c r="U113" s="56"/>
      <c r="V113" s="101"/>
      <c r="W113" s="168"/>
      <c r="X113" s="129"/>
      <c r="Y113" s="56"/>
      <c r="Z113" s="101"/>
      <c r="AA113" s="168"/>
      <c r="AB113" s="129"/>
      <c r="AC113" s="56"/>
      <c r="AD113" s="101"/>
      <c r="AE113" s="168"/>
      <c r="AF113" s="129"/>
      <c r="AG113" s="56"/>
      <c r="AH113" s="101"/>
      <c r="AI113" s="168"/>
      <c r="AJ113" s="129"/>
      <c r="AK113" s="56"/>
      <c r="AL113" s="101"/>
      <c r="AM113" s="168"/>
      <c r="AN113" s="129"/>
      <c r="AO113" s="56"/>
      <c r="AP113" s="101"/>
    </row>
    <row r="114" spans="1:42" ht="15" customHeight="1" x14ac:dyDescent="0.25">
      <c r="A114" s="101">
        <f t="shared" ca="1" si="11"/>
        <v>14</v>
      </c>
      <c r="B114" s="73">
        <f t="shared" si="7"/>
        <v>45474</v>
      </c>
      <c r="C114" s="168">
        <f t="shared" ca="1" si="12"/>
        <v>4195.7154005708344</v>
      </c>
      <c r="D114" s="129">
        <f t="shared" ca="1" si="8"/>
        <v>4986953.6660165749</v>
      </c>
      <c r="E114" s="56">
        <f t="shared" ca="1" si="9"/>
        <v>2.0015873271368387</v>
      </c>
      <c r="F114" s="129">
        <f t="shared" ca="1" si="10"/>
        <v>5702766.7093693437</v>
      </c>
      <c r="G114" s="168">
        <f ca="1">IFERROR(G25*IFERROR(VLOOKUP($A114,'Dev Patterns'!$B$6:$H$34,VLOOKUP('Plan Figures'!G$2,'Plan Figures'!$B$44:$D$49,3,0),0),1),"-")</f>
        <v>1163.6668411466915</v>
      </c>
      <c r="H114" s="129">
        <f ca="1">IFERROR(H25*IFERROR(VLOOKUP($A114,'Dev Patterns'!$B$6:$H$34,VLOOKUP('Plan Figures'!H$2,'Plan Figures'!$B$44:$D$49,3,0),0),1),"-")</f>
        <v>1091239.3456972765</v>
      </c>
      <c r="I114" s="56">
        <f ca="1">IFERROR(I25*IFERROR(VLOOKUP($A114,'Dev Patterns'!$B$6:$H$34,VLOOKUP('Plan Figures'!I$2,'Plan Figures'!$B$44:$D$49,3,0),0),1),"-")</f>
        <v>0.65038599628416272</v>
      </c>
      <c r="J114" s="101">
        <f ca="1">IFERROR(J25*IFERROR(VLOOKUP($A114,'Dev Patterns'!$B$6:$H$34,VLOOKUP('Plan Figures'!J$2,'Plan Figures'!$B$44:$D$49,3,0),0),1),"-")</f>
        <v>1221908.9319565136</v>
      </c>
      <c r="K114" s="168">
        <f ca="1">IFERROR(K25*IFERROR(VLOOKUP($A114,'Dev Patterns'!$B$6:$H$34,VLOOKUP('Plan Figures'!K$2,'Plan Figures'!$B$44:$D$49,3,0),0),1),"-")</f>
        <v>2077.7077704846874</v>
      </c>
      <c r="L114" s="129">
        <f ca="1">IFERROR(L25*IFERROR(VLOOKUP($A114,'Dev Patterns'!$B$6:$H$34,VLOOKUP('Plan Figures'!L$2,'Plan Figures'!$B$44:$D$49,3,0),0),1),"-")</f>
        <v>2546227.2053329675</v>
      </c>
      <c r="M114" s="56">
        <f ca="1">IFERROR(M25*IFERROR(VLOOKUP($A114,'Dev Patterns'!$B$6:$H$34,VLOOKUP('Plan Figures'!M$2,'Plan Figures'!$B$44:$D$49,3,0),0),1),"-")</f>
        <v>0.65038599628416272</v>
      </c>
      <c r="N114" s="101">
        <f ca="1">IFERROR(N25*IFERROR(VLOOKUP($A114,'Dev Patterns'!$B$6:$H$34,VLOOKUP('Plan Figures'!N$2,'Plan Figures'!$B$44:$D$49,3,0),0),1),"-")</f>
        <v>2851120.8412318644</v>
      </c>
      <c r="O114" s="168">
        <f ca="1">IFERROR(O25*IFERROR(VLOOKUP($A114,'Dev Patterns'!$B$6:$H$34,VLOOKUP('Plan Figures'!O$2,'Plan Figures'!$B$44:$D$49,3,0),0),1),"-")</f>
        <v>954.34078893945536</v>
      </c>
      <c r="P114" s="129">
        <f ca="1">IFERROR(P25*IFERROR(VLOOKUP($A114,'Dev Patterns'!$B$6:$H$34,VLOOKUP('Plan Figures'!P$2,'Plan Figures'!$B$44:$D$49,3,0),0),1),"-")</f>
        <v>1349487.1149863317</v>
      </c>
      <c r="Q114" s="56">
        <f ca="1">IFERROR(Q25*IFERROR(VLOOKUP($A114,'Dev Patterns'!$B$6:$H$34,VLOOKUP('Plan Figures'!Q$2,'Plan Figures'!$B$44:$D$49,3,0),0),1),"-")</f>
        <v>0.70081533456851342</v>
      </c>
      <c r="R114" s="101">
        <f ca="1">IFERROR(R25*IFERROR(VLOOKUP($A114,'Dev Patterns'!$B$6:$H$34,VLOOKUP('Plan Figures'!R$2,'Plan Figures'!$B$44:$D$49,3,0),0),1),"-")</f>
        <v>1629736.9361809657</v>
      </c>
      <c r="S114" s="168"/>
      <c r="T114" s="129"/>
      <c r="U114" s="56"/>
      <c r="V114" s="101"/>
      <c r="W114" s="168"/>
      <c r="X114" s="129"/>
      <c r="Y114" s="56"/>
      <c r="Z114" s="101"/>
      <c r="AA114" s="168"/>
      <c r="AB114" s="129"/>
      <c r="AC114" s="56"/>
      <c r="AD114" s="101"/>
      <c r="AE114" s="168"/>
      <c r="AF114" s="129"/>
      <c r="AG114" s="56"/>
      <c r="AH114" s="101"/>
      <c r="AI114" s="168"/>
      <c r="AJ114" s="129"/>
      <c r="AK114" s="56"/>
      <c r="AL114" s="101"/>
      <c r="AM114" s="168"/>
      <c r="AN114" s="129"/>
      <c r="AO114" s="56"/>
      <c r="AP114" s="101"/>
    </row>
    <row r="115" spans="1:42" ht="15" customHeight="1" x14ac:dyDescent="0.25">
      <c r="A115" s="101">
        <f t="shared" ca="1" si="11"/>
        <v>13</v>
      </c>
      <c r="B115" s="73">
        <f t="shared" si="7"/>
        <v>45505</v>
      </c>
      <c r="C115" s="168">
        <f t="shared" ca="1" si="12"/>
        <v>4057.7980519065409</v>
      </c>
      <c r="D115" s="129">
        <f t="shared" ca="1" si="8"/>
        <v>4772960.6173661947</v>
      </c>
      <c r="E115" s="56">
        <f t="shared" ca="1" si="9"/>
        <v>2.0100220526701826</v>
      </c>
      <c r="F115" s="129">
        <f t="shared" ca="1" si="10"/>
        <v>5426953.6412024517</v>
      </c>
      <c r="G115" s="168">
        <f ca="1">IFERROR(G26*IFERROR(VLOOKUP($A115,'Dev Patterns'!$B$6:$H$34,VLOOKUP('Plan Figures'!G$2,'Plan Figures'!$B$44:$D$49,3,0),0),1),"-")</f>
        <v>1142.8043600541255</v>
      </c>
      <c r="H115" s="129">
        <f ca="1">IFERROR(H26*IFERROR(VLOOKUP($A115,'Dev Patterns'!$B$6:$H$34,VLOOKUP('Plan Figures'!H$2,'Plan Figures'!$B$44:$D$49,3,0),0),1),"-")</f>
        <v>1077447.5969932852</v>
      </c>
      <c r="I115" s="56">
        <f ca="1">IFERROR(I26*IFERROR(VLOOKUP($A115,'Dev Patterns'!$B$6:$H$34,VLOOKUP('Plan Figures'!I$2,'Plan Figures'!$B$44:$D$49,3,0),0),1),"-")</f>
        <v>0.65038599628416272</v>
      </c>
      <c r="J115" s="101">
        <f ca="1">IFERROR(J26*IFERROR(VLOOKUP($A115,'Dev Patterns'!$B$6:$H$34,VLOOKUP('Plan Figures'!J$2,'Plan Figures'!$B$44:$D$49,3,0),0),1),"-")</f>
        <v>1208545.3160447939</v>
      </c>
      <c r="K115" s="168">
        <f ca="1">IFERROR(K26*IFERROR(VLOOKUP($A115,'Dev Patterns'!$B$6:$H$34,VLOOKUP('Plan Figures'!K$2,'Plan Figures'!$B$44:$D$49,3,0),0),1),"-")</f>
        <v>2067.3639188477955</v>
      </c>
      <c r="L115" s="129">
        <f ca="1">IFERROR(L26*IFERROR(VLOOKUP($A115,'Dev Patterns'!$B$6:$H$34,VLOOKUP('Plan Figures'!L$2,'Plan Figures'!$B$44:$D$49,3,0),0),1),"-")</f>
        <v>2514046.3049153509</v>
      </c>
      <c r="M115" s="56">
        <f ca="1">IFERROR(M26*IFERROR(VLOOKUP($A115,'Dev Patterns'!$B$6:$H$34,VLOOKUP('Plan Figures'!M$2,'Plan Figures'!$B$44:$D$49,3,0),0),1),"-")</f>
        <v>0.65038599628416272</v>
      </c>
      <c r="N115" s="101">
        <f ca="1">IFERROR(N26*IFERROR(VLOOKUP($A115,'Dev Patterns'!$B$6:$H$34,VLOOKUP('Plan Figures'!N$2,'Plan Figures'!$B$44:$D$49,3,0),0),1),"-")</f>
        <v>2791271.16270892</v>
      </c>
      <c r="O115" s="168">
        <f ca="1">IFERROR(O26*IFERROR(VLOOKUP($A115,'Dev Patterns'!$B$6:$H$34,VLOOKUP('Plan Figures'!O$2,'Plan Figures'!$B$44:$D$49,3,0),0),1),"-")</f>
        <v>847.62977300462001</v>
      </c>
      <c r="P115" s="129">
        <f ca="1">IFERROR(P26*IFERROR(VLOOKUP($A115,'Dev Patterns'!$B$6:$H$34,VLOOKUP('Plan Figures'!P$2,'Plan Figures'!$B$44:$D$49,3,0),0),1),"-")</f>
        <v>1181466.7154575591</v>
      </c>
      <c r="Q115" s="56">
        <f ca="1">IFERROR(Q26*IFERROR(VLOOKUP($A115,'Dev Patterns'!$B$6:$H$34,VLOOKUP('Plan Figures'!Q$2,'Plan Figures'!$B$44:$D$49,3,0),0),1),"-")</f>
        <v>0.70925006010185732</v>
      </c>
      <c r="R115" s="101">
        <f ca="1">IFERROR(R26*IFERROR(VLOOKUP($A115,'Dev Patterns'!$B$6:$H$34,VLOOKUP('Plan Figures'!R$2,'Plan Figures'!$B$44:$D$49,3,0),0),1),"-")</f>
        <v>1427137.162448738</v>
      </c>
      <c r="S115" s="168"/>
      <c r="T115" s="129"/>
      <c r="U115" s="56"/>
      <c r="V115" s="101"/>
      <c r="W115" s="168"/>
      <c r="X115" s="129"/>
      <c r="Y115" s="56"/>
      <c r="Z115" s="101"/>
      <c r="AA115" s="168"/>
      <c r="AB115" s="129"/>
      <c r="AC115" s="56"/>
      <c r="AD115" s="101"/>
      <c r="AE115" s="168"/>
      <c r="AF115" s="129"/>
      <c r="AG115" s="56"/>
      <c r="AH115" s="101"/>
      <c r="AI115" s="168"/>
      <c r="AJ115" s="129"/>
      <c r="AK115" s="56"/>
      <c r="AL115" s="101"/>
      <c r="AM115" s="168"/>
      <c r="AN115" s="129"/>
      <c r="AO115" s="56"/>
      <c r="AP115" s="101"/>
    </row>
    <row r="116" spans="1:42" ht="15" customHeight="1" x14ac:dyDescent="0.25">
      <c r="A116" s="101">
        <f t="shared" ca="1" si="11"/>
        <v>12</v>
      </c>
      <c r="B116" s="73">
        <f t="shared" si="7"/>
        <v>45536</v>
      </c>
      <c r="C116" s="168">
        <f t="shared" ca="1" si="12"/>
        <v>5130.3335122267199</v>
      </c>
      <c r="D116" s="129">
        <f t="shared" ca="1" si="8"/>
        <v>5963772.0422257259</v>
      </c>
      <c r="E116" s="56">
        <f t="shared" ca="1" si="9"/>
        <v>2.0349328731859551</v>
      </c>
      <c r="F116" s="129">
        <f t="shared" ca="1" si="10"/>
        <v>6639050.0501694726</v>
      </c>
      <c r="G116" s="168">
        <f ca="1">IFERROR(G27*IFERROR(VLOOKUP($A116,'Dev Patterns'!$B$6:$H$34,VLOOKUP('Plan Figures'!G$2,'Plan Figures'!$B$44:$D$49,3,0),0),1),"-")</f>
        <v>1583.5747712774066</v>
      </c>
      <c r="H116" s="129">
        <f ca="1">IFERROR(H27*IFERROR(VLOOKUP($A116,'Dev Patterns'!$B$6:$H$34,VLOOKUP('Plan Figures'!H$2,'Plan Figures'!$B$44:$D$49,3,0),0),1),"-")</f>
        <v>1476181.8237554729</v>
      </c>
      <c r="I116" s="56">
        <f ca="1">IFERROR(I27*IFERROR(VLOOKUP($A116,'Dev Patterns'!$B$6:$H$34,VLOOKUP('Plan Figures'!I$2,'Plan Figures'!$B$44:$D$49,3,0),0),1),"-")</f>
        <v>0.65038599628416272</v>
      </c>
      <c r="J116" s="101">
        <f ca="1">IFERROR(J27*IFERROR(VLOOKUP($A116,'Dev Patterns'!$B$6:$H$34,VLOOKUP('Plan Figures'!J$2,'Plan Figures'!$B$44:$D$49,3,0),0),1),"-")</f>
        <v>1665991.5931782851</v>
      </c>
      <c r="K116" s="168">
        <f ca="1">IFERROR(K27*IFERROR(VLOOKUP($A116,'Dev Patterns'!$B$6:$H$34,VLOOKUP('Plan Figures'!K$2,'Plan Figures'!$B$44:$D$49,3,0),0),1),"-")</f>
        <v>2807.6994788171282</v>
      </c>
      <c r="L116" s="129">
        <f ca="1">IFERROR(L27*IFERROR(VLOOKUP($A116,'Dev Patterns'!$B$6:$H$34,VLOOKUP('Plan Figures'!L$2,'Plan Figures'!$B$44:$D$49,3,0),0),1),"-")</f>
        <v>3478960.5342832045</v>
      </c>
      <c r="M116" s="56">
        <f ca="1">IFERROR(M27*IFERROR(VLOOKUP($A116,'Dev Patterns'!$B$6:$H$34,VLOOKUP('Plan Figures'!M$2,'Plan Figures'!$B$44:$D$49,3,0),0),1),"-")</f>
        <v>0.6503859962841626</v>
      </c>
      <c r="N116" s="101">
        <f ca="1">IFERROR(N27*IFERROR(VLOOKUP($A116,'Dev Patterns'!$B$6:$H$34,VLOOKUP('Plan Figures'!N$2,'Plan Figures'!$B$44:$D$49,3,0),0),1),"-")</f>
        <v>3754261.8270118046</v>
      </c>
      <c r="O116" s="168">
        <f ca="1">IFERROR(O27*IFERROR(VLOOKUP($A116,'Dev Patterns'!$B$6:$H$34,VLOOKUP('Plan Figures'!O$2,'Plan Figures'!$B$44:$D$49,3,0),0),1),"-")</f>
        <v>739.05926213218527</v>
      </c>
      <c r="P116" s="129">
        <f ca="1">IFERROR(P27*IFERROR(VLOOKUP($A116,'Dev Patterns'!$B$6:$H$34,VLOOKUP('Plan Figures'!P$2,'Plan Figures'!$B$44:$D$49,3,0),0),1),"-")</f>
        <v>1008629.6841870487</v>
      </c>
      <c r="Q116" s="56">
        <f ca="1">IFERROR(Q27*IFERROR(VLOOKUP($A116,'Dev Patterns'!$B$6:$H$34,VLOOKUP('Plan Figures'!Q$2,'Plan Figures'!$B$44:$D$49,3,0),0),1),"-")</f>
        <v>0.73416088061762963</v>
      </c>
      <c r="R116" s="101">
        <f ca="1">IFERROR(R27*IFERROR(VLOOKUP($A116,'Dev Patterns'!$B$6:$H$34,VLOOKUP('Plan Figures'!R$2,'Plan Figures'!$B$44:$D$49,3,0),0),1),"-")</f>
        <v>1218796.6299793832</v>
      </c>
      <c r="S116" s="168"/>
      <c r="T116" s="129"/>
      <c r="U116" s="56"/>
      <c r="V116" s="101"/>
      <c r="W116" s="168"/>
      <c r="X116" s="129"/>
      <c r="Y116" s="56"/>
      <c r="Z116" s="101"/>
      <c r="AA116" s="168"/>
      <c r="AB116" s="129"/>
      <c r="AC116" s="56"/>
      <c r="AD116" s="101"/>
      <c r="AE116" s="168"/>
      <c r="AF116" s="129"/>
      <c r="AG116" s="56"/>
      <c r="AH116" s="101"/>
      <c r="AI116" s="168"/>
      <c r="AJ116" s="129"/>
      <c r="AK116" s="56"/>
      <c r="AL116" s="101"/>
      <c r="AM116" s="168"/>
      <c r="AN116" s="129"/>
      <c r="AO116" s="56"/>
      <c r="AP116" s="101"/>
    </row>
    <row r="117" spans="1:42" ht="15" customHeight="1" x14ac:dyDescent="0.25">
      <c r="A117" s="101">
        <f t="shared" ca="1" si="11"/>
        <v>11</v>
      </c>
      <c r="B117" s="73">
        <f t="shared" si="7"/>
        <v>45566</v>
      </c>
      <c r="C117" s="168">
        <f t="shared" ca="1" si="12"/>
        <v>5277.2602760739255</v>
      </c>
      <c r="D117" s="129">
        <f t="shared" ca="1" si="8"/>
        <v>6206021.9847642854</v>
      </c>
      <c r="E117" s="56">
        <f t="shared" ca="1" si="9"/>
        <v>2.0402365458975797</v>
      </c>
      <c r="F117" s="129">
        <f t="shared" ca="1" si="10"/>
        <v>6813714.3506357027</v>
      </c>
      <c r="G117" s="168">
        <f ca="1">IFERROR(G28*IFERROR(VLOOKUP($A117,'Dev Patterns'!$B$6:$H$34,VLOOKUP('Plan Figures'!G$2,'Plan Figures'!$B$44:$D$49,3,0),0),1),"-")</f>
        <v>1634.6429111000109</v>
      </c>
      <c r="H117" s="129">
        <f ca="1">IFERROR(H28*IFERROR(VLOOKUP($A117,'Dev Patterns'!$B$6:$H$34,VLOOKUP('Plan Figures'!H$2,'Plan Figures'!$B$44:$D$49,3,0),0),1),"-")</f>
        <v>1608356.2569974326</v>
      </c>
      <c r="I117" s="56">
        <f ca="1">IFERROR(I28*IFERROR(VLOOKUP($A117,'Dev Patterns'!$B$6:$H$34,VLOOKUP('Plan Figures'!I$2,'Plan Figures'!$B$44:$D$49,3,0),0),1),"-")</f>
        <v>0.65038599628416272</v>
      </c>
      <c r="J117" s="101">
        <f ca="1">IFERROR(J28*IFERROR(VLOOKUP($A117,'Dev Patterns'!$B$6:$H$34,VLOOKUP('Plan Figures'!J$2,'Plan Figures'!$B$44:$D$49,3,0),0),1),"-")</f>
        <v>1811485.8143051853</v>
      </c>
      <c r="K117" s="168">
        <f ca="1">IFERROR(K28*IFERROR(VLOOKUP($A117,'Dev Patterns'!$B$6:$H$34,VLOOKUP('Plan Figures'!K$2,'Plan Figures'!$B$44:$D$49,3,0),0),1),"-")</f>
        <v>3068.5526153553747</v>
      </c>
      <c r="L117" s="129">
        <f ca="1">IFERROR(L28*IFERROR(VLOOKUP($A117,'Dev Patterns'!$B$6:$H$34,VLOOKUP('Plan Figures'!L$2,'Plan Figures'!$B$44:$D$49,3,0),0),1),"-")</f>
        <v>3827130.0868501477</v>
      </c>
      <c r="M117" s="56">
        <f ca="1">IFERROR(M28*IFERROR(VLOOKUP($A117,'Dev Patterns'!$B$6:$H$34,VLOOKUP('Plan Figures'!M$2,'Plan Figures'!$B$44:$D$49,3,0),0),1),"-")</f>
        <v>0.65038599628416272</v>
      </c>
      <c r="N117" s="101">
        <f ca="1">IFERROR(N28*IFERROR(VLOOKUP($A117,'Dev Patterns'!$B$6:$H$34,VLOOKUP('Plan Figures'!N$2,'Plan Figures'!$B$44:$D$49,3,0),0),1),"-")</f>
        <v>4070931.6244527525</v>
      </c>
      <c r="O117" s="168">
        <f ca="1">IFERROR(O28*IFERROR(VLOOKUP($A117,'Dev Patterns'!$B$6:$H$34,VLOOKUP('Plan Figures'!O$2,'Plan Figures'!$B$44:$D$49,3,0),0),1),"-")</f>
        <v>574.06474961854019</v>
      </c>
      <c r="P117" s="129">
        <f ca="1">IFERROR(P28*IFERROR(VLOOKUP($A117,'Dev Patterns'!$B$6:$H$34,VLOOKUP('Plan Figures'!P$2,'Plan Figures'!$B$44:$D$49,3,0),0),1),"-")</f>
        <v>770535.64091670548</v>
      </c>
      <c r="Q117" s="56">
        <f ca="1">IFERROR(Q28*IFERROR(VLOOKUP($A117,'Dev Patterns'!$B$6:$H$34,VLOOKUP('Plan Figures'!Q$2,'Plan Figures'!$B$44:$D$49,3,0),0),1),"-")</f>
        <v>0.7394645533292542</v>
      </c>
      <c r="R117" s="101">
        <f ca="1">IFERROR(R28*IFERROR(VLOOKUP($A117,'Dev Patterns'!$B$6:$H$34,VLOOKUP('Plan Figures'!R$2,'Plan Figures'!$B$44:$D$49,3,0),0),1),"-")</f>
        <v>931296.91187776555</v>
      </c>
      <c r="S117" s="168"/>
      <c r="T117" s="129"/>
      <c r="U117" s="56"/>
      <c r="V117" s="101"/>
      <c r="W117" s="168"/>
      <c r="X117" s="129"/>
      <c r="Y117" s="56"/>
      <c r="Z117" s="101"/>
      <c r="AA117" s="168"/>
      <c r="AB117" s="129"/>
      <c r="AC117" s="56"/>
      <c r="AD117" s="101"/>
      <c r="AE117" s="168"/>
      <c r="AF117" s="129"/>
      <c r="AG117" s="56"/>
      <c r="AH117" s="101"/>
      <c r="AI117" s="168"/>
      <c r="AJ117" s="129"/>
      <c r="AK117" s="56"/>
      <c r="AL117" s="101"/>
      <c r="AM117" s="168"/>
      <c r="AN117" s="129"/>
      <c r="AO117" s="56"/>
      <c r="AP117" s="101"/>
    </row>
    <row r="118" spans="1:42" ht="15" customHeight="1" x14ac:dyDescent="0.25">
      <c r="A118" s="101">
        <f t="shared" ca="1" si="11"/>
        <v>10</v>
      </c>
      <c r="B118" s="73">
        <f t="shared" si="7"/>
        <v>45597</v>
      </c>
      <c r="C118" s="168">
        <f t="shared" ca="1" si="12"/>
        <v>4291.0900236660455</v>
      </c>
      <c r="D118" s="129">
        <f t="shared" ca="1" si="8"/>
        <v>5226495.991704585</v>
      </c>
      <c r="E118" s="56">
        <f t="shared" ca="1" si="9"/>
        <v>2.0356558273322158</v>
      </c>
      <c r="F118" s="129">
        <f t="shared" ca="1" si="10"/>
        <v>5575144.8181224335</v>
      </c>
      <c r="G118" s="168">
        <f ca="1">IFERROR(G29*IFERROR(VLOOKUP($A118,'Dev Patterns'!$B$6:$H$34,VLOOKUP('Plan Figures'!G$2,'Plan Figures'!$B$44:$D$49,3,0),0),1),"-")</f>
        <v>1425.1923390241984</v>
      </c>
      <c r="H118" s="129">
        <f ca="1">IFERROR(H29*IFERROR(VLOOKUP($A118,'Dev Patterns'!$B$6:$H$34,VLOOKUP('Plan Figures'!H$2,'Plan Figures'!$B$44:$D$49,3,0),0),1),"-")</f>
        <v>1383525.1445630868</v>
      </c>
      <c r="I118" s="56">
        <f ca="1">IFERROR(I29*IFERROR(VLOOKUP($A118,'Dev Patterns'!$B$6:$H$34,VLOOKUP('Plan Figures'!I$2,'Plan Figures'!$B$44:$D$49,3,0),0),1),"-")</f>
        <v>0.65038599628416272</v>
      </c>
      <c r="J118" s="168">
        <f ca="1">IFERROR(J29*IFERROR(VLOOKUP($A118,'Dev Patterns'!$B$6:$H$34,VLOOKUP('Plan Figures'!J$2,'Plan Figures'!$B$44:$D$49,3,0),0),1),"-")</f>
        <v>1570900.3573864459</v>
      </c>
      <c r="K118" s="168">
        <f ca="1">IFERROR(K29*IFERROR(VLOOKUP($A118,'Dev Patterns'!$B$6:$H$34,VLOOKUP('Plan Figures'!K$2,'Plan Figures'!$B$44:$D$49,3,0),0),1),"-")</f>
        <v>2501.2873707380145</v>
      </c>
      <c r="L118" s="129">
        <f ca="1">IFERROR(L29*IFERROR(VLOOKUP($A118,'Dev Patterns'!$B$6:$H$34,VLOOKUP('Plan Figures'!L$2,'Plan Figures'!$B$44:$D$49,3,0),0),1),"-")</f>
        <v>3357575.122536459</v>
      </c>
      <c r="M118" s="56">
        <f ca="1">IFERROR(M29*IFERROR(VLOOKUP($A118,'Dev Patterns'!$B$6:$H$34,VLOOKUP('Plan Figures'!M$2,'Plan Figures'!$B$44:$D$49,3,0),0),1),"-")</f>
        <v>0.65038599628416272</v>
      </c>
      <c r="N118" s="168">
        <f ca="1">IFERROR(N29*IFERROR(VLOOKUP($A118,'Dev Patterns'!$B$6:$H$34,VLOOKUP('Plan Figures'!N$2,'Plan Figures'!$B$44:$D$49,3,0),0),1),"-")</f>
        <v>3417824.8761652685</v>
      </c>
      <c r="O118" s="168">
        <f ca="1">IFERROR(O29*IFERROR(VLOOKUP($A118,'Dev Patterns'!$B$6:$H$34,VLOOKUP('Plan Figures'!O$2,'Plan Figures'!$B$44:$D$49,3,0),0),1),"-")</f>
        <v>364.6103139038326</v>
      </c>
      <c r="P118" s="129">
        <f ca="1">IFERROR(P29*IFERROR(VLOOKUP($A118,'Dev Patterns'!$B$6:$H$34,VLOOKUP('Plan Figures'!P$2,'Plan Figures'!$B$44:$D$49,3,0),0),1),"-")</f>
        <v>485395.72460503865</v>
      </c>
      <c r="Q118" s="56">
        <f ca="1">IFERROR(Q29*IFERROR(VLOOKUP($A118,'Dev Patterns'!$B$6:$H$34,VLOOKUP('Plan Figures'!Q$2,'Plan Figures'!$B$44:$D$49,3,0),0),1),"-")</f>
        <v>0.73488383476389041</v>
      </c>
      <c r="R118" s="101">
        <f ca="1">IFERROR(R29*IFERROR(VLOOKUP($A118,'Dev Patterns'!$B$6:$H$34,VLOOKUP('Plan Figures'!R$2,'Plan Figures'!$B$44:$D$49,3,0),0),1),"-")</f>
        <v>586419.58457071916</v>
      </c>
      <c r="S118" s="168"/>
      <c r="T118" s="129"/>
      <c r="U118" s="56"/>
      <c r="V118" s="101"/>
      <c r="W118" s="168"/>
      <c r="X118" s="129"/>
      <c r="Y118" s="56"/>
      <c r="Z118" s="101"/>
      <c r="AA118" s="168"/>
      <c r="AB118" s="129"/>
      <c r="AC118" s="56"/>
      <c r="AD118" s="101"/>
      <c r="AE118" s="168"/>
      <c r="AF118" s="129"/>
      <c r="AG118" s="56"/>
      <c r="AH118" s="101"/>
      <c r="AI118" s="168"/>
      <c r="AJ118" s="129"/>
      <c r="AK118" s="56"/>
      <c r="AL118" s="101"/>
      <c r="AM118" s="168"/>
      <c r="AN118" s="129"/>
      <c r="AO118" s="56"/>
      <c r="AP118" s="101"/>
    </row>
    <row r="119" spans="1:42" ht="15" customHeight="1" x14ac:dyDescent="0.25">
      <c r="A119" s="101">
        <f t="shared" ca="1" si="11"/>
        <v>9</v>
      </c>
      <c r="B119" s="198">
        <f t="shared" si="7"/>
        <v>45627</v>
      </c>
      <c r="C119" s="196">
        <f t="shared" ca="1" si="12"/>
        <v>3754.1961423496059</v>
      </c>
      <c r="D119" s="197">
        <f t="shared" ca="1" si="8"/>
        <v>4573524.576856669</v>
      </c>
      <c r="E119" s="41">
        <f t="shared" ca="1" si="9"/>
        <v>2.032367785892514</v>
      </c>
      <c r="F119" s="197">
        <f t="shared" ca="1" si="10"/>
        <v>4837687.2736693304</v>
      </c>
      <c r="G119" s="196">
        <f ca="1">IFERROR(G30*IFERROR(VLOOKUP($A119,'Dev Patterns'!$B$6:$H$34,VLOOKUP('Plan Figures'!G$2,'Plan Figures'!$B$44:$D$49,3,0),0),1),"-")</f>
        <v>1298.3013026498229</v>
      </c>
      <c r="H119" s="197">
        <f ca="1">IFERROR(H30*IFERROR(VLOOKUP($A119,'Dev Patterns'!$B$6:$H$34,VLOOKUP('Plan Figures'!H$2,'Plan Figures'!$B$44:$D$49,3,0),0),1),"-")</f>
        <v>1258196.2084745558</v>
      </c>
      <c r="I119" s="41">
        <f ca="1">IFERROR(I30*IFERROR(VLOOKUP($A119,'Dev Patterns'!$B$6:$H$34,VLOOKUP('Plan Figures'!I$2,'Plan Figures'!$B$44:$D$49,3,0),0),1),"-")</f>
        <v>0.65038599628416272</v>
      </c>
      <c r="J119" s="196">
        <f ca="1">IFERROR(J30*IFERROR(VLOOKUP($A119,'Dev Patterns'!$B$6:$H$34,VLOOKUP('Plan Figures'!J$2,'Plan Figures'!$B$44:$D$49,3,0),0),1),"-")</f>
        <v>1444741.7544349423</v>
      </c>
      <c r="K119" s="196">
        <f ca="1">IFERROR(K30*IFERROR(VLOOKUP($A119,'Dev Patterns'!$B$6:$H$34,VLOOKUP('Plan Figures'!K$2,'Plan Figures'!$B$44:$D$49,3,0),0),1),"-")</f>
        <v>2274.7026177431503</v>
      </c>
      <c r="L119" s="197">
        <f ca="1">IFERROR(L30*IFERROR(VLOOKUP($A119,'Dev Patterns'!$B$6:$H$34,VLOOKUP('Plan Figures'!L$2,'Plan Figures'!$B$44:$D$49,3,0),0),1),"-")</f>
        <v>3081243.9796204995</v>
      </c>
      <c r="M119" s="41">
        <f ca="1">IFERROR(M30*IFERROR(VLOOKUP($A119,'Dev Patterns'!$B$6:$H$34,VLOOKUP('Plan Figures'!M$2,'Plan Figures'!$B$44:$D$49,3,0),0),1),"-")</f>
        <v>0.65038599628416272</v>
      </c>
      <c r="N119" s="196">
        <f ca="1">IFERROR(N30*IFERROR(VLOOKUP($A119,'Dev Patterns'!$B$6:$H$34,VLOOKUP('Plan Figures'!N$2,'Plan Figures'!$B$44:$D$49,3,0),0),1),"-")</f>
        <v>3110105.717152562</v>
      </c>
      <c r="O119" s="168">
        <f ca="1">IFERROR(O30*IFERROR(VLOOKUP($A119,'Dev Patterns'!$B$6:$H$34,VLOOKUP('Plan Figures'!O$2,'Plan Figures'!$B$44:$D$49,3,0),0),1),"-")</f>
        <v>181.19222195663252</v>
      </c>
      <c r="P119" s="129">
        <f ca="1">IFERROR(P30*IFERROR(VLOOKUP($A119,'Dev Patterns'!$B$6:$H$34,VLOOKUP('Plan Figures'!P$2,'Plan Figures'!$B$44:$D$49,3,0),0),1),"-")</f>
        <v>234084.38876161337</v>
      </c>
      <c r="Q119" s="56">
        <f ca="1">IFERROR(Q30*IFERROR(VLOOKUP($A119,'Dev Patterns'!$B$6:$H$34,VLOOKUP('Plan Figures'!Q$2,'Plan Figures'!$B$44:$D$49,3,0),0),1),"-")</f>
        <v>0.73159579332418845</v>
      </c>
      <c r="R119" s="101">
        <f ca="1">IFERROR(R30*IFERROR(VLOOKUP($A119,'Dev Patterns'!$B$6:$H$34,VLOOKUP('Plan Figures'!R$2,'Plan Figures'!$B$44:$D$49,3,0),0),1),"-")</f>
        <v>282839.80208182579</v>
      </c>
      <c r="S119" s="168"/>
      <c r="T119" s="129"/>
      <c r="U119" s="56"/>
      <c r="V119" s="101"/>
      <c r="W119" s="168"/>
      <c r="X119" s="129"/>
      <c r="Y119" s="56"/>
      <c r="Z119" s="101"/>
      <c r="AA119" s="168"/>
      <c r="AB119" s="129"/>
      <c r="AC119" s="56"/>
      <c r="AD119" s="101"/>
      <c r="AE119" s="168"/>
      <c r="AF119" s="129"/>
      <c r="AG119" s="56"/>
      <c r="AH119" s="101"/>
      <c r="AI119" s="168"/>
      <c r="AJ119" s="129"/>
      <c r="AK119" s="56"/>
      <c r="AL119" s="101"/>
      <c r="AM119" s="168"/>
      <c r="AN119" s="129"/>
      <c r="AO119" s="56"/>
      <c r="AP119" s="101"/>
    </row>
    <row r="120" spans="1:42" ht="15" customHeight="1" x14ac:dyDescent="0.25">
      <c r="A120" s="101">
        <f t="shared" ca="1" si="11"/>
        <v>8</v>
      </c>
      <c r="B120" s="73">
        <f t="shared" si="7"/>
        <v>45658</v>
      </c>
      <c r="C120" s="168">
        <f t="shared" ca="1" si="12"/>
        <v>6835.9822408279206</v>
      </c>
      <c r="D120" s="129">
        <f t="shared" ca="1" si="8"/>
        <v>8422631.2659855764</v>
      </c>
      <c r="E120" s="56">
        <f t="shared" ca="1" si="9"/>
        <v>2.13</v>
      </c>
      <c r="F120" s="129">
        <f t="shared" ca="1" si="10"/>
        <v>8796274.2057914324</v>
      </c>
      <c r="G120" s="168">
        <f ca="1">IFERROR(G31*IFERROR(VLOOKUP($A120,'Dev Patterns'!$B$6:$H$34,VLOOKUP('Plan Figures'!G$2,'Plan Figures'!$B$44:$D$49,3,0),0),1),"-")</f>
        <v>2472.7696808006417</v>
      </c>
      <c r="H120" s="129">
        <f ca="1">IFERROR(H31*IFERROR(VLOOKUP($A120,'Dev Patterns'!$B$6:$H$34,VLOOKUP('Plan Figures'!H$2,'Plan Figures'!$B$44:$D$49,3,0),0),1),"-")</f>
        <v>2400885.2272898685</v>
      </c>
      <c r="I120" s="56">
        <f ca="1">IFERROR(I31*IFERROR(VLOOKUP($A120,'Dev Patterns'!$B$6:$H$34,VLOOKUP('Plan Figures'!I$2,'Plan Figures'!$B$44:$D$49,3,0),0),1),"-")</f>
        <v>0.71</v>
      </c>
      <c r="J120" s="168">
        <f ca="1">IFERROR(J31*IFERROR(VLOOKUP($A120,'Dev Patterns'!$B$6:$H$34,VLOOKUP('Plan Figures'!J$2,'Plan Figures'!$B$44:$D$49,3,0),0),1),"-")</f>
        <v>2813707.5390981063</v>
      </c>
      <c r="K120" s="168">
        <f ca="1">IFERROR(K31*IFERROR(VLOOKUP($A120,'Dev Patterns'!$B$6:$H$34,VLOOKUP('Plan Figures'!K$2,'Plan Figures'!$B$44:$D$49,3,0),0),1),"-")</f>
        <v>4334.5242916949601</v>
      </c>
      <c r="L120" s="129">
        <f ca="1">IFERROR(L31*IFERROR(VLOOKUP($A120,'Dev Patterns'!$B$6:$H$34,VLOOKUP('Plan Figures'!L$2,'Plan Figures'!$B$44:$D$49,3,0),0),1),"-")</f>
        <v>5989339.2151456662</v>
      </c>
      <c r="M120" s="56">
        <f ca="1">IFERROR(M31*IFERROR(VLOOKUP($A120,'Dev Patterns'!$B$6:$H$34,VLOOKUP('Plan Figures'!M$2,'Plan Figures'!$B$44:$D$49,3,0),0),1),"-")</f>
        <v>0.71</v>
      </c>
      <c r="N120" s="168">
        <f ca="1">IFERROR(N31*IFERROR(VLOOKUP($A120,'Dev Patterns'!$B$6:$H$34,VLOOKUP('Plan Figures'!N$2,'Plan Figures'!$B$44:$D$49,3,0),0),1),"-")</f>
        <v>5943678.0310066119</v>
      </c>
      <c r="O120" s="168">
        <f ca="1">IFERROR(O31*IFERROR(VLOOKUP($A120,'Dev Patterns'!$B$6:$H$34,VLOOKUP('Plan Figures'!O$2,'Plan Figures'!$B$44:$D$49,3,0),0),1),"-")</f>
        <v>28.688268332318788</v>
      </c>
      <c r="P120" s="129">
        <f ca="1">IFERROR(P31*IFERROR(VLOOKUP($A120,'Dev Patterns'!$B$6:$H$34,VLOOKUP('Plan Figures'!P$2,'Plan Figures'!$B$44:$D$49,3,0),0),1),"-")</f>
        <v>32406.82355004202</v>
      </c>
      <c r="Q120" s="56">
        <f ca="1">IFERROR(Q31*IFERROR(VLOOKUP($A120,'Dev Patterns'!$B$6:$H$34,VLOOKUP('Plan Figures'!Q$2,'Plan Figures'!$B$44:$D$49,3,0),0),1),"-")</f>
        <v>0.71</v>
      </c>
      <c r="R120" s="101">
        <f ca="1">IFERROR(R31*IFERROR(VLOOKUP($A120,'Dev Patterns'!$B$6:$H$34,VLOOKUP('Plan Figures'!R$2,'Plan Figures'!$B$44:$D$49,3,0),0),1),"-")</f>
        <v>38888.635686715003</v>
      </c>
      <c r="S120" s="168"/>
      <c r="T120" s="129"/>
      <c r="U120" s="56"/>
      <c r="V120" s="101"/>
      <c r="W120" s="168"/>
      <c r="X120" s="129"/>
      <c r="Y120" s="56"/>
      <c r="Z120" s="101"/>
      <c r="AA120" s="168"/>
      <c r="AB120" s="129"/>
      <c r="AC120" s="56"/>
      <c r="AD120" s="101"/>
      <c r="AE120" s="168"/>
      <c r="AF120" s="129"/>
      <c r="AG120" s="56"/>
      <c r="AH120" s="101"/>
      <c r="AI120" s="168"/>
      <c r="AJ120" s="129"/>
      <c r="AK120" s="56"/>
      <c r="AL120" s="101"/>
      <c r="AM120" s="168"/>
      <c r="AN120" s="129"/>
      <c r="AO120" s="56"/>
      <c r="AP120" s="101"/>
    </row>
    <row r="121" spans="1:42" x14ac:dyDescent="0.25">
      <c r="A121" s="101">
        <f t="shared" ca="1" si="11"/>
        <v>7</v>
      </c>
      <c r="B121" s="73">
        <f t="shared" ref="B121:B131" si="13">B80</f>
        <v>45689</v>
      </c>
      <c r="C121" s="168">
        <f t="shared" ca="1" si="12"/>
        <v>6835.8746224217311</v>
      </c>
      <c r="D121" s="129">
        <f t="shared" ca="1" si="8"/>
        <v>8526059.9231997393</v>
      </c>
      <c r="E121" s="56">
        <f t="shared" ca="1" si="9"/>
        <v>2.13</v>
      </c>
      <c r="F121" s="129">
        <f t="shared" ca="1" si="10"/>
        <v>8778481.7548257373</v>
      </c>
      <c r="G121" s="168">
        <f ca="1">IFERROR(G32*IFERROR(VLOOKUP($A121,'Dev Patterns'!$B$6:$H$34,VLOOKUP('Plan Figures'!G$2,'Plan Figures'!$B$44:$D$49,3,0),0),1),"-")</f>
        <v>2481.1163302429786</v>
      </c>
      <c r="H121" s="129">
        <f ca="1">IFERROR(H32*IFERROR(VLOOKUP($A121,'Dev Patterns'!$B$6:$H$34,VLOOKUP('Plan Figures'!H$2,'Plan Figures'!$B$44:$D$49,3,0),0),1),"-")</f>
        <v>2405086.8791497727</v>
      </c>
      <c r="I121" s="56">
        <f ca="1">IFERROR(I32*IFERROR(VLOOKUP($A121,'Dev Patterns'!$B$6:$H$34,VLOOKUP('Plan Figures'!I$2,'Plan Figures'!$B$44:$D$49,3,0),0),1),"-")</f>
        <v>0.71</v>
      </c>
      <c r="J121" s="168">
        <f ca="1">IFERROR(J32*IFERROR(VLOOKUP($A121,'Dev Patterns'!$B$6:$H$34,VLOOKUP('Plan Figures'!J$2,'Plan Figures'!$B$44:$D$49,3,0),0),1),"-")</f>
        <v>2826813.8095009294</v>
      </c>
      <c r="K121" s="168">
        <f ca="1">IFERROR(K32*IFERROR(VLOOKUP($A121,'Dev Patterns'!$B$6:$H$34,VLOOKUP('Plan Figures'!K$2,'Plan Figures'!$B$44:$D$49,3,0),0),1),"-")</f>
        <v>4354.7582921787525</v>
      </c>
      <c r="L121" s="129">
        <f ca="1">IFERROR(L32*IFERROR(VLOOKUP($A121,'Dev Patterns'!$B$6:$H$34,VLOOKUP('Plan Figures'!L$2,'Plan Figures'!$B$44:$D$49,3,0),0),1),"-")</f>
        <v>6120973.0440499661</v>
      </c>
      <c r="M121" s="56">
        <f ca="1">IFERROR(M32*IFERROR(VLOOKUP($A121,'Dev Patterns'!$B$6:$H$34,VLOOKUP('Plan Figures'!M$2,'Plan Figures'!$B$44:$D$49,3,0),0),1),"-")</f>
        <v>0.71</v>
      </c>
      <c r="N121" s="168">
        <f ca="1">IFERROR(N32*IFERROR(VLOOKUP($A121,'Dev Patterns'!$B$6:$H$34,VLOOKUP('Plan Figures'!N$2,'Plan Figures'!$B$44:$D$49,3,0),0),1),"-")</f>
        <v>5951667.9453248084</v>
      </c>
      <c r="O121" s="168">
        <f ca="1">IFERROR(O32*IFERROR(VLOOKUP($A121,'Dev Patterns'!$B$6:$H$34,VLOOKUP('Plan Figures'!O$2,'Plan Figures'!$B$44:$D$49,3,0),0),1),"-")</f>
        <v>0</v>
      </c>
      <c r="P121" s="129">
        <f ca="1">IFERROR(P32*IFERROR(VLOOKUP($A121,'Dev Patterns'!$B$6:$H$34,VLOOKUP('Plan Figures'!P$2,'Plan Figures'!$B$44:$D$49,3,0),0),1),"-")</f>
        <v>0</v>
      </c>
      <c r="Q121" s="56">
        <f ca="1">IFERROR(Q32*IFERROR(VLOOKUP($A121,'Dev Patterns'!$B$6:$H$34,VLOOKUP('Plan Figures'!Q$2,'Plan Figures'!$B$44:$D$49,3,0),0),1),"-")</f>
        <v>0.71</v>
      </c>
      <c r="R121" s="101">
        <f ca="1">IFERROR(R32*IFERROR(VLOOKUP($A121,'Dev Patterns'!$B$6:$H$34,VLOOKUP('Plan Figures'!R$2,'Plan Figures'!$B$44:$D$49,3,0),0),1),"-")</f>
        <v>0</v>
      </c>
    </row>
    <row r="122" spans="1:42" x14ac:dyDescent="0.25">
      <c r="A122" s="101">
        <f t="shared" ca="1" si="11"/>
        <v>6</v>
      </c>
      <c r="B122" s="73">
        <f t="shared" si="13"/>
        <v>45717</v>
      </c>
      <c r="C122" s="168">
        <f t="shared" ca="1" si="12"/>
        <v>6879.4666384876446</v>
      </c>
      <c r="D122" s="129">
        <f t="shared" ca="1" si="8"/>
        <v>8670064.0370275285</v>
      </c>
      <c r="E122" s="56">
        <f t="shared" ca="1" si="9"/>
        <v>2.13</v>
      </c>
      <c r="F122" s="129">
        <f t="shared" ca="1" si="10"/>
        <v>8796105.0135033187</v>
      </c>
      <c r="G122" s="168">
        <f ca="1">IFERROR(G33*IFERROR(VLOOKUP($A122,'Dev Patterns'!$B$6:$H$34,VLOOKUP('Plan Figures'!G$2,'Plan Figures'!$B$44:$D$49,3,0),0),1),"-")</f>
        <v>2494.3237804562077</v>
      </c>
      <c r="H122" s="129">
        <f ca="1">IFERROR(H33*IFERROR(VLOOKUP($A122,'Dev Patterns'!$B$6:$H$34,VLOOKUP('Plan Figures'!H$2,'Plan Figures'!$B$44:$D$49,3,0),0),1),"-")</f>
        <v>2411541.0369314938</v>
      </c>
      <c r="I122" s="56">
        <f ca="1">IFERROR(I33*IFERROR(VLOOKUP($A122,'Dev Patterns'!$B$6:$H$34,VLOOKUP('Plan Figures'!I$2,'Plan Figures'!$B$44:$D$49,3,0),0),1),"-")</f>
        <v>0.71</v>
      </c>
      <c r="J122" s="168">
        <f ca="1">IFERROR(J33*IFERROR(VLOOKUP($A122,'Dev Patterns'!$B$6:$H$34,VLOOKUP('Plan Figures'!J$2,'Plan Figures'!$B$44:$D$49,3,0),0),1),"-")</f>
        <v>2835230.7308401056</v>
      </c>
      <c r="K122" s="168">
        <f ca="1">IFERROR(K33*IFERROR(VLOOKUP($A122,'Dev Patterns'!$B$6:$H$34,VLOOKUP('Plan Figures'!K$2,'Plan Figures'!$B$44:$D$49,3,0),0),1),"-")</f>
        <v>4385.1428580314368</v>
      </c>
      <c r="L122" s="129">
        <f ca="1">IFERROR(L33*IFERROR(VLOOKUP($A122,'Dev Patterns'!$B$6:$H$34,VLOOKUP('Plan Figures'!L$2,'Plan Figures'!$B$44:$D$49,3,0),0),1),"-")</f>
        <v>6258523.0000960343</v>
      </c>
      <c r="M122" s="56">
        <f ca="1">IFERROR(M33*IFERROR(VLOOKUP($A122,'Dev Patterns'!$B$6:$H$34,VLOOKUP('Plan Figures'!M$2,'Plan Figures'!$B$44:$D$49,3,0),0),1),"-")</f>
        <v>0.71</v>
      </c>
      <c r="N122" s="168">
        <f ca="1">IFERROR(N33*IFERROR(VLOOKUP($A122,'Dev Patterns'!$B$6:$H$34,VLOOKUP('Plan Figures'!N$2,'Plan Figures'!$B$44:$D$49,3,0),0),1),"-")</f>
        <v>5960874.2826632131</v>
      </c>
      <c r="O122" s="168">
        <f ca="1">IFERROR(O33*IFERROR(VLOOKUP($A122,'Dev Patterns'!$B$6:$H$34,VLOOKUP('Plan Figures'!O$2,'Plan Figures'!$B$44:$D$49,3,0),0),1),"-")</f>
        <v>0</v>
      </c>
      <c r="P122" s="129">
        <f ca="1">IFERROR(P33*IFERROR(VLOOKUP($A122,'Dev Patterns'!$B$6:$H$34,VLOOKUP('Plan Figures'!P$2,'Plan Figures'!$B$44:$D$49,3,0),0),1),"-")</f>
        <v>0</v>
      </c>
      <c r="Q122" s="56">
        <f ca="1">IFERROR(Q33*IFERROR(VLOOKUP($A122,'Dev Patterns'!$B$6:$H$34,VLOOKUP('Plan Figures'!Q$2,'Plan Figures'!$B$44:$D$49,3,0),0),1),"-")</f>
        <v>0.71</v>
      </c>
      <c r="R122" s="101">
        <f ca="1">IFERROR(R33*IFERROR(VLOOKUP($A122,'Dev Patterns'!$B$6:$H$34,VLOOKUP('Plan Figures'!R$2,'Plan Figures'!$B$44:$D$49,3,0),0),1),"-")</f>
        <v>0</v>
      </c>
    </row>
    <row r="123" spans="1:42" x14ac:dyDescent="0.25">
      <c r="A123" s="101">
        <f t="shared" ca="1" si="11"/>
        <v>5</v>
      </c>
      <c r="B123" s="73">
        <f t="shared" si="13"/>
        <v>45748</v>
      </c>
      <c r="C123" s="168">
        <f t="shared" ca="1" si="12"/>
        <v>6096.8262451461442</v>
      </c>
      <c r="D123" s="129">
        <f t="shared" ca="1" si="8"/>
        <v>3748670.1123780021</v>
      </c>
      <c r="E123" s="56">
        <f t="shared" ca="1" si="9"/>
        <v>2.0699999999999998</v>
      </c>
      <c r="F123" s="129">
        <f t="shared" ca="1" si="10"/>
        <v>3513901.2731488929</v>
      </c>
      <c r="G123" s="168">
        <f ca="1">IFERROR(G34*IFERROR(VLOOKUP($A123,'Dev Patterns'!$B$6:$H$34,VLOOKUP('Plan Figures'!G$2,'Plan Figures'!$B$44:$D$49,3,0),0),1),"-")</f>
        <v>2208.3088338858024</v>
      </c>
      <c r="H123" s="129">
        <f ca="1">IFERROR(H34*IFERROR(VLOOKUP($A123,'Dev Patterns'!$B$6:$H$34,VLOOKUP('Plan Figures'!H$2,'Plan Figures'!$B$44:$D$49,3,0),0),1),"-")</f>
        <v>677991.49301228079</v>
      </c>
      <c r="I123" s="56">
        <f ca="1">IFERROR(I34*IFERROR(VLOOKUP($A123,'Dev Patterns'!$B$6:$H$34,VLOOKUP('Plan Figures'!I$2,'Plan Figures'!$B$44:$D$49,3,0),0),1),"-")</f>
        <v>0.69</v>
      </c>
      <c r="J123" s="168">
        <f ca="1">IFERROR(J34*IFERROR(VLOOKUP($A123,'Dev Patterns'!$B$6:$H$34,VLOOKUP('Plan Figures'!J$2,'Plan Figures'!$B$44:$D$49,3,0),0),1),"-")</f>
        <v>702780.25462977856</v>
      </c>
      <c r="K123" s="168">
        <f ca="1">IFERROR(K34*IFERROR(VLOOKUP($A123,'Dev Patterns'!$B$6:$H$34,VLOOKUP('Plan Figures'!K$2,'Plan Figures'!$B$44:$D$49,3,0),0),1),"-")</f>
        <v>3888.5174112603418</v>
      </c>
      <c r="L123" s="129">
        <f ca="1">IFERROR(L34*IFERROR(VLOOKUP($A123,'Dev Patterns'!$B$6:$H$34,VLOOKUP('Plan Figures'!L$2,'Plan Figures'!$B$44:$D$49,3,0),0),1),"-")</f>
        <v>3070678.6193657215</v>
      </c>
      <c r="M123" s="56">
        <f ca="1">IFERROR(M34*IFERROR(VLOOKUP($A123,'Dev Patterns'!$B$6:$H$34,VLOOKUP('Plan Figures'!M$2,'Plan Figures'!$B$44:$D$49,3,0),0),1),"-")</f>
        <v>0.69</v>
      </c>
      <c r="N123" s="168">
        <f ca="1">IFERROR(N34*IFERROR(VLOOKUP($A123,'Dev Patterns'!$B$6:$H$34,VLOOKUP('Plan Figures'!N$2,'Plan Figures'!$B$44:$D$49,3,0),0),1),"-")</f>
        <v>2811121.0185191142</v>
      </c>
      <c r="O123" s="168">
        <f ca="1">IFERROR(O34*IFERROR(VLOOKUP($A123,'Dev Patterns'!$B$6:$H$34,VLOOKUP('Plan Figures'!O$2,'Plan Figures'!$B$44:$D$49,3,0),0),1),"-")</f>
        <v>0</v>
      </c>
      <c r="P123" s="129">
        <f ca="1">IFERROR(P34*IFERROR(VLOOKUP($A123,'Dev Patterns'!$B$6:$H$34,VLOOKUP('Plan Figures'!P$2,'Plan Figures'!$B$44:$D$49,3,0),0),1),"-")</f>
        <v>0</v>
      </c>
      <c r="Q123" s="56">
        <f ca="1">IFERROR(Q34*IFERROR(VLOOKUP($A123,'Dev Patterns'!$B$6:$H$34,VLOOKUP('Plan Figures'!Q$2,'Plan Figures'!$B$44:$D$49,3,0),0),1),"-")</f>
        <v>0.69</v>
      </c>
      <c r="R123" s="101">
        <f ca="1">IFERROR(R34*IFERROR(VLOOKUP($A123,'Dev Patterns'!$B$6:$H$34,VLOOKUP('Plan Figures'!R$2,'Plan Figures'!$B$44:$D$49,3,0),0),1),"-")</f>
        <v>0</v>
      </c>
    </row>
    <row r="124" spans="1:42" x14ac:dyDescent="0.25">
      <c r="A124" s="101">
        <f t="shared" ca="1" si="11"/>
        <v>4</v>
      </c>
      <c r="B124" s="73">
        <f t="shared" si="13"/>
        <v>45778</v>
      </c>
      <c r="C124" s="168">
        <f t="shared" ca="1" si="12"/>
        <v>6132.6121629325808</v>
      </c>
      <c r="D124" s="129">
        <f t="shared" ca="1" si="8"/>
        <v>3975833.8400942683</v>
      </c>
      <c r="E124" s="56">
        <f t="shared" ca="1" si="9"/>
        <v>2.0699999999999998</v>
      </c>
      <c r="F124" s="129">
        <f t="shared" ca="1" si="10"/>
        <v>3674877.5232230835</v>
      </c>
      <c r="G124" s="168">
        <f ca="1">IFERROR(G35*IFERROR(VLOOKUP($A124,'Dev Patterns'!$B$6:$H$34,VLOOKUP('Plan Figures'!G$2,'Plan Figures'!$B$44:$D$49,3,0),0),1),"-")</f>
        <v>2223.2301977778543</v>
      </c>
      <c r="H124" s="129">
        <f ca="1">IFERROR(H35*IFERROR(VLOOKUP($A124,'Dev Patterns'!$B$6:$H$34,VLOOKUP('Plan Figures'!H$2,'Plan Figures'!$B$44:$D$49,3,0),0),1),"-")</f>
        <v>709226.73728163785</v>
      </c>
      <c r="I124" s="56">
        <f ca="1">IFERROR(I35*IFERROR(VLOOKUP($A124,'Dev Patterns'!$B$6:$H$34,VLOOKUP('Plan Figures'!I$2,'Plan Figures'!$B$44:$D$49,3,0),0),1),"-")</f>
        <v>0.69</v>
      </c>
      <c r="J124" s="168">
        <f ca="1">IFERROR(J35*IFERROR(VLOOKUP($A124,'Dev Patterns'!$B$6:$H$34,VLOOKUP('Plan Figures'!J$2,'Plan Figures'!$B$44:$D$49,3,0),0),1),"-")</f>
        <v>734975.50464461674</v>
      </c>
      <c r="K124" s="168">
        <f ca="1">IFERROR(K35*IFERROR(VLOOKUP($A124,'Dev Patterns'!$B$6:$H$34,VLOOKUP('Plan Figures'!K$2,'Plan Figures'!$B$44:$D$49,3,0),0),1),"-")</f>
        <v>3909.3819651547269</v>
      </c>
      <c r="L124" s="129">
        <f ca="1">IFERROR(L35*IFERROR(VLOOKUP($A124,'Dev Patterns'!$B$6:$H$34,VLOOKUP('Plan Figures'!L$2,'Plan Figures'!$B$44:$D$49,3,0),0),1),"-")</f>
        <v>3266607.1028126306</v>
      </c>
      <c r="M124" s="56">
        <f ca="1">IFERROR(M35*IFERROR(VLOOKUP($A124,'Dev Patterns'!$B$6:$H$34,VLOOKUP('Plan Figures'!M$2,'Plan Figures'!$B$44:$D$49,3,0),0),1),"-")</f>
        <v>0.69</v>
      </c>
      <c r="N124" s="168">
        <f ca="1">IFERROR(N35*IFERROR(VLOOKUP($A124,'Dev Patterns'!$B$6:$H$34,VLOOKUP('Plan Figures'!N$2,'Plan Figures'!$B$44:$D$49,3,0),0),1),"-")</f>
        <v>2939902.018578467</v>
      </c>
      <c r="O124" s="168">
        <f ca="1">IFERROR(O35*IFERROR(VLOOKUP($A124,'Dev Patterns'!$B$6:$H$34,VLOOKUP('Plan Figures'!O$2,'Plan Figures'!$B$44:$D$49,3,0),0),1),"-")</f>
        <v>0</v>
      </c>
      <c r="P124" s="129">
        <f ca="1">IFERROR(P35*IFERROR(VLOOKUP($A124,'Dev Patterns'!$B$6:$H$34,VLOOKUP('Plan Figures'!P$2,'Plan Figures'!$B$44:$D$49,3,0),0),1),"-")</f>
        <v>0</v>
      </c>
      <c r="Q124" s="56">
        <f ca="1">IFERROR(Q35*IFERROR(VLOOKUP($A124,'Dev Patterns'!$B$6:$H$34,VLOOKUP('Plan Figures'!Q$2,'Plan Figures'!$B$44:$D$49,3,0),0),1),"-")</f>
        <v>0.69</v>
      </c>
      <c r="R124" s="101">
        <f ca="1">IFERROR(R35*IFERROR(VLOOKUP($A124,'Dev Patterns'!$B$6:$H$34,VLOOKUP('Plan Figures'!R$2,'Plan Figures'!$B$44:$D$49,3,0),0),1),"-")</f>
        <v>0</v>
      </c>
    </row>
    <row r="125" spans="1:42" x14ac:dyDescent="0.25">
      <c r="A125" s="101">
        <f t="shared" ca="1" si="11"/>
        <v>3</v>
      </c>
      <c r="B125" s="73">
        <f t="shared" si="13"/>
        <v>45809</v>
      </c>
      <c r="C125" s="168">
        <f t="shared" ca="1" si="12"/>
        <v>6161.4034433182833</v>
      </c>
      <c r="D125" s="129">
        <f t="shared" ca="1" si="8"/>
        <v>4049183.9733715118</v>
      </c>
      <c r="E125" s="56">
        <f t="shared" ca="1" si="9"/>
        <v>2.0699999999999998</v>
      </c>
      <c r="F125" s="129">
        <f t="shared" ca="1" si="10"/>
        <v>3652616.817137341</v>
      </c>
      <c r="G125" s="168">
        <f ca="1">IFERROR(G36*IFERROR(VLOOKUP($A125,'Dev Patterns'!$B$6:$H$34,VLOOKUP('Plan Figures'!G$2,'Plan Figures'!$B$44:$D$49,3,0),0),1),"-")</f>
        <v>2238.3292006103952</v>
      </c>
      <c r="H125" s="129">
        <f ca="1">IFERROR(H36*IFERROR(VLOOKUP($A125,'Dev Patterns'!$B$6:$H$34,VLOOKUP('Plan Figures'!H$2,'Plan Figures'!$B$44:$D$49,3,0),0),1),"-")</f>
        <v>705428.80657560041</v>
      </c>
      <c r="I125" s="56">
        <f ca="1">IFERROR(I36*IFERROR(VLOOKUP($A125,'Dev Patterns'!$B$6:$H$34,VLOOKUP('Plan Figures'!I$2,'Plan Figures'!$B$44:$D$49,3,0),0),1),"-")</f>
        <v>0.69</v>
      </c>
      <c r="J125" s="168">
        <f ca="1">IFERROR(J36*IFERROR(VLOOKUP($A125,'Dev Patterns'!$B$6:$H$34,VLOOKUP('Plan Figures'!J$2,'Plan Figures'!$B$44:$D$49,3,0),0),1),"-")</f>
        <v>730523.36342746823</v>
      </c>
      <c r="K125" s="168">
        <f ca="1">IFERROR(K36*IFERROR(VLOOKUP($A125,'Dev Patterns'!$B$6:$H$34,VLOOKUP('Plan Figures'!K$2,'Plan Figures'!$B$44:$D$49,3,0),0),1),"-")</f>
        <v>3923.0742427078881</v>
      </c>
      <c r="L125" s="129">
        <f ca="1">IFERROR(L36*IFERROR(VLOOKUP($A125,'Dev Patterns'!$B$6:$H$34,VLOOKUP('Plan Figures'!L$2,'Plan Figures'!$B$44:$D$49,3,0),0),1),"-")</f>
        <v>3343755.1667959113</v>
      </c>
      <c r="M125" s="56">
        <f ca="1">IFERROR(M36*IFERROR(VLOOKUP($A125,'Dev Patterns'!$B$6:$H$34,VLOOKUP('Plan Figures'!M$2,'Plan Figures'!$B$44:$D$49,3,0),0),1),"-")</f>
        <v>0.69</v>
      </c>
      <c r="N125" s="168">
        <f ca="1">IFERROR(N36*IFERROR(VLOOKUP($A125,'Dev Patterns'!$B$6:$H$34,VLOOKUP('Plan Figures'!N$2,'Plan Figures'!$B$44:$D$49,3,0),0),1),"-")</f>
        <v>2922093.4537098729</v>
      </c>
      <c r="O125" s="168">
        <f ca="1">IFERROR(O36*IFERROR(VLOOKUP($A125,'Dev Patterns'!$B$6:$H$34,VLOOKUP('Plan Figures'!O$2,'Plan Figures'!$B$44:$D$49,3,0),0),1),"-")</f>
        <v>0</v>
      </c>
      <c r="P125" s="129">
        <f ca="1">IFERROR(P36*IFERROR(VLOOKUP($A125,'Dev Patterns'!$B$6:$H$34,VLOOKUP('Plan Figures'!P$2,'Plan Figures'!$B$44:$D$49,3,0),0),1),"-")</f>
        <v>0</v>
      </c>
      <c r="Q125" s="56">
        <f ca="1">IFERROR(Q36*IFERROR(VLOOKUP($A125,'Dev Patterns'!$B$6:$H$34,VLOOKUP('Plan Figures'!Q$2,'Plan Figures'!$B$44:$D$49,3,0),0),1),"-")</f>
        <v>0.69</v>
      </c>
      <c r="R125" s="101">
        <f ca="1">IFERROR(R36*IFERROR(VLOOKUP($A125,'Dev Patterns'!$B$6:$H$34,VLOOKUP('Plan Figures'!R$2,'Plan Figures'!$B$44:$D$49,3,0),0),1),"-")</f>
        <v>0</v>
      </c>
    </row>
    <row r="126" spans="1:42" x14ac:dyDescent="0.25">
      <c r="A126" s="101">
        <f t="shared" ca="1" si="11"/>
        <v>2</v>
      </c>
      <c r="B126" s="73">
        <f t="shared" si="13"/>
        <v>45839</v>
      </c>
      <c r="C126" s="168">
        <f t="shared" ca="1" si="12"/>
        <v>6238.3005191797802</v>
      </c>
      <c r="D126" s="129">
        <f t="shared" ca="1" si="8"/>
        <v>4396426.0532451477</v>
      </c>
      <c r="E126" s="56">
        <f t="shared" ca="1" si="9"/>
        <v>2.0100000000000002</v>
      </c>
      <c r="F126" s="129">
        <f t="shared" ca="1" si="10"/>
        <v>3912306.5038814633</v>
      </c>
      <c r="G126" s="168">
        <f ca="1">IFERROR(G37*IFERROR(VLOOKUP($A126,'Dev Patterns'!$B$6:$H$34,VLOOKUP('Plan Figures'!G$2,'Plan Figures'!$B$44:$D$49,3,0),0),1),"-")</f>
        <v>2279.853474226014</v>
      </c>
      <c r="H126" s="129">
        <f ca="1">IFERROR(H37*IFERROR(VLOOKUP($A126,'Dev Patterns'!$B$6:$H$34,VLOOKUP('Plan Figures'!H$2,'Plan Figures'!$B$44:$D$49,3,0),0),1),"-")</f>
        <v>756339.23139095912</v>
      </c>
      <c r="I126" s="56">
        <f ca="1">IFERROR(I37*IFERROR(VLOOKUP($A126,'Dev Patterns'!$B$6:$H$34,VLOOKUP('Plan Figures'!I$2,'Plan Figures'!$B$44:$D$49,3,0),0),1),"-")</f>
        <v>0.67</v>
      </c>
      <c r="J126" s="168">
        <f ca="1">IFERROR(J37*IFERROR(VLOOKUP($A126,'Dev Patterns'!$B$6:$H$34,VLOOKUP('Plan Figures'!J$2,'Plan Figures'!$B$44:$D$49,3,0),0),1),"-")</f>
        <v>782461.30077629269</v>
      </c>
      <c r="K126" s="168">
        <f ca="1">IFERROR(K37*IFERROR(VLOOKUP($A126,'Dev Patterns'!$B$6:$H$34,VLOOKUP('Plan Figures'!K$2,'Plan Figures'!$B$44:$D$49,3,0),0),1),"-")</f>
        <v>3958.4470449537657</v>
      </c>
      <c r="L126" s="129">
        <f ca="1">IFERROR(L37*IFERROR(VLOOKUP($A126,'Dev Patterns'!$B$6:$H$34,VLOOKUP('Plan Figures'!L$2,'Plan Figures'!$B$44:$D$49,3,0),0),1),"-")</f>
        <v>3640086.821854189</v>
      </c>
      <c r="M126" s="56">
        <f ca="1">IFERROR(M37*IFERROR(VLOOKUP($A126,'Dev Patterns'!$B$6:$H$34,VLOOKUP('Plan Figures'!M$2,'Plan Figures'!$B$44:$D$49,3,0),0),1),"-")</f>
        <v>0.67</v>
      </c>
      <c r="N126" s="168">
        <f ca="1">IFERROR(N37*IFERROR(VLOOKUP($A126,'Dev Patterns'!$B$6:$H$34,VLOOKUP('Plan Figures'!N$2,'Plan Figures'!$B$44:$D$49,3,0),0),1),"-")</f>
        <v>3129845.2031051707</v>
      </c>
      <c r="O126" s="168">
        <f ca="1">IFERROR(O37*IFERROR(VLOOKUP($A126,'Dev Patterns'!$B$6:$H$34,VLOOKUP('Plan Figures'!O$2,'Plan Figures'!$B$44:$D$49,3,0),0),1),"-")</f>
        <v>0</v>
      </c>
      <c r="P126" s="129">
        <f ca="1">IFERROR(P37*IFERROR(VLOOKUP($A126,'Dev Patterns'!$B$6:$H$34,VLOOKUP('Plan Figures'!P$2,'Plan Figures'!$B$44:$D$49,3,0),0),1),"-")</f>
        <v>0</v>
      </c>
      <c r="Q126" s="56">
        <f ca="1">IFERROR(Q37*IFERROR(VLOOKUP($A126,'Dev Patterns'!$B$6:$H$34,VLOOKUP('Plan Figures'!Q$2,'Plan Figures'!$B$44:$D$49,3,0),0),1),"-")</f>
        <v>0.67</v>
      </c>
      <c r="R126" s="101">
        <f ca="1">IFERROR(R37*IFERROR(VLOOKUP($A126,'Dev Patterns'!$B$6:$H$34,VLOOKUP('Plan Figures'!R$2,'Plan Figures'!$B$44:$D$49,3,0),0),1),"-")</f>
        <v>0</v>
      </c>
    </row>
    <row r="127" spans="1:42" x14ac:dyDescent="0.25">
      <c r="A127" s="101">
        <f t="shared" ca="1" si="11"/>
        <v>1</v>
      </c>
      <c r="B127" s="73">
        <f t="shared" si="13"/>
        <v>45870</v>
      </c>
      <c r="C127" s="168">
        <f t="shared" ca="1" si="12"/>
        <v>6315.7757878176863</v>
      </c>
      <c r="D127" s="129">
        <f t="shared" ca="1" si="8"/>
        <v>4644028.8057200154</v>
      </c>
      <c r="E127" s="56">
        <f t="shared" ca="1" si="9"/>
        <v>2.0100000000000002</v>
      </c>
      <c r="F127" s="129">
        <f t="shared" ca="1" si="10"/>
        <v>4083145.5596046015</v>
      </c>
      <c r="G127" s="168">
        <f ca="1">IFERROR(G38*IFERROR(VLOOKUP($A127,'Dev Patterns'!$B$6:$H$34,VLOOKUP('Plan Figures'!G$2,'Plan Figures'!$B$44:$D$49,3,0),0),1),"-")</f>
        <v>2307.8968137253173</v>
      </c>
      <c r="H127" s="129">
        <f ca="1">IFERROR(H38*IFERROR(VLOOKUP($A127,'Dev Patterns'!$B$6:$H$34,VLOOKUP('Plan Figures'!H$2,'Plan Figures'!$B$44:$D$49,3,0),0),1),"-")</f>
        <v>789706.60054368211</v>
      </c>
      <c r="I127" s="56">
        <f ca="1">IFERROR(I38*IFERROR(VLOOKUP($A127,'Dev Patterns'!$B$6:$H$34,VLOOKUP('Plan Figures'!I$2,'Plan Figures'!$B$44:$D$49,3,0),0),1),"-")</f>
        <v>0.67</v>
      </c>
      <c r="J127" s="168">
        <f ca="1">IFERROR(J38*IFERROR(VLOOKUP($A127,'Dev Patterns'!$B$6:$H$34,VLOOKUP('Plan Figures'!J$2,'Plan Figures'!$B$44:$D$49,3,0),0),1),"-")</f>
        <v>816629.11192092032</v>
      </c>
      <c r="K127" s="168">
        <f ca="1">IFERROR(K38*IFERROR(VLOOKUP($A127,'Dev Patterns'!$B$6:$H$34,VLOOKUP('Plan Figures'!K$2,'Plan Figures'!$B$44:$D$49,3,0),0),1),"-")</f>
        <v>4007.8789740923689</v>
      </c>
      <c r="L127" s="129">
        <f ca="1">IFERROR(L38*IFERROR(VLOOKUP($A127,'Dev Patterns'!$B$6:$H$34,VLOOKUP('Plan Figures'!L$2,'Plan Figures'!$B$44:$D$49,3,0),0),1),"-")</f>
        <v>3854322.205176333</v>
      </c>
      <c r="M127" s="56">
        <f ca="1">IFERROR(M38*IFERROR(VLOOKUP($A127,'Dev Patterns'!$B$6:$H$34,VLOOKUP('Plan Figures'!M$2,'Plan Figures'!$B$44:$D$49,3,0),0),1),"-")</f>
        <v>0.67</v>
      </c>
      <c r="N127" s="168">
        <f ca="1">IFERROR(N38*IFERROR(VLOOKUP($A127,'Dev Patterns'!$B$6:$H$34,VLOOKUP('Plan Figures'!N$2,'Plan Figures'!$B$44:$D$49,3,0),0),1),"-")</f>
        <v>3266516.4476836813</v>
      </c>
      <c r="O127" s="168">
        <f ca="1">IFERROR(O38*IFERROR(VLOOKUP($A127,'Dev Patterns'!$B$6:$H$34,VLOOKUP('Plan Figures'!O$2,'Plan Figures'!$B$44:$D$49,3,0),0),1),"-")</f>
        <v>0</v>
      </c>
      <c r="P127" s="129">
        <f ca="1">IFERROR(P38*IFERROR(VLOOKUP($A127,'Dev Patterns'!$B$6:$H$34,VLOOKUP('Plan Figures'!P$2,'Plan Figures'!$B$44:$D$49,3,0),0),1),"-")</f>
        <v>0</v>
      </c>
      <c r="Q127" s="56">
        <f ca="1">IFERROR(Q38*IFERROR(VLOOKUP($A127,'Dev Patterns'!$B$6:$H$34,VLOOKUP('Plan Figures'!Q$2,'Plan Figures'!$B$44:$D$49,3,0),0),1),"-")</f>
        <v>0.67</v>
      </c>
      <c r="R127" s="101">
        <f ca="1">IFERROR(R38*IFERROR(VLOOKUP($A127,'Dev Patterns'!$B$6:$H$34,VLOOKUP('Plan Figures'!R$2,'Plan Figures'!$B$44:$D$49,3,0),0),1),"-")</f>
        <v>0</v>
      </c>
    </row>
    <row r="128" spans="1:42" x14ac:dyDescent="0.25">
      <c r="A128" s="101" t="e">
        <f t="shared" ca="1" si="11"/>
        <v>#N/A</v>
      </c>
      <c r="B128" s="73">
        <f t="shared" si="13"/>
        <v>45901</v>
      </c>
      <c r="C128" s="168">
        <f t="shared" ca="1" si="12"/>
        <v>5932.4171858639183</v>
      </c>
      <c r="D128" s="129">
        <f t="shared" ca="1" si="8"/>
        <v>3764534.768566445</v>
      </c>
      <c r="E128" s="56">
        <f t="shared" ca="1" si="9"/>
        <v>2.0100000000000002</v>
      </c>
      <c r="F128" s="129">
        <f t="shared" ca="1" si="10"/>
        <v>3891375.6504445011</v>
      </c>
      <c r="G128" s="168">
        <f ca="1">IFERROR(G39*IFERROR(VLOOKUP($A128,'Dev Patterns'!$B$6:$H$34,VLOOKUP('Plan Figures'!G$2,'Plan Figures'!$B$44:$D$49,3,0),0),1),"-")</f>
        <v>2168.1545962418945</v>
      </c>
      <c r="H128" s="129">
        <f ca="1">IFERROR(H39*IFERROR(VLOOKUP($A128,'Dev Patterns'!$B$6:$H$34,VLOOKUP('Plan Figures'!H$2,'Plan Figures'!$B$44:$D$49,3,0),0),1),"-")</f>
        <v>752906.953713289</v>
      </c>
      <c r="I128" s="56">
        <f ca="1">IFERROR(I39*IFERROR(VLOOKUP($A128,'Dev Patterns'!$B$6:$H$34,VLOOKUP('Plan Figures'!I$2,'Plan Figures'!$B$44:$D$49,3,0),0),1),"-")</f>
        <v>0.67</v>
      </c>
      <c r="J128" s="168">
        <f ca="1">IFERROR(J39*IFERROR(VLOOKUP($A128,'Dev Patterns'!$B$6:$H$34,VLOOKUP('Plan Figures'!J$2,'Plan Figures'!$B$44:$D$49,3,0),0),1),"-")</f>
        <v>778275.13008890022</v>
      </c>
      <c r="K128" s="168">
        <f ca="1">IFERROR(K39*IFERROR(VLOOKUP($A128,'Dev Patterns'!$B$6:$H$34,VLOOKUP('Plan Figures'!K$2,'Plan Figures'!$B$44:$D$49,3,0),0),1),"-")</f>
        <v>3764.2625896220243</v>
      </c>
      <c r="L128" s="129">
        <f ca="1">IFERROR(L39*IFERROR(VLOOKUP($A128,'Dev Patterns'!$B$6:$H$34,VLOOKUP('Plan Figures'!L$2,'Plan Figures'!$B$44:$D$49,3,0),0),1),"-")</f>
        <v>3011627.814853156</v>
      </c>
      <c r="M128" s="56">
        <f ca="1">IFERROR(M39*IFERROR(VLOOKUP($A128,'Dev Patterns'!$B$6:$H$34,VLOOKUP('Plan Figures'!M$2,'Plan Figures'!$B$44:$D$49,3,0),0),1),"-")</f>
        <v>0.67</v>
      </c>
      <c r="N128" s="168">
        <f ca="1">IFERROR(N39*IFERROR(VLOOKUP($A128,'Dev Patterns'!$B$6:$H$34,VLOOKUP('Plan Figures'!N$2,'Plan Figures'!$B$44:$D$49,3,0),0),1),"-")</f>
        <v>3113100.5203556009</v>
      </c>
      <c r="O128" s="168">
        <f ca="1">IFERROR(O39*IFERROR(VLOOKUP($A128,'Dev Patterns'!$B$6:$H$34,VLOOKUP('Plan Figures'!O$2,'Plan Figures'!$B$44:$D$49,3,0),0),1),"-")</f>
        <v>0</v>
      </c>
      <c r="P128" s="129">
        <f ca="1">IFERROR(P39*IFERROR(VLOOKUP($A128,'Dev Patterns'!$B$6:$H$34,VLOOKUP('Plan Figures'!P$2,'Plan Figures'!$B$44:$D$49,3,0),0),1),"-")</f>
        <v>0</v>
      </c>
      <c r="Q128" s="56">
        <f ca="1">IFERROR(Q39*IFERROR(VLOOKUP($A128,'Dev Patterns'!$B$6:$H$34,VLOOKUP('Plan Figures'!Q$2,'Plan Figures'!$B$44:$D$49,3,0),0),1),"-")</f>
        <v>0.67</v>
      </c>
      <c r="R128" s="101">
        <f ca="1">IFERROR(R39*IFERROR(VLOOKUP($A128,'Dev Patterns'!$B$6:$H$34,VLOOKUP('Plan Figures'!R$2,'Plan Figures'!$B$44:$D$49,3,0),0),1),"-")</f>
        <v>0</v>
      </c>
    </row>
    <row r="129" spans="1:18" x14ac:dyDescent="0.25">
      <c r="A129" s="101" t="e">
        <f t="shared" ca="1" si="11"/>
        <v>#N/A</v>
      </c>
      <c r="B129" s="73">
        <f t="shared" si="13"/>
        <v>45931</v>
      </c>
      <c r="C129" s="168">
        <f t="shared" ca="1" si="12"/>
        <v>5945.5411663710056</v>
      </c>
      <c r="D129" s="129">
        <f t="shared" ca="1" si="8"/>
        <v>3690107.1454575313</v>
      </c>
      <c r="E129" s="56">
        <f t="shared" ca="1" si="9"/>
        <v>2.0100000000000002</v>
      </c>
      <c r="F129" s="129">
        <f t="shared" ca="1" si="10"/>
        <v>3814660.7209785725</v>
      </c>
      <c r="G129" s="168">
        <f ca="1">IFERROR(G40*IFERROR(VLOOKUP($A129,'Dev Patterns'!$B$6:$H$34,VLOOKUP('Plan Figures'!G$2,'Plan Figures'!$B$44:$D$49,3,0),0),1),"-")</f>
        <v>2172.3219907342391</v>
      </c>
      <c r="H129" s="129">
        <f ca="1">IFERROR(H40*IFERROR(VLOOKUP($A129,'Dev Patterns'!$B$6:$H$34,VLOOKUP('Plan Figures'!H$2,'Plan Figures'!$B$44:$D$49,3,0),0),1),"-")</f>
        <v>738021.42909150629</v>
      </c>
      <c r="I129" s="56">
        <f ca="1">IFERROR(I40*IFERROR(VLOOKUP($A129,'Dev Patterns'!$B$6:$H$34,VLOOKUP('Plan Figures'!I$2,'Plan Figures'!$B$44:$D$49,3,0),0),1),"-")</f>
        <v>0.67</v>
      </c>
      <c r="J129" s="168">
        <f ca="1">IFERROR(J40*IFERROR(VLOOKUP($A129,'Dev Patterns'!$B$6:$H$34,VLOOKUP('Plan Figures'!J$2,'Plan Figures'!$B$44:$D$49,3,0),0),1),"-")</f>
        <v>762932.1441957145</v>
      </c>
      <c r="K129" s="168">
        <f ca="1">IFERROR(K40*IFERROR(VLOOKUP($A129,'Dev Patterns'!$B$6:$H$34,VLOOKUP('Plan Figures'!K$2,'Plan Figures'!$B$44:$D$49,3,0),0),1),"-")</f>
        <v>3773.219175636767</v>
      </c>
      <c r="L129" s="129">
        <f ca="1">IFERROR(L40*IFERROR(VLOOKUP($A129,'Dev Patterns'!$B$6:$H$34,VLOOKUP('Plan Figures'!L$2,'Plan Figures'!$B$44:$D$49,3,0),0),1),"-")</f>
        <v>2952085.7163660252</v>
      </c>
      <c r="M129" s="56">
        <f ca="1">IFERROR(M40*IFERROR(VLOOKUP($A129,'Dev Patterns'!$B$6:$H$34,VLOOKUP('Plan Figures'!M$2,'Plan Figures'!$B$44:$D$49,3,0),0),1),"-")</f>
        <v>0.67</v>
      </c>
      <c r="N129" s="168">
        <f ca="1">IFERROR(N40*IFERROR(VLOOKUP($A129,'Dev Patterns'!$B$6:$H$34,VLOOKUP('Plan Figures'!N$2,'Plan Figures'!$B$44:$D$49,3,0),0),1),"-")</f>
        <v>3051728.576782858</v>
      </c>
      <c r="O129" s="168">
        <f ca="1">IFERROR(O40*IFERROR(VLOOKUP($A129,'Dev Patterns'!$B$6:$H$34,VLOOKUP('Plan Figures'!O$2,'Plan Figures'!$B$44:$D$49,3,0),0),1),"-")</f>
        <v>0</v>
      </c>
      <c r="P129" s="129">
        <f ca="1">IFERROR(P40*IFERROR(VLOOKUP($A129,'Dev Patterns'!$B$6:$H$34,VLOOKUP('Plan Figures'!P$2,'Plan Figures'!$B$44:$D$49,3,0),0),1),"-")</f>
        <v>0</v>
      </c>
      <c r="Q129" s="56">
        <f ca="1">IFERROR(Q40*IFERROR(VLOOKUP($A129,'Dev Patterns'!$B$6:$H$34,VLOOKUP('Plan Figures'!Q$2,'Plan Figures'!$B$44:$D$49,3,0),0),1),"-")</f>
        <v>0.67</v>
      </c>
      <c r="R129" s="101">
        <f ca="1">IFERROR(R40*IFERROR(VLOOKUP($A129,'Dev Patterns'!$B$6:$H$34,VLOOKUP('Plan Figures'!R$2,'Plan Figures'!$B$44:$D$49,3,0),0),1),"-")</f>
        <v>0</v>
      </c>
    </row>
    <row r="130" spans="1:18" x14ac:dyDescent="0.25">
      <c r="A130" s="101" t="e">
        <f t="shared" ca="1" si="11"/>
        <v>#N/A</v>
      </c>
      <c r="B130" s="73">
        <f t="shared" si="13"/>
        <v>45962</v>
      </c>
      <c r="C130" s="168">
        <f t="shared" ca="1" si="12"/>
        <v>5527.6922998960972</v>
      </c>
      <c r="D130" s="129">
        <f t="shared" ca="1" si="8"/>
        <v>3973666.7817406254</v>
      </c>
      <c r="E130" s="56">
        <f t="shared" ca="1" si="9"/>
        <v>2.0100000000000002</v>
      </c>
      <c r="F130" s="129">
        <f t="shared" ca="1" si="10"/>
        <v>4111387.6617786167</v>
      </c>
      <c r="G130" s="168">
        <f ca="1">IFERROR(G41*IFERROR(VLOOKUP($A130,'Dev Patterns'!$B$6:$H$34,VLOOKUP('Plan Figures'!G$2,'Plan Figures'!$B$44:$D$49,3,0),0),1),"-")</f>
        <v>2019.1662365528146</v>
      </c>
      <c r="H130" s="129">
        <f ca="1">IFERROR(H41*IFERROR(VLOOKUP($A130,'Dev Patterns'!$B$6:$H$34,VLOOKUP('Plan Figures'!H$2,'Plan Figures'!$B$44:$D$49,3,0),0),1),"-")</f>
        <v>794733.35634812503</v>
      </c>
      <c r="I130" s="56">
        <f ca="1">IFERROR(I41*IFERROR(VLOOKUP($A130,'Dev Patterns'!$B$6:$H$34,VLOOKUP('Plan Figures'!I$2,'Plan Figures'!$B$44:$D$49,3,0),0),1),"-")</f>
        <v>0.67</v>
      </c>
      <c r="J130" s="168">
        <f ca="1">IFERROR(J41*IFERROR(VLOOKUP($A130,'Dev Patterns'!$B$6:$H$34,VLOOKUP('Plan Figures'!J$2,'Plan Figures'!$B$44:$D$49,3,0),0),1),"-")</f>
        <v>822277.53235572332</v>
      </c>
      <c r="K130" s="168">
        <f ca="1">IFERROR(K41*IFERROR(VLOOKUP($A130,'Dev Patterns'!$B$6:$H$34,VLOOKUP('Plan Figures'!K$2,'Plan Figures'!$B$44:$D$49,3,0),0),1),"-")</f>
        <v>3508.5260633432827</v>
      </c>
      <c r="L130" s="129">
        <f ca="1">IFERROR(L41*IFERROR(VLOOKUP($A130,'Dev Patterns'!$B$6:$H$34,VLOOKUP('Plan Figures'!L$2,'Plan Figures'!$B$44:$D$49,3,0),0),1),"-")</f>
        <v>3178933.4253925001</v>
      </c>
      <c r="M130" s="56">
        <f ca="1">IFERROR(M41*IFERROR(VLOOKUP($A130,'Dev Patterns'!$B$6:$H$34,VLOOKUP('Plan Figures'!M$2,'Plan Figures'!$B$44:$D$49,3,0),0),1),"-")</f>
        <v>0.67</v>
      </c>
      <c r="N130" s="168">
        <f ca="1">IFERROR(N41*IFERROR(VLOOKUP($A130,'Dev Patterns'!$B$6:$H$34,VLOOKUP('Plan Figures'!N$2,'Plan Figures'!$B$44:$D$49,3,0),0),1),"-")</f>
        <v>3289110.1294228933</v>
      </c>
      <c r="O130" s="168">
        <f ca="1">IFERROR(O41*IFERROR(VLOOKUP($A130,'Dev Patterns'!$B$6:$H$34,VLOOKUP('Plan Figures'!O$2,'Plan Figures'!$B$44:$D$49,3,0),0),1),"-")</f>
        <v>0</v>
      </c>
      <c r="P130" s="129">
        <f ca="1">IFERROR(P41*IFERROR(VLOOKUP($A130,'Dev Patterns'!$B$6:$H$34,VLOOKUP('Plan Figures'!P$2,'Plan Figures'!$B$44:$D$49,3,0),0),1),"-")</f>
        <v>0</v>
      </c>
      <c r="Q130" s="56">
        <f ca="1">IFERROR(Q41*IFERROR(VLOOKUP($A130,'Dev Patterns'!$B$6:$H$34,VLOOKUP('Plan Figures'!Q$2,'Plan Figures'!$B$44:$D$49,3,0),0),1),"-")</f>
        <v>0.67</v>
      </c>
      <c r="R130" s="101">
        <f ca="1">IFERROR(R41*IFERROR(VLOOKUP($A130,'Dev Patterns'!$B$6:$H$34,VLOOKUP('Plan Figures'!R$2,'Plan Figures'!$B$44:$D$49,3,0),0),1),"-")</f>
        <v>0</v>
      </c>
    </row>
    <row r="131" spans="1:18" x14ac:dyDescent="0.25">
      <c r="A131" s="101" t="e">
        <f t="shared" ca="1" si="11"/>
        <v>#N/A</v>
      </c>
      <c r="B131" s="198">
        <f t="shared" si="13"/>
        <v>45992</v>
      </c>
      <c r="C131" s="196">
        <f t="shared" ca="1" si="12"/>
        <v>4678.0836263737219</v>
      </c>
      <c r="D131" s="197">
        <f t="shared" ca="1" si="8"/>
        <v>3824985.8662046581</v>
      </c>
      <c r="E131" s="41">
        <f t="shared" ca="1" si="9"/>
        <v>2.0100000000000002</v>
      </c>
      <c r="F131" s="197">
        <f t="shared" ca="1" si="10"/>
        <v>3960979.7192393383</v>
      </c>
      <c r="G131" s="196">
        <f ca="1">IFERROR(G42*IFERROR(VLOOKUP($A131,'Dev Patterns'!$B$6:$H$34,VLOOKUP('Plan Figures'!G$2,'Plan Figures'!$B$44:$D$49,3,0),0),1),"-")</f>
        <v>1708.9432926032034</v>
      </c>
      <c r="H131" s="197">
        <f ca="1">IFERROR(H42*IFERROR(VLOOKUP($A131,'Dev Patterns'!$B$6:$H$34,VLOOKUP('Plan Figures'!H$2,'Plan Figures'!$B$44:$D$49,3,0),0),1),"-")</f>
        <v>764997.17324093159</v>
      </c>
      <c r="I131" s="41">
        <f ca="1">IFERROR(I42*IFERROR(VLOOKUP($A131,'Dev Patterns'!$B$6:$H$34,VLOOKUP('Plan Figures'!I$2,'Plan Figures'!$B$44:$D$49,3,0),0),1),"-")</f>
        <v>0.67</v>
      </c>
      <c r="J131" s="196">
        <f ca="1">IFERROR(J42*IFERROR(VLOOKUP($A131,'Dev Patterns'!$B$6:$H$34,VLOOKUP('Plan Figures'!J$2,'Plan Figures'!$B$44:$D$49,3,0),0),1),"-")</f>
        <v>792195.94384786766</v>
      </c>
      <c r="K131" s="196">
        <f ca="1">IFERROR(K42*IFERROR(VLOOKUP($A131,'Dev Patterns'!$B$6:$H$34,VLOOKUP('Plan Figures'!K$2,'Plan Figures'!$B$44:$D$49,3,0),0),1),"-")</f>
        <v>2969.1403337705187</v>
      </c>
      <c r="L131" s="197">
        <f ca="1">IFERROR(L42*IFERROR(VLOOKUP($A131,'Dev Patterns'!$B$6:$H$34,VLOOKUP('Plan Figures'!L$2,'Plan Figures'!$B$44:$D$49,3,0),0),1),"-")</f>
        <v>3059988.6929637264</v>
      </c>
      <c r="M131" s="41">
        <f ca="1">IFERROR(M42*IFERROR(VLOOKUP($A131,'Dev Patterns'!$B$6:$H$34,VLOOKUP('Plan Figures'!M$2,'Plan Figures'!$B$44:$D$49,3,0),0),1),"-")</f>
        <v>0.67</v>
      </c>
      <c r="N131" s="196">
        <f ca="1">IFERROR(N42*IFERROR(VLOOKUP($A131,'Dev Patterns'!$B$6:$H$34,VLOOKUP('Plan Figures'!N$2,'Plan Figures'!$B$44:$D$49,3,0),0),1),"-")</f>
        <v>3168783.7753914706</v>
      </c>
      <c r="O131" s="168">
        <f ca="1">IFERROR(O42*IFERROR(VLOOKUP($A131,'Dev Patterns'!$B$6:$H$34,VLOOKUP('Plan Figures'!O$2,'Plan Figures'!$B$44:$D$49,3,0),0),1),"-")</f>
        <v>0</v>
      </c>
      <c r="P131" s="129">
        <f ca="1">IFERROR(P42*IFERROR(VLOOKUP($A131,'Dev Patterns'!$B$6:$H$34,VLOOKUP('Plan Figures'!P$2,'Plan Figures'!$B$44:$D$49,3,0),0),1),"-")</f>
        <v>0</v>
      </c>
      <c r="Q131" s="56">
        <f ca="1">IFERROR(Q42*IFERROR(VLOOKUP($A131,'Dev Patterns'!$B$6:$H$34,VLOOKUP('Plan Figures'!Q$2,'Plan Figures'!$B$44:$D$49,3,0),0),1),"-")</f>
        <v>0.67</v>
      </c>
      <c r="R131" s="101">
        <f ca="1">IFERROR(R42*IFERROR(VLOOKUP($A131,'Dev Patterns'!$B$6:$H$34,VLOOKUP('Plan Figures'!R$2,'Plan Figures'!$B$44:$D$49,3,0),0),1),"-")</f>
        <v>0</v>
      </c>
    </row>
    <row r="135" spans="1:18" ht="15.75" x14ac:dyDescent="0.25">
      <c r="K135" s="289"/>
      <c r="L135" s="289"/>
      <c r="M135" s="289"/>
      <c r="N135" s="289"/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4B6B7-CA41-4C6F-B9A3-D3BB30D02F7A}">
  <dimension ref="A1:N102"/>
  <sheetViews>
    <sheetView zoomScale="85" zoomScaleNormal="85" workbookViewId="0">
      <selection activeCell="B16" sqref="B16"/>
    </sheetView>
  </sheetViews>
  <sheetFormatPr defaultRowHeight="15" x14ac:dyDescent="0.25"/>
  <cols>
    <col min="1" max="1" width="16" bestFit="1" customWidth="1"/>
    <col min="2" max="4" width="26.7109375" customWidth="1"/>
    <col min="5" max="5" width="14.7109375" bestFit="1" customWidth="1"/>
    <col min="6" max="6" width="15" customWidth="1"/>
    <col min="7" max="8" width="17.5703125" customWidth="1"/>
    <col min="9" max="9" width="15.140625" customWidth="1"/>
    <col min="11" max="11" width="16" customWidth="1"/>
    <col min="12" max="14" width="14.85546875" customWidth="1"/>
  </cols>
  <sheetData>
    <row r="1" spans="1:11" x14ac:dyDescent="0.25">
      <c r="B1" t="s">
        <v>1</v>
      </c>
      <c r="C1" t="s">
        <v>1</v>
      </c>
      <c r="F1" t="s">
        <v>72</v>
      </c>
      <c r="G1" t="s">
        <v>72</v>
      </c>
      <c r="J1" t="s">
        <v>353</v>
      </c>
      <c r="K1" t="s">
        <v>353</v>
      </c>
    </row>
    <row r="2" spans="1:11" x14ac:dyDescent="0.25">
      <c r="B2" t="s">
        <v>494</v>
      </c>
      <c r="C2" t="s">
        <v>495</v>
      </c>
      <c r="F2" t="s">
        <v>494</v>
      </c>
      <c r="G2" t="s">
        <v>495</v>
      </c>
      <c r="J2" t="s">
        <v>494</v>
      </c>
      <c r="K2" t="s">
        <v>495</v>
      </c>
    </row>
    <row r="3" spans="1:11" x14ac:dyDescent="0.25">
      <c r="B3" t="str">
        <f t="shared" ref="B3:C3" si="0">B1&amp;" ("&amp;B2&amp;")"</f>
        <v>PC Annual Direct (L month)</v>
      </c>
      <c r="C3" t="str">
        <f t="shared" si="0"/>
        <v>PC Annual Direct (L3 months)</v>
      </c>
      <c r="D3" t="s">
        <v>527</v>
      </c>
      <c r="E3" t="str">
        <f>E4</f>
        <v>Bin</v>
      </c>
      <c r="F3" t="str">
        <f t="shared" ref="F3:G3" si="1">F1&amp;" ("&amp;F2&amp;")"</f>
        <v>Boom Annual (L month)</v>
      </c>
      <c r="G3" t="str">
        <f t="shared" si="1"/>
        <v>Boom Annual (L3 months)</v>
      </c>
      <c r="H3" t="s">
        <v>527</v>
      </c>
      <c r="I3" t="str">
        <f>I4</f>
        <v>Bin</v>
      </c>
      <c r="J3" t="str">
        <f t="shared" ref="J3:K3" si="2">J1&amp;" ("&amp;J2&amp;")"</f>
        <v>Boom Premium Finance (L month)</v>
      </c>
      <c r="K3" t="str">
        <f t="shared" si="2"/>
        <v>Boom Premium Finance (L3 months)</v>
      </c>
    </row>
    <row r="4" spans="1:11" x14ac:dyDescent="0.25">
      <c r="A4" t="s">
        <v>496</v>
      </c>
      <c r="B4" t="s">
        <v>498</v>
      </c>
      <c r="C4" t="s">
        <v>499</v>
      </c>
      <c r="E4" s="449" t="s">
        <v>496</v>
      </c>
      <c r="F4" t="s">
        <v>504</v>
      </c>
      <c r="G4" t="s">
        <v>505</v>
      </c>
      <c r="I4" t="s">
        <v>496</v>
      </c>
      <c r="J4" t="s">
        <v>506</v>
      </c>
      <c r="K4" t="s">
        <v>507</v>
      </c>
    </row>
    <row r="5" spans="1:11" x14ac:dyDescent="0.25">
      <c r="A5" t="s">
        <v>497</v>
      </c>
      <c r="B5" s="75">
        <v>187</v>
      </c>
      <c r="C5" s="75">
        <v>693</v>
      </c>
      <c r="E5" s="450" t="s">
        <v>497</v>
      </c>
      <c r="F5" s="75">
        <v>74</v>
      </c>
      <c r="G5" s="75">
        <v>295</v>
      </c>
      <c r="I5" t="s">
        <v>497</v>
      </c>
      <c r="J5" s="75">
        <v>113</v>
      </c>
      <c r="K5" s="75">
        <v>398</v>
      </c>
    </row>
    <row r="6" spans="1:11" x14ac:dyDescent="0.25">
      <c r="A6" t="s">
        <v>514</v>
      </c>
      <c r="B6" s="75">
        <v>631</v>
      </c>
      <c r="C6" s="75">
        <v>2115</v>
      </c>
      <c r="E6" s="448" t="s">
        <v>514</v>
      </c>
      <c r="F6" s="75">
        <v>199</v>
      </c>
      <c r="G6" s="75">
        <v>645</v>
      </c>
      <c r="I6" t="s">
        <v>514</v>
      </c>
      <c r="J6" s="75">
        <v>432</v>
      </c>
      <c r="K6" s="75">
        <v>1470</v>
      </c>
    </row>
    <row r="7" spans="1:11" x14ac:dyDescent="0.25">
      <c r="A7" t="s">
        <v>515</v>
      </c>
      <c r="B7" s="75">
        <v>585</v>
      </c>
      <c r="C7" s="75">
        <v>1981</v>
      </c>
      <c r="E7" s="450" t="s">
        <v>515</v>
      </c>
      <c r="F7" s="75">
        <v>132</v>
      </c>
      <c r="G7" s="75">
        <v>397</v>
      </c>
      <c r="I7" t="s">
        <v>515</v>
      </c>
      <c r="J7" s="75">
        <v>453</v>
      </c>
      <c r="K7" s="75">
        <v>1584</v>
      </c>
    </row>
    <row r="8" spans="1:11" x14ac:dyDescent="0.25">
      <c r="A8" t="s">
        <v>516</v>
      </c>
      <c r="B8" s="75">
        <v>454</v>
      </c>
      <c r="C8" s="75">
        <v>1595</v>
      </c>
      <c r="E8" s="448" t="s">
        <v>516</v>
      </c>
      <c r="F8" s="75">
        <v>80</v>
      </c>
      <c r="G8" s="75">
        <v>310</v>
      </c>
      <c r="I8" t="s">
        <v>516</v>
      </c>
      <c r="J8" s="75">
        <v>374</v>
      </c>
      <c r="K8" s="75">
        <v>1285</v>
      </c>
    </row>
    <row r="9" spans="1:11" x14ac:dyDescent="0.25">
      <c r="A9" t="s">
        <v>517</v>
      </c>
      <c r="B9" s="75">
        <v>408</v>
      </c>
      <c r="C9" s="75">
        <v>1366</v>
      </c>
      <c r="E9" s="450" t="s">
        <v>517</v>
      </c>
      <c r="F9" s="75">
        <v>63</v>
      </c>
      <c r="G9" s="75">
        <v>215</v>
      </c>
      <c r="I9" t="s">
        <v>517</v>
      </c>
      <c r="J9" s="75">
        <v>345</v>
      </c>
      <c r="K9" s="75">
        <v>1151</v>
      </c>
    </row>
    <row r="10" spans="1:11" x14ac:dyDescent="0.25">
      <c r="A10" t="s">
        <v>518</v>
      </c>
      <c r="B10" s="75">
        <v>294</v>
      </c>
      <c r="C10" s="75">
        <v>979</v>
      </c>
      <c r="E10" s="448" t="s">
        <v>518</v>
      </c>
      <c r="F10" s="75">
        <v>44</v>
      </c>
      <c r="G10" s="75">
        <v>152</v>
      </c>
      <c r="I10" t="s">
        <v>518</v>
      </c>
      <c r="J10" s="75">
        <v>250</v>
      </c>
      <c r="K10" s="75">
        <v>827</v>
      </c>
    </row>
    <row r="11" spans="1:11" x14ac:dyDescent="0.25">
      <c r="A11" t="s">
        <v>519</v>
      </c>
      <c r="B11" s="75">
        <v>214</v>
      </c>
      <c r="C11" s="75">
        <v>684</v>
      </c>
      <c r="E11" s="450" t="s">
        <v>519</v>
      </c>
      <c r="F11" s="75">
        <v>32</v>
      </c>
      <c r="G11" s="75">
        <v>102</v>
      </c>
      <c r="I11" t="s">
        <v>519</v>
      </c>
      <c r="J11" s="75">
        <v>182</v>
      </c>
      <c r="K11" s="75">
        <v>582</v>
      </c>
    </row>
    <row r="12" spans="1:11" x14ac:dyDescent="0.25">
      <c r="A12" t="s">
        <v>520</v>
      </c>
      <c r="B12" s="75">
        <v>147</v>
      </c>
      <c r="C12" s="75">
        <v>495</v>
      </c>
      <c r="E12" s="448" t="s">
        <v>520</v>
      </c>
      <c r="F12" s="75">
        <v>14</v>
      </c>
      <c r="G12" s="75">
        <v>53</v>
      </c>
      <c r="I12" t="s">
        <v>520</v>
      </c>
      <c r="J12" s="75">
        <v>133</v>
      </c>
      <c r="K12" s="75">
        <v>442</v>
      </c>
    </row>
    <row r="13" spans="1:11" x14ac:dyDescent="0.25">
      <c r="A13" t="s">
        <v>521</v>
      </c>
      <c r="B13" s="75">
        <v>126</v>
      </c>
      <c r="C13" s="75">
        <v>353</v>
      </c>
      <c r="E13" s="450" t="s">
        <v>521</v>
      </c>
      <c r="F13" s="75">
        <v>17</v>
      </c>
      <c r="G13" s="75">
        <v>50</v>
      </c>
      <c r="I13" t="s">
        <v>521</v>
      </c>
      <c r="J13" s="75">
        <v>109</v>
      </c>
      <c r="K13" s="75">
        <v>303</v>
      </c>
    </row>
    <row r="14" spans="1:11" x14ac:dyDescent="0.25">
      <c r="A14" t="s">
        <v>522</v>
      </c>
      <c r="B14" s="75">
        <v>117</v>
      </c>
      <c r="C14" s="75">
        <v>401</v>
      </c>
      <c r="E14" s="448" t="s">
        <v>522</v>
      </c>
      <c r="F14" s="75">
        <v>24</v>
      </c>
      <c r="G14" s="75">
        <v>61</v>
      </c>
      <c r="I14" t="s">
        <v>522</v>
      </c>
      <c r="J14" s="75">
        <v>93</v>
      </c>
      <c r="K14" s="75">
        <v>340</v>
      </c>
    </row>
    <row r="15" spans="1:11" x14ac:dyDescent="0.25">
      <c r="A15" t="s">
        <v>523</v>
      </c>
      <c r="B15" s="75">
        <v>85</v>
      </c>
      <c r="C15" s="75">
        <v>236</v>
      </c>
      <c r="E15" s="450" t="s">
        <v>523</v>
      </c>
      <c r="F15" s="75">
        <v>11</v>
      </c>
      <c r="G15" s="75">
        <v>24</v>
      </c>
      <c r="I15" t="s">
        <v>523</v>
      </c>
      <c r="J15" s="75">
        <v>74</v>
      </c>
      <c r="K15" s="75">
        <v>212</v>
      </c>
    </row>
    <row r="16" spans="1:11" x14ac:dyDescent="0.25">
      <c r="A16" t="s">
        <v>524</v>
      </c>
      <c r="B16" s="75">
        <v>45</v>
      </c>
      <c r="C16" s="75">
        <v>124</v>
      </c>
      <c r="E16" s="448" t="s">
        <v>524</v>
      </c>
      <c r="F16" s="75">
        <v>6</v>
      </c>
      <c r="G16" s="75">
        <v>24</v>
      </c>
      <c r="I16" t="s">
        <v>524</v>
      </c>
      <c r="J16" s="75">
        <v>39</v>
      </c>
      <c r="K16" s="75">
        <v>100</v>
      </c>
    </row>
    <row r="17" spans="1:14" x14ac:dyDescent="0.25">
      <c r="A17" t="s">
        <v>525</v>
      </c>
      <c r="B17" s="75">
        <v>61</v>
      </c>
      <c r="C17" s="75">
        <v>183</v>
      </c>
      <c r="E17" s="450" t="s">
        <v>525</v>
      </c>
      <c r="F17" s="75">
        <v>8</v>
      </c>
      <c r="G17" s="75">
        <v>23</v>
      </c>
      <c r="I17" t="s">
        <v>525</v>
      </c>
      <c r="J17" s="75">
        <v>53</v>
      </c>
      <c r="K17" s="75">
        <v>160</v>
      </c>
    </row>
    <row r="18" spans="1:14" x14ac:dyDescent="0.25">
      <c r="A18" t="s">
        <v>526</v>
      </c>
      <c r="B18" s="75">
        <v>0</v>
      </c>
      <c r="C18" s="75">
        <v>1</v>
      </c>
      <c r="E18" s="448" t="s">
        <v>526</v>
      </c>
      <c r="F18" s="75">
        <v>0</v>
      </c>
      <c r="G18" s="75">
        <v>0</v>
      </c>
      <c r="I18" t="s">
        <v>526</v>
      </c>
      <c r="J18" s="75">
        <v>0</v>
      </c>
      <c r="K18" s="75">
        <v>1</v>
      </c>
    </row>
    <row r="23" spans="1:14" x14ac:dyDescent="0.25">
      <c r="B23" t="s">
        <v>1</v>
      </c>
      <c r="C23" t="s">
        <v>1</v>
      </c>
      <c r="D23" t="s">
        <v>1</v>
      </c>
      <c r="G23" t="s">
        <v>72</v>
      </c>
      <c r="H23" t="s">
        <v>72</v>
      </c>
      <c r="I23" t="s">
        <v>72</v>
      </c>
      <c r="L23" t="s">
        <v>353</v>
      </c>
      <c r="M23" t="s">
        <v>353</v>
      </c>
      <c r="N23" t="s">
        <v>353</v>
      </c>
    </row>
    <row r="24" spans="1:14" x14ac:dyDescent="0.25">
      <c r="B24" t="s">
        <v>500</v>
      </c>
      <c r="C24" t="s">
        <v>489</v>
      </c>
      <c r="D24" t="s">
        <v>490</v>
      </c>
      <c r="G24" t="s">
        <v>500</v>
      </c>
      <c r="H24" t="s">
        <v>489</v>
      </c>
      <c r="I24" t="s">
        <v>490</v>
      </c>
      <c r="L24" t="s">
        <v>500</v>
      </c>
      <c r="M24" t="s">
        <v>489</v>
      </c>
      <c r="N24" t="s">
        <v>490</v>
      </c>
    </row>
    <row r="25" spans="1:14" x14ac:dyDescent="0.25">
      <c r="B25" t="str">
        <f t="shared" ref="B25:D25" si="3">B23&amp;" ("&amp;B24&amp;")"</f>
        <v>PC Annual Direct (2022 YTD)</v>
      </c>
      <c r="C25" t="str">
        <f t="shared" si="3"/>
        <v>PC Annual Direct (2023 YTD)</v>
      </c>
      <c r="D25" t="str">
        <f t="shared" si="3"/>
        <v>PC Annual Direct (2024 YTD)</v>
      </c>
      <c r="E25" t="s">
        <v>527</v>
      </c>
      <c r="F25" t="str">
        <f>F26</f>
        <v>Bin</v>
      </c>
      <c r="G25" t="str">
        <f t="shared" ref="G25:I25" si="4">G23&amp;" ("&amp;G24&amp;")"</f>
        <v>Boom Annual (2022 YTD)</v>
      </c>
      <c r="H25" t="str">
        <f t="shared" si="4"/>
        <v>Boom Annual (2023 YTD)</v>
      </c>
      <c r="I25" t="str">
        <f t="shared" si="4"/>
        <v>Boom Annual (2024 YTD)</v>
      </c>
      <c r="J25" t="s">
        <v>527</v>
      </c>
      <c r="K25" t="str">
        <f>K26</f>
        <v>Bin</v>
      </c>
      <c r="L25" t="str">
        <f t="shared" ref="L25:N25" si="5">L23&amp;" ("&amp;L24&amp;")"</f>
        <v>Boom Premium Finance (2022 YTD)</v>
      </c>
      <c r="M25" t="str">
        <f t="shared" si="5"/>
        <v>Boom Premium Finance (2023 YTD)</v>
      </c>
      <c r="N25" t="str">
        <f t="shared" si="5"/>
        <v>Boom Premium Finance (2024 YTD)</v>
      </c>
    </row>
    <row r="26" spans="1:14" x14ac:dyDescent="0.25">
      <c r="A26" s="449" t="s">
        <v>496</v>
      </c>
      <c r="B26" t="s">
        <v>501</v>
      </c>
      <c r="C26" t="s">
        <v>502</v>
      </c>
      <c r="D26" t="s">
        <v>503</v>
      </c>
      <c r="F26" s="449" t="s">
        <v>496</v>
      </c>
      <c r="G26" t="s">
        <v>508</v>
      </c>
      <c r="H26" t="s">
        <v>509</v>
      </c>
      <c r="I26" t="s">
        <v>510</v>
      </c>
      <c r="K26" s="449" t="s">
        <v>496</v>
      </c>
      <c r="L26" t="s">
        <v>511</v>
      </c>
      <c r="M26" t="s">
        <v>512</v>
      </c>
      <c r="N26" t="s">
        <v>513</v>
      </c>
    </row>
    <row r="27" spans="1:14" x14ac:dyDescent="0.25">
      <c r="A27" s="450" t="s">
        <v>497</v>
      </c>
      <c r="B27" s="75">
        <v>17356</v>
      </c>
      <c r="C27" s="75">
        <v>9724</v>
      </c>
      <c r="D27" s="75">
        <v>5506</v>
      </c>
      <c r="F27" s="450" t="s">
        <v>497</v>
      </c>
      <c r="G27" s="75">
        <v>17356</v>
      </c>
      <c r="H27" s="75">
        <v>9002</v>
      </c>
      <c r="I27" s="75">
        <v>3180</v>
      </c>
      <c r="K27" s="450" t="s">
        <v>497</v>
      </c>
      <c r="L27" s="75">
        <v>0</v>
      </c>
      <c r="M27" s="75">
        <v>722</v>
      </c>
      <c r="N27" s="75">
        <v>2326</v>
      </c>
    </row>
    <row r="28" spans="1:14" x14ac:dyDescent="0.25">
      <c r="A28" s="448" t="s">
        <v>514</v>
      </c>
      <c r="B28" s="75">
        <v>7030</v>
      </c>
      <c r="C28" s="75">
        <v>10673</v>
      </c>
      <c r="D28" s="75">
        <v>15739</v>
      </c>
      <c r="F28" s="448" t="s">
        <v>514</v>
      </c>
      <c r="G28" s="75">
        <v>7030</v>
      </c>
      <c r="H28" s="75">
        <v>7774</v>
      </c>
      <c r="I28" s="75">
        <v>6890</v>
      </c>
      <c r="K28" s="448" t="s">
        <v>514</v>
      </c>
      <c r="L28" s="75">
        <v>0</v>
      </c>
      <c r="M28" s="75">
        <v>2899</v>
      </c>
      <c r="N28" s="75">
        <v>8849</v>
      </c>
    </row>
    <row r="29" spans="1:14" x14ac:dyDescent="0.25">
      <c r="A29" s="450" t="s">
        <v>515</v>
      </c>
      <c r="B29" s="75">
        <v>3363</v>
      </c>
      <c r="C29" s="75">
        <v>8113</v>
      </c>
      <c r="D29" s="75">
        <v>14338</v>
      </c>
      <c r="F29" s="450" t="s">
        <v>515</v>
      </c>
      <c r="G29" s="75">
        <v>3363</v>
      </c>
      <c r="H29" s="75">
        <v>4533</v>
      </c>
      <c r="I29" s="75">
        <v>4249</v>
      </c>
      <c r="K29" s="450" t="s">
        <v>515</v>
      </c>
      <c r="L29" s="75">
        <v>0</v>
      </c>
      <c r="M29" s="75">
        <v>3580</v>
      </c>
      <c r="N29" s="75">
        <v>10089</v>
      </c>
    </row>
    <row r="30" spans="1:14" x14ac:dyDescent="0.25">
      <c r="A30" s="448" t="s">
        <v>516</v>
      </c>
      <c r="B30" s="75">
        <v>2509</v>
      </c>
      <c r="C30" s="75">
        <v>6539</v>
      </c>
      <c r="D30" s="75">
        <v>11450</v>
      </c>
      <c r="F30" s="448" t="s">
        <v>516</v>
      </c>
      <c r="G30" s="75">
        <v>2509</v>
      </c>
      <c r="H30" s="75">
        <v>3361</v>
      </c>
      <c r="I30" s="75">
        <v>3005</v>
      </c>
      <c r="K30" s="448" t="s">
        <v>516</v>
      </c>
      <c r="L30" s="75">
        <v>0</v>
      </c>
      <c r="M30" s="75">
        <v>3178</v>
      </c>
      <c r="N30" s="75">
        <v>8445</v>
      </c>
    </row>
    <row r="31" spans="1:14" x14ac:dyDescent="0.25">
      <c r="A31" s="450" t="s">
        <v>517</v>
      </c>
      <c r="B31" s="75">
        <v>1634</v>
      </c>
      <c r="C31" s="75">
        <v>5440</v>
      </c>
      <c r="D31" s="75">
        <v>9478</v>
      </c>
      <c r="F31" s="450" t="s">
        <v>517</v>
      </c>
      <c r="G31" s="75">
        <v>1634</v>
      </c>
      <c r="H31" s="75">
        <v>2469</v>
      </c>
      <c r="I31" s="75">
        <v>2095</v>
      </c>
      <c r="K31" s="450" t="s">
        <v>517</v>
      </c>
      <c r="L31" s="75">
        <v>0</v>
      </c>
      <c r="M31" s="75">
        <v>2971</v>
      </c>
      <c r="N31" s="75">
        <v>7383</v>
      </c>
    </row>
    <row r="32" spans="1:14" x14ac:dyDescent="0.25">
      <c r="A32" s="448" t="s">
        <v>518</v>
      </c>
      <c r="B32" s="75">
        <v>1270</v>
      </c>
      <c r="C32" s="75">
        <v>4130</v>
      </c>
      <c r="D32" s="75">
        <v>7075</v>
      </c>
      <c r="F32" s="448" t="s">
        <v>518</v>
      </c>
      <c r="G32" s="75">
        <v>1270</v>
      </c>
      <c r="H32" s="75">
        <v>1873</v>
      </c>
      <c r="I32" s="75">
        <v>1560</v>
      </c>
      <c r="K32" s="448" t="s">
        <v>518</v>
      </c>
      <c r="L32" s="75">
        <v>0</v>
      </c>
      <c r="M32" s="75">
        <v>2257</v>
      </c>
      <c r="N32" s="75">
        <v>5515</v>
      </c>
    </row>
    <row r="33" spans="1:14" x14ac:dyDescent="0.25">
      <c r="A33" s="450" t="s">
        <v>519</v>
      </c>
      <c r="B33" s="75">
        <v>821</v>
      </c>
      <c r="C33" s="75">
        <v>3020</v>
      </c>
      <c r="D33" s="75">
        <v>5076</v>
      </c>
      <c r="F33" s="450" t="s">
        <v>519</v>
      </c>
      <c r="G33" s="75">
        <v>821</v>
      </c>
      <c r="H33" s="75">
        <v>1314</v>
      </c>
      <c r="I33" s="75">
        <v>1045</v>
      </c>
      <c r="K33" s="450" t="s">
        <v>519</v>
      </c>
      <c r="L33" s="75">
        <v>0</v>
      </c>
      <c r="M33" s="75">
        <v>1706</v>
      </c>
      <c r="N33" s="75">
        <v>4031</v>
      </c>
    </row>
    <row r="34" spans="1:14" x14ac:dyDescent="0.25">
      <c r="A34" s="448" t="s">
        <v>520</v>
      </c>
      <c r="B34" s="75">
        <v>613</v>
      </c>
      <c r="C34" s="75">
        <v>2176</v>
      </c>
      <c r="D34" s="75">
        <v>3667</v>
      </c>
      <c r="F34" s="448" t="s">
        <v>520</v>
      </c>
      <c r="G34" s="75">
        <v>613</v>
      </c>
      <c r="H34" s="75">
        <v>919</v>
      </c>
      <c r="I34" s="75">
        <v>712</v>
      </c>
      <c r="K34" s="448" t="s">
        <v>520</v>
      </c>
      <c r="L34" s="75">
        <v>0</v>
      </c>
      <c r="M34" s="75">
        <v>1257</v>
      </c>
      <c r="N34" s="75">
        <v>2955</v>
      </c>
    </row>
    <row r="35" spans="1:14" x14ac:dyDescent="0.25">
      <c r="A35" s="450" t="s">
        <v>521</v>
      </c>
      <c r="B35" s="75">
        <v>477</v>
      </c>
      <c r="C35" s="75">
        <v>1636</v>
      </c>
      <c r="D35" s="75">
        <v>2602</v>
      </c>
      <c r="F35" s="450" t="s">
        <v>521</v>
      </c>
      <c r="G35" s="75">
        <v>477</v>
      </c>
      <c r="H35" s="75">
        <v>692</v>
      </c>
      <c r="I35" s="75">
        <v>522</v>
      </c>
      <c r="K35" s="450" t="s">
        <v>521</v>
      </c>
      <c r="L35" s="75">
        <v>0</v>
      </c>
      <c r="M35" s="75">
        <v>944</v>
      </c>
      <c r="N35" s="75">
        <v>2080</v>
      </c>
    </row>
    <row r="36" spans="1:14" x14ac:dyDescent="0.25">
      <c r="A36" s="448" t="s">
        <v>522</v>
      </c>
      <c r="B36" s="75">
        <v>565</v>
      </c>
      <c r="C36" s="75">
        <v>2121</v>
      </c>
      <c r="D36" s="75">
        <v>3326</v>
      </c>
      <c r="F36" s="448" t="s">
        <v>522</v>
      </c>
      <c r="G36" s="75">
        <v>565</v>
      </c>
      <c r="H36" s="75">
        <v>913</v>
      </c>
      <c r="I36" s="75">
        <v>710</v>
      </c>
      <c r="K36" s="448" t="s">
        <v>522</v>
      </c>
      <c r="L36" s="75">
        <v>0</v>
      </c>
      <c r="M36" s="75">
        <v>1208</v>
      </c>
      <c r="N36" s="75">
        <v>2616</v>
      </c>
    </row>
    <row r="37" spans="1:14" x14ac:dyDescent="0.25">
      <c r="A37" s="450" t="s">
        <v>523</v>
      </c>
      <c r="B37" s="75">
        <v>308</v>
      </c>
      <c r="C37" s="75">
        <v>1088</v>
      </c>
      <c r="D37" s="75">
        <v>1804</v>
      </c>
      <c r="F37" s="450" t="s">
        <v>523</v>
      </c>
      <c r="G37" s="75">
        <v>308</v>
      </c>
      <c r="H37" s="75">
        <v>474</v>
      </c>
      <c r="I37" s="75">
        <v>372</v>
      </c>
      <c r="K37" s="450" t="s">
        <v>523</v>
      </c>
      <c r="L37" s="75">
        <v>0</v>
      </c>
      <c r="M37" s="75">
        <v>614</v>
      </c>
      <c r="N37" s="75">
        <v>1432</v>
      </c>
    </row>
    <row r="38" spans="1:14" x14ac:dyDescent="0.25">
      <c r="A38" s="448" t="s">
        <v>524</v>
      </c>
      <c r="B38" s="75">
        <v>150</v>
      </c>
      <c r="C38" s="75">
        <v>590</v>
      </c>
      <c r="D38" s="75">
        <v>983</v>
      </c>
      <c r="F38" s="448" t="s">
        <v>524</v>
      </c>
      <c r="G38" s="75">
        <v>150</v>
      </c>
      <c r="H38" s="75">
        <v>248</v>
      </c>
      <c r="I38" s="75">
        <v>215</v>
      </c>
      <c r="K38" s="448" t="s">
        <v>524</v>
      </c>
      <c r="L38" s="75">
        <v>0</v>
      </c>
      <c r="M38" s="75">
        <v>342</v>
      </c>
      <c r="N38" s="75">
        <v>768</v>
      </c>
    </row>
    <row r="39" spans="1:14" x14ac:dyDescent="0.25">
      <c r="A39" s="450" t="s">
        <v>525</v>
      </c>
      <c r="B39" s="75">
        <v>281</v>
      </c>
      <c r="C39" s="75">
        <v>1037</v>
      </c>
      <c r="D39" s="75">
        <v>1659</v>
      </c>
      <c r="F39" s="450" t="s">
        <v>525</v>
      </c>
      <c r="G39" s="75">
        <v>281</v>
      </c>
      <c r="H39" s="75">
        <v>463</v>
      </c>
      <c r="I39" s="75">
        <v>375</v>
      </c>
      <c r="K39" s="450" t="s">
        <v>525</v>
      </c>
      <c r="L39" s="75">
        <v>0</v>
      </c>
      <c r="M39" s="75">
        <v>574</v>
      </c>
      <c r="N39" s="75">
        <v>1284</v>
      </c>
    </row>
    <row r="40" spans="1:14" x14ac:dyDescent="0.25">
      <c r="A40" s="448" t="s">
        <v>526</v>
      </c>
      <c r="B40" s="75">
        <v>3</v>
      </c>
      <c r="C40" s="75">
        <v>12</v>
      </c>
      <c r="D40" s="75">
        <v>22</v>
      </c>
      <c r="F40" s="448" t="s">
        <v>526</v>
      </c>
      <c r="G40" s="75">
        <v>3</v>
      </c>
      <c r="H40" s="75">
        <v>2</v>
      </c>
      <c r="I40" s="75">
        <v>4</v>
      </c>
      <c r="K40" s="448" t="s">
        <v>526</v>
      </c>
      <c r="L40" s="75">
        <v>0</v>
      </c>
      <c r="M40" s="75">
        <v>10</v>
      </c>
      <c r="N40" s="75">
        <v>18</v>
      </c>
    </row>
    <row r="45" spans="1:14" x14ac:dyDescent="0.25">
      <c r="B45" t="s">
        <v>1</v>
      </c>
      <c r="C45" t="s">
        <v>1</v>
      </c>
      <c r="F45" t="s">
        <v>72</v>
      </c>
      <c r="G45" t="s">
        <v>72</v>
      </c>
      <c r="J45" t="s">
        <v>353</v>
      </c>
      <c r="K45" t="s">
        <v>353</v>
      </c>
    </row>
    <row r="46" spans="1:14" x14ac:dyDescent="0.25">
      <c r="B46" t="s">
        <v>494</v>
      </c>
      <c r="C46" t="s">
        <v>495</v>
      </c>
      <c r="F46" t="s">
        <v>494</v>
      </c>
      <c r="G46" t="s">
        <v>495</v>
      </c>
      <c r="J46" t="s">
        <v>494</v>
      </c>
      <c r="K46" t="s">
        <v>495</v>
      </c>
    </row>
    <row r="47" spans="1:14" x14ac:dyDescent="0.25">
      <c r="B47" t="str">
        <f t="shared" ref="B47:C47" si="6">B45&amp;" ("&amp;B46&amp;")"</f>
        <v>PC Annual Direct (L month)</v>
      </c>
      <c r="C47" t="str">
        <f t="shared" si="6"/>
        <v>PC Annual Direct (L3 months)</v>
      </c>
      <c r="D47" t="s">
        <v>527</v>
      </c>
      <c r="E47" t="str">
        <f>E48</f>
        <v>Bin</v>
      </c>
      <c r="F47" t="str">
        <f t="shared" ref="F47:G47" si="7">F45&amp;" ("&amp;F46&amp;")"</f>
        <v>Boom Annual (L month)</v>
      </c>
      <c r="G47" t="str">
        <f t="shared" si="7"/>
        <v>Boom Annual (L3 months)</v>
      </c>
      <c r="H47" t="s">
        <v>527</v>
      </c>
      <c r="I47" t="str">
        <f>I48</f>
        <v>Bin</v>
      </c>
      <c r="J47" t="str">
        <f t="shared" ref="J47:K47" si="8">J45&amp;" ("&amp;J46&amp;")"</f>
        <v>Boom Premium Finance (L month)</v>
      </c>
      <c r="K47" t="str">
        <f t="shared" si="8"/>
        <v>Boom Premium Finance (L3 months)</v>
      </c>
    </row>
    <row r="48" spans="1:14" x14ac:dyDescent="0.25">
      <c r="A48" t="s">
        <v>496</v>
      </c>
      <c r="B48" t="s">
        <v>498</v>
      </c>
      <c r="C48" t="s">
        <v>499</v>
      </c>
      <c r="D48" t="s">
        <v>527</v>
      </c>
      <c r="E48" t="s">
        <v>496</v>
      </c>
      <c r="F48" t="s">
        <v>554</v>
      </c>
      <c r="G48" t="s">
        <v>555</v>
      </c>
      <c r="H48" t="s">
        <v>527</v>
      </c>
      <c r="I48" t="s">
        <v>496</v>
      </c>
      <c r="J48" t="s">
        <v>552</v>
      </c>
      <c r="K48" t="s">
        <v>553</v>
      </c>
    </row>
    <row r="49" spans="1:11" x14ac:dyDescent="0.25">
      <c r="A49" t="s">
        <v>528</v>
      </c>
      <c r="B49" s="75">
        <v>2074</v>
      </c>
      <c r="C49" s="75">
        <v>7041</v>
      </c>
      <c r="E49" t="s">
        <v>528</v>
      </c>
      <c r="F49" s="75">
        <v>52</v>
      </c>
      <c r="G49" s="75">
        <v>178</v>
      </c>
      <c r="I49" t="s">
        <v>528</v>
      </c>
      <c r="J49" s="75">
        <v>2022</v>
      </c>
      <c r="K49" s="75">
        <v>6863</v>
      </c>
    </row>
    <row r="50" spans="1:11" x14ac:dyDescent="0.25">
      <c r="A50" t="s">
        <v>537</v>
      </c>
      <c r="B50" s="75">
        <v>155</v>
      </c>
      <c r="C50" s="75">
        <v>565</v>
      </c>
      <c r="E50" t="s">
        <v>537</v>
      </c>
      <c r="F50" s="75">
        <v>10</v>
      </c>
      <c r="G50" s="75">
        <v>36</v>
      </c>
      <c r="I50" t="s">
        <v>537</v>
      </c>
      <c r="J50" s="75">
        <v>145</v>
      </c>
      <c r="K50" s="75">
        <v>529</v>
      </c>
    </row>
    <row r="51" spans="1:11" x14ac:dyDescent="0.25">
      <c r="A51" t="s">
        <v>538</v>
      </c>
      <c r="B51" s="75">
        <v>149</v>
      </c>
      <c r="C51" s="75">
        <v>496</v>
      </c>
      <c r="E51" t="s">
        <v>538</v>
      </c>
      <c r="F51" s="75">
        <v>24</v>
      </c>
      <c r="G51" s="75">
        <v>70</v>
      </c>
      <c r="I51" t="s">
        <v>538</v>
      </c>
      <c r="J51" s="75">
        <v>125</v>
      </c>
      <c r="K51" s="75">
        <v>426</v>
      </c>
    </row>
    <row r="52" spans="1:11" x14ac:dyDescent="0.25">
      <c r="A52" t="s">
        <v>539</v>
      </c>
      <c r="B52" s="75">
        <v>155</v>
      </c>
      <c r="C52" s="75">
        <v>436</v>
      </c>
      <c r="E52" t="s">
        <v>539</v>
      </c>
      <c r="F52" s="75">
        <v>54</v>
      </c>
      <c r="G52" s="75">
        <v>141</v>
      </c>
      <c r="I52" t="s">
        <v>539</v>
      </c>
      <c r="J52" s="75">
        <v>101</v>
      </c>
      <c r="K52" s="75">
        <v>295</v>
      </c>
    </row>
    <row r="53" spans="1:11" x14ac:dyDescent="0.25">
      <c r="A53" t="s">
        <v>540</v>
      </c>
      <c r="B53" s="75">
        <v>180</v>
      </c>
      <c r="C53" s="75">
        <v>515</v>
      </c>
      <c r="E53" t="s">
        <v>540</v>
      </c>
      <c r="F53" s="75">
        <v>88</v>
      </c>
      <c r="G53" s="75">
        <v>246</v>
      </c>
      <c r="I53" t="s">
        <v>540</v>
      </c>
      <c r="J53" s="75">
        <v>92</v>
      </c>
      <c r="K53" s="75">
        <v>269</v>
      </c>
    </row>
    <row r="54" spans="1:11" x14ac:dyDescent="0.25">
      <c r="A54" t="s">
        <v>541</v>
      </c>
      <c r="B54" s="75">
        <v>233</v>
      </c>
      <c r="C54" s="75">
        <v>682</v>
      </c>
      <c r="E54" t="s">
        <v>541</v>
      </c>
      <c r="F54" s="75">
        <v>153</v>
      </c>
      <c r="G54" s="75">
        <v>468</v>
      </c>
      <c r="I54" t="s">
        <v>541</v>
      </c>
      <c r="J54" s="75">
        <v>80</v>
      </c>
      <c r="K54" s="75">
        <v>214</v>
      </c>
    </row>
    <row r="55" spans="1:11" x14ac:dyDescent="0.25">
      <c r="A55" t="s">
        <v>529</v>
      </c>
      <c r="B55" s="75">
        <v>201</v>
      </c>
      <c r="C55" s="75">
        <v>672</v>
      </c>
      <c r="E55" t="s">
        <v>529</v>
      </c>
      <c r="F55" s="75">
        <v>156</v>
      </c>
      <c r="G55" s="75">
        <v>520</v>
      </c>
      <c r="I55" t="s">
        <v>529</v>
      </c>
      <c r="J55" s="75">
        <v>45</v>
      </c>
      <c r="K55" s="75">
        <v>152</v>
      </c>
    </row>
    <row r="56" spans="1:11" x14ac:dyDescent="0.25">
      <c r="A56" t="s">
        <v>530</v>
      </c>
      <c r="B56" s="75">
        <v>116</v>
      </c>
      <c r="C56" s="75">
        <v>444</v>
      </c>
      <c r="E56" t="s">
        <v>530</v>
      </c>
      <c r="F56" s="75">
        <v>89</v>
      </c>
      <c r="G56" s="75">
        <v>381</v>
      </c>
      <c r="I56" t="s">
        <v>530</v>
      </c>
      <c r="J56" s="75">
        <v>27</v>
      </c>
      <c r="K56" s="75">
        <v>63</v>
      </c>
    </row>
    <row r="57" spans="1:11" x14ac:dyDescent="0.25">
      <c r="A57" t="s">
        <v>531</v>
      </c>
      <c r="B57" s="75">
        <v>57</v>
      </c>
      <c r="C57" s="75">
        <v>198</v>
      </c>
      <c r="E57" t="s">
        <v>531</v>
      </c>
      <c r="F57" s="75">
        <v>49</v>
      </c>
      <c r="G57" s="75">
        <v>172</v>
      </c>
      <c r="I57" t="s">
        <v>531</v>
      </c>
      <c r="J57" s="75">
        <v>8</v>
      </c>
      <c r="K57" s="75">
        <v>26</v>
      </c>
    </row>
    <row r="58" spans="1:11" x14ac:dyDescent="0.25">
      <c r="A58" t="s">
        <v>532</v>
      </c>
      <c r="B58" s="75">
        <v>18</v>
      </c>
      <c r="C58" s="75">
        <v>96</v>
      </c>
      <c r="E58" t="s">
        <v>532</v>
      </c>
      <c r="F58" s="75">
        <v>15</v>
      </c>
      <c r="G58" s="75">
        <v>83</v>
      </c>
      <c r="I58" t="s">
        <v>532</v>
      </c>
      <c r="J58" s="75">
        <v>3</v>
      </c>
      <c r="K58" s="75">
        <v>13</v>
      </c>
    </row>
    <row r="59" spans="1:11" x14ac:dyDescent="0.25">
      <c r="A59" t="s">
        <v>533</v>
      </c>
      <c r="B59" s="75">
        <v>13</v>
      </c>
      <c r="C59" s="75">
        <v>42</v>
      </c>
      <c r="E59" t="s">
        <v>533</v>
      </c>
      <c r="F59" s="75">
        <v>12</v>
      </c>
      <c r="G59" s="75">
        <v>38</v>
      </c>
      <c r="I59" t="s">
        <v>533</v>
      </c>
      <c r="J59" s="75">
        <v>1</v>
      </c>
      <c r="K59" s="75">
        <v>4</v>
      </c>
    </row>
    <row r="60" spans="1:11" x14ac:dyDescent="0.25">
      <c r="A60" t="s">
        <v>534</v>
      </c>
      <c r="B60" s="75">
        <v>3</v>
      </c>
      <c r="C60" s="75">
        <v>18</v>
      </c>
      <c r="E60" t="s">
        <v>534</v>
      </c>
      <c r="F60" s="75">
        <v>2</v>
      </c>
      <c r="G60" s="75">
        <v>17</v>
      </c>
      <c r="I60" t="s">
        <v>534</v>
      </c>
      <c r="J60" s="75">
        <v>1</v>
      </c>
      <c r="K60" s="75">
        <v>1</v>
      </c>
    </row>
    <row r="61" spans="1:11" x14ac:dyDescent="0.25">
      <c r="A61" t="s">
        <v>535</v>
      </c>
      <c r="B61" s="75">
        <v>0</v>
      </c>
      <c r="C61" s="75">
        <v>1</v>
      </c>
      <c r="E61" t="s">
        <v>535</v>
      </c>
      <c r="F61" s="75">
        <v>0</v>
      </c>
      <c r="G61" s="75">
        <v>1</v>
      </c>
      <c r="I61" t="s">
        <v>535</v>
      </c>
      <c r="J61" s="75">
        <v>0</v>
      </c>
      <c r="K61" s="75">
        <v>0</v>
      </c>
    </row>
    <row r="62" spans="1:11" x14ac:dyDescent="0.25">
      <c r="A62" t="s">
        <v>536</v>
      </c>
      <c r="B62" s="75">
        <v>0</v>
      </c>
      <c r="C62" s="75">
        <v>0</v>
      </c>
      <c r="E62" t="s">
        <v>536</v>
      </c>
      <c r="F62" s="75">
        <v>0</v>
      </c>
      <c r="G62" s="75">
        <v>0</v>
      </c>
      <c r="I62" t="s">
        <v>536</v>
      </c>
      <c r="J62" s="75">
        <v>0</v>
      </c>
      <c r="K62" s="75">
        <v>0</v>
      </c>
    </row>
    <row r="63" spans="1:11" x14ac:dyDescent="0.25">
      <c r="A63" t="s">
        <v>542</v>
      </c>
      <c r="B63" s="75">
        <v>0</v>
      </c>
      <c r="C63" s="75">
        <v>0</v>
      </c>
      <c r="E63" t="s">
        <v>542</v>
      </c>
      <c r="F63" s="75">
        <v>0</v>
      </c>
      <c r="G63" s="75">
        <v>0</v>
      </c>
      <c r="I63" t="s">
        <v>542</v>
      </c>
      <c r="J63" s="75">
        <v>0</v>
      </c>
      <c r="K63" s="75">
        <v>0</v>
      </c>
    </row>
    <row r="64" spans="1:11" x14ac:dyDescent="0.25">
      <c r="A64" t="s">
        <v>543</v>
      </c>
      <c r="B64" s="75">
        <v>0</v>
      </c>
      <c r="C64" s="75">
        <v>0</v>
      </c>
      <c r="E64" t="s">
        <v>543</v>
      </c>
      <c r="F64" s="75">
        <v>0</v>
      </c>
      <c r="G64" s="75">
        <v>0</v>
      </c>
      <c r="I64" t="s">
        <v>543</v>
      </c>
      <c r="J64" s="75">
        <v>0</v>
      </c>
      <c r="K64" s="75">
        <v>0</v>
      </c>
    </row>
    <row r="65" spans="1:14" x14ac:dyDescent="0.25">
      <c r="A65" t="s">
        <v>544</v>
      </c>
      <c r="B65" s="75">
        <v>0</v>
      </c>
      <c r="C65" s="75">
        <v>0</v>
      </c>
      <c r="E65" t="s">
        <v>544</v>
      </c>
      <c r="F65" s="75">
        <v>0</v>
      </c>
      <c r="G65" s="75">
        <v>0</v>
      </c>
      <c r="I65" t="s">
        <v>544</v>
      </c>
      <c r="J65" s="75">
        <v>0</v>
      </c>
      <c r="K65" s="75">
        <v>0</v>
      </c>
    </row>
    <row r="66" spans="1:14" x14ac:dyDescent="0.25">
      <c r="A66" t="s">
        <v>545</v>
      </c>
      <c r="B66" s="75">
        <v>0</v>
      </c>
      <c r="C66" s="75">
        <v>0</v>
      </c>
      <c r="E66" t="s">
        <v>545</v>
      </c>
      <c r="F66" s="75">
        <v>0</v>
      </c>
      <c r="G66" s="75">
        <v>0</v>
      </c>
      <c r="I66" t="s">
        <v>545</v>
      </c>
      <c r="J66" s="75">
        <v>0</v>
      </c>
      <c r="K66" s="75">
        <v>0</v>
      </c>
    </row>
    <row r="67" spans="1:14" x14ac:dyDescent="0.25">
      <c r="A67" t="s">
        <v>546</v>
      </c>
      <c r="B67" s="75">
        <v>0</v>
      </c>
      <c r="C67" s="75">
        <v>0</v>
      </c>
      <c r="E67" t="s">
        <v>546</v>
      </c>
      <c r="F67" s="75">
        <v>0</v>
      </c>
      <c r="G67" s="75">
        <v>0</v>
      </c>
      <c r="I67" t="s">
        <v>546</v>
      </c>
      <c r="J67" s="75">
        <v>0</v>
      </c>
      <c r="K67" s="75">
        <v>0</v>
      </c>
    </row>
    <row r="68" spans="1:14" x14ac:dyDescent="0.25">
      <c r="A68" t="s">
        <v>547</v>
      </c>
      <c r="B68" s="75">
        <v>0</v>
      </c>
      <c r="C68" s="75">
        <v>0</v>
      </c>
      <c r="E68" t="s">
        <v>547</v>
      </c>
      <c r="F68" s="75">
        <v>0</v>
      </c>
      <c r="G68" s="75">
        <v>0</v>
      </c>
      <c r="I68" t="s">
        <v>547</v>
      </c>
      <c r="J68" s="75">
        <v>0</v>
      </c>
      <c r="K68" s="75">
        <v>0</v>
      </c>
    </row>
    <row r="69" spans="1:14" x14ac:dyDescent="0.25">
      <c r="A69" t="s">
        <v>548</v>
      </c>
      <c r="B69" s="75">
        <v>0</v>
      </c>
      <c r="C69" s="75">
        <v>0</v>
      </c>
      <c r="E69" t="s">
        <v>548</v>
      </c>
      <c r="F69" s="75">
        <v>0</v>
      </c>
      <c r="G69" s="75">
        <v>0</v>
      </c>
      <c r="I69" t="s">
        <v>548</v>
      </c>
      <c r="J69" s="75">
        <v>0</v>
      </c>
      <c r="K69" s="75">
        <v>0</v>
      </c>
    </row>
    <row r="70" spans="1:14" x14ac:dyDescent="0.25">
      <c r="A70" t="s">
        <v>549</v>
      </c>
      <c r="B70" s="75">
        <v>0</v>
      </c>
      <c r="C70" s="75">
        <v>0</v>
      </c>
      <c r="E70" t="s">
        <v>549</v>
      </c>
      <c r="F70" s="75">
        <v>0</v>
      </c>
      <c r="G70" s="75">
        <v>0</v>
      </c>
      <c r="I70" t="s">
        <v>549</v>
      </c>
      <c r="J70" s="75">
        <v>0</v>
      </c>
      <c r="K70" s="75">
        <v>0</v>
      </c>
    </row>
    <row r="71" spans="1:14" x14ac:dyDescent="0.25">
      <c r="A71" t="s">
        <v>550</v>
      </c>
      <c r="B71" s="75">
        <v>0</v>
      </c>
      <c r="C71" s="75">
        <v>0</v>
      </c>
      <c r="E71" t="s">
        <v>550</v>
      </c>
      <c r="F71" s="75">
        <v>0</v>
      </c>
      <c r="G71" s="75">
        <v>0</v>
      </c>
      <c r="I71" t="s">
        <v>550</v>
      </c>
      <c r="J71" s="75">
        <v>0</v>
      </c>
      <c r="K71" s="75">
        <v>0</v>
      </c>
    </row>
    <row r="72" spans="1:14" x14ac:dyDescent="0.25">
      <c r="A72" t="s">
        <v>551</v>
      </c>
      <c r="B72" s="75">
        <v>0</v>
      </c>
      <c r="C72" s="75">
        <v>0</v>
      </c>
      <c r="E72" t="s">
        <v>551</v>
      </c>
      <c r="F72" s="75">
        <v>0</v>
      </c>
      <c r="G72" s="75">
        <v>0</v>
      </c>
      <c r="I72" t="s">
        <v>551</v>
      </c>
      <c r="J72" s="75">
        <v>0</v>
      </c>
      <c r="K72" s="75">
        <v>0</v>
      </c>
    </row>
    <row r="75" spans="1:14" x14ac:dyDescent="0.25">
      <c r="B75" t="s">
        <v>1</v>
      </c>
      <c r="C75" t="s">
        <v>1</v>
      </c>
      <c r="D75" t="s">
        <v>1</v>
      </c>
      <c r="G75" t="s">
        <v>72</v>
      </c>
      <c r="H75" t="s">
        <v>72</v>
      </c>
      <c r="I75" t="s">
        <v>72</v>
      </c>
      <c r="L75" t="s">
        <v>353</v>
      </c>
      <c r="M75" t="s">
        <v>353</v>
      </c>
      <c r="N75" t="s">
        <v>353</v>
      </c>
    </row>
    <row r="76" spans="1:14" x14ac:dyDescent="0.25">
      <c r="B76" t="s">
        <v>500</v>
      </c>
      <c r="C76" t="s">
        <v>489</v>
      </c>
      <c r="D76" t="s">
        <v>490</v>
      </c>
      <c r="G76" t="s">
        <v>500</v>
      </c>
      <c r="H76" t="s">
        <v>489</v>
      </c>
      <c r="I76" t="s">
        <v>490</v>
      </c>
      <c r="L76" t="s">
        <v>500</v>
      </c>
      <c r="M76" t="s">
        <v>489</v>
      </c>
      <c r="N76" t="s">
        <v>490</v>
      </c>
    </row>
    <row r="77" spans="1:14" x14ac:dyDescent="0.25">
      <c r="B77" t="str">
        <f t="shared" ref="B77:D77" si="9">B75&amp;" ("&amp;B76&amp;")"</f>
        <v>PC Annual Direct (2022 YTD)</v>
      </c>
      <c r="C77" t="str">
        <f t="shared" si="9"/>
        <v>PC Annual Direct (2023 YTD)</v>
      </c>
      <c r="D77" t="str">
        <f t="shared" si="9"/>
        <v>PC Annual Direct (2024 YTD)</v>
      </c>
      <c r="E77" t="s">
        <v>527</v>
      </c>
      <c r="F77" t="str">
        <f>F78</f>
        <v>Bin</v>
      </c>
      <c r="G77" t="str">
        <f t="shared" ref="G77:I77" si="10">G75&amp;" ("&amp;G76&amp;")"</f>
        <v>Boom Annual (2022 YTD)</v>
      </c>
      <c r="H77" t="str">
        <f t="shared" si="10"/>
        <v>Boom Annual (2023 YTD)</v>
      </c>
      <c r="I77" t="str">
        <f t="shared" si="10"/>
        <v>Boom Annual (2024 YTD)</v>
      </c>
      <c r="J77" t="s">
        <v>527</v>
      </c>
      <c r="K77" t="str">
        <f>K78</f>
        <v>Bin</v>
      </c>
      <c r="L77" t="str">
        <f t="shared" ref="L77:N77" si="11">L75&amp;" ("&amp;L76&amp;")"</f>
        <v>Boom Premium Finance (2022 YTD)</v>
      </c>
      <c r="M77" t="str">
        <f t="shared" si="11"/>
        <v>Boom Premium Finance (2023 YTD)</v>
      </c>
      <c r="N77" t="str">
        <f t="shared" si="11"/>
        <v>Boom Premium Finance (2024 YTD)</v>
      </c>
    </row>
    <row r="78" spans="1:14" x14ac:dyDescent="0.25">
      <c r="A78" s="449" t="s">
        <v>496</v>
      </c>
      <c r="B78" t="s">
        <v>501</v>
      </c>
      <c r="C78" t="s">
        <v>502</v>
      </c>
      <c r="D78" t="s">
        <v>503</v>
      </c>
      <c r="E78" t="s">
        <v>527</v>
      </c>
      <c r="F78" t="s">
        <v>496</v>
      </c>
      <c r="G78" t="s">
        <v>508</v>
      </c>
      <c r="H78" t="s">
        <v>509</v>
      </c>
      <c r="I78" t="s">
        <v>510</v>
      </c>
      <c r="J78" t="s">
        <v>527</v>
      </c>
      <c r="K78" t="s">
        <v>496</v>
      </c>
      <c r="L78" t="s">
        <v>511</v>
      </c>
      <c r="M78" t="s">
        <v>512</v>
      </c>
      <c r="N78" t="s">
        <v>513</v>
      </c>
    </row>
    <row r="79" spans="1:14" x14ac:dyDescent="0.25">
      <c r="A79" s="450" t="s">
        <v>528</v>
      </c>
      <c r="B79" s="75">
        <v>0</v>
      </c>
      <c r="C79" s="75">
        <v>0</v>
      </c>
      <c r="D79" s="75">
        <v>12992</v>
      </c>
      <c r="F79" s="450" t="s">
        <v>528</v>
      </c>
      <c r="G79" s="75">
        <v>0</v>
      </c>
      <c r="H79" s="75">
        <v>0</v>
      </c>
      <c r="I79" s="75">
        <v>316</v>
      </c>
      <c r="K79" s="450" t="s">
        <v>528</v>
      </c>
      <c r="L79" s="75">
        <v>0</v>
      </c>
      <c r="M79" s="75">
        <v>0</v>
      </c>
      <c r="N79" s="75">
        <v>12676</v>
      </c>
    </row>
    <row r="80" spans="1:14" x14ac:dyDescent="0.25">
      <c r="A80" s="448" t="s">
        <v>537</v>
      </c>
      <c r="B80" s="75">
        <v>0</v>
      </c>
      <c r="C80" s="75">
        <v>3198</v>
      </c>
      <c r="D80" s="75">
        <v>8250</v>
      </c>
      <c r="F80" s="448" t="s">
        <v>537</v>
      </c>
      <c r="G80" s="75">
        <v>0</v>
      </c>
      <c r="H80" s="75">
        <v>95</v>
      </c>
      <c r="I80" s="75">
        <v>281</v>
      </c>
      <c r="K80" s="448" t="s">
        <v>537</v>
      </c>
      <c r="L80" s="75">
        <v>0</v>
      </c>
      <c r="M80" s="75">
        <v>3103</v>
      </c>
      <c r="N80" s="75">
        <v>7969</v>
      </c>
    </row>
    <row r="81" spans="1:14" x14ac:dyDescent="0.25">
      <c r="A81" s="450" t="s">
        <v>538</v>
      </c>
      <c r="B81" s="75">
        <v>0</v>
      </c>
      <c r="C81" s="75">
        <v>10440</v>
      </c>
      <c r="D81" s="75">
        <v>19244</v>
      </c>
      <c r="F81" s="450" t="s">
        <v>538</v>
      </c>
      <c r="G81" s="75">
        <v>0</v>
      </c>
      <c r="H81" s="75">
        <v>262</v>
      </c>
      <c r="I81" s="75">
        <v>597</v>
      </c>
      <c r="K81" s="450" t="s">
        <v>538</v>
      </c>
      <c r="L81" s="75">
        <v>0</v>
      </c>
      <c r="M81" s="75">
        <v>10178</v>
      </c>
      <c r="N81" s="75">
        <v>18647</v>
      </c>
    </row>
    <row r="82" spans="1:14" x14ac:dyDescent="0.25">
      <c r="A82" s="448" t="s">
        <v>539</v>
      </c>
      <c r="B82" s="75">
        <v>0</v>
      </c>
      <c r="C82" s="75">
        <v>3785</v>
      </c>
      <c r="D82" s="75">
        <v>8276</v>
      </c>
      <c r="F82" s="448" t="s">
        <v>539</v>
      </c>
      <c r="G82" s="75">
        <v>0</v>
      </c>
      <c r="H82" s="75">
        <v>97</v>
      </c>
      <c r="I82" s="75">
        <v>421</v>
      </c>
      <c r="K82" s="448" t="s">
        <v>539</v>
      </c>
      <c r="L82" s="75">
        <v>0</v>
      </c>
      <c r="M82" s="75">
        <v>3688</v>
      </c>
      <c r="N82" s="75">
        <v>7855</v>
      </c>
    </row>
    <row r="83" spans="1:14" x14ac:dyDescent="0.25">
      <c r="A83" s="450" t="s">
        <v>540</v>
      </c>
      <c r="B83" s="75">
        <v>0</v>
      </c>
      <c r="C83" s="75">
        <v>0</v>
      </c>
      <c r="D83" s="75">
        <v>1880</v>
      </c>
      <c r="F83" s="450" t="s">
        <v>540</v>
      </c>
      <c r="G83" s="75">
        <v>0</v>
      </c>
      <c r="H83" s="75">
        <v>0</v>
      </c>
      <c r="I83" s="75">
        <v>471</v>
      </c>
      <c r="K83" s="450" t="s">
        <v>540</v>
      </c>
      <c r="L83" s="75">
        <v>0</v>
      </c>
      <c r="M83" s="75">
        <v>0</v>
      </c>
      <c r="N83" s="75">
        <v>1409</v>
      </c>
    </row>
    <row r="84" spans="1:14" x14ac:dyDescent="0.25">
      <c r="A84" s="448" t="s">
        <v>541</v>
      </c>
      <c r="B84" s="75">
        <v>0</v>
      </c>
      <c r="C84" s="75">
        <v>0</v>
      </c>
      <c r="D84" s="75">
        <v>1392</v>
      </c>
      <c r="F84" s="448" t="s">
        <v>541</v>
      </c>
      <c r="G84" s="75">
        <v>0</v>
      </c>
      <c r="H84" s="75">
        <v>0</v>
      </c>
      <c r="I84" s="75">
        <v>786</v>
      </c>
      <c r="K84" s="448" t="s">
        <v>541</v>
      </c>
      <c r="L84" s="75">
        <v>0</v>
      </c>
      <c r="M84" s="75">
        <v>0</v>
      </c>
      <c r="N84" s="75">
        <v>606</v>
      </c>
    </row>
    <row r="85" spans="1:14" x14ac:dyDescent="0.25">
      <c r="A85" s="450" t="s">
        <v>529</v>
      </c>
      <c r="B85" s="75">
        <v>187</v>
      </c>
      <c r="C85" s="75">
        <v>1078</v>
      </c>
      <c r="D85" s="75">
        <v>1656</v>
      </c>
      <c r="F85" s="450" t="s">
        <v>529</v>
      </c>
      <c r="G85" s="75">
        <v>187</v>
      </c>
      <c r="H85" s="75">
        <v>1070</v>
      </c>
      <c r="I85" s="75">
        <v>1292</v>
      </c>
      <c r="K85" s="450" t="s">
        <v>529</v>
      </c>
      <c r="L85" s="75">
        <v>0</v>
      </c>
      <c r="M85" s="75">
        <v>8</v>
      </c>
      <c r="N85" s="75">
        <v>364</v>
      </c>
    </row>
    <row r="86" spans="1:14" x14ac:dyDescent="0.25">
      <c r="A86" s="448" t="s">
        <v>530</v>
      </c>
      <c r="B86" s="75">
        <v>122</v>
      </c>
      <c r="C86" s="75">
        <v>3933</v>
      </c>
      <c r="D86" s="75">
        <v>6454</v>
      </c>
      <c r="F86" s="448" t="s">
        <v>530</v>
      </c>
      <c r="G86" s="75">
        <v>122</v>
      </c>
      <c r="H86" s="75">
        <v>2579</v>
      </c>
      <c r="I86" s="75">
        <v>4030</v>
      </c>
      <c r="K86" s="448" t="s">
        <v>530</v>
      </c>
      <c r="L86" s="75">
        <v>0</v>
      </c>
      <c r="M86" s="75">
        <v>1354</v>
      </c>
      <c r="N86" s="75">
        <v>2424</v>
      </c>
    </row>
    <row r="87" spans="1:14" x14ac:dyDescent="0.25">
      <c r="A87" s="450" t="s">
        <v>531</v>
      </c>
      <c r="B87" s="75">
        <v>6</v>
      </c>
      <c r="C87" s="75">
        <v>4304</v>
      </c>
      <c r="D87" s="75">
        <v>7939</v>
      </c>
      <c r="F87" s="450" t="s">
        <v>531</v>
      </c>
      <c r="G87" s="75">
        <v>6</v>
      </c>
      <c r="H87" s="75">
        <v>3062</v>
      </c>
      <c r="I87" s="75">
        <v>5607</v>
      </c>
      <c r="K87" s="450" t="s">
        <v>531</v>
      </c>
      <c r="L87" s="75">
        <v>0</v>
      </c>
      <c r="M87" s="75">
        <v>1242</v>
      </c>
      <c r="N87" s="75">
        <v>2332</v>
      </c>
    </row>
    <row r="88" spans="1:14" x14ac:dyDescent="0.25">
      <c r="A88" s="448" t="s">
        <v>532</v>
      </c>
      <c r="B88" s="75">
        <v>0</v>
      </c>
      <c r="C88" s="75">
        <v>3134</v>
      </c>
      <c r="D88" s="75">
        <v>5662</v>
      </c>
      <c r="F88" s="448" t="s">
        <v>532</v>
      </c>
      <c r="G88" s="75">
        <v>0</v>
      </c>
      <c r="H88" s="75">
        <v>2617</v>
      </c>
      <c r="I88" s="75">
        <v>4670</v>
      </c>
      <c r="K88" s="448" t="s">
        <v>532</v>
      </c>
      <c r="L88" s="75">
        <v>0</v>
      </c>
      <c r="M88" s="75">
        <v>517</v>
      </c>
      <c r="N88" s="75">
        <v>992</v>
      </c>
    </row>
    <row r="89" spans="1:14" x14ac:dyDescent="0.25">
      <c r="A89" s="450" t="s">
        <v>533</v>
      </c>
      <c r="B89" s="75">
        <v>0</v>
      </c>
      <c r="C89" s="75">
        <v>1531</v>
      </c>
      <c r="D89" s="75">
        <v>2981</v>
      </c>
      <c r="F89" s="450" t="s">
        <v>533</v>
      </c>
      <c r="G89" s="75">
        <v>0</v>
      </c>
      <c r="H89" s="75">
        <v>1338</v>
      </c>
      <c r="I89" s="75">
        <v>2553</v>
      </c>
      <c r="K89" s="450" t="s">
        <v>533</v>
      </c>
      <c r="L89" s="75">
        <v>0</v>
      </c>
      <c r="M89" s="75">
        <v>193</v>
      </c>
      <c r="N89" s="75">
        <v>428</v>
      </c>
    </row>
    <row r="90" spans="1:14" x14ac:dyDescent="0.25">
      <c r="A90" s="448" t="s">
        <v>534</v>
      </c>
      <c r="B90" s="75">
        <v>2145</v>
      </c>
      <c r="C90" s="75">
        <v>9216</v>
      </c>
      <c r="D90" s="75">
        <v>3924</v>
      </c>
      <c r="F90" s="448" t="s">
        <v>534</v>
      </c>
      <c r="G90" s="75">
        <v>2145</v>
      </c>
      <c r="H90" s="75">
        <v>7824</v>
      </c>
      <c r="I90" s="75">
        <v>2457</v>
      </c>
      <c r="K90" s="448" t="s">
        <v>534</v>
      </c>
      <c r="L90" s="75">
        <v>0</v>
      </c>
      <c r="M90" s="75">
        <v>1392</v>
      </c>
      <c r="N90" s="75">
        <v>1467</v>
      </c>
    </row>
    <row r="91" spans="1:14" x14ac:dyDescent="0.25">
      <c r="A91" s="450" t="s">
        <v>535</v>
      </c>
      <c r="B91" s="75">
        <v>1513</v>
      </c>
      <c r="C91" s="75">
        <v>5454</v>
      </c>
      <c r="D91" s="75">
        <v>1959</v>
      </c>
      <c r="F91" s="450" t="s">
        <v>535</v>
      </c>
      <c r="G91" s="75">
        <v>1513</v>
      </c>
      <c r="H91" s="75">
        <v>4867</v>
      </c>
      <c r="I91" s="75">
        <v>1349</v>
      </c>
      <c r="K91" s="450" t="s">
        <v>535</v>
      </c>
      <c r="L91" s="75">
        <v>0</v>
      </c>
      <c r="M91" s="75">
        <v>587</v>
      </c>
      <c r="N91" s="75">
        <v>610</v>
      </c>
    </row>
    <row r="92" spans="1:14" x14ac:dyDescent="0.25">
      <c r="A92" s="448" t="s">
        <v>536</v>
      </c>
      <c r="B92" s="75">
        <v>0</v>
      </c>
      <c r="C92" s="75">
        <v>0</v>
      </c>
      <c r="D92" s="75">
        <v>116</v>
      </c>
      <c r="F92" s="448" t="s">
        <v>536</v>
      </c>
      <c r="G92" s="75">
        <v>0</v>
      </c>
      <c r="H92" s="75">
        <v>0</v>
      </c>
      <c r="I92" s="75">
        <v>104</v>
      </c>
      <c r="K92" s="448" t="s">
        <v>536</v>
      </c>
      <c r="L92" s="75">
        <v>0</v>
      </c>
      <c r="M92" s="75">
        <v>0</v>
      </c>
      <c r="N92" s="75">
        <v>12</v>
      </c>
    </row>
    <row r="93" spans="1:14" x14ac:dyDescent="0.25">
      <c r="A93" t="s">
        <v>542</v>
      </c>
      <c r="B93" s="75">
        <v>11774</v>
      </c>
      <c r="C93" s="75">
        <v>9398</v>
      </c>
      <c r="D93" s="75">
        <v>0</v>
      </c>
      <c r="F93" t="s">
        <v>542</v>
      </c>
      <c r="G93" s="75">
        <v>11774</v>
      </c>
      <c r="H93" s="75">
        <v>9398</v>
      </c>
      <c r="I93" s="75">
        <v>0</v>
      </c>
      <c r="K93" t="s">
        <v>542</v>
      </c>
      <c r="L93" s="75">
        <v>0</v>
      </c>
      <c r="M93" s="75">
        <v>0</v>
      </c>
      <c r="N93" s="75">
        <v>0</v>
      </c>
    </row>
    <row r="94" spans="1:14" x14ac:dyDescent="0.25">
      <c r="A94" t="s">
        <v>543</v>
      </c>
      <c r="B94">
        <v>944</v>
      </c>
      <c r="C94">
        <v>780</v>
      </c>
      <c r="D94">
        <v>0</v>
      </c>
      <c r="F94" t="s">
        <v>543</v>
      </c>
      <c r="G94" s="75">
        <v>944</v>
      </c>
      <c r="H94" s="75">
        <v>780</v>
      </c>
      <c r="I94" s="75">
        <v>0</v>
      </c>
      <c r="K94" t="s">
        <v>543</v>
      </c>
      <c r="L94" s="75">
        <v>0</v>
      </c>
      <c r="M94" s="75">
        <v>0</v>
      </c>
      <c r="N94" s="75">
        <v>0</v>
      </c>
    </row>
    <row r="95" spans="1:14" x14ac:dyDescent="0.25">
      <c r="A95" t="s">
        <v>544</v>
      </c>
      <c r="B95">
        <v>382</v>
      </c>
      <c r="C95">
        <v>48</v>
      </c>
      <c r="D95">
        <v>0</v>
      </c>
      <c r="F95" t="s">
        <v>544</v>
      </c>
      <c r="G95" s="75">
        <v>382</v>
      </c>
      <c r="H95" s="75">
        <v>48</v>
      </c>
      <c r="I95" s="75">
        <v>0</v>
      </c>
      <c r="K95" t="s">
        <v>544</v>
      </c>
      <c r="L95" s="75">
        <v>0</v>
      </c>
      <c r="M95" s="75">
        <v>0</v>
      </c>
      <c r="N95" s="75">
        <v>0</v>
      </c>
    </row>
    <row r="96" spans="1:14" x14ac:dyDescent="0.25">
      <c r="A96" t="s">
        <v>545</v>
      </c>
      <c r="B96">
        <v>663</v>
      </c>
      <c r="C96">
        <v>0</v>
      </c>
      <c r="D96">
        <v>0</v>
      </c>
      <c r="F96" t="s">
        <v>545</v>
      </c>
      <c r="G96" s="75">
        <v>663</v>
      </c>
      <c r="H96" s="75">
        <v>0</v>
      </c>
      <c r="I96" s="75">
        <v>0</v>
      </c>
      <c r="K96" t="s">
        <v>545</v>
      </c>
      <c r="L96" s="75">
        <v>0</v>
      </c>
      <c r="M96" s="75">
        <v>0</v>
      </c>
      <c r="N96" s="75">
        <v>0</v>
      </c>
    </row>
    <row r="97" spans="1:14" x14ac:dyDescent="0.25">
      <c r="A97" t="s">
        <v>546</v>
      </c>
      <c r="B97">
        <v>668</v>
      </c>
      <c r="C97">
        <v>0</v>
      </c>
      <c r="D97">
        <v>0</v>
      </c>
      <c r="F97" t="s">
        <v>546</v>
      </c>
      <c r="G97" s="75">
        <v>668</v>
      </c>
      <c r="H97" s="75">
        <v>0</v>
      </c>
      <c r="I97" s="75">
        <v>0</v>
      </c>
      <c r="K97" t="s">
        <v>546</v>
      </c>
      <c r="L97" s="75">
        <v>0</v>
      </c>
      <c r="M97" s="75">
        <v>0</v>
      </c>
      <c r="N97" s="75">
        <v>0</v>
      </c>
    </row>
    <row r="98" spans="1:14" x14ac:dyDescent="0.25">
      <c r="A98" t="s">
        <v>547</v>
      </c>
      <c r="B98">
        <v>471</v>
      </c>
      <c r="C98">
        <v>0</v>
      </c>
      <c r="D98">
        <v>0</v>
      </c>
      <c r="F98" t="s">
        <v>547</v>
      </c>
      <c r="G98" s="75">
        <v>471</v>
      </c>
      <c r="H98" s="75">
        <v>0</v>
      </c>
      <c r="I98" s="75">
        <v>0</v>
      </c>
      <c r="K98" t="s">
        <v>547</v>
      </c>
      <c r="L98" s="75">
        <v>0</v>
      </c>
      <c r="M98" s="75">
        <v>0</v>
      </c>
      <c r="N98" s="75">
        <v>0</v>
      </c>
    </row>
    <row r="99" spans="1:14" x14ac:dyDescent="0.25">
      <c r="A99" t="s">
        <v>548</v>
      </c>
      <c r="B99">
        <v>346</v>
      </c>
      <c r="C99">
        <v>0</v>
      </c>
      <c r="D99">
        <v>0</v>
      </c>
      <c r="F99" t="s">
        <v>548</v>
      </c>
      <c r="G99" s="75">
        <v>346</v>
      </c>
      <c r="H99" s="75">
        <v>0</v>
      </c>
      <c r="I99" s="75">
        <v>0</v>
      </c>
      <c r="K99" t="s">
        <v>548</v>
      </c>
      <c r="L99" s="75">
        <v>0</v>
      </c>
      <c r="M99" s="75">
        <v>0</v>
      </c>
      <c r="N99" s="75">
        <v>0</v>
      </c>
    </row>
    <row r="100" spans="1:14" x14ac:dyDescent="0.25">
      <c r="A100" t="s">
        <v>549</v>
      </c>
      <c r="B100">
        <v>8310</v>
      </c>
      <c r="C100">
        <v>0</v>
      </c>
      <c r="D100">
        <v>0</v>
      </c>
      <c r="F100" t="s">
        <v>549</v>
      </c>
      <c r="G100" s="75">
        <v>8310</v>
      </c>
      <c r="H100" s="75">
        <v>0</v>
      </c>
      <c r="I100" s="75">
        <v>0</v>
      </c>
      <c r="K100" t="s">
        <v>549</v>
      </c>
      <c r="L100" s="75">
        <v>0</v>
      </c>
      <c r="M100" s="75">
        <v>0</v>
      </c>
      <c r="N100" s="75">
        <v>0</v>
      </c>
    </row>
    <row r="101" spans="1:14" x14ac:dyDescent="0.25">
      <c r="A101" t="s">
        <v>550</v>
      </c>
      <c r="B101">
        <v>8651</v>
      </c>
      <c r="C101">
        <v>0</v>
      </c>
      <c r="D101">
        <v>0</v>
      </c>
      <c r="F101" t="s">
        <v>550</v>
      </c>
      <c r="G101" s="75">
        <v>8651</v>
      </c>
      <c r="H101" s="75">
        <v>0</v>
      </c>
      <c r="I101" s="75">
        <v>0</v>
      </c>
      <c r="K101" t="s">
        <v>550</v>
      </c>
      <c r="L101" s="75">
        <v>0</v>
      </c>
      <c r="M101" s="75">
        <v>0</v>
      </c>
      <c r="N101" s="75">
        <v>0</v>
      </c>
    </row>
    <row r="102" spans="1:14" x14ac:dyDescent="0.25">
      <c r="A102" t="s">
        <v>551</v>
      </c>
      <c r="B102">
        <v>197</v>
      </c>
      <c r="C102">
        <v>0</v>
      </c>
      <c r="D102">
        <v>0</v>
      </c>
      <c r="F102" t="s">
        <v>551</v>
      </c>
      <c r="G102" s="75">
        <v>197</v>
      </c>
      <c r="H102" s="75">
        <v>0</v>
      </c>
      <c r="I102" s="75">
        <v>0</v>
      </c>
      <c r="K102" t="s">
        <v>551</v>
      </c>
      <c r="L102" s="75">
        <v>0</v>
      </c>
      <c r="M102" s="75">
        <v>0</v>
      </c>
      <c r="N102" s="75">
        <v>0</v>
      </c>
    </row>
  </sheetData>
  <phoneticPr fontId="13" type="noConversion"/>
  <pageMargins left="0.7" right="0.7" top="0.75" bottom="0.75" header="0.3" footer="0.3"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1F142-464C-40B1-AA20-860B1E2E1968}">
  <dimension ref="A1:AB404"/>
  <sheetViews>
    <sheetView workbookViewId="0">
      <selection activeCell="B16" sqref="B16"/>
    </sheetView>
  </sheetViews>
  <sheetFormatPr defaultRowHeight="15" x14ac:dyDescent="0.25"/>
  <cols>
    <col min="3" max="3" width="10.42578125" customWidth="1"/>
    <col min="4" max="4" width="11.7109375" customWidth="1"/>
    <col min="5" max="5" width="11.140625" customWidth="1"/>
    <col min="7" max="7" width="20.42578125" customWidth="1"/>
    <col min="8" max="8" width="22.140625" customWidth="1"/>
    <col min="12" max="12" width="10.140625" bestFit="1" customWidth="1"/>
    <col min="13" max="13" width="10" customWidth="1"/>
    <col min="14" max="14" width="30.5703125" customWidth="1"/>
    <col min="15" max="15" width="20.42578125" customWidth="1"/>
    <col min="16" max="16" width="22.140625" customWidth="1"/>
    <col min="17" max="17" width="14.85546875" customWidth="1"/>
    <col min="18" max="18" width="10.42578125" customWidth="1"/>
    <col min="19" max="19" width="12.42578125" customWidth="1"/>
    <col min="20" max="20" width="15" customWidth="1"/>
    <col min="21" max="21" width="26" customWidth="1"/>
    <col min="22" max="22" width="16.7109375" customWidth="1"/>
    <col min="23" max="23" width="15" customWidth="1"/>
    <col min="24" max="24" width="26" customWidth="1"/>
    <col min="25" max="25" width="16.7109375" customWidth="1"/>
    <col min="26" max="27" width="10" customWidth="1"/>
    <col min="28" max="28" width="14.42578125" customWidth="1"/>
  </cols>
  <sheetData>
    <row r="1" spans="1:28" x14ac:dyDescent="0.25">
      <c r="A1" t="s">
        <v>556</v>
      </c>
      <c r="D1" t="s">
        <v>557</v>
      </c>
    </row>
    <row r="3" spans="1:28" x14ac:dyDescent="0.25">
      <c r="A3" s="47" t="s">
        <v>109</v>
      </c>
    </row>
    <row r="13" spans="1:28" x14ac:dyDescent="0.25">
      <c r="A13" s="47" t="s">
        <v>567</v>
      </c>
      <c r="B13" s="47" t="s">
        <v>568</v>
      </c>
      <c r="E13" s="47" t="s">
        <v>639</v>
      </c>
      <c r="J13" s="47" t="s">
        <v>567</v>
      </c>
      <c r="K13" s="47" t="s">
        <v>569</v>
      </c>
      <c r="N13" s="47" t="s">
        <v>570</v>
      </c>
    </row>
    <row r="14" spans="1:28" x14ac:dyDescent="0.25">
      <c r="A14" s="456" t="s">
        <v>571</v>
      </c>
      <c r="B14" s="456" t="s">
        <v>572</v>
      </c>
      <c r="C14" s="456" t="s">
        <v>573</v>
      </c>
      <c r="D14" s="457" t="s">
        <v>574</v>
      </c>
      <c r="E14" s="457" t="s">
        <v>287</v>
      </c>
      <c r="F14" s="457" t="s">
        <v>575</v>
      </c>
      <c r="G14" s="456" t="s">
        <v>566</v>
      </c>
      <c r="H14" s="456" t="s">
        <v>576</v>
      </c>
      <c r="J14" s="456" t="s">
        <v>572</v>
      </c>
      <c r="K14" s="456" t="s">
        <v>571</v>
      </c>
      <c r="L14" s="456" t="s">
        <v>573</v>
      </c>
      <c r="M14" s="457" t="s">
        <v>577</v>
      </c>
      <c r="N14" s="456" t="s">
        <v>578</v>
      </c>
      <c r="O14" s="456" t="s">
        <v>566</v>
      </c>
      <c r="P14" s="456" t="s">
        <v>576</v>
      </c>
      <c r="Q14" s="456" t="s">
        <v>579</v>
      </c>
      <c r="R14" s="456" t="s">
        <v>580</v>
      </c>
      <c r="S14" s="456" t="s">
        <v>581</v>
      </c>
      <c r="T14" s="456" t="s">
        <v>582</v>
      </c>
      <c r="U14" s="456" t="s">
        <v>583</v>
      </c>
      <c r="V14" s="456" t="s">
        <v>584</v>
      </c>
      <c r="W14" s="456" t="s">
        <v>585</v>
      </c>
      <c r="X14" s="456" t="s">
        <v>586</v>
      </c>
      <c r="Y14" s="456" t="s">
        <v>587</v>
      </c>
      <c r="Z14" s="456" t="s">
        <v>588</v>
      </c>
      <c r="AA14" s="456" t="s">
        <v>589</v>
      </c>
      <c r="AB14" s="456" t="s">
        <v>590</v>
      </c>
    </row>
    <row r="15" spans="1:28" x14ac:dyDescent="0.25">
      <c r="A15" s="101">
        <v>2017</v>
      </c>
      <c r="B15" s="101" t="s">
        <v>591</v>
      </c>
      <c r="C15" s="453">
        <v>42736</v>
      </c>
      <c r="D15" s="458"/>
      <c r="E15" s="459"/>
      <c r="F15" s="459"/>
      <c r="G15" s="56" t="s">
        <v>592</v>
      </c>
      <c r="H15" s="56" t="s">
        <v>592</v>
      </c>
      <c r="J15" s="101" t="s">
        <v>593</v>
      </c>
      <c r="K15" s="101">
        <v>2021</v>
      </c>
      <c r="L15" s="453">
        <v>44317</v>
      </c>
      <c r="M15" s="459">
        <v>0</v>
      </c>
      <c r="N15" s="56">
        <v>0</v>
      </c>
      <c r="O15" s="56">
        <v>0</v>
      </c>
      <c r="P15" s="56">
        <v>0</v>
      </c>
      <c r="Q15" s="56">
        <v>0</v>
      </c>
      <c r="R15" s="56" t="s">
        <v>592</v>
      </c>
      <c r="S15" s="56" t="s">
        <v>592</v>
      </c>
      <c r="T15" s="56" t="s">
        <v>592</v>
      </c>
      <c r="U15" s="56" t="s">
        <v>592</v>
      </c>
      <c r="V15" s="56" t="s">
        <v>592</v>
      </c>
      <c r="W15" s="56" t="s">
        <v>592</v>
      </c>
      <c r="X15" s="56">
        <v>0.1054574266978673</v>
      </c>
      <c r="Y15" s="56" t="s">
        <v>592</v>
      </c>
      <c r="Z15" s="56" t="s">
        <v>592</v>
      </c>
      <c r="AA15" s="56" t="s">
        <v>592</v>
      </c>
      <c r="AB15" s="56" t="s">
        <v>592</v>
      </c>
    </row>
    <row r="16" spans="1:28" x14ac:dyDescent="0.25">
      <c r="A16" s="101">
        <v>2017</v>
      </c>
      <c r="B16" s="101" t="s">
        <v>591</v>
      </c>
      <c r="C16" s="453">
        <v>42767</v>
      </c>
      <c r="D16" s="458"/>
      <c r="E16" s="459"/>
      <c r="F16" s="459"/>
      <c r="G16" s="56" t="s">
        <v>592</v>
      </c>
      <c r="H16" s="56" t="s">
        <v>592</v>
      </c>
      <c r="J16" s="101" t="s">
        <v>593</v>
      </c>
      <c r="K16" s="101">
        <v>2021</v>
      </c>
      <c r="L16" s="453">
        <v>44348</v>
      </c>
      <c r="M16" s="459">
        <v>0</v>
      </c>
      <c r="N16" s="56">
        <v>0</v>
      </c>
      <c r="O16" s="56">
        <v>0</v>
      </c>
      <c r="P16" s="56">
        <v>0</v>
      </c>
      <c r="Q16" s="56">
        <v>0</v>
      </c>
      <c r="R16" s="56" t="s">
        <v>592</v>
      </c>
      <c r="S16" s="56" t="s">
        <v>592</v>
      </c>
      <c r="T16" s="56" t="s">
        <v>592</v>
      </c>
      <c r="U16" s="56" t="s">
        <v>592</v>
      </c>
      <c r="V16" s="56" t="s">
        <v>592</v>
      </c>
      <c r="W16" s="56" t="s">
        <v>592</v>
      </c>
      <c r="X16" s="56">
        <v>0.1054574266978673</v>
      </c>
      <c r="Y16" s="56" t="s">
        <v>592</v>
      </c>
      <c r="Z16" s="56" t="s">
        <v>592</v>
      </c>
      <c r="AA16" s="56" t="s">
        <v>592</v>
      </c>
      <c r="AB16" s="56" t="s">
        <v>592</v>
      </c>
    </row>
    <row r="17" spans="1:28" x14ac:dyDescent="0.25">
      <c r="A17" s="101">
        <v>2017</v>
      </c>
      <c r="B17" s="101" t="s">
        <v>591</v>
      </c>
      <c r="C17" s="453">
        <v>42795</v>
      </c>
      <c r="D17" s="458"/>
      <c r="E17" s="459"/>
      <c r="F17" s="459"/>
      <c r="G17" s="56" t="s">
        <v>592</v>
      </c>
      <c r="H17" s="56" t="s">
        <v>592</v>
      </c>
      <c r="J17" s="101" t="s">
        <v>594</v>
      </c>
      <c r="K17" s="101">
        <v>2021</v>
      </c>
      <c r="L17" s="453">
        <v>44378</v>
      </c>
      <c r="M17" s="459">
        <v>0</v>
      </c>
      <c r="N17" s="56">
        <v>0</v>
      </c>
      <c r="O17" s="56">
        <v>0</v>
      </c>
      <c r="P17" s="56">
        <v>0</v>
      </c>
      <c r="Q17" s="56">
        <v>0</v>
      </c>
      <c r="R17" s="56" t="s">
        <v>592</v>
      </c>
      <c r="S17" s="56" t="s">
        <v>592</v>
      </c>
      <c r="T17" s="56" t="s">
        <v>592</v>
      </c>
      <c r="U17" s="56" t="s">
        <v>592</v>
      </c>
      <c r="V17" s="56" t="s">
        <v>592</v>
      </c>
      <c r="W17" s="56" t="s">
        <v>592</v>
      </c>
      <c r="X17" s="56">
        <v>0.1054574266978673</v>
      </c>
      <c r="Y17" s="56" t="s">
        <v>592</v>
      </c>
      <c r="Z17" s="56" t="s">
        <v>592</v>
      </c>
      <c r="AA17" s="56" t="s">
        <v>592</v>
      </c>
      <c r="AB17" s="56" t="s">
        <v>592</v>
      </c>
    </row>
    <row r="18" spans="1:28" x14ac:dyDescent="0.25">
      <c r="A18" s="101">
        <v>2017</v>
      </c>
      <c r="B18" s="101" t="s">
        <v>595</v>
      </c>
      <c r="C18" s="453">
        <v>42826</v>
      </c>
      <c r="D18" s="458"/>
      <c r="E18" s="459"/>
      <c r="F18" s="459"/>
      <c r="G18" s="56" t="s">
        <v>592</v>
      </c>
      <c r="H18" s="56" t="s">
        <v>592</v>
      </c>
      <c r="J18" s="101" t="s">
        <v>594</v>
      </c>
      <c r="K18" s="101">
        <v>2021</v>
      </c>
      <c r="L18" s="453">
        <v>44409</v>
      </c>
      <c r="M18" s="459">
        <v>0</v>
      </c>
      <c r="N18" s="56">
        <v>0</v>
      </c>
      <c r="O18" s="56">
        <v>0</v>
      </c>
      <c r="P18" s="56">
        <v>0</v>
      </c>
      <c r="Q18" s="56">
        <v>0</v>
      </c>
      <c r="R18" s="56" t="s">
        <v>592</v>
      </c>
      <c r="S18" s="56" t="s">
        <v>592</v>
      </c>
      <c r="T18" s="56" t="s">
        <v>592</v>
      </c>
      <c r="U18" s="56" t="s">
        <v>592</v>
      </c>
      <c r="V18" s="56" t="s">
        <v>592</v>
      </c>
      <c r="W18" s="56" t="s">
        <v>592</v>
      </c>
      <c r="X18" s="56">
        <v>0.1054574266978673</v>
      </c>
      <c r="Y18" s="56" t="s">
        <v>592</v>
      </c>
      <c r="Z18" s="56" t="s">
        <v>592</v>
      </c>
      <c r="AA18" s="56" t="s">
        <v>592</v>
      </c>
      <c r="AB18" s="56" t="s">
        <v>592</v>
      </c>
    </row>
    <row r="19" spans="1:28" x14ac:dyDescent="0.25">
      <c r="A19" s="101">
        <v>2017</v>
      </c>
      <c r="B19" s="101" t="s">
        <v>595</v>
      </c>
      <c r="C19" s="453">
        <v>42856</v>
      </c>
      <c r="D19" s="458"/>
      <c r="E19" s="459"/>
      <c r="F19" s="459"/>
      <c r="G19" s="56" t="s">
        <v>592</v>
      </c>
      <c r="H19" s="56" t="s">
        <v>592</v>
      </c>
      <c r="J19" s="101" t="s">
        <v>594</v>
      </c>
      <c r="K19" s="101">
        <v>2021</v>
      </c>
      <c r="L19" s="453">
        <v>44440</v>
      </c>
      <c r="M19" s="459">
        <v>0</v>
      </c>
      <c r="N19" s="56">
        <v>0</v>
      </c>
      <c r="O19" s="56">
        <v>0</v>
      </c>
      <c r="P19" s="56">
        <v>0</v>
      </c>
      <c r="Q19" s="56">
        <v>0</v>
      </c>
      <c r="R19" s="56" t="s">
        <v>592</v>
      </c>
      <c r="S19" s="56" t="s">
        <v>592</v>
      </c>
      <c r="T19" s="56" t="s">
        <v>592</v>
      </c>
      <c r="U19" s="56" t="s">
        <v>592</v>
      </c>
      <c r="V19" s="56" t="s">
        <v>592</v>
      </c>
      <c r="W19" s="56" t="s">
        <v>592</v>
      </c>
      <c r="X19" s="56">
        <v>0.1054574266978673</v>
      </c>
      <c r="Y19" s="56" t="s">
        <v>592</v>
      </c>
      <c r="Z19" s="56" t="s">
        <v>592</v>
      </c>
      <c r="AA19" s="56" t="s">
        <v>592</v>
      </c>
      <c r="AB19" s="56" t="s">
        <v>592</v>
      </c>
    </row>
    <row r="20" spans="1:28" x14ac:dyDescent="0.25">
      <c r="A20" s="101">
        <v>2017</v>
      </c>
      <c r="B20" s="101" t="s">
        <v>595</v>
      </c>
      <c r="C20" s="453">
        <v>42887</v>
      </c>
      <c r="D20" s="458"/>
      <c r="E20" s="459"/>
      <c r="F20" s="459"/>
      <c r="G20" s="56" t="s">
        <v>592</v>
      </c>
      <c r="H20" s="56" t="s">
        <v>592</v>
      </c>
      <c r="J20" s="101" t="s">
        <v>596</v>
      </c>
      <c r="K20" s="101">
        <v>2021</v>
      </c>
      <c r="L20" s="453">
        <v>44470</v>
      </c>
      <c r="M20" s="459">
        <v>0</v>
      </c>
      <c r="N20" s="56">
        <v>0</v>
      </c>
      <c r="O20" s="56">
        <v>0</v>
      </c>
      <c r="P20" s="56">
        <v>0</v>
      </c>
      <c r="Q20" s="56">
        <v>0</v>
      </c>
      <c r="R20" s="56" t="s">
        <v>592</v>
      </c>
      <c r="S20" s="56" t="s">
        <v>592</v>
      </c>
      <c r="T20" s="56" t="s">
        <v>592</v>
      </c>
      <c r="U20" s="56" t="s">
        <v>592</v>
      </c>
      <c r="V20" s="56" t="s">
        <v>592</v>
      </c>
      <c r="W20" s="56" t="s">
        <v>592</v>
      </c>
      <c r="X20" s="56">
        <v>0.1054574266978673</v>
      </c>
      <c r="Y20" s="56" t="s">
        <v>592</v>
      </c>
      <c r="Z20" s="56" t="s">
        <v>592</v>
      </c>
      <c r="AA20" s="56" t="s">
        <v>592</v>
      </c>
      <c r="AB20" s="56" t="s">
        <v>592</v>
      </c>
    </row>
    <row r="21" spans="1:28" x14ac:dyDescent="0.25">
      <c r="A21" s="101">
        <v>2017</v>
      </c>
      <c r="B21" s="101" t="s">
        <v>597</v>
      </c>
      <c r="C21" s="453">
        <v>42917</v>
      </c>
      <c r="D21" s="458"/>
      <c r="E21" s="459"/>
      <c r="F21" s="459"/>
      <c r="G21" s="56" t="s">
        <v>592</v>
      </c>
      <c r="H21" s="56" t="s">
        <v>592</v>
      </c>
      <c r="J21" s="101" t="s">
        <v>596</v>
      </c>
      <c r="K21" s="101">
        <v>2021</v>
      </c>
      <c r="L21" s="453">
        <v>44501</v>
      </c>
      <c r="M21" s="459">
        <v>0</v>
      </c>
      <c r="N21" s="56">
        <v>0</v>
      </c>
      <c r="O21" s="56">
        <v>0</v>
      </c>
      <c r="P21" s="56">
        <v>0</v>
      </c>
      <c r="Q21" s="56">
        <v>0</v>
      </c>
      <c r="R21" s="56" t="s">
        <v>592</v>
      </c>
      <c r="S21" s="56" t="s">
        <v>592</v>
      </c>
      <c r="T21" s="56" t="s">
        <v>592</v>
      </c>
      <c r="U21" s="56" t="s">
        <v>592</v>
      </c>
      <c r="V21" s="56" t="s">
        <v>592</v>
      </c>
      <c r="W21" s="56" t="s">
        <v>592</v>
      </c>
      <c r="X21" s="56">
        <v>0.1054574266978673</v>
      </c>
      <c r="Y21" s="56" t="s">
        <v>592</v>
      </c>
      <c r="Z21" s="56" t="s">
        <v>592</v>
      </c>
      <c r="AA21" s="56" t="s">
        <v>592</v>
      </c>
      <c r="AB21" s="56" t="s">
        <v>592</v>
      </c>
    </row>
    <row r="22" spans="1:28" x14ac:dyDescent="0.25">
      <c r="A22" s="101">
        <v>2017</v>
      </c>
      <c r="B22" s="101" t="s">
        <v>597</v>
      </c>
      <c r="C22" s="453">
        <v>42948</v>
      </c>
      <c r="D22" s="458"/>
      <c r="E22" s="459"/>
      <c r="F22" s="459"/>
      <c r="G22" s="56" t="s">
        <v>592</v>
      </c>
      <c r="H22" s="56" t="s">
        <v>592</v>
      </c>
      <c r="J22" s="101" t="s">
        <v>596</v>
      </c>
      <c r="K22" s="101">
        <v>2021</v>
      </c>
      <c r="L22" s="453">
        <v>44531</v>
      </c>
      <c r="M22" s="459">
        <v>0</v>
      </c>
      <c r="N22" s="56">
        <v>0</v>
      </c>
      <c r="O22" s="56">
        <v>0</v>
      </c>
      <c r="P22" s="56">
        <v>0</v>
      </c>
      <c r="Q22" s="56">
        <v>0</v>
      </c>
      <c r="R22" s="56" t="s">
        <v>592</v>
      </c>
      <c r="S22" s="56" t="s">
        <v>592</v>
      </c>
      <c r="T22" s="56" t="s">
        <v>592</v>
      </c>
      <c r="U22" s="56" t="s">
        <v>592</v>
      </c>
      <c r="V22" s="56" t="s">
        <v>592</v>
      </c>
      <c r="W22" s="56" t="s">
        <v>592</v>
      </c>
      <c r="X22" s="56">
        <v>0.1054574266978673</v>
      </c>
      <c r="Y22" s="56" t="s">
        <v>592</v>
      </c>
      <c r="Z22" s="56" t="s">
        <v>592</v>
      </c>
      <c r="AA22" s="56" t="s">
        <v>592</v>
      </c>
      <c r="AB22" s="56" t="s">
        <v>592</v>
      </c>
    </row>
    <row r="23" spans="1:28" x14ac:dyDescent="0.25">
      <c r="A23" s="101">
        <v>2017</v>
      </c>
      <c r="B23" s="101" t="s">
        <v>597</v>
      </c>
      <c r="C23" s="453">
        <v>42979</v>
      </c>
      <c r="D23" s="458"/>
      <c r="E23" s="459"/>
      <c r="F23" s="459"/>
      <c r="G23" s="56" t="s">
        <v>592</v>
      </c>
      <c r="H23" s="56" t="s">
        <v>592</v>
      </c>
      <c r="J23" s="101" t="s">
        <v>598</v>
      </c>
      <c r="K23" s="101">
        <v>2022</v>
      </c>
      <c r="L23" s="453">
        <v>44562</v>
      </c>
      <c r="M23" s="459">
        <v>49828.43</v>
      </c>
      <c r="N23" s="56">
        <v>0.71864127918211573</v>
      </c>
      <c r="O23" s="56">
        <v>0.66870193552153678</v>
      </c>
      <c r="P23" s="56">
        <v>0.69571321577378054</v>
      </c>
      <c r="Q23" s="56">
        <v>0.36905730383324381</v>
      </c>
      <c r="R23" s="56">
        <v>0</v>
      </c>
      <c r="S23" s="56">
        <v>0.60876845605092234</v>
      </c>
      <c r="T23" s="56">
        <v>0.17042054283057076</v>
      </c>
      <c r="U23" s="56">
        <v>4.2485785725137233E-2</v>
      </c>
      <c r="V23" s="56">
        <v>0.13124972359661696</v>
      </c>
      <c r="W23" s="56">
        <v>1.3083317825946867E-2</v>
      </c>
      <c r="X23" s="56">
        <v>6.3022661486525786E-2</v>
      </c>
      <c r="Y23" s="56">
        <v>4.0094598078190581E-2</v>
      </c>
      <c r="Z23" s="56">
        <v>0</v>
      </c>
      <c r="AA23" s="56">
        <v>4.3643759195302759E-3</v>
      </c>
      <c r="AB23" s="56">
        <v>0</v>
      </c>
    </row>
    <row r="24" spans="1:28" x14ac:dyDescent="0.25">
      <c r="A24" s="101">
        <v>2017</v>
      </c>
      <c r="B24" s="101" t="s">
        <v>599</v>
      </c>
      <c r="C24" s="453">
        <v>43009</v>
      </c>
      <c r="D24" s="458"/>
      <c r="E24" s="459"/>
      <c r="F24" s="459"/>
      <c r="G24" s="56" t="s">
        <v>592</v>
      </c>
      <c r="H24" s="56" t="s">
        <v>592</v>
      </c>
      <c r="J24" s="101" t="s">
        <v>598</v>
      </c>
      <c r="K24" s="101">
        <v>2022</v>
      </c>
      <c r="L24" s="453">
        <v>44593</v>
      </c>
      <c r="M24" s="459">
        <v>148586.41</v>
      </c>
      <c r="N24" s="56">
        <v>0.48601239454837547</v>
      </c>
      <c r="O24" s="56">
        <v>0.42828350129520482</v>
      </c>
      <c r="P24" s="56">
        <v>0.43921279761314641</v>
      </c>
      <c r="Q24" s="56">
        <v>0.45145642452463719</v>
      </c>
      <c r="R24" s="56">
        <v>3.6328955693344447E-2</v>
      </c>
      <c r="S24" s="56">
        <v>0.27472833347945774</v>
      </c>
      <c r="T24" s="56">
        <v>0.22882308011883454</v>
      </c>
      <c r="U24" s="56">
        <v>3.4054258394155969E-2</v>
      </c>
      <c r="V24" s="56">
        <v>4.5403541731040872E-2</v>
      </c>
      <c r="W24" s="56">
        <v>5.2937682333551329E-3</v>
      </c>
      <c r="X24" s="56">
        <v>6.3022661486525786E-2</v>
      </c>
      <c r="Y24" s="56">
        <v>1.6223064551296722E-2</v>
      </c>
      <c r="Z24" s="56">
        <v>5.4050299754869906E-2</v>
      </c>
      <c r="AA24" s="56">
        <v>2.3827885740021579E-2</v>
      </c>
      <c r="AB24" s="56">
        <v>9.0379255448214346E-2</v>
      </c>
    </row>
    <row r="25" spans="1:28" x14ac:dyDescent="0.25">
      <c r="A25" s="101">
        <v>2017</v>
      </c>
      <c r="B25" s="101" t="s">
        <v>599</v>
      </c>
      <c r="C25" s="453">
        <v>43040</v>
      </c>
      <c r="D25" s="458"/>
      <c r="E25" s="459"/>
      <c r="F25" s="459"/>
      <c r="G25" s="56" t="s">
        <v>592</v>
      </c>
      <c r="H25" s="56" t="s">
        <v>592</v>
      </c>
      <c r="J25" s="101" t="s">
        <v>598</v>
      </c>
      <c r="K25" s="101">
        <v>2022</v>
      </c>
      <c r="L25" s="453">
        <v>44621</v>
      </c>
      <c r="M25" s="459">
        <v>1281302.98</v>
      </c>
      <c r="N25" s="56">
        <v>1.3139225980017377</v>
      </c>
      <c r="O25" s="56">
        <v>1.259497777710352</v>
      </c>
      <c r="P25" s="56">
        <v>1.2772485272660667</v>
      </c>
      <c r="Q25" s="56">
        <v>1.1009988868905609</v>
      </c>
      <c r="R25" s="56">
        <v>0.29799257376082655</v>
      </c>
      <c r="S25" s="56">
        <v>0.34051156546996802</v>
      </c>
      <c r="T25" s="56">
        <v>0.24856892814815409</v>
      </c>
      <c r="U25" s="56">
        <v>0.24749928389302583</v>
      </c>
      <c r="V25" s="56">
        <v>0.12651821010366293</v>
      </c>
      <c r="W25" s="56">
        <v>8.5978411951396164E-3</v>
      </c>
      <c r="X25" s="56">
        <v>6.3022661486525786E-2</v>
      </c>
      <c r="Y25" s="56">
        <v>2.6348590750854439E-2</v>
      </c>
      <c r="Z25" s="56">
        <v>0.3412590830000255</v>
      </c>
      <c r="AA25" s="56">
        <v>2.3637430391366149E-2</v>
      </c>
      <c r="AB25" s="56">
        <v>0.63925165676085205</v>
      </c>
    </row>
    <row r="26" spans="1:28" x14ac:dyDescent="0.25">
      <c r="A26" s="101">
        <v>2017</v>
      </c>
      <c r="B26" s="101" t="s">
        <v>599</v>
      </c>
      <c r="C26" s="453">
        <v>43070</v>
      </c>
      <c r="D26" s="458"/>
      <c r="E26" s="459"/>
      <c r="F26" s="459"/>
      <c r="G26" s="56" t="s">
        <v>592</v>
      </c>
      <c r="H26" s="56" t="s">
        <v>592</v>
      </c>
      <c r="J26" s="101" t="s">
        <v>600</v>
      </c>
      <c r="K26" s="101">
        <v>2022</v>
      </c>
      <c r="L26" s="453">
        <v>44652</v>
      </c>
      <c r="M26" s="459">
        <v>1566728.1099999999</v>
      </c>
      <c r="N26" s="56">
        <v>1.0357249076353259</v>
      </c>
      <c r="O26" s="56">
        <v>0.99680830995363912</v>
      </c>
      <c r="P26" s="56">
        <v>1.0465766985132783</v>
      </c>
      <c r="Q26" s="56">
        <v>0.88645996585109033</v>
      </c>
      <c r="R26" s="56">
        <v>0.28848442482567471</v>
      </c>
      <c r="S26" s="56">
        <v>0.29292970102778321</v>
      </c>
      <c r="T26" s="56">
        <v>0.18960522816097203</v>
      </c>
      <c r="U26" s="56">
        <v>0.14302671827340868</v>
      </c>
      <c r="V26" s="56">
        <v>9.7086249355984366E-2</v>
      </c>
      <c r="W26" s="56">
        <v>2.4106063804839022E-2</v>
      </c>
      <c r="X26" s="56">
        <v>6.3022661486525786E-2</v>
      </c>
      <c r="Y26" s="56">
        <v>7.3874452364478052E-2</v>
      </c>
      <c r="Z26" s="56">
        <v>0.22825031662690601</v>
      </c>
      <c r="AA26" s="56">
        <v>2.0011085395027481E-2</v>
      </c>
      <c r="AB26" s="56">
        <v>0.51673474145258069</v>
      </c>
    </row>
    <row r="27" spans="1:28" x14ac:dyDescent="0.25">
      <c r="A27" s="101">
        <v>2018</v>
      </c>
      <c r="B27" s="101" t="s">
        <v>601</v>
      </c>
      <c r="C27" s="453">
        <v>43101</v>
      </c>
      <c r="D27" s="459">
        <v>0</v>
      </c>
      <c r="E27" s="459">
        <v>0</v>
      </c>
      <c r="F27" s="459">
        <v>0</v>
      </c>
      <c r="G27" s="56" t="s">
        <v>592</v>
      </c>
      <c r="H27" s="56" t="s">
        <v>592</v>
      </c>
      <c r="J27" s="101" t="s">
        <v>600</v>
      </c>
      <c r="K27" s="101">
        <v>2022</v>
      </c>
      <c r="L27" s="453">
        <v>44682</v>
      </c>
      <c r="M27" s="459">
        <v>2085130.38</v>
      </c>
      <c r="N27" s="56">
        <v>1.2928064223783708</v>
      </c>
      <c r="O27" s="56">
        <v>1.2812493012291051</v>
      </c>
      <c r="P27" s="56">
        <v>1.3875029405487835</v>
      </c>
      <c r="Q27" s="56">
        <v>0.89550666904352239</v>
      </c>
      <c r="R27" s="56">
        <v>0.29935504969789012</v>
      </c>
      <c r="S27" s="56">
        <v>0.40812742496717425</v>
      </c>
      <c r="T27" s="56">
        <v>0.22778057293961418</v>
      </c>
      <c r="U27" s="56">
        <v>0.32499600309144028</v>
      </c>
      <c r="V27" s="56">
        <v>0.10804310178415177</v>
      </c>
      <c r="W27" s="56">
        <v>5.1465540337259835E-2</v>
      </c>
      <c r="X27" s="56">
        <v>6.3022661486525786E-2</v>
      </c>
      <c r="Y27" s="56">
        <v>0.15771917965693835</v>
      </c>
      <c r="Z27" s="56">
        <v>0.18346580802299758</v>
      </c>
      <c r="AA27" s="56">
        <v>1.3839475112342858E-2</v>
      </c>
      <c r="AB27" s="56">
        <v>0.48282085772088768</v>
      </c>
    </row>
    <row r="28" spans="1:28" x14ac:dyDescent="0.25">
      <c r="A28" s="101">
        <v>2018</v>
      </c>
      <c r="B28" s="101" t="s">
        <v>601</v>
      </c>
      <c r="C28" s="453">
        <v>43132</v>
      </c>
      <c r="D28" s="459">
        <v>0</v>
      </c>
      <c r="E28" s="459">
        <v>0</v>
      </c>
      <c r="F28" s="459">
        <v>0</v>
      </c>
      <c r="G28" s="56" t="s">
        <v>592</v>
      </c>
      <c r="H28" s="56" t="s">
        <v>592</v>
      </c>
      <c r="J28" s="101" t="s">
        <v>600</v>
      </c>
      <c r="K28" s="101">
        <v>2022</v>
      </c>
      <c r="L28" s="453">
        <v>44713</v>
      </c>
      <c r="M28" s="459">
        <v>2783643.97</v>
      </c>
      <c r="N28" s="56">
        <v>1.2291602586537267</v>
      </c>
      <c r="O28" s="56">
        <v>1.4645177003511793</v>
      </c>
      <c r="P28" s="56">
        <v>1.5905661245096876</v>
      </c>
      <c r="Q28" s="56">
        <v>0.88137021699132478</v>
      </c>
      <c r="R28" s="56">
        <v>0.247008177424691</v>
      </c>
      <c r="S28" s="56">
        <v>0.32149855808298294</v>
      </c>
      <c r="T28" s="56">
        <v>0.24960097189438482</v>
      </c>
      <c r="U28" s="56">
        <v>0.38518435733903883</v>
      </c>
      <c r="V28" s="56">
        <v>0.10929190186523499</v>
      </c>
      <c r="W28" s="56">
        <v>0.29838010318397823</v>
      </c>
      <c r="X28" s="56">
        <v>6.3022661486525786E-2</v>
      </c>
      <c r="Y28" s="56">
        <v>0.42442852734248665</v>
      </c>
      <c r="Z28" s="56">
        <v>0.19721692738576257</v>
      </c>
      <c r="AA28" s="56">
        <v>1.5229576934725599E-2</v>
      </c>
      <c r="AB28" s="56">
        <v>0.44422510481045357</v>
      </c>
    </row>
    <row r="29" spans="1:28" x14ac:dyDescent="0.25">
      <c r="A29" s="101">
        <v>2018</v>
      </c>
      <c r="B29" s="101" t="s">
        <v>601</v>
      </c>
      <c r="C29" s="453">
        <v>43160</v>
      </c>
      <c r="D29" s="459">
        <v>0</v>
      </c>
      <c r="E29" s="459">
        <v>0</v>
      </c>
      <c r="F29" s="459">
        <v>0</v>
      </c>
      <c r="G29" s="56" t="s">
        <v>592</v>
      </c>
      <c r="H29" s="56" t="s">
        <v>592</v>
      </c>
      <c r="J29" s="101" t="s">
        <v>602</v>
      </c>
      <c r="K29" s="101">
        <v>2022</v>
      </c>
      <c r="L29" s="453">
        <v>44743</v>
      </c>
      <c r="M29" s="459">
        <v>3597895.1100000003</v>
      </c>
      <c r="N29" s="56">
        <v>1.1702178204507514</v>
      </c>
      <c r="O29" s="56">
        <v>1.3277700537885446</v>
      </c>
      <c r="P29" s="56">
        <v>1.7083591706637138</v>
      </c>
      <c r="Q29" s="56">
        <v>0.85438750960876886</v>
      </c>
      <c r="R29" s="56">
        <v>0.25244347062912426</v>
      </c>
      <c r="S29" s="56">
        <v>0.46613281057301431</v>
      </c>
      <c r="T29" s="56">
        <v>0.29037863735824765</v>
      </c>
      <c r="U29" s="56">
        <v>0.2270903660177086</v>
      </c>
      <c r="V29" s="56">
        <v>8.7014228390492526E-2</v>
      </c>
      <c r="W29" s="56">
        <v>0.220574894824319</v>
      </c>
      <c r="X29" s="56">
        <v>6.3022661486525786E-2</v>
      </c>
      <c r="Y29" s="56">
        <v>0.60116401169948808</v>
      </c>
      <c r="Z29" s="56">
        <v>0.14038404041486285</v>
      </c>
      <c r="AA29" s="56">
        <v>2.114447132951577E-2</v>
      </c>
      <c r="AB29" s="56">
        <v>0.39282751104398711</v>
      </c>
    </row>
    <row r="30" spans="1:28" x14ac:dyDescent="0.25">
      <c r="A30" s="101">
        <v>2018</v>
      </c>
      <c r="B30" s="101" t="s">
        <v>603</v>
      </c>
      <c r="C30" s="453">
        <v>43191</v>
      </c>
      <c r="D30" s="459">
        <v>0</v>
      </c>
      <c r="E30" s="459">
        <v>0</v>
      </c>
      <c r="F30" s="459">
        <v>0</v>
      </c>
      <c r="G30" s="56" t="s">
        <v>592</v>
      </c>
      <c r="H30" s="56" t="s">
        <v>592</v>
      </c>
      <c r="J30" s="101" t="s">
        <v>602</v>
      </c>
      <c r="K30" s="101">
        <v>2022</v>
      </c>
      <c r="L30" s="453">
        <v>44774</v>
      </c>
      <c r="M30" s="459">
        <v>2650012.4900000002</v>
      </c>
      <c r="N30" s="56">
        <v>1.0111288257885853</v>
      </c>
      <c r="O30" s="56">
        <v>0.96190044953702269</v>
      </c>
      <c r="P30" s="56">
        <v>0.99037956388078907</v>
      </c>
      <c r="Q30" s="56">
        <v>0.81615735347818774</v>
      </c>
      <c r="R30" s="56">
        <v>0.28586616848321944</v>
      </c>
      <c r="S30" s="56">
        <v>0.44359311696506742</v>
      </c>
      <c r="T30" s="56">
        <v>0.24223590362780795</v>
      </c>
      <c r="U30" s="56">
        <v>9.8237065290209258E-2</v>
      </c>
      <c r="V30" s="56">
        <v>0.10462280631707108</v>
      </c>
      <c r="W30" s="56">
        <v>1.3794285234963198E-2</v>
      </c>
      <c r="X30" s="56">
        <v>6.3022661486525786E-2</v>
      </c>
      <c r="Y30" s="56">
        <v>4.2273399578729623E-2</v>
      </c>
      <c r="Z30" s="56">
        <v>0.10396762690805822</v>
      </c>
      <c r="AA30" s="56">
        <v>1.6442186655505162E-2</v>
      </c>
      <c r="AB30" s="56">
        <v>0.38983379539127766</v>
      </c>
    </row>
    <row r="31" spans="1:28" x14ac:dyDescent="0.25">
      <c r="A31" s="101">
        <v>2018</v>
      </c>
      <c r="B31" s="101" t="s">
        <v>603</v>
      </c>
      <c r="C31" s="453">
        <v>43221</v>
      </c>
      <c r="D31" s="459">
        <v>0</v>
      </c>
      <c r="E31" s="459">
        <v>0</v>
      </c>
      <c r="F31" s="459">
        <v>0</v>
      </c>
      <c r="G31" s="56" t="s">
        <v>592</v>
      </c>
      <c r="H31" s="56" t="s">
        <v>592</v>
      </c>
      <c r="J31" s="101" t="s">
        <v>602</v>
      </c>
      <c r="K31" s="101">
        <v>2022</v>
      </c>
      <c r="L31" s="453">
        <v>44805</v>
      </c>
      <c r="M31" s="459">
        <v>2390236.4899999998</v>
      </c>
      <c r="N31" s="56">
        <v>0.99115321336604922</v>
      </c>
      <c r="O31" s="56">
        <v>0.94717975094785134</v>
      </c>
      <c r="P31" s="56">
        <v>0.98650794441227574</v>
      </c>
      <c r="Q31" s="56">
        <v>0.81099840564395309</v>
      </c>
      <c r="R31" s="56">
        <v>0.31256746446488348</v>
      </c>
      <c r="S31" s="56">
        <v>0.34817832814773048</v>
      </c>
      <c r="T31" s="56">
        <v>0.19909819612793189</v>
      </c>
      <c r="U31" s="56">
        <v>9.7127489673626402E-2</v>
      </c>
      <c r="V31" s="56">
        <v>6.6052813971328977E-2</v>
      </c>
      <c r="W31" s="56">
        <v>1.9049199068328127E-2</v>
      </c>
      <c r="X31" s="56">
        <v>6.3022661486525786E-2</v>
      </c>
      <c r="Y31" s="56">
        <v>5.8377392532752551E-2</v>
      </c>
      <c r="Z31" s="56">
        <v>0.14831394297291156</v>
      </c>
      <c r="AA31" s="56">
        <v>2.1943326620371361E-2</v>
      </c>
      <c r="AB31" s="56">
        <v>0.46088140743779504</v>
      </c>
    </row>
    <row r="32" spans="1:28" x14ac:dyDescent="0.25">
      <c r="A32" s="101">
        <v>2018</v>
      </c>
      <c r="B32" s="101" t="s">
        <v>603</v>
      </c>
      <c r="C32" s="453">
        <v>43252</v>
      </c>
      <c r="D32" s="459">
        <v>0</v>
      </c>
      <c r="E32" s="459">
        <v>0</v>
      </c>
      <c r="F32" s="459">
        <v>0</v>
      </c>
      <c r="G32" s="56" t="s">
        <v>592</v>
      </c>
      <c r="H32" s="56" t="s">
        <v>592</v>
      </c>
      <c r="J32" s="101" t="s">
        <v>604</v>
      </c>
      <c r="K32" s="101">
        <v>2022</v>
      </c>
      <c r="L32" s="453">
        <v>44835</v>
      </c>
      <c r="M32" s="459">
        <v>3097547.18</v>
      </c>
      <c r="N32" s="56">
        <v>0.95158588803060107</v>
      </c>
      <c r="O32" s="56">
        <v>0.902929315625008</v>
      </c>
      <c r="P32" s="56">
        <v>0.93258895268772612</v>
      </c>
      <c r="Q32" s="56">
        <v>0.89531059319156059</v>
      </c>
      <c r="R32" s="56">
        <v>0.38732071568325677</v>
      </c>
      <c r="S32" s="56">
        <v>0.29458356039465849</v>
      </c>
      <c r="T32" s="56">
        <v>0.22773896387924816</v>
      </c>
      <c r="U32" s="56">
        <v>7.3184935313882774E-2</v>
      </c>
      <c r="V32" s="56">
        <v>8.3754236990252626E-2</v>
      </c>
      <c r="W32" s="56">
        <v>1.4366089080932783E-2</v>
      </c>
      <c r="X32" s="56">
        <v>6.3022661486525786E-2</v>
      </c>
      <c r="Y32" s="56">
        <v>4.4025726143650863E-2</v>
      </c>
      <c r="Z32" s="56">
        <v>0.11031679241063685</v>
      </c>
      <c r="AA32" s="56">
        <v>2.3157222741640369E-2</v>
      </c>
      <c r="AB32" s="56">
        <v>0.49763750809389362</v>
      </c>
    </row>
    <row r="33" spans="1:28" x14ac:dyDescent="0.25">
      <c r="A33" s="101">
        <v>2018</v>
      </c>
      <c r="B33" s="101" t="s">
        <v>605</v>
      </c>
      <c r="C33" s="453">
        <v>43282</v>
      </c>
      <c r="D33" s="459">
        <v>0</v>
      </c>
      <c r="E33" s="459">
        <v>0</v>
      </c>
      <c r="F33" s="459">
        <v>0</v>
      </c>
      <c r="G33" s="56" t="s">
        <v>592</v>
      </c>
      <c r="H33" s="56" t="s">
        <v>592</v>
      </c>
      <c r="J33" s="101" t="s">
        <v>604</v>
      </c>
      <c r="K33" s="101">
        <v>2022</v>
      </c>
      <c r="L33" s="453">
        <v>44866</v>
      </c>
      <c r="M33" s="459">
        <v>2832841.0699999989</v>
      </c>
      <c r="N33" s="56">
        <v>1.193606302037022</v>
      </c>
      <c r="O33" s="56">
        <v>1.1895446865360737</v>
      </c>
      <c r="P33" s="56">
        <v>1.3112732387480655</v>
      </c>
      <c r="Q33" s="56">
        <v>0.95848427326722052</v>
      </c>
      <c r="R33" s="56">
        <v>0.31003689424130743</v>
      </c>
      <c r="S33" s="56">
        <v>0.3862467668018898</v>
      </c>
      <c r="T33" s="56">
        <v>0.27755559108552047</v>
      </c>
      <c r="U33" s="56">
        <v>0.2279717264281742</v>
      </c>
      <c r="V33" s="56">
        <v>0.10154087337474198</v>
      </c>
      <c r="W33" s="56">
        <v>5.8961045985577165E-2</v>
      </c>
      <c r="X33" s="56">
        <v>6.3022661486525786E-2</v>
      </c>
      <c r="Y33" s="56">
        <v>0.18068959819756886</v>
      </c>
      <c r="Z33" s="56">
        <v>0.18257135127514823</v>
      </c>
      <c r="AA33" s="56">
        <v>2.3756901803976625E-2</v>
      </c>
      <c r="AB33" s="56">
        <v>0.49260824551645566</v>
      </c>
    </row>
    <row r="34" spans="1:28" x14ac:dyDescent="0.25">
      <c r="A34" s="101">
        <v>2018</v>
      </c>
      <c r="B34" s="101" t="s">
        <v>605</v>
      </c>
      <c r="C34" s="453">
        <v>43313</v>
      </c>
      <c r="D34" s="459">
        <v>0</v>
      </c>
      <c r="E34" s="459">
        <v>0</v>
      </c>
      <c r="F34" s="459">
        <v>0</v>
      </c>
      <c r="G34" s="56" t="s">
        <v>592</v>
      </c>
      <c r="H34" s="56" t="s">
        <v>592</v>
      </c>
      <c r="J34" s="101" t="s">
        <v>604</v>
      </c>
      <c r="K34" s="101">
        <v>2022</v>
      </c>
      <c r="L34" s="453">
        <v>44896</v>
      </c>
      <c r="M34" s="459">
        <v>2477369.52</v>
      </c>
      <c r="N34" s="56">
        <v>1.0778927048952722</v>
      </c>
      <c r="O34" s="56">
        <v>1.0589189274039439</v>
      </c>
      <c r="P34" s="56">
        <v>1.1498604428682548</v>
      </c>
      <c r="Q34" s="56">
        <v>0.88811229430908212</v>
      </c>
      <c r="R34" s="56">
        <v>0.36140455421914119</v>
      </c>
      <c r="S34" s="56">
        <v>0.39324092852301196</v>
      </c>
      <c r="T34" s="56">
        <v>0.29206281238533532</v>
      </c>
      <c r="U34" s="56">
        <v>0.18558262152187938</v>
      </c>
      <c r="V34" s="56">
        <v>9.6980327073365832E-2</v>
      </c>
      <c r="W34" s="56">
        <v>4.404888399519713E-2</v>
      </c>
      <c r="X34" s="56">
        <v>6.3022661486525786E-2</v>
      </c>
      <c r="Y34" s="56">
        <v>0.13499039945950814</v>
      </c>
      <c r="Z34" s="56">
        <v>5.0619643819886401E-2</v>
      </c>
      <c r="AA34" s="56">
        <v>2.4022295324827594E-2</v>
      </c>
      <c r="AB34" s="56">
        <v>0.41202419803902757</v>
      </c>
    </row>
    <row r="35" spans="1:28" x14ac:dyDescent="0.25">
      <c r="A35" s="101">
        <v>2018</v>
      </c>
      <c r="B35" s="101" t="s">
        <v>605</v>
      </c>
      <c r="C35" s="453">
        <v>43344</v>
      </c>
      <c r="D35" s="459">
        <v>0</v>
      </c>
      <c r="E35" s="459">
        <v>0</v>
      </c>
      <c r="F35" s="459">
        <v>0</v>
      </c>
      <c r="G35" s="56" t="s">
        <v>592</v>
      </c>
      <c r="H35" s="56" t="s">
        <v>592</v>
      </c>
      <c r="J35" s="101" t="s">
        <v>606</v>
      </c>
      <c r="K35" s="101">
        <v>2023</v>
      </c>
      <c r="L35" s="453">
        <v>44927</v>
      </c>
      <c r="M35" s="459">
        <v>2072957.02</v>
      </c>
      <c r="N35" s="56">
        <v>1.1903577762156492</v>
      </c>
      <c r="O35" s="56">
        <v>1.2160519037200093</v>
      </c>
      <c r="P35" s="56">
        <v>1.3929724772920469</v>
      </c>
      <c r="Q35" s="56">
        <v>0.87553754399186112</v>
      </c>
      <c r="R35" s="56">
        <v>0.30912933727076713</v>
      </c>
      <c r="S35" s="56">
        <v>0.4751829584933554</v>
      </c>
      <c r="T35" s="56">
        <v>0.31410375341760854</v>
      </c>
      <c r="U35" s="56">
        <v>0.25765187838713999</v>
      </c>
      <c r="V35" s="56">
        <v>0.10391085123909902</v>
      </c>
      <c r="W35" s="56">
        <v>8.5694127504360326E-2</v>
      </c>
      <c r="X35" s="56">
        <v>0.06</v>
      </c>
      <c r="Y35" s="56">
        <v>0.26261470107639784</v>
      </c>
      <c r="Z35" s="56">
        <v>6.7606009383841981E-2</v>
      </c>
      <c r="AA35" s="56">
        <v>2.0787592680544476E-2</v>
      </c>
      <c r="AB35" s="56">
        <v>0.37673534665460912</v>
      </c>
    </row>
    <row r="36" spans="1:28" x14ac:dyDescent="0.25">
      <c r="A36" s="101">
        <v>2018</v>
      </c>
      <c r="B36" s="101" t="s">
        <v>607</v>
      </c>
      <c r="C36" s="453">
        <v>43374</v>
      </c>
      <c r="D36" s="459">
        <v>0</v>
      </c>
      <c r="E36" s="459">
        <v>0</v>
      </c>
      <c r="F36" s="459">
        <v>0</v>
      </c>
      <c r="G36" s="56" t="s">
        <v>592</v>
      </c>
      <c r="H36" s="56" t="s">
        <v>592</v>
      </c>
      <c r="J36" s="101" t="s">
        <v>606</v>
      </c>
      <c r="K36" s="101">
        <v>2023</v>
      </c>
      <c r="L36" s="453">
        <v>44958</v>
      </c>
      <c r="M36" s="459">
        <v>2064892.5499999998</v>
      </c>
      <c r="N36" s="56">
        <v>0.84885764727597746</v>
      </c>
      <c r="O36" s="56">
        <v>0.81225228017690887</v>
      </c>
      <c r="P36" s="56">
        <v>0.86055187773252295</v>
      </c>
      <c r="Q36" s="56">
        <v>0.70424430267761839</v>
      </c>
      <c r="R36" s="56">
        <v>0.22279638072545016</v>
      </c>
      <c r="S36" s="56">
        <v>0.42549734805823286</v>
      </c>
      <c r="T36" s="56">
        <v>0.29629427875060532</v>
      </c>
      <c r="U36" s="56">
        <v>9.6601636729233206E-2</v>
      </c>
      <c r="V36" s="56">
        <v>8.1191361438501725E-2</v>
      </c>
      <c r="W36" s="56">
        <v>2.339463290093162E-2</v>
      </c>
      <c r="X36" s="56">
        <v>0.06</v>
      </c>
      <c r="Y36" s="56">
        <v>7.1694230456545702E-2</v>
      </c>
      <c r="Z36" s="56">
        <v>2.3164163294022062E-2</v>
      </c>
      <c r="AA36" s="56">
        <v>2.0798118469039104E-2</v>
      </c>
      <c r="AB36" s="56">
        <v>0.24596054401947223</v>
      </c>
    </row>
    <row r="37" spans="1:28" x14ac:dyDescent="0.25">
      <c r="A37" s="101">
        <v>2018</v>
      </c>
      <c r="B37" s="101" t="s">
        <v>607</v>
      </c>
      <c r="C37" s="453">
        <v>43405</v>
      </c>
      <c r="D37" s="459">
        <v>0</v>
      </c>
      <c r="E37" s="459">
        <v>0</v>
      </c>
      <c r="F37" s="459">
        <v>0</v>
      </c>
      <c r="G37" s="56" t="s">
        <v>592</v>
      </c>
      <c r="H37" s="56" t="s">
        <v>592</v>
      </c>
      <c r="J37" s="101" t="s">
        <v>606</v>
      </c>
      <c r="K37" s="101">
        <v>2023</v>
      </c>
      <c r="L37" s="453">
        <v>44986</v>
      </c>
      <c r="M37" s="459">
        <v>2330639.16</v>
      </c>
      <c r="N37" s="56">
        <v>1.4292356721722568</v>
      </c>
      <c r="O37" s="56">
        <v>1.4269662503313274</v>
      </c>
      <c r="P37" s="56">
        <v>1.5461544292415847</v>
      </c>
      <c r="Q37" s="56">
        <v>0.89941575275030905</v>
      </c>
      <c r="R37" s="56">
        <v>0.28978107122332569</v>
      </c>
      <c r="S37" s="56">
        <v>0.47532550433177551</v>
      </c>
      <c r="T37" s="56">
        <v>0.33523293626031642</v>
      </c>
      <c r="U37" s="56">
        <v>0.54220581013278257</v>
      </c>
      <c r="V37" s="56">
        <v>0.15247845878229394</v>
      </c>
      <c r="W37" s="56">
        <v>5.7730578159070532E-2</v>
      </c>
      <c r="X37" s="56">
        <v>0.06</v>
      </c>
      <c r="Y37" s="56">
        <v>0.17691875706932791</v>
      </c>
      <c r="Z37" s="56">
        <v>3.5633080433643334E-2</v>
      </c>
      <c r="AA37" s="56">
        <v>2.629020605072966E-2</v>
      </c>
      <c r="AB37" s="56">
        <v>0.32541415165696902</v>
      </c>
    </row>
    <row r="38" spans="1:28" x14ac:dyDescent="0.25">
      <c r="A38" s="101">
        <v>2018</v>
      </c>
      <c r="B38" s="101" t="s">
        <v>607</v>
      </c>
      <c r="C38" s="453">
        <v>43435</v>
      </c>
      <c r="D38" s="459">
        <v>0</v>
      </c>
      <c r="E38" s="459">
        <v>0</v>
      </c>
      <c r="F38" s="459">
        <v>0</v>
      </c>
      <c r="G38" s="56" t="s">
        <v>592</v>
      </c>
      <c r="H38" s="56" t="s">
        <v>592</v>
      </c>
      <c r="J38" s="101" t="s">
        <v>608</v>
      </c>
      <c r="K38" s="101">
        <v>2023</v>
      </c>
      <c r="L38" s="453">
        <v>45017</v>
      </c>
      <c r="M38" s="459">
        <v>2056148.3900000001</v>
      </c>
      <c r="N38" s="56">
        <v>1.0820829649706749</v>
      </c>
      <c r="O38" s="56">
        <v>1.0519554560920583</v>
      </c>
      <c r="P38" s="56">
        <v>1.1136289734862561</v>
      </c>
      <c r="Q38" s="56">
        <v>0.89674154632240755</v>
      </c>
      <c r="R38" s="56">
        <v>0.32226532747583975</v>
      </c>
      <c r="S38" s="56">
        <v>0.52392412692646662</v>
      </c>
      <c r="T38" s="56">
        <v>0.32901912478076073</v>
      </c>
      <c r="U38" s="56">
        <v>8.5983847693015952E-2</v>
      </c>
      <c r="V38" s="56">
        <v>9.5547431190454404E-2</v>
      </c>
      <c r="W38" s="56">
        <v>2.9872491121383401E-2</v>
      </c>
      <c r="X38" s="56">
        <v>0.06</v>
      </c>
      <c r="Y38" s="56">
        <v>9.1546008515580993E-2</v>
      </c>
      <c r="Z38" s="56">
        <v>7.257391127741987E-2</v>
      </c>
      <c r="AA38" s="56">
        <v>1.7335751597932894E-2</v>
      </c>
      <c r="AB38" s="56">
        <v>0.3948392387532596</v>
      </c>
    </row>
    <row r="39" spans="1:28" x14ac:dyDescent="0.25">
      <c r="A39" s="101">
        <v>2019</v>
      </c>
      <c r="B39" s="101" t="s">
        <v>609</v>
      </c>
      <c r="C39" s="453">
        <v>43466</v>
      </c>
      <c r="D39" s="459">
        <v>0</v>
      </c>
      <c r="E39" s="459">
        <v>0</v>
      </c>
      <c r="F39" s="459">
        <v>0</v>
      </c>
      <c r="G39" s="56" t="s">
        <v>592</v>
      </c>
      <c r="H39" s="56" t="s">
        <v>592</v>
      </c>
      <c r="J39" s="101" t="s">
        <v>608</v>
      </c>
      <c r="K39" s="101">
        <v>2023</v>
      </c>
      <c r="L39" s="453">
        <v>45047</v>
      </c>
      <c r="M39" s="459">
        <v>2333249.5100000002</v>
      </c>
      <c r="N39" s="56">
        <v>1.008649329392713</v>
      </c>
      <c r="O39" s="56">
        <v>1.0237151241179439</v>
      </c>
      <c r="P39" s="56">
        <v>1.1786928786642277</v>
      </c>
      <c r="Q39" s="56">
        <v>0.808964817177519</v>
      </c>
      <c r="R39" s="56">
        <v>0.22624643640958109</v>
      </c>
      <c r="S39" s="56">
        <v>0.41410975836648062</v>
      </c>
      <c r="T39" s="56">
        <v>0.28646382416485749</v>
      </c>
      <c r="U39" s="56">
        <v>0.20006445860134348</v>
      </c>
      <c r="V39" s="56">
        <v>0.12802588058777267</v>
      </c>
      <c r="W39" s="56">
        <v>7.5065794725231005E-2</v>
      </c>
      <c r="X39" s="56">
        <v>0.06</v>
      </c>
      <c r="Y39" s="56">
        <v>0.23004354927151482</v>
      </c>
      <c r="Z39" s="56">
        <v>9.2077132202153536E-2</v>
      </c>
      <c r="AA39" s="56">
        <v>1.615154381315418E-2</v>
      </c>
      <c r="AB39" s="56">
        <v>0.31832356861173461</v>
      </c>
    </row>
    <row r="40" spans="1:28" x14ac:dyDescent="0.25">
      <c r="A40" s="101">
        <v>2019</v>
      </c>
      <c r="B40" s="101" t="s">
        <v>609</v>
      </c>
      <c r="C40" s="453">
        <v>43497</v>
      </c>
      <c r="D40" s="459">
        <v>0</v>
      </c>
      <c r="E40" s="459">
        <v>0</v>
      </c>
      <c r="F40" s="459">
        <v>0</v>
      </c>
      <c r="G40" s="56" t="s">
        <v>592</v>
      </c>
      <c r="H40" s="56" t="s">
        <v>592</v>
      </c>
      <c r="J40" s="101" t="s">
        <v>608</v>
      </c>
      <c r="K40" s="101">
        <v>2023</v>
      </c>
      <c r="L40" s="453">
        <v>45078</v>
      </c>
      <c r="M40" s="459">
        <v>2153953.42</v>
      </c>
      <c r="N40" s="56">
        <v>1.007965806116031</v>
      </c>
      <c r="O40" s="56">
        <v>1.0047961846607096</v>
      </c>
      <c r="P40" s="56">
        <v>1.1221258484457683</v>
      </c>
      <c r="Q40" s="56">
        <v>0.66738360791008211</v>
      </c>
      <c r="R40" s="56">
        <v>0.20659768610550355</v>
      </c>
      <c r="S40" s="56">
        <v>0.35959926460052105</v>
      </c>
      <c r="T40" s="56">
        <v>0.22456220729503298</v>
      </c>
      <c r="U40" s="56">
        <v>0.30170301918599524</v>
      </c>
      <c r="V40" s="56">
        <v>9.615787828553421E-2</v>
      </c>
      <c r="W40" s="56">
        <v>5.6830378544678532E-2</v>
      </c>
      <c r="X40" s="56">
        <v>0.06</v>
      </c>
      <c r="Y40" s="56">
        <v>0.17416004232973717</v>
      </c>
      <c r="Z40" s="56">
        <v>6.5584537041056559E-2</v>
      </c>
      <c r="AA40" s="56">
        <v>1.4481299182954729E-2</v>
      </c>
      <c r="AB40" s="56">
        <v>0.2721822231465601</v>
      </c>
    </row>
    <row r="41" spans="1:28" x14ac:dyDescent="0.25">
      <c r="A41" s="101">
        <v>2019</v>
      </c>
      <c r="B41" s="101" t="s">
        <v>609</v>
      </c>
      <c r="C41" s="453">
        <v>43525</v>
      </c>
      <c r="D41" s="459">
        <v>0</v>
      </c>
      <c r="E41" s="459">
        <v>0</v>
      </c>
      <c r="F41" s="459">
        <v>0</v>
      </c>
      <c r="G41" s="56" t="s">
        <v>592</v>
      </c>
      <c r="H41" s="56" t="s">
        <v>592</v>
      </c>
      <c r="J41" s="101" t="s">
        <v>610</v>
      </c>
      <c r="K41" s="101">
        <v>2023</v>
      </c>
      <c r="L41" s="453">
        <v>45108</v>
      </c>
      <c r="M41" s="459">
        <v>2202500.89</v>
      </c>
      <c r="N41" s="56">
        <v>0.88271475990125681</v>
      </c>
      <c r="O41" s="56">
        <v>0.86004814576233768</v>
      </c>
      <c r="P41" s="56">
        <v>0.93712511978943802</v>
      </c>
      <c r="Q41" s="56">
        <v>0.68283406728766227</v>
      </c>
      <c r="R41" s="56">
        <v>0.22764079003899504</v>
      </c>
      <c r="S41" s="56">
        <v>0.28668353760702536</v>
      </c>
      <c r="T41" s="56">
        <v>0.26277272539587265</v>
      </c>
      <c r="U41" s="56">
        <v>0.26794762163523572</v>
      </c>
      <c r="V41" s="56">
        <v>9.1977741232794022E-2</v>
      </c>
      <c r="W41" s="56">
        <v>3.7333385861080787E-2</v>
      </c>
      <c r="X41" s="56">
        <v>0.06</v>
      </c>
      <c r="Y41" s="56">
        <v>0.11441035988818118</v>
      </c>
      <c r="Z41" s="56">
        <v>3.3194712627223379E-2</v>
      </c>
      <c r="AA41" s="56">
        <v>7.2480979927772391E-3</v>
      </c>
      <c r="AB41" s="56">
        <v>0.26083550266621841</v>
      </c>
    </row>
    <row r="42" spans="1:28" x14ac:dyDescent="0.25">
      <c r="A42" s="101">
        <v>2019</v>
      </c>
      <c r="B42" s="101" t="s">
        <v>611</v>
      </c>
      <c r="C42" s="453">
        <v>43556</v>
      </c>
      <c r="D42" s="459">
        <v>0</v>
      </c>
      <c r="E42" s="459">
        <v>0</v>
      </c>
      <c r="F42" s="459">
        <v>0</v>
      </c>
      <c r="G42" s="56" t="s">
        <v>592</v>
      </c>
      <c r="H42" s="56" t="s">
        <v>592</v>
      </c>
      <c r="J42" s="101" t="s">
        <v>610</v>
      </c>
      <c r="K42" s="101">
        <v>2023</v>
      </c>
      <c r="L42" s="453">
        <v>45139</v>
      </c>
      <c r="M42" s="459">
        <v>2384839.2599999998</v>
      </c>
      <c r="N42" s="56">
        <v>1.0306579568927543</v>
      </c>
      <c r="O42" s="56">
        <v>1.0190432451660063</v>
      </c>
      <c r="P42" s="56">
        <v>1.1189375226743048</v>
      </c>
      <c r="Q42" s="56">
        <v>0.76455790666307721</v>
      </c>
      <c r="R42" s="56">
        <v>0.28284968379670306</v>
      </c>
      <c r="S42" s="56">
        <v>0.41676630105622492</v>
      </c>
      <c r="T42" s="56">
        <v>0.25618744824476758</v>
      </c>
      <c r="U42" s="56">
        <v>0.22035908617170286</v>
      </c>
      <c r="V42" s="56">
        <v>0.11483788875348298</v>
      </c>
      <c r="W42" s="56">
        <v>4.8385288273251822E-2</v>
      </c>
      <c r="X42" s="56">
        <v>0.06</v>
      </c>
      <c r="Y42" s="56">
        <v>0.14827956578155044</v>
      </c>
      <c r="Z42" s="56">
        <v>4.0474981390699702E-2</v>
      </c>
      <c r="AA42" s="56">
        <v>1.0207904477423835E-2</v>
      </c>
      <c r="AB42" s="56">
        <v>0.32332466518740277</v>
      </c>
    </row>
    <row r="43" spans="1:28" x14ac:dyDescent="0.25">
      <c r="A43" s="101">
        <v>2019</v>
      </c>
      <c r="B43" s="101" t="s">
        <v>611</v>
      </c>
      <c r="C43" s="453">
        <v>43586</v>
      </c>
      <c r="D43" s="459">
        <v>0</v>
      </c>
      <c r="E43" s="459">
        <v>0</v>
      </c>
      <c r="F43" s="459">
        <v>0</v>
      </c>
      <c r="G43" s="56" t="s">
        <v>592</v>
      </c>
      <c r="H43" s="56" t="s">
        <v>592</v>
      </c>
      <c r="J43" s="101" t="s">
        <v>610</v>
      </c>
      <c r="K43" s="101">
        <v>2023</v>
      </c>
      <c r="L43" s="453">
        <v>45170</v>
      </c>
      <c r="M43" s="459">
        <v>2351739.6700000009</v>
      </c>
      <c r="N43" s="56">
        <v>1.0138072332204751</v>
      </c>
      <c r="O43" s="56">
        <v>0.98823732784170637</v>
      </c>
      <c r="P43" s="56">
        <v>1.0593202861018021</v>
      </c>
      <c r="Q43" s="56">
        <v>0.77970394176360536</v>
      </c>
      <c r="R43" s="56">
        <v>0.24386586373871885</v>
      </c>
      <c r="S43" s="56">
        <v>0.50513456347515651</v>
      </c>
      <c r="T43" s="56">
        <v>0.29093933040159531</v>
      </c>
      <c r="U43" s="56">
        <v>0.14387538481246945</v>
      </c>
      <c r="V43" s="56">
        <v>0.1239673264291609</v>
      </c>
      <c r="W43" s="56">
        <v>3.4430094621231304E-2</v>
      </c>
      <c r="X43" s="56">
        <v>0.06</v>
      </c>
      <c r="Y43" s="56">
        <v>0.10551305288132705</v>
      </c>
      <c r="Z43" s="56">
        <v>5.1895088725730704E-2</v>
      </c>
      <c r="AA43" s="56">
        <v>9.0363324683996292E-3</v>
      </c>
      <c r="AB43" s="56">
        <v>0.29576095246444956</v>
      </c>
    </row>
    <row r="44" spans="1:28" x14ac:dyDescent="0.25">
      <c r="A44" s="101">
        <v>2019</v>
      </c>
      <c r="B44" s="101" t="s">
        <v>611</v>
      </c>
      <c r="C44" s="453">
        <v>43617</v>
      </c>
      <c r="D44" s="459">
        <v>0</v>
      </c>
      <c r="E44" s="459">
        <v>0</v>
      </c>
      <c r="F44" s="459">
        <v>0</v>
      </c>
      <c r="G44" s="56" t="s">
        <v>592</v>
      </c>
      <c r="H44" s="56" t="s">
        <v>592</v>
      </c>
      <c r="J44" s="101" t="s">
        <v>612</v>
      </c>
      <c r="K44" s="101">
        <v>2023</v>
      </c>
      <c r="L44" s="453">
        <v>45200</v>
      </c>
      <c r="M44" s="459">
        <v>2608563.2000000002</v>
      </c>
      <c r="N44" s="56">
        <v>1.0103100062272048</v>
      </c>
      <c r="O44" s="56">
        <v>1.0153250054529079</v>
      </c>
      <c r="P44" s="56">
        <v>1.1495523007038189</v>
      </c>
      <c r="Q44" s="56">
        <v>0.59913710091490979</v>
      </c>
      <c r="R44" s="56">
        <v>0.17089743908983959</v>
      </c>
      <c r="S44" s="56">
        <v>0.37122585193810953</v>
      </c>
      <c r="T44" s="56">
        <v>0.23951319922923101</v>
      </c>
      <c r="U44" s="56">
        <v>0.35737033414281355</v>
      </c>
      <c r="V44" s="56">
        <v>7.791008153939713E-2</v>
      </c>
      <c r="W44" s="56">
        <v>6.5014999225703141E-2</v>
      </c>
      <c r="X44" s="56">
        <v>0.06</v>
      </c>
      <c r="Y44" s="56">
        <v>0.19924229447661404</v>
      </c>
      <c r="Z44" s="56">
        <v>4.2273416238290049E-2</v>
      </c>
      <c r="AA44" s="56">
        <v>8.5429648181520046E-3</v>
      </c>
      <c r="AB44" s="56">
        <v>0.21317085532812963</v>
      </c>
    </row>
    <row r="45" spans="1:28" x14ac:dyDescent="0.25">
      <c r="A45" s="101">
        <v>2019</v>
      </c>
      <c r="B45" s="101" t="s">
        <v>613</v>
      </c>
      <c r="C45" s="453">
        <v>43647</v>
      </c>
      <c r="D45" s="459">
        <v>0</v>
      </c>
      <c r="E45" s="459">
        <v>0</v>
      </c>
      <c r="F45" s="459">
        <v>0</v>
      </c>
      <c r="G45" s="56" t="s">
        <v>592</v>
      </c>
      <c r="H45" s="56" t="s">
        <v>592</v>
      </c>
      <c r="J45" s="101" t="s">
        <v>612</v>
      </c>
      <c r="K45" s="101">
        <v>2023</v>
      </c>
      <c r="L45" s="453">
        <v>45231</v>
      </c>
      <c r="M45" s="459">
        <v>2901317.24</v>
      </c>
      <c r="N45" s="56">
        <v>0.94534663615376746</v>
      </c>
      <c r="O45" s="56">
        <v>0.95364937905125069</v>
      </c>
      <c r="P45" s="56">
        <v>1.0946644147589339</v>
      </c>
      <c r="Q45" s="56">
        <v>0.73218661374123939</v>
      </c>
      <c r="R45" s="56">
        <v>0.23705958273356548</v>
      </c>
      <c r="S45" s="56">
        <v>0.43336505077991494</v>
      </c>
      <c r="T45" s="56">
        <v>0.24853618630482563</v>
      </c>
      <c r="U45" s="56">
        <v>0.14506694207628254</v>
      </c>
      <c r="V45" s="56">
        <v>0.11673578413884389</v>
      </c>
      <c r="W45" s="56">
        <v>6.8302742897483171E-2</v>
      </c>
      <c r="X45" s="56">
        <v>0.06</v>
      </c>
      <c r="Y45" s="56">
        <v>0.20931777860516651</v>
      </c>
      <c r="Z45" s="56">
        <v>6.1869569738660007E-2</v>
      </c>
      <c r="AA45" s="56">
        <v>7.9854908253444573E-3</v>
      </c>
      <c r="AB45" s="56">
        <v>0.29892915247222551</v>
      </c>
    </row>
    <row r="46" spans="1:28" x14ac:dyDescent="0.25">
      <c r="A46" s="101">
        <v>2019</v>
      </c>
      <c r="B46" s="101" t="s">
        <v>613</v>
      </c>
      <c r="C46" s="453">
        <v>43678</v>
      </c>
      <c r="D46" s="459">
        <v>0</v>
      </c>
      <c r="E46" s="459">
        <v>0</v>
      </c>
      <c r="F46" s="459">
        <v>0</v>
      </c>
      <c r="G46" s="56" t="s">
        <v>592</v>
      </c>
      <c r="H46" s="56" t="s">
        <v>592</v>
      </c>
      <c r="J46" s="101" t="s">
        <v>612</v>
      </c>
      <c r="K46" s="101">
        <v>2023</v>
      </c>
      <c r="L46" s="453">
        <v>45261</v>
      </c>
      <c r="M46" s="459">
        <v>2872821.0035761665</v>
      </c>
      <c r="N46" s="56">
        <v>0.75052890307001552</v>
      </c>
      <c r="O46" s="56">
        <v>0.74993804225977845</v>
      </c>
      <c r="P46" s="56">
        <v>0.87259170928426677</v>
      </c>
      <c r="Q46" s="56">
        <v>0.54800820090439428</v>
      </c>
      <c r="R46" s="56">
        <v>0.19261506315021468</v>
      </c>
      <c r="S46" s="56">
        <v>0.31761504149512942</v>
      </c>
      <c r="T46" s="56">
        <v>0.19641274789005125</v>
      </c>
      <c r="U46" s="56">
        <v>0.14803676576807115</v>
      </c>
      <c r="V46" s="56">
        <v>6.6718357207528042E-2</v>
      </c>
      <c r="W46" s="56">
        <v>5.9409139189762872E-2</v>
      </c>
      <c r="X46" s="56">
        <v>0.06</v>
      </c>
      <c r="Y46" s="56">
        <v>0.18206280621425122</v>
      </c>
      <c r="Z46" s="56">
        <v>2.6072845198508238E-2</v>
      </c>
      <c r="AA46" s="56">
        <v>6.1891874580920414E-3</v>
      </c>
      <c r="AB46" s="56">
        <v>0.21868790834872293</v>
      </c>
    </row>
    <row r="47" spans="1:28" x14ac:dyDescent="0.25">
      <c r="A47" s="101">
        <v>2019</v>
      </c>
      <c r="B47" s="101" t="s">
        <v>613</v>
      </c>
      <c r="C47" s="453">
        <v>43709</v>
      </c>
      <c r="D47" s="459">
        <v>0</v>
      </c>
      <c r="E47" s="459">
        <v>0</v>
      </c>
      <c r="F47" s="459">
        <v>0</v>
      </c>
      <c r="G47" s="56" t="s">
        <v>592</v>
      </c>
      <c r="H47" s="56" t="s">
        <v>592</v>
      </c>
      <c r="J47" s="101" t="s">
        <v>614</v>
      </c>
      <c r="K47" s="101">
        <v>2024</v>
      </c>
      <c r="L47" s="453">
        <v>45292</v>
      </c>
      <c r="M47" s="459">
        <v>2888834.63765103</v>
      </c>
      <c r="N47" s="56">
        <v>0.74518022403585138</v>
      </c>
      <c r="O47" s="56">
        <v>0.74190904385367851</v>
      </c>
      <c r="P47" s="56">
        <v>0.8383834446706272</v>
      </c>
      <c r="Q47" s="56">
        <v>0.62972236252531533</v>
      </c>
      <c r="R47" s="56">
        <v>0.22173713963771996</v>
      </c>
      <c r="S47" s="56">
        <v>0.32134403542210405</v>
      </c>
      <c r="T47" s="56">
        <v>0.20981565071369132</v>
      </c>
      <c r="U47" s="56">
        <v>0.10356671029231188</v>
      </c>
      <c r="V47" s="56">
        <v>9.9637233490188465E-2</v>
      </c>
      <c r="W47" s="56">
        <v>4.6728819817827116E-2</v>
      </c>
      <c r="X47" s="56">
        <v>0.05</v>
      </c>
      <c r="Y47" s="56">
        <v>0.14320322063477589</v>
      </c>
      <c r="Z47" s="56">
        <v>4.1654592263028978E-2</v>
      </c>
      <c r="AA47" s="56">
        <v>6.8777464206865443E-3</v>
      </c>
      <c r="AB47" s="56">
        <v>0.26339173190074894</v>
      </c>
    </row>
    <row r="48" spans="1:28" x14ac:dyDescent="0.25">
      <c r="A48" s="101">
        <v>2019</v>
      </c>
      <c r="B48" s="101" t="s">
        <v>615</v>
      </c>
      <c r="C48" s="453">
        <v>43739</v>
      </c>
      <c r="D48" s="459">
        <v>0</v>
      </c>
      <c r="E48" s="459">
        <v>0</v>
      </c>
      <c r="F48" s="459">
        <v>0</v>
      </c>
      <c r="G48" s="56" t="s">
        <v>592</v>
      </c>
      <c r="H48" s="56" t="s">
        <v>592</v>
      </c>
      <c r="J48" s="101" t="s">
        <v>614</v>
      </c>
      <c r="K48" s="101">
        <v>2024</v>
      </c>
      <c r="L48" s="453">
        <v>45323</v>
      </c>
      <c r="M48" s="459">
        <v>2661198.798827244</v>
      </c>
      <c r="N48" s="56">
        <v>0.8181000193689506</v>
      </c>
      <c r="O48" s="56">
        <v>0.81757661519112923</v>
      </c>
      <c r="P48" s="56">
        <v>0.91972396141163104</v>
      </c>
      <c r="Q48" s="56">
        <v>0.67928855032754032</v>
      </c>
      <c r="R48" s="56">
        <v>0.21514596880082124</v>
      </c>
      <c r="S48" s="56">
        <v>0.34701566368605502</v>
      </c>
      <c r="T48" s="56">
        <v>0.22475868058658074</v>
      </c>
      <c r="U48" s="56">
        <v>0.14468817593397529</v>
      </c>
      <c r="V48" s="56">
        <v>0.12813368999203922</v>
      </c>
      <c r="W48" s="56">
        <v>4.9476595822178622E-2</v>
      </c>
      <c r="X48" s="56">
        <v>0.05</v>
      </c>
      <c r="Y48" s="56">
        <v>0.15162394204268043</v>
      </c>
      <c r="Z48" s="56">
        <v>5.5986077058594784E-2</v>
      </c>
      <c r="AA48" s="56">
        <v>5.2641338895041967E-3</v>
      </c>
      <c r="AB48" s="56">
        <v>0.27113204585941603</v>
      </c>
    </row>
    <row r="49" spans="1:28" x14ac:dyDescent="0.25">
      <c r="A49" s="101">
        <v>2019</v>
      </c>
      <c r="B49" s="101" t="s">
        <v>615</v>
      </c>
      <c r="C49" s="453">
        <v>43770</v>
      </c>
      <c r="D49" s="459">
        <v>0</v>
      </c>
      <c r="E49" s="459">
        <v>0</v>
      </c>
      <c r="F49" s="459">
        <v>0</v>
      </c>
      <c r="G49" s="56" t="s">
        <v>592</v>
      </c>
      <c r="H49" s="56" t="s">
        <v>592</v>
      </c>
      <c r="J49" s="101" t="s">
        <v>614</v>
      </c>
      <c r="K49" s="101">
        <v>2024</v>
      </c>
      <c r="L49" s="453">
        <v>45352</v>
      </c>
      <c r="M49" s="459">
        <v>2782708.09</v>
      </c>
      <c r="N49" s="56">
        <v>0.70028110752666106</v>
      </c>
      <c r="O49" s="56">
        <v>0.67317685928943016</v>
      </c>
      <c r="P49" s="56">
        <v>0.72044648735146943</v>
      </c>
      <c r="Q49" s="56">
        <v>0.62752709130603312</v>
      </c>
      <c r="R49" s="56">
        <v>0.18679862132396483</v>
      </c>
      <c r="S49" s="56">
        <v>0.34753627775025864</v>
      </c>
      <c r="T49" s="56">
        <v>0.22535329383210093</v>
      </c>
      <c r="U49" s="56">
        <v>5.2816819172721775E-2</v>
      </c>
      <c r="V49" s="56">
        <v>0.10224578687025143</v>
      </c>
      <c r="W49" s="56">
        <v>2.2895751762769024E-2</v>
      </c>
      <c r="X49" s="56">
        <v>0.05</v>
      </c>
      <c r="Y49" s="56">
        <v>7.0165379824808333E-2</v>
      </c>
      <c r="Z49" s="56">
        <v>6.1733271723907301E-2</v>
      </c>
      <c r="AA49" s="56">
        <v>1.3961175558085826E-3</v>
      </c>
      <c r="AB49" s="56">
        <v>0.24853189304787213</v>
      </c>
    </row>
    <row r="50" spans="1:28" x14ac:dyDescent="0.25">
      <c r="A50" s="101">
        <v>2019</v>
      </c>
      <c r="B50" s="101" t="s">
        <v>615</v>
      </c>
      <c r="C50" s="453">
        <v>43800</v>
      </c>
      <c r="D50" s="459">
        <v>0</v>
      </c>
      <c r="E50" s="459">
        <v>0</v>
      </c>
      <c r="F50" s="459">
        <v>0</v>
      </c>
      <c r="G50" s="56" t="s">
        <v>592</v>
      </c>
      <c r="H50" s="56" t="s">
        <v>592</v>
      </c>
      <c r="J50" s="101" t="s">
        <v>616</v>
      </c>
      <c r="K50" s="101">
        <v>2024</v>
      </c>
      <c r="L50" s="453">
        <v>45383</v>
      </c>
      <c r="M50" s="459">
        <v>1115808.100000001</v>
      </c>
      <c r="N50" s="56">
        <v>0.67193844249089063</v>
      </c>
      <c r="O50" s="56">
        <v>0.67193844249089063</v>
      </c>
      <c r="P50" s="56">
        <v>0.80848869322477446</v>
      </c>
      <c r="Q50" s="56">
        <v>0.64485342358437236</v>
      </c>
      <c r="R50" s="56">
        <v>0.20789390992083534</v>
      </c>
      <c r="S50" s="56">
        <v>0.32638400242625959</v>
      </c>
      <c r="T50" s="56">
        <v>0.22256842240684807</v>
      </c>
      <c r="U50" s="56">
        <v>6.8357234734090916E-2</v>
      </c>
      <c r="V50" s="56">
        <v>0.11126644424151191</v>
      </c>
      <c r="W50" s="56">
        <v>3.9700389134258253E-2</v>
      </c>
      <c r="X50" s="56">
        <v>0.05</v>
      </c>
      <c r="Y50" s="56">
        <v>0.12166418083408821</v>
      </c>
      <c r="Z50" s="56">
        <v>5.3124647015177023E-2</v>
      </c>
      <c r="AA50" s="56">
        <v>0</v>
      </c>
      <c r="AB50" s="56">
        <v>0.14117903365757581</v>
      </c>
    </row>
    <row r="51" spans="1:28" x14ac:dyDescent="0.25">
      <c r="A51" s="101">
        <v>2020</v>
      </c>
      <c r="B51" s="101" t="s">
        <v>617</v>
      </c>
      <c r="C51" s="453">
        <v>43831</v>
      </c>
      <c r="D51" s="459">
        <v>0</v>
      </c>
      <c r="E51" s="459">
        <v>0</v>
      </c>
      <c r="F51" s="459">
        <v>0</v>
      </c>
      <c r="G51" s="56" t="s">
        <v>592</v>
      </c>
      <c r="H51" s="56" t="s">
        <v>592</v>
      </c>
    </row>
    <row r="52" spans="1:28" x14ac:dyDescent="0.25">
      <c r="A52" s="101">
        <v>2020</v>
      </c>
      <c r="B52" s="101" t="s">
        <v>617</v>
      </c>
      <c r="C52" s="453">
        <v>43862</v>
      </c>
      <c r="D52" s="459">
        <v>0</v>
      </c>
      <c r="E52" s="459">
        <v>0</v>
      </c>
      <c r="F52" s="459">
        <v>0</v>
      </c>
      <c r="G52" s="56" t="s">
        <v>592</v>
      </c>
      <c r="H52" s="56" t="s">
        <v>592</v>
      </c>
    </row>
    <row r="53" spans="1:28" x14ac:dyDescent="0.25">
      <c r="A53" s="101">
        <v>2020</v>
      </c>
      <c r="B53" s="101" t="s">
        <v>617</v>
      </c>
      <c r="C53" s="453">
        <v>43891</v>
      </c>
      <c r="D53" s="459">
        <v>0</v>
      </c>
      <c r="E53" s="459">
        <v>0</v>
      </c>
      <c r="F53" s="459">
        <v>0</v>
      </c>
      <c r="G53" s="56" t="s">
        <v>592</v>
      </c>
      <c r="H53" s="56" t="s">
        <v>592</v>
      </c>
    </row>
    <row r="54" spans="1:28" x14ac:dyDescent="0.25">
      <c r="A54" s="101">
        <v>2020</v>
      </c>
      <c r="B54" s="101" t="s">
        <v>618</v>
      </c>
      <c r="C54" s="453">
        <v>43922</v>
      </c>
      <c r="D54" s="459">
        <v>0</v>
      </c>
      <c r="E54" s="459">
        <v>0</v>
      </c>
      <c r="F54" s="459">
        <v>0</v>
      </c>
      <c r="G54" s="56" t="s">
        <v>592</v>
      </c>
      <c r="H54" s="56" t="s">
        <v>592</v>
      </c>
    </row>
    <row r="55" spans="1:28" x14ac:dyDescent="0.25">
      <c r="A55" s="101">
        <v>2020</v>
      </c>
      <c r="B55" s="101" t="s">
        <v>618</v>
      </c>
      <c r="C55" s="453">
        <v>43952</v>
      </c>
      <c r="D55" s="459">
        <v>0</v>
      </c>
      <c r="E55" s="459">
        <v>0</v>
      </c>
      <c r="F55" s="459">
        <v>0</v>
      </c>
      <c r="G55" s="56" t="s">
        <v>592</v>
      </c>
      <c r="H55" s="56" t="s">
        <v>592</v>
      </c>
    </row>
    <row r="56" spans="1:28" x14ac:dyDescent="0.25">
      <c r="A56" s="101">
        <v>2020</v>
      </c>
      <c r="B56" s="101" t="s">
        <v>618</v>
      </c>
      <c r="C56" s="453">
        <v>43983</v>
      </c>
      <c r="D56" s="459">
        <v>0</v>
      </c>
      <c r="E56" s="459">
        <v>0</v>
      </c>
      <c r="F56" s="459">
        <v>0</v>
      </c>
      <c r="G56" s="56" t="s">
        <v>592</v>
      </c>
      <c r="H56" s="56" t="s">
        <v>592</v>
      </c>
    </row>
    <row r="57" spans="1:28" x14ac:dyDescent="0.25">
      <c r="A57" s="101">
        <v>2020</v>
      </c>
      <c r="B57" s="101" t="s">
        <v>619</v>
      </c>
      <c r="C57" s="453">
        <v>44013</v>
      </c>
      <c r="D57" s="459">
        <v>0</v>
      </c>
      <c r="E57" s="459">
        <v>0</v>
      </c>
      <c r="F57" s="459">
        <v>0</v>
      </c>
      <c r="G57" s="56" t="s">
        <v>592</v>
      </c>
      <c r="H57" s="56" t="s">
        <v>592</v>
      </c>
    </row>
    <row r="58" spans="1:28" x14ac:dyDescent="0.25">
      <c r="A58" s="101">
        <v>2020</v>
      </c>
      <c r="B58" s="101" t="s">
        <v>619</v>
      </c>
      <c r="C58" s="453">
        <v>44044</v>
      </c>
      <c r="D58" s="459">
        <v>0</v>
      </c>
      <c r="E58" s="459">
        <v>0</v>
      </c>
      <c r="F58" s="459">
        <v>0</v>
      </c>
      <c r="G58" s="56" t="s">
        <v>592</v>
      </c>
      <c r="H58" s="56" t="s">
        <v>592</v>
      </c>
    </row>
    <row r="59" spans="1:28" x14ac:dyDescent="0.25">
      <c r="A59" s="101">
        <v>2020</v>
      </c>
      <c r="B59" s="101" t="s">
        <v>619</v>
      </c>
      <c r="C59" s="453">
        <v>44075</v>
      </c>
      <c r="D59" s="459">
        <v>0</v>
      </c>
      <c r="E59" s="459">
        <v>0</v>
      </c>
      <c r="F59" s="459">
        <v>0</v>
      </c>
      <c r="G59" s="56" t="s">
        <v>592</v>
      </c>
      <c r="H59" s="56" t="s">
        <v>592</v>
      </c>
    </row>
    <row r="60" spans="1:28" x14ac:dyDescent="0.25">
      <c r="A60" s="101">
        <v>2020</v>
      </c>
      <c r="B60" s="101" t="s">
        <v>620</v>
      </c>
      <c r="C60" s="453">
        <v>44105</v>
      </c>
      <c r="D60" s="459">
        <v>0</v>
      </c>
      <c r="E60" s="459">
        <v>0</v>
      </c>
      <c r="F60" s="459">
        <v>0</v>
      </c>
      <c r="G60" s="56" t="s">
        <v>592</v>
      </c>
      <c r="H60" s="56" t="s">
        <v>592</v>
      </c>
    </row>
    <row r="61" spans="1:28" x14ac:dyDescent="0.25">
      <c r="A61" s="101">
        <v>2020</v>
      </c>
      <c r="B61" s="101" t="s">
        <v>620</v>
      </c>
      <c r="C61" s="453">
        <v>44136</v>
      </c>
      <c r="D61" s="459">
        <v>0</v>
      </c>
      <c r="E61" s="459">
        <v>0</v>
      </c>
      <c r="F61" s="459">
        <v>0</v>
      </c>
      <c r="G61" s="56" t="s">
        <v>592</v>
      </c>
      <c r="H61" s="56" t="s">
        <v>592</v>
      </c>
    </row>
    <row r="62" spans="1:28" x14ac:dyDescent="0.25">
      <c r="A62" s="101">
        <v>2020</v>
      </c>
      <c r="B62" s="101" t="s">
        <v>620</v>
      </c>
      <c r="C62" s="453">
        <v>44166</v>
      </c>
      <c r="D62" s="459">
        <v>0</v>
      </c>
      <c r="E62" s="459">
        <v>0</v>
      </c>
      <c r="F62" s="459">
        <v>0</v>
      </c>
      <c r="G62" s="56" t="s">
        <v>592</v>
      </c>
      <c r="H62" s="56" t="s">
        <v>592</v>
      </c>
    </row>
    <row r="63" spans="1:28" x14ac:dyDescent="0.25">
      <c r="A63" s="101">
        <v>2021</v>
      </c>
      <c r="B63" s="101" t="s">
        <v>621</v>
      </c>
      <c r="C63" s="453">
        <v>44197</v>
      </c>
      <c r="D63" s="459">
        <v>0</v>
      </c>
      <c r="E63" s="459">
        <v>0</v>
      </c>
      <c r="F63" s="459">
        <v>0</v>
      </c>
      <c r="G63" s="56" t="s">
        <v>592</v>
      </c>
      <c r="H63" s="56" t="s">
        <v>592</v>
      </c>
    </row>
    <row r="64" spans="1:28" x14ac:dyDescent="0.25">
      <c r="A64" s="101">
        <v>2021</v>
      </c>
      <c r="B64" s="101" t="s">
        <v>621</v>
      </c>
      <c r="C64" s="453">
        <v>44228</v>
      </c>
      <c r="D64" s="459">
        <v>0</v>
      </c>
      <c r="E64" s="459">
        <v>0</v>
      </c>
      <c r="F64" s="459">
        <v>0</v>
      </c>
      <c r="G64" s="56" t="s">
        <v>592</v>
      </c>
      <c r="H64" s="56" t="s">
        <v>592</v>
      </c>
    </row>
    <row r="65" spans="1:8" x14ac:dyDescent="0.25">
      <c r="A65" s="101">
        <v>2021</v>
      </c>
      <c r="B65" s="101" t="s">
        <v>621</v>
      </c>
      <c r="C65" s="453">
        <v>44256</v>
      </c>
      <c r="D65" s="459">
        <v>0</v>
      </c>
      <c r="E65" s="459">
        <v>0</v>
      </c>
      <c r="F65" s="459">
        <v>0</v>
      </c>
      <c r="G65" s="56" t="s">
        <v>592</v>
      </c>
      <c r="H65" s="56" t="s">
        <v>592</v>
      </c>
    </row>
    <row r="66" spans="1:8" x14ac:dyDescent="0.25">
      <c r="A66" s="101">
        <v>2021</v>
      </c>
      <c r="B66" s="101" t="s">
        <v>593</v>
      </c>
      <c r="C66" s="453">
        <v>44287</v>
      </c>
      <c r="D66" s="459">
        <v>0</v>
      </c>
      <c r="E66" s="459">
        <v>0</v>
      </c>
      <c r="F66" s="459">
        <v>0</v>
      </c>
      <c r="G66" s="56" t="s">
        <v>592</v>
      </c>
      <c r="H66" s="56" t="s">
        <v>592</v>
      </c>
    </row>
    <row r="67" spans="1:8" x14ac:dyDescent="0.25">
      <c r="A67" s="101">
        <v>2021</v>
      </c>
      <c r="B67" s="101" t="s">
        <v>593</v>
      </c>
      <c r="C67" s="453">
        <v>44317</v>
      </c>
      <c r="D67" s="459">
        <v>0</v>
      </c>
      <c r="E67" s="459">
        <v>0</v>
      </c>
      <c r="F67" s="459">
        <v>0</v>
      </c>
      <c r="G67" s="56" t="s">
        <v>592</v>
      </c>
      <c r="H67" s="56" t="s">
        <v>592</v>
      </c>
    </row>
    <row r="68" spans="1:8" x14ac:dyDescent="0.25">
      <c r="A68" s="101">
        <v>2021</v>
      </c>
      <c r="B68" s="101" t="s">
        <v>593</v>
      </c>
      <c r="C68" s="453">
        <v>44348</v>
      </c>
      <c r="D68" s="459">
        <v>0</v>
      </c>
      <c r="E68" s="459">
        <v>0</v>
      </c>
      <c r="F68" s="459">
        <v>0</v>
      </c>
      <c r="G68" s="56" t="s">
        <v>592</v>
      </c>
      <c r="H68" s="56" t="s">
        <v>592</v>
      </c>
    </row>
    <row r="69" spans="1:8" x14ac:dyDescent="0.25">
      <c r="A69" s="101">
        <v>2021</v>
      </c>
      <c r="B69" s="101" t="s">
        <v>594</v>
      </c>
      <c r="C69" s="453">
        <v>44378</v>
      </c>
      <c r="D69" s="459">
        <v>0</v>
      </c>
      <c r="E69" s="459">
        <v>0</v>
      </c>
      <c r="F69" s="459">
        <v>0</v>
      </c>
      <c r="G69" s="56" t="s">
        <v>592</v>
      </c>
      <c r="H69" s="56" t="s">
        <v>592</v>
      </c>
    </row>
    <row r="70" spans="1:8" x14ac:dyDescent="0.25">
      <c r="A70" s="101">
        <v>2021</v>
      </c>
      <c r="B70" s="101" t="s">
        <v>594</v>
      </c>
      <c r="C70" s="453">
        <v>44409</v>
      </c>
      <c r="D70" s="459">
        <v>0</v>
      </c>
      <c r="E70" s="459">
        <v>0</v>
      </c>
      <c r="F70" s="459">
        <v>0</v>
      </c>
      <c r="G70" s="56" t="s">
        <v>592</v>
      </c>
      <c r="H70" s="56" t="s">
        <v>592</v>
      </c>
    </row>
    <row r="71" spans="1:8" x14ac:dyDescent="0.25">
      <c r="A71" s="101">
        <v>2021</v>
      </c>
      <c r="B71" s="101" t="s">
        <v>594</v>
      </c>
      <c r="C71" s="453">
        <v>44440</v>
      </c>
      <c r="D71" s="459">
        <v>0</v>
      </c>
      <c r="E71" s="459">
        <v>0</v>
      </c>
      <c r="F71" s="459">
        <v>0</v>
      </c>
      <c r="G71" s="56" t="s">
        <v>592</v>
      </c>
      <c r="H71" s="56" t="s">
        <v>592</v>
      </c>
    </row>
    <row r="72" spans="1:8" x14ac:dyDescent="0.25">
      <c r="A72" s="101">
        <v>2021</v>
      </c>
      <c r="B72" s="101" t="s">
        <v>596</v>
      </c>
      <c r="C72" s="453">
        <v>44470</v>
      </c>
      <c r="D72" s="459">
        <v>0</v>
      </c>
      <c r="E72" s="459">
        <v>0</v>
      </c>
      <c r="F72" s="459">
        <v>0</v>
      </c>
      <c r="G72" s="56" t="s">
        <v>592</v>
      </c>
      <c r="H72" s="56" t="s">
        <v>592</v>
      </c>
    </row>
    <row r="73" spans="1:8" x14ac:dyDescent="0.25">
      <c r="A73" s="101">
        <v>2021</v>
      </c>
      <c r="B73" s="101" t="s">
        <v>596</v>
      </c>
      <c r="C73" s="453">
        <v>44501</v>
      </c>
      <c r="D73" s="459">
        <v>0</v>
      </c>
      <c r="E73" s="459">
        <v>0</v>
      </c>
      <c r="F73" s="459">
        <v>0</v>
      </c>
      <c r="G73" s="56" t="s">
        <v>592</v>
      </c>
      <c r="H73" s="56" t="s">
        <v>592</v>
      </c>
    </row>
    <row r="74" spans="1:8" x14ac:dyDescent="0.25">
      <c r="A74" s="101">
        <v>2021</v>
      </c>
      <c r="B74" s="101" t="s">
        <v>596</v>
      </c>
      <c r="C74" s="453">
        <v>44531</v>
      </c>
      <c r="D74" s="459">
        <v>0</v>
      </c>
      <c r="E74" s="459">
        <v>0</v>
      </c>
      <c r="F74" s="459">
        <v>0</v>
      </c>
      <c r="G74" s="56" t="s">
        <v>592</v>
      </c>
      <c r="H74" s="56" t="s">
        <v>592</v>
      </c>
    </row>
    <row r="75" spans="1:8" x14ac:dyDescent="0.25">
      <c r="A75" s="101">
        <v>2022</v>
      </c>
      <c r="B75" s="101" t="s">
        <v>598</v>
      </c>
      <c r="C75" s="453">
        <v>44562</v>
      </c>
      <c r="D75" s="459">
        <v>31.961643835616499</v>
      </c>
      <c r="E75" s="459">
        <v>49828.56</v>
      </c>
      <c r="F75" s="459">
        <v>0</v>
      </c>
      <c r="G75" s="56">
        <v>0.66870193552153678</v>
      </c>
      <c r="H75" s="56">
        <v>0.69571321577378054</v>
      </c>
    </row>
    <row r="76" spans="1:8" x14ac:dyDescent="0.25">
      <c r="A76" s="101">
        <v>2022</v>
      </c>
      <c r="B76" s="101" t="s">
        <v>598</v>
      </c>
      <c r="C76" s="453">
        <v>44593</v>
      </c>
      <c r="D76" s="459">
        <v>182.16164383561599</v>
      </c>
      <c r="E76" s="459">
        <v>148586.06</v>
      </c>
      <c r="F76" s="459">
        <v>0</v>
      </c>
      <c r="G76" s="56">
        <v>0.42828350129520482</v>
      </c>
      <c r="H76" s="56">
        <v>0.43921279761314641</v>
      </c>
    </row>
    <row r="77" spans="1:8" x14ac:dyDescent="0.25">
      <c r="A77" s="101">
        <v>2022</v>
      </c>
      <c r="B77" s="101" t="s">
        <v>598</v>
      </c>
      <c r="C77" s="453">
        <v>44621</v>
      </c>
      <c r="D77" s="459">
        <v>1637.183561643837</v>
      </c>
      <c r="E77" s="459">
        <v>1281303.32</v>
      </c>
      <c r="F77" s="459">
        <v>0</v>
      </c>
      <c r="G77" s="56">
        <v>1.259497777710352</v>
      </c>
      <c r="H77" s="56">
        <v>1.2772485272660667</v>
      </c>
    </row>
    <row r="78" spans="1:8" x14ac:dyDescent="0.25">
      <c r="A78" s="101">
        <v>2022</v>
      </c>
      <c r="B78" s="101" t="s">
        <v>600</v>
      </c>
      <c r="C78" s="453">
        <v>44652</v>
      </c>
      <c r="D78" s="459">
        <v>1453.501369863018</v>
      </c>
      <c r="E78" s="459">
        <v>1566728.2799999998</v>
      </c>
      <c r="F78" s="459">
        <v>0</v>
      </c>
      <c r="G78" s="56">
        <v>0.99680830995363912</v>
      </c>
      <c r="H78" s="56">
        <v>1.0465766985132781</v>
      </c>
    </row>
    <row r="79" spans="1:8" x14ac:dyDescent="0.25">
      <c r="A79" s="101">
        <v>2022</v>
      </c>
      <c r="B79" s="101" t="s">
        <v>600</v>
      </c>
      <c r="C79" s="453">
        <v>44682</v>
      </c>
      <c r="D79" s="459">
        <v>1734.6575342465881</v>
      </c>
      <c r="E79" s="459">
        <v>2085130.17</v>
      </c>
      <c r="F79" s="459">
        <v>0</v>
      </c>
      <c r="G79" s="56">
        <v>1.2812493012291051</v>
      </c>
      <c r="H79" s="56">
        <v>1.3875029405487835</v>
      </c>
    </row>
    <row r="80" spans="1:8" x14ac:dyDescent="0.25">
      <c r="A80" s="101">
        <v>2022</v>
      </c>
      <c r="B80" s="101" t="s">
        <v>600</v>
      </c>
      <c r="C80" s="453">
        <v>44713</v>
      </c>
      <c r="D80" s="459">
        <v>2773.8273972603201</v>
      </c>
      <c r="E80" s="459">
        <v>2783643.71</v>
      </c>
      <c r="F80" s="459">
        <v>0</v>
      </c>
      <c r="G80" s="56">
        <v>1.4645177003511793</v>
      </c>
      <c r="H80" s="56">
        <v>1.5905661245096878</v>
      </c>
    </row>
    <row r="81" spans="1:8" x14ac:dyDescent="0.25">
      <c r="A81" s="101">
        <v>2022</v>
      </c>
      <c r="B81" s="101" t="s">
        <v>602</v>
      </c>
      <c r="C81" s="453">
        <v>44743</v>
      </c>
      <c r="D81" s="459">
        <v>4089.4136986302201</v>
      </c>
      <c r="E81" s="459">
        <v>3597895.1500000004</v>
      </c>
      <c r="F81" s="459">
        <v>0</v>
      </c>
      <c r="G81" s="56">
        <v>1.3277700537885446</v>
      </c>
      <c r="H81" s="56">
        <v>1.7083591706637136</v>
      </c>
    </row>
    <row r="82" spans="1:8" x14ac:dyDescent="0.25">
      <c r="A82" s="101">
        <v>2022</v>
      </c>
      <c r="B82" s="101" t="s">
        <v>602</v>
      </c>
      <c r="C82" s="453">
        <v>44774</v>
      </c>
      <c r="D82" s="459">
        <v>3057.1068493151297</v>
      </c>
      <c r="E82" s="459">
        <v>2650013.4700000002</v>
      </c>
      <c r="F82" s="459">
        <v>0</v>
      </c>
      <c r="G82" s="56">
        <v>0.96190044953702269</v>
      </c>
      <c r="H82" s="56">
        <v>0.99037956388078907</v>
      </c>
    </row>
    <row r="83" spans="1:8" x14ac:dyDescent="0.25">
      <c r="A83" s="101">
        <v>2022</v>
      </c>
      <c r="B83" s="101" t="s">
        <v>602</v>
      </c>
      <c r="C83" s="453">
        <v>44805</v>
      </c>
      <c r="D83" s="459">
        <v>2957.4684931507522</v>
      </c>
      <c r="E83" s="459">
        <v>2390238.8599999901</v>
      </c>
      <c r="F83" s="459">
        <v>0</v>
      </c>
      <c r="G83" s="56">
        <v>0.94717975094785134</v>
      </c>
      <c r="H83" s="56">
        <v>0.98650794441227574</v>
      </c>
    </row>
    <row r="84" spans="1:8" x14ac:dyDescent="0.25">
      <c r="A84" s="101">
        <v>2022</v>
      </c>
      <c r="B84" s="101" t="s">
        <v>604</v>
      </c>
      <c r="C84" s="453">
        <v>44835</v>
      </c>
      <c r="D84" s="459">
        <v>4093.572602739825</v>
      </c>
      <c r="E84" s="459">
        <v>3097546.2</v>
      </c>
      <c r="F84" s="459">
        <v>0</v>
      </c>
      <c r="G84" s="56">
        <v>0.902929315625008</v>
      </c>
      <c r="H84" s="56">
        <v>0.93258895268772612</v>
      </c>
    </row>
    <row r="85" spans="1:8" x14ac:dyDescent="0.25">
      <c r="A85" s="101">
        <v>2022</v>
      </c>
      <c r="B85" s="101" t="s">
        <v>604</v>
      </c>
      <c r="C85" s="453">
        <v>44866</v>
      </c>
      <c r="D85" s="459">
        <v>3906.2575342466748</v>
      </c>
      <c r="E85" s="459">
        <v>2832840.4100000011</v>
      </c>
      <c r="F85" s="459">
        <v>0</v>
      </c>
      <c r="G85" s="56">
        <v>1.1895446865360737</v>
      </c>
      <c r="H85" s="56">
        <v>1.3112732387480655</v>
      </c>
    </row>
    <row r="86" spans="1:8" x14ac:dyDescent="0.25">
      <c r="A86" s="101">
        <v>2022</v>
      </c>
      <c r="B86" s="101" t="s">
        <v>604</v>
      </c>
      <c r="C86" s="453">
        <v>44896</v>
      </c>
      <c r="D86" s="459">
        <v>3261.8547945205901</v>
      </c>
      <c r="E86" s="459">
        <v>2477367.5000000009</v>
      </c>
      <c r="F86" s="459">
        <v>0</v>
      </c>
      <c r="G86" s="56">
        <v>1.0589189274039439</v>
      </c>
      <c r="H86" s="56">
        <v>1.1498604428682548</v>
      </c>
    </row>
    <row r="87" spans="1:8" x14ac:dyDescent="0.25">
      <c r="A87" s="101">
        <v>2023</v>
      </c>
      <c r="B87" s="101" t="s">
        <v>606</v>
      </c>
      <c r="C87" s="453">
        <v>44927</v>
      </c>
      <c r="D87" s="459">
        <v>2833.88219178085</v>
      </c>
      <c r="E87" s="459">
        <v>2072956.0499999989</v>
      </c>
      <c r="F87" s="459">
        <v>0</v>
      </c>
      <c r="G87" s="56">
        <v>1.2160519037200093</v>
      </c>
      <c r="H87" s="56">
        <v>1.3929724772920467</v>
      </c>
    </row>
    <row r="88" spans="1:8" x14ac:dyDescent="0.25">
      <c r="A88" s="101">
        <v>2023</v>
      </c>
      <c r="B88" s="101" t="s">
        <v>606</v>
      </c>
      <c r="C88" s="453">
        <v>44958</v>
      </c>
      <c r="D88" s="459">
        <v>2945.4694469322003</v>
      </c>
      <c r="E88" s="459">
        <v>2064682.5281274547</v>
      </c>
      <c r="F88" s="459">
        <v>0</v>
      </c>
      <c r="G88" s="56">
        <v>0.81225228017690887</v>
      </c>
      <c r="H88" s="56">
        <v>0.86055187773252295</v>
      </c>
    </row>
    <row r="89" spans="1:8" x14ac:dyDescent="0.25">
      <c r="A89" s="101">
        <v>2023</v>
      </c>
      <c r="B89" s="101" t="s">
        <v>606</v>
      </c>
      <c r="C89" s="453">
        <v>44986</v>
      </c>
      <c r="D89" s="459">
        <v>3773.2921070466691</v>
      </c>
      <c r="E89" s="459">
        <v>2330086.4079407565</v>
      </c>
      <c r="F89" s="459">
        <v>0</v>
      </c>
      <c r="G89" s="56">
        <v>1.4269662503313274</v>
      </c>
      <c r="H89" s="56">
        <v>1.5461544292415847</v>
      </c>
    </row>
    <row r="90" spans="1:8" x14ac:dyDescent="0.25">
      <c r="A90" s="101">
        <v>2023</v>
      </c>
      <c r="B90" s="101" t="s">
        <v>608</v>
      </c>
      <c r="C90" s="453">
        <v>45017</v>
      </c>
      <c r="D90" s="459">
        <v>2993.2494620324355</v>
      </c>
      <c r="E90" s="459">
        <v>2055591.0242370495</v>
      </c>
      <c r="F90" s="459">
        <v>0</v>
      </c>
      <c r="G90" s="56">
        <v>1.0519554560920583</v>
      </c>
      <c r="H90" s="56">
        <v>1.1136289734862559</v>
      </c>
    </row>
    <row r="91" spans="1:8" x14ac:dyDescent="0.25">
      <c r="A91" s="101">
        <v>2023</v>
      </c>
      <c r="B91" s="101" t="s">
        <v>608</v>
      </c>
      <c r="C91" s="453">
        <v>45047</v>
      </c>
      <c r="D91" s="459">
        <v>2879.7039846830976</v>
      </c>
      <c r="E91" s="459">
        <v>2374610.739999054</v>
      </c>
      <c r="F91" s="459">
        <v>41361.229999053758</v>
      </c>
      <c r="G91" s="56">
        <v>1.0175565232879076</v>
      </c>
      <c r="H91" s="56">
        <v>1.1698348583282692</v>
      </c>
    </row>
    <row r="92" spans="1:8" x14ac:dyDescent="0.25">
      <c r="A92" s="101">
        <v>2023</v>
      </c>
      <c r="B92" s="101" t="s">
        <v>608</v>
      </c>
      <c r="C92" s="453">
        <v>45078</v>
      </c>
      <c r="D92" s="459">
        <v>2383.6314663433727</v>
      </c>
      <c r="E92" s="459">
        <v>2264824.7119575008</v>
      </c>
      <c r="F92" s="459">
        <v>110871.29195750086</v>
      </c>
      <c r="G92" s="56">
        <v>0.98816330385839668</v>
      </c>
      <c r="H92" s="56">
        <v>1.0997492598235485</v>
      </c>
    </row>
    <row r="93" spans="1:8" x14ac:dyDescent="0.25">
      <c r="A93" s="101">
        <v>2023</v>
      </c>
      <c r="B93" s="101" t="s">
        <v>610</v>
      </c>
      <c r="C93" s="453">
        <v>45108</v>
      </c>
      <c r="D93" s="459">
        <v>2007.798884291474</v>
      </c>
      <c r="E93" s="459">
        <v>2382513.6368410704</v>
      </c>
      <c r="F93" s="459">
        <v>180012.74684107024</v>
      </c>
      <c r="G93" s="56">
        <v>0.84682561783948673</v>
      </c>
      <c r="H93" s="56">
        <v>0.91807897868835897</v>
      </c>
    </row>
    <row r="94" spans="1:8" x14ac:dyDescent="0.25">
      <c r="A94" s="101">
        <v>2023</v>
      </c>
      <c r="B94" s="101" t="s">
        <v>610</v>
      </c>
      <c r="C94" s="453">
        <v>45139</v>
      </c>
      <c r="D94" s="459">
        <v>2244.4342075887448</v>
      </c>
      <c r="E94" s="459">
        <v>2683086.0293211062</v>
      </c>
      <c r="F94" s="459">
        <v>298246.76932110637</v>
      </c>
      <c r="G94" s="56">
        <v>0.98165382592040951</v>
      </c>
      <c r="H94" s="56">
        <v>1.0704440444403147</v>
      </c>
    </row>
    <row r="95" spans="1:8" x14ac:dyDescent="0.25">
      <c r="A95" s="101">
        <v>2023</v>
      </c>
      <c r="B95" s="101" t="s">
        <v>610</v>
      </c>
      <c r="C95" s="453">
        <v>45170</v>
      </c>
      <c r="D95" s="459">
        <v>2169.1582203856401</v>
      </c>
      <c r="E95" s="459">
        <v>2749380.1053056424</v>
      </c>
      <c r="F95" s="459">
        <v>397640.4353056415</v>
      </c>
      <c r="G95" s="56">
        <v>0.94387399992424581</v>
      </c>
      <c r="H95" s="56">
        <v>1.00467629222229</v>
      </c>
    </row>
    <row r="96" spans="1:8" x14ac:dyDescent="0.25">
      <c r="A96" s="101">
        <v>2023</v>
      </c>
      <c r="B96" s="101" t="s">
        <v>612</v>
      </c>
      <c r="C96" s="453">
        <v>45200</v>
      </c>
      <c r="D96" s="459">
        <v>2507.5798474501948</v>
      </c>
      <c r="E96" s="459">
        <v>3185132.1667920491</v>
      </c>
      <c r="F96" s="459">
        <v>576568.96679204889</v>
      </c>
      <c r="G96" s="56">
        <v>0.95476778944812291</v>
      </c>
      <c r="H96" s="56">
        <v>1.0646974138692376</v>
      </c>
    </row>
    <row r="97" spans="1:8" x14ac:dyDescent="0.25">
      <c r="A97" s="101">
        <v>2023</v>
      </c>
      <c r="B97" s="101" t="s">
        <v>612</v>
      </c>
      <c r="C97" s="453">
        <v>45231</v>
      </c>
      <c r="D97" s="459">
        <v>3210.8803837232258</v>
      </c>
      <c r="E97" s="459">
        <v>3833407.4584382493</v>
      </c>
      <c r="F97" s="459">
        <v>932090.21843824908</v>
      </c>
      <c r="G97" s="56">
        <v>0.89058171890077653</v>
      </c>
      <c r="H97" s="56">
        <v>0.99730905186334096</v>
      </c>
    </row>
    <row r="98" spans="1:8" x14ac:dyDescent="0.25">
      <c r="A98" s="101">
        <v>2023</v>
      </c>
      <c r="B98" s="101" t="s">
        <v>612</v>
      </c>
      <c r="C98" s="453">
        <v>45261</v>
      </c>
      <c r="D98" s="459">
        <v>3188.8896005210545</v>
      </c>
      <c r="E98" s="459">
        <v>3787493.5581627875</v>
      </c>
      <c r="F98" s="459">
        <v>914672.554586621</v>
      </c>
      <c r="G98" s="56">
        <v>0.73882008586661674</v>
      </c>
      <c r="H98" s="56">
        <v>0.83185312351606133</v>
      </c>
    </row>
    <row r="99" spans="1:8" x14ac:dyDescent="0.25">
      <c r="A99" s="101">
        <v>2024</v>
      </c>
      <c r="B99" s="101" t="s">
        <v>614</v>
      </c>
      <c r="C99" s="453">
        <v>45292</v>
      </c>
      <c r="D99" s="459">
        <v>3559.5476326683893</v>
      </c>
      <c r="E99" s="459">
        <v>4291098.8912311299</v>
      </c>
      <c r="F99" s="459">
        <v>1402264.2535800999</v>
      </c>
      <c r="G99" s="56">
        <v>0.73184857407116455</v>
      </c>
      <c r="H99" s="56">
        <v>0.79679664396909944</v>
      </c>
    </row>
    <row r="100" spans="1:8" x14ac:dyDescent="0.25">
      <c r="A100" s="101">
        <v>2024</v>
      </c>
      <c r="B100" s="101" t="s">
        <v>614</v>
      </c>
      <c r="C100" s="453">
        <v>45323</v>
      </c>
      <c r="D100" s="459">
        <v>4468.4867737859104</v>
      </c>
      <c r="E100" s="459">
        <v>5591122.381315561</v>
      </c>
      <c r="F100" s="459">
        <v>2929923.582488317</v>
      </c>
      <c r="G100" s="56">
        <v>0.76203610619927331</v>
      </c>
      <c r="H100" s="56">
        <v>0.81065503752043466</v>
      </c>
    </row>
    <row r="101" spans="1:8" x14ac:dyDescent="0.25">
      <c r="A101" s="101">
        <v>2024</v>
      </c>
      <c r="B101" s="101" t="s">
        <v>614</v>
      </c>
      <c r="C101" s="453">
        <v>45352</v>
      </c>
      <c r="D101" s="459">
        <v>6475.4651182549933</v>
      </c>
      <c r="E101" s="459">
        <v>8236120.4742212864</v>
      </c>
      <c r="F101" s="459">
        <v>5453412.3842212865</v>
      </c>
      <c r="G101" s="56">
        <v>0.69885853163598954</v>
      </c>
      <c r="H101" s="56">
        <v>0.71482934906529194</v>
      </c>
    </row>
    <row r="102" spans="1:8" x14ac:dyDescent="0.25">
      <c r="A102" s="101">
        <v>2024</v>
      </c>
      <c r="B102" s="101" t="s">
        <v>616</v>
      </c>
      <c r="C102" s="453">
        <v>45383</v>
      </c>
      <c r="D102" s="459">
        <v>6408.7714176912914</v>
      </c>
      <c r="E102" s="459">
        <v>7393372.5656874646</v>
      </c>
      <c r="F102" s="459">
        <v>6277564.4656874631</v>
      </c>
      <c r="G102" s="56">
        <v>0.70675125586251408</v>
      </c>
      <c r="H102" s="56">
        <v>0.70675125586251408</v>
      </c>
    </row>
    <row r="103" spans="1:8" x14ac:dyDescent="0.25">
      <c r="A103" s="101">
        <v>2024</v>
      </c>
      <c r="B103" s="101" t="s">
        <v>616</v>
      </c>
      <c r="C103" s="453">
        <v>45413</v>
      </c>
      <c r="D103" s="459">
        <v>0</v>
      </c>
      <c r="E103" s="459">
        <v>0</v>
      </c>
      <c r="F103" s="459">
        <v>0</v>
      </c>
      <c r="G103" s="56" t="s">
        <v>592</v>
      </c>
      <c r="H103" s="56" t="s">
        <v>592</v>
      </c>
    </row>
    <row r="104" spans="1:8" x14ac:dyDescent="0.25">
      <c r="A104" s="101">
        <v>2024</v>
      </c>
      <c r="B104" s="101" t="s">
        <v>616</v>
      </c>
      <c r="C104" s="453">
        <v>45444</v>
      </c>
      <c r="D104" s="459">
        <v>0</v>
      </c>
      <c r="E104" s="459">
        <v>0</v>
      </c>
      <c r="F104" s="459">
        <v>0</v>
      </c>
      <c r="G104" s="56" t="s">
        <v>592</v>
      </c>
      <c r="H104" s="56" t="s">
        <v>592</v>
      </c>
    </row>
    <row r="105" spans="1:8" x14ac:dyDescent="0.25">
      <c r="A105" s="101">
        <v>2024</v>
      </c>
      <c r="B105" s="101" t="s">
        <v>622</v>
      </c>
      <c r="C105" s="453">
        <v>45474</v>
      </c>
      <c r="D105" s="459">
        <v>0</v>
      </c>
      <c r="E105" s="459">
        <v>0</v>
      </c>
      <c r="F105" s="459">
        <v>0</v>
      </c>
      <c r="G105" s="56" t="s">
        <v>592</v>
      </c>
      <c r="H105" s="56" t="s">
        <v>592</v>
      </c>
    </row>
    <row r="106" spans="1:8" x14ac:dyDescent="0.25">
      <c r="A106" s="101">
        <v>2024</v>
      </c>
      <c r="B106" s="101" t="s">
        <v>622</v>
      </c>
      <c r="C106" s="453">
        <v>45505</v>
      </c>
      <c r="D106" s="459">
        <v>0</v>
      </c>
      <c r="E106" s="459">
        <v>0</v>
      </c>
      <c r="F106" s="459">
        <v>0</v>
      </c>
      <c r="G106" s="56" t="s">
        <v>592</v>
      </c>
      <c r="H106" s="56" t="s">
        <v>592</v>
      </c>
    </row>
    <row r="107" spans="1:8" x14ac:dyDescent="0.25">
      <c r="A107" s="101">
        <v>2024</v>
      </c>
      <c r="B107" s="101" t="s">
        <v>622</v>
      </c>
      <c r="C107" s="453">
        <v>45536</v>
      </c>
      <c r="D107" s="459">
        <v>0</v>
      </c>
      <c r="E107" s="459">
        <v>0</v>
      </c>
      <c r="F107" s="459">
        <v>0</v>
      </c>
      <c r="G107" s="56" t="s">
        <v>592</v>
      </c>
      <c r="H107" s="56" t="s">
        <v>592</v>
      </c>
    </row>
    <row r="108" spans="1:8" x14ac:dyDescent="0.25">
      <c r="A108" s="101">
        <v>2024</v>
      </c>
      <c r="B108" s="101" t="s">
        <v>623</v>
      </c>
      <c r="C108" s="453">
        <v>45566</v>
      </c>
      <c r="D108" s="459">
        <v>0</v>
      </c>
      <c r="E108" s="459">
        <v>0</v>
      </c>
      <c r="F108" s="459">
        <v>0</v>
      </c>
      <c r="G108" s="56" t="s">
        <v>592</v>
      </c>
      <c r="H108" s="56" t="s">
        <v>592</v>
      </c>
    </row>
    <row r="109" spans="1:8" x14ac:dyDescent="0.25">
      <c r="A109" s="101">
        <v>2024</v>
      </c>
      <c r="B109" s="101" t="s">
        <v>623</v>
      </c>
      <c r="C109" s="453">
        <v>45597</v>
      </c>
      <c r="D109" s="459">
        <v>0</v>
      </c>
      <c r="E109" s="459">
        <v>0</v>
      </c>
      <c r="F109" s="459">
        <v>0</v>
      </c>
      <c r="G109" s="56" t="s">
        <v>592</v>
      </c>
      <c r="H109" s="56" t="s">
        <v>592</v>
      </c>
    </row>
    <row r="110" spans="1:8" x14ac:dyDescent="0.25">
      <c r="A110" s="101">
        <v>2024</v>
      </c>
      <c r="B110" s="101" t="s">
        <v>623</v>
      </c>
      <c r="C110" s="453">
        <v>45627</v>
      </c>
      <c r="D110" s="459">
        <v>0</v>
      </c>
      <c r="E110" s="459">
        <v>0</v>
      </c>
      <c r="F110" s="459">
        <v>0</v>
      </c>
      <c r="G110" s="56" t="s">
        <v>592</v>
      </c>
      <c r="H110" s="56" t="s">
        <v>592</v>
      </c>
    </row>
    <row r="111" spans="1:8" x14ac:dyDescent="0.25">
      <c r="A111" s="101">
        <v>2025</v>
      </c>
      <c r="B111" s="101" t="s">
        <v>624</v>
      </c>
      <c r="C111" s="453">
        <v>45658</v>
      </c>
      <c r="D111" s="459">
        <v>0</v>
      </c>
      <c r="E111" s="459">
        <v>0</v>
      </c>
      <c r="F111" s="459">
        <v>0</v>
      </c>
      <c r="G111" s="56" t="s">
        <v>592</v>
      </c>
      <c r="H111" s="56" t="s">
        <v>592</v>
      </c>
    </row>
    <row r="112" spans="1:8" x14ac:dyDescent="0.25">
      <c r="A112" s="101">
        <v>2025</v>
      </c>
      <c r="B112" s="101" t="s">
        <v>624</v>
      </c>
      <c r="C112" s="453">
        <v>45689</v>
      </c>
      <c r="D112" s="459">
        <v>0</v>
      </c>
      <c r="E112" s="459">
        <v>0</v>
      </c>
      <c r="F112" s="459">
        <v>0</v>
      </c>
      <c r="G112" s="56" t="s">
        <v>592</v>
      </c>
      <c r="H112" s="56" t="s">
        <v>592</v>
      </c>
    </row>
    <row r="113" spans="1:8" x14ac:dyDescent="0.25">
      <c r="A113" s="101">
        <v>2025</v>
      </c>
      <c r="B113" s="101" t="s">
        <v>624</v>
      </c>
      <c r="C113" s="453">
        <v>45717</v>
      </c>
      <c r="D113" s="459">
        <v>0</v>
      </c>
      <c r="E113" s="459">
        <v>0</v>
      </c>
      <c r="F113" s="459">
        <v>0</v>
      </c>
      <c r="G113" s="56" t="s">
        <v>592</v>
      </c>
      <c r="H113" s="56" t="s">
        <v>592</v>
      </c>
    </row>
    <row r="114" spans="1:8" x14ac:dyDescent="0.25">
      <c r="A114" s="101">
        <v>2025</v>
      </c>
      <c r="B114" s="101" t="s">
        <v>625</v>
      </c>
      <c r="C114" s="453">
        <v>45748</v>
      </c>
      <c r="D114" s="459">
        <v>0</v>
      </c>
      <c r="E114" s="459">
        <v>0</v>
      </c>
      <c r="F114" s="459">
        <v>0</v>
      </c>
      <c r="G114" s="56" t="s">
        <v>592</v>
      </c>
      <c r="H114" s="56" t="s">
        <v>592</v>
      </c>
    </row>
    <row r="115" spans="1:8" x14ac:dyDescent="0.25">
      <c r="A115" s="101">
        <v>2025</v>
      </c>
      <c r="B115" s="101" t="s">
        <v>625</v>
      </c>
      <c r="C115" s="453">
        <v>45778</v>
      </c>
      <c r="D115" s="459">
        <v>0</v>
      </c>
      <c r="E115" s="459">
        <v>0</v>
      </c>
      <c r="F115" s="459">
        <v>0</v>
      </c>
      <c r="G115" s="56" t="s">
        <v>592</v>
      </c>
      <c r="H115" s="56" t="s">
        <v>592</v>
      </c>
    </row>
    <row r="116" spans="1:8" x14ac:dyDescent="0.25">
      <c r="A116" s="101">
        <v>2025</v>
      </c>
      <c r="B116" s="101" t="s">
        <v>625</v>
      </c>
      <c r="C116" s="453">
        <v>45809</v>
      </c>
      <c r="D116" s="459">
        <v>0</v>
      </c>
      <c r="E116" s="459">
        <v>0</v>
      </c>
      <c r="F116" s="459">
        <v>0</v>
      </c>
      <c r="G116" s="56" t="s">
        <v>592</v>
      </c>
      <c r="H116" s="56" t="s">
        <v>592</v>
      </c>
    </row>
    <row r="117" spans="1:8" x14ac:dyDescent="0.25">
      <c r="A117" s="101">
        <v>2025</v>
      </c>
      <c r="B117" s="101" t="s">
        <v>626</v>
      </c>
      <c r="C117" s="453">
        <v>45839</v>
      </c>
      <c r="D117" s="459">
        <v>0</v>
      </c>
      <c r="E117" s="459">
        <v>0</v>
      </c>
      <c r="F117" s="459">
        <v>0</v>
      </c>
      <c r="G117" s="56" t="s">
        <v>592</v>
      </c>
      <c r="H117" s="56" t="s">
        <v>592</v>
      </c>
    </row>
    <row r="118" spans="1:8" x14ac:dyDescent="0.25">
      <c r="A118" s="101">
        <v>2025</v>
      </c>
      <c r="B118" s="101" t="s">
        <v>626</v>
      </c>
      <c r="C118" s="453">
        <v>45870</v>
      </c>
      <c r="D118" s="459">
        <v>0</v>
      </c>
      <c r="E118" s="459">
        <v>0</v>
      </c>
      <c r="F118" s="459">
        <v>0</v>
      </c>
      <c r="G118" s="56" t="s">
        <v>592</v>
      </c>
      <c r="H118" s="56" t="s">
        <v>592</v>
      </c>
    </row>
    <row r="119" spans="1:8" x14ac:dyDescent="0.25">
      <c r="A119" s="101">
        <v>2025</v>
      </c>
      <c r="B119" s="101" t="s">
        <v>626</v>
      </c>
      <c r="C119" s="453">
        <v>45901</v>
      </c>
      <c r="D119" s="459">
        <v>0</v>
      </c>
      <c r="E119" s="459">
        <v>0</v>
      </c>
      <c r="F119" s="459">
        <v>0</v>
      </c>
      <c r="G119" s="56" t="s">
        <v>592</v>
      </c>
      <c r="H119" s="56" t="s">
        <v>592</v>
      </c>
    </row>
    <row r="120" spans="1:8" x14ac:dyDescent="0.25">
      <c r="A120" s="101">
        <v>2025</v>
      </c>
      <c r="B120" s="101" t="s">
        <v>627</v>
      </c>
      <c r="C120" s="453">
        <v>45931</v>
      </c>
      <c r="D120" s="459">
        <v>0</v>
      </c>
      <c r="E120" s="459">
        <v>0</v>
      </c>
      <c r="F120" s="459">
        <v>0</v>
      </c>
      <c r="G120" s="56" t="s">
        <v>592</v>
      </c>
      <c r="H120" s="56" t="s">
        <v>592</v>
      </c>
    </row>
    <row r="121" spans="1:8" x14ac:dyDescent="0.25">
      <c r="A121" s="101">
        <v>2025</v>
      </c>
      <c r="B121" s="101" t="s">
        <v>627</v>
      </c>
      <c r="C121" s="453">
        <v>45962</v>
      </c>
      <c r="D121" s="459">
        <v>0</v>
      </c>
      <c r="E121" s="459">
        <v>0</v>
      </c>
      <c r="F121" s="459">
        <v>0</v>
      </c>
      <c r="G121" s="56" t="s">
        <v>592</v>
      </c>
      <c r="H121" s="56" t="s">
        <v>592</v>
      </c>
    </row>
    <row r="122" spans="1:8" x14ac:dyDescent="0.25">
      <c r="A122" s="101">
        <v>2025</v>
      </c>
      <c r="B122" s="101" t="s">
        <v>627</v>
      </c>
      <c r="C122" s="453">
        <v>45992</v>
      </c>
      <c r="D122" s="459">
        <v>0</v>
      </c>
      <c r="E122" s="459">
        <v>0</v>
      </c>
      <c r="F122" s="459">
        <v>0</v>
      </c>
      <c r="G122" s="56" t="s">
        <v>592</v>
      </c>
      <c r="H122" s="56" t="s">
        <v>592</v>
      </c>
    </row>
    <row r="123" spans="1:8" x14ac:dyDescent="0.25">
      <c r="A123" s="101">
        <v>2026</v>
      </c>
      <c r="B123" s="101" t="s">
        <v>628</v>
      </c>
      <c r="C123" s="453">
        <v>46023</v>
      </c>
      <c r="D123" s="459">
        <v>0</v>
      </c>
      <c r="E123" s="459">
        <v>0</v>
      </c>
      <c r="F123" s="459">
        <v>0</v>
      </c>
      <c r="G123" s="56" t="s">
        <v>592</v>
      </c>
      <c r="H123" s="56" t="s">
        <v>592</v>
      </c>
    </row>
    <row r="124" spans="1:8" x14ac:dyDescent="0.25">
      <c r="A124" s="101">
        <v>2026</v>
      </c>
      <c r="B124" s="101" t="s">
        <v>628</v>
      </c>
      <c r="C124" s="453">
        <v>46054</v>
      </c>
      <c r="D124" s="459">
        <v>0</v>
      </c>
      <c r="E124" s="459">
        <v>0</v>
      </c>
      <c r="F124" s="459">
        <v>0</v>
      </c>
      <c r="G124" s="56" t="s">
        <v>592</v>
      </c>
      <c r="H124" s="56" t="s">
        <v>592</v>
      </c>
    </row>
    <row r="125" spans="1:8" x14ac:dyDescent="0.25">
      <c r="A125" s="101">
        <v>2026</v>
      </c>
      <c r="B125" s="101" t="s">
        <v>628</v>
      </c>
      <c r="C125" s="453">
        <v>46082</v>
      </c>
      <c r="D125" s="459">
        <v>0</v>
      </c>
      <c r="E125" s="459">
        <v>0</v>
      </c>
      <c r="F125" s="459">
        <v>0</v>
      </c>
      <c r="G125" s="56" t="s">
        <v>592</v>
      </c>
      <c r="H125" s="56" t="s">
        <v>592</v>
      </c>
    </row>
    <row r="126" spans="1:8" x14ac:dyDescent="0.25">
      <c r="A126" s="101">
        <v>2026</v>
      </c>
      <c r="B126" s="101" t="s">
        <v>629</v>
      </c>
      <c r="C126" s="453">
        <v>46113</v>
      </c>
      <c r="D126" s="459">
        <v>0</v>
      </c>
      <c r="E126" s="459">
        <v>0</v>
      </c>
      <c r="F126" s="459">
        <v>0</v>
      </c>
      <c r="G126" s="56" t="s">
        <v>592</v>
      </c>
      <c r="H126" s="56" t="s">
        <v>592</v>
      </c>
    </row>
    <row r="127" spans="1:8" x14ac:dyDescent="0.25">
      <c r="A127" s="101">
        <v>2026</v>
      </c>
      <c r="B127" s="101" t="s">
        <v>629</v>
      </c>
      <c r="C127" s="453">
        <v>46143</v>
      </c>
      <c r="D127" s="459">
        <v>0</v>
      </c>
      <c r="E127" s="459">
        <v>0</v>
      </c>
      <c r="F127" s="459">
        <v>0</v>
      </c>
      <c r="G127" s="56" t="s">
        <v>592</v>
      </c>
      <c r="H127" s="56" t="s">
        <v>592</v>
      </c>
    </row>
    <row r="128" spans="1:8" x14ac:dyDescent="0.25">
      <c r="A128" s="101">
        <v>2026</v>
      </c>
      <c r="B128" s="101" t="s">
        <v>629</v>
      </c>
      <c r="C128" s="453">
        <v>46174</v>
      </c>
      <c r="D128" s="459">
        <v>0</v>
      </c>
      <c r="E128" s="459">
        <v>0</v>
      </c>
      <c r="F128" s="459">
        <v>0</v>
      </c>
      <c r="G128" s="56" t="s">
        <v>592</v>
      </c>
      <c r="H128" s="56" t="s">
        <v>592</v>
      </c>
    </row>
    <row r="129" spans="1:8" x14ac:dyDescent="0.25">
      <c r="A129" s="101">
        <v>2026</v>
      </c>
      <c r="B129" s="101" t="s">
        <v>630</v>
      </c>
      <c r="C129" s="453">
        <v>46204</v>
      </c>
      <c r="D129" s="459">
        <v>0</v>
      </c>
      <c r="E129" s="459">
        <v>0</v>
      </c>
      <c r="F129" s="459">
        <v>0</v>
      </c>
      <c r="G129" s="56" t="s">
        <v>592</v>
      </c>
      <c r="H129" s="56" t="s">
        <v>592</v>
      </c>
    </row>
    <row r="130" spans="1:8" x14ac:dyDescent="0.25">
      <c r="A130" s="101">
        <v>2026</v>
      </c>
      <c r="B130" s="101" t="s">
        <v>630</v>
      </c>
      <c r="C130" s="453">
        <v>46235</v>
      </c>
      <c r="D130" s="459">
        <v>0</v>
      </c>
      <c r="E130" s="459">
        <v>0</v>
      </c>
      <c r="F130" s="459">
        <v>0</v>
      </c>
      <c r="G130" s="56" t="s">
        <v>592</v>
      </c>
      <c r="H130" s="56" t="s">
        <v>592</v>
      </c>
    </row>
    <row r="131" spans="1:8" x14ac:dyDescent="0.25">
      <c r="A131" s="101">
        <v>2026</v>
      </c>
      <c r="B131" s="101" t="s">
        <v>630</v>
      </c>
      <c r="C131" s="453">
        <v>46266</v>
      </c>
      <c r="D131" s="459">
        <v>0</v>
      </c>
      <c r="E131" s="459">
        <v>0</v>
      </c>
      <c r="F131" s="459">
        <v>0</v>
      </c>
      <c r="G131" s="56" t="s">
        <v>592</v>
      </c>
      <c r="H131" s="56" t="s">
        <v>592</v>
      </c>
    </row>
    <row r="132" spans="1:8" x14ac:dyDescent="0.25">
      <c r="A132" s="101">
        <v>2026</v>
      </c>
      <c r="B132" s="101" t="s">
        <v>631</v>
      </c>
      <c r="C132" s="453">
        <v>46296</v>
      </c>
      <c r="D132" s="459">
        <v>0</v>
      </c>
      <c r="E132" s="459">
        <v>0</v>
      </c>
      <c r="F132" s="459">
        <v>0</v>
      </c>
      <c r="G132" s="56" t="s">
        <v>592</v>
      </c>
      <c r="H132" s="56" t="s">
        <v>592</v>
      </c>
    </row>
    <row r="133" spans="1:8" x14ac:dyDescent="0.25">
      <c r="A133" s="101">
        <v>2026</v>
      </c>
      <c r="B133" s="101" t="s">
        <v>631</v>
      </c>
      <c r="C133" s="453">
        <v>46327</v>
      </c>
      <c r="D133" s="459">
        <v>0</v>
      </c>
      <c r="E133" s="459">
        <v>0</v>
      </c>
      <c r="F133" s="459">
        <v>0</v>
      </c>
      <c r="G133" s="56" t="s">
        <v>592</v>
      </c>
      <c r="H133" s="56" t="s">
        <v>592</v>
      </c>
    </row>
    <row r="134" spans="1:8" x14ac:dyDescent="0.25">
      <c r="A134" s="101">
        <v>2026</v>
      </c>
      <c r="B134" s="101" t="s">
        <v>631</v>
      </c>
      <c r="C134" s="453">
        <v>46357</v>
      </c>
      <c r="D134" s="459">
        <v>0</v>
      </c>
      <c r="E134" s="459">
        <v>0</v>
      </c>
      <c r="F134" s="459">
        <v>0</v>
      </c>
      <c r="G134" s="56" t="s">
        <v>592</v>
      </c>
      <c r="H134" s="56" t="s">
        <v>592</v>
      </c>
    </row>
    <row r="138" spans="1:8" x14ac:dyDescent="0.25">
      <c r="A138" s="47" t="s">
        <v>641</v>
      </c>
    </row>
    <row r="148" spans="1:28" x14ac:dyDescent="0.25">
      <c r="A148" s="47" t="s">
        <v>567</v>
      </c>
      <c r="B148" s="47" t="s">
        <v>568</v>
      </c>
      <c r="E148" s="47" t="s">
        <v>639</v>
      </c>
      <c r="J148" s="47" t="s">
        <v>567</v>
      </c>
      <c r="K148" s="47" t="s">
        <v>569</v>
      </c>
      <c r="N148" s="47" t="s">
        <v>570</v>
      </c>
    </row>
    <row r="149" spans="1:28" x14ac:dyDescent="0.25">
      <c r="A149" s="456" t="s">
        <v>571</v>
      </c>
      <c r="B149" s="456" t="s">
        <v>572</v>
      </c>
      <c r="C149" s="456" t="s">
        <v>573</v>
      </c>
      <c r="D149" s="457" t="s">
        <v>574</v>
      </c>
      <c r="E149" s="457" t="s">
        <v>287</v>
      </c>
      <c r="F149" s="457" t="s">
        <v>575</v>
      </c>
      <c r="G149" s="456" t="s">
        <v>566</v>
      </c>
      <c r="H149" s="456" t="s">
        <v>576</v>
      </c>
      <c r="J149" s="456" t="s">
        <v>572</v>
      </c>
      <c r="K149" s="456" t="s">
        <v>571</v>
      </c>
      <c r="L149" s="456" t="s">
        <v>573</v>
      </c>
      <c r="M149" s="457" t="s">
        <v>577</v>
      </c>
      <c r="N149" s="456" t="s">
        <v>578</v>
      </c>
      <c r="O149" s="456" t="s">
        <v>566</v>
      </c>
      <c r="P149" s="456" t="s">
        <v>576</v>
      </c>
      <c r="Q149" s="456" t="s">
        <v>579</v>
      </c>
      <c r="R149" s="456" t="s">
        <v>580</v>
      </c>
      <c r="S149" s="456" t="s">
        <v>581</v>
      </c>
      <c r="T149" s="456" t="s">
        <v>582</v>
      </c>
      <c r="U149" s="456" t="s">
        <v>583</v>
      </c>
      <c r="V149" s="456" t="s">
        <v>584</v>
      </c>
      <c r="W149" s="456" t="s">
        <v>585</v>
      </c>
      <c r="X149" s="456" t="s">
        <v>586</v>
      </c>
      <c r="Y149" s="456" t="s">
        <v>587</v>
      </c>
      <c r="Z149" s="456" t="s">
        <v>588</v>
      </c>
      <c r="AA149" s="456" t="s">
        <v>589</v>
      </c>
      <c r="AB149" s="456" t="s">
        <v>590</v>
      </c>
    </row>
    <row r="150" spans="1:28" x14ac:dyDescent="0.25">
      <c r="A150" s="101">
        <v>2017</v>
      </c>
      <c r="B150" s="101" t="s">
        <v>591</v>
      </c>
      <c r="C150" s="453">
        <v>42736</v>
      </c>
      <c r="D150" s="458"/>
      <c r="E150" s="459"/>
      <c r="F150" s="459"/>
      <c r="G150" s="56" t="s">
        <v>592</v>
      </c>
      <c r="H150" s="56" t="s">
        <v>592</v>
      </c>
      <c r="J150" s="101" t="s">
        <v>593</v>
      </c>
      <c r="K150" s="101">
        <v>2021</v>
      </c>
      <c r="L150" s="453">
        <v>44317</v>
      </c>
      <c r="M150" s="459">
        <v>0</v>
      </c>
      <c r="N150" s="56">
        <v>0</v>
      </c>
      <c r="O150" s="56">
        <v>0</v>
      </c>
      <c r="P150" s="56">
        <v>0</v>
      </c>
      <c r="Q150" s="56">
        <v>0</v>
      </c>
      <c r="R150" s="56" t="s">
        <v>592</v>
      </c>
      <c r="S150" s="56" t="s">
        <v>592</v>
      </c>
      <c r="T150" s="56" t="s">
        <v>592</v>
      </c>
      <c r="U150" s="56" t="s">
        <v>592</v>
      </c>
      <c r="V150" s="56" t="s">
        <v>592</v>
      </c>
      <c r="W150" s="56" t="s">
        <v>592</v>
      </c>
      <c r="X150" s="56">
        <v>0.1054574266978673</v>
      </c>
      <c r="Y150" s="56" t="s">
        <v>592</v>
      </c>
      <c r="Z150" s="56" t="s">
        <v>592</v>
      </c>
      <c r="AA150" s="56" t="s">
        <v>592</v>
      </c>
      <c r="AB150" s="56" t="s">
        <v>592</v>
      </c>
    </row>
    <row r="151" spans="1:28" x14ac:dyDescent="0.25">
      <c r="A151" s="101">
        <v>2017</v>
      </c>
      <c r="B151" s="101" t="s">
        <v>591</v>
      </c>
      <c r="C151" s="453">
        <v>42767</v>
      </c>
      <c r="D151" s="458"/>
      <c r="E151" s="459"/>
      <c r="F151" s="459"/>
      <c r="G151" s="56" t="s">
        <v>592</v>
      </c>
      <c r="H151" s="56" t="s">
        <v>592</v>
      </c>
      <c r="J151" s="101" t="s">
        <v>593</v>
      </c>
      <c r="K151" s="101">
        <v>2021</v>
      </c>
      <c r="L151" s="453">
        <v>44348</v>
      </c>
      <c r="M151" s="459">
        <v>0</v>
      </c>
      <c r="N151" s="56">
        <v>0</v>
      </c>
      <c r="O151" s="56">
        <v>0</v>
      </c>
      <c r="P151" s="56">
        <v>0</v>
      </c>
      <c r="Q151" s="56">
        <v>0</v>
      </c>
      <c r="R151" s="56" t="s">
        <v>592</v>
      </c>
      <c r="S151" s="56" t="s">
        <v>592</v>
      </c>
      <c r="T151" s="56" t="s">
        <v>592</v>
      </c>
      <c r="U151" s="56" t="s">
        <v>592</v>
      </c>
      <c r="V151" s="56" t="s">
        <v>592</v>
      </c>
      <c r="W151" s="56" t="s">
        <v>592</v>
      </c>
      <c r="X151" s="56">
        <v>0.1054574266978673</v>
      </c>
      <c r="Y151" s="56" t="s">
        <v>592</v>
      </c>
      <c r="Z151" s="56" t="s">
        <v>592</v>
      </c>
      <c r="AA151" s="56" t="s">
        <v>592</v>
      </c>
      <c r="AB151" s="56" t="s">
        <v>592</v>
      </c>
    </row>
    <row r="152" spans="1:28" x14ac:dyDescent="0.25">
      <c r="A152" s="101">
        <v>2017</v>
      </c>
      <c r="B152" s="101" t="s">
        <v>591</v>
      </c>
      <c r="C152" s="453">
        <v>42795</v>
      </c>
      <c r="D152" s="458"/>
      <c r="E152" s="459"/>
      <c r="F152" s="459"/>
      <c r="G152" s="56" t="s">
        <v>592</v>
      </c>
      <c r="H152" s="56" t="s">
        <v>592</v>
      </c>
      <c r="J152" s="101" t="s">
        <v>594</v>
      </c>
      <c r="K152" s="101">
        <v>2021</v>
      </c>
      <c r="L152" s="453">
        <v>44378</v>
      </c>
      <c r="M152" s="459">
        <v>0</v>
      </c>
      <c r="N152" s="56">
        <v>0</v>
      </c>
      <c r="O152" s="56">
        <v>0</v>
      </c>
      <c r="P152" s="56">
        <v>0</v>
      </c>
      <c r="Q152" s="56">
        <v>0</v>
      </c>
      <c r="R152" s="56" t="s">
        <v>592</v>
      </c>
      <c r="S152" s="56" t="s">
        <v>592</v>
      </c>
      <c r="T152" s="56" t="s">
        <v>592</v>
      </c>
      <c r="U152" s="56" t="s">
        <v>592</v>
      </c>
      <c r="V152" s="56" t="s">
        <v>592</v>
      </c>
      <c r="W152" s="56" t="s">
        <v>592</v>
      </c>
      <c r="X152" s="56">
        <v>0.1054574266978673</v>
      </c>
      <c r="Y152" s="56" t="s">
        <v>592</v>
      </c>
      <c r="Z152" s="56" t="s">
        <v>592</v>
      </c>
      <c r="AA152" s="56" t="s">
        <v>592</v>
      </c>
      <c r="AB152" s="56" t="s">
        <v>592</v>
      </c>
    </row>
    <row r="153" spans="1:28" x14ac:dyDescent="0.25">
      <c r="A153" s="101">
        <v>2017</v>
      </c>
      <c r="B153" s="101" t="s">
        <v>595</v>
      </c>
      <c r="C153" s="453">
        <v>42826</v>
      </c>
      <c r="D153" s="458"/>
      <c r="E153" s="459"/>
      <c r="F153" s="459"/>
      <c r="G153" s="56" t="s">
        <v>592</v>
      </c>
      <c r="H153" s="56" t="s">
        <v>592</v>
      </c>
      <c r="J153" s="101" t="s">
        <v>594</v>
      </c>
      <c r="K153" s="101">
        <v>2021</v>
      </c>
      <c r="L153" s="453">
        <v>44409</v>
      </c>
      <c r="M153" s="459">
        <v>0</v>
      </c>
      <c r="N153" s="56">
        <v>0</v>
      </c>
      <c r="O153" s="56">
        <v>0</v>
      </c>
      <c r="P153" s="56">
        <v>0</v>
      </c>
      <c r="Q153" s="56">
        <v>0</v>
      </c>
      <c r="R153" s="56" t="s">
        <v>592</v>
      </c>
      <c r="S153" s="56" t="s">
        <v>592</v>
      </c>
      <c r="T153" s="56" t="s">
        <v>592</v>
      </c>
      <c r="U153" s="56" t="s">
        <v>592</v>
      </c>
      <c r="V153" s="56" t="s">
        <v>592</v>
      </c>
      <c r="W153" s="56" t="s">
        <v>592</v>
      </c>
      <c r="X153" s="56">
        <v>0.1054574266978673</v>
      </c>
      <c r="Y153" s="56" t="s">
        <v>592</v>
      </c>
      <c r="Z153" s="56" t="s">
        <v>592</v>
      </c>
      <c r="AA153" s="56" t="s">
        <v>592</v>
      </c>
      <c r="AB153" s="56" t="s">
        <v>592</v>
      </c>
    </row>
    <row r="154" spans="1:28" x14ac:dyDescent="0.25">
      <c r="A154" s="101">
        <v>2017</v>
      </c>
      <c r="B154" s="101" t="s">
        <v>595</v>
      </c>
      <c r="C154" s="453">
        <v>42856</v>
      </c>
      <c r="D154" s="458"/>
      <c r="E154" s="459"/>
      <c r="F154" s="459"/>
      <c r="G154" s="56" t="s">
        <v>592</v>
      </c>
      <c r="H154" s="56" t="s">
        <v>592</v>
      </c>
      <c r="J154" s="101" t="s">
        <v>594</v>
      </c>
      <c r="K154" s="101">
        <v>2021</v>
      </c>
      <c r="L154" s="453">
        <v>44440</v>
      </c>
      <c r="M154" s="459">
        <v>0</v>
      </c>
      <c r="N154" s="56">
        <v>0</v>
      </c>
      <c r="O154" s="56">
        <v>0</v>
      </c>
      <c r="P154" s="56">
        <v>0</v>
      </c>
      <c r="Q154" s="56">
        <v>0</v>
      </c>
      <c r="R154" s="56" t="s">
        <v>592</v>
      </c>
      <c r="S154" s="56" t="s">
        <v>592</v>
      </c>
      <c r="T154" s="56" t="s">
        <v>592</v>
      </c>
      <c r="U154" s="56" t="s">
        <v>592</v>
      </c>
      <c r="V154" s="56" t="s">
        <v>592</v>
      </c>
      <c r="W154" s="56" t="s">
        <v>592</v>
      </c>
      <c r="X154" s="56">
        <v>0.1054574266978673</v>
      </c>
      <c r="Y154" s="56" t="s">
        <v>592</v>
      </c>
      <c r="Z154" s="56" t="s">
        <v>592</v>
      </c>
      <c r="AA154" s="56" t="s">
        <v>592</v>
      </c>
      <c r="AB154" s="56" t="s">
        <v>592</v>
      </c>
    </row>
    <row r="155" spans="1:28" x14ac:dyDescent="0.25">
      <c r="A155" s="101">
        <v>2017</v>
      </c>
      <c r="B155" s="101" t="s">
        <v>595</v>
      </c>
      <c r="C155" s="453">
        <v>42887</v>
      </c>
      <c r="D155" s="458"/>
      <c r="E155" s="459"/>
      <c r="F155" s="459"/>
      <c r="G155" s="56" t="s">
        <v>592</v>
      </c>
      <c r="H155" s="56" t="s">
        <v>592</v>
      </c>
      <c r="J155" s="101" t="s">
        <v>596</v>
      </c>
      <c r="K155" s="101">
        <v>2021</v>
      </c>
      <c r="L155" s="453">
        <v>44470</v>
      </c>
      <c r="M155" s="459">
        <v>0</v>
      </c>
      <c r="N155" s="56">
        <v>0</v>
      </c>
      <c r="O155" s="56">
        <v>0</v>
      </c>
      <c r="P155" s="56">
        <v>0</v>
      </c>
      <c r="Q155" s="56">
        <v>0</v>
      </c>
      <c r="R155" s="56" t="s">
        <v>592</v>
      </c>
      <c r="S155" s="56" t="s">
        <v>592</v>
      </c>
      <c r="T155" s="56" t="s">
        <v>592</v>
      </c>
      <c r="U155" s="56" t="s">
        <v>592</v>
      </c>
      <c r="V155" s="56" t="s">
        <v>592</v>
      </c>
      <c r="W155" s="56" t="s">
        <v>592</v>
      </c>
      <c r="X155" s="56">
        <v>0.1054574266978673</v>
      </c>
      <c r="Y155" s="56" t="s">
        <v>592</v>
      </c>
      <c r="Z155" s="56" t="s">
        <v>592</v>
      </c>
      <c r="AA155" s="56" t="s">
        <v>592</v>
      </c>
      <c r="AB155" s="56" t="s">
        <v>592</v>
      </c>
    </row>
    <row r="156" spans="1:28" x14ac:dyDescent="0.25">
      <c r="A156" s="101">
        <v>2017</v>
      </c>
      <c r="B156" s="101" t="s">
        <v>597</v>
      </c>
      <c r="C156" s="453">
        <v>42917</v>
      </c>
      <c r="D156" s="458"/>
      <c r="E156" s="459"/>
      <c r="F156" s="459"/>
      <c r="G156" s="56" t="s">
        <v>592</v>
      </c>
      <c r="H156" s="56" t="s">
        <v>592</v>
      </c>
      <c r="J156" s="101" t="s">
        <v>596</v>
      </c>
      <c r="K156" s="101">
        <v>2021</v>
      </c>
      <c r="L156" s="453">
        <v>44501</v>
      </c>
      <c r="M156" s="459">
        <v>0</v>
      </c>
      <c r="N156" s="56">
        <v>0</v>
      </c>
      <c r="O156" s="56">
        <v>0</v>
      </c>
      <c r="P156" s="56">
        <v>0</v>
      </c>
      <c r="Q156" s="56">
        <v>0</v>
      </c>
      <c r="R156" s="56" t="s">
        <v>592</v>
      </c>
      <c r="S156" s="56" t="s">
        <v>592</v>
      </c>
      <c r="T156" s="56" t="s">
        <v>592</v>
      </c>
      <c r="U156" s="56" t="s">
        <v>592</v>
      </c>
      <c r="V156" s="56" t="s">
        <v>592</v>
      </c>
      <c r="W156" s="56" t="s">
        <v>592</v>
      </c>
      <c r="X156" s="56">
        <v>0.1054574266978673</v>
      </c>
      <c r="Y156" s="56" t="s">
        <v>592</v>
      </c>
      <c r="Z156" s="56" t="s">
        <v>592</v>
      </c>
      <c r="AA156" s="56" t="s">
        <v>592</v>
      </c>
      <c r="AB156" s="56" t="s">
        <v>592</v>
      </c>
    </row>
    <row r="157" spans="1:28" x14ac:dyDescent="0.25">
      <c r="A157" s="101">
        <v>2017</v>
      </c>
      <c r="B157" s="101" t="s">
        <v>597</v>
      </c>
      <c r="C157" s="453">
        <v>42948</v>
      </c>
      <c r="D157" s="458"/>
      <c r="E157" s="459"/>
      <c r="F157" s="459"/>
      <c r="G157" s="56" t="s">
        <v>592</v>
      </c>
      <c r="H157" s="56" t="s">
        <v>592</v>
      </c>
      <c r="J157" s="101" t="s">
        <v>596</v>
      </c>
      <c r="K157" s="101">
        <v>2021</v>
      </c>
      <c r="L157" s="453">
        <v>44531</v>
      </c>
      <c r="M157" s="459">
        <v>0</v>
      </c>
      <c r="N157" s="56">
        <v>0</v>
      </c>
      <c r="O157" s="56">
        <v>0</v>
      </c>
      <c r="P157" s="56">
        <v>0</v>
      </c>
      <c r="Q157" s="56">
        <v>0</v>
      </c>
      <c r="R157" s="56" t="s">
        <v>592</v>
      </c>
      <c r="S157" s="56" t="s">
        <v>592</v>
      </c>
      <c r="T157" s="56" t="s">
        <v>592</v>
      </c>
      <c r="U157" s="56" t="s">
        <v>592</v>
      </c>
      <c r="V157" s="56" t="s">
        <v>592</v>
      </c>
      <c r="W157" s="56" t="s">
        <v>592</v>
      </c>
      <c r="X157" s="56">
        <v>0.1054574266978673</v>
      </c>
      <c r="Y157" s="56" t="s">
        <v>592</v>
      </c>
      <c r="Z157" s="56" t="s">
        <v>592</v>
      </c>
      <c r="AA157" s="56" t="s">
        <v>592</v>
      </c>
      <c r="AB157" s="56" t="s">
        <v>592</v>
      </c>
    </row>
    <row r="158" spans="1:28" x14ac:dyDescent="0.25">
      <c r="A158" s="101">
        <v>2017</v>
      </c>
      <c r="B158" s="101" t="s">
        <v>597</v>
      </c>
      <c r="C158" s="453">
        <v>42979</v>
      </c>
      <c r="D158" s="458"/>
      <c r="E158" s="459"/>
      <c r="F158" s="459"/>
      <c r="G158" s="56" t="s">
        <v>592</v>
      </c>
      <c r="H158" s="56" t="s">
        <v>592</v>
      </c>
      <c r="J158" s="101" t="s">
        <v>598</v>
      </c>
      <c r="K158" s="101">
        <v>2022</v>
      </c>
      <c r="L158" s="453">
        <v>44562</v>
      </c>
      <c r="M158" s="459">
        <v>0</v>
      </c>
      <c r="N158" s="56">
        <v>0</v>
      </c>
      <c r="O158" s="56">
        <v>0</v>
      </c>
      <c r="P158" s="56">
        <v>0</v>
      </c>
      <c r="Q158" s="56">
        <v>0</v>
      </c>
      <c r="R158" s="56" t="s">
        <v>592</v>
      </c>
      <c r="S158" s="56" t="s">
        <v>592</v>
      </c>
      <c r="T158" s="56" t="s">
        <v>592</v>
      </c>
      <c r="U158" s="56" t="s">
        <v>592</v>
      </c>
      <c r="V158" s="56" t="s">
        <v>592</v>
      </c>
      <c r="W158" s="56" t="s">
        <v>592</v>
      </c>
      <c r="X158" s="56">
        <v>6.3022661486525786E-2</v>
      </c>
      <c r="Y158" s="56" t="s">
        <v>592</v>
      </c>
      <c r="Z158" s="56" t="s">
        <v>592</v>
      </c>
      <c r="AA158" s="56" t="s">
        <v>592</v>
      </c>
      <c r="AB158" s="56" t="s">
        <v>592</v>
      </c>
    </row>
    <row r="159" spans="1:28" x14ac:dyDescent="0.25">
      <c r="A159" s="101">
        <v>2017</v>
      </c>
      <c r="B159" s="101" t="s">
        <v>599</v>
      </c>
      <c r="C159" s="453">
        <v>43009</v>
      </c>
      <c r="D159" s="458"/>
      <c r="E159" s="459"/>
      <c r="F159" s="459"/>
      <c r="G159" s="56" t="s">
        <v>592</v>
      </c>
      <c r="H159" s="56" t="s">
        <v>592</v>
      </c>
      <c r="J159" s="101" t="s">
        <v>598</v>
      </c>
      <c r="K159" s="101">
        <v>2022</v>
      </c>
      <c r="L159" s="453">
        <v>44593</v>
      </c>
      <c r="M159" s="459">
        <v>0</v>
      </c>
      <c r="N159" s="56">
        <v>0</v>
      </c>
      <c r="O159" s="56">
        <v>0</v>
      </c>
      <c r="P159" s="56">
        <v>0</v>
      </c>
      <c r="Q159" s="56">
        <v>0</v>
      </c>
      <c r="R159" s="56" t="s">
        <v>592</v>
      </c>
      <c r="S159" s="56" t="s">
        <v>592</v>
      </c>
      <c r="T159" s="56" t="s">
        <v>592</v>
      </c>
      <c r="U159" s="56" t="s">
        <v>592</v>
      </c>
      <c r="V159" s="56" t="s">
        <v>592</v>
      </c>
      <c r="W159" s="56" t="s">
        <v>592</v>
      </c>
      <c r="X159" s="56">
        <v>6.3022661486525786E-2</v>
      </c>
      <c r="Y159" s="56" t="s">
        <v>592</v>
      </c>
      <c r="Z159" s="56" t="s">
        <v>592</v>
      </c>
      <c r="AA159" s="56" t="s">
        <v>592</v>
      </c>
      <c r="AB159" s="56" t="s">
        <v>592</v>
      </c>
    </row>
    <row r="160" spans="1:28" x14ac:dyDescent="0.25">
      <c r="A160" s="101">
        <v>2017</v>
      </c>
      <c r="B160" s="101" t="s">
        <v>599</v>
      </c>
      <c r="C160" s="453">
        <v>43040</v>
      </c>
      <c r="D160" s="458"/>
      <c r="E160" s="459"/>
      <c r="F160" s="459"/>
      <c r="G160" s="56" t="s">
        <v>592</v>
      </c>
      <c r="H160" s="56" t="s">
        <v>592</v>
      </c>
      <c r="J160" s="101" t="s">
        <v>598</v>
      </c>
      <c r="K160" s="101">
        <v>2022</v>
      </c>
      <c r="L160" s="453">
        <v>44621</v>
      </c>
      <c r="M160" s="459">
        <v>0</v>
      </c>
      <c r="N160" s="56">
        <v>0</v>
      </c>
      <c r="O160" s="56">
        <v>0</v>
      </c>
      <c r="P160" s="56">
        <v>0</v>
      </c>
      <c r="Q160" s="56">
        <v>0</v>
      </c>
      <c r="R160" s="56" t="s">
        <v>592</v>
      </c>
      <c r="S160" s="56" t="s">
        <v>592</v>
      </c>
      <c r="T160" s="56" t="s">
        <v>592</v>
      </c>
      <c r="U160" s="56" t="s">
        <v>592</v>
      </c>
      <c r="V160" s="56" t="s">
        <v>592</v>
      </c>
      <c r="W160" s="56" t="s">
        <v>592</v>
      </c>
      <c r="X160" s="56">
        <v>6.3022661486525786E-2</v>
      </c>
      <c r="Y160" s="56" t="s">
        <v>592</v>
      </c>
      <c r="Z160" s="56" t="s">
        <v>592</v>
      </c>
      <c r="AA160" s="56" t="s">
        <v>592</v>
      </c>
      <c r="AB160" s="56" t="s">
        <v>592</v>
      </c>
    </row>
    <row r="161" spans="1:28" x14ac:dyDescent="0.25">
      <c r="A161" s="101">
        <v>2017</v>
      </c>
      <c r="B161" s="101" t="s">
        <v>599</v>
      </c>
      <c r="C161" s="453">
        <v>43070</v>
      </c>
      <c r="D161" s="458"/>
      <c r="E161" s="459"/>
      <c r="F161" s="459"/>
      <c r="G161" s="56" t="s">
        <v>592</v>
      </c>
      <c r="H161" s="56" t="s">
        <v>592</v>
      </c>
      <c r="J161" s="101" t="s">
        <v>600</v>
      </c>
      <c r="K161" s="101">
        <v>2022</v>
      </c>
      <c r="L161" s="453">
        <v>44652</v>
      </c>
      <c r="M161" s="459">
        <v>0</v>
      </c>
      <c r="N161" s="56">
        <v>0</v>
      </c>
      <c r="O161" s="56">
        <v>0</v>
      </c>
      <c r="P161" s="56">
        <v>0</v>
      </c>
      <c r="Q161" s="56">
        <v>0</v>
      </c>
      <c r="R161" s="56" t="s">
        <v>592</v>
      </c>
      <c r="S161" s="56" t="s">
        <v>592</v>
      </c>
      <c r="T161" s="56" t="s">
        <v>592</v>
      </c>
      <c r="U161" s="56" t="s">
        <v>592</v>
      </c>
      <c r="V161" s="56" t="s">
        <v>592</v>
      </c>
      <c r="W161" s="56" t="s">
        <v>592</v>
      </c>
      <c r="X161" s="56">
        <v>6.3022661486525786E-2</v>
      </c>
      <c r="Y161" s="56" t="s">
        <v>592</v>
      </c>
      <c r="Z161" s="56" t="s">
        <v>592</v>
      </c>
      <c r="AA161" s="56" t="s">
        <v>592</v>
      </c>
      <c r="AB161" s="56" t="s">
        <v>592</v>
      </c>
    </row>
    <row r="162" spans="1:28" x14ac:dyDescent="0.25">
      <c r="A162" s="101">
        <v>2018</v>
      </c>
      <c r="B162" s="101" t="s">
        <v>601</v>
      </c>
      <c r="C162" s="453">
        <v>43101</v>
      </c>
      <c r="D162" s="459">
        <v>0</v>
      </c>
      <c r="E162" s="459">
        <v>0</v>
      </c>
      <c r="F162" s="459">
        <v>0</v>
      </c>
      <c r="G162" s="56" t="s">
        <v>592</v>
      </c>
      <c r="H162" s="56" t="s">
        <v>592</v>
      </c>
      <c r="J162" s="101" t="s">
        <v>600</v>
      </c>
      <c r="K162" s="101">
        <v>2022</v>
      </c>
      <c r="L162" s="453">
        <v>44682</v>
      </c>
      <c r="M162" s="459">
        <v>0</v>
      </c>
      <c r="N162" s="56">
        <v>0</v>
      </c>
      <c r="O162" s="56">
        <v>0</v>
      </c>
      <c r="P162" s="56">
        <v>0</v>
      </c>
      <c r="Q162" s="56">
        <v>0</v>
      </c>
      <c r="R162" s="56" t="s">
        <v>592</v>
      </c>
      <c r="S162" s="56" t="s">
        <v>592</v>
      </c>
      <c r="T162" s="56" t="s">
        <v>592</v>
      </c>
      <c r="U162" s="56" t="s">
        <v>592</v>
      </c>
      <c r="V162" s="56" t="s">
        <v>592</v>
      </c>
      <c r="W162" s="56" t="s">
        <v>592</v>
      </c>
      <c r="X162" s="56">
        <v>6.3022661486525786E-2</v>
      </c>
      <c r="Y162" s="56" t="s">
        <v>592</v>
      </c>
      <c r="Z162" s="56" t="s">
        <v>592</v>
      </c>
      <c r="AA162" s="56" t="s">
        <v>592</v>
      </c>
      <c r="AB162" s="56" t="s">
        <v>592</v>
      </c>
    </row>
    <row r="163" spans="1:28" x14ac:dyDescent="0.25">
      <c r="A163" s="101">
        <v>2018</v>
      </c>
      <c r="B163" s="101" t="s">
        <v>601</v>
      </c>
      <c r="C163" s="453">
        <v>43132</v>
      </c>
      <c r="D163" s="459">
        <v>0</v>
      </c>
      <c r="E163" s="459">
        <v>0</v>
      </c>
      <c r="F163" s="459">
        <v>0</v>
      </c>
      <c r="G163" s="56" t="s">
        <v>592</v>
      </c>
      <c r="H163" s="56" t="s">
        <v>592</v>
      </c>
      <c r="J163" s="101" t="s">
        <v>600</v>
      </c>
      <c r="K163" s="101">
        <v>2022</v>
      </c>
      <c r="L163" s="453">
        <v>44713</v>
      </c>
      <c r="M163" s="459">
        <v>0</v>
      </c>
      <c r="N163" s="56">
        <v>0</v>
      </c>
      <c r="O163" s="56">
        <v>0</v>
      </c>
      <c r="P163" s="56">
        <v>0</v>
      </c>
      <c r="Q163" s="56">
        <v>0</v>
      </c>
      <c r="R163" s="56" t="s">
        <v>592</v>
      </c>
      <c r="S163" s="56" t="s">
        <v>592</v>
      </c>
      <c r="T163" s="56" t="s">
        <v>592</v>
      </c>
      <c r="U163" s="56" t="s">
        <v>592</v>
      </c>
      <c r="V163" s="56" t="s">
        <v>592</v>
      </c>
      <c r="W163" s="56" t="s">
        <v>592</v>
      </c>
      <c r="X163" s="56">
        <v>6.3022661486525786E-2</v>
      </c>
      <c r="Y163" s="56" t="s">
        <v>592</v>
      </c>
      <c r="Z163" s="56" t="s">
        <v>592</v>
      </c>
      <c r="AA163" s="56" t="s">
        <v>592</v>
      </c>
      <c r="AB163" s="56" t="s">
        <v>592</v>
      </c>
    </row>
    <row r="164" spans="1:28" x14ac:dyDescent="0.25">
      <c r="A164" s="101">
        <v>2018</v>
      </c>
      <c r="B164" s="101" t="s">
        <v>601</v>
      </c>
      <c r="C164" s="453">
        <v>43160</v>
      </c>
      <c r="D164" s="459">
        <v>0</v>
      </c>
      <c r="E164" s="459">
        <v>0</v>
      </c>
      <c r="F164" s="459">
        <v>0</v>
      </c>
      <c r="G164" s="56" t="s">
        <v>592</v>
      </c>
      <c r="H164" s="56" t="s">
        <v>592</v>
      </c>
      <c r="J164" s="101" t="s">
        <v>602</v>
      </c>
      <c r="K164" s="101">
        <v>2022</v>
      </c>
      <c r="L164" s="453">
        <v>44743</v>
      </c>
      <c r="M164" s="459">
        <v>0</v>
      </c>
      <c r="N164" s="56">
        <v>0</v>
      </c>
      <c r="O164" s="56">
        <v>0</v>
      </c>
      <c r="P164" s="56">
        <v>0</v>
      </c>
      <c r="Q164" s="56">
        <v>0</v>
      </c>
      <c r="R164" s="56" t="s">
        <v>592</v>
      </c>
      <c r="S164" s="56" t="s">
        <v>592</v>
      </c>
      <c r="T164" s="56" t="s">
        <v>592</v>
      </c>
      <c r="U164" s="56" t="s">
        <v>592</v>
      </c>
      <c r="V164" s="56" t="s">
        <v>592</v>
      </c>
      <c r="W164" s="56" t="s">
        <v>592</v>
      </c>
      <c r="X164" s="56">
        <v>6.3022661486525786E-2</v>
      </c>
      <c r="Y164" s="56" t="s">
        <v>592</v>
      </c>
      <c r="Z164" s="56" t="s">
        <v>592</v>
      </c>
      <c r="AA164" s="56" t="s">
        <v>592</v>
      </c>
      <c r="AB164" s="56" t="s">
        <v>592</v>
      </c>
    </row>
    <row r="165" spans="1:28" x14ac:dyDescent="0.25">
      <c r="A165" s="101">
        <v>2018</v>
      </c>
      <c r="B165" s="101" t="s">
        <v>603</v>
      </c>
      <c r="C165" s="453">
        <v>43191</v>
      </c>
      <c r="D165" s="459">
        <v>0</v>
      </c>
      <c r="E165" s="459">
        <v>0</v>
      </c>
      <c r="F165" s="459">
        <v>0</v>
      </c>
      <c r="G165" s="56" t="s">
        <v>592</v>
      </c>
      <c r="H165" s="56" t="s">
        <v>592</v>
      </c>
      <c r="J165" s="101" t="s">
        <v>602</v>
      </c>
      <c r="K165" s="101">
        <v>2022</v>
      </c>
      <c r="L165" s="453">
        <v>44774</v>
      </c>
      <c r="M165" s="459">
        <v>0</v>
      </c>
      <c r="N165" s="56">
        <v>0</v>
      </c>
      <c r="O165" s="56">
        <v>0</v>
      </c>
      <c r="P165" s="56">
        <v>0</v>
      </c>
      <c r="Q165" s="56">
        <v>0</v>
      </c>
      <c r="R165" s="56" t="s">
        <v>592</v>
      </c>
      <c r="S165" s="56" t="s">
        <v>592</v>
      </c>
      <c r="T165" s="56" t="s">
        <v>592</v>
      </c>
      <c r="U165" s="56" t="s">
        <v>592</v>
      </c>
      <c r="V165" s="56" t="s">
        <v>592</v>
      </c>
      <c r="W165" s="56" t="s">
        <v>592</v>
      </c>
      <c r="X165" s="56">
        <v>6.3022661486525786E-2</v>
      </c>
      <c r="Y165" s="56" t="s">
        <v>592</v>
      </c>
      <c r="Z165" s="56" t="s">
        <v>592</v>
      </c>
      <c r="AA165" s="56" t="s">
        <v>592</v>
      </c>
      <c r="AB165" s="56" t="s">
        <v>592</v>
      </c>
    </row>
    <row r="166" spans="1:28" x14ac:dyDescent="0.25">
      <c r="A166" s="101">
        <v>2018</v>
      </c>
      <c r="B166" s="101" t="s">
        <v>603</v>
      </c>
      <c r="C166" s="453">
        <v>43221</v>
      </c>
      <c r="D166" s="459">
        <v>0</v>
      </c>
      <c r="E166" s="459">
        <v>0</v>
      </c>
      <c r="F166" s="459">
        <v>0</v>
      </c>
      <c r="G166" s="56" t="s">
        <v>592</v>
      </c>
      <c r="H166" s="56" t="s">
        <v>592</v>
      </c>
      <c r="J166" s="101" t="s">
        <v>602</v>
      </c>
      <c r="K166" s="101">
        <v>2022</v>
      </c>
      <c r="L166" s="453">
        <v>44805</v>
      </c>
      <c r="M166" s="459">
        <v>0</v>
      </c>
      <c r="N166" s="56">
        <v>0</v>
      </c>
      <c r="O166" s="56">
        <v>0</v>
      </c>
      <c r="P166" s="56">
        <v>0</v>
      </c>
      <c r="Q166" s="56">
        <v>0</v>
      </c>
      <c r="R166" s="56" t="s">
        <v>592</v>
      </c>
      <c r="S166" s="56" t="s">
        <v>592</v>
      </c>
      <c r="T166" s="56" t="s">
        <v>592</v>
      </c>
      <c r="U166" s="56" t="s">
        <v>592</v>
      </c>
      <c r="V166" s="56" t="s">
        <v>592</v>
      </c>
      <c r="W166" s="56" t="s">
        <v>592</v>
      </c>
      <c r="X166" s="56">
        <v>6.3022661486525786E-2</v>
      </c>
      <c r="Y166" s="56" t="s">
        <v>592</v>
      </c>
      <c r="Z166" s="56" t="s">
        <v>592</v>
      </c>
      <c r="AA166" s="56" t="s">
        <v>592</v>
      </c>
      <c r="AB166" s="56" t="s">
        <v>592</v>
      </c>
    </row>
    <row r="167" spans="1:28" x14ac:dyDescent="0.25">
      <c r="A167" s="101">
        <v>2018</v>
      </c>
      <c r="B167" s="101" t="s">
        <v>603</v>
      </c>
      <c r="C167" s="453">
        <v>43252</v>
      </c>
      <c r="D167" s="459">
        <v>0</v>
      </c>
      <c r="E167" s="459">
        <v>0</v>
      </c>
      <c r="F167" s="459">
        <v>0</v>
      </c>
      <c r="G167" s="56" t="s">
        <v>592</v>
      </c>
      <c r="H167" s="56" t="s">
        <v>592</v>
      </c>
      <c r="J167" s="101" t="s">
        <v>604</v>
      </c>
      <c r="K167" s="101">
        <v>2022</v>
      </c>
      <c r="L167" s="453">
        <v>44835</v>
      </c>
      <c r="M167" s="459">
        <v>0</v>
      </c>
      <c r="N167" s="56">
        <v>0</v>
      </c>
      <c r="O167" s="56">
        <v>0</v>
      </c>
      <c r="P167" s="56">
        <v>0</v>
      </c>
      <c r="Q167" s="56">
        <v>0</v>
      </c>
      <c r="R167" s="56" t="s">
        <v>592</v>
      </c>
      <c r="S167" s="56" t="s">
        <v>592</v>
      </c>
      <c r="T167" s="56" t="s">
        <v>592</v>
      </c>
      <c r="U167" s="56" t="s">
        <v>592</v>
      </c>
      <c r="V167" s="56" t="s">
        <v>592</v>
      </c>
      <c r="W167" s="56" t="s">
        <v>592</v>
      </c>
      <c r="X167" s="56">
        <v>6.3022661486525786E-2</v>
      </c>
      <c r="Y167" s="56" t="s">
        <v>592</v>
      </c>
      <c r="Z167" s="56" t="s">
        <v>592</v>
      </c>
      <c r="AA167" s="56" t="s">
        <v>592</v>
      </c>
      <c r="AB167" s="56" t="s">
        <v>592</v>
      </c>
    </row>
    <row r="168" spans="1:28" x14ac:dyDescent="0.25">
      <c r="A168" s="101">
        <v>2018</v>
      </c>
      <c r="B168" s="101" t="s">
        <v>605</v>
      </c>
      <c r="C168" s="453">
        <v>43282</v>
      </c>
      <c r="D168" s="459">
        <v>0</v>
      </c>
      <c r="E168" s="459">
        <v>0</v>
      </c>
      <c r="F168" s="459">
        <v>0</v>
      </c>
      <c r="G168" s="56" t="s">
        <v>592</v>
      </c>
      <c r="H168" s="56" t="s">
        <v>592</v>
      </c>
      <c r="J168" s="101" t="s">
        <v>604</v>
      </c>
      <c r="K168" s="101">
        <v>2022</v>
      </c>
      <c r="L168" s="453">
        <v>44866</v>
      </c>
      <c r="M168" s="459">
        <v>0</v>
      </c>
      <c r="N168" s="56">
        <v>0</v>
      </c>
      <c r="O168" s="56">
        <v>0</v>
      </c>
      <c r="P168" s="56">
        <v>0</v>
      </c>
      <c r="Q168" s="56">
        <v>0</v>
      </c>
      <c r="R168" s="56" t="s">
        <v>592</v>
      </c>
      <c r="S168" s="56" t="s">
        <v>592</v>
      </c>
      <c r="T168" s="56" t="s">
        <v>592</v>
      </c>
      <c r="U168" s="56" t="s">
        <v>592</v>
      </c>
      <c r="V168" s="56" t="s">
        <v>592</v>
      </c>
      <c r="W168" s="56" t="s">
        <v>592</v>
      </c>
      <c r="X168" s="56">
        <v>6.3022661486525786E-2</v>
      </c>
      <c r="Y168" s="56" t="s">
        <v>592</v>
      </c>
      <c r="Z168" s="56" t="s">
        <v>592</v>
      </c>
      <c r="AA168" s="56" t="s">
        <v>592</v>
      </c>
      <c r="AB168" s="56" t="s">
        <v>592</v>
      </c>
    </row>
    <row r="169" spans="1:28" x14ac:dyDescent="0.25">
      <c r="A169" s="101">
        <v>2018</v>
      </c>
      <c r="B169" s="101" t="s">
        <v>605</v>
      </c>
      <c r="C169" s="453">
        <v>43313</v>
      </c>
      <c r="D169" s="459">
        <v>0</v>
      </c>
      <c r="E169" s="459">
        <v>0</v>
      </c>
      <c r="F169" s="459">
        <v>0</v>
      </c>
      <c r="G169" s="56" t="s">
        <v>592</v>
      </c>
      <c r="H169" s="56" t="s">
        <v>592</v>
      </c>
      <c r="J169" s="101" t="s">
        <v>604</v>
      </c>
      <c r="K169" s="101">
        <v>2022</v>
      </c>
      <c r="L169" s="453">
        <v>44896</v>
      </c>
      <c r="M169" s="459">
        <v>0</v>
      </c>
      <c r="N169" s="56">
        <v>0</v>
      </c>
      <c r="O169" s="56">
        <v>0</v>
      </c>
      <c r="P169" s="56">
        <v>0</v>
      </c>
      <c r="Q169" s="56">
        <v>0</v>
      </c>
      <c r="R169" s="56" t="s">
        <v>592</v>
      </c>
      <c r="S169" s="56" t="s">
        <v>592</v>
      </c>
      <c r="T169" s="56" t="s">
        <v>592</v>
      </c>
      <c r="U169" s="56" t="s">
        <v>592</v>
      </c>
      <c r="V169" s="56" t="s">
        <v>592</v>
      </c>
      <c r="W169" s="56" t="s">
        <v>592</v>
      </c>
      <c r="X169" s="56">
        <v>6.3022661486525786E-2</v>
      </c>
      <c r="Y169" s="56" t="s">
        <v>592</v>
      </c>
      <c r="Z169" s="56" t="s">
        <v>592</v>
      </c>
      <c r="AA169" s="56" t="s">
        <v>592</v>
      </c>
      <c r="AB169" s="56" t="s">
        <v>592</v>
      </c>
    </row>
    <row r="170" spans="1:28" x14ac:dyDescent="0.25">
      <c r="A170" s="101">
        <v>2018</v>
      </c>
      <c r="B170" s="101" t="s">
        <v>605</v>
      </c>
      <c r="C170" s="453">
        <v>43344</v>
      </c>
      <c r="D170" s="459">
        <v>0</v>
      </c>
      <c r="E170" s="459">
        <v>0</v>
      </c>
      <c r="F170" s="459">
        <v>0</v>
      </c>
      <c r="G170" s="56" t="s">
        <v>592</v>
      </c>
      <c r="H170" s="56" t="s">
        <v>592</v>
      </c>
      <c r="J170" s="101" t="s">
        <v>606</v>
      </c>
      <c r="K170" s="101">
        <v>2023</v>
      </c>
      <c r="L170" s="453">
        <v>44927</v>
      </c>
      <c r="M170" s="459">
        <v>0</v>
      </c>
      <c r="N170" s="56">
        <v>0</v>
      </c>
      <c r="O170" s="56">
        <v>0</v>
      </c>
      <c r="P170" s="56">
        <v>0</v>
      </c>
      <c r="Q170" s="56">
        <v>0</v>
      </c>
      <c r="R170" s="56" t="s">
        <v>592</v>
      </c>
      <c r="S170" s="56" t="s">
        <v>592</v>
      </c>
      <c r="T170" s="56" t="s">
        <v>592</v>
      </c>
      <c r="U170" s="56" t="s">
        <v>592</v>
      </c>
      <c r="V170" s="56" t="s">
        <v>592</v>
      </c>
      <c r="W170" s="56" t="s">
        <v>592</v>
      </c>
      <c r="X170" s="56">
        <v>0.06</v>
      </c>
      <c r="Y170" s="56" t="s">
        <v>592</v>
      </c>
      <c r="Z170" s="56" t="s">
        <v>592</v>
      </c>
      <c r="AA170" s="56" t="s">
        <v>592</v>
      </c>
      <c r="AB170" s="56" t="s">
        <v>592</v>
      </c>
    </row>
    <row r="171" spans="1:28" x14ac:dyDescent="0.25">
      <c r="A171" s="101">
        <v>2018</v>
      </c>
      <c r="B171" s="101" t="s">
        <v>607</v>
      </c>
      <c r="C171" s="453">
        <v>43374</v>
      </c>
      <c r="D171" s="459">
        <v>0</v>
      </c>
      <c r="E171" s="459">
        <v>0</v>
      </c>
      <c r="F171" s="459">
        <v>0</v>
      </c>
      <c r="G171" s="56" t="s">
        <v>592</v>
      </c>
      <c r="H171" s="56" t="s">
        <v>592</v>
      </c>
      <c r="J171" s="101" t="s">
        <v>606</v>
      </c>
      <c r="K171" s="101">
        <v>2023</v>
      </c>
      <c r="L171" s="453">
        <v>44958</v>
      </c>
      <c r="M171" s="459">
        <v>0</v>
      </c>
      <c r="N171" s="56">
        <v>0</v>
      </c>
      <c r="O171" s="56">
        <v>0</v>
      </c>
      <c r="P171" s="56">
        <v>0</v>
      </c>
      <c r="Q171" s="56">
        <v>0</v>
      </c>
      <c r="R171" s="56" t="s">
        <v>592</v>
      </c>
      <c r="S171" s="56" t="s">
        <v>592</v>
      </c>
      <c r="T171" s="56" t="s">
        <v>592</v>
      </c>
      <c r="U171" s="56" t="s">
        <v>592</v>
      </c>
      <c r="V171" s="56" t="s">
        <v>592</v>
      </c>
      <c r="W171" s="56" t="s">
        <v>592</v>
      </c>
      <c r="X171" s="56">
        <v>0.06</v>
      </c>
      <c r="Y171" s="56" t="s">
        <v>592</v>
      </c>
      <c r="Z171" s="56" t="s">
        <v>592</v>
      </c>
      <c r="AA171" s="56" t="s">
        <v>592</v>
      </c>
      <c r="AB171" s="56" t="s">
        <v>592</v>
      </c>
    </row>
    <row r="172" spans="1:28" x14ac:dyDescent="0.25">
      <c r="A172" s="101">
        <v>2018</v>
      </c>
      <c r="B172" s="101" t="s">
        <v>607</v>
      </c>
      <c r="C172" s="453">
        <v>43405</v>
      </c>
      <c r="D172" s="459">
        <v>0</v>
      </c>
      <c r="E172" s="459">
        <v>0</v>
      </c>
      <c r="F172" s="459">
        <v>0</v>
      </c>
      <c r="G172" s="56" t="s">
        <v>592</v>
      </c>
      <c r="H172" s="56" t="s">
        <v>592</v>
      </c>
      <c r="J172" s="101" t="s">
        <v>606</v>
      </c>
      <c r="K172" s="101">
        <v>2023</v>
      </c>
      <c r="L172" s="453">
        <v>44986</v>
      </c>
      <c r="M172" s="459">
        <v>0</v>
      </c>
      <c r="N172" s="56">
        <v>0</v>
      </c>
      <c r="O172" s="56">
        <v>0</v>
      </c>
      <c r="P172" s="56">
        <v>0</v>
      </c>
      <c r="Q172" s="56">
        <v>0</v>
      </c>
      <c r="R172" s="56" t="s">
        <v>592</v>
      </c>
      <c r="S172" s="56" t="s">
        <v>592</v>
      </c>
      <c r="T172" s="56" t="s">
        <v>592</v>
      </c>
      <c r="U172" s="56" t="s">
        <v>592</v>
      </c>
      <c r="V172" s="56" t="s">
        <v>592</v>
      </c>
      <c r="W172" s="56" t="s">
        <v>592</v>
      </c>
      <c r="X172" s="56">
        <v>0.06</v>
      </c>
      <c r="Y172" s="56" t="s">
        <v>592</v>
      </c>
      <c r="Z172" s="56" t="s">
        <v>592</v>
      </c>
      <c r="AA172" s="56" t="s">
        <v>592</v>
      </c>
      <c r="AB172" s="56" t="s">
        <v>592</v>
      </c>
    </row>
    <row r="173" spans="1:28" x14ac:dyDescent="0.25">
      <c r="A173" s="101">
        <v>2018</v>
      </c>
      <c r="B173" s="101" t="s">
        <v>607</v>
      </c>
      <c r="C173" s="453">
        <v>43435</v>
      </c>
      <c r="D173" s="459">
        <v>0</v>
      </c>
      <c r="E173" s="459">
        <v>0</v>
      </c>
      <c r="F173" s="459">
        <v>0</v>
      </c>
      <c r="G173" s="56" t="s">
        <v>592</v>
      </c>
      <c r="H173" s="56" t="s">
        <v>592</v>
      </c>
      <c r="J173" s="101" t="s">
        <v>608</v>
      </c>
      <c r="K173" s="101">
        <v>2023</v>
      </c>
      <c r="L173" s="453">
        <v>45017</v>
      </c>
      <c r="M173" s="459">
        <v>0</v>
      </c>
      <c r="N173" s="56">
        <v>0</v>
      </c>
      <c r="O173" s="56">
        <v>0</v>
      </c>
      <c r="P173" s="56">
        <v>0</v>
      </c>
      <c r="Q173" s="56">
        <v>0</v>
      </c>
      <c r="R173" s="56" t="s">
        <v>592</v>
      </c>
      <c r="S173" s="56" t="s">
        <v>592</v>
      </c>
      <c r="T173" s="56" t="s">
        <v>592</v>
      </c>
      <c r="U173" s="56" t="s">
        <v>592</v>
      </c>
      <c r="V173" s="56" t="s">
        <v>592</v>
      </c>
      <c r="W173" s="56" t="s">
        <v>592</v>
      </c>
      <c r="X173" s="56">
        <v>0.06</v>
      </c>
      <c r="Y173" s="56" t="s">
        <v>592</v>
      </c>
      <c r="Z173" s="56" t="s">
        <v>592</v>
      </c>
      <c r="AA173" s="56" t="s">
        <v>592</v>
      </c>
      <c r="AB173" s="56" t="s">
        <v>592</v>
      </c>
    </row>
    <row r="174" spans="1:28" x14ac:dyDescent="0.25">
      <c r="A174" s="101">
        <v>2019</v>
      </c>
      <c r="B174" s="101" t="s">
        <v>609</v>
      </c>
      <c r="C174" s="453">
        <v>43466</v>
      </c>
      <c r="D174" s="459">
        <v>0</v>
      </c>
      <c r="E174" s="459">
        <v>0</v>
      </c>
      <c r="F174" s="459">
        <v>0</v>
      </c>
      <c r="G174" s="56" t="s">
        <v>592</v>
      </c>
      <c r="H174" s="56" t="s">
        <v>592</v>
      </c>
      <c r="J174" s="101" t="s">
        <v>608</v>
      </c>
      <c r="K174" s="101">
        <v>2023</v>
      </c>
      <c r="L174" s="453">
        <v>45047</v>
      </c>
      <c r="M174" s="459">
        <v>0</v>
      </c>
      <c r="N174" s="56">
        <v>0</v>
      </c>
      <c r="O174" s="56">
        <v>0</v>
      </c>
      <c r="P174" s="56">
        <v>0</v>
      </c>
      <c r="Q174" s="56">
        <v>0</v>
      </c>
      <c r="R174" s="56" t="s">
        <v>592</v>
      </c>
      <c r="S174" s="56" t="s">
        <v>592</v>
      </c>
      <c r="T174" s="56" t="s">
        <v>592</v>
      </c>
      <c r="U174" s="56" t="s">
        <v>592</v>
      </c>
      <c r="V174" s="56" t="s">
        <v>592</v>
      </c>
      <c r="W174" s="56" t="s">
        <v>592</v>
      </c>
      <c r="X174" s="56">
        <v>0.06</v>
      </c>
      <c r="Y174" s="56" t="s">
        <v>592</v>
      </c>
      <c r="Z174" s="56" t="s">
        <v>592</v>
      </c>
      <c r="AA174" s="56" t="s">
        <v>592</v>
      </c>
      <c r="AB174" s="56" t="s">
        <v>592</v>
      </c>
    </row>
    <row r="175" spans="1:28" x14ac:dyDescent="0.25">
      <c r="A175" s="101">
        <v>2019</v>
      </c>
      <c r="B175" s="101" t="s">
        <v>609</v>
      </c>
      <c r="C175" s="453">
        <v>43497</v>
      </c>
      <c r="D175" s="459">
        <v>0</v>
      </c>
      <c r="E175" s="459">
        <v>0</v>
      </c>
      <c r="F175" s="459">
        <v>0</v>
      </c>
      <c r="G175" s="56" t="s">
        <v>592</v>
      </c>
      <c r="H175" s="56" t="s">
        <v>592</v>
      </c>
      <c r="J175" s="101" t="s">
        <v>608</v>
      </c>
      <c r="K175" s="101">
        <v>2023</v>
      </c>
      <c r="L175" s="453">
        <v>45078</v>
      </c>
      <c r="M175" s="459">
        <v>367312.5</v>
      </c>
      <c r="N175" s="56">
        <v>1.1788043683237384</v>
      </c>
      <c r="O175" s="56">
        <v>1.2653379863147751</v>
      </c>
      <c r="P175" s="56">
        <v>1.5678652714107222</v>
      </c>
      <c r="Q175" s="56">
        <v>0.55189992384823716</v>
      </c>
      <c r="R175" s="56">
        <v>0.25890243018903913</v>
      </c>
      <c r="S175" s="56">
        <v>0.25301432496616966</v>
      </c>
      <c r="T175" s="56">
        <v>0.15453273573035567</v>
      </c>
      <c r="U175" s="56">
        <v>0.59949933639612052</v>
      </c>
      <c r="V175" s="56">
        <v>7.1076481156433544E-2</v>
      </c>
      <c r="W175" s="56">
        <v>0.14653361799103676</v>
      </c>
      <c r="X175" s="56">
        <v>0.06</v>
      </c>
      <c r="Y175" s="56">
        <v>0.44906090308698388</v>
      </c>
      <c r="Z175" s="56">
        <v>0</v>
      </c>
      <c r="AA175" s="56">
        <v>7.3882767724088999E-3</v>
      </c>
      <c r="AB175" s="56">
        <v>0.25890243018903913</v>
      </c>
    </row>
    <row r="176" spans="1:28" x14ac:dyDescent="0.25">
      <c r="A176" s="101">
        <v>2019</v>
      </c>
      <c r="B176" s="101" t="s">
        <v>609</v>
      </c>
      <c r="C176" s="453">
        <v>43525</v>
      </c>
      <c r="D176" s="459">
        <v>0</v>
      </c>
      <c r="E176" s="459">
        <v>0</v>
      </c>
      <c r="F176" s="459">
        <v>0</v>
      </c>
      <c r="G176" s="56" t="s">
        <v>592</v>
      </c>
      <c r="H176" s="56" t="s">
        <v>592</v>
      </c>
      <c r="J176" s="101" t="s">
        <v>610</v>
      </c>
      <c r="K176" s="101">
        <v>2023</v>
      </c>
      <c r="L176" s="453">
        <v>45108</v>
      </c>
      <c r="M176" s="459">
        <v>714652.26</v>
      </c>
      <c r="N176" s="56">
        <v>0.63989027762477524</v>
      </c>
      <c r="O176" s="56">
        <v>0.59779122376624438</v>
      </c>
      <c r="P176" s="56">
        <v>0.6347487814316719</v>
      </c>
      <c r="Q176" s="56">
        <v>0.57477012540159067</v>
      </c>
      <c r="R176" s="56">
        <v>0.21182040540821825</v>
      </c>
      <c r="S176" s="56">
        <v>0.28022181678782598</v>
      </c>
      <c r="T176" s="56">
        <v>0.20317746392324049</v>
      </c>
      <c r="U176" s="56">
        <v>3.8082857248642854E-2</v>
      </c>
      <c r="V176" s="56">
        <v>5.0007057890043824E-2</v>
      </c>
      <c r="W176" s="56">
        <v>1.790094614146924E-2</v>
      </c>
      <c r="X176" s="56">
        <v>0.06</v>
      </c>
      <c r="Y176" s="56">
        <v>5.4858503806896712E-2</v>
      </c>
      <c r="Z176" s="56">
        <v>4.6077415425578853E-2</v>
      </c>
      <c r="AA176" s="56">
        <v>3.6877827545092859E-3</v>
      </c>
      <c r="AB176" s="56">
        <v>0.25789782083379709</v>
      </c>
    </row>
    <row r="177" spans="1:28" x14ac:dyDescent="0.25">
      <c r="A177" s="101">
        <v>2019</v>
      </c>
      <c r="B177" s="101" t="s">
        <v>611</v>
      </c>
      <c r="C177" s="453">
        <v>43556</v>
      </c>
      <c r="D177" s="459">
        <v>0</v>
      </c>
      <c r="E177" s="459">
        <v>0</v>
      </c>
      <c r="F177" s="459">
        <v>0</v>
      </c>
      <c r="G177" s="56" t="s">
        <v>592</v>
      </c>
      <c r="H177" s="56" t="s">
        <v>592</v>
      </c>
      <c r="J177" s="101" t="s">
        <v>610</v>
      </c>
      <c r="K177" s="101">
        <v>2023</v>
      </c>
      <c r="L177" s="453">
        <v>45139</v>
      </c>
      <c r="M177" s="459">
        <v>771418.36</v>
      </c>
      <c r="N177" s="56">
        <v>0.9372172691412437</v>
      </c>
      <c r="O177" s="56">
        <v>0.91140503625955416</v>
      </c>
      <c r="P177" s="56">
        <v>0.98198769511690631</v>
      </c>
      <c r="Q177" s="56">
        <v>0.72834878742059628</v>
      </c>
      <c r="R177" s="56">
        <v>0.26701566875465321</v>
      </c>
      <c r="S177" s="56">
        <v>0.44192406502556114</v>
      </c>
      <c r="T177" s="56">
        <v>0.23410444948074327</v>
      </c>
      <c r="U177" s="56">
        <v>7.9679202864707546E-2</v>
      </c>
      <c r="V177" s="56">
        <v>7.8630336688877742E-2</v>
      </c>
      <c r="W177" s="56">
        <v>3.4187767118310286E-2</v>
      </c>
      <c r="X177" s="56">
        <v>0.06</v>
      </c>
      <c r="Y177" s="56">
        <v>0.10477042597566245</v>
      </c>
      <c r="Z177" s="56">
        <v>7.9334758110964895E-2</v>
      </c>
      <c r="AA177" s="56">
        <v>9.2635743853570433E-3</v>
      </c>
      <c r="AB177" s="56">
        <v>0.34635042686561812</v>
      </c>
    </row>
    <row r="178" spans="1:28" x14ac:dyDescent="0.25">
      <c r="A178" s="101">
        <v>2019</v>
      </c>
      <c r="B178" s="101" t="s">
        <v>611</v>
      </c>
      <c r="C178" s="453">
        <v>43586</v>
      </c>
      <c r="D178" s="459">
        <v>0</v>
      </c>
      <c r="E178" s="459">
        <v>0</v>
      </c>
      <c r="F178" s="459">
        <v>0</v>
      </c>
      <c r="G178" s="56" t="s">
        <v>592</v>
      </c>
      <c r="H178" s="56" t="s">
        <v>592</v>
      </c>
      <c r="J178" s="101" t="s">
        <v>610</v>
      </c>
      <c r="K178" s="101">
        <v>2023</v>
      </c>
      <c r="L178" s="453">
        <v>45170</v>
      </c>
      <c r="M178" s="459">
        <v>712190.57</v>
      </c>
      <c r="N178" s="56">
        <v>0.83437334130585983</v>
      </c>
      <c r="O178" s="56">
        <v>0.81687178334481692</v>
      </c>
      <c r="P178" s="56">
        <v>0.90461232007024983</v>
      </c>
      <c r="Q178" s="56">
        <v>0.70195483291595751</v>
      </c>
      <c r="R178" s="56">
        <v>0.2559293738288641</v>
      </c>
      <c r="S178" s="56">
        <v>0.35878928513773584</v>
      </c>
      <c r="T178" s="56">
        <v>0.21632996513581876</v>
      </c>
      <c r="U178" s="56">
        <v>0.10169609518980292</v>
      </c>
      <c r="V178" s="56">
        <v>0.11173690680181764</v>
      </c>
      <c r="W178" s="56">
        <v>4.2498442038956953E-2</v>
      </c>
      <c r="X178" s="56">
        <v>0.06</v>
      </c>
      <c r="Y178" s="56">
        <v>0.13023897876438986</v>
      </c>
      <c r="Z178" s="56">
        <v>4.8766621104126731E-2</v>
      </c>
      <c r="AA178" s="56">
        <v>9.1919660453303013E-3</v>
      </c>
      <c r="AB178" s="56">
        <v>0.30469599493299082</v>
      </c>
    </row>
    <row r="179" spans="1:28" x14ac:dyDescent="0.25">
      <c r="A179" s="101">
        <v>2019</v>
      </c>
      <c r="B179" s="101" t="s">
        <v>611</v>
      </c>
      <c r="C179" s="453">
        <v>43617</v>
      </c>
      <c r="D179" s="459">
        <v>0</v>
      </c>
      <c r="E179" s="459">
        <v>0</v>
      </c>
      <c r="F179" s="459">
        <v>0</v>
      </c>
      <c r="G179" s="56" t="s">
        <v>592</v>
      </c>
      <c r="H179" s="56" t="s">
        <v>592</v>
      </c>
      <c r="J179" s="101" t="s">
        <v>612</v>
      </c>
      <c r="K179" s="101">
        <v>2023</v>
      </c>
      <c r="L179" s="453">
        <v>45200</v>
      </c>
      <c r="M179" s="459">
        <v>735003</v>
      </c>
      <c r="N179" s="56">
        <v>0.78247945946914199</v>
      </c>
      <c r="O179" s="56">
        <v>0.77419370874444504</v>
      </c>
      <c r="P179" s="56">
        <v>0.88096082231554029</v>
      </c>
      <c r="Q179" s="56">
        <v>0.61084007177352162</v>
      </c>
      <c r="R179" s="56">
        <v>0.21078881126553317</v>
      </c>
      <c r="S179" s="56">
        <v>0.37673357055365886</v>
      </c>
      <c r="T179" s="56">
        <v>0.21538428818374203</v>
      </c>
      <c r="U179" s="56">
        <v>0.126502885022238</v>
      </c>
      <c r="V179" s="56">
        <v>0.11621277969653444</v>
      </c>
      <c r="W179" s="56">
        <v>5.1714249275303124E-2</v>
      </c>
      <c r="X179" s="56">
        <v>0.06</v>
      </c>
      <c r="Y179" s="56">
        <v>0.15848136284639838</v>
      </c>
      <c r="Z179" s="56">
        <v>1.6485486184204532E-3</v>
      </c>
      <c r="AA179" s="56">
        <v>6.8056440092915324E-3</v>
      </c>
      <c r="AB179" s="56">
        <v>0.21243735988395362</v>
      </c>
    </row>
    <row r="180" spans="1:28" x14ac:dyDescent="0.25">
      <c r="A180" s="101">
        <v>2019</v>
      </c>
      <c r="B180" s="101" t="s">
        <v>613</v>
      </c>
      <c r="C180" s="453">
        <v>43647</v>
      </c>
      <c r="D180" s="459">
        <v>0</v>
      </c>
      <c r="E180" s="459">
        <v>0</v>
      </c>
      <c r="F180" s="459">
        <v>0</v>
      </c>
      <c r="G180" s="56" t="s">
        <v>592</v>
      </c>
      <c r="H180" s="56" t="s">
        <v>592</v>
      </c>
      <c r="J180" s="101" t="s">
        <v>612</v>
      </c>
      <c r="K180" s="101">
        <v>2023</v>
      </c>
      <c r="L180" s="453">
        <v>45231</v>
      </c>
      <c r="M180" s="459">
        <v>866594.13</v>
      </c>
      <c r="N180" s="56">
        <v>1.0539307189619198</v>
      </c>
      <c r="O180" s="56">
        <v>1.1011685795211112</v>
      </c>
      <c r="P180" s="56">
        <v>1.3225674588994556</v>
      </c>
      <c r="Q180" s="56">
        <v>0.74446527793138051</v>
      </c>
      <c r="R180" s="56">
        <v>0.34332292278998078</v>
      </c>
      <c r="S180" s="56">
        <v>0.40162675578737023</v>
      </c>
      <c r="T180" s="56">
        <v>0.21899484340110514</v>
      </c>
      <c r="U180" s="56">
        <v>0.21250547819888879</v>
      </c>
      <c r="V180" s="56">
        <v>8.5671949554614588E-2</v>
      </c>
      <c r="W180" s="56">
        <v>0.10723786055919139</v>
      </c>
      <c r="X180" s="56">
        <v>0.06</v>
      </c>
      <c r="Y180" s="56">
        <v>0.32863673993753573</v>
      </c>
      <c r="Z180" s="56">
        <v>3.1376128623726483E-2</v>
      </c>
      <c r="AA180" s="56">
        <v>5.0994335619536195E-3</v>
      </c>
      <c r="AB180" s="56">
        <v>0.37469905141370724</v>
      </c>
    </row>
    <row r="181" spans="1:28" x14ac:dyDescent="0.25">
      <c r="A181" s="101">
        <v>2019</v>
      </c>
      <c r="B181" s="101" t="s">
        <v>613</v>
      </c>
      <c r="C181" s="453">
        <v>43678</v>
      </c>
      <c r="D181" s="459">
        <v>0</v>
      </c>
      <c r="E181" s="459">
        <v>0</v>
      </c>
      <c r="F181" s="459">
        <v>0</v>
      </c>
      <c r="G181" s="56" t="s">
        <v>592</v>
      </c>
      <c r="H181" s="56" t="s">
        <v>592</v>
      </c>
      <c r="J181" s="101" t="s">
        <v>612</v>
      </c>
      <c r="K181" s="101">
        <v>2023</v>
      </c>
      <c r="L181" s="453">
        <v>45261</v>
      </c>
      <c r="M181" s="459">
        <v>634885.35</v>
      </c>
      <c r="N181" s="56">
        <v>0.58465026769303274</v>
      </c>
      <c r="O181" s="56">
        <v>0.53954482664444925</v>
      </c>
      <c r="P181" s="56">
        <v>0.57029552088137947</v>
      </c>
      <c r="Q181" s="56">
        <v>0.52615471613011056</v>
      </c>
      <c r="R181" s="56">
        <v>0.19034249105642168</v>
      </c>
      <c r="S181" s="56">
        <v>0.23832210151262651</v>
      </c>
      <c r="T181" s="56">
        <v>0.17623820467862919</v>
      </c>
      <c r="U181" s="56">
        <v>2.6675682467708541E-2</v>
      </c>
      <c r="V181" s="56">
        <v>3.0264027738783596E-2</v>
      </c>
      <c r="W181" s="56">
        <v>1.4894558951416368E-2</v>
      </c>
      <c r="X181" s="56">
        <v>0.06</v>
      </c>
      <c r="Y181" s="56">
        <v>4.5645253188346745E-2</v>
      </c>
      <c r="Z181" s="56">
        <v>6.2260780351959755E-2</v>
      </c>
      <c r="AA181" s="56">
        <v>7.0492123043163542E-3</v>
      </c>
      <c r="AB181" s="56">
        <v>0.25260327140838146</v>
      </c>
    </row>
    <row r="182" spans="1:28" x14ac:dyDescent="0.25">
      <c r="A182" s="101">
        <v>2019</v>
      </c>
      <c r="B182" s="101" t="s">
        <v>613</v>
      </c>
      <c r="C182" s="453">
        <v>43709</v>
      </c>
      <c r="D182" s="459">
        <v>0</v>
      </c>
      <c r="E182" s="459">
        <v>0</v>
      </c>
      <c r="F182" s="459">
        <v>0</v>
      </c>
      <c r="G182" s="56" t="s">
        <v>592</v>
      </c>
      <c r="H182" s="56" t="s">
        <v>592</v>
      </c>
      <c r="J182" s="101" t="s">
        <v>614</v>
      </c>
      <c r="K182" s="101">
        <v>2024</v>
      </c>
      <c r="L182" s="453">
        <v>45292</v>
      </c>
      <c r="M182" s="459">
        <v>655492.86</v>
      </c>
      <c r="N182" s="56">
        <v>0.88385653348934068</v>
      </c>
      <c r="O182" s="56">
        <v>0.87349201188098435</v>
      </c>
      <c r="P182" s="56">
        <v>0.95532179152947794</v>
      </c>
      <c r="Q182" s="56">
        <v>0.72027796334154526</v>
      </c>
      <c r="R182" s="56">
        <v>0.30472776878432284</v>
      </c>
      <c r="S182" s="56">
        <v>0.35916775610347218</v>
      </c>
      <c r="T182" s="56">
        <v>0.20643974172239332</v>
      </c>
      <c r="U182" s="56">
        <v>0.10685242246574585</v>
      </c>
      <c r="V182" s="56">
        <v>9.6001866699029298E-2</v>
      </c>
      <c r="W182" s="56">
        <v>3.9635478391643754E-2</v>
      </c>
      <c r="X182" s="56">
        <v>0.05</v>
      </c>
      <c r="Y182" s="56">
        <v>0.12146525804013729</v>
      </c>
      <c r="Z182" s="56">
        <v>5.7910782214564714E-2</v>
      </c>
      <c r="AA182" s="56">
        <v>5.1978039212349928E-3</v>
      </c>
      <c r="AB182" s="56">
        <v>0.36263855099888753</v>
      </c>
    </row>
    <row r="183" spans="1:28" x14ac:dyDescent="0.25">
      <c r="A183" s="101">
        <v>2019</v>
      </c>
      <c r="B183" s="101" t="s">
        <v>615</v>
      </c>
      <c r="C183" s="453">
        <v>43739</v>
      </c>
      <c r="D183" s="459">
        <v>0</v>
      </c>
      <c r="E183" s="459">
        <v>0</v>
      </c>
      <c r="F183" s="459">
        <v>0</v>
      </c>
      <c r="G183" s="56" t="s">
        <v>592</v>
      </c>
      <c r="H183" s="56" t="s">
        <v>592</v>
      </c>
      <c r="J183" s="101" t="s">
        <v>614</v>
      </c>
      <c r="K183" s="101">
        <v>2024</v>
      </c>
      <c r="L183" s="453">
        <v>45323</v>
      </c>
      <c r="M183" s="459">
        <v>901837.75</v>
      </c>
      <c r="N183" s="56">
        <v>0.65026352084617567</v>
      </c>
      <c r="O183" s="56">
        <v>0.62500409281460412</v>
      </c>
      <c r="P183" s="56">
        <v>0.67608246085017265</v>
      </c>
      <c r="Q183" s="56">
        <v>0.60965770159507315</v>
      </c>
      <c r="R183" s="56">
        <v>0.15954975470444929</v>
      </c>
      <c r="S183" s="56">
        <v>0.32882974457105546</v>
      </c>
      <c r="T183" s="56">
        <v>0.23563847485773459</v>
      </c>
      <c r="U183" s="56">
        <v>7.1334339242286104E-2</v>
      </c>
      <c r="V183" s="56">
        <v>0.12391978970450443</v>
      </c>
      <c r="W183" s="56">
        <v>2.4740571968428524E-2</v>
      </c>
      <c r="X183" s="56">
        <v>0.05</v>
      </c>
      <c r="Y183" s="56">
        <v>7.5818940003997026E-2</v>
      </c>
      <c r="Z183" s="56">
        <v>3.596669680983626E-2</v>
      </c>
      <c r="AA183" s="56">
        <v>4.5829855185484771E-3</v>
      </c>
      <c r="AB183" s="56">
        <v>0.19551645151428554</v>
      </c>
    </row>
    <row r="184" spans="1:28" x14ac:dyDescent="0.25">
      <c r="A184" s="101">
        <v>2019</v>
      </c>
      <c r="B184" s="101" t="s">
        <v>615</v>
      </c>
      <c r="C184" s="453">
        <v>43770</v>
      </c>
      <c r="D184" s="459">
        <v>0</v>
      </c>
      <c r="E184" s="459">
        <v>0</v>
      </c>
      <c r="F184" s="459">
        <v>0</v>
      </c>
      <c r="G184" s="56" t="s">
        <v>592</v>
      </c>
      <c r="H184" s="56" t="s">
        <v>592</v>
      </c>
      <c r="J184" s="101" t="s">
        <v>614</v>
      </c>
      <c r="K184" s="101">
        <v>2024</v>
      </c>
      <c r="L184" s="453">
        <v>45352</v>
      </c>
      <c r="M184" s="459">
        <v>904655.68</v>
      </c>
      <c r="N184" s="56">
        <v>0.72443742056465255</v>
      </c>
      <c r="O184" s="56">
        <v>0.69814525075986356</v>
      </c>
      <c r="P184" s="56">
        <v>0.74709146257667447</v>
      </c>
      <c r="Q184" s="56">
        <v>0.66750704533960437</v>
      </c>
      <c r="R184" s="56">
        <v>0.16957518632408222</v>
      </c>
      <c r="S184" s="56">
        <v>0.38329574557527318</v>
      </c>
      <c r="T184" s="56">
        <v>0.25948287430240446</v>
      </c>
      <c r="U184" s="56">
        <v>5.8614897548645246E-2</v>
      </c>
      <c r="V184" s="56">
        <v>0.12549739359646592</v>
      </c>
      <c r="W184" s="56">
        <v>2.3707830195211128E-2</v>
      </c>
      <c r="X184" s="56">
        <v>0.05</v>
      </c>
      <c r="Y184" s="56">
        <v>7.2654042012022052E-2</v>
      </c>
      <c r="Z184" s="56">
        <v>6.0589179070541031E-2</v>
      </c>
      <c r="AA184" s="56">
        <v>2.3624120461106127E-3</v>
      </c>
      <c r="AB184" s="56">
        <v>0.23016436539462326</v>
      </c>
    </row>
    <row r="185" spans="1:28" x14ac:dyDescent="0.25">
      <c r="A185" s="101">
        <v>2019</v>
      </c>
      <c r="B185" s="101" t="s">
        <v>615</v>
      </c>
      <c r="C185" s="453">
        <v>43800</v>
      </c>
      <c r="D185" s="459">
        <v>0</v>
      </c>
      <c r="E185" s="459">
        <v>0</v>
      </c>
      <c r="F185" s="459">
        <v>0</v>
      </c>
      <c r="G185" s="56" t="s">
        <v>592</v>
      </c>
      <c r="H185" s="56" t="s">
        <v>592</v>
      </c>
      <c r="J185" s="101" t="s">
        <v>616</v>
      </c>
      <c r="K185" s="101">
        <v>2024</v>
      </c>
      <c r="L185" s="453">
        <v>45383</v>
      </c>
      <c r="M185" s="459">
        <v>282080.21000000002</v>
      </c>
      <c r="N185" s="56">
        <v>0.57360180639536218</v>
      </c>
      <c r="O185" s="56">
        <v>0.57360180639536218</v>
      </c>
      <c r="P185" s="56">
        <v>0.76619088918575007</v>
      </c>
      <c r="Q185" s="56">
        <v>0.63646837943522605</v>
      </c>
      <c r="R185" s="56">
        <v>0.21128423660428478</v>
      </c>
      <c r="S185" s="56">
        <v>0.33572009374266082</v>
      </c>
      <c r="T185" s="56">
        <v>0.25123451344147463</v>
      </c>
      <c r="U185" s="56">
        <v>5.0440821063092507E-2</v>
      </c>
      <c r="V185" s="56">
        <v>0.12394962938946663</v>
      </c>
      <c r="W185" s="56">
        <v>2.9361293518427801E-2</v>
      </c>
      <c r="X185" s="56">
        <v>0.05</v>
      </c>
      <c r="Y185" s="56">
        <v>8.9979413352052132E-2</v>
      </c>
      <c r="Z185" s="56">
        <v>0</v>
      </c>
      <c r="AA185" s="56">
        <v>0</v>
      </c>
      <c r="AB185" s="56">
        <v>7.8795460938522036E-2</v>
      </c>
    </row>
    <row r="186" spans="1:28" x14ac:dyDescent="0.25">
      <c r="A186" s="101">
        <v>2020</v>
      </c>
      <c r="B186" s="101" t="s">
        <v>617</v>
      </c>
      <c r="C186" s="453">
        <v>43831</v>
      </c>
      <c r="D186" s="459">
        <v>0</v>
      </c>
      <c r="E186" s="459">
        <v>0</v>
      </c>
      <c r="F186" s="459">
        <v>0</v>
      </c>
      <c r="G186" s="56" t="s">
        <v>592</v>
      </c>
      <c r="H186" s="56" t="s">
        <v>592</v>
      </c>
    </row>
    <row r="187" spans="1:28" x14ac:dyDescent="0.25">
      <c r="A187" s="101">
        <v>2020</v>
      </c>
      <c r="B187" s="101" t="s">
        <v>617</v>
      </c>
      <c r="C187" s="453">
        <v>43862</v>
      </c>
      <c r="D187" s="459">
        <v>0</v>
      </c>
      <c r="E187" s="459">
        <v>0</v>
      </c>
      <c r="F187" s="459">
        <v>0</v>
      </c>
      <c r="G187" s="56" t="s">
        <v>592</v>
      </c>
      <c r="H187" s="56" t="s">
        <v>592</v>
      </c>
    </row>
    <row r="188" spans="1:28" x14ac:dyDescent="0.25">
      <c r="A188" s="101">
        <v>2020</v>
      </c>
      <c r="B188" s="101" t="s">
        <v>617</v>
      </c>
      <c r="C188" s="453">
        <v>43891</v>
      </c>
      <c r="D188" s="459">
        <v>0</v>
      </c>
      <c r="E188" s="459">
        <v>0</v>
      </c>
      <c r="F188" s="459">
        <v>0</v>
      </c>
      <c r="G188" s="56" t="s">
        <v>592</v>
      </c>
      <c r="H188" s="56" t="s">
        <v>592</v>
      </c>
    </row>
    <row r="189" spans="1:28" x14ac:dyDescent="0.25">
      <c r="A189" s="101">
        <v>2020</v>
      </c>
      <c r="B189" s="101" t="s">
        <v>618</v>
      </c>
      <c r="C189" s="453">
        <v>43922</v>
      </c>
      <c r="D189" s="459">
        <v>0</v>
      </c>
      <c r="E189" s="459">
        <v>0</v>
      </c>
      <c r="F189" s="459">
        <v>0</v>
      </c>
      <c r="G189" s="56" t="s">
        <v>592</v>
      </c>
      <c r="H189" s="56" t="s">
        <v>592</v>
      </c>
    </row>
    <row r="190" spans="1:28" x14ac:dyDescent="0.25">
      <c r="A190" s="101">
        <v>2020</v>
      </c>
      <c r="B190" s="101" t="s">
        <v>618</v>
      </c>
      <c r="C190" s="453">
        <v>43952</v>
      </c>
      <c r="D190" s="459">
        <v>0</v>
      </c>
      <c r="E190" s="459">
        <v>0</v>
      </c>
      <c r="F190" s="459">
        <v>0</v>
      </c>
      <c r="G190" s="56" t="s">
        <v>592</v>
      </c>
      <c r="H190" s="56" t="s">
        <v>592</v>
      </c>
    </row>
    <row r="191" spans="1:28" x14ac:dyDescent="0.25">
      <c r="A191" s="101">
        <v>2020</v>
      </c>
      <c r="B191" s="101" t="s">
        <v>618</v>
      </c>
      <c r="C191" s="453">
        <v>43983</v>
      </c>
      <c r="D191" s="459">
        <v>0</v>
      </c>
      <c r="E191" s="459">
        <v>0</v>
      </c>
      <c r="F191" s="459">
        <v>0</v>
      </c>
      <c r="G191" s="56" t="s">
        <v>592</v>
      </c>
      <c r="H191" s="56" t="s">
        <v>592</v>
      </c>
    </row>
    <row r="192" spans="1:28" x14ac:dyDescent="0.25">
      <c r="A192" s="101">
        <v>2020</v>
      </c>
      <c r="B192" s="101" t="s">
        <v>619</v>
      </c>
      <c r="C192" s="453">
        <v>44013</v>
      </c>
      <c r="D192" s="459">
        <v>0</v>
      </c>
      <c r="E192" s="459">
        <v>0</v>
      </c>
      <c r="F192" s="459">
        <v>0</v>
      </c>
      <c r="G192" s="56" t="s">
        <v>592</v>
      </c>
      <c r="H192" s="56" t="s">
        <v>592</v>
      </c>
    </row>
    <row r="193" spans="1:8" x14ac:dyDescent="0.25">
      <c r="A193" s="101">
        <v>2020</v>
      </c>
      <c r="B193" s="101" t="s">
        <v>619</v>
      </c>
      <c r="C193" s="453">
        <v>44044</v>
      </c>
      <c r="D193" s="459">
        <v>0</v>
      </c>
      <c r="E193" s="459">
        <v>0</v>
      </c>
      <c r="F193" s="459">
        <v>0</v>
      </c>
      <c r="G193" s="56" t="s">
        <v>592</v>
      </c>
      <c r="H193" s="56" t="s">
        <v>592</v>
      </c>
    </row>
    <row r="194" spans="1:8" x14ac:dyDescent="0.25">
      <c r="A194" s="101">
        <v>2020</v>
      </c>
      <c r="B194" s="101" t="s">
        <v>619</v>
      </c>
      <c r="C194" s="453">
        <v>44075</v>
      </c>
      <c r="D194" s="459">
        <v>0</v>
      </c>
      <c r="E194" s="459">
        <v>0</v>
      </c>
      <c r="F194" s="459">
        <v>0</v>
      </c>
      <c r="G194" s="56" t="s">
        <v>592</v>
      </c>
      <c r="H194" s="56" t="s">
        <v>592</v>
      </c>
    </row>
    <row r="195" spans="1:8" x14ac:dyDescent="0.25">
      <c r="A195" s="101">
        <v>2020</v>
      </c>
      <c r="B195" s="101" t="s">
        <v>620</v>
      </c>
      <c r="C195" s="453">
        <v>44105</v>
      </c>
      <c r="D195" s="459">
        <v>0</v>
      </c>
      <c r="E195" s="459">
        <v>0</v>
      </c>
      <c r="F195" s="459">
        <v>0</v>
      </c>
      <c r="G195" s="56" t="s">
        <v>592</v>
      </c>
      <c r="H195" s="56" t="s">
        <v>592</v>
      </c>
    </row>
    <row r="196" spans="1:8" x14ac:dyDescent="0.25">
      <c r="A196" s="101">
        <v>2020</v>
      </c>
      <c r="B196" s="101" t="s">
        <v>620</v>
      </c>
      <c r="C196" s="453">
        <v>44136</v>
      </c>
      <c r="D196" s="459">
        <v>0</v>
      </c>
      <c r="E196" s="459">
        <v>0</v>
      </c>
      <c r="F196" s="459">
        <v>0</v>
      </c>
      <c r="G196" s="56" t="s">
        <v>592</v>
      </c>
      <c r="H196" s="56" t="s">
        <v>592</v>
      </c>
    </row>
    <row r="197" spans="1:8" x14ac:dyDescent="0.25">
      <c r="A197" s="101">
        <v>2020</v>
      </c>
      <c r="B197" s="101" t="s">
        <v>620</v>
      </c>
      <c r="C197" s="453">
        <v>44166</v>
      </c>
      <c r="D197" s="459">
        <v>0</v>
      </c>
      <c r="E197" s="459">
        <v>0</v>
      </c>
      <c r="F197" s="459">
        <v>0</v>
      </c>
      <c r="G197" s="56" t="s">
        <v>592</v>
      </c>
      <c r="H197" s="56" t="s">
        <v>592</v>
      </c>
    </row>
    <row r="198" spans="1:8" x14ac:dyDescent="0.25">
      <c r="A198" s="101">
        <v>2021</v>
      </c>
      <c r="B198" s="101" t="s">
        <v>621</v>
      </c>
      <c r="C198" s="453">
        <v>44197</v>
      </c>
      <c r="D198" s="459">
        <v>0</v>
      </c>
      <c r="E198" s="459">
        <v>0</v>
      </c>
      <c r="F198" s="459">
        <v>0</v>
      </c>
      <c r="G198" s="56" t="s">
        <v>592</v>
      </c>
      <c r="H198" s="56" t="s">
        <v>592</v>
      </c>
    </row>
    <row r="199" spans="1:8" x14ac:dyDescent="0.25">
      <c r="A199" s="101">
        <v>2021</v>
      </c>
      <c r="B199" s="101" t="s">
        <v>621</v>
      </c>
      <c r="C199" s="453">
        <v>44228</v>
      </c>
      <c r="D199" s="459">
        <v>0</v>
      </c>
      <c r="E199" s="459">
        <v>0</v>
      </c>
      <c r="F199" s="459">
        <v>0</v>
      </c>
      <c r="G199" s="56" t="s">
        <v>592</v>
      </c>
      <c r="H199" s="56" t="s">
        <v>592</v>
      </c>
    </row>
    <row r="200" spans="1:8" x14ac:dyDescent="0.25">
      <c r="A200" s="101">
        <v>2021</v>
      </c>
      <c r="B200" s="101" t="s">
        <v>621</v>
      </c>
      <c r="C200" s="453">
        <v>44256</v>
      </c>
      <c r="D200" s="459">
        <v>0</v>
      </c>
      <c r="E200" s="459">
        <v>0</v>
      </c>
      <c r="F200" s="459">
        <v>0</v>
      </c>
      <c r="G200" s="56" t="s">
        <v>592</v>
      </c>
      <c r="H200" s="56" t="s">
        <v>592</v>
      </c>
    </row>
    <row r="201" spans="1:8" x14ac:dyDescent="0.25">
      <c r="A201" s="101">
        <v>2021</v>
      </c>
      <c r="B201" s="101" t="s">
        <v>593</v>
      </c>
      <c r="C201" s="453">
        <v>44287</v>
      </c>
      <c r="D201" s="459">
        <v>0</v>
      </c>
      <c r="E201" s="459">
        <v>0</v>
      </c>
      <c r="F201" s="459">
        <v>0</v>
      </c>
      <c r="G201" s="56" t="s">
        <v>592</v>
      </c>
      <c r="H201" s="56" t="s">
        <v>592</v>
      </c>
    </row>
    <row r="202" spans="1:8" x14ac:dyDescent="0.25">
      <c r="A202" s="101">
        <v>2021</v>
      </c>
      <c r="B202" s="101" t="s">
        <v>593</v>
      </c>
      <c r="C202" s="453">
        <v>44317</v>
      </c>
      <c r="D202" s="459">
        <v>0</v>
      </c>
      <c r="E202" s="459">
        <v>0</v>
      </c>
      <c r="F202" s="459">
        <v>0</v>
      </c>
      <c r="G202" s="56" t="s">
        <v>592</v>
      </c>
      <c r="H202" s="56" t="s">
        <v>592</v>
      </c>
    </row>
    <row r="203" spans="1:8" x14ac:dyDescent="0.25">
      <c r="A203" s="101">
        <v>2021</v>
      </c>
      <c r="B203" s="101" t="s">
        <v>593</v>
      </c>
      <c r="C203" s="453">
        <v>44348</v>
      </c>
      <c r="D203" s="459">
        <v>0</v>
      </c>
      <c r="E203" s="459">
        <v>0</v>
      </c>
      <c r="F203" s="459">
        <v>0</v>
      </c>
      <c r="G203" s="56" t="s">
        <v>592</v>
      </c>
      <c r="H203" s="56" t="s">
        <v>592</v>
      </c>
    </row>
    <row r="204" spans="1:8" x14ac:dyDescent="0.25">
      <c r="A204" s="101">
        <v>2021</v>
      </c>
      <c r="B204" s="101" t="s">
        <v>594</v>
      </c>
      <c r="C204" s="453">
        <v>44378</v>
      </c>
      <c r="D204" s="459">
        <v>0</v>
      </c>
      <c r="E204" s="459">
        <v>0</v>
      </c>
      <c r="F204" s="459">
        <v>0</v>
      </c>
      <c r="G204" s="56" t="s">
        <v>592</v>
      </c>
      <c r="H204" s="56" t="s">
        <v>592</v>
      </c>
    </row>
    <row r="205" spans="1:8" x14ac:dyDescent="0.25">
      <c r="A205" s="101">
        <v>2021</v>
      </c>
      <c r="B205" s="101" t="s">
        <v>594</v>
      </c>
      <c r="C205" s="453">
        <v>44409</v>
      </c>
      <c r="D205" s="459">
        <v>0</v>
      </c>
      <c r="E205" s="459">
        <v>0</v>
      </c>
      <c r="F205" s="459">
        <v>0</v>
      </c>
      <c r="G205" s="56" t="s">
        <v>592</v>
      </c>
      <c r="H205" s="56" t="s">
        <v>592</v>
      </c>
    </row>
    <row r="206" spans="1:8" x14ac:dyDescent="0.25">
      <c r="A206" s="101">
        <v>2021</v>
      </c>
      <c r="B206" s="101" t="s">
        <v>594</v>
      </c>
      <c r="C206" s="453">
        <v>44440</v>
      </c>
      <c r="D206" s="459">
        <v>0</v>
      </c>
      <c r="E206" s="459">
        <v>0</v>
      </c>
      <c r="F206" s="459">
        <v>0</v>
      </c>
      <c r="G206" s="56" t="s">
        <v>592</v>
      </c>
      <c r="H206" s="56" t="s">
        <v>592</v>
      </c>
    </row>
    <row r="207" spans="1:8" x14ac:dyDescent="0.25">
      <c r="A207" s="101">
        <v>2021</v>
      </c>
      <c r="B207" s="101" t="s">
        <v>596</v>
      </c>
      <c r="C207" s="453">
        <v>44470</v>
      </c>
      <c r="D207" s="459">
        <v>0</v>
      </c>
      <c r="E207" s="459">
        <v>0</v>
      </c>
      <c r="F207" s="459">
        <v>0</v>
      </c>
      <c r="G207" s="56" t="s">
        <v>592</v>
      </c>
      <c r="H207" s="56" t="s">
        <v>592</v>
      </c>
    </row>
    <row r="208" spans="1:8" x14ac:dyDescent="0.25">
      <c r="A208" s="101">
        <v>2021</v>
      </c>
      <c r="B208" s="101" t="s">
        <v>596</v>
      </c>
      <c r="C208" s="453">
        <v>44501</v>
      </c>
      <c r="D208" s="459">
        <v>0</v>
      </c>
      <c r="E208" s="459">
        <v>0</v>
      </c>
      <c r="F208" s="459">
        <v>0</v>
      </c>
      <c r="G208" s="56" t="s">
        <v>592</v>
      </c>
      <c r="H208" s="56" t="s">
        <v>592</v>
      </c>
    </row>
    <row r="209" spans="1:8" x14ac:dyDescent="0.25">
      <c r="A209" s="101">
        <v>2021</v>
      </c>
      <c r="B209" s="101" t="s">
        <v>596</v>
      </c>
      <c r="C209" s="453">
        <v>44531</v>
      </c>
      <c r="D209" s="459">
        <v>0</v>
      </c>
      <c r="E209" s="459">
        <v>0</v>
      </c>
      <c r="F209" s="459">
        <v>0</v>
      </c>
      <c r="G209" s="56" t="s">
        <v>592</v>
      </c>
      <c r="H209" s="56" t="s">
        <v>592</v>
      </c>
    </row>
    <row r="210" spans="1:8" x14ac:dyDescent="0.25">
      <c r="A210" s="101">
        <v>2022</v>
      </c>
      <c r="B210" s="101" t="s">
        <v>598</v>
      </c>
      <c r="C210" s="453">
        <v>44562</v>
      </c>
      <c r="D210" s="459">
        <v>0</v>
      </c>
      <c r="E210" s="459">
        <v>0</v>
      </c>
      <c r="F210" s="459">
        <v>0</v>
      </c>
      <c r="G210" s="56" t="s">
        <v>592</v>
      </c>
      <c r="H210" s="56" t="s">
        <v>592</v>
      </c>
    </row>
    <row r="211" spans="1:8" x14ac:dyDescent="0.25">
      <c r="A211" s="101">
        <v>2022</v>
      </c>
      <c r="B211" s="101" t="s">
        <v>598</v>
      </c>
      <c r="C211" s="453">
        <v>44593</v>
      </c>
      <c r="D211" s="459">
        <v>0</v>
      </c>
      <c r="E211" s="459">
        <v>0</v>
      </c>
      <c r="F211" s="459">
        <v>0</v>
      </c>
      <c r="G211" s="56" t="s">
        <v>592</v>
      </c>
      <c r="H211" s="56" t="s">
        <v>592</v>
      </c>
    </row>
    <row r="212" spans="1:8" x14ac:dyDescent="0.25">
      <c r="A212" s="101">
        <v>2022</v>
      </c>
      <c r="B212" s="101" t="s">
        <v>598</v>
      </c>
      <c r="C212" s="453">
        <v>44621</v>
      </c>
      <c r="D212" s="459">
        <v>0</v>
      </c>
      <c r="E212" s="459">
        <v>0</v>
      </c>
      <c r="F212" s="459">
        <v>0</v>
      </c>
      <c r="G212" s="56" t="s">
        <v>592</v>
      </c>
      <c r="H212" s="56" t="s">
        <v>592</v>
      </c>
    </row>
    <row r="213" spans="1:8" x14ac:dyDescent="0.25">
      <c r="A213" s="101">
        <v>2022</v>
      </c>
      <c r="B213" s="101" t="s">
        <v>600</v>
      </c>
      <c r="C213" s="453">
        <v>44652</v>
      </c>
      <c r="D213" s="459">
        <v>0</v>
      </c>
      <c r="E213" s="459">
        <v>0</v>
      </c>
      <c r="F213" s="459">
        <v>0</v>
      </c>
      <c r="G213" s="56" t="s">
        <v>592</v>
      </c>
      <c r="H213" s="56" t="s">
        <v>592</v>
      </c>
    </row>
    <row r="214" spans="1:8" x14ac:dyDescent="0.25">
      <c r="A214" s="101">
        <v>2022</v>
      </c>
      <c r="B214" s="101" t="s">
        <v>600</v>
      </c>
      <c r="C214" s="453">
        <v>44682</v>
      </c>
      <c r="D214" s="459">
        <v>0</v>
      </c>
      <c r="E214" s="459">
        <v>0</v>
      </c>
      <c r="F214" s="459">
        <v>0</v>
      </c>
      <c r="G214" s="56" t="s">
        <v>592</v>
      </c>
      <c r="H214" s="56" t="s">
        <v>592</v>
      </c>
    </row>
    <row r="215" spans="1:8" x14ac:dyDescent="0.25">
      <c r="A215" s="101">
        <v>2022</v>
      </c>
      <c r="B215" s="101" t="s">
        <v>600</v>
      </c>
      <c r="C215" s="453">
        <v>44713</v>
      </c>
      <c r="D215" s="459">
        <v>0</v>
      </c>
      <c r="E215" s="459">
        <v>0</v>
      </c>
      <c r="F215" s="459">
        <v>0</v>
      </c>
      <c r="G215" s="56" t="s">
        <v>592</v>
      </c>
      <c r="H215" s="56" t="s">
        <v>592</v>
      </c>
    </row>
    <row r="216" spans="1:8" x14ac:dyDescent="0.25">
      <c r="A216" s="101">
        <v>2022</v>
      </c>
      <c r="B216" s="101" t="s">
        <v>602</v>
      </c>
      <c r="C216" s="453">
        <v>44743</v>
      </c>
      <c r="D216" s="459">
        <v>0</v>
      </c>
      <c r="E216" s="459">
        <v>0</v>
      </c>
      <c r="F216" s="459">
        <v>0</v>
      </c>
      <c r="G216" s="56" t="s">
        <v>592</v>
      </c>
      <c r="H216" s="56" t="s">
        <v>592</v>
      </c>
    </row>
    <row r="217" spans="1:8" x14ac:dyDescent="0.25">
      <c r="A217" s="101">
        <v>2022</v>
      </c>
      <c r="B217" s="101" t="s">
        <v>602</v>
      </c>
      <c r="C217" s="453">
        <v>44774</v>
      </c>
      <c r="D217" s="459">
        <v>0</v>
      </c>
      <c r="E217" s="459">
        <v>0</v>
      </c>
      <c r="F217" s="459">
        <v>0</v>
      </c>
      <c r="G217" s="56" t="s">
        <v>592</v>
      </c>
      <c r="H217" s="56" t="s">
        <v>592</v>
      </c>
    </row>
    <row r="218" spans="1:8" x14ac:dyDescent="0.25">
      <c r="A218" s="101">
        <v>2022</v>
      </c>
      <c r="B218" s="101" t="s">
        <v>602</v>
      </c>
      <c r="C218" s="453">
        <v>44805</v>
      </c>
      <c r="D218" s="459">
        <v>0</v>
      </c>
      <c r="E218" s="459">
        <v>0</v>
      </c>
      <c r="F218" s="459">
        <v>0</v>
      </c>
      <c r="G218" s="56" t="s">
        <v>592</v>
      </c>
      <c r="H218" s="56" t="s">
        <v>592</v>
      </c>
    </row>
    <row r="219" spans="1:8" x14ac:dyDescent="0.25">
      <c r="A219" s="101">
        <v>2022</v>
      </c>
      <c r="B219" s="101" t="s">
        <v>604</v>
      </c>
      <c r="C219" s="453">
        <v>44835</v>
      </c>
      <c r="D219" s="459">
        <v>0</v>
      </c>
      <c r="E219" s="459">
        <v>0</v>
      </c>
      <c r="F219" s="459">
        <v>0</v>
      </c>
      <c r="G219" s="56" t="s">
        <v>592</v>
      </c>
      <c r="H219" s="56" t="s">
        <v>592</v>
      </c>
    </row>
    <row r="220" spans="1:8" x14ac:dyDescent="0.25">
      <c r="A220" s="101">
        <v>2022</v>
      </c>
      <c r="B220" s="101" t="s">
        <v>604</v>
      </c>
      <c r="C220" s="453">
        <v>44866</v>
      </c>
      <c r="D220" s="459">
        <v>0</v>
      </c>
      <c r="E220" s="459">
        <v>0</v>
      </c>
      <c r="F220" s="459">
        <v>0</v>
      </c>
      <c r="G220" s="56" t="s">
        <v>592</v>
      </c>
      <c r="H220" s="56" t="s">
        <v>592</v>
      </c>
    </row>
    <row r="221" spans="1:8" x14ac:dyDescent="0.25">
      <c r="A221" s="101">
        <v>2022</v>
      </c>
      <c r="B221" s="101" t="s">
        <v>604</v>
      </c>
      <c r="C221" s="453">
        <v>44896</v>
      </c>
      <c r="D221" s="459">
        <v>0</v>
      </c>
      <c r="E221" s="459">
        <v>0</v>
      </c>
      <c r="F221" s="459">
        <v>0</v>
      </c>
      <c r="G221" s="56" t="s">
        <v>592</v>
      </c>
      <c r="H221" s="56" t="s">
        <v>592</v>
      </c>
    </row>
    <row r="222" spans="1:8" x14ac:dyDescent="0.25">
      <c r="A222" s="101">
        <v>2023</v>
      </c>
      <c r="B222" s="101" t="s">
        <v>606</v>
      </c>
      <c r="C222" s="453">
        <v>44927</v>
      </c>
      <c r="D222" s="459">
        <v>0</v>
      </c>
      <c r="E222" s="459">
        <v>0</v>
      </c>
      <c r="F222" s="459">
        <v>0</v>
      </c>
      <c r="G222" s="56" t="s">
        <v>592</v>
      </c>
      <c r="H222" s="56" t="s">
        <v>592</v>
      </c>
    </row>
    <row r="223" spans="1:8" x14ac:dyDescent="0.25">
      <c r="A223" s="101">
        <v>2023</v>
      </c>
      <c r="B223" s="101" t="s">
        <v>606</v>
      </c>
      <c r="C223" s="453">
        <v>44958</v>
      </c>
      <c r="D223" s="459">
        <v>0</v>
      </c>
      <c r="E223" s="459">
        <v>0</v>
      </c>
      <c r="F223" s="459">
        <v>0</v>
      </c>
      <c r="G223" s="56" t="s">
        <v>592</v>
      </c>
      <c r="H223" s="56" t="s">
        <v>592</v>
      </c>
    </row>
    <row r="224" spans="1:8" x14ac:dyDescent="0.25">
      <c r="A224" s="101">
        <v>2023</v>
      </c>
      <c r="B224" s="101" t="s">
        <v>606</v>
      </c>
      <c r="C224" s="453">
        <v>44986</v>
      </c>
      <c r="D224" s="459">
        <v>0</v>
      </c>
      <c r="E224" s="459">
        <v>0</v>
      </c>
      <c r="F224" s="459">
        <v>0</v>
      </c>
      <c r="G224" s="56" t="s">
        <v>592</v>
      </c>
      <c r="H224" s="56" t="s">
        <v>592</v>
      </c>
    </row>
    <row r="225" spans="1:8" x14ac:dyDescent="0.25">
      <c r="A225" s="101">
        <v>2023</v>
      </c>
      <c r="B225" s="101" t="s">
        <v>608</v>
      </c>
      <c r="C225" s="453">
        <v>45017</v>
      </c>
      <c r="D225" s="459">
        <v>0</v>
      </c>
      <c r="E225" s="459">
        <v>0</v>
      </c>
      <c r="F225" s="459">
        <v>0</v>
      </c>
      <c r="G225" s="56" t="s">
        <v>592</v>
      </c>
      <c r="H225" s="56" t="s">
        <v>592</v>
      </c>
    </row>
    <row r="226" spans="1:8" x14ac:dyDescent="0.25">
      <c r="A226" s="101">
        <v>2023</v>
      </c>
      <c r="B226" s="101" t="s">
        <v>608</v>
      </c>
      <c r="C226" s="453">
        <v>45047</v>
      </c>
      <c r="D226" s="459">
        <v>0</v>
      </c>
      <c r="E226" s="459">
        <v>0</v>
      </c>
      <c r="F226" s="459">
        <v>0</v>
      </c>
      <c r="G226" s="56" t="s">
        <v>592</v>
      </c>
      <c r="H226" s="56" t="s">
        <v>592</v>
      </c>
    </row>
    <row r="227" spans="1:8" x14ac:dyDescent="0.25">
      <c r="A227" s="101">
        <v>2023</v>
      </c>
      <c r="B227" s="101" t="s">
        <v>608</v>
      </c>
      <c r="C227" s="453">
        <v>45078</v>
      </c>
      <c r="D227" s="459">
        <v>261.66390372817034</v>
      </c>
      <c r="E227" s="459">
        <v>420562.59351563145</v>
      </c>
      <c r="F227" s="459">
        <v>53250.093515631452</v>
      </c>
      <c r="G227" s="56">
        <v>1.1919234694415453</v>
      </c>
      <c r="H227" s="56">
        <v>1.456145858974329</v>
      </c>
    </row>
    <row r="228" spans="1:8" x14ac:dyDescent="0.25">
      <c r="A228" s="101">
        <v>2023</v>
      </c>
      <c r="B228" s="101" t="s">
        <v>610</v>
      </c>
      <c r="C228" s="453">
        <v>45108</v>
      </c>
      <c r="D228" s="459">
        <v>658.01185955518383</v>
      </c>
      <c r="E228" s="459">
        <v>896066.69665933773</v>
      </c>
      <c r="F228" s="459">
        <v>181414.43665933772</v>
      </c>
      <c r="G228" s="56">
        <v>0.61555233284182431</v>
      </c>
      <c r="H228" s="56">
        <v>0.64502759646689256</v>
      </c>
    </row>
    <row r="229" spans="1:8" x14ac:dyDescent="0.25">
      <c r="A229" s="101">
        <v>2023</v>
      </c>
      <c r="B229" s="101" t="s">
        <v>610</v>
      </c>
      <c r="C229" s="453">
        <v>45139</v>
      </c>
      <c r="D229" s="459">
        <v>860.72033237796416</v>
      </c>
      <c r="E229" s="459">
        <v>1073119.5699301781</v>
      </c>
      <c r="F229" s="459">
        <v>301701.20993017813</v>
      </c>
      <c r="G229" s="56">
        <v>0.84710717732860197</v>
      </c>
      <c r="H229" s="56">
        <v>0.89784593977957539</v>
      </c>
    </row>
    <row r="230" spans="1:8" x14ac:dyDescent="0.25">
      <c r="A230" s="101">
        <v>2023</v>
      </c>
      <c r="B230" s="101" t="s">
        <v>610</v>
      </c>
      <c r="C230" s="453">
        <v>45170</v>
      </c>
      <c r="D230" s="459">
        <v>870.49697395594524</v>
      </c>
      <c r="E230" s="459">
        <v>1118747.5948937747</v>
      </c>
      <c r="F230" s="459">
        <v>406557.02489377477</v>
      </c>
      <c r="G230" s="56">
        <v>0.76760332940573506</v>
      </c>
      <c r="H230" s="56">
        <v>0.8234586296967048</v>
      </c>
    </row>
    <row r="231" spans="1:8" x14ac:dyDescent="0.25">
      <c r="A231" s="101">
        <v>2023</v>
      </c>
      <c r="B231" s="101" t="s">
        <v>612</v>
      </c>
      <c r="C231" s="453">
        <v>45200</v>
      </c>
      <c r="D231" s="459">
        <v>1091.8580222244859</v>
      </c>
      <c r="E231" s="459">
        <v>1330426.9882890903</v>
      </c>
      <c r="F231" s="459">
        <v>595423.98828909034</v>
      </c>
      <c r="G231" s="56">
        <v>0.73224034526590231</v>
      </c>
      <c r="H231" s="56">
        <v>0.79122452813865984</v>
      </c>
    </row>
    <row r="232" spans="1:8" x14ac:dyDescent="0.25">
      <c r="A232" s="101">
        <v>2023</v>
      </c>
      <c r="B232" s="101" t="s">
        <v>612</v>
      </c>
      <c r="C232" s="453">
        <v>45231</v>
      </c>
      <c r="D232" s="459">
        <v>1821.7468122919477</v>
      </c>
      <c r="E232" s="459">
        <v>1830192.5855454805</v>
      </c>
      <c r="F232" s="459">
        <v>963598.45554548048</v>
      </c>
      <c r="G232" s="56">
        <v>0.88674154194645982</v>
      </c>
      <c r="H232" s="56">
        <v>0.99157366222339094</v>
      </c>
    </row>
    <row r="233" spans="1:8" x14ac:dyDescent="0.25">
      <c r="A233" s="101">
        <v>2023</v>
      </c>
      <c r="B233" s="101" t="s">
        <v>612</v>
      </c>
      <c r="C233" s="453">
        <v>45261</v>
      </c>
      <c r="D233" s="459">
        <v>1635.5965362375405</v>
      </c>
      <c r="E233" s="459">
        <v>1609580.8059126611</v>
      </c>
      <c r="F233" s="459">
        <v>974695.45591266116</v>
      </c>
      <c r="G233" s="56">
        <v>0.63883326690255793</v>
      </c>
      <c r="H233" s="56">
        <v>0.65096261461945404</v>
      </c>
    </row>
    <row r="234" spans="1:8" x14ac:dyDescent="0.25">
      <c r="A234" s="101">
        <v>2024</v>
      </c>
      <c r="B234" s="101" t="s">
        <v>614</v>
      </c>
      <c r="C234" s="453">
        <v>45292</v>
      </c>
      <c r="D234" s="459">
        <v>2011.401260490094</v>
      </c>
      <c r="E234" s="459">
        <v>2136238.9725653972</v>
      </c>
      <c r="F234" s="459">
        <v>1480746.1125653973</v>
      </c>
      <c r="G234" s="56">
        <v>0.76065945691333348</v>
      </c>
      <c r="H234" s="56">
        <v>0.78576846249923293</v>
      </c>
    </row>
    <row r="235" spans="1:8" x14ac:dyDescent="0.25">
      <c r="A235" s="101">
        <v>2024</v>
      </c>
      <c r="B235" s="101" t="s">
        <v>614</v>
      </c>
      <c r="C235" s="453">
        <v>45323</v>
      </c>
      <c r="D235" s="459">
        <v>3221.3745349785868</v>
      </c>
      <c r="E235" s="459">
        <v>3913419.4361059638</v>
      </c>
      <c r="F235" s="459">
        <v>3011581.6861059638</v>
      </c>
      <c r="G235" s="56">
        <v>0.6914349061634969</v>
      </c>
      <c r="H235" s="56">
        <v>0.70320578870112371</v>
      </c>
    </row>
    <row r="236" spans="1:8" x14ac:dyDescent="0.25">
      <c r="A236" s="101">
        <v>2024</v>
      </c>
      <c r="B236" s="101" t="s">
        <v>614</v>
      </c>
      <c r="C236" s="453">
        <v>45352</v>
      </c>
      <c r="D236" s="459">
        <v>5166.607370554616</v>
      </c>
      <c r="E236" s="459">
        <v>6475507.3826776342</v>
      </c>
      <c r="F236" s="459">
        <v>5570851.7026776345</v>
      </c>
      <c r="G236" s="56">
        <v>0.70991100450941824</v>
      </c>
      <c r="H236" s="56">
        <v>0.71674899664158864</v>
      </c>
    </row>
    <row r="237" spans="1:8" x14ac:dyDescent="0.25">
      <c r="A237" s="101">
        <v>2024</v>
      </c>
      <c r="B237" s="101" t="s">
        <v>616</v>
      </c>
      <c r="C237" s="453">
        <v>45383</v>
      </c>
      <c r="D237" s="459">
        <v>5373.580030740799</v>
      </c>
      <c r="E237" s="459">
        <v>5975877.9572927458</v>
      </c>
      <c r="F237" s="459">
        <v>5693797.7472927459</v>
      </c>
      <c r="G237" s="56">
        <v>0.70568204413272528</v>
      </c>
      <c r="H237" s="56">
        <v>0.70568204413272528</v>
      </c>
    </row>
    <row r="238" spans="1:8" x14ac:dyDescent="0.25">
      <c r="A238" s="101">
        <v>2024</v>
      </c>
      <c r="B238" s="101" t="s">
        <v>616</v>
      </c>
      <c r="C238" s="453">
        <v>45413</v>
      </c>
      <c r="D238" s="459">
        <v>0</v>
      </c>
      <c r="E238" s="459">
        <v>0</v>
      </c>
      <c r="F238" s="459">
        <v>0</v>
      </c>
      <c r="G238" s="56" t="s">
        <v>592</v>
      </c>
      <c r="H238" s="56" t="s">
        <v>592</v>
      </c>
    </row>
    <row r="239" spans="1:8" x14ac:dyDescent="0.25">
      <c r="A239" s="101">
        <v>2024</v>
      </c>
      <c r="B239" s="101" t="s">
        <v>616</v>
      </c>
      <c r="C239" s="453">
        <v>45444</v>
      </c>
      <c r="D239" s="459">
        <v>0</v>
      </c>
      <c r="E239" s="459">
        <v>0</v>
      </c>
      <c r="F239" s="459">
        <v>0</v>
      </c>
      <c r="G239" s="56" t="s">
        <v>592</v>
      </c>
      <c r="H239" s="56" t="s">
        <v>592</v>
      </c>
    </row>
    <row r="240" spans="1:8" x14ac:dyDescent="0.25">
      <c r="A240" s="101">
        <v>2024</v>
      </c>
      <c r="B240" s="101" t="s">
        <v>622</v>
      </c>
      <c r="C240" s="453">
        <v>45474</v>
      </c>
      <c r="D240" s="459">
        <v>0</v>
      </c>
      <c r="E240" s="459">
        <v>0</v>
      </c>
      <c r="F240" s="459">
        <v>0</v>
      </c>
      <c r="G240" s="56" t="s">
        <v>592</v>
      </c>
      <c r="H240" s="56" t="s">
        <v>592</v>
      </c>
    </row>
    <row r="241" spans="1:8" x14ac:dyDescent="0.25">
      <c r="A241" s="101">
        <v>2024</v>
      </c>
      <c r="B241" s="101" t="s">
        <v>622</v>
      </c>
      <c r="C241" s="453">
        <v>45505</v>
      </c>
      <c r="D241" s="459">
        <v>0</v>
      </c>
      <c r="E241" s="459">
        <v>0</v>
      </c>
      <c r="F241" s="459">
        <v>0</v>
      </c>
      <c r="G241" s="56" t="s">
        <v>592</v>
      </c>
      <c r="H241" s="56" t="s">
        <v>592</v>
      </c>
    </row>
    <row r="242" spans="1:8" x14ac:dyDescent="0.25">
      <c r="A242" s="101">
        <v>2024</v>
      </c>
      <c r="B242" s="101" t="s">
        <v>622</v>
      </c>
      <c r="C242" s="453">
        <v>45536</v>
      </c>
      <c r="D242" s="459">
        <v>0</v>
      </c>
      <c r="E242" s="459">
        <v>0</v>
      </c>
      <c r="F242" s="459">
        <v>0</v>
      </c>
      <c r="G242" s="56" t="s">
        <v>592</v>
      </c>
      <c r="H242" s="56" t="s">
        <v>592</v>
      </c>
    </row>
    <row r="243" spans="1:8" x14ac:dyDescent="0.25">
      <c r="A243" s="101">
        <v>2024</v>
      </c>
      <c r="B243" s="101" t="s">
        <v>623</v>
      </c>
      <c r="C243" s="453">
        <v>45566</v>
      </c>
      <c r="D243" s="459">
        <v>0</v>
      </c>
      <c r="E243" s="459">
        <v>0</v>
      </c>
      <c r="F243" s="459">
        <v>0</v>
      </c>
      <c r="G243" s="56" t="s">
        <v>592</v>
      </c>
      <c r="H243" s="56" t="s">
        <v>592</v>
      </c>
    </row>
    <row r="244" spans="1:8" x14ac:dyDescent="0.25">
      <c r="A244" s="101">
        <v>2024</v>
      </c>
      <c r="B244" s="101" t="s">
        <v>623</v>
      </c>
      <c r="C244" s="453">
        <v>45597</v>
      </c>
      <c r="D244" s="459">
        <v>0</v>
      </c>
      <c r="E244" s="459">
        <v>0</v>
      </c>
      <c r="F244" s="459">
        <v>0</v>
      </c>
      <c r="G244" s="56" t="s">
        <v>592</v>
      </c>
      <c r="H244" s="56" t="s">
        <v>592</v>
      </c>
    </row>
    <row r="245" spans="1:8" x14ac:dyDescent="0.25">
      <c r="A245" s="101">
        <v>2024</v>
      </c>
      <c r="B245" s="101" t="s">
        <v>623</v>
      </c>
      <c r="C245" s="453">
        <v>45627</v>
      </c>
      <c r="D245" s="459">
        <v>0</v>
      </c>
      <c r="E245" s="459">
        <v>0</v>
      </c>
      <c r="F245" s="459">
        <v>0</v>
      </c>
      <c r="G245" s="56" t="s">
        <v>592</v>
      </c>
      <c r="H245" s="56" t="s">
        <v>592</v>
      </c>
    </row>
    <row r="246" spans="1:8" x14ac:dyDescent="0.25">
      <c r="A246" s="101">
        <v>2025</v>
      </c>
      <c r="B246" s="101" t="s">
        <v>624</v>
      </c>
      <c r="C246" s="453">
        <v>45658</v>
      </c>
      <c r="D246" s="459">
        <v>0</v>
      </c>
      <c r="E246" s="459">
        <v>0</v>
      </c>
      <c r="F246" s="459">
        <v>0</v>
      </c>
      <c r="G246" s="56" t="s">
        <v>592</v>
      </c>
      <c r="H246" s="56" t="s">
        <v>592</v>
      </c>
    </row>
    <row r="247" spans="1:8" x14ac:dyDescent="0.25">
      <c r="A247" s="101">
        <v>2025</v>
      </c>
      <c r="B247" s="101" t="s">
        <v>624</v>
      </c>
      <c r="C247" s="453">
        <v>45689</v>
      </c>
      <c r="D247" s="459">
        <v>0</v>
      </c>
      <c r="E247" s="459">
        <v>0</v>
      </c>
      <c r="F247" s="459">
        <v>0</v>
      </c>
      <c r="G247" s="56" t="s">
        <v>592</v>
      </c>
      <c r="H247" s="56" t="s">
        <v>592</v>
      </c>
    </row>
    <row r="248" spans="1:8" x14ac:dyDescent="0.25">
      <c r="A248" s="101">
        <v>2025</v>
      </c>
      <c r="B248" s="101" t="s">
        <v>624</v>
      </c>
      <c r="C248" s="453">
        <v>45717</v>
      </c>
      <c r="D248" s="459">
        <v>0</v>
      </c>
      <c r="E248" s="459">
        <v>0</v>
      </c>
      <c r="F248" s="459">
        <v>0</v>
      </c>
      <c r="G248" s="56" t="s">
        <v>592</v>
      </c>
      <c r="H248" s="56" t="s">
        <v>592</v>
      </c>
    </row>
    <row r="249" spans="1:8" x14ac:dyDescent="0.25">
      <c r="A249" s="101">
        <v>2025</v>
      </c>
      <c r="B249" s="101" t="s">
        <v>625</v>
      </c>
      <c r="C249" s="453">
        <v>45748</v>
      </c>
      <c r="D249" s="459">
        <v>0</v>
      </c>
      <c r="E249" s="459">
        <v>0</v>
      </c>
      <c r="F249" s="459">
        <v>0</v>
      </c>
      <c r="G249" s="56" t="s">
        <v>592</v>
      </c>
      <c r="H249" s="56" t="s">
        <v>592</v>
      </c>
    </row>
    <row r="250" spans="1:8" x14ac:dyDescent="0.25">
      <c r="A250" s="101">
        <v>2025</v>
      </c>
      <c r="B250" s="101" t="s">
        <v>625</v>
      </c>
      <c r="C250" s="453">
        <v>45778</v>
      </c>
      <c r="D250" s="459">
        <v>0</v>
      </c>
      <c r="E250" s="459">
        <v>0</v>
      </c>
      <c r="F250" s="459">
        <v>0</v>
      </c>
      <c r="G250" s="56" t="s">
        <v>592</v>
      </c>
      <c r="H250" s="56" t="s">
        <v>592</v>
      </c>
    </row>
    <row r="251" spans="1:8" x14ac:dyDescent="0.25">
      <c r="A251" s="101">
        <v>2025</v>
      </c>
      <c r="B251" s="101" t="s">
        <v>625</v>
      </c>
      <c r="C251" s="453">
        <v>45809</v>
      </c>
      <c r="D251" s="459">
        <v>0</v>
      </c>
      <c r="E251" s="459">
        <v>0</v>
      </c>
      <c r="F251" s="459">
        <v>0</v>
      </c>
      <c r="G251" s="56" t="s">
        <v>592</v>
      </c>
      <c r="H251" s="56" t="s">
        <v>592</v>
      </c>
    </row>
    <row r="252" spans="1:8" x14ac:dyDescent="0.25">
      <c r="A252" s="101">
        <v>2025</v>
      </c>
      <c r="B252" s="101" t="s">
        <v>626</v>
      </c>
      <c r="C252" s="453">
        <v>45839</v>
      </c>
      <c r="D252" s="459">
        <v>0</v>
      </c>
      <c r="E252" s="459">
        <v>0</v>
      </c>
      <c r="F252" s="459">
        <v>0</v>
      </c>
      <c r="G252" s="56" t="s">
        <v>592</v>
      </c>
      <c r="H252" s="56" t="s">
        <v>592</v>
      </c>
    </row>
    <row r="253" spans="1:8" x14ac:dyDescent="0.25">
      <c r="A253" s="101">
        <v>2025</v>
      </c>
      <c r="B253" s="101" t="s">
        <v>626</v>
      </c>
      <c r="C253" s="453">
        <v>45870</v>
      </c>
      <c r="D253" s="459">
        <v>0</v>
      </c>
      <c r="E253" s="459">
        <v>0</v>
      </c>
      <c r="F253" s="459">
        <v>0</v>
      </c>
      <c r="G253" s="56" t="s">
        <v>592</v>
      </c>
      <c r="H253" s="56" t="s">
        <v>592</v>
      </c>
    </row>
    <row r="254" spans="1:8" x14ac:dyDescent="0.25">
      <c r="A254" s="101">
        <v>2025</v>
      </c>
      <c r="B254" s="101" t="s">
        <v>626</v>
      </c>
      <c r="C254" s="453">
        <v>45901</v>
      </c>
      <c r="D254" s="459">
        <v>0</v>
      </c>
      <c r="E254" s="459">
        <v>0</v>
      </c>
      <c r="F254" s="459">
        <v>0</v>
      </c>
      <c r="G254" s="56" t="s">
        <v>592</v>
      </c>
      <c r="H254" s="56" t="s">
        <v>592</v>
      </c>
    </row>
    <row r="255" spans="1:8" x14ac:dyDescent="0.25">
      <c r="A255" s="101">
        <v>2025</v>
      </c>
      <c r="B255" s="101" t="s">
        <v>627</v>
      </c>
      <c r="C255" s="453">
        <v>45931</v>
      </c>
      <c r="D255" s="459">
        <v>0</v>
      </c>
      <c r="E255" s="459">
        <v>0</v>
      </c>
      <c r="F255" s="459">
        <v>0</v>
      </c>
      <c r="G255" s="56" t="s">
        <v>592</v>
      </c>
      <c r="H255" s="56" t="s">
        <v>592</v>
      </c>
    </row>
    <row r="256" spans="1:8" x14ac:dyDescent="0.25">
      <c r="A256" s="101">
        <v>2025</v>
      </c>
      <c r="B256" s="101" t="s">
        <v>627</v>
      </c>
      <c r="C256" s="453">
        <v>45962</v>
      </c>
      <c r="D256" s="459">
        <v>0</v>
      </c>
      <c r="E256" s="459">
        <v>0</v>
      </c>
      <c r="F256" s="459">
        <v>0</v>
      </c>
      <c r="G256" s="56" t="s">
        <v>592</v>
      </c>
      <c r="H256" s="56" t="s">
        <v>592</v>
      </c>
    </row>
    <row r="257" spans="1:8" x14ac:dyDescent="0.25">
      <c r="A257" s="101">
        <v>2025</v>
      </c>
      <c r="B257" s="101" t="s">
        <v>627</v>
      </c>
      <c r="C257" s="453">
        <v>45992</v>
      </c>
      <c r="D257" s="459">
        <v>0</v>
      </c>
      <c r="E257" s="459">
        <v>0</v>
      </c>
      <c r="F257" s="459">
        <v>0</v>
      </c>
      <c r="G257" s="56" t="s">
        <v>592</v>
      </c>
      <c r="H257" s="56" t="s">
        <v>592</v>
      </c>
    </row>
    <row r="258" spans="1:8" x14ac:dyDescent="0.25">
      <c r="A258" s="101">
        <v>2026</v>
      </c>
      <c r="B258" s="101" t="s">
        <v>628</v>
      </c>
      <c r="C258" s="453">
        <v>46023</v>
      </c>
      <c r="D258" s="459">
        <v>0</v>
      </c>
      <c r="E258" s="459">
        <v>0</v>
      </c>
      <c r="F258" s="459">
        <v>0</v>
      </c>
      <c r="G258" s="56" t="s">
        <v>592</v>
      </c>
      <c r="H258" s="56" t="s">
        <v>592</v>
      </c>
    </row>
    <row r="259" spans="1:8" x14ac:dyDescent="0.25">
      <c r="A259" s="101">
        <v>2026</v>
      </c>
      <c r="B259" s="101" t="s">
        <v>628</v>
      </c>
      <c r="C259" s="453">
        <v>46054</v>
      </c>
      <c r="D259" s="459">
        <v>0</v>
      </c>
      <c r="E259" s="459">
        <v>0</v>
      </c>
      <c r="F259" s="459">
        <v>0</v>
      </c>
      <c r="G259" s="56" t="s">
        <v>592</v>
      </c>
      <c r="H259" s="56" t="s">
        <v>592</v>
      </c>
    </row>
    <row r="260" spans="1:8" x14ac:dyDescent="0.25">
      <c r="A260" s="101">
        <v>2026</v>
      </c>
      <c r="B260" s="101" t="s">
        <v>628</v>
      </c>
      <c r="C260" s="453">
        <v>46082</v>
      </c>
      <c r="D260" s="459">
        <v>0</v>
      </c>
      <c r="E260" s="459">
        <v>0</v>
      </c>
      <c r="F260" s="459">
        <v>0</v>
      </c>
      <c r="G260" s="56" t="s">
        <v>592</v>
      </c>
      <c r="H260" s="56" t="s">
        <v>592</v>
      </c>
    </row>
    <row r="261" spans="1:8" x14ac:dyDescent="0.25">
      <c r="A261" s="101">
        <v>2026</v>
      </c>
      <c r="B261" s="101" t="s">
        <v>629</v>
      </c>
      <c r="C261" s="453">
        <v>46113</v>
      </c>
      <c r="D261" s="459">
        <v>0</v>
      </c>
      <c r="E261" s="459">
        <v>0</v>
      </c>
      <c r="F261" s="459">
        <v>0</v>
      </c>
      <c r="G261" s="56" t="s">
        <v>592</v>
      </c>
      <c r="H261" s="56" t="s">
        <v>592</v>
      </c>
    </row>
    <row r="262" spans="1:8" x14ac:dyDescent="0.25">
      <c r="A262" s="101">
        <v>2026</v>
      </c>
      <c r="B262" s="101" t="s">
        <v>629</v>
      </c>
      <c r="C262" s="453">
        <v>46143</v>
      </c>
      <c r="D262" s="459">
        <v>0</v>
      </c>
      <c r="E262" s="459">
        <v>0</v>
      </c>
      <c r="F262" s="459">
        <v>0</v>
      </c>
      <c r="G262" s="56" t="s">
        <v>592</v>
      </c>
      <c r="H262" s="56" t="s">
        <v>592</v>
      </c>
    </row>
    <row r="263" spans="1:8" x14ac:dyDescent="0.25">
      <c r="A263" s="101">
        <v>2026</v>
      </c>
      <c r="B263" s="101" t="s">
        <v>629</v>
      </c>
      <c r="C263" s="453">
        <v>46174</v>
      </c>
      <c r="D263" s="459">
        <v>0</v>
      </c>
      <c r="E263" s="459">
        <v>0</v>
      </c>
      <c r="F263" s="459">
        <v>0</v>
      </c>
      <c r="G263" s="56" t="s">
        <v>592</v>
      </c>
      <c r="H263" s="56" t="s">
        <v>592</v>
      </c>
    </row>
    <row r="264" spans="1:8" x14ac:dyDescent="0.25">
      <c r="A264" s="101">
        <v>2026</v>
      </c>
      <c r="B264" s="101" t="s">
        <v>630</v>
      </c>
      <c r="C264" s="453">
        <v>46204</v>
      </c>
      <c r="D264" s="459">
        <v>0</v>
      </c>
      <c r="E264" s="459">
        <v>0</v>
      </c>
      <c r="F264" s="459">
        <v>0</v>
      </c>
      <c r="G264" s="56" t="s">
        <v>592</v>
      </c>
      <c r="H264" s="56" t="s">
        <v>592</v>
      </c>
    </row>
    <row r="265" spans="1:8" x14ac:dyDescent="0.25">
      <c r="A265" s="101">
        <v>2026</v>
      </c>
      <c r="B265" s="101" t="s">
        <v>630</v>
      </c>
      <c r="C265" s="453">
        <v>46235</v>
      </c>
      <c r="D265" s="459">
        <v>0</v>
      </c>
      <c r="E265" s="459">
        <v>0</v>
      </c>
      <c r="F265" s="459">
        <v>0</v>
      </c>
      <c r="G265" s="56" t="s">
        <v>592</v>
      </c>
      <c r="H265" s="56" t="s">
        <v>592</v>
      </c>
    </row>
    <row r="266" spans="1:8" x14ac:dyDescent="0.25">
      <c r="A266" s="101">
        <v>2026</v>
      </c>
      <c r="B266" s="101" t="s">
        <v>630</v>
      </c>
      <c r="C266" s="453">
        <v>46266</v>
      </c>
      <c r="D266" s="459">
        <v>0</v>
      </c>
      <c r="E266" s="459">
        <v>0</v>
      </c>
      <c r="F266" s="459">
        <v>0</v>
      </c>
      <c r="G266" s="56" t="s">
        <v>592</v>
      </c>
      <c r="H266" s="56" t="s">
        <v>592</v>
      </c>
    </row>
    <row r="267" spans="1:8" x14ac:dyDescent="0.25">
      <c r="A267" s="101">
        <v>2026</v>
      </c>
      <c r="B267" s="101" t="s">
        <v>631</v>
      </c>
      <c r="C267" s="453">
        <v>46296</v>
      </c>
      <c r="D267" s="459">
        <v>0</v>
      </c>
      <c r="E267" s="459">
        <v>0</v>
      </c>
      <c r="F267" s="459">
        <v>0</v>
      </c>
      <c r="G267" s="56" t="s">
        <v>592</v>
      </c>
      <c r="H267" s="56" t="s">
        <v>592</v>
      </c>
    </row>
    <row r="268" spans="1:8" x14ac:dyDescent="0.25">
      <c r="A268" s="101">
        <v>2026</v>
      </c>
      <c r="B268" s="101" t="s">
        <v>631</v>
      </c>
      <c r="C268" s="453">
        <v>46327</v>
      </c>
      <c r="D268" s="459">
        <v>0</v>
      </c>
      <c r="E268" s="459">
        <v>0</v>
      </c>
      <c r="F268" s="459">
        <v>0</v>
      </c>
      <c r="G268" s="56" t="s">
        <v>592</v>
      </c>
      <c r="H268" s="56" t="s">
        <v>592</v>
      </c>
    </row>
    <row r="269" spans="1:8" x14ac:dyDescent="0.25">
      <c r="A269" s="101">
        <v>2026</v>
      </c>
      <c r="B269" s="101" t="s">
        <v>631</v>
      </c>
      <c r="C269" s="453">
        <v>46357</v>
      </c>
      <c r="D269" s="459">
        <v>0</v>
      </c>
      <c r="E269" s="459">
        <v>0</v>
      </c>
      <c r="F269" s="459">
        <v>0</v>
      </c>
      <c r="G269" s="56" t="s">
        <v>592</v>
      </c>
      <c r="H269" s="56" t="s">
        <v>592</v>
      </c>
    </row>
    <row r="273" spans="1:28" x14ac:dyDescent="0.25">
      <c r="A273" s="47" t="s">
        <v>646</v>
      </c>
    </row>
    <row r="283" spans="1:28" x14ac:dyDescent="0.25">
      <c r="A283" s="47" t="s">
        <v>567</v>
      </c>
      <c r="B283" s="47" t="s">
        <v>568</v>
      </c>
      <c r="E283" s="47" t="s">
        <v>639</v>
      </c>
      <c r="J283" s="47" t="s">
        <v>567</v>
      </c>
      <c r="K283" s="47" t="s">
        <v>569</v>
      </c>
      <c r="N283" s="47" t="s">
        <v>570</v>
      </c>
    </row>
    <row r="284" spans="1:28" x14ac:dyDescent="0.25">
      <c r="A284" s="456" t="s">
        <v>571</v>
      </c>
      <c r="B284" s="456" t="s">
        <v>572</v>
      </c>
      <c r="C284" s="456" t="s">
        <v>573</v>
      </c>
      <c r="D284" s="457" t="s">
        <v>574</v>
      </c>
      <c r="E284" s="457" t="s">
        <v>287</v>
      </c>
      <c r="F284" s="457" t="s">
        <v>575</v>
      </c>
      <c r="G284" s="456" t="s">
        <v>566</v>
      </c>
      <c r="H284" s="456" t="s">
        <v>576</v>
      </c>
      <c r="J284" s="456" t="s">
        <v>572</v>
      </c>
      <c r="K284" s="456" t="s">
        <v>571</v>
      </c>
      <c r="L284" s="456" t="s">
        <v>573</v>
      </c>
      <c r="M284" s="457" t="s">
        <v>577</v>
      </c>
      <c r="N284" s="456" t="s">
        <v>578</v>
      </c>
      <c r="O284" s="456" t="s">
        <v>566</v>
      </c>
      <c r="P284" s="456" t="s">
        <v>576</v>
      </c>
      <c r="Q284" s="456" t="s">
        <v>579</v>
      </c>
      <c r="R284" s="456" t="s">
        <v>580</v>
      </c>
      <c r="S284" s="456" t="s">
        <v>581</v>
      </c>
      <c r="T284" s="456" t="s">
        <v>582</v>
      </c>
      <c r="U284" s="456" t="s">
        <v>583</v>
      </c>
      <c r="V284" s="456" t="s">
        <v>584</v>
      </c>
      <c r="W284" s="456" t="s">
        <v>585</v>
      </c>
      <c r="X284" s="456" t="s">
        <v>586</v>
      </c>
      <c r="Y284" s="456" t="s">
        <v>587</v>
      </c>
      <c r="Z284" s="456" t="s">
        <v>588</v>
      </c>
      <c r="AA284" s="456" t="s">
        <v>589</v>
      </c>
      <c r="AB284" s="456" t="s">
        <v>590</v>
      </c>
    </row>
    <row r="285" spans="1:28" x14ac:dyDescent="0.25">
      <c r="A285" s="101">
        <v>2017</v>
      </c>
      <c r="B285" s="101" t="s">
        <v>591</v>
      </c>
      <c r="C285" s="453">
        <v>42736</v>
      </c>
      <c r="D285" s="458"/>
      <c r="E285" s="459"/>
      <c r="F285" s="459"/>
      <c r="G285" s="56" t="s">
        <v>592</v>
      </c>
      <c r="H285" s="56" t="s">
        <v>592</v>
      </c>
      <c r="J285" s="101" t="s">
        <v>593</v>
      </c>
      <c r="K285" s="101">
        <v>2021</v>
      </c>
      <c r="L285" s="453">
        <v>44317</v>
      </c>
      <c r="M285" s="459">
        <v>0</v>
      </c>
      <c r="N285" s="56">
        <v>0</v>
      </c>
      <c r="O285" s="56">
        <v>0</v>
      </c>
      <c r="P285" s="56">
        <v>0</v>
      </c>
      <c r="Q285" s="56">
        <v>0</v>
      </c>
      <c r="R285" s="56" t="s">
        <v>592</v>
      </c>
      <c r="S285" s="56" t="s">
        <v>592</v>
      </c>
      <c r="T285" s="56" t="s">
        <v>592</v>
      </c>
      <c r="U285" s="56" t="s">
        <v>592</v>
      </c>
      <c r="V285" s="56" t="s">
        <v>592</v>
      </c>
      <c r="W285" s="56" t="s">
        <v>592</v>
      </c>
      <c r="X285" s="56">
        <v>0.1054574266978673</v>
      </c>
      <c r="Y285" s="56" t="s">
        <v>592</v>
      </c>
      <c r="Z285" s="56" t="s">
        <v>592</v>
      </c>
      <c r="AA285" s="56" t="s">
        <v>592</v>
      </c>
      <c r="AB285" s="56" t="s">
        <v>592</v>
      </c>
    </row>
    <row r="286" spans="1:28" x14ac:dyDescent="0.25">
      <c r="A286" s="101">
        <v>2017</v>
      </c>
      <c r="B286" s="101" t="s">
        <v>591</v>
      </c>
      <c r="C286" s="453">
        <v>42767</v>
      </c>
      <c r="D286" s="458"/>
      <c r="E286" s="459"/>
      <c r="F286" s="459"/>
      <c r="G286" s="56" t="s">
        <v>592</v>
      </c>
      <c r="H286" s="56" t="s">
        <v>592</v>
      </c>
      <c r="J286" s="101" t="s">
        <v>593</v>
      </c>
      <c r="K286" s="101">
        <v>2021</v>
      </c>
      <c r="L286" s="453">
        <v>44348</v>
      </c>
      <c r="M286" s="459">
        <v>0</v>
      </c>
      <c r="N286" s="56">
        <v>0</v>
      </c>
      <c r="O286" s="56">
        <v>0</v>
      </c>
      <c r="P286" s="56">
        <v>0</v>
      </c>
      <c r="Q286" s="56">
        <v>0</v>
      </c>
      <c r="R286" s="56" t="s">
        <v>592</v>
      </c>
      <c r="S286" s="56" t="s">
        <v>592</v>
      </c>
      <c r="T286" s="56" t="s">
        <v>592</v>
      </c>
      <c r="U286" s="56" t="s">
        <v>592</v>
      </c>
      <c r="V286" s="56" t="s">
        <v>592</v>
      </c>
      <c r="W286" s="56" t="s">
        <v>592</v>
      </c>
      <c r="X286" s="56">
        <v>0.1054574266978673</v>
      </c>
      <c r="Y286" s="56" t="s">
        <v>592</v>
      </c>
      <c r="Z286" s="56" t="s">
        <v>592</v>
      </c>
      <c r="AA286" s="56" t="s">
        <v>592</v>
      </c>
      <c r="AB286" s="56" t="s">
        <v>592</v>
      </c>
    </row>
    <row r="287" spans="1:28" x14ac:dyDescent="0.25">
      <c r="A287" s="101">
        <v>2017</v>
      </c>
      <c r="B287" s="101" t="s">
        <v>591</v>
      </c>
      <c r="C287" s="453">
        <v>42795</v>
      </c>
      <c r="D287" s="458"/>
      <c r="E287" s="459"/>
      <c r="F287" s="459"/>
      <c r="G287" s="56" t="s">
        <v>592</v>
      </c>
      <c r="H287" s="56" t="s">
        <v>592</v>
      </c>
      <c r="J287" s="101" t="s">
        <v>594</v>
      </c>
      <c r="K287" s="101">
        <v>2021</v>
      </c>
      <c r="L287" s="453">
        <v>44378</v>
      </c>
      <c r="M287" s="459">
        <v>0</v>
      </c>
      <c r="N287" s="56">
        <v>0</v>
      </c>
      <c r="O287" s="56">
        <v>0</v>
      </c>
      <c r="P287" s="56">
        <v>0</v>
      </c>
      <c r="Q287" s="56">
        <v>0</v>
      </c>
      <c r="R287" s="56" t="s">
        <v>592</v>
      </c>
      <c r="S287" s="56" t="s">
        <v>592</v>
      </c>
      <c r="T287" s="56" t="s">
        <v>592</v>
      </c>
      <c r="U287" s="56" t="s">
        <v>592</v>
      </c>
      <c r="V287" s="56" t="s">
        <v>592</v>
      </c>
      <c r="W287" s="56" t="s">
        <v>592</v>
      </c>
      <c r="X287" s="56">
        <v>0.1054574266978673</v>
      </c>
      <c r="Y287" s="56" t="s">
        <v>592</v>
      </c>
      <c r="Z287" s="56" t="s">
        <v>592</v>
      </c>
      <c r="AA287" s="56" t="s">
        <v>592</v>
      </c>
      <c r="AB287" s="56" t="s">
        <v>592</v>
      </c>
    </row>
    <row r="288" spans="1:28" x14ac:dyDescent="0.25">
      <c r="A288" s="101">
        <v>2017</v>
      </c>
      <c r="B288" s="101" t="s">
        <v>595</v>
      </c>
      <c r="C288" s="453">
        <v>42826</v>
      </c>
      <c r="D288" s="458"/>
      <c r="E288" s="459"/>
      <c r="F288" s="459"/>
      <c r="G288" s="56" t="s">
        <v>592</v>
      </c>
      <c r="H288" s="56" t="s">
        <v>592</v>
      </c>
      <c r="J288" s="101" t="s">
        <v>594</v>
      </c>
      <c r="K288" s="101">
        <v>2021</v>
      </c>
      <c r="L288" s="453">
        <v>44409</v>
      </c>
      <c r="M288" s="459">
        <v>0</v>
      </c>
      <c r="N288" s="56">
        <v>0</v>
      </c>
      <c r="O288" s="56">
        <v>0</v>
      </c>
      <c r="P288" s="56">
        <v>0</v>
      </c>
      <c r="Q288" s="56">
        <v>0</v>
      </c>
      <c r="R288" s="56" t="s">
        <v>592</v>
      </c>
      <c r="S288" s="56" t="s">
        <v>592</v>
      </c>
      <c r="T288" s="56" t="s">
        <v>592</v>
      </c>
      <c r="U288" s="56" t="s">
        <v>592</v>
      </c>
      <c r="V288" s="56" t="s">
        <v>592</v>
      </c>
      <c r="W288" s="56" t="s">
        <v>592</v>
      </c>
      <c r="X288" s="56">
        <v>0.1054574266978673</v>
      </c>
      <c r="Y288" s="56" t="s">
        <v>592</v>
      </c>
      <c r="Z288" s="56" t="s">
        <v>592</v>
      </c>
      <c r="AA288" s="56" t="s">
        <v>592</v>
      </c>
      <c r="AB288" s="56" t="s">
        <v>592</v>
      </c>
    </row>
    <row r="289" spans="1:28" x14ac:dyDescent="0.25">
      <c r="A289" s="101">
        <v>2017</v>
      </c>
      <c r="B289" s="101" t="s">
        <v>595</v>
      </c>
      <c r="C289" s="453">
        <v>42856</v>
      </c>
      <c r="D289" s="458"/>
      <c r="E289" s="459"/>
      <c r="F289" s="459"/>
      <c r="G289" s="56" t="s">
        <v>592</v>
      </c>
      <c r="H289" s="56" t="s">
        <v>592</v>
      </c>
      <c r="J289" s="101" t="s">
        <v>594</v>
      </c>
      <c r="K289" s="101">
        <v>2021</v>
      </c>
      <c r="L289" s="453">
        <v>44440</v>
      </c>
      <c r="M289" s="459">
        <v>0</v>
      </c>
      <c r="N289" s="56">
        <v>0</v>
      </c>
      <c r="O289" s="56">
        <v>0</v>
      </c>
      <c r="P289" s="56">
        <v>0</v>
      </c>
      <c r="Q289" s="56">
        <v>0</v>
      </c>
      <c r="R289" s="56" t="s">
        <v>592</v>
      </c>
      <c r="S289" s="56" t="s">
        <v>592</v>
      </c>
      <c r="T289" s="56" t="s">
        <v>592</v>
      </c>
      <c r="U289" s="56" t="s">
        <v>592</v>
      </c>
      <c r="V289" s="56" t="s">
        <v>592</v>
      </c>
      <c r="W289" s="56" t="s">
        <v>592</v>
      </c>
      <c r="X289" s="56">
        <v>0.1054574266978673</v>
      </c>
      <c r="Y289" s="56" t="s">
        <v>592</v>
      </c>
      <c r="Z289" s="56" t="s">
        <v>592</v>
      </c>
      <c r="AA289" s="56" t="s">
        <v>592</v>
      </c>
      <c r="AB289" s="56" t="s">
        <v>592</v>
      </c>
    </row>
    <row r="290" spans="1:28" x14ac:dyDescent="0.25">
      <c r="A290" s="101">
        <v>2017</v>
      </c>
      <c r="B290" s="101" t="s">
        <v>595</v>
      </c>
      <c r="C290" s="453">
        <v>42887</v>
      </c>
      <c r="D290" s="458"/>
      <c r="E290" s="459"/>
      <c r="F290" s="459"/>
      <c r="G290" s="56" t="s">
        <v>592</v>
      </c>
      <c r="H290" s="56" t="s">
        <v>592</v>
      </c>
      <c r="J290" s="101" t="s">
        <v>596</v>
      </c>
      <c r="K290" s="101">
        <v>2021</v>
      </c>
      <c r="L290" s="453">
        <v>44470</v>
      </c>
      <c r="M290" s="459">
        <v>0</v>
      </c>
      <c r="N290" s="56">
        <v>0</v>
      </c>
      <c r="O290" s="56">
        <v>0</v>
      </c>
      <c r="P290" s="56">
        <v>0</v>
      </c>
      <c r="Q290" s="56">
        <v>0</v>
      </c>
      <c r="R290" s="56" t="s">
        <v>592</v>
      </c>
      <c r="S290" s="56" t="s">
        <v>592</v>
      </c>
      <c r="T290" s="56" t="s">
        <v>592</v>
      </c>
      <c r="U290" s="56" t="s">
        <v>592</v>
      </c>
      <c r="V290" s="56" t="s">
        <v>592</v>
      </c>
      <c r="W290" s="56" t="s">
        <v>592</v>
      </c>
      <c r="X290" s="56">
        <v>0.1054574266978673</v>
      </c>
      <c r="Y290" s="56" t="s">
        <v>592</v>
      </c>
      <c r="Z290" s="56" t="s">
        <v>592</v>
      </c>
      <c r="AA290" s="56" t="s">
        <v>592</v>
      </c>
      <c r="AB290" s="56" t="s">
        <v>592</v>
      </c>
    </row>
    <row r="291" spans="1:28" x14ac:dyDescent="0.25">
      <c r="A291" s="101">
        <v>2017</v>
      </c>
      <c r="B291" s="101" t="s">
        <v>597</v>
      </c>
      <c r="C291" s="453">
        <v>42917</v>
      </c>
      <c r="D291" s="458"/>
      <c r="E291" s="459"/>
      <c r="F291" s="459"/>
      <c r="G291" s="56" t="s">
        <v>592</v>
      </c>
      <c r="H291" s="56" t="s">
        <v>592</v>
      </c>
      <c r="J291" s="101" t="s">
        <v>596</v>
      </c>
      <c r="K291" s="101">
        <v>2021</v>
      </c>
      <c r="L291" s="453">
        <v>44501</v>
      </c>
      <c r="M291" s="459">
        <v>0</v>
      </c>
      <c r="N291" s="56">
        <v>0</v>
      </c>
      <c r="O291" s="56">
        <v>0</v>
      </c>
      <c r="P291" s="56">
        <v>0</v>
      </c>
      <c r="Q291" s="56">
        <v>0</v>
      </c>
      <c r="R291" s="56" t="s">
        <v>592</v>
      </c>
      <c r="S291" s="56" t="s">
        <v>592</v>
      </c>
      <c r="T291" s="56" t="s">
        <v>592</v>
      </c>
      <c r="U291" s="56" t="s">
        <v>592</v>
      </c>
      <c r="V291" s="56" t="s">
        <v>592</v>
      </c>
      <c r="W291" s="56" t="s">
        <v>592</v>
      </c>
      <c r="X291" s="56">
        <v>0.1054574266978673</v>
      </c>
      <c r="Y291" s="56" t="s">
        <v>592</v>
      </c>
      <c r="Z291" s="56" t="s">
        <v>592</v>
      </c>
      <c r="AA291" s="56" t="s">
        <v>592</v>
      </c>
      <c r="AB291" s="56" t="s">
        <v>592</v>
      </c>
    </row>
    <row r="292" spans="1:28" x14ac:dyDescent="0.25">
      <c r="A292" s="101">
        <v>2017</v>
      </c>
      <c r="B292" s="101" t="s">
        <v>597</v>
      </c>
      <c r="C292" s="453">
        <v>42948</v>
      </c>
      <c r="D292" s="458"/>
      <c r="E292" s="459"/>
      <c r="F292" s="459"/>
      <c r="G292" s="56" t="s">
        <v>592</v>
      </c>
      <c r="H292" s="56" t="s">
        <v>592</v>
      </c>
      <c r="J292" s="101" t="s">
        <v>596</v>
      </c>
      <c r="K292" s="101">
        <v>2021</v>
      </c>
      <c r="L292" s="453">
        <v>44531</v>
      </c>
      <c r="M292" s="459">
        <v>0</v>
      </c>
      <c r="N292" s="56">
        <v>0</v>
      </c>
      <c r="O292" s="56">
        <v>0</v>
      </c>
      <c r="P292" s="56">
        <v>0</v>
      </c>
      <c r="Q292" s="56">
        <v>0</v>
      </c>
      <c r="R292" s="56" t="s">
        <v>592</v>
      </c>
      <c r="S292" s="56" t="s">
        <v>592</v>
      </c>
      <c r="T292" s="56" t="s">
        <v>592</v>
      </c>
      <c r="U292" s="56" t="s">
        <v>592</v>
      </c>
      <c r="V292" s="56" t="s">
        <v>592</v>
      </c>
      <c r="W292" s="56" t="s">
        <v>592</v>
      </c>
      <c r="X292" s="56">
        <v>0.1054574266978673</v>
      </c>
      <c r="Y292" s="56" t="s">
        <v>592</v>
      </c>
      <c r="Z292" s="56" t="s">
        <v>592</v>
      </c>
      <c r="AA292" s="56" t="s">
        <v>592</v>
      </c>
      <c r="AB292" s="56" t="s">
        <v>592</v>
      </c>
    </row>
    <row r="293" spans="1:28" x14ac:dyDescent="0.25">
      <c r="A293" s="101">
        <v>2017</v>
      </c>
      <c r="B293" s="101" t="s">
        <v>597</v>
      </c>
      <c r="C293" s="453">
        <v>42979</v>
      </c>
      <c r="D293" s="458"/>
      <c r="E293" s="459"/>
      <c r="F293" s="459"/>
      <c r="G293" s="56" t="s">
        <v>592</v>
      </c>
      <c r="H293" s="56" t="s">
        <v>592</v>
      </c>
      <c r="J293" s="101" t="s">
        <v>598</v>
      </c>
      <c r="K293" s="101">
        <v>2022</v>
      </c>
      <c r="L293" s="453">
        <v>44562</v>
      </c>
      <c r="M293" s="459">
        <v>0</v>
      </c>
      <c r="N293" s="56">
        <v>0</v>
      </c>
      <c r="O293" s="56">
        <v>0</v>
      </c>
      <c r="P293" s="56">
        <v>0</v>
      </c>
      <c r="Q293" s="56">
        <v>0</v>
      </c>
      <c r="R293" s="56" t="s">
        <v>592</v>
      </c>
      <c r="S293" s="56" t="s">
        <v>592</v>
      </c>
      <c r="T293" s="56" t="s">
        <v>592</v>
      </c>
      <c r="U293" s="56" t="s">
        <v>592</v>
      </c>
      <c r="V293" s="56" t="s">
        <v>592</v>
      </c>
      <c r="W293" s="56" t="s">
        <v>592</v>
      </c>
      <c r="X293" s="56">
        <v>6.3022661486525786E-2</v>
      </c>
      <c r="Y293" s="56" t="s">
        <v>592</v>
      </c>
      <c r="Z293" s="56" t="s">
        <v>592</v>
      </c>
      <c r="AA293" s="56" t="s">
        <v>592</v>
      </c>
      <c r="AB293" s="56" t="s">
        <v>592</v>
      </c>
    </row>
    <row r="294" spans="1:28" x14ac:dyDescent="0.25">
      <c r="A294" s="101">
        <v>2017</v>
      </c>
      <c r="B294" s="101" t="s">
        <v>599</v>
      </c>
      <c r="C294" s="453">
        <v>43009</v>
      </c>
      <c r="D294" s="458"/>
      <c r="E294" s="459"/>
      <c r="F294" s="459"/>
      <c r="G294" s="56" t="s">
        <v>592</v>
      </c>
      <c r="H294" s="56" t="s">
        <v>592</v>
      </c>
      <c r="J294" s="101" t="s">
        <v>598</v>
      </c>
      <c r="K294" s="101">
        <v>2022</v>
      </c>
      <c r="L294" s="453">
        <v>44593</v>
      </c>
      <c r="M294" s="459">
        <v>0</v>
      </c>
      <c r="N294" s="56">
        <v>0</v>
      </c>
      <c r="O294" s="56">
        <v>0</v>
      </c>
      <c r="P294" s="56">
        <v>0</v>
      </c>
      <c r="Q294" s="56">
        <v>0</v>
      </c>
      <c r="R294" s="56" t="s">
        <v>592</v>
      </c>
      <c r="S294" s="56" t="s">
        <v>592</v>
      </c>
      <c r="T294" s="56" t="s">
        <v>592</v>
      </c>
      <c r="U294" s="56" t="s">
        <v>592</v>
      </c>
      <c r="V294" s="56" t="s">
        <v>592</v>
      </c>
      <c r="W294" s="56" t="s">
        <v>592</v>
      </c>
      <c r="X294" s="56">
        <v>6.3022661486525786E-2</v>
      </c>
      <c r="Y294" s="56" t="s">
        <v>592</v>
      </c>
      <c r="Z294" s="56" t="s">
        <v>592</v>
      </c>
      <c r="AA294" s="56" t="s">
        <v>592</v>
      </c>
      <c r="AB294" s="56" t="s">
        <v>592</v>
      </c>
    </row>
    <row r="295" spans="1:28" x14ac:dyDescent="0.25">
      <c r="A295" s="101">
        <v>2017</v>
      </c>
      <c r="B295" s="101" t="s">
        <v>599</v>
      </c>
      <c r="C295" s="453">
        <v>43040</v>
      </c>
      <c r="D295" s="458"/>
      <c r="E295" s="459"/>
      <c r="F295" s="459"/>
      <c r="G295" s="56" t="s">
        <v>592</v>
      </c>
      <c r="H295" s="56" t="s">
        <v>592</v>
      </c>
      <c r="J295" s="101" t="s">
        <v>598</v>
      </c>
      <c r="K295" s="101">
        <v>2022</v>
      </c>
      <c r="L295" s="453">
        <v>44621</v>
      </c>
      <c r="M295" s="459">
        <v>0</v>
      </c>
      <c r="N295" s="56">
        <v>0</v>
      </c>
      <c r="O295" s="56">
        <v>0</v>
      </c>
      <c r="P295" s="56">
        <v>0</v>
      </c>
      <c r="Q295" s="56">
        <v>0</v>
      </c>
      <c r="R295" s="56" t="s">
        <v>592</v>
      </c>
      <c r="S295" s="56" t="s">
        <v>592</v>
      </c>
      <c r="T295" s="56" t="s">
        <v>592</v>
      </c>
      <c r="U295" s="56" t="s">
        <v>592</v>
      </c>
      <c r="V295" s="56" t="s">
        <v>592</v>
      </c>
      <c r="W295" s="56" t="s">
        <v>592</v>
      </c>
      <c r="X295" s="56">
        <v>6.3022661486525786E-2</v>
      </c>
      <c r="Y295" s="56" t="s">
        <v>592</v>
      </c>
      <c r="Z295" s="56" t="s">
        <v>592</v>
      </c>
      <c r="AA295" s="56" t="s">
        <v>592</v>
      </c>
      <c r="AB295" s="56" t="s">
        <v>592</v>
      </c>
    </row>
    <row r="296" spans="1:28" x14ac:dyDescent="0.25">
      <c r="A296" s="101">
        <v>2017</v>
      </c>
      <c r="B296" s="101" t="s">
        <v>599</v>
      </c>
      <c r="C296" s="453">
        <v>43070</v>
      </c>
      <c r="D296" s="458"/>
      <c r="E296" s="459"/>
      <c r="F296" s="459"/>
      <c r="G296" s="56" t="s">
        <v>592</v>
      </c>
      <c r="H296" s="56" t="s">
        <v>592</v>
      </c>
      <c r="J296" s="101" t="s">
        <v>600</v>
      </c>
      <c r="K296" s="101">
        <v>2022</v>
      </c>
      <c r="L296" s="453">
        <v>44652</v>
      </c>
      <c r="M296" s="459">
        <v>0</v>
      </c>
      <c r="N296" s="56">
        <v>0</v>
      </c>
      <c r="O296" s="56">
        <v>0</v>
      </c>
      <c r="P296" s="56">
        <v>0</v>
      </c>
      <c r="Q296" s="56">
        <v>0</v>
      </c>
      <c r="R296" s="56" t="s">
        <v>592</v>
      </c>
      <c r="S296" s="56" t="s">
        <v>592</v>
      </c>
      <c r="T296" s="56" t="s">
        <v>592</v>
      </c>
      <c r="U296" s="56" t="s">
        <v>592</v>
      </c>
      <c r="V296" s="56" t="s">
        <v>592</v>
      </c>
      <c r="W296" s="56" t="s">
        <v>592</v>
      </c>
      <c r="X296" s="56">
        <v>6.3022661486525786E-2</v>
      </c>
      <c r="Y296" s="56" t="s">
        <v>592</v>
      </c>
      <c r="Z296" s="56" t="s">
        <v>592</v>
      </c>
      <c r="AA296" s="56" t="s">
        <v>592</v>
      </c>
      <c r="AB296" s="56" t="s">
        <v>592</v>
      </c>
    </row>
    <row r="297" spans="1:28" x14ac:dyDescent="0.25">
      <c r="A297" s="101">
        <v>2018</v>
      </c>
      <c r="B297" s="101" t="s">
        <v>601</v>
      </c>
      <c r="C297" s="453">
        <v>43101</v>
      </c>
      <c r="D297" s="459">
        <v>0</v>
      </c>
      <c r="E297" s="459">
        <v>0</v>
      </c>
      <c r="F297" s="459">
        <v>0</v>
      </c>
      <c r="G297" s="56" t="s">
        <v>592</v>
      </c>
      <c r="H297" s="56" t="s">
        <v>592</v>
      </c>
      <c r="J297" s="101" t="s">
        <v>600</v>
      </c>
      <c r="K297" s="101">
        <v>2022</v>
      </c>
      <c r="L297" s="453">
        <v>44682</v>
      </c>
      <c r="M297" s="459">
        <v>0</v>
      </c>
      <c r="N297" s="56">
        <v>0</v>
      </c>
      <c r="O297" s="56">
        <v>0</v>
      </c>
      <c r="P297" s="56">
        <v>0</v>
      </c>
      <c r="Q297" s="56">
        <v>0</v>
      </c>
      <c r="R297" s="56" t="s">
        <v>592</v>
      </c>
      <c r="S297" s="56" t="s">
        <v>592</v>
      </c>
      <c r="T297" s="56" t="s">
        <v>592</v>
      </c>
      <c r="U297" s="56" t="s">
        <v>592</v>
      </c>
      <c r="V297" s="56" t="s">
        <v>592</v>
      </c>
      <c r="W297" s="56" t="s">
        <v>592</v>
      </c>
      <c r="X297" s="56">
        <v>6.3022661486525786E-2</v>
      </c>
      <c r="Y297" s="56" t="s">
        <v>592</v>
      </c>
      <c r="Z297" s="56" t="s">
        <v>592</v>
      </c>
      <c r="AA297" s="56" t="s">
        <v>592</v>
      </c>
      <c r="AB297" s="56" t="s">
        <v>592</v>
      </c>
    </row>
    <row r="298" spans="1:28" x14ac:dyDescent="0.25">
      <c r="A298" s="101">
        <v>2018</v>
      </c>
      <c r="B298" s="101" t="s">
        <v>601</v>
      </c>
      <c r="C298" s="453">
        <v>43132</v>
      </c>
      <c r="D298" s="459">
        <v>0</v>
      </c>
      <c r="E298" s="459">
        <v>0</v>
      </c>
      <c r="F298" s="459">
        <v>0</v>
      </c>
      <c r="G298" s="56" t="s">
        <v>592</v>
      </c>
      <c r="H298" s="56" t="s">
        <v>592</v>
      </c>
      <c r="J298" s="101" t="s">
        <v>600</v>
      </c>
      <c r="K298" s="101">
        <v>2022</v>
      </c>
      <c r="L298" s="453">
        <v>44713</v>
      </c>
      <c r="M298" s="459">
        <v>0</v>
      </c>
      <c r="N298" s="56">
        <v>0</v>
      </c>
      <c r="O298" s="56">
        <v>0</v>
      </c>
      <c r="P298" s="56">
        <v>0</v>
      </c>
      <c r="Q298" s="56">
        <v>0</v>
      </c>
      <c r="R298" s="56" t="s">
        <v>592</v>
      </c>
      <c r="S298" s="56" t="s">
        <v>592</v>
      </c>
      <c r="T298" s="56" t="s">
        <v>592</v>
      </c>
      <c r="U298" s="56" t="s">
        <v>592</v>
      </c>
      <c r="V298" s="56" t="s">
        <v>592</v>
      </c>
      <c r="W298" s="56" t="s">
        <v>592</v>
      </c>
      <c r="X298" s="56">
        <v>6.3022661486525786E-2</v>
      </c>
      <c r="Y298" s="56" t="s">
        <v>592</v>
      </c>
      <c r="Z298" s="56" t="s">
        <v>592</v>
      </c>
      <c r="AA298" s="56" t="s">
        <v>592</v>
      </c>
      <c r="AB298" s="56" t="s">
        <v>592</v>
      </c>
    </row>
    <row r="299" spans="1:28" x14ac:dyDescent="0.25">
      <c r="A299" s="101">
        <v>2018</v>
      </c>
      <c r="B299" s="101" t="s">
        <v>601</v>
      </c>
      <c r="C299" s="453">
        <v>43160</v>
      </c>
      <c r="D299" s="459">
        <v>0</v>
      </c>
      <c r="E299" s="459">
        <v>0</v>
      </c>
      <c r="F299" s="459">
        <v>0</v>
      </c>
      <c r="G299" s="56" t="s">
        <v>592</v>
      </c>
      <c r="H299" s="56" t="s">
        <v>592</v>
      </c>
      <c r="J299" s="101" t="s">
        <v>602</v>
      </c>
      <c r="K299" s="101">
        <v>2022</v>
      </c>
      <c r="L299" s="453">
        <v>44743</v>
      </c>
      <c r="M299" s="459">
        <v>0</v>
      </c>
      <c r="N299" s="56">
        <v>0</v>
      </c>
      <c r="O299" s="56">
        <v>0</v>
      </c>
      <c r="P299" s="56">
        <v>0</v>
      </c>
      <c r="Q299" s="56">
        <v>0</v>
      </c>
      <c r="R299" s="56" t="s">
        <v>592</v>
      </c>
      <c r="S299" s="56" t="s">
        <v>592</v>
      </c>
      <c r="T299" s="56" t="s">
        <v>592</v>
      </c>
      <c r="U299" s="56" t="s">
        <v>592</v>
      </c>
      <c r="V299" s="56" t="s">
        <v>592</v>
      </c>
      <c r="W299" s="56" t="s">
        <v>592</v>
      </c>
      <c r="X299" s="56">
        <v>6.3022661486525786E-2</v>
      </c>
      <c r="Y299" s="56" t="s">
        <v>592</v>
      </c>
      <c r="Z299" s="56" t="s">
        <v>592</v>
      </c>
      <c r="AA299" s="56" t="s">
        <v>592</v>
      </c>
      <c r="AB299" s="56" t="s">
        <v>592</v>
      </c>
    </row>
    <row r="300" spans="1:28" x14ac:dyDescent="0.25">
      <c r="A300" s="101">
        <v>2018</v>
      </c>
      <c r="B300" s="101" t="s">
        <v>603</v>
      </c>
      <c r="C300" s="453">
        <v>43191</v>
      </c>
      <c r="D300" s="459">
        <v>0</v>
      </c>
      <c r="E300" s="459">
        <v>0</v>
      </c>
      <c r="F300" s="459">
        <v>0</v>
      </c>
      <c r="G300" s="56" t="s">
        <v>592</v>
      </c>
      <c r="H300" s="56" t="s">
        <v>592</v>
      </c>
      <c r="J300" s="101" t="s">
        <v>602</v>
      </c>
      <c r="K300" s="101">
        <v>2022</v>
      </c>
      <c r="L300" s="453">
        <v>44774</v>
      </c>
      <c r="M300" s="459">
        <v>0</v>
      </c>
      <c r="N300" s="56">
        <v>0</v>
      </c>
      <c r="O300" s="56">
        <v>0</v>
      </c>
      <c r="P300" s="56">
        <v>0</v>
      </c>
      <c r="Q300" s="56">
        <v>0</v>
      </c>
      <c r="R300" s="56" t="s">
        <v>592</v>
      </c>
      <c r="S300" s="56" t="s">
        <v>592</v>
      </c>
      <c r="T300" s="56" t="s">
        <v>592</v>
      </c>
      <c r="U300" s="56" t="s">
        <v>592</v>
      </c>
      <c r="V300" s="56" t="s">
        <v>592</v>
      </c>
      <c r="W300" s="56" t="s">
        <v>592</v>
      </c>
      <c r="X300" s="56">
        <v>6.3022661486525786E-2</v>
      </c>
      <c r="Y300" s="56" t="s">
        <v>592</v>
      </c>
      <c r="Z300" s="56" t="s">
        <v>592</v>
      </c>
      <c r="AA300" s="56" t="s">
        <v>592</v>
      </c>
      <c r="AB300" s="56" t="s">
        <v>592</v>
      </c>
    </row>
    <row r="301" spans="1:28" x14ac:dyDescent="0.25">
      <c r="A301" s="101">
        <v>2018</v>
      </c>
      <c r="B301" s="101" t="s">
        <v>603</v>
      </c>
      <c r="C301" s="453">
        <v>43221</v>
      </c>
      <c r="D301" s="459">
        <v>0</v>
      </c>
      <c r="E301" s="459">
        <v>0</v>
      </c>
      <c r="F301" s="459">
        <v>0</v>
      </c>
      <c r="G301" s="56" t="s">
        <v>592</v>
      </c>
      <c r="H301" s="56" t="s">
        <v>592</v>
      </c>
      <c r="J301" s="101" t="s">
        <v>602</v>
      </c>
      <c r="K301" s="101">
        <v>2022</v>
      </c>
      <c r="L301" s="453">
        <v>44805</v>
      </c>
      <c r="M301" s="459">
        <v>0</v>
      </c>
      <c r="N301" s="56">
        <v>0</v>
      </c>
      <c r="O301" s="56">
        <v>0</v>
      </c>
      <c r="P301" s="56">
        <v>0</v>
      </c>
      <c r="Q301" s="56">
        <v>0</v>
      </c>
      <c r="R301" s="56" t="s">
        <v>592</v>
      </c>
      <c r="S301" s="56" t="s">
        <v>592</v>
      </c>
      <c r="T301" s="56" t="s">
        <v>592</v>
      </c>
      <c r="U301" s="56" t="s">
        <v>592</v>
      </c>
      <c r="V301" s="56" t="s">
        <v>592</v>
      </c>
      <c r="W301" s="56" t="s">
        <v>592</v>
      </c>
      <c r="X301" s="56">
        <v>6.3022661486525786E-2</v>
      </c>
      <c r="Y301" s="56" t="s">
        <v>592</v>
      </c>
      <c r="Z301" s="56" t="s">
        <v>592</v>
      </c>
      <c r="AA301" s="56" t="s">
        <v>592</v>
      </c>
      <c r="AB301" s="56" t="s">
        <v>592</v>
      </c>
    </row>
    <row r="302" spans="1:28" x14ac:dyDescent="0.25">
      <c r="A302" s="101">
        <v>2018</v>
      </c>
      <c r="B302" s="101" t="s">
        <v>603</v>
      </c>
      <c r="C302" s="453">
        <v>43252</v>
      </c>
      <c r="D302" s="459">
        <v>0</v>
      </c>
      <c r="E302" s="459">
        <v>0</v>
      </c>
      <c r="F302" s="459">
        <v>0</v>
      </c>
      <c r="G302" s="56" t="s">
        <v>592</v>
      </c>
      <c r="H302" s="56" t="s">
        <v>592</v>
      </c>
      <c r="J302" s="101" t="s">
        <v>604</v>
      </c>
      <c r="K302" s="101">
        <v>2022</v>
      </c>
      <c r="L302" s="453">
        <v>44835</v>
      </c>
      <c r="M302" s="459">
        <v>0</v>
      </c>
      <c r="N302" s="56">
        <v>0</v>
      </c>
      <c r="O302" s="56">
        <v>0</v>
      </c>
      <c r="P302" s="56">
        <v>0</v>
      </c>
      <c r="Q302" s="56">
        <v>0</v>
      </c>
      <c r="R302" s="56" t="s">
        <v>592</v>
      </c>
      <c r="S302" s="56" t="s">
        <v>592</v>
      </c>
      <c r="T302" s="56" t="s">
        <v>592</v>
      </c>
      <c r="U302" s="56" t="s">
        <v>592</v>
      </c>
      <c r="V302" s="56" t="s">
        <v>592</v>
      </c>
      <c r="W302" s="56" t="s">
        <v>592</v>
      </c>
      <c r="X302" s="56">
        <v>6.3022661486525786E-2</v>
      </c>
      <c r="Y302" s="56" t="s">
        <v>592</v>
      </c>
      <c r="Z302" s="56" t="s">
        <v>592</v>
      </c>
      <c r="AA302" s="56" t="s">
        <v>592</v>
      </c>
      <c r="AB302" s="56" t="s">
        <v>592</v>
      </c>
    </row>
    <row r="303" spans="1:28" x14ac:dyDescent="0.25">
      <c r="A303" s="101">
        <v>2018</v>
      </c>
      <c r="B303" s="101" t="s">
        <v>605</v>
      </c>
      <c r="C303" s="453">
        <v>43282</v>
      </c>
      <c r="D303" s="459">
        <v>0</v>
      </c>
      <c r="E303" s="459">
        <v>0</v>
      </c>
      <c r="F303" s="459">
        <v>0</v>
      </c>
      <c r="G303" s="56" t="s">
        <v>592</v>
      </c>
      <c r="H303" s="56" t="s">
        <v>592</v>
      </c>
      <c r="J303" s="101" t="s">
        <v>604</v>
      </c>
      <c r="K303" s="101">
        <v>2022</v>
      </c>
      <c r="L303" s="453">
        <v>44866</v>
      </c>
      <c r="M303" s="459">
        <v>0</v>
      </c>
      <c r="N303" s="56">
        <v>0</v>
      </c>
      <c r="O303" s="56">
        <v>0</v>
      </c>
      <c r="P303" s="56">
        <v>0</v>
      </c>
      <c r="Q303" s="56">
        <v>0</v>
      </c>
      <c r="R303" s="56" t="s">
        <v>592</v>
      </c>
      <c r="S303" s="56" t="s">
        <v>592</v>
      </c>
      <c r="T303" s="56" t="s">
        <v>592</v>
      </c>
      <c r="U303" s="56" t="s">
        <v>592</v>
      </c>
      <c r="V303" s="56" t="s">
        <v>592</v>
      </c>
      <c r="W303" s="56" t="s">
        <v>592</v>
      </c>
      <c r="X303" s="56">
        <v>6.3022661486525786E-2</v>
      </c>
      <c r="Y303" s="56" t="s">
        <v>592</v>
      </c>
      <c r="Z303" s="56" t="s">
        <v>592</v>
      </c>
      <c r="AA303" s="56" t="s">
        <v>592</v>
      </c>
      <c r="AB303" s="56" t="s">
        <v>592</v>
      </c>
    </row>
    <row r="304" spans="1:28" x14ac:dyDescent="0.25">
      <c r="A304" s="101">
        <v>2018</v>
      </c>
      <c r="B304" s="101" t="s">
        <v>605</v>
      </c>
      <c r="C304" s="453">
        <v>43313</v>
      </c>
      <c r="D304" s="459">
        <v>0</v>
      </c>
      <c r="E304" s="459">
        <v>0</v>
      </c>
      <c r="F304" s="459">
        <v>0</v>
      </c>
      <c r="G304" s="56" t="s">
        <v>592</v>
      </c>
      <c r="H304" s="56" t="s">
        <v>592</v>
      </c>
      <c r="J304" s="101" t="s">
        <v>604</v>
      </c>
      <c r="K304" s="101">
        <v>2022</v>
      </c>
      <c r="L304" s="453">
        <v>44896</v>
      </c>
      <c r="M304" s="459">
        <v>0</v>
      </c>
      <c r="N304" s="56">
        <v>0</v>
      </c>
      <c r="O304" s="56">
        <v>0</v>
      </c>
      <c r="P304" s="56">
        <v>0</v>
      </c>
      <c r="Q304" s="56">
        <v>0</v>
      </c>
      <c r="R304" s="56" t="s">
        <v>592</v>
      </c>
      <c r="S304" s="56" t="s">
        <v>592</v>
      </c>
      <c r="T304" s="56" t="s">
        <v>592</v>
      </c>
      <c r="U304" s="56" t="s">
        <v>592</v>
      </c>
      <c r="V304" s="56" t="s">
        <v>592</v>
      </c>
      <c r="W304" s="56" t="s">
        <v>592</v>
      </c>
      <c r="X304" s="56">
        <v>6.3022661486525786E-2</v>
      </c>
      <c r="Y304" s="56" t="s">
        <v>592</v>
      </c>
      <c r="Z304" s="56" t="s">
        <v>592</v>
      </c>
      <c r="AA304" s="56" t="s">
        <v>592</v>
      </c>
      <c r="AB304" s="56" t="s">
        <v>592</v>
      </c>
    </row>
    <row r="305" spans="1:28" x14ac:dyDescent="0.25">
      <c r="A305" s="101">
        <v>2018</v>
      </c>
      <c r="B305" s="101" t="s">
        <v>605</v>
      </c>
      <c r="C305" s="453">
        <v>43344</v>
      </c>
      <c r="D305" s="459">
        <v>0</v>
      </c>
      <c r="E305" s="459">
        <v>0</v>
      </c>
      <c r="F305" s="459">
        <v>0</v>
      </c>
      <c r="G305" s="56" t="s">
        <v>592</v>
      </c>
      <c r="H305" s="56" t="s">
        <v>592</v>
      </c>
      <c r="J305" s="101" t="s">
        <v>606</v>
      </c>
      <c r="K305" s="101">
        <v>2023</v>
      </c>
      <c r="L305" s="453">
        <v>44927</v>
      </c>
      <c r="M305" s="459">
        <v>0</v>
      </c>
      <c r="N305" s="56">
        <v>0</v>
      </c>
      <c r="O305" s="56">
        <v>0</v>
      </c>
      <c r="P305" s="56">
        <v>0</v>
      </c>
      <c r="Q305" s="56">
        <v>0</v>
      </c>
      <c r="R305" s="56" t="s">
        <v>592</v>
      </c>
      <c r="S305" s="56" t="s">
        <v>592</v>
      </c>
      <c r="T305" s="56" t="s">
        <v>592</v>
      </c>
      <c r="U305" s="56" t="s">
        <v>592</v>
      </c>
      <c r="V305" s="56" t="s">
        <v>592</v>
      </c>
      <c r="W305" s="56" t="s">
        <v>592</v>
      </c>
      <c r="X305" s="56">
        <v>0.06</v>
      </c>
      <c r="Y305" s="56" t="s">
        <v>592</v>
      </c>
      <c r="Z305" s="56" t="s">
        <v>592</v>
      </c>
      <c r="AA305" s="56" t="s">
        <v>592</v>
      </c>
      <c r="AB305" s="56" t="s">
        <v>592</v>
      </c>
    </row>
    <row r="306" spans="1:28" x14ac:dyDescent="0.25">
      <c r="A306" s="101">
        <v>2018</v>
      </c>
      <c r="B306" s="101" t="s">
        <v>607</v>
      </c>
      <c r="C306" s="453">
        <v>43374</v>
      </c>
      <c r="D306" s="459">
        <v>0</v>
      </c>
      <c r="E306" s="459">
        <v>0</v>
      </c>
      <c r="F306" s="459">
        <v>0</v>
      </c>
      <c r="G306" s="56" t="s">
        <v>592</v>
      </c>
      <c r="H306" s="56" t="s">
        <v>592</v>
      </c>
      <c r="J306" s="101" t="s">
        <v>606</v>
      </c>
      <c r="K306" s="101">
        <v>2023</v>
      </c>
      <c r="L306" s="453">
        <v>44958</v>
      </c>
      <c r="M306" s="459">
        <v>0</v>
      </c>
      <c r="N306" s="56">
        <v>0</v>
      </c>
      <c r="O306" s="56">
        <v>0</v>
      </c>
      <c r="P306" s="56">
        <v>0</v>
      </c>
      <c r="Q306" s="56">
        <v>0</v>
      </c>
      <c r="R306" s="56" t="s">
        <v>592</v>
      </c>
      <c r="S306" s="56" t="s">
        <v>592</v>
      </c>
      <c r="T306" s="56" t="s">
        <v>592</v>
      </c>
      <c r="U306" s="56" t="s">
        <v>592</v>
      </c>
      <c r="V306" s="56" t="s">
        <v>592</v>
      </c>
      <c r="W306" s="56" t="s">
        <v>592</v>
      </c>
      <c r="X306" s="56">
        <v>0.06</v>
      </c>
      <c r="Y306" s="56" t="s">
        <v>592</v>
      </c>
      <c r="Z306" s="56" t="s">
        <v>592</v>
      </c>
      <c r="AA306" s="56" t="s">
        <v>592</v>
      </c>
      <c r="AB306" s="56" t="s">
        <v>592</v>
      </c>
    </row>
    <row r="307" spans="1:28" x14ac:dyDescent="0.25">
      <c r="A307" s="101">
        <v>2018</v>
      </c>
      <c r="B307" s="101" t="s">
        <v>607</v>
      </c>
      <c r="C307" s="453">
        <v>43405</v>
      </c>
      <c r="D307" s="459">
        <v>0</v>
      </c>
      <c r="E307" s="459">
        <v>0</v>
      </c>
      <c r="F307" s="459">
        <v>0</v>
      </c>
      <c r="G307" s="56" t="s">
        <v>592</v>
      </c>
      <c r="H307" s="56" t="s">
        <v>592</v>
      </c>
      <c r="J307" s="101" t="s">
        <v>606</v>
      </c>
      <c r="K307" s="101">
        <v>2023</v>
      </c>
      <c r="L307" s="453">
        <v>44986</v>
      </c>
      <c r="M307" s="459">
        <v>0</v>
      </c>
      <c r="N307" s="56">
        <v>0</v>
      </c>
      <c r="O307" s="56">
        <v>0</v>
      </c>
      <c r="P307" s="56">
        <v>0</v>
      </c>
      <c r="Q307" s="56">
        <v>0</v>
      </c>
      <c r="R307" s="56" t="s">
        <v>592</v>
      </c>
      <c r="S307" s="56" t="s">
        <v>592</v>
      </c>
      <c r="T307" s="56" t="s">
        <v>592</v>
      </c>
      <c r="U307" s="56" t="s">
        <v>592</v>
      </c>
      <c r="V307" s="56" t="s">
        <v>592</v>
      </c>
      <c r="W307" s="56" t="s">
        <v>592</v>
      </c>
      <c r="X307" s="56">
        <v>0.06</v>
      </c>
      <c r="Y307" s="56" t="s">
        <v>592</v>
      </c>
      <c r="Z307" s="56" t="s">
        <v>592</v>
      </c>
      <c r="AA307" s="56" t="s">
        <v>592</v>
      </c>
      <c r="AB307" s="56" t="s">
        <v>592</v>
      </c>
    </row>
    <row r="308" spans="1:28" x14ac:dyDescent="0.25">
      <c r="A308" s="101">
        <v>2018</v>
      </c>
      <c r="B308" s="101" t="s">
        <v>607</v>
      </c>
      <c r="C308" s="453">
        <v>43435</v>
      </c>
      <c r="D308" s="459">
        <v>0</v>
      </c>
      <c r="E308" s="459">
        <v>0</v>
      </c>
      <c r="F308" s="459">
        <v>0</v>
      </c>
      <c r="G308" s="56" t="s">
        <v>592</v>
      </c>
      <c r="H308" s="56" t="s">
        <v>592</v>
      </c>
      <c r="J308" s="101" t="s">
        <v>608</v>
      </c>
      <c r="K308" s="101">
        <v>2023</v>
      </c>
      <c r="L308" s="453">
        <v>45017</v>
      </c>
      <c r="M308" s="459">
        <v>0</v>
      </c>
      <c r="N308" s="56">
        <v>0</v>
      </c>
      <c r="O308" s="56">
        <v>0</v>
      </c>
      <c r="P308" s="56">
        <v>0</v>
      </c>
      <c r="Q308" s="56">
        <v>0</v>
      </c>
      <c r="R308" s="56" t="s">
        <v>592</v>
      </c>
      <c r="S308" s="56" t="s">
        <v>592</v>
      </c>
      <c r="T308" s="56" t="s">
        <v>592</v>
      </c>
      <c r="U308" s="56" t="s">
        <v>592</v>
      </c>
      <c r="V308" s="56" t="s">
        <v>592</v>
      </c>
      <c r="W308" s="56" t="s">
        <v>592</v>
      </c>
      <c r="X308" s="56">
        <v>0.06</v>
      </c>
      <c r="Y308" s="56" t="s">
        <v>592</v>
      </c>
      <c r="Z308" s="56" t="s">
        <v>592</v>
      </c>
      <c r="AA308" s="56" t="s">
        <v>592</v>
      </c>
      <c r="AB308" s="56" t="s">
        <v>592</v>
      </c>
    </row>
    <row r="309" spans="1:28" x14ac:dyDescent="0.25">
      <c r="A309" s="101">
        <v>2019</v>
      </c>
      <c r="B309" s="101" t="s">
        <v>609</v>
      </c>
      <c r="C309" s="453">
        <v>43466</v>
      </c>
      <c r="D309" s="459">
        <v>0</v>
      </c>
      <c r="E309" s="459">
        <v>0</v>
      </c>
      <c r="F309" s="459">
        <v>0</v>
      </c>
      <c r="G309" s="56" t="s">
        <v>592</v>
      </c>
      <c r="H309" s="56" t="s">
        <v>592</v>
      </c>
      <c r="J309" s="101" t="s">
        <v>608</v>
      </c>
      <c r="K309" s="101">
        <v>2023</v>
      </c>
      <c r="L309" s="453">
        <v>45047</v>
      </c>
      <c r="M309" s="459">
        <v>0</v>
      </c>
      <c r="N309" s="56">
        <v>0</v>
      </c>
      <c r="O309" s="56">
        <v>0</v>
      </c>
      <c r="P309" s="56">
        <v>0</v>
      </c>
      <c r="Q309" s="56">
        <v>0</v>
      </c>
      <c r="R309" s="56" t="s">
        <v>592</v>
      </c>
      <c r="S309" s="56" t="s">
        <v>592</v>
      </c>
      <c r="T309" s="56" t="s">
        <v>592</v>
      </c>
      <c r="U309" s="56" t="s">
        <v>592</v>
      </c>
      <c r="V309" s="56" t="s">
        <v>592</v>
      </c>
      <c r="W309" s="56" t="s">
        <v>592</v>
      </c>
      <c r="X309" s="56">
        <v>0.06</v>
      </c>
      <c r="Y309" s="56" t="s">
        <v>592</v>
      </c>
      <c r="Z309" s="56" t="s">
        <v>592</v>
      </c>
      <c r="AA309" s="56" t="s">
        <v>592</v>
      </c>
      <c r="AB309" s="56" t="s">
        <v>592</v>
      </c>
    </row>
    <row r="310" spans="1:28" x14ac:dyDescent="0.25">
      <c r="A310" s="101">
        <v>2019</v>
      </c>
      <c r="B310" s="101" t="s">
        <v>609</v>
      </c>
      <c r="C310" s="453">
        <v>43497</v>
      </c>
      <c r="D310" s="459">
        <v>0</v>
      </c>
      <c r="E310" s="459">
        <v>0</v>
      </c>
      <c r="F310" s="459">
        <v>0</v>
      </c>
      <c r="G310" s="56" t="s">
        <v>592</v>
      </c>
      <c r="H310" s="56" t="s">
        <v>592</v>
      </c>
      <c r="J310" s="101" t="s">
        <v>608</v>
      </c>
      <c r="K310" s="101">
        <v>2023</v>
      </c>
      <c r="L310" s="453">
        <v>45078</v>
      </c>
      <c r="M310" s="459">
        <v>115648.2</v>
      </c>
      <c r="N310" s="56">
        <v>0.68074019799766283</v>
      </c>
      <c r="O310" s="56">
        <v>0.63518098151061342</v>
      </c>
      <c r="P310" s="56">
        <v>0.66499482962769474</v>
      </c>
      <c r="Q310" s="56">
        <v>0.49902515712628392</v>
      </c>
      <c r="R310" s="56">
        <v>4.7388385705950792E-4</v>
      </c>
      <c r="S310" s="56">
        <v>0.44994174358957023</v>
      </c>
      <c r="T310" s="56">
        <v>0.21412646367606802</v>
      </c>
      <c r="U310" s="56">
        <v>0.15390641618287185</v>
      </c>
      <c r="V310" s="56">
        <v>0.20800665522499506</v>
      </c>
      <c r="W310" s="56">
        <v>1.4440783512950367E-2</v>
      </c>
      <c r="X310" s="56">
        <v>0.06</v>
      </c>
      <c r="Y310" s="56">
        <v>4.4254631630031724E-2</v>
      </c>
      <c r="Z310" s="56">
        <v>0</v>
      </c>
      <c r="AA310" s="56">
        <v>1.6418154368161374E-2</v>
      </c>
      <c r="AB310" s="56">
        <v>4.7388385705950792E-4</v>
      </c>
    </row>
    <row r="311" spans="1:28" x14ac:dyDescent="0.25">
      <c r="A311" s="101">
        <v>2019</v>
      </c>
      <c r="B311" s="101" t="s">
        <v>609</v>
      </c>
      <c r="C311" s="453">
        <v>43525</v>
      </c>
      <c r="D311" s="459">
        <v>0</v>
      </c>
      <c r="E311" s="459">
        <v>0</v>
      </c>
      <c r="F311" s="459">
        <v>0</v>
      </c>
      <c r="G311" s="56" t="s">
        <v>592</v>
      </c>
      <c r="H311" s="56" t="s">
        <v>592</v>
      </c>
      <c r="J311" s="101" t="s">
        <v>610</v>
      </c>
      <c r="K311" s="101">
        <v>2023</v>
      </c>
      <c r="L311" s="453">
        <v>45108</v>
      </c>
      <c r="M311" s="459">
        <v>352968.69</v>
      </c>
      <c r="N311" s="56">
        <v>0.96760007695120098</v>
      </c>
      <c r="O311" s="56">
        <v>0.93034967637931876</v>
      </c>
      <c r="P311" s="56">
        <v>0.97731756433817496</v>
      </c>
      <c r="Q311" s="56">
        <v>0.53475327839767295</v>
      </c>
      <c r="R311" s="56">
        <v>0.16923692415642985</v>
      </c>
      <c r="S311" s="56">
        <v>0.1476057646340285</v>
      </c>
      <c r="T311" s="56">
        <v>0.20855429760836128</v>
      </c>
      <c r="U311" s="56">
        <v>0.54436698053869881</v>
      </c>
      <c r="V311" s="56">
        <v>5.0571649010838209E-2</v>
      </c>
      <c r="W311" s="56">
        <v>2.2749599428117984E-2</v>
      </c>
      <c r="X311" s="56">
        <v>0.06</v>
      </c>
      <c r="Y311" s="56">
        <v>6.9717487386974156E-2</v>
      </c>
      <c r="Z311" s="56">
        <v>4.1752234190853499E-2</v>
      </c>
      <c r="AA311" s="56">
        <v>4.6381734311901719E-3</v>
      </c>
      <c r="AB311" s="56">
        <v>0.21098915834728335</v>
      </c>
    </row>
    <row r="312" spans="1:28" x14ac:dyDescent="0.25">
      <c r="A312" s="101">
        <v>2019</v>
      </c>
      <c r="B312" s="101" t="s">
        <v>611</v>
      </c>
      <c r="C312" s="453">
        <v>43556</v>
      </c>
      <c r="D312" s="459">
        <v>0</v>
      </c>
      <c r="E312" s="459">
        <v>0</v>
      </c>
      <c r="F312" s="459">
        <v>0</v>
      </c>
      <c r="G312" s="56" t="s">
        <v>592</v>
      </c>
      <c r="H312" s="56" t="s">
        <v>592</v>
      </c>
      <c r="J312" s="101" t="s">
        <v>610</v>
      </c>
      <c r="K312" s="101">
        <v>2023</v>
      </c>
      <c r="L312" s="453">
        <v>45139</v>
      </c>
      <c r="M312" s="459">
        <v>570748.97</v>
      </c>
      <c r="N312" s="56">
        <v>1.1069305993080989</v>
      </c>
      <c r="O312" s="56">
        <v>1.0954408169497225</v>
      </c>
      <c r="P312" s="56">
        <v>1.1955930184972996</v>
      </c>
      <c r="Q312" s="56">
        <v>0.69944911696418521</v>
      </c>
      <c r="R312" s="56">
        <v>0.24386788436928417</v>
      </c>
      <c r="S312" s="56">
        <v>0.30671133578964338</v>
      </c>
      <c r="T312" s="56">
        <v>0.2533651731580599</v>
      </c>
      <c r="U312" s="56">
        <v>0.4682321196304568</v>
      </c>
      <c r="V312" s="56">
        <v>0.11409679991812657</v>
      </c>
      <c r="W312" s="56">
        <v>4.8510217641623748E-2</v>
      </c>
      <c r="X312" s="56">
        <v>0.06</v>
      </c>
      <c r="Y312" s="56">
        <v>0.1486624191892007</v>
      </c>
      <c r="Z312" s="56">
        <v>2.3149333773601091E-2</v>
      </c>
      <c r="AA312" s="56">
        <v>4.9699257451134779E-3</v>
      </c>
      <c r="AB312" s="56">
        <v>0.26701721814288526</v>
      </c>
    </row>
    <row r="313" spans="1:28" x14ac:dyDescent="0.25">
      <c r="A313" s="101">
        <v>2019</v>
      </c>
      <c r="B313" s="101" t="s">
        <v>611</v>
      </c>
      <c r="C313" s="453">
        <v>43586</v>
      </c>
      <c r="D313" s="459">
        <v>0</v>
      </c>
      <c r="E313" s="459">
        <v>0</v>
      </c>
      <c r="F313" s="459">
        <v>0</v>
      </c>
      <c r="G313" s="56" t="s">
        <v>592</v>
      </c>
      <c r="H313" s="56" t="s">
        <v>592</v>
      </c>
      <c r="J313" s="101" t="s">
        <v>610</v>
      </c>
      <c r="K313" s="101">
        <v>2023</v>
      </c>
      <c r="L313" s="453">
        <v>45170</v>
      </c>
      <c r="M313" s="459">
        <v>777468.82</v>
      </c>
      <c r="N313" s="56">
        <v>1.0149047816895316</v>
      </c>
      <c r="O313" s="56">
        <v>0.9850146626346109</v>
      </c>
      <c r="P313" s="56">
        <v>1.0471782853019656</v>
      </c>
      <c r="Q313" s="56">
        <v>0.77655050813936</v>
      </c>
      <c r="R313" s="56">
        <v>0.22598198308937473</v>
      </c>
      <c r="S313" s="56">
        <v>0.47576012710550475</v>
      </c>
      <c r="T313" s="56">
        <v>0.31847562591024153</v>
      </c>
      <c r="U313" s="56">
        <v>0.20953766351684691</v>
      </c>
      <c r="V313" s="56">
        <v>0.12846789116193891</v>
      </c>
      <c r="W313" s="56">
        <v>3.0109880945079517E-2</v>
      </c>
      <c r="X313" s="56">
        <v>0.06</v>
      </c>
      <c r="Y313" s="56">
        <v>9.2273503612434166E-2</v>
      </c>
      <c r="Z313" s="56">
        <v>3.7348666246184103E-2</v>
      </c>
      <c r="AA313" s="56">
        <v>6.2763417316208259E-3</v>
      </c>
      <c r="AB313" s="56">
        <v>0.26333064933555883</v>
      </c>
    </row>
    <row r="314" spans="1:28" x14ac:dyDescent="0.25">
      <c r="A314" s="101">
        <v>2019</v>
      </c>
      <c r="B314" s="101" t="s">
        <v>611</v>
      </c>
      <c r="C314" s="453">
        <v>43617</v>
      </c>
      <c r="D314" s="459">
        <v>0</v>
      </c>
      <c r="E314" s="459">
        <v>0</v>
      </c>
      <c r="F314" s="459">
        <v>0</v>
      </c>
      <c r="G314" s="56" t="s">
        <v>592</v>
      </c>
      <c r="H314" s="56" t="s">
        <v>592</v>
      </c>
      <c r="J314" s="101" t="s">
        <v>612</v>
      </c>
      <c r="K314" s="101">
        <v>2023</v>
      </c>
      <c r="L314" s="453">
        <v>45200</v>
      </c>
      <c r="M314" s="459">
        <v>1115862.51</v>
      </c>
      <c r="N314" s="56">
        <v>1.2980169010491087</v>
      </c>
      <c r="O314" s="56">
        <v>1.2972404513303835</v>
      </c>
      <c r="P314" s="56">
        <v>1.4195109591222084</v>
      </c>
      <c r="Q314" s="56">
        <v>0.5114758079246271</v>
      </c>
      <c r="R314" s="56">
        <v>0.14128910205798356</v>
      </c>
      <c r="S314" s="56">
        <v>0.39348404477180277</v>
      </c>
      <c r="T314" s="56">
        <v>0.23594404870090269</v>
      </c>
      <c r="U314" s="56">
        <v>0.68155366418453023</v>
      </c>
      <c r="V314" s="56">
        <v>5.2552567130948927E-2</v>
      </c>
      <c r="W314" s="56">
        <v>5.9223550281274726E-2</v>
      </c>
      <c r="X314" s="56">
        <v>0.06</v>
      </c>
      <c r="Y314" s="56">
        <v>0.18149405807309971</v>
      </c>
      <c r="Z314" s="56">
        <v>1.8071906685104226E-2</v>
      </c>
      <c r="AA314" s="56">
        <v>3.6181833496877814E-3</v>
      </c>
      <c r="AB314" s="56">
        <v>0.15936100874308778</v>
      </c>
    </row>
    <row r="315" spans="1:28" x14ac:dyDescent="0.25">
      <c r="A315" s="101">
        <v>2019</v>
      </c>
      <c r="B315" s="101" t="s">
        <v>613</v>
      </c>
      <c r="C315" s="453">
        <v>43647</v>
      </c>
      <c r="D315" s="459">
        <v>0</v>
      </c>
      <c r="E315" s="459">
        <v>0</v>
      </c>
      <c r="F315" s="459">
        <v>0</v>
      </c>
      <c r="G315" s="56" t="s">
        <v>592</v>
      </c>
      <c r="H315" s="56" t="s">
        <v>592</v>
      </c>
      <c r="J315" s="101" t="s">
        <v>612</v>
      </c>
      <c r="K315" s="101">
        <v>2023</v>
      </c>
      <c r="L315" s="453">
        <v>45231</v>
      </c>
      <c r="M315" s="459">
        <v>1467617.52</v>
      </c>
      <c r="N315" s="56">
        <v>0.90390481018341728</v>
      </c>
      <c r="O315" s="56">
        <v>0.89826834662670496</v>
      </c>
      <c r="P315" s="56">
        <v>1.0105050695977329</v>
      </c>
      <c r="Q315" s="56">
        <v>0.68192193835621873</v>
      </c>
      <c r="R315" s="56">
        <v>0.16782606303488351</v>
      </c>
      <c r="S315" s="56">
        <v>0.47107885338886324</v>
      </c>
      <c r="T315" s="56">
        <v>0.24562062287461345</v>
      </c>
      <c r="U315" s="56">
        <v>0.11942757401805887</v>
      </c>
      <c r="V315" s="56">
        <v>0.12290293270511005</v>
      </c>
      <c r="W315" s="56">
        <v>5.4363536443287667E-2</v>
      </c>
      <c r="X315" s="56">
        <v>0.06</v>
      </c>
      <c r="Y315" s="56">
        <v>0.16660025941431544</v>
      </c>
      <c r="Z315" s="56">
        <v>7.7014401727865681E-2</v>
      </c>
      <c r="AA315" s="56">
        <v>8.5579180137460055E-3</v>
      </c>
      <c r="AB315" s="56">
        <v>0.24484046476274918</v>
      </c>
    </row>
    <row r="316" spans="1:28" x14ac:dyDescent="0.25">
      <c r="A316" s="101">
        <v>2019</v>
      </c>
      <c r="B316" s="101" t="s">
        <v>613</v>
      </c>
      <c r="C316" s="453">
        <v>43678</v>
      </c>
      <c r="D316" s="459">
        <v>0</v>
      </c>
      <c r="E316" s="459">
        <v>0</v>
      </c>
      <c r="F316" s="459">
        <v>0</v>
      </c>
      <c r="G316" s="56" t="s">
        <v>592</v>
      </c>
      <c r="H316" s="56" t="s">
        <v>592</v>
      </c>
      <c r="J316" s="101" t="s">
        <v>612</v>
      </c>
      <c r="K316" s="101">
        <v>2023</v>
      </c>
      <c r="L316" s="453">
        <v>45261</v>
      </c>
      <c r="M316" s="459">
        <v>1749383.4035761664</v>
      </c>
      <c r="N316" s="56">
        <v>0.80995485107011578</v>
      </c>
      <c r="O316" s="56">
        <v>0.81593063256585896</v>
      </c>
      <c r="P316" s="56">
        <v>0.95214151940284042</v>
      </c>
      <c r="Q316" s="56">
        <v>0.55651257100449425</v>
      </c>
      <c r="R316" s="56">
        <v>0.20147756593465438</v>
      </c>
      <c r="S316" s="56">
        <v>0.32632442662142908</v>
      </c>
      <c r="T316" s="56">
        <v>0.20979377856219683</v>
      </c>
      <c r="U316" s="56">
        <v>0.21088923631367773</v>
      </c>
      <c r="V316" s="56">
        <v>7.3977604307288336E-2</v>
      </c>
      <c r="W316" s="56">
        <v>6.5975781495743041E-2</v>
      </c>
      <c r="X316" s="56">
        <v>0.06</v>
      </c>
      <c r="Y316" s="56">
        <v>0.20218666833272447</v>
      </c>
      <c r="Z316" s="56">
        <v>5.844838295235499E-3</v>
      </c>
      <c r="AA316" s="56">
        <v>5.4187839051191298E-3</v>
      </c>
      <c r="AB316" s="56">
        <v>0.20732240422988987</v>
      </c>
    </row>
    <row r="317" spans="1:28" x14ac:dyDescent="0.25">
      <c r="A317" s="101">
        <v>2019</v>
      </c>
      <c r="B317" s="101" t="s">
        <v>613</v>
      </c>
      <c r="C317" s="453">
        <v>43709</v>
      </c>
      <c r="D317" s="459">
        <v>0</v>
      </c>
      <c r="E317" s="459">
        <v>0</v>
      </c>
      <c r="F317" s="459">
        <v>0</v>
      </c>
      <c r="G317" s="56" t="s">
        <v>592</v>
      </c>
      <c r="H317" s="56" t="s">
        <v>592</v>
      </c>
      <c r="J317" s="101" t="s">
        <v>614</v>
      </c>
      <c r="K317" s="101">
        <v>2024</v>
      </c>
      <c r="L317" s="453">
        <v>45292</v>
      </c>
      <c r="M317" s="459">
        <v>1847487.4676510305</v>
      </c>
      <c r="N317" s="56">
        <v>0.64001466297592779</v>
      </c>
      <c r="O317" s="56">
        <v>0.63425113994193016</v>
      </c>
      <c r="P317" s="56">
        <v>0.72557995214359661</v>
      </c>
      <c r="Q317" s="56">
        <v>0.5712332049935771</v>
      </c>
      <c r="R317" s="56">
        <v>0.1868449657952331</v>
      </c>
      <c r="S317" s="56">
        <v>0.26267003775451087</v>
      </c>
      <c r="T317" s="56">
        <v>0.19929870362489999</v>
      </c>
      <c r="U317" s="56">
        <v>9.2354131212016854E-2</v>
      </c>
      <c r="V317" s="56">
        <v>8.6944007359277042E-2</v>
      </c>
      <c r="W317" s="56">
        <v>4.4236476966002455E-2</v>
      </c>
      <c r="X317" s="56">
        <v>0.05</v>
      </c>
      <c r="Y317" s="56">
        <v>0.13556528916766888</v>
      </c>
      <c r="Z317" s="56">
        <v>4.2325926775823759E-2</v>
      </c>
      <c r="AA317" s="56">
        <v>5.8196014383431766E-3</v>
      </c>
      <c r="AB317" s="56">
        <v>0.22917089257105686</v>
      </c>
    </row>
    <row r="318" spans="1:28" x14ac:dyDescent="0.25">
      <c r="A318" s="101">
        <v>2019</v>
      </c>
      <c r="B318" s="101" t="s">
        <v>615</v>
      </c>
      <c r="C318" s="453">
        <v>43739</v>
      </c>
      <c r="D318" s="459">
        <v>0</v>
      </c>
      <c r="E318" s="459">
        <v>0</v>
      </c>
      <c r="F318" s="459">
        <v>0</v>
      </c>
      <c r="G318" s="56" t="s">
        <v>592</v>
      </c>
      <c r="H318" s="56" t="s">
        <v>592</v>
      </c>
      <c r="J318" s="101" t="s">
        <v>614</v>
      </c>
      <c r="K318" s="101">
        <v>2024</v>
      </c>
      <c r="L318" s="453">
        <v>45323</v>
      </c>
      <c r="M318" s="459">
        <v>1495711.3488272435</v>
      </c>
      <c r="N318" s="56">
        <v>0.83236026855993606</v>
      </c>
      <c r="O318" s="56">
        <v>0.85540463270373523</v>
      </c>
      <c r="P318" s="56">
        <v>1.0062090247534499</v>
      </c>
      <c r="Q318" s="56">
        <v>0.64690537819999494</v>
      </c>
      <c r="R318" s="56">
        <v>0.21674211336911622</v>
      </c>
      <c r="S318" s="56">
        <v>0.31440230268158703</v>
      </c>
      <c r="T318" s="56">
        <v>0.19413185491209722</v>
      </c>
      <c r="U318" s="56">
        <v>0.19750602295799016</v>
      </c>
      <c r="V318" s="56">
        <v>0.1323215803675391</v>
      </c>
      <c r="W318" s="56">
        <v>7.3044364143799431E-2</v>
      </c>
      <c r="X318" s="56">
        <v>0.05</v>
      </c>
      <c r="Y318" s="56">
        <v>0.22384875619351385</v>
      </c>
      <c r="Z318" s="56">
        <v>5.0178291446186053E-2</v>
      </c>
      <c r="AA318" s="56">
        <v>3.5315381050563697E-3</v>
      </c>
      <c r="AB318" s="56">
        <v>0.26692040481530227</v>
      </c>
    </row>
    <row r="319" spans="1:28" x14ac:dyDescent="0.25">
      <c r="A319" s="101">
        <v>2019</v>
      </c>
      <c r="B319" s="101" t="s">
        <v>615</v>
      </c>
      <c r="C319" s="453">
        <v>43770</v>
      </c>
      <c r="D319" s="459">
        <v>0</v>
      </c>
      <c r="E319" s="459">
        <v>0</v>
      </c>
      <c r="F319" s="459">
        <v>0</v>
      </c>
      <c r="G319" s="56" t="s">
        <v>592</v>
      </c>
      <c r="H319" s="56" t="s">
        <v>592</v>
      </c>
      <c r="J319" s="101" t="s">
        <v>614</v>
      </c>
      <c r="K319" s="101">
        <v>2024</v>
      </c>
      <c r="L319" s="453">
        <v>45352</v>
      </c>
      <c r="M319" s="459">
        <v>1657495.22</v>
      </c>
      <c r="N319" s="56">
        <v>0.6675296404396639</v>
      </c>
      <c r="O319" s="56">
        <v>0.64092839295778725</v>
      </c>
      <c r="P319" s="56">
        <v>0.68923649570573697</v>
      </c>
      <c r="Q319" s="56">
        <v>0.58022759578248084</v>
      </c>
      <c r="R319" s="56">
        <v>0.18747191575758362</v>
      </c>
      <c r="S319" s="56">
        <v>0.31571223708119539</v>
      </c>
      <c r="T319" s="56">
        <v>0.19668867564459369</v>
      </c>
      <c r="U319" s="56">
        <v>4.7035725388094932E-2</v>
      </c>
      <c r="V319" s="56">
        <v>7.8757242167513536E-2</v>
      </c>
      <c r="W319" s="56">
        <v>2.3398752518123327E-2</v>
      </c>
      <c r="X319" s="56">
        <v>0.05</v>
      </c>
      <c r="Y319" s="56">
        <v>7.1706855266072997E-2</v>
      </c>
      <c r="Z319" s="56">
        <v>6.7209246681452062E-2</v>
      </c>
      <c r="AA319" s="56">
        <v>1.0051553133790519E-4</v>
      </c>
      <c r="AB319" s="56">
        <v>0.25468116243903571</v>
      </c>
    </row>
    <row r="320" spans="1:28" x14ac:dyDescent="0.25">
      <c r="A320" s="101">
        <v>2019</v>
      </c>
      <c r="B320" s="101" t="s">
        <v>615</v>
      </c>
      <c r="C320" s="453">
        <v>43800</v>
      </c>
      <c r="D320" s="459">
        <v>0</v>
      </c>
      <c r="E320" s="459">
        <v>0</v>
      </c>
      <c r="F320" s="459">
        <v>0</v>
      </c>
      <c r="G320" s="56" t="s">
        <v>592</v>
      </c>
      <c r="H320" s="56" t="s">
        <v>592</v>
      </c>
      <c r="J320" s="101" t="s">
        <v>616</v>
      </c>
      <c r="K320" s="101">
        <v>2024</v>
      </c>
      <c r="L320" s="453">
        <v>45383</v>
      </c>
      <c r="M320" s="459">
        <v>768983.14000000095</v>
      </c>
      <c r="N320" s="56">
        <v>0.71097588322455763</v>
      </c>
      <c r="O320" s="56">
        <v>0.71097588322455763</v>
      </c>
      <c r="P320" s="56">
        <v>0.80392097497061688</v>
      </c>
      <c r="Q320" s="56">
        <v>0.60919787378808299</v>
      </c>
      <c r="R320" s="56">
        <v>0.19701966497397763</v>
      </c>
      <c r="S320" s="56">
        <v>0.29759485917243111</v>
      </c>
      <c r="T320" s="56">
        <v>0.20535108478352299</v>
      </c>
      <c r="U320" s="56">
        <v>8.0684732323065528E-2</v>
      </c>
      <c r="V320" s="56">
        <v>0.10358930239609493</v>
      </c>
      <c r="W320" s="56">
        <v>4.6893197875975068E-2</v>
      </c>
      <c r="X320" s="56">
        <v>0.05</v>
      </c>
      <c r="Y320" s="56">
        <v>0.14370696687575191</v>
      </c>
      <c r="Z320" s="56">
        <v>5.3237821634487294E-2</v>
      </c>
      <c r="AA320" s="56">
        <v>0</v>
      </c>
      <c r="AB320" s="56">
        <v>0.17029029869159723</v>
      </c>
    </row>
    <row r="321" spans="1:8" x14ac:dyDescent="0.25">
      <c r="A321" s="101">
        <v>2020</v>
      </c>
      <c r="B321" s="101" t="s">
        <v>617</v>
      </c>
      <c r="C321" s="453">
        <v>43831</v>
      </c>
      <c r="D321" s="459">
        <v>0</v>
      </c>
      <c r="E321" s="459">
        <v>0</v>
      </c>
      <c r="F321" s="459">
        <v>0</v>
      </c>
      <c r="G321" s="56" t="s">
        <v>592</v>
      </c>
      <c r="H321" s="56" t="s">
        <v>592</v>
      </c>
    </row>
    <row r="322" spans="1:8" x14ac:dyDescent="0.25">
      <c r="A322" s="101">
        <v>2020</v>
      </c>
      <c r="B322" s="101" t="s">
        <v>617</v>
      </c>
      <c r="C322" s="453">
        <v>43862</v>
      </c>
      <c r="D322" s="459">
        <v>0</v>
      </c>
      <c r="E322" s="459">
        <v>0</v>
      </c>
      <c r="F322" s="459">
        <v>0</v>
      </c>
      <c r="G322" s="56" t="s">
        <v>592</v>
      </c>
      <c r="H322" s="56" t="s">
        <v>592</v>
      </c>
    </row>
    <row r="323" spans="1:8" x14ac:dyDescent="0.25">
      <c r="A323" s="101">
        <v>2020</v>
      </c>
      <c r="B323" s="101" t="s">
        <v>617</v>
      </c>
      <c r="C323" s="453">
        <v>43891</v>
      </c>
      <c r="D323" s="459">
        <v>0</v>
      </c>
      <c r="E323" s="459">
        <v>0</v>
      </c>
      <c r="F323" s="459">
        <v>0</v>
      </c>
      <c r="G323" s="56" t="s">
        <v>592</v>
      </c>
      <c r="H323" s="56" t="s">
        <v>592</v>
      </c>
    </row>
    <row r="324" spans="1:8" x14ac:dyDescent="0.25">
      <c r="A324" s="101">
        <v>2020</v>
      </c>
      <c r="B324" s="101" t="s">
        <v>618</v>
      </c>
      <c r="C324" s="453">
        <v>43922</v>
      </c>
      <c r="D324" s="459">
        <v>0</v>
      </c>
      <c r="E324" s="459">
        <v>0</v>
      </c>
      <c r="F324" s="459">
        <v>0</v>
      </c>
      <c r="G324" s="56" t="s">
        <v>592</v>
      </c>
      <c r="H324" s="56" t="s">
        <v>592</v>
      </c>
    </row>
    <row r="325" spans="1:8" x14ac:dyDescent="0.25">
      <c r="A325" s="101">
        <v>2020</v>
      </c>
      <c r="B325" s="101" t="s">
        <v>618</v>
      </c>
      <c r="C325" s="453">
        <v>43952</v>
      </c>
      <c r="D325" s="459">
        <v>0</v>
      </c>
      <c r="E325" s="459">
        <v>0</v>
      </c>
      <c r="F325" s="459">
        <v>0</v>
      </c>
      <c r="G325" s="56" t="s">
        <v>592</v>
      </c>
      <c r="H325" s="56" t="s">
        <v>592</v>
      </c>
    </row>
    <row r="326" spans="1:8" x14ac:dyDescent="0.25">
      <c r="A326" s="101">
        <v>2020</v>
      </c>
      <c r="B326" s="101" t="s">
        <v>618</v>
      </c>
      <c r="C326" s="453">
        <v>43983</v>
      </c>
      <c r="D326" s="459">
        <v>0</v>
      </c>
      <c r="E326" s="459">
        <v>0</v>
      </c>
      <c r="F326" s="459">
        <v>0</v>
      </c>
      <c r="G326" s="56" t="s">
        <v>592</v>
      </c>
      <c r="H326" s="56" t="s">
        <v>592</v>
      </c>
    </row>
    <row r="327" spans="1:8" x14ac:dyDescent="0.25">
      <c r="A327" s="101">
        <v>2020</v>
      </c>
      <c r="B327" s="101" t="s">
        <v>619</v>
      </c>
      <c r="C327" s="453">
        <v>44013</v>
      </c>
      <c r="D327" s="459">
        <v>0</v>
      </c>
      <c r="E327" s="459">
        <v>0</v>
      </c>
      <c r="F327" s="459">
        <v>0</v>
      </c>
      <c r="G327" s="56" t="s">
        <v>592</v>
      </c>
      <c r="H327" s="56" t="s">
        <v>592</v>
      </c>
    </row>
    <row r="328" spans="1:8" x14ac:dyDescent="0.25">
      <c r="A328" s="101">
        <v>2020</v>
      </c>
      <c r="B328" s="101" t="s">
        <v>619</v>
      </c>
      <c r="C328" s="453">
        <v>44044</v>
      </c>
      <c r="D328" s="459">
        <v>0</v>
      </c>
      <c r="E328" s="459">
        <v>0</v>
      </c>
      <c r="F328" s="459">
        <v>0</v>
      </c>
      <c r="G328" s="56" t="s">
        <v>592</v>
      </c>
      <c r="H328" s="56" t="s">
        <v>592</v>
      </c>
    </row>
    <row r="329" spans="1:8" x14ac:dyDescent="0.25">
      <c r="A329" s="101">
        <v>2020</v>
      </c>
      <c r="B329" s="101" t="s">
        <v>619</v>
      </c>
      <c r="C329" s="453">
        <v>44075</v>
      </c>
      <c r="D329" s="459">
        <v>0</v>
      </c>
      <c r="E329" s="459">
        <v>0</v>
      </c>
      <c r="F329" s="459">
        <v>0</v>
      </c>
      <c r="G329" s="56" t="s">
        <v>592</v>
      </c>
      <c r="H329" s="56" t="s">
        <v>592</v>
      </c>
    </row>
    <row r="330" spans="1:8" x14ac:dyDescent="0.25">
      <c r="A330" s="101">
        <v>2020</v>
      </c>
      <c r="B330" s="101" t="s">
        <v>620</v>
      </c>
      <c r="C330" s="453">
        <v>44105</v>
      </c>
      <c r="D330" s="459">
        <v>0</v>
      </c>
      <c r="E330" s="459">
        <v>0</v>
      </c>
      <c r="F330" s="459">
        <v>0</v>
      </c>
      <c r="G330" s="56" t="s">
        <v>592</v>
      </c>
      <c r="H330" s="56" t="s">
        <v>592</v>
      </c>
    </row>
    <row r="331" spans="1:8" x14ac:dyDescent="0.25">
      <c r="A331" s="101">
        <v>2020</v>
      </c>
      <c r="B331" s="101" t="s">
        <v>620</v>
      </c>
      <c r="C331" s="453">
        <v>44136</v>
      </c>
      <c r="D331" s="459">
        <v>0</v>
      </c>
      <c r="E331" s="459">
        <v>0</v>
      </c>
      <c r="F331" s="459">
        <v>0</v>
      </c>
      <c r="G331" s="56" t="s">
        <v>592</v>
      </c>
      <c r="H331" s="56" t="s">
        <v>592</v>
      </c>
    </row>
    <row r="332" spans="1:8" x14ac:dyDescent="0.25">
      <c r="A332" s="101">
        <v>2020</v>
      </c>
      <c r="B332" s="101" t="s">
        <v>620</v>
      </c>
      <c r="C332" s="453">
        <v>44166</v>
      </c>
      <c r="D332" s="459">
        <v>0</v>
      </c>
      <c r="E332" s="459">
        <v>0</v>
      </c>
      <c r="F332" s="459">
        <v>0</v>
      </c>
      <c r="G332" s="56" t="s">
        <v>592</v>
      </c>
      <c r="H332" s="56" t="s">
        <v>592</v>
      </c>
    </row>
    <row r="333" spans="1:8" x14ac:dyDescent="0.25">
      <c r="A333" s="101">
        <v>2021</v>
      </c>
      <c r="B333" s="101" t="s">
        <v>621</v>
      </c>
      <c r="C333" s="453">
        <v>44197</v>
      </c>
      <c r="D333" s="459">
        <v>0</v>
      </c>
      <c r="E333" s="459">
        <v>0</v>
      </c>
      <c r="F333" s="459">
        <v>0</v>
      </c>
      <c r="G333" s="56" t="s">
        <v>592</v>
      </c>
      <c r="H333" s="56" t="s">
        <v>592</v>
      </c>
    </row>
    <row r="334" spans="1:8" x14ac:dyDescent="0.25">
      <c r="A334" s="101">
        <v>2021</v>
      </c>
      <c r="B334" s="101" t="s">
        <v>621</v>
      </c>
      <c r="C334" s="453">
        <v>44228</v>
      </c>
      <c r="D334" s="459">
        <v>0</v>
      </c>
      <c r="E334" s="459">
        <v>0</v>
      </c>
      <c r="F334" s="459">
        <v>0</v>
      </c>
      <c r="G334" s="56" t="s">
        <v>592</v>
      </c>
      <c r="H334" s="56" t="s">
        <v>592</v>
      </c>
    </row>
    <row r="335" spans="1:8" x14ac:dyDescent="0.25">
      <c r="A335" s="101">
        <v>2021</v>
      </c>
      <c r="B335" s="101" t="s">
        <v>621</v>
      </c>
      <c r="C335" s="453">
        <v>44256</v>
      </c>
      <c r="D335" s="459">
        <v>0</v>
      </c>
      <c r="E335" s="459">
        <v>0</v>
      </c>
      <c r="F335" s="459">
        <v>0</v>
      </c>
      <c r="G335" s="56" t="s">
        <v>592</v>
      </c>
      <c r="H335" s="56" t="s">
        <v>592</v>
      </c>
    </row>
    <row r="336" spans="1:8" x14ac:dyDescent="0.25">
      <c r="A336" s="101">
        <v>2021</v>
      </c>
      <c r="B336" s="101" t="s">
        <v>593</v>
      </c>
      <c r="C336" s="453">
        <v>44287</v>
      </c>
      <c r="D336" s="459">
        <v>0</v>
      </c>
      <c r="E336" s="459">
        <v>0</v>
      </c>
      <c r="F336" s="459">
        <v>0</v>
      </c>
      <c r="G336" s="56" t="s">
        <v>592</v>
      </c>
      <c r="H336" s="56" t="s">
        <v>592</v>
      </c>
    </row>
    <row r="337" spans="1:8" x14ac:dyDescent="0.25">
      <c r="A337" s="101">
        <v>2021</v>
      </c>
      <c r="B337" s="101" t="s">
        <v>593</v>
      </c>
      <c r="C337" s="453">
        <v>44317</v>
      </c>
      <c r="D337" s="459">
        <v>0</v>
      </c>
      <c r="E337" s="459">
        <v>0</v>
      </c>
      <c r="F337" s="459">
        <v>0</v>
      </c>
      <c r="G337" s="56" t="s">
        <v>592</v>
      </c>
      <c r="H337" s="56" t="s">
        <v>592</v>
      </c>
    </row>
    <row r="338" spans="1:8" x14ac:dyDescent="0.25">
      <c r="A338" s="101">
        <v>2021</v>
      </c>
      <c r="B338" s="101" t="s">
        <v>593</v>
      </c>
      <c r="C338" s="453">
        <v>44348</v>
      </c>
      <c r="D338" s="459">
        <v>0</v>
      </c>
      <c r="E338" s="459">
        <v>0</v>
      </c>
      <c r="F338" s="459">
        <v>0</v>
      </c>
      <c r="G338" s="56" t="s">
        <v>592</v>
      </c>
      <c r="H338" s="56" t="s">
        <v>592</v>
      </c>
    </row>
    <row r="339" spans="1:8" x14ac:dyDescent="0.25">
      <c r="A339" s="101">
        <v>2021</v>
      </c>
      <c r="B339" s="101" t="s">
        <v>594</v>
      </c>
      <c r="C339" s="453">
        <v>44378</v>
      </c>
      <c r="D339" s="459">
        <v>0</v>
      </c>
      <c r="E339" s="459">
        <v>0</v>
      </c>
      <c r="F339" s="459">
        <v>0</v>
      </c>
      <c r="G339" s="56" t="s">
        <v>592</v>
      </c>
      <c r="H339" s="56" t="s">
        <v>592</v>
      </c>
    </row>
    <row r="340" spans="1:8" x14ac:dyDescent="0.25">
      <c r="A340" s="101">
        <v>2021</v>
      </c>
      <c r="B340" s="101" t="s">
        <v>594</v>
      </c>
      <c r="C340" s="453">
        <v>44409</v>
      </c>
      <c r="D340" s="459">
        <v>0</v>
      </c>
      <c r="E340" s="459">
        <v>0</v>
      </c>
      <c r="F340" s="459">
        <v>0</v>
      </c>
      <c r="G340" s="56" t="s">
        <v>592</v>
      </c>
      <c r="H340" s="56" t="s">
        <v>592</v>
      </c>
    </row>
    <row r="341" spans="1:8" x14ac:dyDescent="0.25">
      <c r="A341" s="101">
        <v>2021</v>
      </c>
      <c r="B341" s="101" t="s">
        <v>594</v>
      </c>
      <c r="C341" s="453">
        <v>44440</v>
      </c>
      <c r="D341" s="459">
        <v>0</v>
      </c>
      <c r="E341" s="459">
        <v>0</v>
      </c>
      <c r="F341" s="459">
        <v>0</v>
      </c>
      <c r="G341" s="56" t="s">
        <v>592</v>
      </c>
      <c r="H341" s="56" t="s">
        <v>592</v>
      </c>
    </row>
    <row r="342" spans="1:8" x14ac:dyDescent="0.25">
      <c r="A342" s="101">
        <v>2021</v>
      </c>
      <c r="B342" s="101" t="s">
        <v>596</v>
      </c>
      <c r="C342" s="453">
        <v>44470</v>
      </c>
      <c r="D342" s="459">
        <v>0</v>
      </c>
      <c r="E342" s="459">
        <v>0</v>
      </c>
      <c r="F342" s="459">
        <v>0</v>
      </c>
      <c r="G342" s="56" t="s">
        <v>592</v>
      </c>
      <c r="H342" s="56" t="s">
        <v>592</v>
      </c>
    </row>
    <row r="343" spans="1:8" x14ac:dyDescent="0.25">
      <c r="A343" s="101">
        <v>2021</v>
      </c>
      <c r="B343" s="101" t="s">
        <v>596</v>
      </c>
      <c r="C343" s="453">
        <v>44501</v>
      </c>
      <c r="D343" s="459">
        <v>0</v>
      </c>
      <c r="E343" s="459">
        <v>0</v>
      </c>
      <c r="F343" s="459">
        <v>0</v>
      </c>
      <c r="G343" s="56" t="s">
        <v>592</v>
      </c>
      <c r="H343" s="56" t="s">
        <v>592</v>
      </c>
    </row>
    <row r="344" spans="1:8" x14ac:dyDescent="0.25">
      <c r="A344" s="101">
        <v>2021</v>
      </c>
      <c r="B344" s="101" t="s">
        <v>596</v>
      </c>
      <c r="C344" s="453">
        <v>44531</v>
      </c>
      <c r="D344" s="459">
        <v>0</v>
      </c>
      <c r="E344" s="459">
        <v>0</v>
      </c>
      <c r="F344" s="459">
        <v>0</v>
      </c>
      <c r="G344" s="56" t="s">
        <v>592</v>
      </c>
      <c r="H344" s="56" t="s">
        <v>592</v>
      </c>
    </row>
    <row r="345" spans="1:8" x14ac:dyDescent="0.25">
      <c r="A345" s="101">
        <v>2022</v>
      </c>
      <c r="B345" s="101" t="s">
        <v>598</v>
      </c>
      <c r="C345" s="453">
        <v>44562</v>
      </c>
      <c r="D345" s="459">
        <v>0</v>
      </c>
      <c r="E345" s="459">
        <v>0</v>
      </c>
      <c r="F345" s="459">
        <v>0</v>
      </c>
      <c r="G345" s="56" t="s">
        <v>592</v>
      </c>
      <c r="H345" s="56" t="s">
        <v>592</v>
      </c>
    </row>
    <row r="346" spans="1:8" x14ac:dyDescent="0.25">
      <c r="A346" s="101">
        <v>2022</v>
      </c>
      <c r="B346" s="101" t="s">
        <v>598</v>
      </c>
      <c r="C346" s="453">
        <v>44593</v>
      </c>
      <c r="D346" s="459">
        <v>0</v>
      </c>
      <c r="E346" s="459">
        <v>0</v>
      </c>
      <c r="F346" s="459">
        <v>0</v>
      </c>
      <c r="G346" s="56" t="s">
        <v>592</v>
      </c>
      <c r="H346" s="56" t="s">
        <v>592</v>
      </c>
    </row>
    <row r="347" spans="1:8" x14ac:dyDescent="0.25">
      <c r="A347" s="101">
        <v>2022</v>
      </c>
      <c r="B347" s="101" t="s">
        <v>598</v>
      </c>
      <c r="C347" s="453">
        <v>44621</v>
      </c>
      <c r="D347" s="459">
        <v>0</v>
      </c>
      <c r="E347" s="459">
        <v>0</v>
      </c>
      <c r="F347" s="459">
        <v>0</v>
      </c>
      <c r="G347" s="56" t="s">
        <v>592</v>
      </c>
      <c r="H347" s="56" t="s">
        <v>592</v>
      </c>
    </row>
    <row r="348" spans="1:8" x14ac:dyDescent="0.25">
      <c r="A348" s="101">
        <v>2022</v>
      </c>
      <c r="B348" s="101" t="s">
        <v>600</v>
      </c>
      <c r="C348" s="453">
        <v>44652</v>
      </c>
      <c r="D348" s="459">
        <v>0</v>
      </c>
      <c r="E348" s="459">
        <v>0</v>
      </c>
      <c r="F348" s="459">
        <v>0</v>
      </c>
      <c r="G348" s="56" t="s">
        <v>592</v>
      </c>
      <c r="H348" s="56" t="s">
        <v>592</v>
      </c>
    </row>
    <row r="349" spans="1:8" x14ac:dyDescent="0.25">
      <c r="A349" s="101">
        <v>2022</v>
      </c>
      <c r="B349" s="101" t="s">
        <v>600</v>
      </c>
      <c r="C349" s="453">
        <v>44682</v>
      </c>
      <c r="D349" s="459">
        <v>0</v>
      </c>
      <c r="E349" s="459">
        <v>0</v>
      </c>
      <c r="F349" s="459">
        <v>0</v>
      </c>
      <c r="G349" s="56" t="s">
        <v>592</v>
      </c>
      <c r="H349" s="56" t="s">
        <v>592</v>
      </c>
    </row>
    <row r="350" spans="1:8" x14ac:dyDescent="0.25">
      <c r="A350" s="101">
        <v>2022</v>
      </c>
      <c r="B350" s="101" t="s">
        <v>600</v>
      </c>
      <c r="C350" s="453">
        <v>44713</v>
      </c>
      <c r="D350" s="459">
        <v>0</v>
      </c>
      <c r="E350" s="459">
        <v>0</v>
      </c>
      <c r="F350" s="459">
        <v>0</v>
      </c>
      <c r="G350" s="56" t="s">
        <v>592</v>
      </c>
      <c r="H350" s="56" t="s">
        <v>592</v>
      </c>
    </row>
    <row r="351" spans="1:8" x14ac:dyDescent="0.25">
      <c r="A351" s="101">
        <v>2022</v>
      </c>
      <c r="B351" s="101" t="s">
        <v>602</v>
      </c>
      <c r="C351" s="453">
        <v>44743</v>
      </c>
      <c r="D351" s="459">
        <v>0</v>
      </c>
      <c r="E351" s="459">
        <v>0</v>
      </c>
      <c r="F351" s="459">
        <v>0</v>
      </c>
      <c r="G351" s="56" t="s">
        <v>592</v>
      </c>
      <c r="H351" s="56" t="s">
        <v>592</v>
      </c>
    </row>
    <row r="352" spans="1:8" x14ac:dyDescent="0.25">
      <c r="A352" s="101">
        <v>2022</v>
      </c>
      <c r="B352" s="101" t="s">
        <v>602</v>
      </c>
      <c r="C352" s="453">
        <v>44774</v>
      </c>
      <c r="D352" s="459">
        <v>0</v>
      </c>
      <c r="E352" s="459">
        <v>0</v>
      </c>
      <c r="F352" s="459">
        <v>0</v>
      </c>
      <c r="G352" s="56" t="s">
        <v>592</v>
      </c>
      <c r="H352" s="56" t="s">
        <v>592</v>
      </c>
    </row>
    <row r="353" spans="1:8" x14ac:dyDescent="0.25">
      <c r="A353" s="101">
        <v>2022</v>
      </c>
      <c r="B353" s="101" t="s">
        <v>602</v>
      </c>
      <c r="C353" s="453">
        <v>44805</v>
      </c>
      <c r="D353" s="459">
        <v>0</v>
      </c>
      <c r="E353" s="459">
        <v>0</v>
      </c>
      <c r="F353" s="459">
        <v>0</v>
      </c>
      <c r="G353" s="56" t="s">
        <v>592</v>
      </c>
      <c r="H353" s="56" t="s">
        <v>592</v>
      </c>
    </row>
    <row r="354" spans="1:8" x14ac:dyDescent="0.25">
      <c r="A354" s="101">
        <v>2022</v>
      </c>
      <c r="B354" s="101" t="s">
        <v>604</v>
      </c>
      <c r="C354" s="453">
        <v>44835</v>
      </c>
      <c r="D354" s="459">
        <v>0</v>
      </c>
      <c r="E354" s="459">
        <v>0</v>
      </c>
      <c r="F354" s="459">
        <v>0</v>
      </c>
      <c r="G354" s="56" t="s">
        <v>592</v>
      </c>
      <c r="H354" s="56" t="s">
        <v>592</v>
      </c>
    </row>
    <row r="355" spans="1:8" x14ac:dyDescent="0.25">
      <c r="A355" s="101">
        <v>2022</v>
      </c>
      <c r="B355" s="101" t="s">
        <v>604</v>
      </c>
      <c r="C355" s="453">
        <v>44866</v>
      </c>
      <c r="D355" s="459">
        <v>0</v>
      </c>
      <c r="E355" s="459">
        <v>0</v>
      </c>
      <c r="F355" s="459">
        <v>0</v>
      </c>
      <c r="G355" s="56" t="s">
        <v>592</v>
      </c>
      <c r="H355" s="56" t="s">
        <v>592</v>
      </c>
    </row>
    <row r="356" spans="1:8" x14ac:dyDescent="0.25">
      <c r="A356" s="101">
        <v>2022</v>
      </c>
      <c r="B356" s="101" t="s">
        <v>604</v>
      </c>
      <c r="C356" s="453">
        <v>44896</v>
      </c>
      <c r="D356" s="459">
        <v>0</v>
      </c>
      <c r="E356" s="459">
        <v>0</v>
      </c>
      <c r="F356" s="459">
        <v>0</v>
      </c>
      <c r="G356" s="56" t="s">
        <v>592</v>
      </c>
      <c r="H356" s="56" t="s">
        <v>592</v>
      </c>
    </row>
    <row r="357" spans="1:8" x14ac:dyDescent="0.25">
      <c r="A357" s="101">
        <v>2023</v>
      </c>
      <c r="B357" s="101" t="s">
        <v>606</v>
      </c>
      <c r="C357" s="453">
        <v>44927</v>
      </c>
      <c r="D357" s="459">
        <v>0</v>
      </c>
      <c r="E357" s="459">
        <v>0</v>
      </c>
      <c r="F357" s="459">
        <v>0</v>
      </c>
      <c r="G357" s="56" t="s">
        <v>592</v>
      </c>
      <c r="H357" s="56" t="s">
        <v>592</v>
      </c>
    </row>
    <row r="358" spans="1:8" x14ac:dyDescent="0.25">
      <c r="A358" s="101">
        <v>2023</v>
      </c>
      <c r="B358" s="101" t="s">
        <v>606</v>
      </c>
      <c r="C358" s="453">
        <v>44958</v>
      </c>
      <c r="D358" s="459">
        <v>0</v>
      </c>
      <c r="E358" s="459">
        <v>0</v>
      </c>
      <c r="F358" s="459">
        <v>0</v>
      </c>
      <c r="G358" s="56" t="s">
        <v>592</v>
      </c>
      <c r="H358" s="56" t="s">
        <v>592</v>
      </c>
    </row>
    <row r="359" spans="1:8" x14ac:dyDescent="0.25">
      <c r="A359" s="101">
        <v>2023</v>
      </c>
      <c r="B359" s="101" t="s">
        <v>606</v>
      </c>
      <c r="C359" s="453">
        <v>44986</v>
      </c>
      <c r="D359" s="459">
        <v>0</v>
      </c>
      <c r="E359" s="459">
        <v>0</v>
      </c>
      <c r="F359" s="459">
        <v>0</v>
      </c>
      <c r="G359" s="56" t="s">
        <v>592</v>
      </c>
      <c r="H359" s="56" t="s">
        <v>592</v>
      </c>
    </row>
    <row r="360" spans="1:8" x14ac:dyDescent="0.25">
      <c r="A360" s="101">
        <v>2023</v>
      </c>
      <c r="B360" s="101" t="s">
        <v>608</v>
      </c>
      <c r="C360" s="453">
        <v>45017</v>
      </c>
      <c r="D360" s="459">
        <v>0</v>
      </c>
      <c r="E360" s="459">
        <v>0</v>
      </c>
      <c r="F360" s="459">
        <v>0</v>
      </c>
      <c r="G360" s="56" t="s">
        <v>592</v>
      </c>
      <c r="H360" s="56" t="s">
        <v>592</v>
      </c>
    </row>
    <row r="361" spans="1:8" x14ac:dyDescent="0.25">
      <c r="A361" s="101">
        <v>2023</v>
      </c>
      <c r="B361" s="101" t="s">
        <v>608</v>
      </c>
      <c r="C361" s="453">
        <v>45047</v>
      </c>
      <c r="D361" s="459">
        <v>0</v>
      </c>
      <c r="E361" s="459">
        <v>0</v>
      </c>
      <c r="F361" s="459">
        <v>0</v>
      </c>
      <c r="G361" s="56" t="s">
        <v>592</v>
      </c>
      <c r="H361" s="56" t="s">
        <v>592</v>
      </c>
    </row>
    <row r="362" spans="1:8" x14ac:dyDescent="0.25">
      <c r="A362" s="101">
        <v>2023</v>
      </c>
      <c r="B362" s="101" t="s">
        <v>608</v>
      </c>
      <c r="C362" s="453">
        <v>45078</v>
      </c>
      <c r="D362" s="459">
        <v>63.829194346631176</v>
      </c>
      <c r="E362" s="459">
        <v>115650.53162996272</v>
      </c>
      <c r="F362" s="459">
        <v>2.3316299627185799</v>
      </c>
      <c r="G362" s="56">
        <v>0.63518376602695281</v>
      </c>
      <c r="H362" s="56">
        <v>0.66499701306714676</v>
      </c>
    </row>
    <row r="363" spans="1:8" x14ac:dyDescent="0.25">
      <c r="A363" s="101">
        <v>2023</v>
      </c>
      <c r="B363" s="101" t="s">
        <v>610</v>
      </c>
      <c r="C363" s="453">
        <v>45108</v>
      </c>
      <c r="D363" s="459">
        <v>175.46327800334058</v>
      </c>
      <c r="E363" s="459">
        <v>352636.55603873631</v>
      </c>
      <c r="F363" s="459">
        <v>-332.1339612636948</v>
      </c>
      <c r="G363" s="56">
        <v>0.93049759975626833</v>
      </c>
      <c r="H363" s="56">
        <v>0.97750972484940013</v>
      </c>
    </row>
    <row r="364" spans="1:8" x14ac:dyDescent="0.25">
      <c r="A364" s="101">
        <v>2023</v>
      </c>
      <c r="B364" s="101" t="s">
        <v>610</v>
      </c>
      <c r="C364" s="453">
        <v>45139</v>
      </c>
      <c r="D364" s="459">
        <v>298.87565369630261</v>
      </c>
      <c r="E364" s="459">
        <v>569527.53758074425</v>
      </c>
      <c r="F364" s="459">
        <v>-1221.4324192557251</v>
      </c>
      <c r="G364" s="56">
        <v>1.0961373146150866</v>
      </c>
      <c r="H364" s="56">
        <v>1.1965043067351258</v>
      </c>
    </row>
    <row r="365" spans="1:8" x14ac:dyDescent="0.25">
      <c r="A365" s="101">
        <v>2023</v>
      </c>
      <c r="B365" s="101" t="s">
        <v>610</v>
      </c>
      <c r="C365" s="453">
        <v>45170</v>
      </c>
      <c r="D365" s="459">
        <v>396.14264465784612</v>
      </c>
      <c r="E365" s="459">
        <v>773240.69834507187</v>
      </c>
      <c r="F365" s="459">
        <v>-4228.1216549280798</v>
      </c>
      <c r="G365" s="56">
        <v>0.98619381369619896</v>
      </c>
      <c r="H365" s="56">
        <v>1.0486973503899506</v>
      </c>
    </row>
    <row r="366" spans="1:8" x14ac:dyDescent="0.25">
      <c r="A366" s="101">
        <v>2023</v>
      </c>
      <c r="B366" s="101" t="s">
        <v>612</v>
      </c>
      <c r="C366" s="453">
        <v>45200</v>
      </c>
      <c r="D366" s="459">
        <v>613.80195369996864</v>
      </c>
      <c r="E366" s="459">
        <v>1104633.2138052131</v>
      </c>
      <c r="F366" s="459">
        <v>-11229.296194786904</v>
      </c>
      <c r="G366" s="56">
        <v>1.3026145564649465</v>
      </c>
      <c r="H366" s="56">
        <v>1.4261280214037428</v>
      </c>
    </row>
    <row r="367" spans="1:8" x14ac:dyDescent="0.25">
      <c r="A367" s="101">
        <v>2023</v>
      </c>
      <c r="B367" s="101" t="s">
        <v>612</v>
      </c>
      <c r="C367" s="453">
        <v>45231</v>
      </c>
      <c r="D367" s="459">
        <v>789.4073059433664</v>
      </c>
      <c r="E367" s="459">
        <v>1445056.5798829529</v>
      </c>
      <c r="F367" s="459">
        <v>-22560.940117047168</v>
      </c>
      <c r="G367" s="56">
        <v>0.90005667339091733</v>
      </c>
      <c r="H367" s="56">
        <v>1.014045691753789</v>
      </c>
    </row>
    <row r="368" spans="1:8" x14ac:dyDescent="0.25">
      <c r="A368" s="101">
        <v>2023</v>
      </c>
      <c r="B368" s="101" t="s">
        <v>612</v>
      </c>
      <c r="C368" s="453">
        <v>45261</v>
      </c>
      <c r="D368" s="459">
        <v>1024.4994559351519</v>
      </c>
      <c r="E368" s="459">
        <v>1701166.8198472264</v>
      </c>
      <c r="F368" s="459">
        <v>-48216.583728939993</v>
      </c>
      <c r="G368" s="56">
        <v>0.81653701707060966</v>
      </c>
      <c r="H368" s="56">
        <v>0.95660856210603762</v>
      </c>
    </row>
    <row r="369" spans="1:8" x14ac:dyDescent="0.25">
      <c r="A369" s="101">
        <v>2024</v>
      </c>
      <c r="B369" s="101" t="s">
        <v>614</v>
      </c>
      <c r="C369" s="453">
        <v>45292</v>
      </c>
      <c r="D369" s="459">
        <v>1128.4089996506473</v>
      </c>
      <c r="E369" s="459">
        <v>1782373.7519405612</v>
      </c>
      <c r="F369" s="459">
        <v>-65113.715710469289</v>
      </c>
      <c r="G369" s="56">
        <v>0.63139810119962791</v>
      </c>
      <c r="H369" s="56">
        <v>0.72606333950575175</v>
      </c>
    </row>
    <row r="370" spans="1:8" x14ac:dyDescent="0.25">
      <c r="A370" s="101">
        <v>2024</v>
      </c>
      <c r="B370" s="101" t="s">
        <v>614</v>
      </c>
      <c r="C370" s="453">
        <v>45323</v>
      </c>
      <c r="D370" s="459">
        <v>961.15713123272451</v>
      </c>
      <c r="E370" s="459">
        <v>1426374.0234681796</v>
      </c>
      <c r="F370" s="459">
        <v>-69337.325359063921</v>
      </c>
      <c r="G370" s="56">
        <v>0.86236257238809788</v>
      </c>
      <c r="H370" s="56">
        <v>1.0204977016954235</v>
      </c>
    </row>
    <row r="371" spans="1:8" x14ac:dyDescent="0.25">
      <c r="A371" s="101">
        <v>2024</v>
      </c>
      <c r="B371" s="101" t="s">
        <v>614</v>
      </c>
      <c r="C371" s="453">
        <v>45352</v>
      </c>
      <c r="D371" s="459">
        <v>1076.0386804240443</v>
      </c>
      <c r="E371" s="459">
        <v>1553977.5099779342</v>
      </c>
      <c r="F371" s="459">
        <v>-103517.71002206579</v>
      </c>
      <c r="G371" s="56">
        <v>0.63618024500374926</v>
      </c>
      <c r="H371" s="56">
        <v>0.68770637641676591</v>
      </c>
    </row>
    <row r="372" spans="1:8" x14ac:dyDescent="0.25">
      <c r="A372" s="101">
        <v>2024</v>
      </c>
      <c r="B372" s="101" t="s">
        <v>616</v>
      </c>
      <c r="C372" s="453">
        <v>45383</v>
      </c>
      <c r="D372" s="459">
        <v>906.82201291235651</v>
      </c>
      <c r="E372" s="459">
        <v>1306137.3609040212</v>
      </c>
      <c r="F372" s="459">
        <v>537154.22090402024</v>
      </c>
      <c r="G372" s="56">
        <v>0.71146063833127993</v>
      </c>
      <c r="H372" s="56">
        <v>0.71146063833127993</v>
      </c>
    </row>
    <row r="373" spans="1:8" x14ac:dyDescent="0.25">
      <c r="A373" s="101">
        <v>2024</v>
      </c>
      <c r="B373" s="101" t="s">
        <v>616</v>
      </c>
      <c r="C373" s="453">
        <v>45413</v>
      </c>
      <c r="D373" s="459">
        <v>0</v>
      </c>
      <c r="E373" s="459">
        <v>0</v>
      </c>
      <c r="F373" s="459">
        <v>0</v>
      </c>
      <c r="G373" s="56" t="s">
        <v>592</v>
      </c>
      <c r="H373" s="56" t="s">
        <v>592</v>
      </c>
    </row>
    <row r="374" spans="1:8" x14ac:dyDescent="0.25">
      <c r="A374" s="101">
        <v>2024</v>
      </c>
      <c r="B374" s="101" t="s">
        <v>616</v>
      </c>
      <c r="C374" s="453">
        <v>45444</v>
      </c>
      <c r="D374" s="459">
        <v>0</v>
      </c>
      <c r="E374" s="459">
        <v>0</v>
      </c>
      <c r="F374" s="459">
        <v>0</v>
      </c>
      <c r="G374" s="56" t="s">
        <v>592</v>
      </c>
      <c r="H374" s="56" t="s">
        <v>592</v>
      </c>
    </row>
    <row r="375" spans="1:8" x14ac:dyDescent="0.25">
      <c r="A375" s="101">
        <v>2024</v>
      </c>
      <c r="B375" s="101" t="s">
        <v>622</v>
      </c>
      <c r="C375" s="453">
        <v>45474</v>
      </c>
      <c r="D375" s="459">
        <v>0</v>
      </c>
      <c r="E375" s="459">
        <v>0</v>
      </c>
      <c r="F375" s="459">
        <v>0</v>
      </c>
      <c r="G375" s="56" t="s">
        <v>592</v>
      </c>
      <c r="H375" s="56" t="s">
        <v>592</v>
      </c>
    </row>
    <row r="376" spans="1:8" x14ac:dyDescent="0.25">
      <c r="A376" s="101">
        <v>2024</v>
      </c>
      <c r="B376" s="101" t="s">
        <v>622</v>
      </c>
      <c r="C376" s="453">
        <v>45505</v>
      </c>
      <c r="D376" s="459">
        <v>0</v>
      </c>
      <c r="E376" s="459">
        <v>0</v>
      </c>
      <c r="F376" s="459">
        <v>0</v>
      </c>
      <c r="G376" s="56" t="s">
        <v>592</v>
      </c>
      <c r="H376" s="56" t="s">
        <v>592</v>
      </c>
    </row>
    <row r="377" spans="1:8" x14ac:dyDescent="0.25">
      <c r="A377" s="101">
        <v>2024</v>
      </c>
      <c r="B377" s="101" t="s">
        <v>622</v>
      </c>
      <c r="C377" s="453">
        <v>45536</v>
      </c>
      <c r="D377" s="459">
        <v>0</v>
      </c>
      <c r="E377" s="459">
        <v>0</v>
      </c>
      <c r="F377" s="459">
        <v>0</v>
      </c>
      <c r="G377" s="56" t="s">
        <v>592</v>
      </c>
      <c r="H377" s="56" t="s">
        <v>592</v>
      </c>
    </row>
    <row r="378" spans="1:8" x14ac:dyDescent="0.25">
      <c r="A378" s="101">
        <v>2024</v>
      </c>
      <c r="B378" s="101" t="s">
        <v>623</v>
      </c>
      <c r="C378" s="453">
        <v>45566</v>
      </c>
      <c r="D378" s="459">
        <v>0</v>
      </c>
      <c r="E378" s="459">
        <v>0</v>
      </c>
      <c r="F378" s="459">
        <v>0</v>
      </c>
      <c r="G378" s="56" t="s">
        <v>592</v>
      </c>
      <c r="H378" s="56" t="s">
        <v>592</v>
      </c>
    </row>
    <row r="379" spans="1:8" x14ac:dyDescent="0.25">
      <c r="A379" s="101">
        <v>2024</v>
      </c>
      <c r="B379" s="101" t="s">
        <v>623</v>
      </c>
      <c r="C379" s="453">
        <v>45597</v>
      </c>
      <c r="D379" s="459">
        <v>0</v>
      </c>
      <c r="E379" s="459">
        <v>0</v>
      </c>
      <c r="F379" s="459">
        <v>0</v>
      </c>
      <c r="G379" s="56" t="s">
        <v>592</v>
      </c>
      <c r="H379" s="56" t="s">
        <v>592</v>
      </c>
    </row>
    <row r="380" spans="1:8" x14ac:dyDescent="0.25">
      <c r="A380" s="101">
        <v>2024</v>
      </c>
      <c r="B380" s="101" t="s">
        <v>623</v>
      </c>
      <c r="C380" s="453">
        <v>45627</v>
      </c>
      <c r="D380" s="459">
        <v>0</v>
      </c>
      <c r="E380" s="459">
        <v>0</v>
      </c>
      <c r="F380" s="459">
        <v>0</v>
      </c>
      <c r="G380" s="56" t="s">
        <v>592</v>
      </c>
      <c r="H380" s="56" t="s">
        <v>592</v>
      </c>
    </row>
    <row r="381" spans="1:8" x14ac:dyDescent="0.25">
      <c r="A381" s="101">
        <v>2025</v>
      </c>
      <c r="B381" s="101" t="s">
        <v>624</v>
      </c>
      <c r="C381" s="453">
        <v>45658</v>
      </c>
      <c r="D381" s="459">
        <v>0</v>
      </c>
      <c r="E381" s="459">
        <v>0</v>
      </c>
      <c r="F381" s="459">
        <v>0</v>
      </c>
      <c r="G381" s="56" t="s">
        <v>592</v>
      </c>
      <c r="H381" s="56" t="s">
        <v>592</v>
      </c>
    </row>
    <row r="382" spans="1:8" x14ac:dyDescent="0.25">
      <c r="A382" s="101">
        <v>2025</v>
      </c>
      <c r="B382" s="101" t="s">
        <v>624</v>
      </c>
      <c r="C382" s="453">
        <v>45689</v>
      </c>
      <c r="D382" s="459">
        <v>0</v>
      </c>
      <c r="E382" s="459">
        <v>0</v>
      </c>
      <c r="F382" s="459">
        <v>0</v>
      </c>
      <c r="G382" s="56" t="s">
        <v>592</v>
      </c>
      <c r="H382" s="56" t="s">
        <v>592</v>
      </c>
    </row>
    <row r="383" spans="1:8" x14ac:dyDescent="0.25">
      <c r="A383" s="101">
        <v>2025</v>
      </c>
      <c r="B383" s="101" t="s">
        <v>624</v>
      </c>
      <c r="C383" s="453">
        <v>45717</v>
      </c>
      <c r="D383" s="459">
        <v>0</v>
      </c>
      <c r="E383" s="459">
        <v>0</v>
      </c>
      <c r="F383" s="459">
        <v>0</v>
      </c>
      <c r="G383" s="56" t="s">
        <v>592</v>
      </c>
      <c r="H383" s="56" t="s">
        <v>592</v>
      </c>
    </row>
    <row r="384" spans="1:8" x14ac:dyDescent="0.25">
      <c r="A384" s="101">
        <v>2025</v>
      </c>
      <c r="B384" s="101" t="s">
        <v>625</v>
      </c>
      <c r="C384" s="453">
        <v>45748</v>
      </c>
      <c r="D384" s="459">
        <v>0</v>
      </c>
      <c r="E384" s="459">
        <v>0</v>
      </c>
      <c r="F384" s="459">
        <v>0</v>
      </c>
      <c r="G384" s="56" t="s">
        <v>592</v>
      </c>
      <c r="H384" s="56" t="s">
        <v>592</v>
      </c>
    </row>
    <row r="385" spans="1:8" x14ac:dyDescent="0.25">
      <c r="A385" s="101">
        <v>2025</v>
      </c>
      <c r="B385" s="101" t="s">
        <v>625</v>
      </c>
      <c r="C385" s="453">
        <v>45778</v>
      </c>
      <c r="D385" s="459">
        <v>0</v>
      </c>
      <c r="E385" s="459">
        <v>0</v>
      </c>
      <c r="F385" s="459">
        <v>0</v>
      </c>
      <c r="G385" s="56" t="s">
        <v>592</v>
      </c>
      <c r="H385" s="56" t="s">
        <v>592</v>
      </c>
    </row>
    <row r="386" spans="1:8" x14ac:dyDescent="0.25">
      <c r="A386" s="101">
        <v>2025</v>
      </c>
      <c r="B386" s="101" t="s">
        <v>625</v>
      </c>
      <c r="C386" s="453">
        <v>45809</v>
      </c>
      <c r="D386" s="459">
        <v>0</v>
      </c>
      <c r="E386" s="459">
        <v>0</v>
      </c>
      <c r="F386" s="459">
        <v>0</v>
      </c>
      <c r="G386" s="56" t="s">
        <v>592</v>
      </c>
      <c r="H386" s="56" t="s">
        <v>592</v>
      </c>
    </row>
    <row r="387" spans="1:8" x14ac:dyDescent="0.25">
      <c r="A387" s="101">
        <v>2025</v>
      </c>
      <c r="B387" s="101" t="s">
        <v>626</v>
      </c>
      <c r="C387" s="453">
        <v>45839</v>
      </c>
      <c r="D387" s="459">
        <v>0</v>
      </c>
      <c r="E387" s="459">
        <v>0</v>
      </c>
      <c r="F387" s="459">
        <v>0</v>
      </c>
      <c r="G387" s="56" t="s">
        <v>592</v>
      </c>
      <c r="H387" s="56" t="s">
        <v>592</v>
      </c>
    </row>
    <row r="388" spans="1:8" x14ac:dyDescent="0.25">
      <c r="A388" s="101">
        <v>2025</v>
      </c>
      <c r="B388" s="101" t="s">
        <v>626</v>
      </c>
      <c r="C388" s="453">
        <v>45870</v>
      </c>
      <c r="D388" s="459">
        <v>0</v>
      </c>
      <c r="E388" s="459">
        <v>0</v>
      </c>
      <c r="F388" s="459">
        <v>0</v>
      </c>
      <c r="G388" s="56" t="s">
        <v>592</v>
      </c>
      <c r="H388" s="56" t="s">
        <v>592</v>
      </c>
    </row>
    <row r="389" spans="1:8" x14ac:dyDescent="0.25">
      <c r="A389" s="101">
        <v>2025</v>
      </c>
      <c r="B389" s="101" t="s">
        <v>626</v>
      </c>
      <c r="C389" s="453">
        <v>45901</v>
      </c>
      <c r="D389" s="459">
        <v>0</v>
      </c>
      <c r="E389" s="459">
        <v>0</v>
      </c>
      <c r="F389" s="459">
        <v>0</v>
      </c>
      <c r="G389" s="56" t="s">
        <v>592</v>
      </c>
      <c r="H389" s="56" t="s">
        <v>592</v>
      </c>
    </row>
    <row r="390" spans="1:8" x14ac:dyDescent="0.25">
      <c r="A390" s="101">
        <v>2025</v>
      </c>
      <c r="B390" s="101" t="s">
        <v>627</v>
      </c>
      <c r="C390" s="453">
        <v>45931</v>
      </c>
      <c r="D390" s="459">
        <v>0</v>
      </c>
      <c r="E390" s="459">
        <v>0</v>
      </c>
      <c r="F390" s="459">
        <v>0</v>
      </c>
      <c r="G390" s="56" t="s">
        <v>592</v>
      </c>
      <c r="H390" s="56" t="s">
        <v>592</v>
      </c>
    </row>
    <row r="391" spans="1:8" x14ac:dyDescent="0.25">
      <c r="A391" s="101">
        <v>2025</v>
      </c>
      <c r="B391" s="101" t="s">
        <v>627</v>
      </c>
      <c r="C391" s="453">
        <v>45962</v>
      </c>
      <c r="D391" s="459">
        <v>0</v>
      </c>
      <c r="E391" s="459">
        <v>0</v>
      </c>
      <c r="F391" s="459">
        <v>0</v>
      </c>
      <c r="G391" s="56" t="s">
        <v>592</v>
      </c>
      <c r="H391" s="56" t="s">
        <v>592</v>
      </c>
    </row>
    <row r="392" spans="1:8" x14ac:dyDescent="0.25">
      <c r="A392" s="101">
        <v>2025</v>
      </c>
      <c r="B392" s="101" t="s">
        <v>627</v>
      </c>
      <c r="C392" s="453">
        <v>45992</v>
      </c>
      <c r="D392" s="459">
        <v>0</v>
      </c>
      <c r="E392" s="459">
        <v>0</v>
      </c>
      <c r="F392" s="459">
        <v>0</v>
      </c>
      <c r="G392" s="56" t="s">
        <v>592</v>
      </c>
      <c r="H392" s="56" t="s">
        <v>592</v>
      </c>
    </row>
    <row r="393" spans="1:8" x14ac:dyDescent="0.25">
      <c r="A393" s="101">
        <v>2026</v>
      </c>
      <c r="B393" s="101" t="s">
        <v>628</v>
      </c>
      <c r="C393" s="453">
        <v>46023</v>
      </c>
      <c r="D393" s="459">
        <v>0</v>
      </c>
      <c r="E393" s="459">
        <v>0</v>
      </c>
      <c r="F393" s="459">
        <v>0</v>
      </c>
      <c r="G393" s="56" t="s">
        <v>592</v>
      </c>
      <c r="H393" s="56" t="s">
        <v>592</v>
      </c>
    </row>
    <row r="394" spans="1:8" x14ac:dyDescent="0.25">
      <c r="A394" s="101">
        <v>2026</v>
      </c>
      <c r="B394" s="101" t="s">
        <v>628</v>
      </c>
      <c r="C394" s="453">
        <v>46054</v>
      </c>
      <c r="D394" s="459">
        <v>0</v>
      </c>
      <c r="E394" s="459">
        <v>0</v>
      </c>
      <c r="F394" s="459">
        <v>0</v>
      </c>
      <c r="G394" s="56" t="s">
        <v>592</v>
      </c>
      <c r="H394" s="56" t="s">
        <v>592</v>
      </c>
    </row>
    <row r="395" spans="1:8" x14ac:dyDescent="0.25">
      <c r="A395" s="101">
        <v>2026</v>
      </c>
      <c r="B395" s="101" t="s">
        <v>628</v>
      </c>
      <c r="C395" s="453">
        <v>46082</v>
      </c>
      <c r="D395" s="459">
        <v>0</v>
      </c>
      <c r="E395" s="459">
        <v>0</v>
      </c>
      <c r="F395" s="459">
        <v>0</v>
      </c>
      <c r="G395" s="56" t="s">
        <v>592</v>
      </c>
      <c r="H395" s="56" t="s">
        <v>592</v>
      </c>
    </row>
    <row r="396" spans="1:8" x14ac:dyDescent="0.25">
      <c r="A396" s="101">
        <v>2026</v>
      </c>
      <c r="B396" s="101" t="s">
        <v>629</v>
      </c>
      <c r="C396" s="453">
        <v>46113</v>
      </c>
      <c r="D396" s="459">
        <v>0</v>
      </c>
      <c r="E396" s="459">
        <v>0</v>
      </c>
      <c r="F396" s="459">
        <v>0</v>
      </c>
      <c r="G396" s="56" t="s">
        <v>592</v>
      </c>
      <c r="H396" s="56" t="s">
        <v>592</v>
      </c>
    </row>
    <row r="397" spans="1:8" x14ac:dyDescent="0.25">
      <c r="A397" s="101">
        <v>2026</v>
      </c>
      <c r="B397" s="101" t="s">
        <v>629</v>
      </c>
      <c r="C397" s="453">
        <v>46143</v>
      </c>
      <c r="D397" s="459">
        <v>0</v>
      </c>
      <c r="E397" s="459">
        <v>0</v>
      </c>
      <c r="F397" s="459">
        <v>0</v>
      </c>
      <c r="G397" s="56" t="s">
        <v>592</v>
      </c>
      <c r="H397" s="56" t="s">
        <v>592</v>
      </c>
    </row>
    <row r="398" spans="1:8" x14ac:dyDescent="0.25">
      <c r="A398" s="101">
        <v>2026</v>
      </c>
      <c r="B398" s="101" t="s">
        <v>629</v>
      </c>
      <c r="C398" s="453">
        <v>46174</v>
      </c>
      <c r="D398" s="459">
        <v>0</v>
      </c>
      <c r="E398" s="459">
        <v>0</v>
      </c>
      <c r="F398" s="459">
        <v>0</v>
      </c>
      <c r="G398" s="56" t="s">
        <v>592</v>
      </c>
      <c r="H398" s="56" t="s">
        <v>592</v>
      </c>
    </row>
    <row r="399" spans="1:8" x14ac:dyDescent="0.25">
      <c r="A399" s="101">
        <v>2026</v>
      </c>
      <c r="B399" s="101" t="s">
        <v>630</v>
      </c>
      <c r="C399" s="453">
        <v>46204</v>
      </c>
      <c r="D399" s="459">
        <v>0</v>
      </c>
      <c r="E399" s="459">
        <v>0</v>
      </c>
      <c r="F399" s="459">
        <v>0</v>
      </c>
      <c r="G399" s="56" t="s">
        <v>592</v>
      </c>
      <c r="H399" s="56" t="s">
        <v>592</v>
      </c>
    </row>
    <row r="400" spans="1:8" x14ac:dyDescent="0.25">
      <c r="A400" s="101">
        <v>2026</v>
      </c>
      <c r="B400" s="101" t="s">
        <v>630</v>
      </c>
      <c r="C400" s="453">
        <v>46235</v>
      </c>
      <c r="D400" s="459">
        <v>0</v>
      </c>
      <c r="E400" s="459">
        <v>0</v>
      </c>
      <c r="F400" s="459">
        <v>0</v>
      </c>
      <c r="G400" s="56" t="s">
        <v>592</v>
      </c>
      <c r="H400" s="56" t="s">
        <v>592</v>
      </c>
    </row>
    <row r="401" spans="1:8" x14ac:dyDescent="0.25">
      <c r="A401" s="101">
        <v>2026</v>
      </c>
      <c r="B401" s="101" t="s">
        <v>630</v>
      </c>
      <c r="C401" s="453">
        <v>46266</v>
      </c>
      <c r="D401" s="459">
        <v>0</v>
      </c>
      <c r="E401" s="459">
        <v>0</v>
      </c>
      <c r="F401" s="459">
        <v>0</v>
      </c>
      <c r="G401" s="56" t="s">
        <v>592</v>
      </c>
      <c r="H401" s="56" t="s">
        <v>592</v>
      </c>
    </row>
    <row r="402" spans="1:8" x14ac:dyDescent="0.25">
      <c r="A402" s="101">
        <v>2026</v>
      </c>
      <c r="B402" s="101" t="s">
        <v>631</v>
      </c>
      <c r="C402" s="453">
        <v>46296</v>
      </c>
      <c r="D402" s="459">
        <v>0</v>
      </c>
      <c r="E402" s="459">
        <v>0</v>
      </c>
      <c r="F402" s="459">
        <v>0</v>
      </c>
      <c r="G402" s="56" t="s">
        <v>592</v>
      </c>
      <c r="H402" s="56" t="s">
        <v>592</v>
      </c>
    </row>
    <row r="403" spans="1:8" x14ac:dyDescent="0.25">
      <c r="A403" s="101">
        <v>2026</v>
      </c>
      <c r="B403" s="101" t="s">
        <v>631</v>
      </c>
      <c r="C403" s="453">
        <v>46327</v>
      </c>
      <c r="D403" s="459">
        <v>0</v>
      </c>
      <c r="E403" s="459">
        <v>0</v>
      </c>
      <c r="F403" s="459">
        <v>0</v>
      </c>
      <c r="G403" s="56" t="s">
        <v>592</v>
      </c>
      <c r="H403" s="56" t="s">
        <v>592</v>
      </c>
    </row>
    <row r="404" spans="1:8" x14ac:dyDescent="0.25">
      <c r="A404" s="101">
        <v>2026</v>
      </c>
      <c r="B404" s="101" t="s">
        <v>631</v>
      </c>
      <c r="C404" s="453">
        <v>46357</v>
      </c>
      <c r="D404" s="459">
        <v>0</v>
      </c>
      <c r="E404" s="459">
        <v>0</v>
      </c>
      <c r="F404" s="459">
        <v>0</v>
      </c>
      <c r="G404" s="56" t="s">
        <v>592</v>
      </c>
      <c r="H404" s="56" t="s">
        <v>592</v>
      </c>
    </row>
  </sheetData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47A41-7DF2-4DD3-B74F-E899FD3ECE41}">
  <dimension ref="A1:M78"/>
  <sheetViews>
    <sheetView workbookViewId="0">
      <selection activeCell="B16" sqref="B16"/>
    </sheetView>
  </sheetViews>
  <sheetFormatPr defaultRowHeight="15" x14ac:dyDescent="0.25"/>
  <cols>
    <col min="1" max="1" width="10.42578125" customWidth="1"/>
    <col min="2" max="2" width="10.140625" bestFit="1" customWidth="1"/>
    <col min="3" max="3" width="11.28515625" customWidth="1"/>
    <col min="4" max="4" width="11.140625" customWidth="1"/>
    <col min="5" max="5" width="31.140625" bestFit="1" customWidth="1"/>
    <col min="6" max="6" width="34" bestFit="1" customWidth="1"/>
    <col min="7" max="7" width="24.42578125" bestFit="1" customWidth="1"/>
    <col min="8" max="8" width="23.140625" bestFit="1" customWidth="1"/>
    <col min="9" max="9" width="23.140625" customWidth="1"/>
    <col min="10" max="10" width="21" bestFit="1" customWidth="1"/>
    <col min="11" max="11" width="20.85546875" bestFit="1" customWidth="1"/>
  </cols>
  <sheetData>
    <row r="1" spans="1:11" x14ac:dyDescent="0.25">
      <c r="A1" t="s">
        <v>556</v>
      </c>
      <c r="D1" t="s">
        <v>557</v>
      </c>
    </row>
    <row r="3" spans="1:11" x14ac:dyDescent="0.25">
      <c r="A3" s="47" t="s">
        <v>109</v>
      </c>
    </row>
    <row r="13" spans="1:11" x14ac:dyDescent="0.25">
      <c r="H13" t="s">
        <v>640</v>
      </c>
      <c r="I13" t="s">
        <v>185</v>
      </c>
    </row>
    <row r="14" spans="1:11" x14ac:dyDescent="0.25">
      <c r="A14" s="451" t="s">
        <v>247</v>
      </c>
      <c r="B14" s="452" t="s">
        <v>558</v>
      </c>
      <c r="C14" s="452" t="s">
        <v>559</v>
      </c>
      <c r="D14" s="452" t="s">
        <v>560</v>
      </c>
      <c r="E14" s="452" t="s">
        <v>561</v>
      </c>
      <c r="F14" s="452" t="s">
        <v>562</v>
      </c>
      <c r="G14" s="452" t="s">
        <v>563</v>
      </c>
      <c r="H14" s="452" t="s">
        <v>564</v>
      </c>
      <c r="I14" s="452" t="s">
        <v>565</v>
      </c>
      <c r="J14" s="452" t="s">
        <v>287</v>
      </c>
      <c r="K14" s="452" t="s">
        <v>566</v>
      </c>
    </row>
    <row r="15" spans="1:11" x14ac:dyDescent="0.25">
      <c r="A15" s="453">
        <v>45292</v>
      </c>
      <c r="B15" s="75">
        <f>IF(SUMIFS(Table822[NEP],Table822[UWM],'Reserving Table Data'!$A15)=0,"-",SUMIFS(Table822[NEP],Table822[UWM],'Reserving Table Data'!$A15))</f>
        <v>2888834.63765103</v>
      </c>
      <c r="C15" s="75">
        <f>IF(SUMIFS(Table621[NUEP],Table621[UWM],'Reserving Table Data'!$A15)=0,"-",SUMIFS(Table621[NUEP],Table621[UWM],'Reserving Table Data'!$A15))</f>
        <v>1402264.2535800999</v>
      </c>
      <c r="D15" s="75">
        <f>IF(B15="-","-",B15+C15)</f>
        <v>4291098.8912311299</v>
      </c>
      <c r="E15" s="88" cm="1">
        <f t="array" ref="E15">IFERROR(INDEX('Reserving Static Data'!O$15:O$50,MATCH($A15,'Reserving Static Data'!L$15:L$50,0),0),"-")</f>
        <v>0.74190904385367851</v>
      </c>
      <c r="F15" s="454">
        <f>IF(C15="-","-",((G15*D15)-(B15*E15))/C15)</f>
        <v>0.71112278468833778</v>
      </c>
      <c r="G15" s="88">
        <f>IFERROR((J15*K15)/D15,"-")</f>
        <v>0.73184857407116455</v>
      </c>
      <c r="H15" s="454">
        <v>0.70994369756448561</v>
      </c>
      <c r="I15" s="455">
        <v>3262205.5406420417</v>
      </c>
      <c r="J15" s="75" cm="1">
        <f t="array" ref="J15">IFERROR(INDEX('Reserving Static Data'!E$15:E$134,MATCH($A15,'Reserving Static Data'!C$15:C$134,0),0),"")</f>
        <v>4291098.8912311299</v>
      </c>
      <c r="K15" s="88" cm="1">
        <f t="array" ref="K15">IFERROR(INDEX('Reserving Static Data'!G$15:G$134,MATCH($A15,'Reserving Static Data'!$C$15:$C$134,0),0),"")</f>
        <v>0.73184857407116455</v>
      </c>
    </row>
    <row r="16" spans="1:11" x14ac:dyDescent="0.25">
      <c r="A16" s="453">
        <v>45323</v>
      </c>
      <c r="B16" s="75">
        <f>IF(SUMIFS(Table822[NEP],Table822[UWM],'Reserving Table Data'!$A16)=0,"-",SUMIFS(Table822[NEP],Table822[UWM],'Reserving Table Data'!$A16))</f>
        <v>2661198.798827244</v>
      </c>
      <c r="C16" s="75">
        <f>IF(SUMIFS(Table621[NUEP],Table621[UWM],'Reserving Table Data'!$A16)=0,"-",SUMIFS(Table621[NUEP],Table621[UWM],'Reserving Table Data'!$A16))</f>
        <v>2929923.582488317</v>
      </c>
      <c r="D16" s="75">
        <f t="shared" ref="D16:D26" si="0">IF(B16="-","-",B16+C16)</f>
        <v>5591122.381315561</v>
      </c>
      <c r="E16" s="88" cm="1">
        <f t="array" ref="E16">IFERROR(INDEX('Reserving Static Data'!O$15:O$50,MATCH($A16,'Reserving Static Data'!L$15:L$50,0),0),"-")</f>
        <v>0.81757661519112923</v>
      </c>
      <c r="F16" s="454">
        <f t="shared" ref="F16:F26" si="1">IF(C16="-","-",((G16*D16)-(B16*E16))/C16)</f>
        <v>0.71158962469416376</v>
      </c>
      <c r="G16" s="88">
        <f t="shared" ref="G16:G26" si="2">IFERROR((J16*K16)/D16,"-")</f>
        <v>0.7620361061992732</v>
      </c>
      <c r="H16" s="454">
        <v>0.7075557045873957</v>
      </c>
      <c r="I16" s="455">
        <v>5283002.670942123</v>
      </c>
      <c r="J16" s="75" cm="1">
        <f t="array" ref="J16">IFERROR(INDEX('Reserving Static Data'!E$15:E$134,MATCH($A16,'Reserving Static Data'!C$15:C$134,0),0),"")</f>
        <v>5591122.381315561</v>
      </c>
      <c r="K16" s="88" cm="1">
        <f t="array" ref="K16">IFERROR(INDEX('Reserving Static Data'!G$15:G$134,MATCH($A16,'Reserving Static Data'!$C$15:$C$134,0),0),"")</f>
        <v>0.76203610619927331</v>
      </c>
    </row>
    <row r="17" spans="1:11" x14ac:dyDescent="0.25">
      <c r="A17" s="453">
        <v>45352</v>
      </c>
      <c r="B17" s="75">
        <f>IF(SUMIFS(Table822[NEP],Table822[UWM],'Reserving Table Data'!$A17)=0,"-",SUMIFS(Table822[NEP],Table822[UWM],'Reserving Table Data'!$A17))</f>
        <v>2782708.09</v>
      </c>
      <c r="C17" s="75">
        <f>IF(SUMIFS(Table621[NUEP],Table621[UWM],'Reserving Table Data'!$A17)=0,"-",SUMIFS(Table621[NUEP],Table621[UWM],'Reserving Table Data'!$A17))</f>
        <v>5453412.3842212865</v>
      </c>
      <c r="D17" s="75">
        <f t="shared" si="0"/>
        <v>8236120.4742212864</v>
      </c>
      <c r="E17" s="88" cm="1">
        <f t="array" ref="E17">IFERROR(INDEX('Reserving Static Data'!O$15:O$50,MATCH($A17,'Reserving Static Data'!L$15:L$50,0),0),"-")</f>
        <v>0.67317685928943016</v>
      </c>
      <c r="F17" s="454">
        <f t="shared" si="1"/>
        <v>0.71196309669882496</v>
      </c>
      <c r="G17" s="88">
        <f t="shared" si="2"/>
        <v>0.69885853163598954</v>
      </c>
      <c r="H17" s="454">
        <v>0.70636339373259571</v>
      </c>
      <c r="I17" s="455">
        <v>7028722.699423207</v>
      </c>
      <c r="J17" s="75" cm="1">
        <f t="array" ref="J17">IFERROR(INDEX('Reserving Static Data'!E$15:E$134,MATCH($A17,'Reserving Static Data'!C$15:C$134,0),0),"")</f>
        <v>8236120.4742212864</v>
      </c>
      <c r="K17" s="88" cm="1">
        <f t="array" ref="K17">IFERROR(INDEX('Reserving Static Data'!G$15:G$134,MATCH($A17,'Reserving Static Data'!$C$15:$C$134,0),0),"")</f>
        <v>0.69885853163598954</v>
      </c>
    </row>
    <row r="18" spans="1:11" x14ac:dyDescent="0.25">
      <c r="A18" s="453">
        <v>45383</v>
      </c>
      <c r="B18" s="75">
        <f>IF(SUMIFS(Table822[NEP],Table822[UWM],'Reserving Table Data'!$A18)=0,"-",SUMIFS(Table822[NEP],Table822[UWM],'Reserving Table Data'!$A18))</f>
        <v>1115808.100000001</v>
      </c>
      <c r="C18" s="75">
        <f>IF(SUMIFS(Table621[NUEP],Table621[UWM],'Reserving Table Data'!$A18)=0,"-",SUMIFS(Table621[NUEP],Table621[UWM],'Reserving Table Data'!$A18))</f>
        <v>6277564.4656874631</v>
      </c>
      <c r="D18" s="75">
        <f t="shared" si="0"/>
        <v>7393372.5656874646</v>
      </c>
      <c r="E18" s="88" cm="1">
        <f t="array" ref="E18">IFERROR(INDEX('Reserving Static Data'!O$15:O$50,MATCH($A18,'Reserving Static Data'!L$15:L$50,0),0),"-")</f>
        <v>0.67193844249089063</v>
      </c>
      <c r="F18" s="454">
        <f t="shared" si="1"/>
        <v>0.71293907270711454</v>
      </c>
      <c r="G18" s="88">
        <f t="shared" si="2"/>
        <v>0.70675125586251408</v>
      </c>
      <c r="H18" s="454">
        <v>0.68586579680985005</v>
      </c>
      <c r="I18" s="455">
        <v>7008322.6050258419</v>
      </c>
      <c r="J18" s="75" cm="1">
        <f t="array" ref="J18">IFERROR(INDEX('Reserving Static Data'!E$15:E$134,MATCH($A18,'Reserving Static Data'!C$15:C$134,0),0),"")</f>
        <v>7393372.5656874646</v>
      </c>
      <c r="K18" s="88" cm="1">
        <f t="array" ref="K18">IFERROR(INDEX('Reserving Static Data'!G$15:G$134,MATCH($A18,'Reserving Static Data'!$C$15:$C$134,0),0),"")</f>
        <v>0.70675125586251408</v>
      </c>
    </row>
    <row r="19" spans="1:11" x14ac:dyDescent="0.25">
      <c r="A19" s="453">
        <v>45413</v>
      </c>
      <c r="B19" s="75" t="str">
        <f>IF(SUMIFS(Table822[NEP],Table822[UWM],'Reserving Table Data'!$A19)=0,"-",SUMIFS(Table822[NEP],Table822[UWM],'Reserving Table Data'!$A19))</f>
        <v>-</v>
      </c>
      <c r="C19" s="75" t="str">
        <f>IF(SUMIFS(Table621[NUEP],Table621[UWM],'Reserving Table Data'!$A19)=0,"-",SUMIFS(Table621[NUEP],Table621[UWM],'Reserving Table Data'!$A19))</f>
        <v>-</v>
      </c>
      <c r="D19" s="75" t="str">
        <f t="shared" si="0"/>
        <v>-</v>
      </c>
      <c r="E19" s="88" t="str" cm="1">
        <f t="array" ref="E19">IFERROR(INDEX('Reserving Static Data'!O$15:O$50,MATCH($A19,'Reserving Static Data'!L$15:L$50,0),0),"-")</f>
        <v>-</v>
      </c>
      <c r="F19" s="454" t="str">
        <f t="shared" si="1"/>
        <v>-</v>
      </c>
      <c r="G19" s="88" t="str">
        <f t="shared" si="2"/>
        <v>-</v>
      </c>
      <c r="H19" s="454" t="s">
        <v>491</v>
      </c>
      <c r="I19" s="455" t="s">
        <v>491</v>
      </c>
      <c r="J19" s="75" cm="1">
        <f t="array" ref="J19">IFERROR(INDEX('Reserving Static Data'!E$15:E$134,MATCH($A19,'Reserving Static Data'!C$15:C$134,0),0),"")</f>
        <v>0</v>
      </c>
      <c r="K19" s="88" t="str" cm="1">
        <f t="array" ref="K19">IFERROR(INDEX('Reserving Static Data'!G$15:G$134,MATCH($A19,'Reserving Static Data'!$C$15:$C$134,0),0),"")</f>
        <v/>
      </c>
    </row>
    <row r="20" spans="1:11" x14ac:dyDescent="0.25">
      <c r="A20" s="453">
        <v>45444</v>
      </c>
      <c r="B20" s="75" t="str">
        <f>IF(SUMIFS(Table822[NEP],Table822[UWM],'Reserving Table Data'!$A20)=0,"-",SUMIFS(Table822[NEP],Table822[UWM],'Reserving Table Data'!$A20))</f>
        <v>-</v>
      </c>
      <c r="C20" s="75" t="str">
        <f>IF(SUMIFS(Table621[NUEP],Table621[UWM],'Reserving Table Data'!$A20)=0,"-",SUMIFS(Table621[NUEP],Table621[UWM],'Reserving Table Data'!$A20))</f>
        <v>-</v>
      </c>
      <c r="D20" s="75" t="str">
        <f t="shared" si="0"/>
        <v>-</v>
      </c>
      <c r="E20" s="88" t="str" cm="1">
        <f t="array" ref="E20">IFERROR(INDEX('Reserving Static Data'!O$15:O$50,MATCH($A20,'Reserving Static Data'!L$15:L$50,0),0),"-")</f>
        <v>-</v>
      </c>
      <c r="F20" s="454" t="str">
        <f t="shared" si="1"/>
        <v>-</v>
      </c>
      <c r="G20" s="88" t="str">
        <f t="shared" si="2"/>
        <v>-</v>
      </c>
      <c r="H20" s="454" t="s">
        <v>491</v>
      </c>
      <c r="I20" s="455" t="s">
        <v>491</v>
      </c>
      <c r="J20" s="75" cm="1">
        <f t="array" ref="J20">IFERROR(INDEX('Reserving Static Data'!E$15:E$134,MATCH($A20,'Reserving Static Data'!C$15:C$134,0),0),"")</f>
        <v>0</v>
      </c>
      <c r="K20" s="88" t="str" cm="1">
        <f t="array" ref="K20">IFERROR(INDEX('Reserving Static Data'!G$15:G$134,MATCH($A20,'Reserving Static Data'!$C$15:$C$134,0),0),"")</f>
        <v/>
      </c>
    </row>
    <row r="21" spans="1:11" x14ac:dyDescent="0.25">
      <c r="A21" s="453">
        <v>45474</v>
      </c>
      <c r="B21" s="75" t="str">
        <f>IF(SUMIFS(Table822[NEP],Table822[UWM],'Reserving Table Data'!$A21)=0,"-",SUMIFS(Table822[NEP],Table822[UWM],'Reserving Table Data'!$A21))</f>
        <v>-</v>
      </c>
      <c r="C21" s="75" t="str">
        <f>IF(SUMIFS(Table621[NUEP],Table621[UWM],'Reserving Table Data'!$A21)=0,"-",SUMIFS(Table621[NUEP],Table621[UWM],'Reserving Table Data'!$A21))</f>
        <v>-</v>
      </c>
      <c r="D21" s="75" t="str">
        <f t="shared" si="0"/>
        <v>-</v>
      </c>
      <c r="E21" s="88" t="str" cm="1">
        <f t="array" ref="E21">IFERROR(INDEX('Reserving Static Data'!O$15:O$50,MATCH($A21,'Reserving Static Data'!L$15:L$50,0),0),"-")</f>
        <v>-</v>
      </c>
      <c r="F21" s="454" t="str">
        <f t="shared" si="1"/>
        <v>-</v>
      </c>
      <c r="G21" s="88" t="str">
        <f t="shared" si="2"/>
        <v>-</v>
      </c>
      <c r="H21" s="454" t="s">
        <v>491</v>
      </c>
      <c r="I21" s="455" t="s">
        <v>491</v>
      </c>
      <c r="J21" s="75" cm="1">
        <f t="array" ref="J21">IFERROR(INDEX('Reserving Static Data'!E$15:E$134,MATCH($A21,'Reserving Static Data'!C$15:C$134,0),0),"")</f>
        <v>0</v>
      </c>
      <c r="K21" s="88" t="str" cm="1">
        <f t="array" ref="K21">IFERROR(INDEX('Reserving Static Data'!G$15:G$134,MATCH($A21,'Reserving Static Data'!$C$15:$C$134,0),0),"")</f>
        <v/>
      </c>
    </row>
    <row r="22" spans="1:11" x14ac:dyDescent="0.25">
      <c r="A22" s="453">
        <v>45505</v>
      </c>
      <c r="B22" s="75" t="str">
        <f>IF(SUMIFS(Table822[NEP],Table822[UWM],'Reserving Table Data'!$A22)=0,"-",SUMIFS(Table822[NEP],Table822[UWM],'Reserving Table Data'!$A22))</f>
        <v>-</v>
      </c>
      <c r="C22" s="75" t="str">
        <f>IF(SUMIFS(Table621[NUEP],Table621[UWM],'Reserving Table Data'!$A22)=0,"-",SUMIFS(Table621[NUEP],Table621[UWM],'Reserving Table Data'!$A22))</f>
        <v>-</v>
      </c>
      <c r="D22" s="75" t="str">
        <f t="shared" si="0"/>
        <v>-</v>
      </c>
      <c r="E22" s="88" t="str" cm="1">
        <f t="array" ref="E22">IFERROR(INDEX('Reserving Static Data'!O$15:O$50,MATCH($A22,'Reserving Static Data'!L$15:L$50,0),0),"-")</f>
        <v>-</v>
      </c>
      <c r="F22" s="454" t="str">
        <f t="shared" si="1"/>
        <v>-</v>
      </c>
      <c r="G22" s="88" t="str">
        <f t="shared" si="2"/>
        <v>-</v>
      </c>
      <c r="H22" s="454" t="s">
        <v>491</v>
      </c>
      <c r="I22" s="455" t="s">
        <v>491</v>
      </c>
      <c r="J22" s="75" cm="1">
        <f t="array" ref="J22">IFERROR(INDEX('Reserving Static Data'!E$15:E$134,MATCH($A22,'Reserving Static Data'!C$15:C$134,0),0),"")</f>
        <v>0</v>
      </c>
      <c r="K22" s="88" t="str" cm="1">
        <f t="array" ref="K22">IFERROR(INDEX('Reserving Static Data'!G$15:G$134,MATCH($A22,'Reserving Static Data'!$C$15:$C$134,0),0),"")</f>
        <v/>
      </c>
    </row>
    <row r="23" spans="1:11" x14ac:dyDescent="0.25">
      <c r="A23" s="453">
        <v>45536</v>
      </c>
      <c r="B23" s="75" t="str">
        <f>IF(SUMIFS(Table822[NEP],Table822[UWM],'Reserving Table Data'!$A23)=0,"-",SUMIFS(Table822[NEP],Table822[UWM],'Reserving Table Data'!$A23))</f>
        <v>-</v>
      </c>
      <c r="C23" s="75" t="str">
        <f>IF(SUMIFS(Table621[NUEP],Table621[UWM],'Reserving Table Data'!$A23)=0,"-",SUMIFS(Table621[NUEP],Table621[UWM],'Reserving Table Data'!$A23))</f>
        <v>-</v>
      </c>
      <c r="D23" s="75" t="str">
        <f t="shared" si="0"/>
        <v>-</v>
      </c>
      <c r="E23" s="88" t="str" cm="1">
        <f t="array" ref="E23">IFERROR(INDEX('Reserving Static Data'!O$15:O$50,MATCH($A23,'Reserving Static Data'!L$15:L$50,0),0),"-")</f>
        <v>-</v>
      </c>
      <c r="F23" s="454" t="str">
        <f t="shared" si="1"/>
        <v>-</v>
      </c>
      <c r="G23" s="88" t="str">
        <f t="shared" si="2"/>
        <v>-</v>
      </c>
      <c r="H23" s="454" t="s">
        <v>491</v>
      </c>
      <c r="I23" s="455" t="s">
        <v>491</v>
      </c>
      <c r="J23" s="75" cm="1">
        <f t="array" ref="J23">IFERROR(INDEX('Reserving Static Data'!E$15:E$134,MATCH($A23,'Reserving Static Data'!C$15:C$134,0),0),"")</f>
        <v>0</v>
      </c>
      <c r="K23" s="88" t="str" cm="1">
        <f t="array" ref="K23">IFERROR(INDEX('Reserving Static Data'!G$15:G$134,MATCH($A23,'Reserving Static Data'!$C$15:$C$134,0),0),"")</f>
        <v/>
      </c>
    </row>
    <row r="24" spans="1:11" x14ac:dyDescent="0.25">
      <c r="A24" s="453">
        <v>45566</v>
      </c>
      <c r="B24" s="75" t="str">
        <f>IF(SUMIFS(Table822[NEP],Table822[UWM],'Reserving Table Data'!$A24)=0,"-",SUMIFS(Table822[NEP],Table822[UWM],'Reserving Table Data'!$A24))</f>
        <v>-</v>
      </c>
      <c r="C24" s="75" t="str">
        <f>IF(SUMIFS(Table621[NUEP],Table621[UWM],'Reserving Table Data'!$A24)=0,"-",SUMIFS(Table621[NUEP],Table621[UWM],'Reserving Table Data'!$A24))</f>
        <v>-</v>
      </c>
      <c r="D24" s="75" t="str">
        <f t="shared" si="0"/>
        <v>-</v>
      </c>
      <c r="E24" s="88" t="str" cm="1">
        <f t="array" ref="E24">IFERROR(INDEX('Reserving Static Data'!O$15:O$50,MATCH($A24,'Reserving Static Data'!L$15:L$50,0),0),"-")</f>
        <v>-</v>
      </c>
      <c r="F24" s="454" t="str">
        <f t="shared" si="1"/>
        <v>-</v>
      </c>
      <c r="G24" s="88" t="str">
        <f t="shared" si="2"/>
        <v>-</v>
      </c>
      <c r="H24" s="454" t="s">
        <v>491</v>
      </c>
      <c r="I24" s="455" t="s">
        <v>491</v>
      </c>
      <c r="J24" s="75" cm="1">
        <f t="array" ref="J24">IFERROR(INDEX('Reserving Static Data'!E$15:E$134,MATCH($A24,'Reserving Static Data'!C$15:C$134,0),0),"")</f>
        <v>0</v>
      </c>
      <c r="K24" s="88" t="str" cm="1">
        <f t="array" ref="K24">IFERROR(INDEX('Reserving Static Data'!G$15:G$134,MATCH($A24,'Reserving Static Data'!$C$15:$C$134,0),0),"")</f>
        <v/>
      </c>
    </row>
    <row r="25" spans="1:11" x14ac:dyDescent="0.25">
      <c r="A25" s="453">
        <v>45597</v>
      </c>
      <c r="B25" s="75" t="str">
        <f>IF(SUMIFS(Table822[NEP],Table822[UWM],'Reserving Table Data'!$A25)=0,"-",SUMIFS(Table822[NEP],Table822[UWM],'Reserving Table Data'!$A25))</f>
        <v>-</v>
      </c>
      <c r="C25" s="75" t="str">
        <f>IF(SUMIFS(Table621[NUEP],Table621[UWM],'Reserving Table Data'!$A25)=0,"-",SUMIFS(Table621[NUEP],Table621[UWM],'Reserving Table Data'!$A25))</f>
        <v>-</v>
      </c>
      <c r="D25" s="75" t="str">
        <f t="shared" si="0"/>
        <v>-</v>
      </c>
      <c r="E25" s="88" t="str" cm="1">
        <f t="array" ref="E25">IFERROR(INDEX('Reserving Static Data'!O$15:O$50,MATCH($A25,'Reserving Static Data'!L$15:L$50,0),0),"-")</f>
        <v>-</v>
      </c>
      <c r="F25" s="454" t="str">
        <f t="shared" si="1"/>
        <v>-</v>
      </c>
      <c r="G25" s="88" t="str">
        <f t="shared" si="2"/>
        <v>-</v>
      </c>
      <c r="H25" s="454" t="s">
        <v>491</v>
      </c>
      <c r="I25" s="455" t="s">
        <v>491</v>
      </c>
      <c r="J25" s="75" cm="1">
        <f t="array" ref="J25">IFERROR(INDEX('Reserving Static Data'!E$15:E$134,MATCH($A25,'Reserving Static Data'!C$15:C$134,0),0),"")</f>
        <v>0</v>
      </c>
      <c r="K25" s="88" t="str" cm="1">
        <f t="array" ref="K25">IFERROR(INDEX('Reserving Static Data'!G$15:G$134,MATCH($A25,'Reserving Static Data'!$C$15:$C$134,0),0),"")</f>
        <v/>
      </c>
    </row>
    <row r="26" spans="1:11" x14ac:dyDescent="0.25">
      <c r="A26" s="453">
        <v>45627</v>
      </c>
      <c r="B26" s="75" t="str">
        <f>IF(SUMIFS(Table822[NEP],Table822[UWM],'Reserving Table Data'!$A26)=0,"-",SUMIFS(Table822[NEP],Table822[UWM],'Reserving Table Data'!$A26))</f>
        <v>-</v>
      </c>
      <c r="C26" s="75" t="str">
        <f>IF(SUMIFS(Table621[NUEP],Table621[UWM],'Reserving Table Data'!$A26)=0,"-",SUMIFS(Table621[NUEP],Table621[UWM],'Reserving Table Data'!$A26))</f>
        <v>-</v>
      </c>
      <c r="D26" s="75" t="str">
        <f t="shared" si="0"/>
        <v>-</v>
      </c>
      <c r="E26" s="88" t="str" cm="1">
        <f t="array" ref="E26">IFERROR(INDEX('Reserving Static Data'!O$15:O$50,MATCH($A26,'Reserving Static Data'!L$15:L$50,0),0),"-")</f>
        <v>-</v>
      </c>
      <c r="F26" s="454" t="str">
        <f t="shared" si="1"/>
        <v>-</v>
      </c>
      <c r="G26" s="88" t="str">
        <f t="shared" si="2"/>
        <v>-</v>
      </c>
      <c r="H26" s="454" t="s">
        <v>491</v>
      </c>
      <c r="I26" s="455" t="s">
        <v>491</v>
      </c>
      <c r="J26" s="75" cm="1">
        <f t="array" ref="J26">IFERROR(INDEX('Reserving Static Data'!E$15:E$134,MATCH($A26,'Reserving Static Data'!C$15:C$134,0),0),"")</f>
        <v>0</v>
      </c>
      <c r="K26" s="88" t="str" cm="1">
        <f t="array" ref="K26">IFERROR(INDEX('Reserving Static Data'!G$15:G$134,MATCH($A26,'Reserving Static Data'!$C$15:$C$134,0),0),"")</f>
        <v/>
      </c>
    </row>
    <row r="29" spans="1:11" x14ac:dyDescent="0.25">
      <c r="A29" s="47" t="s">
        <v>641</v>
      </c>
    </row>
    <row r="38" spans="1:13" x14ac:dyDescent="0.25">
      <c r="H38" s="478" t="s">
        <v>643</v>
      </c>
    </row>
    <row r="39" spans="1:13" x14ac:dyDescent="0.25">
      <c r="H39" t="s">
        <v>642</v>
      </c>
      <c r="L39" t="s">
        <v>186</v>
      </c>
      <c r="M39" t="s">
        <v>354</v>
      </c>
    </row>
    <row r="40" spans="1:13" x14ac:dyDescent="0.25">
      <c r="A40" t="s">
        <v>247</v>
      </c>
      <c r="B40" t="s">
        <v>558</v>
      </c>
      <c r="C40" t="s">
        <v>559</v>
      </c>
      <c r="D40" t="s">
        <v>560</v>
      </c>
      <c r="E40" t="s">
        <v>561</v>
      </c>
      <c r="F40" t="s">
        <v>562</v>
      </c>
      <c r="G40" t="s">
        <v>563</v>
      </c>
      <c r="H40" t="s">
        <v>564</v>
      </c>
      <c r="I40" t="s">
        <v>565</v>
      </c>
      <c r="J40" t="s">
        <v>287</v>
      </c>
      <c r="K40" t="s">
        <v>566</v>
      </c>
      <c r="L40" t="s">
        <v>186</v>
      </c>
      <c r="M40" t="s">
        <v>354</v>
      </c>
    </row>
    <row r="41" spans="1:13" x14ac:dyDescent="0.25">
      <c r="A41" s="453">
        <v>45292</v>
      </c>
      <c r="B41" s="75">
        <f>IF(SUMIFS(Table24[NEP],Table24[UWM],'Reserving Table Data'!$A41)=0,"-",SUMIFS(Table24[NEP],Table24[UWM],'Reserving Table Data'!$A41))</f>
        <v>655492.86</v>
      </c>
      <c r="C41" s="75">
        <f>IF(SUMIFS(Table23[NUEP],Table23[UWM],'Reserving Table Data'!$A41)=0,"-",SUMIFS(Table23[NUEP],Table23[UWM],'Reserving Table Data'!$A41))</f>
        <v>1480746.1125653973</v>
      </c>
      <c r="D41" s="75">
        <f>IF(B41="-","-",B41+C41)</f>
        <v>2136238.9725653972</v>
      </c>
      <c r="E41" s="88" cm="1">
        <f t="array" ref="E41">IFERROR(INDEX(Table24[Total NLR (Net XOL)],MATCH($A41,Table24[UWM],0),0),"-")</f>
        <v>0.87349201188098435</v>
      </c>
      <c r="F41" s="454">
        <f>IF(C41="-","-",((G41*D41)-(B41*E41))/C41)</f>
        <v>0.71071103325769724</v>
      </c>
      <c r="G41" s="88">
        <f>IFERROR((J41*K41)/D41,"-")</f>
        <v>0.76065945691333348</v>
      </c>
      <c r="H41" s="454">
        <v>0.70345749358095044</v>
      </c>
      <c r="I41" s="455">
        <f>IF($B41="-","-",Table25[[#This Row],[PC Annual Direct - Annual_NWP]]+Table25[[#This Row],[PC Annual Direct - Premium Finance_NWP]])</f>
        <v>1235960.0527141613</v>
      </c>
      <c r="J41" s="75" cm="1">
        <f t="array" ref="J41">IFERROR(INDEX(Table23[NWP],MATCH($A41,Table23[UWM],0),0),"")</f>
        <v>2136238.9725653972</v>
      </c>
      <c r="K41" s="88" cm="1">
        <f t="array" ref="K41">IFERROR(INDEX(Table23[Total NLR (Net XOL)],MATCH($A41,Table23[UWM],0),0),"")</f>
        <v>0.76065945691333348</v>
      </c>
      <c r="L41" s="455">
        <v>1235960.0527141613</v>
      </c>
      <c r="M41" s="455">
        <v>0</v>
      </c>
    </row>
    <row r="42" spans="1:13" x14ac:dyDescent="0.25">
      <c r="A42" s="453">
        <v>45323</v>
      </c>
      <c r="B42" s="75">
        <f>IF(SUMIFS(Table24[NEP],Table24[UWM],'Reserving Table Data'!$A42)=0,"-",SUMIFS(Table24[NEP],Table24[UWM],'Reserving Table Data'!$A42))</f>
        <v>901837.75</v>
      </c>
      <c r="C42" s="75">
        <f>IF(SUMIFS(Table23[NUEP],Table23[UWM],'Reserving Table Data'!$A42)=0,"-",SUMIFS(Table23[NUEP],Table23[UWM],'Reserving Table Data'!$A42))</f>
        <v>3011581.6861059638</v>
      </c>
      <c r="D42" s="75">
        <f t="shared" ref="D42:D52" si="3">IF(B42="-","-",B42+C42)</f>
        <v>3913419.4361059638</v>
      </c>
      <c r="E42" s="88" cm="1">
        <f t="array" ref="E42">IFERROR(INDEX(Table24[Total NLR (Net XOL)],MATCH($A42,Table24[UWM],0),0),"-")</f>
        <v>0.62500409281460412</v>
      </c>
      <c r="F42" s="454">
        <f t="shared" ref="F42:F52" si="4">IF(C42="-","-",((G42*D42)-(B42*E42))/C42)</f>
        <v>0.71132804587729959</v>
      </c>
      <c r="G42" s="88">
        <f t="shared" ref="G42:G52" si="5">IFERROR((J42*K42)/D42,"-")</f>
        <v>0.6914349061634969</v>
      </c>
      <c r="H42" s="454">
        <v>0.70345749358095044</v>
      </c>
      <c r="I42" s="455">
        <f>IF($B42="-","-",Table25[[#This Row],[PC Annual Direct - Annual_NWP]]+Table25[[#This Row],[PC Annual Direct - Premium Finance_NWP]])</f>
        <v>3209687.704195444</v>
      </c>
      <c r="J42" s="75" cm="1">
        <f t="array" ref="J42">IFERROR(INDEX(Table23[NWP],MATCH($A42,Table23[UWM],0),0),"")</f>
        <v>3913419.4361059638</v>
      </c>
      <c r="K42" s="88" cm="1">
        <f t="array" ref="K42">IFERROR(INDEX(Table23[Total NLR (Net XOL)],MATCH($A42,Table23[UWM],0),0),"")</f>
        <v>0.6914349061634969</v>
      </c>
      <c r="L42" s="455">
        <v>1333459.558352059</v>
      </c>
      <c r="M42" s="455">
        <v>1876228.145843385</v>
      </c>
    </row>
    <row r="43" spans="1:13" x14ac:dyDescent="0.25">
      <c r="A43" s="453">
        <v>45352</v>
      </c>
      <c r="B43" s="75">
        <f>IF(SUMIFS(Table24[NEP],Table24[UWM],'Reserving Table Data'!$A43)=0,"-",SUMIFS(Table24[NEP],Table24[UWM],'Reserving Table Data'!$A43))</f>
        <v>904655.68</v>
      </c>
      <c r="C43" s="75">
        <f>IF(SUMIFS(Table23[NUEP],Table23[UWM],'Reserving Table Data'!$A43)=0,"-",SUMIFS(Table23[NUEP],Table23[UWM],'Reserving Table Data'!$A43))</f>
        <v>5570851.7026776345</v>
      </c>
      <c r="D43" s="75">
        <f t="shared" si="3"/>
        <v>6475507.3826776342</v>
      </c>
      <c r="E43" s="88" cm="1">
        <f t="array" ref="E43">IFERROR(INDEX(Table24[Total NLR (Net XOL)],MATCH($A43,Table24[UWM],0),0),"-")</f>
        <v>0.69814525075986356</v>
      </c>
      <c r="F43" s="454">
        <f t="shared" si="4"/>
        <v>0.71182165597298164</v>
      </c>
      <c r="G43" s="88">
        <f t="shared" si="5"/>
        <v>0.70991100450941824</v>
      </c>
      <c r="H43" s="454">
        <v>0.70345749358095044</v>
      </c>
      <c r="I43" s="455">
        <f>IF($B43="-","-",Table25[[#This Row],[PC Annual Direct - Annual_NWP]]+Table25[[#This Row],[PC Annual Direct - Premium Finance_NWP]])</f>
        <v>5072820.0524703469</v>
      </c>
      <c r="J43" s="75" cm="1">
        <f t="array" ref="J43">IFERROR(INDEX(Table23[NWP],MATCH($A43,Table23[UWM],0),0),"")</f>
        <v>6475507.3826776342</v>
      </c>
      <c r="K43" s="88" cm="1">
        <f t="array" ref="K43">IFERROR(INDEX(Table23[Total NLR (Net XOL)],MATCH($A43,Table23[UWM],0),0),"")</f>
        <v>0.70991100450941824</v>
      </c>
      <c r="L43" s="455">
        <v>1387558.0023525297</v>
      </c>
      <c r="M43" s="455">
        <v>3685262.0501178172</v>
      </c>
    </row>
    <row r="44" spans="1:13" x14ac:dyDescent="0.25">
      <c r="A44" s="453">
        <v>45383</v>
      </c>
      <c r="B44" s="75">
        <f>IF(SUMIFS(Table24[NEP],Table24[UWM],'Reserving Table Data'!$A44)=0,"-",SUMIFS(Table24[NEP],Table24[UWM],'Reserving Table Data'!$A44))</f>
        <v>282080.21000000002</v>
      </c>
      <c r="C44" s="75">
        <f>IF(SUMIFS(Table23[NUEP],Table23[UWM],'Reserving Table Data'!$A44)=0,"-",SUMIFS(Table23[NUEP],Table23[UWM],'Reserving Table Data'!$A44))</f>
        <v>5693797.7472927459</v>
      </c>
      <c r="D44" s="75">
        <f t="shared" si="3"/>
        <v>5975877.9572927458</v>
      </c>
      <c r="E44" s="88" cm="1">
        <f t="array" ref="E44">IFERROR(INDEX(Table24[Total NLR (Net XOL)],MATCH($A44,Table24[UWM],0),0),"-")</f>
        <v>0.57360180639536218</v>
      </c>
      <c r="F44" s="454">
        <f t="shared" si="4"/>
        <v>0.71222551877853968</v>
      </c>
      <c r="G44" s="88">
        <f t="shared" si="5"/>
        <v>0.70568204413272528</v>
      </c>
      <c r="H44" s="454">
        <v>0.67640143613552928</v>
      </c>
      <c r="I44" s="455">
        <f>IF($B44="-","-",Table25[[#This Row],[PC Annual Direct - Annual_NWP]]+Table25[[#This Row],[PC Annual Direct - Premium Finance_NWP]])</f>
        <v>5239479.5187660325</v>
      </c>
      <c r="J44" s="75" cm="1">
        <f t="array" ref="J44">IFERROR(INDEX(Table23[NWP],MATCH($A44,Table23[UWM],0),0),"")</f>
        <v>5975877.9572927458</v>
      </c>
      <c r="K44" s="88" cm="1">
        <f t="array" ref="K44">IFERROR(INDEX(Table23[Total NLR (Net XOL)],MATCH($A44,Table23[UWM],0),0),"")</f>
        <v>0.70568204413272528</v>
      </c>
      <c r="L44" s="455">
        <v>1433144.0223048357</v>
      </c>
      <c r="M44" s="455">
        <v>3806335.4964611963</v>
      </c>
    </row>
    <row r="45" spans="1:13" x14ac:dyDescent="0.25">
      <c r="A45" s="453">
        <v>45413</v>
      </c>
      <c r="B45" s="75" t="str">
        <f>IF(SUMIFS(Table24[NEP],Table24[UWM],'Reserving Table Data'!$A45)=0,"-",SUMIFS(Table24[NEP],Table24[UWM],'Reserving Table Data'!$A45))</f>
        <v>-</v>
      </c>
      <c r="C45" s="75" t="str">
        <f>IF(SUMIFS(Table23[NUEP],Table23[UWM],'Reserving Table Data'!$A45)=0,"-",SUMIFS(Table23[NUEP],Table23[UWM],'Reserving Table Data'!$A45))</f>
        <v>-</v>
      </c>
      <c r="D45" s="75" t="str">
        <f t="shared" si="3"/>
        <v>-</v>
      </c>
      <c r="E45" s="88" t="str" cm="1">
        <f t="array" ref="E45">IFERROR(INDEX(Table24[Total NLR (Net XOL)],MATCH($A45,Table24[UWM],0),0),"-")</f>
        <v>-</v>
      </c>
      <c r="F45" s="454" t="str">
        <f t="shared" si="4"/>
        <v>-</v>
      </c>
      <c r="G45" s="88" t="str">
        <f t="shared" si="5"/>
        <v>-</v>
      </c>
      <c r="H45" s="454" t="s">
        <v>491</v>
      </c>
      <c r="I45" s="455" t="str">
        <f>IF($B45="-","-",Table25[[#This Row],[PC Annual Direct - Annual_NWP]]+Table25[[#This Row],[PC Annual Direct - Premium Finance_NWP]])</f>
        <v>-</v>
      </c>
      <c r="J45" s="75" cm="1">
        <f t="array" ref="J45">IFERROR(INDEX(Table23[NWP],MATCH($A45,Table23[UWM],0),0),"")</f>
        <v>0</v>
      </c>
      <c r="K45" s="88" t="str" cm="1">
        <f t="array" ref="K45">IFERROR(INDEX(Table23[Total NLR (Net XOL)],MATCH($A45,Table23[UWM],0),0),"")</f>
        <v/>
      </c>
      <c r="L45" s="455" t="s">
        <v>491</v>
      </c>
      <c r="M45" s="455" t="s">
        <v>491</v>
      </c>
    </row>
    <row r="46" spans="1:13" x14ac:dyDescent="0.25">
      <c r="A46" s="453">
        <v>45444</v>
      </c>
      <c r="B46" s="75" t="str">
        <f>IF(SUMIFS(Table24[NEP],Table24[UWM],'Reserving Table Data'!$A46)=0,"-",SUMIFS(Table24[NEP],Table24[UWM],'Reserving Table Data'!$A46))</f>
        <v>-</v>
      </c>
      <c r="C46" s="75" t="str">
        <f>IF(SUMIFS(Table23[NUEP],Table23[UWM],'Reserving Table Data'!$A46)=0,"-",SUMIFS(Table23[NUEP],Table23[UWM],'Reserving Table Data'!$A46))</f>
        <v>-</v>
      </c>
      <c r="D46" s="75" t="str">
        <f t="shared" si="3"/>
        <v>-</v>
      </c>
      <c r="E46" s="88" t="str" cm="1">
        <f t="array" ref="E46">IFERROR(INDEX(Table24[Total NLR (Net XOL)],MATCH($A46,Table24[UWM],0),0),"-")</f>
        <v>-</v>
      </c>
      <c r="F46" s="454" t="str">
        <f t="shared" si="4"/>
        <v>-</v>
      </c>
      <c r="G46" s="88" t="str">
        <f t="shared" si="5"/>
        <v>-</v>
      </c>
      <c r="H46" s="454" t="s">
        <v>491</v>
      </c>
      <c r="I46" s="455" t="str">
        <f>IF($B46="-","-",Table25[[#This Row],[PC Annual Direct - Annual_NWP]]+Table25[[#This Row],[PC Annual Direct - Premium Finance_NWP]])</f>
        <v>-</v>
      </c>
      <c r="J46" s="75" cm="1">
        <f t="array" ref="J46">IFERROR(INDEX(Table23[NWP],MATCH($A46,Table23[UWM],0),0),"")</f>
        <v>0</v>
      </c>
      <c r="K46" s="88" t="str" cm="1">
        <f t="array" ref="K46">IFERROR(INDEX(Table23[Total NLR (Net XOL)],MATCH($A46,Table23[UWM],0),0),"")</f>
        <v/>
      </c>
      <c r="L46" s="455" t="s">
        <v>491</v>
      </c>
      <c r="M46" s="455" t="s">
        <v>491</v>
      </c>
    </row>
    <row r="47" spans="1:13" x14ac:dyDescent="0.25">
      <c r="A47" s="453">
        <v>45474</v>
      </c>
      <c r="B47" s="75" t="str">
        <f>IF(SUMIFS(Table24[NEP],Table24[UWM],'Reserving Table Data'!$A47)=0,"-",SUMIFS(Table24[NEP],Table24[UWM],'Reserving Table Data'!$A47))</f>
        <v>-</v>
      </c>
      <c r="C47" s="75" t="str">
        <f>IF(SUMIFS(Table23[NUEP],Table23[UWM],'Reserving Table Data'!$A47)=0,"-",SUMIFS(Table23[NUEP],Table23[UWM],'Reserving Table Data'!$A47))</f>
        <v>-</v>
      </c>
      <c r="D47" s="75" t="str">
        <f t="shared" si="3"/>
        <v>-</v>
      </c>
      <c r="E47" s="88" t="str" cm="1">
        <f t="array" ref="E47">IFERROR(INDEX(Table24[Total NLR (Net XOL)],MATCH($A47,Table24[UWM],0),0),"-")</f>
        <v>-</v>
      </c>
      <c r="F47" s="454" t="str">
        <f t="shared" si="4"/>
        <v>-</v>
      </c>
      <c r="G47" s="88" t="str">
        <f t="shared" si="5"/>
        <v>-</v>
      </c>
      <c r="H47" s="454" t="s">
        <v>491</v>
      </c>
      <c r="I47" s="455" t="str">
        <f>IF($B47="-","-",Table25[[#This Row],[PC Annual Direct - Annual_NWP]]+Table25[[#This Row],[PC Annual Direct - Premium Finance_NWP]])</f>
        <v>-</v>
      </c>
      <c r="J47" s="75" cm="1">
        <f t="array" ref="J47">IFERROR(INDEX(Table23[NWP],MATCH($A47,Table23[UWM],0),0),"")</f>
        <v>0</v>
      </c>
      <c r="K47" s="88" t="str" cm="1">
        <f t="array" ref="K47">IFERROR(INDEX(Table23[Total NLR (Net XOL)],MATCH($A47,Table23[UWM],0),0),"")</f>
        <v/>
      </c>
      <c r="L47" s="455" t="s">
        <v>491</v>
      </c>
      <c r="M47" s="455" t="s">
        <v>491</v>
      </c>
    </row>
    <row r="48" spans="1:13" x14ac:dyDescent="0.25">
      <c r="A48" s="453">
        <v>45505</v>
      </c>
      <c r="B48" s="75" t="str">
        <f>IF(SUMIFS(Table24[NEP],Table24[UWM],'Reserving Table Data'!$A48)=0,"-",SUMIFS(Table24[NEP],Table24[UWM],'Reserving Table Data'!$A48))</f>
        <v>-</v>
      </c>
      <c r="C48" s="75" t="str">
        <f>IF(SUMIFS(Table23[NUEP],Table23[UWM],'Reserving Table Data'!$A48)=0,"-",SUMIFS(Table23[NUEP],Table23[UWM],'Reserving Table Data'!$A48))</f>
        <v>-</v>
      </c>
      <c r="D48" s="75" t="str">
        <f t="shared" si="3"/>
        <v>-</v>
      </c>
      <c r="E48" s="88" t="str" cm="1">
        <f t="array" ref="E48">IFERROR(INDEX(Table24[Total NLR (Net XOL)],MATCH($A48,Table24[UWM],0),0),"-")</f>
        <v>-</v>
      </c>
      <c r="F48" s="454" t="str">
        <f t="shared" si="4"/>
        <v>-</v>
      </c>
      <c r="G48" s="88" t="str">
        <f t="shared" si="5"/>
        <v>-</v>
      </c>
      <c r="H48" s="454" t="s">
        <v>491</v>
      </c>
      <c r="I48" s="455" t="str">
        <f>IF($B48="-","-",Table25[[#This Row],[PC Annual Direct - Annual_NWP]]+Table25[[#This Row],[PC Annual Direct - Premium Finance_NWP]])</f>
        <v>-</v>
      </c>
      <c r="J48" s="75" cm="1">
        <f t="array" ref="J48">IFERROR(INDEX(Table23[NWP],MATCH($A48,Table23[UWM],0),0),"")</f>
        <v>0</v>
      </c>
      <c r="K48" s="88" t="str" cm="1">
        <f t="array" ref="K48">IFERROR(INDEX(Table23[Total NLR (Net XOL)],MATCH($A48,Table23[UWM],0),0),"")</f>
        <v/>
      </c>
      <c r="L48" s="455" t="s">
        <v>491</v>
      </c>
      <c r="M48" s="455" t="s">
        <v>491</v>
      </c>
    </row>
    <row r="49" spans="1:13" x14ac:dyDescent="0.25">
      <c r="A49" s="453">
        <v>45536</v>
      </c>
      <c r="B49" s="75" t="str">
        <f>IF(SUMIFS(Table24[NEP],Table24[UWM],'Reserving Table Data'!$A49)=0,"-",SUMIFS(Table24[NEP],Table24[UWM],'Reserving Table Data'!$A49))</f>
        <v>-</v>
      </c>
      <c r="C49" s="75" t="str">
        <f>IF(SUMIFS(Table23[NUEP],Table23[UWM],'Reserving Table Data'!$A49)=0,"-",SUMIFS(Table23[NUEP],Table23[UWM],'Reserving Table Data'!$A49))</f>
        <v>-</v>
      </c>
      <c r="D49" s="75" t="str">
        <f t="shared" si="3"/>
        <v>-</v>
      </c>
      <c r="E49" s="88" t="str" cm="1">
        <f t="array" ref="E49">IFERROR(INDEX(Table24[Total NLR (Net XOL)],MATCH($A49,Table24[UWM],0),0),"-")</f>
        <v>-</v>
      </c>
      <c r="F49" s="454" t="str">
        <f t="shared" si="4"/>
        <v>-</v>
      </c>
      <c r="G49" s="88" t="str">
        <f t="shared" si="5"/>
        <v>-</v>
      </c>
      <c r="H49" s="454" t="s">
        <v>491</v>
      </c>
      <c r="I49" s="455" t="str">
        <f>IF($B49="-","-",Table25[[#This Row],[PC Annual Direct - Annual_NWP]]+Table25[[#This Row],[PC Annual Direct - Premium Finance_NWP]])</f>
        <v>-</v>
      </c>
      <c r="J49" s="75" cm="1">
        <f t="array" ref="J49">IFERROR(INDEX(Table23[NWP],MATCH($A49,Table23[UWM],0),0),"")</f>
        <v>0</v>
      </c>
      <c r="K49" s="88" t="str" cm="1">
        <f t="array" ref="K49">IFERROR(INDEX(Table23[Total NLR (Net XOL)],MATCH($A49,Table23[UWM],0),0),"")</f>
        <v/>
      </c>
      <c r="L49" s="455" t="s">
        <v>491</v>
      </c>
      <c r="M49" s="455" t="s">
        <v>491</v>
      </c>
    </row>
    <row r="50" spans="1:13" x14ac:dyDescent="0.25">
      <c r="A50" s="453">
        <v>45566</v>
      </c>
      <c r="B50" s="75" t="str">
        <f>IF(SUMIFS(Table24[NEP],Table24[UWM],'Reserving Table Data'!$A50)=0,"-",SUMIFS(Table24[NEP],Table24[UWM],'Reserving Table Data'!$A50))</f>
        <v>-</v>
      </c>
      <c r="C50" s="75" t="str">
        <f>IF(SUMIFS(Table23[NUEP],Table23[UWM],'Reserving Table Data'!$A50)=0,"-",SUMIFS(Table23[NUEP],Table23[UWM],'Reserving Table Data'!$A50))</f>
        <v>-</v>
      </c>
      <c r="D50" s="75" t="str">
        <f t="shared" si="3"/>
        <v>-</v>
      </c>
      <c r="E50" s="88" t="str" cm="1">
        <f t="array" ref="E50">IFERROR(INDEX(Table24[Total NLR (Net XOL)],MATCH($A50,Table24[UWM],0),0),"-")</f>
        <v>-</v>
      </c>
      <c r="F50" s="454" t="str">
        <f t="shared" si="4"/>
        <v>-</v>
      </c>
      <c r="G50" s="88" t="str">
        <f t="shared" si="5"/>
        <v>-</v>
      </c>
      <c r="H50" s="454" t="s">
        <v>491</v>
      </c>
      <c r="I50" s="455" t="str">
        <f>IF($B50="-","-",Table25[[#This Row],[PC Annual Direct - Annual_NWP]]+Table25[[#This Row],[PC Annual Direct - Premium Finance_NWP]])</f>
        <v>-</v>
      </c>
      <c r="J50" s="75" cm="1">
        <f t="array" ref="J50">IFERROR(INDEX(Table23[NWP],MATCH($A50,Table23[UWM],0),0),"")</f>
        <v>0</v>
      </c>
      <c r="K50" s="88" t="str" cm="1">
        <f t="array" ref="K50">IFERROR(INDEX(Table23[Total NLR (Net XOL)],MATCH($A50,Table23[UWM],0),0),"")</f>
        <v/>
      </c>
      <c r="L50" s="455" t="s">
        <v>491</v>
      </c>
      <c r="M50" s="455" t="s">
        <v>491</v>
      </c>
    </row>
    <row r="51" spans="1:13" x14ac:dyDescent="0.25">
      <c r="A51" s="453">
        <v>45597</v>
      </c>
      <c r="B51" s="75" t="str">
        <f>IF(SUMIFS(Table24[NEP],Table24[UWM],'Reserving Table Data'!$A51)=0,"-",SUMIFS(Table24[NEP],Table24[UWM],'Reserving Table Data'!$A51))</f>
        <v>-</v>
      </c>
      <c r="C51" s="75" t="str">
        <f>IF(SUMIFS(Table23[NUEP],Table23[UWM],'Reserving Table Data'!$A51)=0,"-",SUMIFS(Table23[NUEP],Table23[UWM],'Reserving Table Data'!$A51))</f>
        <v>-</v>
      </c>
      <c r="D51" s="75" t="str">
        <f t="shared" si="3"/>
        <v>-</v>
      </c>
      <c r="E51" s="88" t="str" cm="1">
        <f t="array" ref="E51">IFERROR(INDEX(Table24[Total NLR (Net XOL)],MATCH($A51,Table24[UWM],0),0),"-")</f>
        <v>-</v>
      </c>
      <c r="F51" s="454" t="str">
        <f t="shared" si="4"/>
        <v>-</v>
      </c>
      <c r="G51" s="88" t="str">
        <f t="shared" si="5"/>
        <v>-</v>
      </c>
      <c r="H51" s="454" t="s">
        <v>491</v>
      </c>
      <c r="I51" s="455" t="str">
        <f>IF($B51="-","-",Table25[[#This Row],[PC Annual Direct - Annual_NWP]]+Table25[[#This Row],[PC Annual Direct - Premium Finance_NWP]])</f>
        <v>-</v>
      </c>
      <c r="J51" s="75" cm="1">
        <f t="array" ref="J51">IFERROR(INDEX(Table23[NWP],MATCH($A51,Table23[UWM],0),0),"")</f>
        <v>0</v>
      </c>
      <c r="K51" s="88" t="str" cm="1">
        <f t="array" ref="K51">IFERROR(INDEX(Table23[Total NLR (Net XOL)],MATCH($A51,Table23[UWM],0),0),"")</f>
        <v/>
      </c>
      <c r="L51" s="455" t="s">
        <v>491</v>
      </c>
      <c r="M51" s="455" t="s">
        <v>491</v>
      </c>
    </row>
    <row r="52" spans="1:13" x14ac:dyDescent="0.25">
      <c r="A52" s="453">
        <v>45627</v>
      </c>
      <c r="B52" s="75" t="str">
        <f>IF(SUMIFS(Table24[NEP],Table24[UWM],'Reserving Table Data'!$A52)=0,"-",SUMIFS(Table24[NEP],Table24[UWM],'Reserving Table Data'!$A52))</f>
        <v>-</v>
      </c>
      <c r="C52" s="75" t="str">
        <f>IF(SUMIFS(Table23[NUEP],Table23[UWM],'Reserving Table Data'!$A52)=0,"-",SUMIFS(Table23[NUEP],Table23[UWM],'Reserving Table Data'!$A52))</f>
        <v>-</v>
      </c>
      <c r="D52" s="75" t="str">
        <f t="shared" si="3"/>
        <v>-</v>
      </c>
      <c r="E52" s="88" t="str" cm="1">
        <f t="array" ref="E52">IFERROR(INDEX(Table24[Total NLR (Net XOL)],MATCH($A52,Table24[UWM],0),0),"-")</f>
        <v>-</v>
      </c>
      <c r="F52" s="454" t="str">
        <f t="shared" si="4"/>
        <v>-</v>
      </c>
      <c r="G52" s="88" t="str">
        <f t="shared" si="5"/>
        <v>-</v>
      </c>
      <c r="H52" s="454" t="s">
        <v>491</v>
      </c>
      <c r="I52" s="455" t="str">
        <f>IF($B52="-","-",Table25[[#This Row],[PC Annual Direct - Annual_NWP]]+Table25[[#This Row],[PC Annual Direct - Premium Finance_NWP]])</f>
        <v>-</v>
      </c>
      <c r="J52" s="75" cm="1">
        <f t="array" ref="J52">IFERROR(INDEX(Table23[NWP],MATCH($A52,Table23[UWM],0),0),"")</f>
        <v>0</v>
      </c>
      <c r="K52" s="88" t="str" cm="1">
        <f t="array" ref="K52">IFERROR(INDEX(Table23[Total NLR (Net XOL)],MATCH($A52,Table23[UWM],0),0),"")</f>
        <v/>
      </c>
      <c r="L52" s="455" t="s">
        <v>491</v>
      </c>
      <c r="M52" s="455" t="s">
        <v>491</v>
      </c>
    </row>
    <row r="55" spans="1:13" x14ac:dyDescent="0.25">
      <c r="A55" s="47" t="s">
        <v>646</v>
      </c>
    </row>
    <row r="64" spans="1:13" x14ac:dyDescent="0.25">
      <c r="H64" s="478"/>
    </row>
    <row r="65" spans="1:13" x14ac:dyDescent="0.25">
      <c r="H65" t="s">
        <v>647</v>
      </c>
      <c r="I65" t="s">
        <v>373</v>
      </c>
      <c r="L65" t="s">
        <v>186</v>
      </c>
      <c r="M65" t="s">
        <v>354</v>
      </c>
    </row>
    <row r="66" spans="1:13" x14ac:dyDescent="0.25">
      <c r="A66" t="s">
        <v>247</v>
      </c>
      <c r="B66" t="s">
        <v>558</v>
      </c>
      <c r="C66" t="s">
        <v>559</v>
      </c>
      <c r="D66" t="s">
        <v>560</v>
      </c>
      <c r="E66" t="s">
        <v>561</v>
      </c>
      <c r="F66" t="s">
        <v>562</v>
      </c>
      <c r="G66" t="s">
        <v>563</v>
      </c>
      <c r="H66" t="s">
        <v>564</v>
      </c>
      <c r="I66" t="s">
        <v>565</v>
      </c>
      <c r="J66" t="s">
        <v>287</v>
      </c>
      <c r="K66" t="s">
        <v>566</v>
      </c>
    </row>
    <row r="67" spans="1:13" x14ac:dyDescent="0.25">
      <c r="A67" s="453">
        <v>45292</v>
      </c>
      <c r="B67" s="75">
        <f>IF(SUMIFS(Table2427[NEP],Table2427[UWM],'Reserving Table Data'!$A67)=0,"-",SUMIFS(Table2427[NEP],Table2427[UWM],'Reserving Table Data'!$A67))</f>
        <v>1847487.4676510305</v>
      </c>
      <c r="C67" s="75">
        <f>IF(SUMIFS(Table2320[NUEP],Table2320[UWM],'Reserving Table Data'!$A67)=0,"-",SUMIFS(Table2320[NUEP],Table2320[UWM],'Reserving Table Data'!$A67))</f>
        <v>-65113.715710469289</v>
      </c>
      <c r="D67" s="75">
        <f>IF(B67="-","-",B67+C67)</f>
        <v>1782373.7519405612</v>
      </c>
      <c r="E67" s="88" cm="1">
        <f t="array" ref="E67">IFERROR(INDEX(Table2427[Total NLR (Net XOL)],MATCH($A67,Table2427[UWM],0),0),"-")</f>
        <v>0.63425113994193016</v>
      </c>
      <c r="F67" s="454">
        <f>IF(C67="-","-",((G67*D67)-(B67*E67))/C67)</f>
        <v>0.71234807101188236</v>
      </c>
      <c r="G67" s="88">
        <f>IFERROR((J67*K67)/D67,"-")</f>
        <v>0.63139810119962791</v>
      </c>
      <c r="H67" s="454">
        <v>0.71390012291628391</v>
      </c>
      <c r="I67" s="455">
        <v>2026245.4879278806</v>
      </c>
      <c r="J67" s="75" cm="1">
        <f t="array" ref="J67">IFERROR(INDEX(Table2320[NWP],MATCH($A67,Table2320[UWM],0),0),"")</f>
        <v>1782373.7519405612</v>
      </c>
      <c r="K67" s="88" cm="1">
        <f t="array" ref="K67">IFERROR(INDEX(Table2320[Total NLR (Net XOL)],MATCH($A67,Table2320[UWM],0),0),"")</f>
        <v>0.63139810119962791</v>
      </c>
    </row>
    <row r="68" spans="1:13" x14ac:dyDescent="0.25">
      <c r="A68" s="453">
        <v>45323</v>
      </c>
      <c r="B68" s="75">
        <f>IF(SUMIFS(Table2427[NEP],Table2427[UWM],'Reserving Table Data'!$A68)=0,"-",SUMIFS(Table2427[NEP],Table2427[UWM],'Reserving Table Data'!$A68))</f>
        <v>1495711.3488272435</v>
      </c>
      <c r="C68" s="75">
        <f>IF(SUMIFS(Table2320[NUEP],Table2320[UWM],'Reserving Table Data'!$A68)=0,"-",SUMIFS(Table2320[NUEP],Table2320[UWM],'Reserving Table Data'!$A68))</f>
        <v>-69337.325359063921</v>
      </c>
      <c r="D68" s="75">
        <f t="shared" ref="D68:D78" si="6">IF(B68="-","-",B68+C68)</f>
        <v>1426374.0234681796</v>
      </c>
      <c r="E68" s="88" cm="1">
        <f t="array" ref="E68">IFERROR(INDEX(Table2427[Total NLR (Net XOL)],MATCH($A68,Table2427[UWM],0),0),"-")</f>
        <v>0.85540463270373523</v>
      </c>
      <c r="F68" s="454">
        <f t="shared" ref="F68:F78" si="7">IF(C68="-","-",((G68*D68)-(B68*E68))/C68)</f>
        <v>0.71226925257133955</v>
      </c>
      <c r="G68" s="88">
        <f t="shared" ref="G68:G78" si="8">IFERROR((J68*K68)/D68,"-")</f>
        <v>0.86236257238809788</v>
      </c>
      <c r="H68" s="454">
        <v>0.71390012291628391</v>
      </c>
      <c r="I68" s="455">
        <v>2073314.966746679</v>
      </c>
      <c r="J68" s="75" cm="1">
        <f t="array" ref="J68">IFERROR(INDEX(Table2320[NWP],MATCH($A68,Table2320[UWM],0),0),"")</f>
        <v>1426374.0234681796</v>
      </c>
      <c r="K68" s="88" cm="1">
        <f t="array" ref="K68">IFERROR(INDEX(Table2320[Total NLR (Net XOL)],MATCH($A68,Table2320[UWM],0),0),"")</f>
        <v>0.86236257238809788</v>
      </c>
    </row>
    <row r="69" spans="1:13" x14ac:dyDescent="0.25">
      <c r="A69" s="453">
        <v>45352</v>
      </c>
      <c r="B69" s="75">
        <f>IF(SUMIFS(Table2427[NEP],Table2427[UWM],'Reserving Table Data'!$A69)=0,"-",SUMIFS(Table2427[NEP],Table2427[UWM],'Reserving Table Data'!$A69))</f>
        <v>1657495.22</v>
      </c>
      <c r="C69" s="75">
        <f>IF(SUMIFS(Table2320[NUEP],Table2320[UWM],'Reserving Table Data'!$A69)=0,"-",SUMIFS(Table2320[NUEP],Table2320[UWM],'Reserving Table Data'!$A69))</f>
        <v>-103517.71002206579</v>
      </c>
      <c r="D69" s="75">
        <f t="shared" si="6"/>
        <v>1553977.5099779342</v>
      </c>
      <c r="E69" s="88" cm="1">
        <f t="array" ref="E69">IFERROR(INDEX(Table2427[Total NLR (Net XOL)],MATCH($A69,Table2427[UWM],0),0),"-")</f>
        <v>0.64092839295778725</v>
      </c>
      <c r="F69" s="454">
        <f t="shared" si="7"/>
        <v>0.71220619781890737</v>
      </c>
      <c r="G69" s="88">
        <f t="shared" si="8"/>
        <v>0.63618024500374926</v>
      </c>
      <c r="H69" s="454">
        <v>0.71390012291628391</v>
      </c>
      <c r="I69" s="455">
        <v>1955902.6469528598</v>
      </c>
      <c r="J69" s="75" cm="1">
        <f t="array" ref="J69">IFERROR(INDEX(Table2320[NWP],MATCH($A69,Table2320[UWM],0),0),"")</f>
        <v>1553977.5099779342</v>
      </c>
      <c r="K69" s="88" cm="1">
        <f t="array" ref="K69">IFERROR(INDEX(Table2320[Total NLR (Net XOL)],MATCH($A69,Table2320[UWM],0),0),"")</f>
        <v>0.63618024500374926</v>
      </c>
    </row>
    <row r="70" spans="1:13" x14ac:dyDescent="0.25">
      <c r="A70" s="453">
        <v>45383</v>
      </c>
      <c r="B70" s="75">
        <f>IF(SUMIFS(Table2427[NEP],Table2427[UWM],'Reserving Table Data'!$A70)=0,"-",SUMIFS(Table2427[NEP],Table2427[UWM],'Reserving Table Data'!$A70))</f>
        <v>768983.14000000095</v>
      </c>
      <c r="C70" s="75">
        <f>IF(SUMIFS(Table2320[NUEP],Table2320[UWM],'Reserving Table Data'!$A70)=0,"-",SUMIFS(Table2320[NUEP],Table2320[UWM],'Reserving Table Data'!$A70))</f>
        <v>537154.22090402024</v>
      </c>
      <c r="D70" s="75">
        <f t="shared" si="6"/>
        <v>1306137.3609040212</v>
      </c>
      <c r="E70" s="88" cm="1">
        <f t="array" ref="E70">IFERROR(INDEX(Table2427[Total NLR (Net XOL)],MATCH($A70,Table2427[UWM],0),0),"-")</f>
        <v>0.71097588322455763</v>
      </c>
      <c r="F70" s="454">
        <f t="shared" si="7"/>
        <v>0.71215460756691396</v>
      </c>
      <c r="G70" s="88">
        <f t="shared" si="8"/>
        <v>0.71146063833127993</v>
      </c>
      <c r="H70" s="454">
        <v>0.71390012291628391</v>
      </c>
      <c r="I70" s="455">
        <v>1768843.0862598093</v>
      </c>
      <c r="J70" s="75" cm="1">
        <f t="array" ref="J70">IFERROR(INDEX(Table2320[NWP],MATCH($A70,Table2320[UWM],0),0),"")</f>
        <v>1306137.3609040212</v>
      </c>
      <c r="K70" s="88" cm="1">
        <f t="array" ref="K70">IFERROR(INDEX(Table2320[Total NLR (Net XOL)],MATCH($A70,Table2320[UWM],0),0),"")</f>
        <v>0.71146063833127993</v>
      </c>
    </row>
    <row r="71" spans="1:13" x14ac:dyDescent="0.25">
      <c r="A71" s="453">
        <v>45413</v>
      </c>
      <c r="B71" s="75" t="str">
        <f>IF(SUMIFS(Table2427[NEP],Table2427[UWM],'Reserving Table Data'!$A71)=0,"-",SUMIFS(Table2427[NEP],Table2427[UWM],'Reserving Table Data'!$A71))</f>
        <v>-</v>
      </c>
      <c r="C71" s="75" t="str">
        <f>IF(SUMIFS(Table2320[NUEP],Table2320[UWM],'Reserving Table Data'!$A71)=0,"-",SUMIFS(Table2320[NUEP],Table2320[UWM],'Reserving Table Data'!$A71))</f>
        <v>-</v>
      </c>
      <c r="D71" s="75" t="str">
        <f t="shared" si="6"/>
        <v>-</v>
      </c>
      <c r="E71" s="88" t="str" cm="1">
        <f t="array" ref="E71">IFERROR(INDEX(Table2427[Total NLR (Net XOL)],MATCH($A71,Table2427[UWM],0),0),"-")</f>
        <v>-</v>
      </c>
      <c r="F71" s="454" t="str">
        <f t="shared" si="7"/>
        <v>-</v>
      </c>
      <c r="G71" s="88" t="str">
        <f t="shared" si="8"/>
        <v>-</v>
      </c>
      <c r="H71" s="454" t="s">
        <v>491</v>
      </c>
      <c r="I71" s="455" t="s">
        <v>491</v>
      </c>
      <c r="J71" s="75" cm="1">
        <f t="array" ref="J71">IFERROR(INDEX(Table2320[NWP],MATCH($A71,Table2320[UWM],0),0),"")</f>
        <v>0</v>
      </c>
      <c r="K71" s="88" t="str" cm="1">
        <f t="array" ref="K71">IFERROR(INDEX(Table2320[Total NLR (Net XOL)],MATCH($A71,Table2320[UWM],0),0),"")</f>
        <v/>
      </c>
    </row>
    <row r="72" spans="1:13" x14ac:dyDescent="0.25">
      <c r="A72" s="453">
        <v>45444</v>
      </c>
      <c r="B72" s="75" t="str">
        <f>IF(SUMIFS(Table2427[NEP],Table2427[UWM],'Reserving Table Data'!$A72)=0,"-",SUMIFS(Table2427[NEP],Table2427[UWM],'Reserving Table Data'!$A72))</f>
        <v>-</v>
      </c>
      <c r="C72" s="75" t="str">
        <f>IF(SUMIFS(Table2320[NUEP],Table2320[UWM],'Reserving Table Data'!$A72)=0,"-",SUMIFS(Table2320[NUEP],Table2320[UWM],'Reserving Table Data'!$A72))</f>
        <v>-</v>
      </c>
      <c r="D72" s="75" t="str">
        <f t="shared" si="6"/>
        <v>-</v>
      </c>
      <c r="E72" s="88" t="str" cm="1">
        <f t="array" ref="E72">IFERROR(INDEX(Table2427[Total NLR (Net XOL)],MATCH($A72,Table2427[UWM],0),0),"-")</f>
        <v>-</v>
      </c>
      <c r="F72" s="454" t="str">
        <f t="shared" si="7"/>
        <v>-</v>
      </c>
      <c r="G72" s="88" t="str">
        <f t="shared" si="8"/>
        <v>-</v>
      </c>
      <c r="H72" s="454" t="s">
        <v>491</v>
      </c>
      <c r="I72" s="455" t="s">
        <v>491</v>
      </c>
      <c r="J72" s="75" cm="1">
        <f t="array" ref="J72">IFERROR(INDEX(Table2320[NWP],MATCH($A72,Table2320[UWM],0),0),"")</f>
        <v>0</v>
      </c>
      <c r="K72" s="88" t="str" cm="1">
        <f t="array" ref="K72">IFERROR(INDEX(Table2320[Total NLR (Net XOL)],MATCH($A72,Table2320[UWM],0),0),"")</f>
        <v/>
      </c>
    </row>
    <row r="73" spans="1:13" x14ac:dyDescent="0.25">
      <c r="A73" s="453">
        <v>45474</v>
      </c>
      <c r="B73" s="75" t="str">
        <f>IF(SUMIFS(Table2427[NEP],Table2427[UWM],'Reserving Table Data'!$A73)=0,"-",SUMIFS(Table2427[NEP],Table2427[UWM],'Reserving Table Data'!$A73))</f>
        <v>-</v>
      </c>
      <c r="C73" s="75" t="str">
        <f>IF(SUMIFS(Table2320[NUEP],Table2320[UWM],'Reserving Table Data'!$A73)=0,"-",SUMIFS(Table2320[NUEP],Table2320[UWM],'Reserving Table Data'!$A73))</f>
        <v>-</v>
      </c>
      <c r="D73" s="75" t="str">
        <f t="shared" si="6"/>
        <v>-</v>
      </c>
      <c r="E73" s="88" t="str" cm="1">
        <f t="array" ref="E73">IFERROR(INDEX(Table2427[Total NLR (Net XOL)],MATCH($A73,Table2427[UWM],0),0),"-")</f>
        <v>-</v>
      </c>
      <c r="F73" s="454" t="str">
        <f t="shared" si="7"/>
        <v>-</v>
      </c>
      <c r="G73" s="88" t="str">
        <f t="shared" si="8"/>
        <v>-</v>
      </c>
      <c r="H73" s="454" t="s">
        <v>491</v>
      </c>
      <c r="I73" s="455" t="s">
        <v>491</v>
      </c>
      <c r="J73" s="75" cm="1">
        <f t="array" ref="J73">IFERROR(INDEX(Table2320[NWP],MATCH($A73,Table2320[UWM],0),0),"")</f>
        <v>0</v>
      </c>
      <c r="K73" s="88" t="str" cm="1">
        <f t="array" ref="K73">IFERROR(INDEX(Table2320[Total NLR (Net XOL)],MATCH($A73,Table2320[UWM],0),0),"")</f>
        <v/>
      </c>
    </row>
    <row r="74" spans="1:13" x14ac:dyDescent="0.25">
      <c r="A74" s="453">
        <v>45505</v>
      </c>
      <c r="B74" s="75" t="str">
        <f>IF(SUMIFS(Table2427[NEP],Table2427[UWM],'Reserving Table Data'!$A74)=0,"-",SUMIFS(Table2427[NEP],Table2427[UWM],'Reserving Table Data'!$A74))</f>
        <v>-</v>
      </c>
      <c r="C74" s="75" t="str">
        <f>IF(SUMIFS(Table2320[NUEP],Table2320[UWM],'Reserving Table Data'!$A74)=0,"-",SUMIFS(Table2320[NUEP],Table2320[UWM],'Reserving Table Data'!$A74))</f>
        <v>-</v>
      </c>
      <c r="D74" s="75" t="str">
        <f t="shared" si="6"/>
        <v>-</v>
      </c>
      <c r="E74" s="88" t="str" cm="1">
        <f t="array" ref="E74">IFERROR(INDEX(Table2427[Total NLR (Net XOL)],MATCH($A74,Table2427[UWM],0),0),"-")</f>
        <v>-</v>
      </c>
      <c r="F74" s="454" t="str">
        <f t="shared" si="7"/>
        <v>-</v>
      </c>
      <c r="G74" s="88" t="str">
        <f t="shared" si="8"/>
        <v>-</v>
      </c>
      <c r="H74" s="454" t="s">
        <v>491</v>
      </c>
      <c r="I74" s="455" t="s">
        <v>491</v>
      </c>
      <c r="J74" s="75" cm="1">
        <f t="array" ref="J74">IFERROR(INDEX(Table2320[NWP],MATCH($A74,Table2320[UWM],0),0),"")</f>
        <v>0</v>
      </c>
      <c r="K74" s="88" t="str" cm="1">
        <f t="array" ref="K74">IFERROR(INDEX(Table2320[Total NLR (Net XOL)],MATCH($A74,Table2320[UWM],0),0),"")</f>
        <v/>
      </c>
    </row>
    <row r="75" spans="1:13" x14ac:dyDescent="0.25">
      <c r="A75" s="453">
        <v>45536</v>
      </c>
      <c r="B75" s="75" t="str">
        <f>IF(SUMIFS(Table2427[NEP],Table2427[UWM],'Reserving Table Data'!$A75)=0,"-",SUMIFS(Table2427[NEP],Table2427[UWM],'Reserving Table Data'!$A75))</f>
        <v>-</v>
      </c>
      <c r="C75" s="75" t="str">
        <f>IF(SUMIFS(Table2320[NUEP],Table2320[UWM],'Reserving Table Data'!$A75)=0,"-",SUMIFS(Table2320[NUEP],Table2320[UWM],'Reserving Table Data'!$A75))</f>
        <v>-</v>
      </c>
      <c r="D75" s="75" t="str">
        <f t="shared" si="6"/>
        <v>-</v>
      </c>
      <c r="E75" s="88" t="str" cm="1">
        <f t="array" ref="E75">IFERROR(INDEX(Table2427[Total NLR (Net XOL)],MATCH($A75,Table2427[UWM],0),0),"-")</f>
        <v>-</v>
      </c>
      <c r="F75" s="454" t="str">
        <f t="shared" si="7"/>
        <v>-</v>
      </c>
      <c r="G75" s="88" t="str">
        <f t="shared" si="8"/>
        <v>-</v>
      </c>
      <c r="H75" s="454" t="s">
        <v>491</v>
      </c>
      <c r="I75" s="455" t="s">
        <v>491</v>
      </c>
      <c r="J75" s="75" cm="1">
        <f t="array" ref="J75">IFERROR(INDEX(Table2320[NWP],MATCH($A75,Table2320[UWM],0),0),"")</f>
        <v>0</v>
      </c>
      <c r="K75" s="88" t="str" cm="1">
        <f t="array" ref="K75">IFERROR(INDEX(Table2320[Total NLR (Net XOL)],MATCH($A75,Table2320[UWM],0),0),"")</f>
        <v/>
      </c>
    </row>
    <row r="76" spans="1:13" x14ac:dyDescent="0.25">
      <c r="A76" s="453">
        <v>45566</v>
      </c>
      <c r="B76" s="75" t="str">
        <f>IF(SUMIFS(Table2427[NEP],Table2427[UWM],'Reserving Table Data'!$A76)=0,"-",SUMIFS(Table2427[NEP],Table2427[UWM],'Reserving Table Data'!$A76))</f>
        <v>-</v>
      </c>
      <c r="C76" s="75" t="str">
        <f>IF(SUMIFS(Table2320[NUEP],Table2320[UWM],'Reserving Table Data'!$A76)=0,"-",SUMIFS(Table2320[NUEP],Table2320[UWM],'Reserving Table Data'!$A76))</f>
        <v>-</v>
      </c>
      <c r="D76" s="75" t="str">
        <f t="shared" si="6"/>
        <v>-</v>
      </c>
      <c r="E76" s="88" t="str" cm="1">
        <f t="array" ref="E76">IFERROR(INDEX(Table2427[Total NLR (Net XOL)],MATCH($A76,Table2427[UWM],0),0),"-")</f>
        <v>-</v>
      </c>
      <c r="F76" s="454" t="str">
        <f t="shared" si="7"/>
        <v>-</v>
      </c>
      <c r="G76" s="88" t="str">
        <f t="shared" si="8"/>
        <v>-</v>
      </c>
      <c r="H76" s="454" t="s">
        <v>491</v>
      </c>
      <c r="I76" s="455" t="s">
        <v>491</v>
      </c>
      <c r="J76" s="75" cm="1">
        <f t="array" ref="J76">IFERROR(INDEX(Table2320[NWP],MATCH($A76,Table2320[UWM],0),0),"")</f>
        <v>0</v>
      </c>
      <c r="K76" s="88" t="str" cm="1">
        <f t="array" ref="K76">IFERROR(INDEX(Table2320[Total NLR (Net XOL)],MATCH($A76,Table2320[UWM],0),0),"")</f>
        <v/>
      </c>
    </row>
    <row r="77" spans="1:13" x14ac:dyDescent="0.25">
      <c r="A77" s="453">
        <v>45597</v>
      </c>
      <c r="B77" s="75" t="str">
        <f>IF(SUMIFS(Table2427[NEP],Table2427[UWM],'Reserving Table Data'!$A77)=0,"-",SUMIFS(Table2427[NEP],Table2427[UWM],'Reserving Table Data'!$A77))</f>
        <v>-</v>
      </c>
      <c r="C77" s="75" t="str">
        <f>IF(SUMIFS(Table2320[NUEP],Table2320[UWM],'Reserving Table Data'!$A77)=0,"-",SUMIFS(Table2320[NUEP],Table2320[UWM],'Reserving Table Data'!$A77))</f>
        <v>-</v>
      </c>
      <c r="D77" s="75" t="str">
        <f t="shared" si="6"/>
        <v>-</v>
      </c>
      <c r="E77" s="88" t="str" cm="1">
        <f t="array" ref="E77">IFERROR(INDEX(Table2427[Total NLR (Net XOL)],MATCH($A77,Table2427[UWM],0),0),"-")</f>
        <v>-</v>
      </c>
      <c r="F77" s="454" t="str">
        <f t="shared" si="7"/>
        <v>-</v>
      </c>
      <c r="G77" s="88" t="str">
        <f t="shared" si="8"/>
        <v>-</v>
      </c>
      <c r="H77" s="454" t="s">
        <v>491</v>
      </c>
      <c r="I77" s="455" t="s">
        <v>491</v>
      </c>
      <c r="J77" s="75" cm="1">
        <f t="array" ref="J77">IFERROR(INDEX(Table2320[NWP],MATCH($A77,Table2320[UWM],0),0),"")</f>
        <v>0</v>
      </c>
      <c r="K77" s="88" t="str" cm="1">
        <f t="array" ref="K77">IFERROR(INDEX(Table2320[Total NLR (Net XOL)],MATCH($A77,Table2320[UWM],0),0),"")</f>
        <v/>
      </c>
    </row>
    <row r="78" spans="1:13" x14ac:dyDescent="0.25">
      <c r="A78" s="453">
        <v>45627</v>
      </c>
      <c r="B78" s="75" t="str">
        <f>IF(SUMIFS(Table2427[NEP],Table2427[UWM],'Reserving Table Data'!$A78)=0,"-",SUMIFS(Table2427[NEP],Table2427[UWM],'Reserving Table Data'!$A78))</f>
        <v>-</v>
      </c>
      <c r="C78" s="75" t="str">
        <f>IF(SUMIFS(Table2320[NUEP],Table2320[UWM],'Reserving Table Data'!$A78)=0,"-",SUMIFS(Table2320[NUEP],Table2320[UWM],'Reserving Table Data'!$A78))</f>
        <v>-</v>
      </c>
      <c r="D78" s="75" t="str">
        <f t="shared" si="6"/>
        <v>-</v>
      </c>
      <c r="E78" s="88" t="str" cm="1">
        <f t="array" ref="E78">IFERROR(INDEX(Table2427[Total NLR (Net XOL)],MATCH($A78,Table2427[UWM],0),0),"-")</f>
        <v>-</v>
      </c>
      <c r="F78" s="454" t="str">
        <f t="shared" si="7"/>
        <v>-</v>
      </c>
      <c r="G78" s="88" t="str">
        <f t="shared" si="8"/>
        <v>-</v>
      </c>
      <c r="H78" s="454" t="s">
        <v>491</v>
      </c>
      <c r="I78" s="455" t="s">
        <v>491</v>
      </c>
      <c r="J78" s="75" cm="1">
        <f t="array" ref="J78">IFERROR(INDEX(Table2320[NWP],MATCH($A78,Table2320[UWM],0),0),"")</f>
        <v>0</v>
      </c>
      <c r="K78" s="88" t="str" cm="1">
        <f t="array" ref="K78">IFERROR(INDEX(Table2320[Total NLR (Net XOL)],MATCH($A78,Table2320[UWM],0),0),"")</f>
        <v/>
      </c>
    </row>
  </sheetData>
  <phoneticPr fontId="13" type="noConversion"/>
  <pageMargins left="0.7" right="0.7" top="0.75" bottom="0.75" header="0.3" footer="0.3"/>
  <drawing r:id="rId1"/>
  <tableParts count="3">
    <tablePart r:id="rId2"/>
    <tablePart r:id="rId3"/>
    <tablePart r:id="rId4"/>
  </tableParts>
</worksheet>
</file>

<file path=docMetadata/LabelInfo.xml><?xml version="1.0" encoding="utf-8"?>
<clbl:labelList xmlns:clbl="http://schemas.microsoft.com/office/2020/mipLabelMetadata">
  <clbl:label id="{4dcc80ff-3a52-4766-b76e-262847ecd459}" enabled="0" method="" siteId="{4dcc80ff-3a52-4766-b76e-262847ecd459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Title Sheet</vt:lpstr>
      <vt:lpstr>Plan</vt:lpstr>
      <vt:lpstr>Summary - Reserving</vt:lpstr>
      <vt:lpstr>Total Sales Figures &gt;&gt;</vt:lpstr>
      <vt:lpstr>Headline - Sales, NWP, GWP</vt:lpstr>
      <vt:lpstr>Headline - MGA and MPM</vt:lpstr>
      <vt:lpstr>Current - Sales, NWP, GWP</vt:lpstr>
      <vt:lpstr>Current - MGA and MPM</vt:lpstr>
      <vt:lpstr>Current - MGA only</vt:lpstr>
      <vt:lpstr>Current - MPM only</vt:lpstr>
      <vt:lpstr>Ultimate - Sales, NWP, GWP</vt:lpstr>
      <vt:lpstr>Ultimate - MGA and MPM</vt:lpstr>
      <vt:lpstr>Ultimate - MGA only</vt:lpstr>
      <vt:lpstr>Ultimate - MPM only</vt:lpstr>
      <vt:lpstr>Dev Patterns (OG Code)</vt:lpstr>
      <vt:lpstr>NB Sales Figures &gt;&gt;</vt:lpstr>
      <vt:lpstr>NB - Sales, NWP, GWP</vt:lpstr>
      <vt:lpstr>REN Sales Figures &gt;&gt;</vt:lpstr>
      <vt:lpstr>RN - Sales, NWP, GWP</vt:lpstr>
      <vt:lpstr>Scored Loss Ratios &gt;&gt;</vt:lpstr>
      <vt:lpstr>MICL Direct</vt:lpstr>
      <vt:lpstr>MICL Direct SLRs</vt:lpstr>
      <vt:lpstr>Charts &gt;&gt;</vt:lpstr>
      <vt:lpstr>Policies</vt:lpstr>
      <vt:lpstr>Policies NBREN</vt:lpstr>
      <vt:lpstr>Premium</vt:lpstr>
      <vt:lpstr>Premium NBREN</vt:lpstr>
      <vt:lpstr>Distributions &gt; &gt;</vt:lpstr>
      <vt:lpstr>Premium Distribution</vt:lpstr>
      <vt:lpstr>Commission Distribution</vt:lpstr>
      <vt:lpstr>Cancellation Triangles NWP</vt:lpstr>
      <vt:lpstr>Cancellation Triangles Pols %</vt:lpstr>
      <vt:lpstr>Risk Mix Tracking &gt;&gt;</vt:lpstr>
      <vt:lpstr>Proposer Age</vt:lpstr>
      <vt:lpstr>Proportion Aged u25</vt:lpstr>
      <vt:lpstr>Average Mileage</vt:lpstr>
      <vt:lpstr>Vehicle Value</vt:lpstr>
      <vt:lpstr>Vehicle Value Over £25k</vt:lpstr>
      <vt:lpstr>NCD</vt:lpstr>
      <vt:lpstr>Monthly Payments</vt:lpstr>
      <vt:lpstr>Area Rating</vt:lpstr>
      <vt:lpstr>Dev Patterns</vt:lpstr>
      <vt:lpstr>Data &gt;&gt;</vt:lpstr>
      <vt:lpstr>PolCount</vt:lpstr>
      <vt:lpstr>PolCount NBREN</vt:lpstr>
      <vt:lpstr>NWP</vt:lpstr>
      <vt:lpstr>NWP NBREN</vt:lpstr>
      <vt:lpstr>Averages Graph Data</vt:lpstr>
      <vt:lpstr>Plan Figures</vt:lpstr>
      <vt:lpstr>Dist Graph Data</vt:lpstr>
      <vt:lpstr>Reserving Static Data</vt:lpstr>
      <vt:lpstr>Reserving Table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Newsome</dc:creator>
  <cp:lastModifiedBy>Matthew Turner</cp:lastModifiedBy>
  <cp:lastPrinted>2024-01-11T11:03:59Z</cp:lastPrinted>
  <dcterms:created xsi:type="dcterms:W3CDTF">2023-11-24T17:07:42Z</dcterms:created>
  <dcterms:modified xsi:type="dcterms:W3CDTF">2025-08-18T11:11:05Z</dcterms:modified>
</cp:coreProperties>
</file>